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Joel\Desktop\"/>
    </mc:Choice>
  </mc:AlternateContent>
  <xr:revisionPtr revIDLastSave="0" documentId="13_ncr:1_{1D18E6E1-5AB8-4BB3-BC60-D515166F213F}" xr6:coauthVersionLast="36" xr6:coauthVersionMax="36" xr10:uidLastSave="{00000000-0000-0000-0000-000000000000}"/>
  <bookViews>
    <workbookView xWindow="0" yWindow="0" windowWidth="18768" windowHeight="9060" activeTab="1" xr2:uid="{82F0E849-5FCD-4794-BBD7-C598A2423A50}"/>
  </bookViews>
  <sheets>
    <sheet name="PFAS Properties" sheetId="7" r:id="rId1"/>
    <sheet name="All data" sheetId="11" r:id="rId2"/>
    <sheet name="KdvsOC" sheetId="10" r:id="rId3"/>
    <sheet name="Outlier ID" sheetId="9" r:id="rId4"/>
    <sheet name="Final data" sheetId="20" r:id="rId5"/>
    <sheet name="SoilGrids (KNN)" sheetId="19" r:id="rId6"/>
  </sheets>
  <definedNames>
    <definedName name="_xlnm._FilterDatabase" localSheetId="1" hidden="1">'All data'!$A$1:$BQ$1276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3" i="7" l="1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P64" i="7"/>
  <c r="P65" i="7"/>
  <c r="P16" i="7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15" i="7"/>
  <c r="BD1229" i="20" l="1"/>
  <c r="BG1229" i="20" s="1"/>
  <c r="AX1229" i="20"/>
  <c r="BE1229" i="20" s="1"/>
  <c r="BF1229" i="20" s="1"/>
  <c r="AV1229" i="20"/>
  <c r="AF1229" i="20"/>
  <c r="AE1229" i="20"/>
  <c r="AD1229" i="20"/>
  <c r="AB1229" i="20"/>
  <c r="U1229" i="20"/>
  <c r="M1229" i="20"/>
  <c r="L1229" i="20"/>
  <c r="K1229" i="20"/>
  <c r="AC1229" i="20" s="1"/>
  <c r="J1229" i="20"/>
  <c r="I1229" i="20"/>
  <c r="H1229" i="20"/>
  <c r="BD1228" i="20"/>
  <c r="BG1228" i="20" s="1"/>
  <c r="AX1228" i="20"/>
  <c r="AV1228" i="20"/>
  <c r="AF1228" i="20"/>
  <c r="AE1228" i="20"/>
  <c r="AD1228" i="20"/>
  <c r="AB1228" i="20"/>
  <c r="U1228" i="20"/>
  <c r="M1228" i="20"/>
  <c r="L1228" i="20"/>
  <c r="K1228" i="20"/>
  <c r="AC1228" i="20" s="1"/>
  <c r="J1228" i="20"/>
  <c r="I1228" i="20"/>
  <c r="H1228" i="20"/>
  <c r="BD1227" i="20"/>
  <c r="BG1227" i="20" s="1"/>
  <c r="AX1227" i="20"/>
  <c r="AV1227" i="20"/>
  <c r="AF1227" i="20"/>
  <c r="AE1227" i="20"/>
  <c r="AD1227" i="20"/>
  <c r="AB1227" i="20"/>
  <c r="U1227" i="20"/>
  <c r="M1227" i="20"/>
  <c r="L1227" i="20"/>
  <c r="K1227" i="20"/>
  <c r="AC1227" i="20" s="1"/>
  <c r="J1227" i="20"/>
  <c r="I1227" i="20"/>
  <c r="H1227" i="20"/>
  <c r="BD1226" i="20"/>
  <c r="BG1226" i="20" s="1"/>
  <c r="AX1226" i="20"/>
  <c r="AV1226" i="20"/>
  <c r="AF1226" i="20"/>
  <c r="AE1226" i="20"/>
  <c r="AD1226" i="20"/>
  <c r="AB1226" i="20"/>
  <c r="U1226" i="20"/>
  <c r="M1226" i="20"/>
  <c r="L1226" i="20"/>
  <c r="S1226" i="20" s="1"/>
  <c r="K1226" i="20"/>
  <c r="AC1226" i="20" s="1"/>
  <c r="J1226" i="20"/>
  <c r="I1226" i="20"/>
  <c r="H1226" i="20"/>
  <c r="BD1225" i="20"/>
  <c r="BG1225" i="20" s="1"/>
  <c r="AX1225" i="20"/>
  <c r="AV1225" i="20"/>
  <c r="AF1225" i="20"/>
  <c r="AE1225" i="20"/>
  <c r="AD1225" i="20"/>
  <c r="AB1225" i="20"/>
  <c r="U1225" i="20"/>
  <c r="M1225" i="20"/>
  <c r="L1225" i="20"/>
  <c r="Q1225" i="20" s="1"/>
  <c r="K1225" i="20"/>
  <c r="AC1225" i="20" s="1"/>
  <c r="J1225" i="20"/>
  <c r="I1225" i="20"/>
  <c r="H1225" i="20"/>
  <c r="BD1224" i="20"/>
  <c r="BG1224" i="20" s="1"/>
  <c r="AX1224" i="20"/>
  <c r="AV1224" i="20"/>
  <c r="AF1224" i="20"/>
  <c r="AE1224" i="20"/>
  <c r="AD1224" i="20"/>
  <c r="AB1224" i="20"/>
  <c r="U1224" i="20"/>
  <c r="M1224" i="20"/>
  <c r="L1224" i="20"/>
  <c r="K1224" i="20"/>
  <c r="AC1224" i="20" s="1"/>
  <c r="J1224" i="20"/>
  <c r="I1224" i="20"/>
  <c r="H1224" i="20"/>
  <c r="BD1223" i="20"/>
  <c r="BG1223" i="20" s="1"/>
  <c r="AZ1223" i="20"/>
  <c r="AX1223" i="20"/>
  <c r="AV1223" i="20"/>
  <c r="AF1223" i="20"/>
  <c r="AE1223" i="20"/>
  <c r="AD1223" i="20"/>
  <c r="AB1223" i="20"/>
  <c r="U1223" i="20"/>
  <c r="M1223" i="20"/>
  <c r="R1223" i="20" s="1"/>
  <c r="L1223" i="20"/>
  <c r="K1223" i="20"/>
  <c r="AC1223" i="20" s="1"/>
  <c r="J1223" i="20"/>
  <c r="I1223" i="20"/>
  <c r="H1223" i="20"/>
  <c r="BD1222" i="20"/>
  <c r="BG1222" i="20" s="1"/>
  <c r="AX1222" i="20"/>
  <c r="AV1222" i="20"/>
  <c r="AF1222" i="20"/>
  <c r="AE1222" i="20"/>
  <c r="AD1222" i="20"/>
  <c r="AB1222" i="20"/>
  <c r="U1222" i="20"/>
  <c r="M1222" i="20"/>
  <c r="L1222" i="20"/>
  <c r="K1222" i="20"/>
  <c r="AC1222" i="20" s="1"/>
  <c r="J1222" i="20"/>
  <c r="I1222" i="20"/>
  <c r="H1222" i="20"/>
  <c r="BD1221" i="20"/>
  <c r="AX1221" i="20"/>
  <c r="AV1221" i="20"/>
  <c r="AF1221" i="20"/>
  <c r="AE1221" i="20"/>
  <c r="AD1221" i="20"/>
  <c r="AB1221" i="20"/>
  <c r="U1221" i="20"/>
  <c r="M1221" i="20"/>
  <c r="L1221" i="20"/>
  <c r="K1221" i="20"/>
  <c r="AC1221" i="20" s="1"/>
  <c r="J1221" i="20"/>
  <c r="I1221" i="20"/>
  <c r="H1221" i="20"/>
  <c r="BD1220" i="20"/>
  <c r="AX1220" i="20"/>
  <c r="AV1220" i="20"/>
  <c r="AF1220" i="20"/>
  <c r="AE1220" i="20"/>
  <c r="AD1220" i="20"/>
  <c r="AB1220" i="20"/>
  <c r="U1220" i="20"/>
  <c r="M1220" i="20"/>
  <c r="L1220" i="20"/>
  <c r="K1220" i="20"/>
  <c r="AC1220" i="20" s="1"/>
  <c r="J1220" i="20"/>
  <c r="I1220" i="20"/>
  <c r="H1220" i="20"/>
  <c r="BD1219" i="20"/>
  <c r="AX1219" i="20"/>
  <c r="AV1219" i="20"/>
  <c r="AF1219" i="20"/>
  <c r="AE1219" i="20"/>
  <c r="AD1219" i="20"/>
  <c r="AB1219" i="20"/>
  <c r="U1219" i="20"/>
  <c r="M1219" i="20"/>
  <c r="L1219" i="20"/>
  <c r="K1219" i="20"/>
  <c r="AC1219" i="20" s="1"/>
  <c r="J1219" i="20"/>
  <c r="I1219" i="20"/>
  <c r="H1219" i="20"/>
  <c r="BD1218" i="20"/>
  <c r="BG1218" i="20" s="1"/>
  <c r="AX1218" i="20"/>
  <c r="AV1218" i="20"/>
  <c r="AF1218" i="20"/>
  <c r="AE1218" i="20"/>
  <c r="AD1218" i="20"/>
  <c r="AB1218" i="20"/>
  <c r="U1218" i="20"/>
  <c r="M1218" i="20"/>
  <c r="L1218" i="20"/>
  <c r="K1218" i="20"/>
  <c r="AC1218" i="20" s="1"/>
  <c r="J1218" i="20"/>
  <c r="I1218" i="20"/>
  <c r="H1218" i="20"/>
  <c r="BG1217" i="20"/>
  <c r="BD1217" i="20"/>
  <c r="AX1217" i="20"/>
  <c r="AV1217" i="20"/>
  <c r="AF1217" i="20"/>
  <c r="AE1217" i="20"/>
  <c r="AD1217" i="20"/>
  <c r="AB1217" i="20"/>
  <c r="U1217" i="20"/>
  <c r="M1217" i="20"/>
  <c r="L1217" i="20"/>
  <c r="Q1217" i="20" s="1"/>
  <c r="K1217" i="20"/>
  <c r="AC1217" i="20" s="1"/>
  <c r="J1217" i="20"/>
  <c r="I1217" i="20"/>
  <c r="H1217" i="20"/>
  <c r="BD1216" i="20"/>
  <c r="BG1216" i="20" s="1"/>
  <c r="AZ1216" i="20"/>
  <c r="AX1216" i="20"/>
  <c r="AV1216" i="20"/>
  <c r="AF1216" i="20"/>
  <c r="AE1216" i="20"/>
  <c r="AD1216" i="20"/>
  <c r="AB1216" i="20"/>
  <c r="U1216" i="20"/>
  <c r="M1216" i="20"/>
  <c r="L1216" i="20"/>
  <c r="K1216" i="20"/>
  <c r="AC1216" i="20" s="1"/>
  <c r="J1216" i="20"/>
  <c r="I1216" i="20"/>
  <c r="H1216" i="20"/>
  <c r="BD1215" i="20"/>
  <c r="BG1215" i="20" s="1"/>
  <c r="AX1215" i="20"/>
  <c r="AV1215" i="20"/>
  <c r="AF1215" i="20"/>
  <c r="AE1215" i="20"/>
  <c r="AD1215" i="20"/>
  <c r="AB1215" i="20"/>
  <c r="U1215" i="20"/>
  <c r="M1215" i="20"/>
  <c r="L1215" i="20"/>
  <c r="K1215" i="20"/>
  <c r="AC1215" i="20" s="1"/>
  <c r="J1215" i="20"/>
  <c r="I1215" i="20"/>
  <c r="H1215" i="20"/>
  <c r="BD1214" i="20"/>
  <c r="BE1214" i="20" s="1"/>
  <c r="BF1214" i="20" s="1"/>
  <c r="AX1214" i="20"/>
  <c r="AV1214" i="20"/>
  <c r="AF1214" i="20"/>
  <c r="AE1214" i="20"/>
  <c r="AD1214" i="20"/>
  <c r="AB1214" i="20"/>
  <c r="U1214" i="20"/>
  <c r="M1214" i="20"/>
  <c r="L1214" i="20"/>
  <c r="K1214" i="20"/>
  <c r="AC1214" i="20" s="1"/>
  <c r="J1214" i="20"/>
  <c r="I1214" i="20"/>
  <c r="H1214" i="20"/>
  <c r="BD1213" i="20"/>
  <c r="AX1213" i="20"/>
  <c r="AV1213" i="20"/>
  <c r="AF1213" i="20"/>
  <c r="AE1213" i="20"/>
  <c r="AD1213" i="20"/>
  <c r="AB1213" i="20"/>
  <c r="U1213" i="20"/>
  <c r="M1213" i="20"/>
  <c r="L1213" i="20"/>
  <c r="K1213" i="20"/>
  <c r="AC1213" i="20" s="1"/>
  <c r="J1213" i="20"/>
  <c r="I1213" i="20"/>
  <c r="H1213" i="20"/>
  <c r="BD1212" i="20"/>
  <c r="BG1212" i="20" s="1"/>
  <c r="AX1212" i="20"/>
  <c r="AV1212" i="20"/>
  <c r="AF1212" i="20"/>
  <c r="AE1212" i="20"/>
  <c r="AD1212" i="20"/>
  <c r="AB1212" i="20"/>
  <c r="U1212" i="20"/>
  <c r="M1212" i="20"/>
  <c r="L1212" i="20"/>
  <c r="K1212" i="20"/>
  <c r="AC1212" i="20" s="1"/>
  <c r="J1212" i="20"/>
  <c r="I1212" i="20"/>
  <c r="H1212" i="20"/>
  <c r="BD1211" i="20"/>
  <c r="AX1211" i="20"/>
  <c r="AV1211" i="20"/>
  <c r="AF1211" i="20"/>
  <c r="AE1211" i="20"/>
  <c r="AD1211" i="20"/>
  <c r="AB1211" i="20"/>
  <c r="U1211" i="20"/>
  <c r="M1211" i="20"/>
  <c r="L1211" i="20"/>
  <c r="K1211" i="20"/>
  <c r="AC1211" i="20" s="1"/>
  <c r="J1211" i="20"/>
  <c r="I1211" i="20"/>
  <c r="H1211" i="20"/>
  <c r="BD1210" i="20"/>
  <c r="AX1210" i="20"/>
  <c r="AV1210" i="20"/>
  <c r="AF1210" i="20"/>
  <c r="AE1210" i="20"/>
  <c r="AD1210" i="20"/>
  <c r="AB1210" i="20"/>
  <c r="U1210" i="20"/>
  <c r="M1210" i="20"/>
  <c r="L1210" i="20"/>
  <c r="K1210" i="20"/>
  <c r="AC1210" i="20" s="1"/>
  <c r="J1210" i="20"/>
  <c r="I1210" i="20"/>
  <c r="H1210" i="20"/>
  <c r="BD1209" i="20"/>
  <c r="BG1209" i="20" s="1"/>
  <c r="AZ1209" i="20"/>
  <c r="AX1209" i="20"/>
  <c r="AV1209" i="20"/>
  <c r="AF1209" i="20"/>
  <c r="AE1209" i="20"/>
  <c r="AD1209" i="20"/>
  <c r="AB1209" i="20"/>
  <c r="U1209" i="20"/>
  <c r="M1209" i="20"/>
  <c r="L1209" i="20"/>
  <c r="K1209" i="20"/>
  <c r="AC1209" i="20" s="1"/>
  <c r="J1209" i="20"/>
  <c r="I1209" i="20"/>
  <c r="H1209" i="20"/>
  <c r="BG1208" i="20"/>
  <c r="AZ1208" i="20"/>
  <c r="AX1208" i="20"/>
  <c r="BE1208" i="20" s="1"/>
  <c r="BF1208" i="20" s="1"/>
  <c r="AV1208" i="20"/>
  <c r="AL1208" i="20"/>
  <c r="AM1208" i="20" s="1"/>
  <c r="AI1208" i="20"/>
  <c r="AK1208" i="20" s="1"/>
  <c r="AF1208" i="20"/>
  <c r="AE1208" i="20"/>
  <c r="AD1208" i="20"/>
  <c r="AB1208" i="20"/>
  <c r="U1208" i="20"/>
  <c r="M1208" i="20"/>
  <c r="L1208" i="20"/>
  <c r="S1208" i="20" s="1"/>
  <c r="K1208" i="20"/>
  <c r="BB1208" i="20" s="1"/>
  <c r="J1208" i="20"/>
  <c r="I1208" i="20"/>
  <c r="H1208" i="20"/>
  <c r="BG1207" i="20"/>
  <c r="AZ1207" i="20"/>
  <c r="AX1207" i="20"/>
  <c r="BE1207" i="20" s="1"/>
  <c r="BF1207" i="20" s="1"/>
  <c r="AV1207" i="20"/>
  <c r="AM1207" i="20"/>
  <c r="AL1207" i="20"/>
  <c r="AN1207" i="20" s="1"/>
  <c r="AI1207" i="20"/>
  <c r="AK1207" i="20" s="1"/>
  <c r="AF1207" i="20"/>
  <c r="AE1207" i="20"/>
  <c r="AD1207" i="20"/>
  <c r="AB1207" i="20"/>
  <c r="U1207" i="20"/>
  <c r="M1207" i="20"/>
  <c r="L1207" i="20"/>
  <c r="S1207" i="20" s="1"/>
  <c r="K1207" i="20"/>
  <c r="AC1207" i="20" s="1"/>
  <c r="J1207" i="20"/>
  <c r="I1207" i="20"/>
  <c r="H1207" i="20"/>
  <c r="BG1206" i="20"/>
  <c r="AZ1206" i="20"/>
  <c r="AX1206" i="20"/>
  <c r="BE1206" i="20" s="1"/>
  <c r="BF1206" i="20" s="1"/>
  <c r="AV1206" i="20"/>
  <c r="AL1206" i="20"/>
  <c r="AN1206" i="20" s="1"/>
  <c r="AI1206" i="20"/>
  <c r="AK1206" i="20" s="1"/>
  <c r="AF1206" i="20"/>
  <c r="AE1206" i="20"/>
  <c r="AD1206" i="20"/>
  <c r="AB1206" i="20"/>
  <c r="U1206" i="20"/>
  <c r="M1206" i="20"/>
  <c r="L1206" i="20"/>
  <c r="S1206" i="20" s="1"/>
  <c r="K1206" i="20"/>
  <c r="BC1206" i="20" s="1"/>
  <c r="J1206" i="20"/>
  <c r="I1206" i="20"/>
  <c r="H1206" i="20"/>
  <c r="BG1205" i="20"/>
  <c r="AZ1205" i="20"/>
  <c r="AX1205" i="20"/>
  <c r="BE1205" i="20" s="1"/>
  <c r="BF1205" i="20" s="1"/>
  <c r="AV1205" i="20"/>
  <c r="AL1205" i="20"/>
  <c r="AN1205" i="20" s="1"/>
  <c r="AI1205" i="20"/>
  <c r="AK1205" i="20" s="1"/>
  <c r="AF1205" i="20"/>
  <c r="AE1205" i="20"/>
  <c r="AD1205" i="20"/>
  <c r="AB1205" i="20"/>
  <c r="U1205" i="20"/>
  <c r="M1205" i="20"/>
  <c r="L1205" i="20"/>
  <c r="S1205" i="20" s="1"/>
  <c r="K1205" i="20"/>
  <c r="J1205" i="20"/>
  <c r="I1205" i="20"/>
  <c r="H1205" i="20"/>
  <c r="BG1204" i="20"/>
  <c r="AZ1204" i="20"/>
  <c r="AX1204" i="20"/>
  <c r="BE1204" i="20" s="1"/>
  <c r="BF1204" i="20" s="1"/>
  <c r="AV1204" i="20"/>
  <c r="AL1204" i="20"/>
  <c r="AN1204" i="20" s="1"/>
  <c r="AI1204" i="20"/>
  <c r="AK1204" i="20" s="1"/>
  <c r="AF1204" i="20"/>
  <c r="AE1204" i="20"/>
  <c r="AD1204" i="20"/>
  <c r="AB1204" i="20"/>
  <c r="U1204" i="20"/>
  <c r="M1204" i="20"/>
  <c r="L1204" i="20"/>
  <c r="S1204" i="20" s="1"/>
  <c r="K1204" i="20"/>
  <c r="AC1204" i="20" s="1"/>
  <c r="J1204" i="20"/>
  <c r="I1204" i="20"/>
  <c r="H1204" i="20"/>
  <c r="BG1203" i="20"/>
  <c r="AZ1203" i="20"/>
  <c r="AX1203" i="20"/>
  <c r="BE1203" i="20" s="1"/>
  <c r="BF1203" i="20" s="1"/>
  <c r="AV1203" i="20"/>
  <c r="AN1203" i="20"/>
  <c r="AL1203" i="20"/>
  <c r="AM1203" i="20" s="1"/>
  <c r="AI1203" i="20"/>
  <c r="AK1203" i="20" s="1"/>
  <c r="AF1203" i="20"/>
  <c r="AE1203" i="20"/>
  <c r="AD1203" i="20"/>
  <c r="AB1203" i="20"/>
  <c r="U1203" i="20"/>
  <c r="M1203" i="20"/>
  <c r="L1203" i="20"/>
  <c r="Q1203" i="20" s="1"/>
  <c r="V1203" i="20" s="1"/>
  <c r="K1203" i="20"/>
  <c r="BB1203" i="20" s="1"/>
  <c r="J1203" i="20"/>
  <c r="I1203" i="20"/>
  <c r="H1203" i="20"/>
  <c r="BG1202" i="20"/>
  <c r="AZ1202" i="20"/>
  <c r="AX1202" i="20"/>
  <c r="BE1202" i="20" s="1"/>
  <c r="BF1202" i="20" s="1"/>
  <c r="AV1202" i="20"/>
  <c r="AL1202" i="20"/>
  <c r="AN1202" i="20" s="1"/>
  <c r="AI1202" i="20"/>
  <c r="AK1202" i="20" s="1"/>
  <c r="AF1202" i="20"/>
  <c r="AE1202" i="20"/>
  <c r="AD1202" i="20"/>
  <c r="AB1202" i="20"/>
  <c r="U1202" i="20"/>
  <c r="M1202" i="20"/>
  <c r="L1202" i="20"/>
  <c r="S1202" i="20" s="1"/>
  <c r="K1202" i="20"/>
  <c r="J1202" i="20"/>
  <c r="I1202" i="20"/>
  <c r="H1202" i="20"/>
  <c r="BG1201" i="20"/>
  <c r="AZ1201" i="20"/>
  <c r="AX1201" i="20"/>
  <c r="BE1201" i="20" s="1"/>
  <c r="BF1201" i="20" s="1"/>
  <c r="AV1201" i="20"/>
  <c r="AN1201" i="20"/>
  <c r="AL1201" i="20"/>
  <c r="AM1201" i="20" s="1"/>
  <c r="AI1201" i="20"/>
  <c r="AK1201" i="20" s="1"/>
  <c r="AF1201" i="20"/>
  <c r="AE1201" i="20"/>
  <c r="AD1201" i="20"/>
  <c r="AB1201" i="20"/>
  <c r="U1201" i="20"/>
  <c r="M1201" i="20"/>
  <c r="L1201" i="20"/>
  <c r="S1201" i="20" s="1"/>
  <c r="K1201" i="20"/>
  <c r="AC1201" i="20" s="1"/>
  <c r="J1201" i="20"/>
  <c r="I1201" i="20"/>
  <c r="H1201" i="20"/>
  <c r="BG1200" i="20"/>
  <c r="AZ1200" i="20"/>
  <c r="AX1200" i="20"/>
  <c r="BE1200" i="20" s="1"/>
  <c r="BF1200" i="20" s="1"/>
  <c r="AV1200" i="20"/>
  <c r="AL1200" i="20"/>
  <c r="AM1200" i="20" s="1"/>
  <c r="AI1200" i="20"/>
  <c r="AK1200" i="20" s="1"/>
  <c r="AF1200" i="20"/>
  <c r="AE1200" i="20"/>
  <c r="AD1200" i="20"/>
  <c r="AB1200" i="20"/>
  <c r="U1200" i="20"/>
  <c r="M1200" i="20"/>
  <c r="L1200" i="20"/>
  <c r="S1200" i="20" s="1"/>
  <c r="K1200" i="20"/>
  <c r="AC1200" i="20" s="1"/>
  <c r="J1200" i="20"/>
  <c r="I1200" i="20"/>
  <c r="H1200" i="20"/>
  <c r="BG1199" i="20"/>
  <c r="AZ1199" i="20"/>
  <c r="AX1199" i="20"/>
  <c r="BE1199" i="20" s="1"/>
  <c r="BF1199" i="20" s="1"/>
  <c r="AV1199" i="20"/>
  <c r="AL1199" i="20"/>
  <c r="AN1199" i="20" s="1"/>
  <c r="AI1199" i="20"/>
  <c r="AK1199" i="20" s="1"/>
  <c r="AF1199" i="20"/>
  <c r="AE1199" i="20"/>
  <c r="AD1199" i="20"/>
  <c r="AB1199" i="20"/>
  <c r="U1199" i="20"/>
  <c r="M1199" i="20"/>
  <c r="L1199" i="20"/>
  <c r="S1199" i="20" s="1"/>
  <c r="K1199" i="20"/>
  <c r="AC1199" i="20" s="1"/>
  <c r="J1199" i="20"/>
  <c r="I1199" i="20"/>
  <c r="H1199" i="20"/>
  <c r="AZ1198" i="20"/>
  <c r="AX1198" i="20"/>
  <c r="BD1198" i="20" s="1"/>
  <c r="BG1198" i="20" s="1"/>
  <c r="AV1198" i="20"/>
  <c r="AL1198" i="20"/>
  <c r="AN1198" i="20" s="1"/>
  <c r="AI1198" i="20"/>
  <c r="AK1198" i="20" s="1"/>
  <c r="AF1198" i="20"/>
  <c r="AE1198" i="20"/>
  <c r="AD1198" i="20"/>
  <c r="AB1198" i="20"/>
  <c r="U1198" i="20"/>
  <c r="S1198" i="20"/>
  <c r="T1198" i="20" s="1"/>
  <c r="M1198" i="20"/>
  <c r="L1198" i="20"/>
  <c r="Q1198" i="20" s="1"/>
  <c r="V1198" i="20" s="1"/>
  <c r="K1198" i="20"/>
  <c r="BB1198" i="20" s="1"/>
  <c r="J1198" i="20"/>
  <c r="I1198" i="20"/>
  <c r="H1198" i="20"/>
  <c r="AZ1197" i="20"/>
  <c r="AX1197" i="20"/>
  <c r="BD1197" i="20" s="1"/>
  <c r="AV1197" i="20"/>
  <c r="AL1197" i="20"/>
  <c r="AI1197" i="20"/>
  <c r="AF1197" i="20"/>
  <c r="AE1197" i="20"/>
  <c r="AD1197" i="20"/>
  <c r="AB1197" i="20"/>
  <c r="U1197" i="20"/>
  <c r="M1197" i="20"/>
  <c r="L1197" i="20"/>
  <c r="S1197" i="20" s="1"/>
  <c r="K1197" i="20"/>
  <c r="BB1197" i="20" s="1"/>
  <c r="J1197" i="20"/>
  <c r="I1197" i="20"/>
  <c r="H1197" i="20"/>
  <c r="AZ1196" i="20"/>
  <c r="AX1196" i="20"/>
  <c r="BD1196" i="20" s="1"/>
  <c r="AV1196" i="20"/>
  <c r="AL1196" i="20"/>
  <c r="AM1196" i="20" s="1"/>
  <c r="AI1196" i="20"/>
  <c r="AJ1196" i="20" s="1"/>
  <c r="AF1196" i="20"/>
  <c r="AE1196" i="20"/>
  <c r="AD1196" i="20"/>
  <c r="AB1196" i="20"/>
  <c r="U1196" i="20"/>
  <c r="M1196" i="20"/>
  <c r="L1196" i="20"/>
  <c r="S1196" i="20" s="1"/>
  <c r="K1196" i="20"/>
  <c r="BC1196" i="20" s="1"/>
  <c r="J1196" i="20"/>
  <c r="I1196" i="20"/>
  <c r="H1196" i="20"/>
  <c r="BG1195" i="20"/>
  <c r="BE1195" i="20"/>
  <c r="BF1195" i="20" s="1"/>
  <c r="AX1195" i="20"/>
  <c r="AV1195" i="20"/>
  <c r="AF1195" i="20"/>
  <c r="AE1195" i="20"/>
  <c r="AD1195" i="20"/>
  <c r="AB1195" i="20"/>
  <c r="U1195" i="20"/>
  <c r="M1195" i="20"/>
  <c r="L1195" i="20"/>
  <c r="K1195" i="20"/>
  <c r="AC1195" i="20" s="1"/>
  <c r="J1195" i="20"/>
  <c r="I1195" i="20"/>
  <c r="H1195" i="20"/>
  <c r="BG1194" i="20"/>
  <c r="AX1194" i="20"/>
  <c r="BE1194" i="20" s="1"/>
  <c r="BF1194" i="20" s="1"/>
  <c r="AV1194" i="20"/>
  <c r="AF1194" i="20"/>
  <c r="AE1194" i="20"/>
  <c r="AD1194" i="20"/>
  <c r="AB1194" i="20"/>
  <c r="U1194" i="20"/>
  <c r="M1194" i="20"/>
  <c r="L1194" i="20"/>
  <c r="S1194" i="20" s="1"/>
  <c r="K1194" i="20"/>
  <c r="AC1194" i="20" s="1"/>
  <c r="J1194" i="20"/>
  <c r="I1194" i="20"/>
  <c r="H1194" i="20"/>
  <c r="BG1193" i="20"/>
  <c r="AX1193" i="20"/>
  <c r="BE1193" i="20" s="1"/>
  <c r="BF1193" i="20" s="1"/>
  <c r="AV1193" i="20"/>
  <c r="AF1193" i="20"/>
  <c r="AE1193" i="20"/>
  <c r="AD1193" i="20"/>
  <c r="AB1193" i="20"/>
  <c r="U1193" i="20"/>
  <c r="M1193" i="20"/>
  <c r="L1193" i="20"/>
  <c r="K1193" i="20"/>
  <c r="J1193" i="20"/>
  <c r="I1193" i="20"/>
  <c r="H1193" i="20"/>
  <c r="BG1192" i="20"/>
  <c r="AX1192" i="20"/>
  <c r="BE1192" i="20" s="1"/>
  <c r="BF1192" i="20" s="1"/>
  <c r="AV1192" i="20"/>
  <c r="AF1192" i="20"/>
  <c r="AE1192" i="20"/>
  <c r="AD1192" i="20"/>
  <c r="AB1192" i="20"/>
  <c r="U1192" i="20"/>
  <c r="M1192" i="20"/>
  <c r="L1192" i="20"/>
  <c r="K1192" i="20"/>
  <c r="AC1192" i="20" s="1"/>
  <c r="J1192" i="20"/>
  <c r="I1192" i="20"/>
  <c r="H1192" i="20"/>
  <c r="BG1191" i="20"/>
  <c r="AX1191" i="20"/>
  <c r="BE1191" i="20" s="1"/>
  <c r="BF1191" i="20" s="1"/>
  <c r="AV1191" i="20"/>
  <c r="AF1191" i="20"/>
  <c r="AE1191" i="20"/>
  <c r="AD1191" i="20"/>
  <c r="AB1191" i="20"/>
  <c r="U1191" i="20"/>
  <c r="S1191" i="20"/>
  <c r="M1191" i="20"/>
  <c r="L1191" i="20"/>
  <c r="Q1191" i="20" s="1"/>
  <c r="K1191" i="20"/>
  <c r="AC1191" i="20" s="1"/>
  <c r="J1191" i="20"/>
  <c r="I1191" i="20"/>
  <c r="H1191" i="20"/>
  <c r="BG1190" i="20"/>
  <c r="AX1190" i="20"/>
  <c r="BE1190" i="20" s="1"/>
  <c r="BF1190" i="20" s="1"/>
  <c r="AV1190" i="20"/>
  <c r="AF1190" i="20"/>
  <c r="AE1190" i="20"/>
  <c r="AD1190" i="20"/>
  <c r="AB1190" i="20"/>
  <c r="U1190" i="20"/>
  <c r="M1190" i="20"/>
  <c r="L1190" i="20"/>
  <c r="Q1190" i="20" s="1"/>
  <c r="V1190" i="20" s="1"/>
  <c r="K1190" i="20"/>
  <c r="AC1190" i="20" s="1"/>
  <c r="J1190" i="20"/>
  <c r="I1190" i="20"/>
  <c r="H1190" i="20"/>
  <c r="BG1189" i="20"/>
  <c r="AX1189" i="20"/>
  <c r="BE1189" i="20" s="1"/>
  <c r="BF1189" i="20" s="1"/>
  <c r="AV1189" i="20"/>
  <c r="AF1189" i="20"/>
  <c r="AE1189" i="20"/>
  <c r="AD1189" i="20"/>
  <c r="AB1189" i="20"/>
  <c r="U1189" i="20"/>
  <c r="M1189" i="20"/>
  <c r="L1189" i="20"/>
  <c r="S1189" i="20" s="1"/>
  <c r="K1189" i="20"/>
  <c r="AC1189" i="20" s="1"/>
  <c r="J1189" i="20"/>
  <c r="I1189" i="20"/>
  <c r="H1189" i="20"/>
  <c r="BG1188" i="20"/>
  <c r="AX1188" i="20"/>
  <c r="BE1188" i="20" s="1"/>
  <c r="BF1188" i="20" s="1"/>
  <c r="AV1188" i="20"/>
  <c r="AF1188" i="20"/>
  <c r="AE1188" i="20"/>
  <c r="AD1188" i="20"/>
  <c r="AB1188" i="20"/>
  <c r="U1188" i="20"/>
  <c r="M1188" i="20"/>
  <c r="L1188" i="20"/>
  <c r="S1188" i="20" s="1"/>
  <c r="K1188" i="20"/>
  <c r="AC1188" i="20" s="1"/>
  <c r="J1188" i="20"/>
  <c r="I1188" i="20"/>
  <c r="H1188" i="20"/>
  <c r="BG1187" i="20"/>
  <c r="AX1187" i="20"/>
  <c r="BE1187" i="20" s="1"/>
  <c r="BF1187" i="20" s="1"/>
  <c r="AV1187" i="20"/>
  <c r="AF1187" i="20"/>
  <c r="AE1187" i="20"/>
  <c r="AD1187" i="20"/>
  <c r="AB1187" i="20"/>
  <c r="U1187" i="20"/>
  <c r="S1187" i="20"/>
  <c r="M1187" i="20"/>
  <c r="L1187" i="20"/>
  <c r="Q1187" i="20" s="1"/>
  <c r="V1187" i="20" s="1"/>
  <c r="K1187" i="20"/>
  <c r="AC1187" i="20" s="1"/>
  <c r="J1187" i="20"/>
  <c r="I1187" i="20"/>
  <c r="H1187" i="20"/>
  <c r="BG1186" i="20"/>
  <c r="AX1186" i="20"/>
  <c r="BE1186" i="20" s="1"/>
  <c r="BF1186" i="20" s="1"/>
  <c r="AV1186" i="20"/>
  <c r="AF1186" i="20"/>
  <c r="AE1186" i="20"/>
  <c r="AD1186" i="20"/>
  <c r="AC1186" i="20"/>
  <c r="AB1186" i="20"/>
  <c r="U1186" i="20"/>
  <c r="M1186" i="20"/>
  <c r="L1186" i="20"/>
  <c r="K1186" i="20"/>
  <c r="J1186" i="20"/>
  <c r="I1186" i="20"/>
  <c r="H1186" i="20"/>
  <c r="BD1185" i="20"/>
  <c r="AX1185" i="20"/>
  <c r="AV1185" i="20"/>
  <c r="AL1185" i="20"/>
  <c r="AN1185" i="20" s="1"/>
  <c r="AI1185" i="20"/>
  <c r="AK1185" i="20" s="1"/>
  <c r="AF1185" i="20"/>
  <c r="AE1185" i="20"/>
  <c r="AD1185" i="20"/>
  <c r="AB1185" i="20"/>
  <c r="U1185" i="20"/>
  <c r="M1185" i="20"/>
  <c r="L1185" i="20"/>
  <c r="S1185" i="20" s="1"/>
  <c r="K1185" i="20"/>
  <c r="AC1185" i="20" s="1"/>
  <c r="J1185" i="20"/>
  <c r="I1185" i="20"/>
  <c r="H1185" i="20"/>
  <c r="BD1184" i="20"/>
  <c r="AX1184" i="20"/>
  <c r="AV1184" i="20"/>
  <c r="AL1184" i="20"/>
  <c r="AN1184" i="20" s="1"/>
  <c r="AI1184" i="20"/>
  <c r="AK1184" i="20" s="1"/>
  <c r="AF1184" i="20"/>
  <c r="AE1184" i="20"/>
  <c r="AD1184" i="20"/>
  <c r="AB1184" i="20"/>
  <c r="U1184" i="20"/>
  <c r="M1184" i="20"/>
  <c r="L1184" i="20"/>
  <c r="K1184" i="20"/>
  <c r="AC1184" i="20" s="1"/>
  <c r="J1184" i="20"/>
  <c r="I1184" i="20"/>
  <c r="H1184" i="20"/>
  <c r="BG1183" i="20"/>
  <c r="BD1183" i="20" s="1"/>
  <c r="AX1183" i="20"/>
  <c r="AV1183" i="20"/>
  <c r="AN1183" i="20"/>
  <c r="AL1183" i="20"/>
  <c r="AI1183" i="20"/>
  <c r="AK1183" i="20" s="1"/>
  <c r="AF1183" i="20"/>
  <c r="AE1183" i="20"/>
  <c r="AD1183" i="20"/>
  <c r="AB1183" i="20"/>
  <c r="U1183" i="20"/>
  <c r="M1183" i="20"/>
  <c r="L1183" i="20"/>
  <c r="Q1183" i="20" s="1"/>
  <c r="K1183" i="20"/>
  <c r="AC1183" i="20" s="1"/>
  <c r="J1183" i="20"/>
  <c r="I1183" i="20"/>
  <c r="H1183" i="20"/>
  <c r="BD1182" i="20"/>
  <c r="BE1182" i="20" s="1"/>
  <c r="BF1182" i="20" s="1"/>
  <c r="AX1182" i="20"/>
  <c r="AV1182" i="20"/>
  <c r="AL1182" i="20"/>
  <c r="AN1182" i="20" s="1"/>
  <c r="AI1182" i="20"/>
  <c r="AK1182" i="20" s="1"/>
  <c r="AF1182" i="20"/>
  <c r="AE1182" i="20"/>
  <c r="AD1182" i="20"/>
  <c r="AB1182" i="20"/>
  <c r="U1182" i="20"/>
  <c r="M1182" i="20"/>
  <c r="L1182" i="20"/>
  <c r="Q1182" i="20" s="1"/>
  <c r="K1182" i="20"/>
  <c r="J1182" i="20"/>
  <c r="I1182" i="20"/>
  <c r="H1182" i="20"/>
  <c r="BG1181" i="20"/>
  <c r="BD1181" i="20" s="1"/>
  <c r="BE1181" i="20" s="1"/>
  <c r="BF1181" i="20" s="1"/>
  <c r="AX1181" i="20"/>
  <c r="AV1181" i="20"/>
  <c r="AL1181" i="20"/>
  <c r="AN1181" i="20" s="1"/>
  <c r="AI1181" i="20"/>
  <c r="AK1181" i="20" s="1"/>
  <c r="AF1181" i="20"/>
  <c r="AE1181" i="20"/>
  <c r="AD1181" i="20"/>
  <c r="AB1181" i="20"/>
  <c r="U1181" i="20"/>
  <c r="M1181" i="20"/>
  <c r="L1181" i="20"/>
  <c r="Q1181" i="20" s="1"/>
  <c r="K1181" i="20"/>
  <c r="AC1181" i="20" s="1"/>
  <c r="J1181" i="20"/>
  <c r="I1181" i="20"/>
  <c r="H1181" i="20"/>
  <c r="BG1180" i="20"/>
  <c r="BD1180" i="20"/>
  <c r="BE1180" i="20" s="1"/>
  <c r="BF1180" i="20" s="1"/>
  <c r="AX1180" i="20"/>
  <c r="AV1180" i="20"/>
  <c r="AL1180" i="20"/>
  <c r="AN1180" i="20" s="1"/>
  <c r="AI1180" i="20"/>
  <c r="AK1180" i="20" s="1"/>
  <c r="AF1180" i="20"/>
  <c r="AE1180" i="20"/>
  <c r="AD1180" i="20"/>
  <c r="AB1180" i="20"/>
  <c r="U1180" i="20"/>
  <c r="M1180" i="20"/>
  <c r="L1180" i="20"/>
  <c r="K1180" i="20"/>
  <c r="J1180" i="20"/>
  <c r="I1180" i="20"/>
  <c r="H1180" i="20"/>
  <c r="BD1179" i="20"/>
  <c r="AX1179" i="20"/>
  <c r="AV1179" i="20"/>
  <c r="AL1179" i="20"/>
  <c r="AN1179" i="20" s="1"/>
  <c r="AI1179" i="20"/>
  <c r="AK1179" i="20" s="1"/>
  <c r="AF1179" i="20"/>
  <c r="AE1179" i="20"/>
  <c r="AD1179" i="20"/>
  <c r="AB1179" i="20"/>
  <c r="U1179" i="20"/>
  <c r="M1179" i="20"/>
  <c r="L1179" i="20"/>
  <c r="K1179" i="20"/>
  <c r="AC1179" i="20" s="1"/>
  <c r="J1179" i="20"/>
  <c r="I1179" i="20"/>
  <c r="H1179" i="20"/>
  <c r="BD1178" i="20"/>
  <c r="AX1178" i="20"/>
  <c r="AV1178" i="20"/>
  <c r="AL1178" i="20"/>
  <c r="AN1178" i="20" s="1"/>
  <c r="AI1178" i="20"/>
  <c r="AK1178" i="20" s="1"/>
  <c r="AF1178" i="20"/>
  <c r="AE1178" i="20"/>
  <c r="AD1178" i="20"/>
  <c r="AB1178" i="20"/>
  <c r="U1178" i="20"/>
  <c r="M1178" i="20"/>
  <c r="L1178" i="20"/>
  <c r="S1178" i="20" s="1"/>
  <c r="K1178" i="20"/>
  <c r="AC1178" i="20" s="1"/>
  <c r="J1178" i="20"/>
  <c r="I1178" i="20"/>
  <c r="H1178" i="20"/>
  <c r="BG1177" i="20"/>
  <c r="BD1177" i="20" s="1"/>
  <c r="AX1177" i="20"/>
  <c r="AV1177" i="20"/>
  <c r="AL1177" i="20"/>
  <c r="AN1177" i="20" s="1"/>
  <c r="AI1177" i="20"/>
  <c r="AK1177" i="20" s="1"/>
  <c r="AF1177" i="20"/>
  <c r="AE1177" i="20"/>
  <c r="AD1177" i="20"/>
  <c r="AB1177" i="20"/>
  <c r="U1177" i="20"/>
  <c r="M1177" i="20"/>
  <c r="L1177" i="20"/>
  <c r="K1177" i="20"/>
  <c r="AC1177" i="20" s="1"/>
  <c r="J1177" i="20"/>
  <c r="I1177" i="20"/>
  <c r="H1177" i="20"/>
  <c r="AZ1176" i="20"/>
  <c r="AX1176" i="20"/>
  <c r="BD1176" i="20" s="1"/>
  <c r="AV1176" i="20"/>
  <c r="AN1176" i="20"/>
  <c r="AM1176" i="20"/>
  <c r="AL1176" i="20"/>
  <c r="AJ1176" i="20"/>
  <c r="AI1176" i="20"/>
  <c r="AK1176" i="20" s="1"/>
  <c r="AF1176" i="20"/>
  <c r="AE1176" i="20"/>
  <c r="AD1176" i="20"/>
  <c r="AB1176" i="20"/>
  <c r="U1176" i="20"/>
  <c r="M1176" i="20"/>
  <c r="L1176" i="20"/>
  <c r="S1176" i="20" s="1"/>
  <c r="K1176" i="20"/>
  <c r="J1176" i="20"/>
  <c r="I1176" i="20"/>
  <c r="H1176" i="20"/>
  <c r="AZ1175" i="20"/>
  <c r="AX1175" i="20"/>
  <c r="BD1175" i="20" s="1"/>
  <c r="AV1175" i="20"/>
  <c r="AL1175" i="20"/>
  <c r="AI1175" i="20"/>
  <c r="AK1175" i="20" s="1"/>
  <c r="AF1175" i="20"/>
  <c r="AE1175" i="20"/>
  <c r="AD1175" i="20"/>
  <c r="AB1175" i="20"/>
  <c r="U1175" i="20"/>
  <c r="M1175" i="20"/>
  <c r="L1175" i="20"/>
  <c r="S1175" i="20" s="1"/>
  <c r="K1175" i="20"/>
  <c r="J1175" i="20"/>
  <c r="I1175" i="20"/>
  <c r="H1175" i="20"/>
  <c r="AZ1174" i="20"/>
  <c r="AX1174" i="20"/>
  <c r="BD1174" i="20" s="1"/>
  <c r="BG1174" i="20" s="1"/>
  <c r="AV1174" i="20"/>
  <c r="AL1174" i="20"/>
  <c r="AM1174" i="20" s="1"/>
  <c r="AI1174" i="20"/>
  <c r="AF1174" i="20"/>
  <c r="AE1174" i="20"/>
  <c r="AD1174" i="20"/>
  <c r="AB1174" i="20"/>
  <c r="U1174" i="20"/>
  <c r="M1174" i="20"/>
  <c r="L1174" i="20"/>
  <c r="Q1174" i="20" s="1"/>
  <c r="V1174" i="20" s="1"/>
  <c r="K1174" i="20"/>
  <c r="AC1174" i="20" s="1"/>
  <c r="J1174" i="20"/>
  <c r="I1174" i="20"/>
  <c r="H1174" i="20"/>
  <c r="BD1173" i="20"/>
  <c r="AX1173" i="20"/>
  <c r="AV1173" i="20"/>
  <c r="AF1173" i="20"/>
  <c r="AE1173" i="20"/>
  <c r="AD1173" i="20"/>
  <c r="AB1173" i="20"/>
  <c r="U1173" i="20"/>
  <c r="M1173" i="20"/>
  <c r="L1173" i="20"/>
  <c r="K1173" i="20"/>
  <c r="AC1173" i="20" s="1"/>
  <c r="J1173" i="20"/>
  <c r="I1173" i="20"/>
  <c r="H1173" i="20"/>
  <c r="BD1172" i="20"/>
  <c r="BG1172" i="20" s="1"/>
  <c r="AX1172" i="20"/>
  <c r="AV1172" i="20"/>
  <c r="AF1172" i="20"/>
  <c r="AE1172" i="20"/>
  <c r="AD1172" i="20"/>
  <c r="AB1172" i="20"/>
  <c r="U1172" i="20"/>
  <c r="M1172" i="20"/>
  <c r="L1172" i="20"/>
  <c r="S1172" i="20" s="1"/>
  <c r="K1172" i="20"/>
  <c r="AC1172" i="20" s="1"/>
  <c r="J1172" i="20"/>
  <c r="I1172" i="20"/>
  <c r="H1172" i="20"/>
  <c r="BD1171" i="20"/>
  <c r="BG1171" i="20" s="1"/>
  <c r="AX1171" i="20"/>
  <c r="AV1171" i="20"/>
  <c r="AF1171" i="20"/>
  <c r="AE1171" i="20"/>
  <c r="AD1171" i="20"/>
  <c r="AB1171" i="20"/>
  <c r="U1171" i="20"/>
  <c r="M1171" i="20"/>
  <c r="L1171" i="20"/>
  <c r="S1171" i="20" s="1"/>
  <c r="K1171" i="20"/>
  <c r="AC1171" i="20" s="1"/>
  <c r="J1171" i="20"/>
  <c r="I1171" i="20"/>
  <c r="H1171" i="20"/>
  <c r="BG1170" i="20"/>
  <c r="AX1170" i="20"/>
  <c r="BE1170" i="20" s="1"/>
  <c r="BF1170" i="20" s="1"/>
  <c r="AV1170" i="20"/>
  <c r="AF1170" i="20"/>
  <c r="AE1170" i="20"/>
  <c r="AD1170" i="20"/>
  <c r="AB1170" i="20"/>
  <c r="U1170" i="20"/>
  <c r="M1170" i="20"/>
  <c r="L1170" i="20"/>
  <c r="S1170" i="20" s="1"/>
  <c r="K1170" i="20"/>
  <c r="AC1170" i="20" s="1"/>
  <c r="J1170" i="20"/>
  <c r="I1170" i="20"/>
  <c r="H1170" i="20"/>
  <c r="BG1169" i="20"/>
  <c r="AX1169" i="20"/>
  <c r="BE1169" i="20" s="1"/>
  <c r="BF1169" i="20" s="1"/>
  <c r="AV1169" i="20"/>
  <c r="AF1169" i="20"/>
  <c r="AE1169" i="20"/>
  <c r="AD1169" i="20"/>
  <c r="AB1169" i="20"/>
  <c r="U1169" i="20"/>
  <c r="M1169" i="20"/>
  <c r="L1169" i="20"/>
  <c r="S1169" i="20" s="1"/>
  <c r="K1169" i="20"/>
  <c r="AC1169" i="20" s="1"/>
  <c r="J1169" i="20"/>
  <c r="I1169" i="20"/>
  <c r="H1169" i="20"/>
  <c r="BG1168" i="20"/>
  <c r="AX1168" i="20"/>
  <c r="BE1168" i="20" s="1"/>
  <c r="BF1168" i="20" s="1"/>
  <c r="AV1168" i="20"/>
  <c r="AF1168" i="20"/>
  <c r="AE1168" i="20"/>
  <c r="AD1168" i="20"/>
  <c r="AB1168" i="20"/>
  <c r="U1168" i="20"/>
  <c r="M1168" i="20"/>
  <c r="L1168" i="20"/>
  <c r="S1168" i="20" s="1"/>
  <c r="K1168" i="20"/>
  <c r="J1168" i="20"/>
  <c r="I1168" i="20"/>
  <c r="H1168" i="20"/>
  <c r="BG1167" i="20"/>
  <c r="AX1167" i="20"/>
  <c r="BE1167" i="20" s="1"/>
  <c r="BF1167" i="20" s="1"/>
  <c r="AV1167" i="20"/>
  <c r="AF1167" i="20"/>
  <c r="AE1167" i="20"/>
  <c r="AD1167" i="20"/>
  <c r="AB1167" i="20"/>
  <c r="U1167" i="20"/>
  <c r="M1167" i="20"/>
  <c r="L1167" i="20"/>
  <c r="K1167" i="20"/>
  <c r="AC1167" i="20" s="1"/>
  <c r="J1167" i="20"/>
  <c r="I1167" i="20"/>
  <c r="H1167" i="20"/>
  <c r="BG1166" i="20"/>
  <c r="AX1166" i="20"/>
  <c r="BE1166" i="20" s="1"/>
  <c r="BF1166" i="20" s="1"/>
  <c r="AV1166" i="20"/>
  <c r="AF1166" i="20"/>
  <c r="AE1166" i="20"/>
  <c r="AD1166" i="20"/>
  <c r="AB1166" i="20"/>
  <c r="U1166" i="20"/>
  <c r="M1166" i="20"/>
  <c r="L1166" i="20"/>
  <c r="S1166" i="20" s="1"/>
  <c r="K1166" i="20"/>
  <c r="AC1166" i="20" s="1"/>
  <c r="J1166" i="20"/>
  <c r="I1166" i="20"/>
  <c r="H1166" i="20"/>
  <c r="BG1165" i="20"/>
  <c r="AX1165" i="20"/>
  <c r="BE1165" i="20" s="1"/>
  <c r="BF1165" i="20" s="1"/>
  <c r="AV1165" i="20"/>
  <c r="AF1165" i="20"/>
  <c r="AE1165" i="20"/>
  <c r="AD1165" i="20"/>
  <c r="AB1165" i="20"/>
  <c r="U1165" i="20"/>
  <c r="M1165" i="20"/>
  <c r="L1165" i="20"/>
  <c r="S1165" i="20" s="1"/>
  <c r="K1165" i="20"/>
  <c r="AC1165" i="20" s="1"/>
  <c r="J1165" i="20"/>
  <c r="I1165" i="20"/>
  <c r="H1165" i="20"/>
  <c r="BG1164" i="20"/>
  <c r="AX1164" i="20"/>
  <c r="BE1164" i="20" s="1"/>
  <c r="BF1164" i="20" s="1"/>
  <c r="AV1164" i="20"/>
  <c r="AF1164" i="20"/>
  <c r="AE1164" i="20"/>
  <c r="AD1164" i="20"/>
  <c r="AB1164" i="20"/>
  <c r="U1164" i="20"/>
  <c r="M1164" i="20"/>
  <c r="L1164" i="20"/>
  <c r="Q1164" i="20" s="1"/>
  <c r="V1164" i="20" s="1"/>
  <c r="K1164" i="20"/>
  <c r="J1164" i="20"/>
  <c r="I1164" i="20"/>
  <c r="H1164" i="20"/>
  <c r="BG1163" i="20"/>
  <c r="AX1163" i="20"/>
  <c r="BE1163" i="20" s="1"/>
  <c r="BF1163" i="20" s="1"/>
  <c r="AV1163" i="20"/>
  <c r="AF1163" i="20"/>
  <c r="AE1163" i="20"/>
  <c r="AD1163" i="20"/>
  <c r="AB1163" i="20"/>
  <c r="U1163" i="20"/>
  <c r="M1163" i="20"/>
  <c r="L1163" i="20"/>
  <c r="S1163" i="20" s="1"/>
  <c r="K1163" i="20"/>
  <c r="AC1163" i="20" s="1"/>
  <c r="J1163" i="20"/>
  <c r="I1163" i="20"/>
  <c r="H1163" i="20"/>
  <c r="BG1162" i="20"/>
  <c r="AX1162" i="20"/>
  <c r="BE1162" i="20" s="1"/>
  <c r="BF1162" i="20" s="1"/>
  <c r="AV1162" i="20"/>
  <c r="AF1162" i="20"/>
  <c r="AE1162" i="20"/>
  <c r="AD1162" i="20"/>
  <c r="AB1162" i="20"/>
  <c r="U1162" i="20"/>
  <c r="M1162" i="20"/>
  <c r="L1162" i="20"/>
  <c r="S1162" i="20" s="1"/>
  <c r="K1162" i="20"/>
  <c r="AC1162" i="20" s="1"/>
  <c r="J1162" i="20"/>
  <c r="I1162" i="20"/>
  <c r="H1162" i="20"/>
  <c r="BG1161" i="20"/>
  <c r="AX1161" i="20"/>
  <c r="BE1161" i="20" s="1"/>
  <c r="BF1161" i="20" s="1"/>
  <c r="AV1161" i="20"/>
  <c r="AF1161" i="20"/>
  <c r="AE1161" i="20"/>
  <c r="AD1161" i="20"/>
  <c r="AB1161" i="20"/>
  <c r="U1161" i="20"/>
  <c r="M1161" i="20"/>
  <c r="L1161" i="20"/>
  <c r="Q1161" i="20" s="1"/>
  <c r="V1161" i="20" s="1"/>
  <c r="K1161" i="20"/>
  <c r="AC1161" i="20" s="1"/>
  <c r="J1161" i="20"/>
  <c r="I1161" i="20"/>
  <c r="H1161" i="20"/>
  <c r="BG1160" i="20"/>
  <c r="AX1160" i="20"/>
  <c r="BE1160" i="20" s="1"/>
  <c r="BF1160" i="20" s="1"/>
  <c r="AV1160" i="20"/>
  <c r="AF1160" i="20"/>
  <c r="AE1160" i="20"/>
  <c r="AD1160" i="20"/>
  <c r="AB1160" i="20"/>
  <c r="U1160" i="20"/>
  <c r="M1160" i="20"/>
  <c r="L1160" i="20"/>
  <c r="S1160" i="20" s="1"/>
  <c r="K1160" i="20"/>
  <c r="AC1160" i="20" s="1"/>
  <c r="J1160" i="20"/>
  <c r="I1160" i="20"/>
  <c r="H1160" i="20"/>
  <c r="BG1159" i="20"/>
  <c r="AX1159" i="20"/>
  <c r="BE1159" i="20" s="1"/>
  <c r="BF1159" i="20" s="1"/>
  <c r="AV1159" i="20"/>
  <c r="AF1159" i="20"/>
  <c r="AE1159" i="20"/>
  <c r="AD1159" i="20"/>
  <c r="AB1159" i="20"/>
  <c r="U1159" i="20"/>
  <c r="M1159" i="20"/>
  <c r="L1159" i="20"/>
  <c r="Q1159" i="20" s="1"/>
  <c r="V1159" i="20" s="1"/>
  <c r="K1159" i="20"/>
  <c r="AC1159" i="20" s="1"/>
  <c r="J1159" i="20"/>
  <c r="I1159" i="20"/>
  <c r="H1159" i="20"/>
  <c r="BG1158" i="20"/>
  <c r="AX1158" i="20"/>
  <c r="BE1158" i="20" s="1"/>
  <c r="BF1158" i="20" s="1"/>
  <c r="AV1158" i="20"/>
  <c r="AF1158" i="20"/>
  <c r="AE1158" i="20"/>
  <c r="AD1158" i="20"/>
  <c r="AB1158" i="20"/>
  <c r="U1158" i="20"/>
  <c r="M1158" i="20"/>
  <c r="L1158" i="20"/>
  <c r="Q1158" i="20" s="1"/>
  <c r="V1158" i="20" s="1"/>
  <c r="K1158" i="20"/>
  <c r="AC1158" i="20" s="1"/>
  <c r="J1158" i="20"/>
  <c r="I1158" i="20"/>
  <c r="H1158" i="20"/>
  <c r="BG1157" i="20"/>
  <c r="AX1157" i="20"/>
  <c r="BE1157" i="20" s="1"/>
  <c r="BF1157" i="20" s="1"/>
  <c r="AV1157" i="20"/>
  <c r="AF1157" i="20"/>
  <c r="AE1157" i="20"/>
  <c r="AD1157" i="20"/>
  <c r="AB1157" i="20"/>
  <c r="U1157" i="20"/>
  <c r="M1157" i="20"/>
  <c r="L1157" i="20"/>
  <c r="K1157" i="20"/>
  <c r="AC1157" i="20" s="1"/>
  <c r="J1157" i="20"/>
  <c r="I1157" i="20"/>
  <c r="H1157" i="20"/>
  <c r="BG1156" i="20"/>
  <c r="AX1156" i="20"/>
  <c r="BE1156" i="20" s="1"/>
  <c r="BF1156" i="20" s="1"/>
  <c r="AV1156" i="20"/>
  <c r="AF1156" i="20"/>
  <c r="AE1156" i="20"/>
  <c r="AD1156" i="20"/>
  <c r="AB1156" i="20"/>
  <c r="U1156" i="20"/>
  <c r="M1156" i="20"/>
  <c r="L1156" i="20"/>
  <c r="K1156" i="20"/>
  <c r="AC1156" i="20" s="1"/>
  <c r="J1156" i="20"/>
  <c r="I1156" i="20"/>
  <c r="H1156" i="20"/>
  <c r="BG1155" i="20"/>
  <c r="AX1155" i="20"/>
  <c r="BE1155" i="20" s="1"/>
  <c r="BF1155" i="20" s="1"/>
  <c r="AV1155" i="20"/>
  <c r="AF1155" i="20"/>
  <c r="AE1155" i="20"/>
  <c r="AD1155" i="20"/>
  <c r="AB1155" i="20"/>
  <c r="U1155" i="20"/>
  <c r="S1155" i="20"/>
  <c r="M1155" i="20"/>
  <c r="L1155" i="20"/>
  <c r="Q1155" i="20" s="1"/>
  <c r="K1155" i="20"/>
  <c r="J1155" i="20"/>
  <c r="I1155" i="20"/>
  <c r="H1155" i="20"/>
  <c r="BG1154" i="20"/>
  <c r="AX1154" i="20"/>
  <c r="BE1154" i="20" s="1"/>
  <c r="BF1154" i="20" s="1"/>
  <c r="AV1154" i="20"/>
  <c r="AF1154" i="20"/>
  <c r="AE1154" i="20"/>
  <c r="AD1154" i="20"/>
  <c r="AB1154" i="20"/>
  <c r="U1154" i="20"/>
  <c r="M1154" i="20"/>
  <c r="L1154" i="20"/>
  <c r="K1154" i="20"/>
  <c r="AC1154" i="20" s="1"/>
  <c r="J1154" i="20"/>
  <c r="I1154" i="20"/>
  <c r="H1154" i="20"/>
  <c r="BG1153" i="20"/>
  <c r="AX1153" i="20"/>
  <c r="BE1153" i="20" s="1"/>
  <c r="BF1153" i="20" s="1"/>
  <c r="AV1153" i="20"/>
  <c r="AF1153" i="20"/>
  <c r="AE1153" i="20"/>
  <c r="AD1153" i="20"/>
  <c r="AB1153" i="20"/>
  <c r="U1153" i="20"/>
  <c r="M1153" i="20"/>
  <c r="L1153" i="20"/>
  <c r="K1153" i="20"/>
  <c r="AC1153" i="20" s="1"/>
  <c r="J1153" i="20"/>
  <c r="I1153" i="20"/>
  <c r="H1153" i="20"/>
  <c r="BG1152" i="20"/>
  <c r="BE1152" i="20"/>
  <c r="BF1152" i="20" s="1"/>
  <c r="AX1152" i="20"/>
  <c r="AV1152" i="20"/>
  <c r="AF1152" i="20"/>
  <c r="AE1152" i="20"/>
  <c r="AD1152" i="20"/>
  <c r="AB1152" i="20"/>
  <c r="U1152" i="20"/>
  <c r="M1152" i="20"/>
  <c r="L1152" i="20"/>
  <c r="K1152" i="20"/>
  <c r="J1152" i="20"/>
  <c r="I1152" i="20"/>
  <c r="H1152" i="20"/>
  <c r="BG1151" i="20"/>
  <c r="AX1151" i="20"/>
  <c r="BE1151" i="20" s="1"/>
  <c r="BF1151" i="20" s="1"/>
  <c r="AV1151" i="20"/>
  <c r="AF1151" i="20"/>
  <c r="AE1151" i="20"/>
  <c r="AD1151" i="20"/>
  <c r="AB1151" i="20"/>
  <c r="U1151" i="20"/>
  <c r="M1151" i="20"/>
  <c r="L1151" i="20"/>
  <c r="S1151" i="20" s="1"/>
  <c r="K1151" i="20"/>
  <c r="AC1151" i="20" s="1"/>
  <c r="J1151" i="20"/>
  <c r="I1151" i="20"/>
  <c r="H1151" i="20"/>
  <c r="BG1150" i="20"/>
  <c r="AX1150" i="20"/>
  <c r="BE1150" i="20" s="1"/>
  <c r="BF1150" i="20" s="1"/>
  <c r="AV1150" i="20"/>
  <c r="AF1150" i="20"/>
  <c r="AE1150" i="20"/>
  <c r="AD1150" i="20"/>
  <c r="AB1150" i="20"/>
  <c r="U1150" i="20"/>
  <c r="M1150" i="20"/>
  <c r="L1150" i="20"/>
  <c r="S1150" i="20" s="1"/>
  <c r="K1150" i="20"/>
  <c r="AC1150" i="20" s="1"/>
  <c r="J1150" i="20"/>
  <c r="I1150" i="20"/>
  <c r="H1150" i="20"/>
  <c r="BG1149" i="20"/>
  <c r="BE1149" i="20"/>
  <c r="BF1149" i="20" s="1"/>
  <c r="AX1149" i="20"/>
  <c r="AV1149" i="20"/>
  <c r="AF1149" i="20"/>
  <c r="AE1149" i="20"/>
  <c r="AD1149" i="20"/>
  <c r="AB1149" i="20"/>
  <c r="U1149" i="20"/>
  <c r="M1149" i="20"/>
  <c r="L1149" i="20"/>
  <c r="S1149" i="20" s="1"/>
  <c r="K1149" i="20"/>
  <c r="AC1149" i="20" s="1"/>
  <c r="J1149" i="20"/>
  <c r="I1149" i="20"/>
  <c r="H1149" i="20"/>
  <c r="BG1148" i="20"/>
  <c r="AX1148" i="20"/>
  <c r="BE1148" i="20" s="1"/>
  <c r="BF1148" i="20" s="1"/>
  <c r="AV1148" i="20"/>
  <c r="AF1148" i="20"/>
  <c r="AE1148" i="20"/>
  <c r="AD1148" i="20"/>
  <c r="AB1148" i="20"/>
  <c r="U1148" i="20"/>
  <c r="M1148" i="20"/>
  <c r="L1148" i="20"/>
  <c r="K1148" i="20"/>
  <c r="AC1148" i="20" s="1"/>
  <c r="J1148" i="20"/>
  <c r="I1148" i="20"/>
  <c r="H1148" i="20"/>
  <c r="BG1147" i="20"/>
  <c r="AX1147" i="20"/>
  <c r="BE1147" i="20" s="1"/>
  <c r="BF1147" i="20" s="1"/>
  <c r="AV1147" i="20"/>
  <c r="AF1147" i="20"/>
  <c r="AE1147" i="20"/>
  <c r="AD1147" i="20"/>
  <c r="AC1147" i="20"/>
  <c r="AB1147" i="20"/>
  <c r="U1147" i="20"/>
  <c r="M1147" i="20"/>
  <c r="L1147" i="20"/>
  <c r="S1147" i="20" s="1"/>
  <c r="K1147" i="20"/>
  <c r="J1147" i="20"/>
  <c r="I1147" i="20"/>
  <c r="H1147" i="20"/>
  <c r="BG1146" i="20"/>
  <c r="AX1146" i="20"/>
  <c r="BE1146" i="20" s="1"/>
  <c r="BF1146" i="20" s="1"/>
  <c r="AV1146" i="20"/>
  <c r="AF1146" i="20"/>
  <c r="AE1146" i="20"/>
  <c r="AD1146" i="20"/>
  <c r="AB1146" i="20"/>
  <c r="U1146" i="20"/>
  <c r="M1146" i="20"/>
  <c r="L1146" i="20"/>
  <c r="Q1146" i="20" s="1"/>
  <c r="V1146" i="20" s="1"/>
  <c r="K1146" i="20"/>
  <c r="AC1146" i="20" s="1"/>
  <c r="J1146" i="20"/>
  <c r="I1146" i="20"/>
  <c r="H1146" i="20"/>
  <c r="BG1145" i="20"/>
  <c r="AX1145" i="20"/>
  <c r="BE1145" i="20" s="1"/>
  <c r="BF1145" i="20" s="1"/>
  <c r="AV1145" i="20"/>
  <c r="AF1145" i="20"/>
  <c r="AE1145" i="20"/>
  <c r="AD1145" i="20"/>
  <c r="AB1145" i="20"/>
  <c r="U1145" i="20"/>
  <c r="M1145" i="20"/>
  <c r="L1145" i="20"/>
  <c r="K1145" i="20"/>
  <c r="AC1145" i="20" s="1"/>
  <c r="J1145" i="20"/>
  <c r="I1145" i="20"/>
  <c r="H1145" i="20"/>
  <c r="BG1144" i="20"/>
  <c r="AX1144" i="20"/>
  <c r="BE1144" i="20" s="1"/>
  <c r="BF1144" i="20" s="1"/>
  <c r="AV1144" i="20"/>
  <c r="AF1144" i="20"/>
  <c r="AE1144" i="20"/>
  <c r="AD1144" i="20"/>
  <c r="AB1144" i="20"/>
  <c r="U1144" i="20"/>
  <c r="M1144" i="20"/>
  <c r="L1144" i="20"/>
  <c r="K1144" i="20"/>
  <c r="AC1144" i="20" s="1"/>
  <c r="J1144" i="20"/>
  <c r="I1144" i="20"/>
  <c r="H1144" i="20"/>
  <c r="BG1143" i="20"/>
  <c r="AX1143" i="20"/>
  <c r="BE1143" i="20" s="1"/>
  <c r="BF1143" i="20" s="1"/>
  <c r="AV1143" i="20"/>
  <c r="AF1143" i="20"/>
  <c r="AE1143" i="20"/>
  <c r="AD1143" i="20"/>
  <c r="AB1143" i="20"/>
  <c r="U1143" i="20"/>
  <c r="M1143" i="20"/>
  <c r="L1143" i="20"/>
  <c r="S1143" i="20" s="1"/>
  <c r="K1143" i="20"/>
  <c r="AC1143" i="20" s="1"/>
  <c r="J1143" i="20"/>
  <c r="I1143" i="20"/>
  <c r="H1143" i="20"/>
  <c r="BG1142" i="20"/>
  <c r="AX1142" i="20"/>
  <c r="BE1142" i="20" s="1"/>
  <c r="BF1142" i="20" s="1"/>
  <c r="AV1142" i="20"/>
  <c r="AF1142" i="20"/>
  <c r="AE1142" i="20"/>
  <c r="AD1142" i="20"/>
  <c r="AB1142" i="20"/>
  <c r="U1142" i="20"/>
  <c r="M1142" i="20"/>
  <c r="L1142" i="20"/>
  <c r="K1142" i="20"/>
  <c r="AC1142" i="20" s="1"/>
  <c r="J1142" i="20"/>
  <c r="I1142" i="20"/>
  <c r="H1142" i="20"/>
  <c r="BG1141" i="20"/>
  <c r="AX1141" i="20"/>
  <c r="BE1141" i="20" s="1"/>
  <c r="BF1141" i="20" s="1"/>
  <c r="AV1141" i="20"/>
  <c r="AF1141" i="20"/>
  <c r="AE1141" i="20"/>
  <c r="AD1141" i="20"/>
  <c r="AB1141" i="20"/>
  <c r="U1141" i="20"/>
  <c r="M1141" i="20"/>
  <c r="L1141" i="20"/>
  <c r="K1141" i="20"/>
  <c r="AC1141" i="20" s="1"/>
  <c r="J1141" i="20"/>
  <c r="I1141" i="20"/>
  <c r="H1141" i="20"/>
  <c r="BG1140" i="20"/>
  <c r="BF1140" i="20"/>
  <c r="AZ1140" i="20"/>
  <c r="AX1140" i="20"/>
  <c r="BE1140" i="20" s="1"/>
  <c r="AV1140" i="20"/>
  <c r="AN1140" i="20"/>
  <c r="AM1140" i="20"/>
  <c r="AK1140" i="20"/>
  <c r="AJ1140" i="20"/>
  <c r="AF1140" i="20"/>
  <c r="AE1140" i="20"/>
  <c r="AD1140" i="20"/>
  <c r="AB1140" i="20"/>
  <c r="U1140" i="20"/>
  <c r="M1140" i="20"/>
  <c r="L1140" i="20"/>
  <c r="S1140" i="20" s="1"/>
  <c r="K1140" i="20"/>
  <c r="AC1140" i="20" s="1"/>
  <c r="J1140" i="20"/>
  <c r="I1140" i="20"/>
  <c r="H1140" i="20"/>
  <c r="BG1139" i="20"/>
  <c r="AZ1139" i="20"/>
  <c r="AX1139" i="20"/>
  <c r="BE1139" i="20" s="1"/>
  <c r="BF1139" i="20" s="1"/>
  <c r="AV1139" i="20"/>
  <c r="AN1139" i="20"/>
  <c r="AM1139" i="20"/>
  <c r="AK1139" i="20"/>
  <c r="AJ1139" i="20"/>
  <c r="AF1139" i="20"/>
  <c r="AE1139" i="20"/>
  <c r="AD1139" i="20"/>
  <c r="AB1139" i="20"/>
  <c r="U1139" i="20"/>
  <c r="M1139" i="20"/>
  <c r="L1139" i="20"/>
  <c r="S1139" i="20" s="1"/>
  <c r="K1139" i="20"/>
  <c r="AC1139" i="20" s="1"/>
  <c r="J1139" i="20"/>
  <c r="I1139" i="20"/>
  <c r="H1139" i="20"/>
  <c r="AZ1138" i="20"/>
  <c r="AX1138" i="20"/>
  <c r="BD1138" i="20" s="1"/>
  <c r="BG1138" i="20" s="1"/>
  <c r="AV1138" i="20"/>
  <c r="AM1138" i="20"/>
  <c r="AL1138" i="20"/>
  <c r="AN1138" i="20" s="1"/>
  <c r="AK1138" i="20"/>
  <c r="AI1138" i="20"/>
  <c r="AJ1138" i="20" s="1"/>
  <c r="AF1138" i="20"/>
  <c r="AE1138" i="20"/>
  <c r="AD1138" i="20"/>
  <c r="AB1138" i="20"/>
  <c r="U1138" i="20"/>
  <c r="M1138" i="20"/>
  <c r="L1138" i="20"/>
  <c r="S1138" i="20" s="1"/>
  <c r="K1138" i="20"/>
  <c r="AC1138" i="20" s="1"/>
  <c r="J1138" i="20"/>
  <c r="I1138" i="20"/>
  <c r="H1138" i="20"/>
  <c r="BD1137" i="20"/>
  <c r="AZ1137" i="20"/>
  <c r="AX1137" i="20"/>
  <c r="AV1137" i="20"/>
  <c r="AL1137" i="20"/>
  <c r="AN1137" i="20" s="1"/>
  <c r="AI1137" i="20"/>
  <c r="AK1137" i="20" s="1"/>
  <c r="AF1137" i="20"/>
  <c r="AE1137" i="20"/>
  <c r="AD1137" i="20"/>
  <c r="AB1137" i="20"/>
  <c r="U1137" i="20"/>
  <c r="Q1137" i="20"/>
  <c r="V1137" i="20" s="1"/>
  <c r="M1137" i="20"/>
  <c r="L1137" i="20"/>
  <c r="S1137" i="20" s="1"/>
  <c r="K1137" i="20"/>
  <c r="AC1137" i="20" s="1"/>
  <c r="J1137" i="20"/>
  <c r="I1137" i="20"/>
  <c r="H1137" i="20"/>
  <c r="AZ1136" i="20"/>
  <c r="AX1136" i="20"/>
  <c r="BD1136" i="20" s="1"/>
  <c r="AV1136" i="20"/>
  <c r="AL1136" i="20"/>
  <c r="AJ1136" i="20"/>
  <c r="AI1136" i="20"/>
  <c r="AK1136" i="20" s="1"/>
  <c r="AF1136" i="20"/>
  <c r="AE1136" i="20"/>
  <c r="AD1136" i="20"/>
  <c r="AB1136" i="20"/>
  <c r="U1136" i="20"/>
  <c r="M1136" i="20"/>
  <c r="L1136" i="20"/>
  <c r="S1136" i="20" s="1"/>
  <c r="K1136" i="20"/>
  <c r="AC1136" i="20" s="1"/>
  <c r="J1136" i="20"/>
  <c r="I1136" i="20"/>
  <c r="H1136" i="20"/>
  <c r="BG1135" i="20"/>
  <c r="AZ1135" i="20"/>
  <c r="AX1135" i="20"/>
  <c r="BE1135" i="20" s="1"/>
  <c r="BF1135" i="20" s="1"/>
  <c r="AV1135" i="20"/>
  <c r="AF1135" i="20"/>
  <c r="AE1135" i="20"/>
  <c r="AD1135" i="20"/>
  <c r="AB1135" i="20"/>
  <c r="U1135" i="20"/>
  <c r="M1135" i="20"/>
  <c r="L1135" i="20"/>
  <c r="S1135" i="20" s="1"/>
  <c r="K1135" i="20"/>
  <c r="AC1135" i="20" s="1"/>
  <c r="J1135" i="20"/>
  <c r="I1135" i="20"/>
  <c r="H1135" i="20"/>
  <c r="BG1134" i="20"/>
  <c r="BE1134" i="20"/>
  <c r="BF1134" i="20" s="1"/>
  <c r="AZ1134" i="20"/>
  <c r="AX1134" i="20"/>
  <c r="AV1134" i="20"/>
  <c r="AF1134" i="20"/>
  <c r="AE1134" i="20"/>
  <c r="AD1134" i="20"/>
  <c r="AB1134" i="20"/>
  <c r="U1134" i="20"/>
  <c r="M1134" i="20"/>
  <c r="L1134" i="20"/>
  <c r="S1134" i="20" s="1"/>
  <c r="K1134" i="20"/>
  <c r="BC1134" i="20" s="1"/>
  <c r="J1134" i="20"/>
  <c r="I1134" i="20"/>
  <c r="H1134" i="20"/>
  <c r="BG1133" i="20"/>
  <c r="AZ1133" i="20"/>
  <c r="AX1133" i="20"/>
  <c r="BE1133" i="20" s="1"/>
  <c r="BF1133" i="20" s="1"/>
  <c r="AV1133" i="20"/>
  <c r="AF1133" i="20"/>
  <c r="AE1133" i="20"/>
  <c r="AD1133" i="20"/>
  <c r="AB1133" i="20"/>
  <c r="U1133" i="20"/>
  <c r="M1133" i="20"/>
  <c r="L1133" i="20"/>
  <c r="S1133" i="20" s="1"/>
  <c r="K1133" i="20"/>
  <c r="BC1133" i="20" s="1"/>
  <c r="J1133" i="20"/>
  <c r="I1133" i="20"/>
  <c r="H1133" i="20"/>
  <c r="BG1132" i="20"/>
  <c r="AZ1132" i="20"/>
  <c r="AX1132" i="20"/>
  <c r="BE1132" i="20" s="1"/>
  <c r="BF1132" i="20" s="1"/>
  <c r="AV1132" i="20"/>
  <c r="AF1132" i="20"/>
  <c r="AE1132" i="20"/>
  <c r="AD1132" i="20"/>
  <c r="AB1132" i="20"/>
  <c r="U1132" i="20"/>
  <c r="M1132" i="20"/>
  <c r="L1132" i="20"/>
  <c r="K1132" i="20"/>
  <c r="BC1132" i="20" s="1"/>
  <c r="J1132" i="20"/>
  <c r="I1132" i="20"/>
  <c r="H1132" i="20"/>
  <c r="BG1131" i="20"/>
  <c r="AZ1131" i="20"/>
  <c r="AX1131" i="20"/>
  <c r="BE1131" i="20" s="1"/>
  <c r="BF1131" i="20" s="1"/>
  <c r="AV1131" i="20"/>
  <c r="AF1131" i="20"/>
  <c r="AE1131" i="20"/>
  <c r="AD1131" i="20"/>
  <c r="AB1131" i="20"/>
  <c r="U1131" i="20"/>
  <c r="M1131" i="20"/>
  <c r="L1131" i="20"/>
  <c r="S1131" i="20" s="1"/>
  <c r="K1131" i="20"/>
  <c r="BC1131" i="20" s="1"/>
  <c r="J1131" i="20"/>
  <c r="I1131" i="20"/>
  <c r="H1131" i="20"/>
  <c r="BG1130" i="20"/>
  <c r="BE1130" i="20"/>
  <c r="BF1130" i="20" s="1"/>
  <c r="AZ1130" i="20"/>
  <c r="AX1130" i="20"/>
  <c r="AV1130" i="20"/>
  <c r="AF1130" i="20"/>
  <c r="AE1130" i="20"/>
  <c r="AD1130" i="20"/>
  <c r="AB1130" i="20"/>
  <c r="U1130" i="20"/>
  <c r="M1130" i="20"/>
  <c r="L1130" i="20"/>
  <c r="S1130" i="20" s="1"/>
  <c r="K1130" i="20"/>
  <c r="AC1130" i="20" s="1"/>
  <c r="J1130" i="20"/>
  <c r="I1130" i="20"/>
  <c r="H1130" i="20"/>
  <c r="AZ1129" i="20"/>
  <c r="AX1129" i="20"/>
  <c r="BD1129" i="20" s="1"/>
  <c r="AV1129" i="20"/>
  <c r="AF1129" i="20"/>
  <c r="AE1129" i="20"/>
  <c r="AD1129" i="20"/>
  <c r="AB1129" i="20"/>
  <c r="U1129" i="20"/>
  <c r="M1129" i="20"/>
  <c r="L1129" i="20"/>
  <c r="Q1129" i="20" s="1"/>
  <c r="V1129" i="20" s="1"/>
  <c r="K1129" i="20"/>
  <c r="AC1129" i="20" s="1"/>
  <c r="J1129" i="20"/>
  <c r="I1129" i="20"/>
  <c r="H1129" i="20"/>
  <c r="AZ1128" i="20"/>
  <c r="AX1128" i="20"/>
  <c r="BD1128" i="20" s="1"/>
  <c r="BG1128" i="20" s="1"/>
  <c r="AV1128" i="20"/>
  <c r="AF1128" i="20"/>
  <c r="AE1128" i="20"/>
  <c r="AD1128" i="20"/>
  <c r="AB1128" i="20"/>
  <c r="U1128" i="20"/>
  <c r="M1128" i="20"/>
  <c r="L1128" i="20"/>
  <c r="K1128" i="20"/>
  <c r="AC1128" i="20" s="1"/>
  <c r="J1128" i="20"/>
  <c r="I1128" i="20"/>
  <c r="H1128" i="20"/>
  <c r="AZ1127" i="20"/>
  <c r="AX1127" i="20"/>
  <c r="BD1127" i="20" s="1"/>
  <c r="BE1127" i="20" s="1"/>
  <c r="BF1127" i="20" s="1"/>
  <c r="AV1127" i="20"/>
  <c r="AF1127" i="20"/>
  <c r="AE1127" i="20"/>
  <c r="AD1127" i="20"/>
  <c r="AB1127" i="20"/>
  <c r="U1127" i="20"/>
  <c r="Q1127" i="20"/>
  <c r="V1127" i="20" s="1"/>
  <c r="M1127" i="20"/>
  <c r="L1127" i="20"/>
  <c r="S1127" i="20" s="1"/>
  <c r="K1127" i="20"/>
  <c r="AC1127" i="20" s="1"/>
  <c r="J1127" i="20"/>
  <c r="I1127" i="20"/>
  <c r="H1127" i="20"/>
  <c r="BE1126" i="20"/>
  <c r="BF1126" i="20" s="1"/>
  <c r="AZ1126" i="20"/>
  <c r="AX1126" i="20"/>
  <c r="BD1126" i="20" s="1"/>
  <c r="BG1126" i="20" s="1"/>
  <c r="AV1126" i="20"/>
  <c r="AF1126" i="20"/>
  <c r="AE1126" i="20"/>
  <c r="AD1126" i="20"/>
  <c r="AB1126" i="20"/>
  <c r="U1126" i="20"/>
  <c r="M1126" i="20"/>
  <c r="L1126" i="20"/>
  <c r="K1126" i="20"/>
  <c r="BC1126" i="20" s="1"/>
  <c r="J1126" i="20"/>
  <c r="I1126" i="20"/>
  <c r="H1126" i="20"/>
  <c r="AZ1125" i="20"/>
  <c r="AX1125" i="20"/>
  <c r="BD1125" i="20" s="1"/>
  <c r="AV1125" i="20"/>
  <c r="AF1125" i="20"/>
  <c r="AE1125" i="20"/>
  <c r="AD1125" i="20"/>
  <c r="AB1125" i="20"/>
  <c r="U1125" i="20"/>
  <c r="M1125" i="20"/>
  <c r="L1125" i="20"/>
  <c r="K1125" i="20"/>
  <c r="BC1125" i="20" s="1"/>
  <c r="J1125" i="20"/>
  <c r="I1125" i="20"/>
  <c r="H1125" i="20"/>
  <c r="BG1124" i="20"/>
  <c r="AX1124" i="20"/>
  <c r="BE1124" i="20" s="1"/>
  <c r="BF1124" i="20" s="1"/>
  <c r="AV1124" i="20"/>
  <c r="AF1124" i="20"/>
  <c r="AE1124" i="20"/>
  <c r="AD1124" i="20"/>
  <c r="AB1124" i="20"/>
  <c r="U1124" i="20"/>
  <c r="M1124" i="20"/>
  <c r="L1124" i="20"/>
  <c r="S1124" i="20" s="1"/>
  <c r="K1124" i="20"/>
  <c r="AC1124" i="20" s="1"/>
  <c r="J1124" i="20"/>
  <c r="I1124" i="20"/>
  <c r="H1124" i="20"/>
  <c r="BG1123" i="20"/>
  <c r="AX1123" i="20"/>
  <c r="BE1123" i="20" s="1"/>
  <c r="BF1123" i="20" s="1"/>
  <c r="AV1123" i="20"/>
  <c r="AF1123" i="20"/>
  <c r="AE1123" i="20"/>
  <c r="AD1123" i="20"/>
  <c r="AB1123" i="20"/>
  <c r="U1123" i="20"/>
  <c r="M1123" i="20"/>
  <c r="L1123" i="20"/>
  <c r="Q1123" i="20" s="1"/>
  <c r="V1123" i="20" s="1"/>
  <c r="K1123" i="20"/>
  <c r="J1123" i="20"/>
  <c r="I1123" i="20"/>
  <c r="H1123" i="20"/>
  <c r="BG1122" i="20"/>
  <c r="AX1122" i="20"/>
  <c r="BE1122" i="20" s="1"/>
  <c r="BF1122" i="20" s="1"/>
  <c r="AV1122" i="20"/>
  <c r="AF1122" i="20"/>
  <c r="AE1122" i="20"/>
  <c r="AD1122" i="20"/>
  <c r="AB1122" i="20"/>
  <c r="U1122" i="20"/>
  <c r="M1122" i="20"/>
  <c r="L1122" i="20"/>
  <c r="K1122" i="20"/>
  <c r="J1122" i="20"/>
  <c r="I1122" i="20"/>
  <c r="H1122" i="20"/>
  <c r="BG1121" i="20"/>
  <c r="AX1121" i="20"/>
  <c r="BE1121" i="20" s="1"/>
  <c r="BF1121" i="20" s="1"/>
  <c r="AV1121" i="20"/>
  <c r="AF1121" i="20"/>
  <c r="AE1121" i="20"/>
  <c r="AD1121" i="20"/>
  <c r="AB1121" i="20"/>
  <c r="U1121" i="20"/>
  <c r="M1121" i="20"/>
  <c r="L1121" i="20"/>
  <c r="K1121" i="20"/>
  <c r="J1121" i="20"/>
  <c r="I1121" i="20"/>
  <c r="H1121" i="20"/>
  <c r="BG1120" i="20"/>
  <c r="AX1120" i="20"/>
  <c r="BE1120" i="20" s="1"/>
  <c r="BF1120" i="20" s="1"/>
  <c r="AV1120" i="20"/>
  <c r="AF1120" i="20"/>
  <c r="AE1120" i="20"/>
  <c r="AD1120" i="20"/>
  <c r="AB1120" i="20"/>
  <c r="U1120" i="20"/>
  <c r="M1120" i="20"/>
  <c r="L1120" i="20"/>
  <c r="K1120" i="20"/>
  <c r="AC1120" i="20" s="1"/>
  <c r="J1120" i="20"/>
  <c r="I1120" i="20"/>
  <c r="H1120" i="20"/>
  <c r="BG1119" i="20"/>
  <c r="AX1119" i="20"/>
  <c r="BE1119" i="20" s="1"/>
  <c r="BF1119" i="20" s="1"/>
  <c r="AV1119" i="20"/>
  <c r="AF1119" i="20"/>
  <c r="AE1119" i="20"/>
  <c r="AD1119" i="20"/>
  <c r="AB1119" i="20"/>
  <c r="U1119" i="20"/>
  <c r="M1119" i="20"/>
  <c r="L1119" i="20"/>
  <c r="S1119" i="20" s="1"/>
  <c r="K1119" i="20"/>
  <c r="AC1119" i="20" s="1"/>
  <c r="J1119" i="20"/>
  <c r="I1119" i="20"/>
  <c r="H1119" i="20"/>
  <c r="BG1118" i="20"/>
  <c r="AX1118" i="20"/>
  <c r="BE1118" i="20" s="1"/>
  <c r="BF1118" i="20" s="1"/>
  <c r="AV1118" i="20"/>
  <c r="AF1118" i="20"/>
  <c r="AE1118" i="20"/>
  <c r="AD1118" i="20"/>
  <c r="AB1118" i="20"/>
  <c r="U1118" i="20"/>
  <c r="M1118" i="20"/>
  <c r="L1118" i="20"/>
  <c r="Q1118" i="20" s="1"/>
  <c r="V1118" i="20" s="1"/>
  <c r="K1118" i="20"/>
  <c r="J1118" i="20"/>
  <c r="I1118" i="20"/>
  <c r="H1118" i="20"/>
  <c r="BG1117" i="20"/>
  <c r="AX1117" i="20"/>
  <c r="BE1117" i="20" s="1"/>
  <c r="BF1117" i="20" s="1"/>
  <c r="AV1117" i="20"/>
  <c r="AF1117" i="20"/>
  <c r="AE1117" i="20"/>
  <c r="AD1117" i="20"/>
  <c r="AB1117" i="20"/>
  <c r="U1117" i="20"/>
  <c r="M1117" i="20"/>
  <c r="L1117" i="20"/>
  <c r="K1117" i="20"/>
  <c r="AC1117" i="20" s="1"/>
  <c r="J1117" i="20"/>
  <c r="I1117" i="20"/>
  <c r="H1117" i="20"/>
  <c r="BG1116" i="20"/>
  <c r="AX1116" i="20"/>
  <c r="BE1116" i="20" s="1"/>
  <c r="BF1116" i="20" s="1"/>
  <c r="AV1116" i="20"/>
  <c r="AF1116" i="20"/>
  <c r="AE1116" i="20"/>
  <c r="AD1116" i="20"/>
  <c r="AB1116" i="20"/>
  <c r="U1116" i="20"/>
  <c r="M1116" i="20"/>
  <c r="L1116" i="20"/>
  <c r="K1116" i="20"/>
  <c r="AC1116" i="20" s="1"/>
  <c r="J1116" i="20"/>
  <c r="I1116" i="20"/>
  <c r="H1116" i="20"/>
  <c r="BG1115" i="20"/>
  <c r="BE1115" i="20"/>
  <c r="BF1115" i="20" s="1"/>
  <c r="AX1115" i="20"/>
  <c r="AV1115" i="20"/>
  <c r="AF1115" i="20"/>
  <c r="AE1115" i="20"/>
  <c r="AD1115" i="20"/>
  <c r="AB1115" i="20"/>
  <c r="U1115" i="20"/>
  <c r="M1115" i="20"/>
  <c r="L1115" i="20"/>
  <c r="K1115" i="20"/>
  <c r="AC1115" i="20" s="1"/>
  <c r="J1115" i="20"/>
  <c r="I1115" i="20"/>
  <c r="H1115" i="20"/>
  <c r="BM1114" i="20"/>
  <c r="BN1114" i="20" s="1"/>
  <c r="BO1114" i="20" s="1"/>
  <c r="BD1114" i="20" s="1"/>
  <c r="BL1114" i="20"/>
  <c r="AZ1114" i="20"/>
  <c r="AX1114" i="20"/>
  <c r="AV1114" i="20"/>
  <c r="AF1114" i="20"/>
  <c r="AE1114" i="20"/>
  <c r="AD1114" i="20"/>
  <c r="AB1114" i="20"/>
  <c r="U1114" i="20"/>
  <c r="M1114" i="20"/>
  <c r="L1114" i="20"/>
  <c r="K1114" i="20"/>
  <c r="AC1114" i="20" s="1"/>
  <c r="J1114" i="20"/>
  <c r="I1114" i="20"/>
  <c r="H1114" i="20"/>
  <c r="BG1113" i="20"/>
  <c r="AZ1113" i="20"/>
  <c r="AX1113" i="20"/>
  <c r="BE1113" i="20" s="1"/>
  <c r="BF1113" i="20" s="1"/>
  <c r="AV1113" i="20"/>
  <c r="AN1113" i="20"/>
  <c r="AM1113" i="20"/>
  <c r="AK1113" i="20"/>
  <c r="AJ1113" i="20"/>
  <c r="AF1113" i="20"/>
  <c r="AE1113" i="20"/>
  <c r="AD1113" i="20"/>
  <c r="AB1113" i="20"/>
  <c r="U1113" i="20"/>
  <c r="M1113" i="20"/>
  <c r="L1113" i="20"/>
  <c r="Q1113" i="20" s="1"/>
  <c r="K1113" i="20"/>
  <c r="AC1113" i="20" s="1"/>
  <c r="J1113" i="20"/>
  <c r="I1113" i="20"/>
  <c r="H1113" i="20"/>
  <c r="BG1112" i="20"/>
  <c r="AZ1112" i="20"/>
  <c r="AX1112" i="20"/>
  <c r="BE1112" i="20" s="1"/>
  <c r="BF1112" i="20" s="1"/>
  <c r="AV1112" i="20"/>
  <c r="AN1112" i="20"/>
  <c r="AM1112" i="20"/>
  <c r="AK1112" i="20"/>
  <c r="AJ1112" i="20"/>
  <c r="AF1112" i="20"/>
  <c r="AE1112" i="20"/>
  <c r="AD1112" i="20"/>
  <c r="AB1112" i="20"/>
  <c r="U1112" i="20"/>
  <c r="M1112" i="20"/>
  <c r="L1112" i="20"/>
  <c r="Q1112" i="20" s="1"/>
  <c r="V1112" i="20" s="1"/>
  <c r="K1112" i="20"/>
  <c r="AC1112" i="20" s="1"/>
  <c r="J1112" i="20"/>
  <c r="I1112" i="20"/>
  <c r="H1112" i="20"/>
  <c r="AZ1111" i="20"/>
  <c r="AX1111" i="20"/>
  <c r="BD1111" i="20" s="1"/>
  <c r="BG1111" i="20" s="1"/>
  <c r="AV1111" i="20"/>
  <c r="AL1111" i="20"/>
  <c r="AN1111" i="20" s="1"/>
  <c r="AI1111" i="20"/>
  <c r="AK1111" i="20" s="1"/>
  <c r="AF1111" i="20"/>
  <c r="AE1111" i="20"/>
  <c r="AD1111" i="20"/>
  <c r="AB1111" i="20"/>
  <c r="U1111" i="20"/>
  <c r="M1111" i="20"/>
  <c r="L1111" i="20"/>
  <c r="Q1111" i="20" s="1"/>
  <c r="K1111" i="20"/>
  <c r="AC1111" i="20" s="1"/>
  <c r="J1111" i="20"/>
  <c r="I1111" i="20"/>
  <c r="H1111" i="20"/>
  <c r="AZ1110" i="20"/>
  <c r="AX1110" i="20"/>
  <c r="BD1110" i="20" s="1"/>
  <c r="BG1110" i="20" s="1"/>
  <c r="AV1110" i="20"/>
  <c r="AL1110" i="20"/>
  <c r="AN1110" i="20" s="1"/>
  <c r="AI1110" i="20"/>
  <c r="AK1110" i="20" s="1"/>
  <c r="AF1110" i="20"/>
  <c r="AE1110" i="20"/>
  <c r="AD1110" i="20"/>
  <c r="AB1110" i="20"/>
  <c r="U1110" i="20"/>
  <c r="M1110" i="20"/>
  <c r="L1110" i="20"/>
  <c r="Q1110" i="20" s="1"/>
  <c r="K1110" i="20"/>
  <c r="AC1110" i="20" s="1"/>
  <c r="J1110" i="20"/>
  <c r="I1110" i="20"/>
  <c r="H1110" i="20"/>
  <c r="AZ1109" i="20"/>
  <c r="AX1109" i="20"/>
  <c r="BD1109" i="20" s="1"/>
  <c r="BG1109" i="20" s="1"/>
  <c r="AV1109" i="20"/>
  <c r="AL1109" i="20"/>
  <c r="AM1109" i="20" s="1"/>
  <c r="AI1109" i="20"/>
  <c r="AK1109" i="20" s="1"/>
  <c r="AF1109" i="20"/>
  <c r="AE1109" i="20"/>
  <c r="AD1109" i="20"/>
  <c r="AB1109" i="20"/>
  <c r="U1109" i="20"/>
  <c r="M1109" i="20"/>
  <c r="L1109" i="20"/>
  <c r="Q1109" i="20" s="1"/>
  <c r="K1109" i="20"/>
  <c r="AC1109" i="20" s="1"/>
  <c r="J1109" i="20"/>
  <c r="I1109" i="20"/>
  <c r="H1109" i="20"/>
  <c r="BG1108" i="20"/>
  <c r="BE1108" i="20"/>
  <c r="BF1108" i="20" s="1"/>
  <c r="AZ1108" i="20"/>
  <c r="AX1108" i="20"/>
  <c r="AV1108" i="20"/>
  <c r="AF1108" i="20"/>
  <c r="AE1108" i="20"/>
  <c r="AD1108" i="20"/>
  <c r="AB1108" i="20"/>
  <c r="U1108" i="20"/>
  <c r="S1108" i="20"/>
  <c r="Q1108" i="20"/>
  <c r="M1108" i="20"/>
  <c r="L1108" i="20"/>
  <c r="K1108" i="20"/>
  <c r="BC1108" i="20" s="1"/>
  <c r="J1108" i="20"/>
  <c r="I1108" i="20"/>
  <c r="H1108" i="20"/>
  <c r="BG1107" i="20"/>
  <c r="AZ1107" i="20"/>
  <c r="AX1107" i="20"/>
  <c r="BE1107" i="20" s="1"/>
  <c r="BF1107" i="20" s="1"/>
  <c r="AV1107" i="20"/>
  <c r="AF1107" i="20"/>
  <c r="AE1107" i="20"/>
  <c r="AD1107" i="20"/>
  <c r="AB1107" i="20"/>
  <c r="U1107" i="20"/>
  <c r="M1107" i="20"/>
  <c r="L1107" i="20"/>
  <c r="S1107" i="20" s="1"/>
  <c r="K1107" i="20"/>
  <c r="BC1107" i="20" s="1"/>
  <c r="J1107" i="20"/>
  <c r="I1107" i="20"/>
  <c r="H1107" i="20"/>
  <c r="BG1106" i="20"/>
  <c r="AZ1106" i="20"/>
  <c r="AX1106" i="20"/>
  <c r="BE1106" i="20" s="1"/>
  <c r="BF1106" i="20" s="1"/>
  <c r="AV1106" i="20"/>
  <c r="AF1106" i="20"/>
  <c r="AE1106" i="20"/>
  <c r="AD1106" i="20"/>
  <c r="AB1106" i="20"/>
  <c r="U1106" i="20"/>
  <c r="M1106" i="20"/>
  <c r="L1106" i="20"/>
  <c r="Q1106" i="20" s="1"/>
  <c r="V1106" i="20" s="1"/>
  <c r="K1106" i="20"/>
  <c r="AC1106" i="20" s="1"/>
  <c r="J1106" i="20"/>
  <c r="I1106" i="20"/>
  <c r="H1106" i="20"/>
  <c r="BG1105" i="20"/>
  <c r="AZ1105" i="20"/>
  <c r="AX1105" i="20"/>
  <c r="BE1105" i="20" s="1"/>
  <c r="BF1105" i="20" s="1"/>
  <c r="AV1105" i="20"/>
  <c r="AF1105" i="20"/>
  <c r="AE1105" i="20"/>
  <c r="AD1105" i="20"/>
  <c r="AB1105" i="20"/>
  <c r="U1105" i="20"/>
  <c r="M1105" i="20"/>
  <c r="L1105" i="20"/>
  <c r="K1105" i="20"/>
  <c r="BB1105" i="20" s="1"/>
  <c r="J1105" i="20"/>
  <c r="I1105" i="20"/>
  <c r="H1105" i="20"/>
  <c r="BG1104" i="20"/>
  <c r="AZ1104" i="20"/>
  <c r="AX1104" i="20"/>
  <c r="BE1104" i="20" s="1"/>
  <c r="BF1104" i="20" s="1"/>
  <c r="AV1104" i="20"/>
  <c r="AF1104" i="20"/>
  <c r="AE1104" i="20"/>
  <c r="AD1104" i="20"/>
  <c r="AB1104" i="20"/>
  <c r="U1104" i="20"/>
  <c r="M1104" i="20"/>
  <c r="L1104" i="20"/>
  <c r="S1104" i="20" s="1"/>
  <c r="K1104" i="20"/>
  <c r="J1104" i="20"/>
  <c r="I1104" i="20"/>
  <c r="H1104" i="20"/>
  <c r="BG1103" i="20"/>
  <c r="AZ1103" i="20"/>
  <c r="AX1103" i="20"/>
  <c r="BE1103" i="20" s="1"/>
  <c r="BF1103" i="20" s="1"/>
  <c r="AV1103" i="20"/>
  <c r="AF1103" i="20"/>
  <c r="AE1103" i="20"/>
  <c r="AD1103" i="20"/>
  <c r="AB1103" i="20"/>
  <c r="U1103" i="20"/>
  <c r="M1103" i="20"/>
  <c r="L1103" i="20"/>
  <c r="S1103" i="20" s="1"/>
  <c r="K1103" i="20"/>
  <c r="J1103" i="20"/>
  <c r="I1103" i="20"/>
  <c r="H1103" i="20"/>
  <c r="AZ1102" i="20"/>
  <c r="AX1102" i="20"/>
  <c r="BD1102" i="20" s="1"/>
  <c r="BG1102" i="20" s="1"/>
  <c r="AV1102" i="20"/>
  <c r="AF1102" i="20"/>
  <c r="AE1102" i="20"/>
  <c r="AD1102" i="20"/>
  <c r="AB1102" i="20"/>
  <c r="U1102" i="20"/>
  <c r="M1102" i="20"/>
  <c r="L1102" i="20"/>
  <c r="K1102" i="20"/>
  <c r="AC1102" i="20" s="1"/>
  <c r="J1102" i="20"/>
  <c r="I1102" i="20"/>
  <c r="H1102" i="20"/>
  <c r="AZ1101" i="20"/>
  <c r="AX1101" i="20"/>
  <c r="BD1101" i="20" s="1"/>
  <c r="AV1101" i="20"/>
  <c r="AF1101" i="20"/>
  <c r="AE1101" i="20"/>
  <c r="AD1101" i="20"/>
  <c r="AB1101" i="20"/>
  <c r="U1101" i="20"/>
  <c r="M1101" i="20"/>
  <c r="L1101" i="20"/>
  <c r="S1101" i="20" s="1"/>
  <c r="K1101" i="20"/>
  <c r="AC1101" i="20" s="1"/>
  <c r="J1101" i="20"/>
  <c r="I1101" i="20"/>
  <c r="H1101" i="20"/>
  <c r="AZ1100" i="20"/>
  <c r="AX1100" i="20"/>
  <c r="BD1100" i="20" s="1"/>
  <c r="AV1100" i="20"/>
  <c r="AF1100" i="20"/>
  <c r="AE1100" i="20"/>
  <c r="AD1100" i="20"/>
  <c r="AB1100" i="20"/>
  <c r="U1100" i="20"/>
  <c r="S1100" i="20"/>
  <c r="M1100" i="20"/>
  <c r="L1100" i="20"/>
  <c r="Q1100" i="20" s="1"/>
  <c r="K1100" i="20"/>
  <c r="BB1100" i="20" s="1"/>
  <c r="J1100" i="20"/>
  <c r="I1100" i="20"/>
  <c r="H1100" i="20"/>
  <c r="AZ1099" i="20"/>
  <c r="AX1099" i="20"/>
  <c r="BD1099" i="20" s="1"/>
  <c r="BE1099" i="20" s="1"/>
  <c r="BF1099" i="20" s="1"/>
  <c r="AV1099" i="20"/>
  <c r="AF1099" i="20"/>
  <c r="AE1099" i="20"/>
  <c r="AD1099" i="20"/>
  <c r="AB1099" i="20"/>
  <c r="U1099" i="20"/>
  <c r="M1099" i="20"/>
  <c r="L1099" i="20"/>
  <c r="K1099" i="20"/>
  <c r="BB1099" i="20" s="1"/>
  <c r="J1099" i="20"/>
  <c r="I1099" i="20"/>
  <c r="H1099" i="20"/>
  <c r="BD1098" i="20"/>
  <c r="BE1098" i="20" s="1"/>
  <c r="BF1098" i="20" s="1"/>
  <c r="AZ1098" i="20"/>
  <c r="AX1098" i="20"/>
  <c r="AV1098" i="20"/>
  <c r="AF1098" i="20"/>
  <c r="AE1098" i="20"/>
  <c r="AD1098" i="20"/>
  <c r="AB1098" i="20"/>
  <c r="U1098" i="20"/>
  <c r="M1098" i="20"/>
  <c r="L1098" i="20"/>
  <c r="S1098" i="20" s="1"/>
  <c r="K1098" i="20"/>
  <c r="AC1098" i="20" s="1"/>
  <c r="J1098" i="20"/>
  <c r="I1098" i="20"/>
  <c r="H1098" i="20"/>
  <c r="BG1097" i="20"/>
  <c r="AX1097" i="20"/>
  <c r="BE1097" i="20" s="1"/>
  <c r="BF1097" i="20" s="1"/>
  <c r="AV1097" i="20"/>
  <c r="AF1097" i="20"/>
  <c r="AE1097" i="20"/>
  <c r="AD1097" i="20"/>
  <c r="AB1097" i="20"/>
  <c r="U1097" i="20"/>
  <c r="M1097" i="20"/>
  <c r="L1097" i="20"/>
  <c r="S1097" i="20" s="1"/>
  <c r="K1097" i="20"/>
  <c r="AC1097" i="20" s="1"/>
  <c r="J1097" i="20"/>
  <c r="I1097" i="20"/>
  <c r="H1097" i="20"/>
  <c r="BG1096" i="20"/>
  <c r="AX1096" i="20"/>
  <c r="BE1096" i="20" s="1"/>
  <c r="BF1096" i="20" s="1"/>
  <c r="AV1096" i="20"/>
  <c r="AF1096" i="20"/>
  <c r="AE1096" i="20"/>
  <c r="AD1096" i="20"/>
  <c r="AB1096" i="20"/>
  <c r="U1096" i="20"/>
  <c r="M1096" i="20"/>
  <c r="L1096" i="20"/>
  <c r="K1096" i="20"/>
  <c r="AC1096" i="20" s="1"/>
  <c r="J1096" i="20"/>
  <c r="I1096" i="20"/>
  <c r="H1096" i="20"/>
  <c r="BG1095" i="20"/>
  <c r="AX1095" i="20"/>
  <c r="BE1095" i="20" s="1"/>
  <c r="BF1095" i="20" s="1"/>
  <c r="AV1095" i="20"/>
  <c r="AF1095" i="20"/>
  <c r="AE1095" i="20"/>
  <c r="AD1095" i="20"/>
  <c r="AB1095" i="20"/>
  <c r="U1095" i="20"/>
  <c r="M1095" i="20"/>
  <c r="L1095" i="20"/>
  <c r="S1095" i="20" s="1"/>
  <c r="K1095" i="20"/>
  <c r="AC1095" i="20" s="1"/>
  <c r="J1095" i="20"/>
  <c r="I1095" i="20"/>
  <c r="H1095" i="20"/>
  <c r="BG1094" i="20"/>
  <c r="AX1094" i="20"/>
  <c r="BE1094" i="20" s="1"/>
  <c r="BF1094" i="20" s="1"/>
  <c r="AV1094" i="20"/>
  <c r="AF1094" i="20"/>
  <c r="AE1094" i="20"/>
  <c r="AD1094" i="20"/>
  <c r="AB1094" i="20"/>
  <c r="U1094" i="20"/>
  <c r="M1094" i="20"/>
  <c r="L1094" i="20"/>
  <c r="S1094" i="20" s="1"/>
  <c r="K1094" i="20"/>
  <c r="AC1094" i="20" s="1"/>
  <c r="J1094" i="20"/>
  <c r="I1094" i="20"/>
  <c r="H1094" i="20"/>
  <c r="BG1093" i="20"/>
  <c r="AX1093" i="20"/>
  <c r="BE1093" i="20" s="1"/>
  <c r="BF1093" i="20" s="1"/>
  <c r="AV1093" i="20"/>
  <c r="AF1093" i="20"/>
  <c r="AE1093" i="20"/>
  <c r="AD1093" i="20"/>
  <c r="AB1093" i="20"/>
  <c r="U1093" i="20"/>
  <c r="M1093" i="20"/>
  <c r="L1093" i="20"/>
  <c r="K1093" i="20"/>
  <c r="J1093" i="20"/>
  <c r="I1093" i="20"/>
  <c r="H1093" i="20"/>
  <c r="BG1092" i="20"/>
  <c r="AX1092" i="20"/>
  <c r="BE1092" i="20" s="1"/>
  <c r="BF1092" i="20" s="1"/>
  <c r="AV1092" i="20"/>
  <c r="AF1092" i="20"/>
  <c r="AE1092" i="20"/>
  <c r="AD1092" i="20"/>
  <c r="AB1092" i="20"/>
  <c r="U1092" i="20"/>
  <c r="Q1092" i="20"/>
  <c r="T1092" i="20" s="1"/>
  <c r="M1092" i="20"/>
  <c r="L1092" i="20"/>
  <c r="S1092" i="20" s="1"/>
  <c r="K1092" i="20"/>
  <c r="AC1092" i="20" s="1"/>
  <c r="J1092" i="20"/>
  <c r="I1092" i="20"/>
  <c r="H1092" i="20"/>
  <c r="BG1091" i="20"/>
  <c r="AX1091" i="20"/>
  <c r="BE1091" i="20" s="1"/>
  <c r="BF1091" i="20" s="1"/>
  <c r="AV1091" i="20"/>
  <c r="AF1091" i="20"/>
  <c r="AE1091" i="20"/>
  <c r="AD1091" i="20"/>
  <c r="AB1091" i="20"/>
  <c r="U1091" i="20"/>
  <c r="M1091" i="20"/>
  <c r="L1091" i="20"/>
  <c r="K1091" i="20"/>
  <c r="AC1091" i="20" s="1"/>
  <c r="J1091" i="20"/>
  <c r="I1091" i="20"/>
  <c r="H1091" i="20"/>
  <c r="BG1090" i="20"/>
  <c r="AX1090" i="20"/>
  <c r="BE1090" i="20" s="1"/>
  <c r="BF1090" i="20" s="1"/>
  <c r="AV1090" i="20"/>
  <c r="AF1090" i="20"/>
  <c r="AE1090" i="20"/>
  <c r="AD1090" i="20"/>
  <c r="AB1090" i="20"/>
  <c r="U1090" i="20"/>
  <c r="M1090" i="20"/>
  <c r="L1090" i="20"/>
  <c r="Q1090" i="20" s="1"/>
  <c r="V1090" i="20" s="1"/>
  <c r="K1090" i="20"/>
  <c r="AC1090" i="20" s="1"/>
  <c r="J1090" i="20"/>
  <c r="I1090" i="20"/>
  <c r="H1090" i="20"/>
  <c r="BG1089" i="20"/>
  <c r="AX1089" i="20"/>
  <c r="BE1089" i="20" s="1"/>
  <c r="BF1089" i="20" s="1"/>
  <c r="AV1089" i="20"/>
  <c r="AF1089" i="20"/>
  <c r="AE1089" i="20"/>
  <c r="AD1089" i="20"/>
  <c r="AB1089" i="20"/>
  <c r="U1089" i="20"/>
  <c r="M1089" i="20"/>
  <c r="L1089" i="20"/>
  <c r="S1089" i="20" s="1"/>
  <c r="K1089" i="20"/>
  <c r="AC1089" i="20" s="1"/>
  <c r="J1089" i="20"/>
  <c r="I1089" i="20"/>
  <c r="H1089" i="20"/>
  <c r="BG1088" i="20"/>
  <c r="AX1088" i="20"/>
  <c r="BE1088" i="20" s="1"/>
  <c r="BF1088" i="20" s="1"/>
  <c r="AV1088" i="20"/>
  <c r="AF1088" i="20"/>
  <c r="AE1088" i="20"/>
  <c r="AD1088" i="20"/>
  <c r="AB1088" i="20"/>
  <c r="U1088" i="20"/>
  <c r="M1088" i="20"/>
  <c r="L1088" i="20"/>
  <c r="S1088" i="20" s="1"/>
  <c r="K1088" i="20"/>
  <c r="AC1088" i="20" s="1"/>
  <c r="J1088" i="20"/>
  <c r="I1088" i="20"/>
  <c r="H1088" i="20"/>
  <c r="BG1087" i="20"/>
  <c r="AX1087" i="20"/>
  <c r="BE1087" i="20" s="1"/>
  <c r="BF1087" i="20" s="1"/>
  <c r="AV1087" i="20"/>
  <c r="AF1087" i="20"/>
  <c r="AE1087" i="20"/>
  <c r="AD1087" i="20"/>
  <c r="AB1087" i="20"/>
  <c r="U1087" i="20"/>
  <c r="M1087" i="20"/>
  <c r="L1087" i="20"/>
  <c r="S1087" i="20" s="1"/>
  <c r="K1087" i="20"/>
  <c r="AC1087" i="20" s="1"/>
  <c r="J1087" i="20"/>
  <c r="I1087" i="20"/>
  <c r="H1087" i="20"/>
  <c r="BG1086" i="20"/>
  <c r="AX1086" i="20"/>
  <c r="BE1086" i="20" s="1"/>
  <c r="BF1086" i="20" s="1"/>
  <c r="AV1086" i="20"/>
  <c r="AF1086" i="20"/>
  <c r="AE1086" i="20"/>
  <c r="AD1086" i="20"/>
  <c r="AB1086" i="20"/>
  <c r="U1086" i="20"/>
  <c r="M1086" i="20"/>
  <c r="L1086" i="20"/>
  <c r="K1086" i="20"/>
  <c r="AC1086" i="20" s="1"/>
  <c r="J1086" i="20"/>
  <c r="I1086" i="20"/>
  <c r="H1086" i="20"/>
  <c r="BG1085" i="20"/>
  <c r="AX1085" i="20"/>
  <c r="BE1085" i="20" s="1"/>
  <c r="BF1085" i="20" s="1"/>
  <c r="AV1085" i="20"/>
  <c r="AF1085" i="20"/>
  <c r="AE1085" i="20"/>
  <c r="AD1085" i="20"/>
  <c r="AB1085" i="20"/>
  <c r="U1085" i="20"/>
  <c r="M1085" i="20"/>
  <c r="L1085" i="20"/>
  <c r="Q1085" i="20" s="1"/>
  <c r="V1085" i="20" s="1"/>
  <c r="K1085" i="20"/>
  <c r="AC1085" i="20" s="1"/>
  <c r="J1085" i="20"/>
  <c r="I1085" i="20"/>
  <c r="H1085" i="20"/>
  <c r="BG1084" i="20"/>
  <c r="AX1084" i="20"/>
  <c r="BE1084" i="20" s="1"/>
  <c r="BF1084" i="20" s="1"/>
  <c r="AV1084" i="20"/>
  <c r="AF1084" i="20"/>
  <c r="AE1084" i="20"/>
  <c r="AD1084" i="20"/>
  <c r="AB1084" i="20"/>
  <c r="U1084" i="20"/>
  <c r="M1084" i="20"/>
  <c r="L1084" i="20"/>
  <c r="Q1084" i="20" s="1"/>
  <c r="V1084" i="20" s="1"/>
  <c r="K1084" i="20"/>
  <c r="J1084" i="20"/>
  <c r="I1084" i="20"/>
  <c r="H1084" i="20"/>
  <c r="BG1083" i="20"/>
  <c r="AX1083" i="20"/>
  <c r="BE1083" i="20" s="1"/>
  <c r="BF1083" i="20" s="1"/>
  <c r="AV1083" i="20"/>
  <c r="AF1083" i="20"/>
  <c r="AE1083" i="20"/>
  <c r="AD1083" i="20"/>
  <c r="AB1083" i="20"/>
  <c r="U1083" i="20"/>
  <c r="M1083" i="20"/>
  <c r="L1083" i="20"/>
  <c r="K1083" i="20"/>
  <c r="AC1083" i="20" s="1"/>
  <c r="J1083" i="20"/>
  <c r="I1083" i="20"/>
  <c r="H1083" i="20"/>
  <c r="BG1082" i="20"/>
  <c r="BE1082" i="20"/>
  <c r="BF1082" i="20" s="1"/>
  <c r="AX1082" i="20"/>
  <c r="AV1082" i="20"/>
  <c r="AF1082" i="20"/>
  <c r="AE1082" i="20"/>
  <c r="AD1082" i="20"/>
  <c r="AB1082" i="20"/>
  <c r="U1082" i="20"/>
  <c r="M1082" i="20"/>
  <c r="L1082" i="20"/>
  <c r="S1082" i="20" s="1"/>
  <c r="K1082" i="20"/>
  <c r="AC1082" i="20" s="1"/>
  <c r="J1082" i="20"/>
  <c r="I1082" i="20"/>
  <c r="H1082" i="20"/>
  <c r="BG1081" i="20"/>
  <c r="AX1081" i="20"/>
  <c r="BE1081" i="20" s="1"/>
  <c r="BF1081" i="20" s="1"/>
  <c r="AV1081" i="20"/>
  <c r="AF1081" i="20"/>
  <c r="AE1081" i="20"/>
  <c r="AD1081" i="20"/>
  <c r="AB1081" i="20"/>
  <c r="U1081" i="20"/>
  <c r="M1081" i="20"/>
  <c r="L1081" i="20"/>
  <c r="S1081" i="20" s="1"/>
  <c r="K1081" i="20"/>
  <c r="AC1081" i="20" s="1"/>
  <c r="J1081" i="20"/>
  <c r="I1081" i="20"/>
  <c r="H1081" i="20"/>
  <c r="BG1080" i="20"/>
  <c r="AX1080" i="20"/>
  <c r="BE1080" i="20" s="1"/>
  <c r="BF1080" i="20" s="1"/>
  <c r="AV1080" i="20"/>
  <c r="AF1080" i="20"/>
  <c r="AE1080" i="20"/>
  <c r="AD1080" i="20"/>
  <c r="AB1080" i="20"/>
  <c r="U1080" i="20"/>
  <c r="M1080" i="20"/>
  <c r="L1080" i="20"/>
  <c r="S1080" i="20" s="1"/>
  <c r="K1080" i="20"/>
  <c r="AC1080" i="20" s="1"/>
  <c r="J1080" i="20"/>
  <c r="I1080" i="20"/>
  <c r="H1080" i="20"/>
  <c r="BG1079" i="20"/>
  <c r="AX1079" i="20"/>
  <c r="BE1079" i="20" s="1"/>
  <c r="BF1079" i="20" s="1"/>
  <c r="AV1079" i="20"/>
  <c r="AF1079" i="20"/>
  <c r="AE1079" i="20"/>
  <c r="AD1079" i="20"/>
  <c r="AB1079" i="20"/>
  <c r="U1079" i="20"/>
  <c r="M1079" i="20"/>
  <c r="L1079" i="20"/>
  <c r="S1079" i="20" s="1"/>
  <c r="K1079" i="20"/>
  <c r="AC1079" i="20" s="1"/>
  <c r="J1079" i="20"/>
  <c r="I1079" i="20"/>
  <c r="H1079" i="20"/>
  <c r="BD1078" i="20"/>
  <c r="BG1078" i="20" s="1"/>
  <c r="AZ1078" i="20"/>
  <c r="AX1078" i="20"/>
  <c r="AV1078" i="20"/>
  <c r="AL1078" i="20"/>
  <c r="AK1078" i="20"/>
  <c r="AI1078" i="20"/>
  <c r="AJ1078" i="20" s="1"/>
  <c r="AF1078" i="20"/>
  <c r="AE1078" i="20"/>
  <c r="AD1078" i="20"/>
  <c r="AB1078" i="20"/>
  <c r="U1078" i="20"/>
  <c r="M1078" i="20"/>
  <c r="L1078" i="20"/>
  <c r="K1078" i="20"/>
  <c r="AC1078" i="20" s="1"/>
  <c r="J1078" i="20"/>
  <c r="I1078" i="20"/>
  <c r="H1078" i="20"/>
  <c r="BD1077" i="20"/>
  <c r="BG1077" i="20" s="1"/>
  <c r="AZ1077" i="20"/>
  <c r="AX1077" i="20"/>
  <c r="AV1077" i="20"/>
  <c r="AN1077" i="20"/>
  <c r="AL1077" i="20"/>
  <c r="AM1077" i="20" s="1"/>
  <c r="AI1077" i="20"/>
  <c r="AK1077" i="20" s="1"/>
  <c r="AF1077" i="20"/>
  <c r="AE1077" i="20"/>
  <c r="AD1077" i="20"/>
  <c r="AB1077" i="20"/>
  <c r="U1077" i="20"/>
  <c r="M1077" i="20"/>
  <c r="L1077" i="20"/>
  <c r="Q1077" i="20" s="1"/>
  <c r="V1077" i="20" s="1"/>
  <c r="K1077" i="20"/>
  <c r="J1077" i="20"/>
  <c r="I1077" i="20"/>
  <c r="H1077" i="20"/>
  <c r="BD1076" i="20"/>
  <c r="BE1076" i="20" s="1"/>
  <c r="BF1076" i="20" s="1"/>
  <c r="AZ1076" i="20"/>
  <c r="AX1076" i="20"/>
  <c r="AV1076" i="20"/>
  <c r="AL1076" i="20"/>
  <c r="AN1076" i="20" s="1"/>
  <c r="AI1076" i="20"/>
  <c r="AF1076" i="20"/>
  <c r="AE1076" i="20"/>
  <c r="AD1076" i="20"/>
  <c r="AB1076" i="20"/>
  <c r="U1076" i="20"/>
  <c r="Q1076" i="20"/>
  <c r="V1076" i="20" s="1"/>
  <c r="M1076" i="20"/>
  <c r="L1076" i="20"/>
  <c r="S1076" i="20" s="1"/>
  <c r="K1076" i="20"/>
  <c r="AC1076" i="20" s="1"/>
  <c r="J1076" i="20"/>
  <c r="I1076" i="20"/>
  <c r="H1076" i="20"/>
  <c r="BD1075" i="20"/>
  <c r="BG1075" i="20" s="1"/>
  <c r="AZ1075" i="20"/>
  <c r="AX1075" i="20"/>
  <c r="BE1075" i="20" s="1"/>
  <c r="BF1075" i="20" s="1"/>
  <c r="AV1075" i="20"/>
  <c r="AL1075" i="20"/>
  <c r="AM1075" i="20" s="1"/>
  <c r="AI1075" i="20"/>
  <c r="AJ1075" i="20" s="1"/>
  <c r="AF1075" i="20"/>
  <c r="AE1075" i="20"/>
  <c r="AD1075" i="20"/>
  <c r="AB1075" i="20"/>
  <c r="U1075" i="20"/>
  <c r="M1075" i="20"/>
  <c r="L1075" i="20"/>
  <c r="S1075" i="20" s="1"/>
  <c r="K1075" i="20"/>
  <c r="AC1075" i="20" s="1"/>
  <c r="J1075" i="20"/>
  <c r="I1075" i="20"/>
  <c r="H1075" i="20"/>
  <c r="BD1074" i="20"/>
  <c r="AZ1074" i="20"/>
  <c r="AX1074" i="20"/>
  <c r="AV1074" i="20"/>
  <c r="AL1074" i="20"/>
  <c r="AM1074" i="20" s="1"/>
  <c r="AI1074" i="20"/>
  <c r="AK1074" i="20" s="1"/>
  <c r="AF1074" i="20"/>
  <c r="AE1074" i="20"/>
  <c r="AD1074" i="20"/>
  <c r="AB1074" i="20"/>
  <c r="U1074" i="20"/>
  <c r="M1074" i="20"/>
  <c r="L1074" i="20"/>
  <c r="S1074" i="20" s="1"/>
  <c r="K1074" i="20"/>
  <c r="AC1074" i="20" s="1"/>
  <c r="J1074" i="20"/>
  <c r="I1074" i="20"/>
  <c r="H1074" i="20"/>
  <c r="BG1073" i="20"/>
  <c r="AX1073" i="20"/>
  <c r="BE1073" i="20" s="1"/>
  <c r="BF1073" i="20" s="1"/>
  <c r="AV1073" i="20"/>
  <c r="AF1073" i="20"/>
  <c r="AE1073" i="20"/>
  <c r="AD1073" i="20"/>
  <c r="AB1073" i="20"/>
  <c r="U1073" i="20"/>
  <c r="M1073" i="20"/>
  <c r="L1073" i="20"/>
  <c r="S1073" i="20" s="1"/>
  <c r="K1073" i="20"/>
  <c r="AC1073" i="20" s="1"/>
  <c r="J1073" i="20"/>
  <c r="I1073" i="20"/>
  <c r="H1073" i="20"/>
  <c r="BG1072" i="20"/>
  <c r="AX1072" i="20"/>
  <c r="BE1072" i="20" s="1"/>
  <c r="BF1072" i="20" s="1"/>
  <c r="AV1072" i="20"/>
  <c r="AF1072" i="20"/>
  <c r="AE1072" i="20"/>
  <c r="AD1072" i="20"/>
  <c r="AB1072" i="20"/>
  <c r="U1072" i="20"/>
  <c r="Q1072" i="20"/>
  <c r="M1072" i="20"/>
  <c r="L1072" i="20"/>
  <c r="S1072" i="20" s="1"/>
  <c r="K1072" i="20"/>
  <c r="J1072" i="20"/>
  <c r="I1072" i="20"/>
  <c r="H1072" i="20"/>
  <c r="BG1071" i="20"/>
  <c r="AX1071" i="20"/>
  <c r="BE1071" i="20" s="1"/>
  <c r="BF1071" i="20" s="1"/>
  <c r="AV1071" i="20"/>
  <c r="AF1071" i="20"/>
  <c r="AE1071" i="20"/>
  <c r="AD1071" i="20"/>
  <c r="AB1071" i="20"/>
  <c r="U1071" i="20"/>
  <c r="M1071" i="20"/>
  <c r="L1071" i="20"/>
  <c r="K1071" i="20"/>
  <c r="AC1071" i="20" s="1"/>
  <c r="J1071" i="20"/>
  <c r="I1071" i="20"/>
  <c r="H1071" i="20"/>
  <c r="BG1070" i="20"/>
  <c r="AX1070" i="20"/>
  <c r="BE1070" i="20" s="1"/>
  <c r="BF1070" i="20" s="1"/>
  <c r="AV1070" i="20"/>
  <c r="AF1070" i="20"/>
  <c r="AE1070" i="20"/>
  <c r="AD1070" i="20"/>
  <c r="AB1070" i="20"/>
  <c r="U1070" i="20"/>
  <c r="M1070" i="20"/>
  <c r="L1070" i="20"/>
  <c r="Q1070" i="20" s="1"/>
  <c r="K1070" i="20"/>
  <c r="AC1070" i="20" s="1"/>
  <c r="J1070" i="20"/>
  <c r="I1070" i="20"/>
  <c r="H1070" i="20"/>
  <c r="BG1069" i="20"/>
  <c r="AX1069" i="20"/>
  <c r="BE1069" i="20" s="1"/>
  <c r="BF1069" i="20" s="1"/>
  <c r="AV1069" i="20"/>
  <c r="AF1069" i="20"/>
  <c r="AE1069" i="20"/>
  <c r="AD1069" i="20"/>
  <c r="AB1069" i="20"/>
  <c r="U1069" i="20"/>
  <c r="M1069" i="20"/>
  <c r="L1069" i="20"/>
  <c r="S1069" i="20" s="1"/>
  <c r="K1069" i="20"/>
  <c r="AC1069" i="20" s="1"/>
  <c r="J1069" i="20"/>
  <c r="I1069" i="20"/>
  <c r="H1069" i="20"/>
  <c r="BG1068" i="20"/>
  <c r="AX1068" i="20"/>
  <c r="BE1068" i="20" s="1"/>
  <c r="BF1068" i="20" s="1"/>
  <c r="AV1068" i="20"/>
  <c r="AF1068" i="20"/>
  <c r="AE1068" i="20"/>
  <c r="AD1068" i="20"/>
  <c r="AB1068" i="20"/>
  <c r="U1068" i="20"/>
  <c r="M1068" i="20"/>
  <c r="L1068" i="20"/>
  <c r="S1068" i="20" s="1"/>
  <c r="K1068" i="20"/>
  <c r="AC1068" i="20" s="1"/>
  <c r="J1068" i="20"/>
  <c r="I1068" i="20"/>
  <c r="H1068" i="20"/>
  <c r="BG1067" i="20"/>
  <c r="AX1067" i="20"/>
  <c r="BE1067" i="20" s="1"/>
  <c r="BF1067" i="20" s="1"/>
  <c r="AV1067" i="20"/>
  <c r="AF1067" i="20"/>
  <c r="AE1067" i="20"/>
  <c r="AD1067" i="20"/>
  <c r="AB1067" i="20"/>
  <c r="U1067" i="20"/>
  <c r="M1067" i="20"/>
  <c r="L1067" i="20"/>
  <c r="S1067" i="20" s="1"/>
  <c r="K1067" i="20"/>
  <c r="AC1067" i="20" s="1"/>
  <c r="J1067" i="20"/>
  <c r="I1067" i="20"/>
  <c r="H1067" i="20"/>
  <c r="BG1066" i="20"/>
  <c r="AX1066" i="20"/>
  <c r="BE1066" i="20" s="1"/>
  <c r="BF1066" i="20" s="1"/>
  <c r="AV1066" i="20"/>
  <c r="AF1066" i="20"/>
  <c r="AE1066" i="20"/>
  <c r="AD1066" i="20"/>
  <c r="AB1066" i="20"/>
  <c r="U1066" i="20"/>
  <c r="M1066" i="20"/>
  <c r="L1066" i="20"/>
  <c r="S1066" i="20" s="1"/>
  <c r="K1066" i="20"/>
  <c r="J1066" i="20"/>
  <c r="I1066" i="20"/>
  <c r="H1066" i="20"/>
  <c r="BG1065" i="20"/>
  <c r="AX1065" i="20"/>
  <c r="BE1065" i="20" s="1"/>
  <c r="BF1065" i="20" s="1"/>
  <c r="AV1065" i="20"/>
  <c r="AF1065" i="20"/>
  <c r="AE1065" i="20"/>
  <c r="AD1065" i="20"/>
  <c r="AB1065" i="20"/>
  <c r="U1065" i="20"/>
  <c r="M1065" i="20"/>
  <c r="L1065" i="20"/>
  <c r="K1065" i="20"/>
  <c r="J1065" i="20"/>
  <c r="I1065" i="20"/>
  <c r="H1065" i="20"/>
  <c r="BG1064" i="20"/>
  <c r="AX1064" i="20"/>
  <c r="BE1064" i="20" s="1"/>
  <c r="BF1064" i="20" s="1"/>
  <c r="AV1064" i="20"/>
  <c r="AF1064" i="20"/>
  <c r="AE1064" i="20"/>
  <c r="AD1064" i="20"/>
  <c r="AB1064" i="20"/>
  <c r="U1064" i="20"/>
  <c r="M1064" i="20"/>
  <c r="L1064" i="20"/>
  <c r="S1064" i="20" s="1"/>
  <c r="K1064" i="20"/>
  <c r="AC1064" i="20" s="1"/>
  <c r="J1064" i="20"/>
  <c r="I1064" i="20"/>
  <c r="H1064" i="20"/>
  <c r="BG1063" i="20"/>
  <c r="AX1063" i="20"/>
  <c r="BE1063" i="20" s="1"/>
  <c r="BF1063" i="20" s="1"/>
  <c r="AV1063" i="20"/>
  <c r="AF1063" i="20"/>
  <c r="AE1063" i="20"/>
  <c r="AD1063" i="20"/>
  <c r="AB1063" i="20"/>
  <c r="U1063" i="20"/>
  <c r="M1063" i="20"/>
  <c r="L1063" i="20"/>
  <c r="S1063" i="20" s="1"/>
  <c r="K1063" i="20"/>
  <c r="J1063" i="20"/>
  <c r="I1063" i="20"/>
  <c r="H1063" i="20"/>
  <c r="BG1062" i="20"/>
  <c r="BE1062" i="20"/>
  <c r="BF1062" i="20" s="1"/>
  <c r="AV1062" i="20"/>
  <c r="AF1062" i="20"/>
  <c r="AE1062" i="20"/>
  <c r="AD1062" i="20"/>
  <c r="AB1062" i="20"/>
  <c r="U1062" i="20"/>
  <c r="Q1062" i="20"/>
  <c r="V1062" i="20" s="1"/>
  <c r="M1062" i="20"/>
  <c r="L1062" i="20"/>
  <c r="S1062" i="20" s="1"/>
  <c r="K1062" i="20"/>
  <c r="AC1062" i="20" s="1"/>
  <c r="J1062" i="20"/>
  <c r="I1062" i="20"/>
  <c r="H1062" i="20"/>
  <c r="BG1061" i="20"/>
  <c r="BF1061" i="20"/>
  <c r="BE1061" i="20"/>
  <c r="AV1061" i="20"/>
  <c r="AF1061" i="20"/>
  <c r="AE1061" i="20"/>
  <c r="AD1061" i="20"/>
  <c r="AB1061" i="20"/>
  <c r="U1061" i="20"/>
  <c r="M1061" i="20"/>
  <c r="L1061" i="20"/>
  <c r="S1061" i="20" s="1"/>
  <c r="K1061" i="20"/>
  <c r="AC1061" i="20" s="1"/>
  <c r="J1061" i="20"/>
  <c r="I1061" i="20"/>
  <c r="H1061" i="20"/>
  <c r="BG1060" i="20"/>
  <c r="BE1060" i="20"/>
  <c r="BF1060" i="20" s="1"/>
  <c r="AV1060" i="20"/>
  <c r="AF1060" i="20"/>
  <c r="AE1060" i="20"/>
  <c r="AD1060" i="20"/>
  <c r="AB1060" i="20"/>
  <c r="U1060" i="20"/>
  <c r="M1060" i="20"/>
  <c r="L1060" i="20"/>
  <c r="S1060" i="20" s="1"/>
  <c r="K1060" i="20"/>
  <c r="AC1060" i="20" s="1"/>
  <c r="J1060" i="20"/>
  <c r="I1060" i="20"/>
  <c r="H1060" i="20"/>
  <c r="BG1059" i="20"/>
  <c r="BE1059" i="20"/>
  <c r="BF1059" i="20" s="1"/>
  <c r="AV1059" i="20"/>
  <c r="AF1059" i="20"/>
  <c r="AE1059" i="20"/>
  <c r="AD1059" i="20"/>
  <c r="AB1059" i="20"/>
  <c r="U1059" i="20"/>
  <c r="M1059" i="20"/>
  <c r="L1059" i="20"/>
  <c r="K1059" i="20"/>
  <c r="AC1059" i="20" s="1"/>
  <c r="J1059" i="20"/>
  <c r="I1059" i="20"/>
  <c r="H1059" i="20"/>
  <c r="BG1058" i="20"/>
  <c r="BE1058" i="20"/>
  <c r="BF1058" i="20" s="1"/>
  <c r="AV1058" i="20"/>
  <c r="AF1058" i="20"/>
  <c r="AE1058" i="20"/>
  <c r="AD1058" i="20"/>
  <c r="AB1058" i="20"/>
  <c r="U1058" i="20"/>
  <c r="M1058" i="20"/>
  <c r="L1058" i="20"/>
  <c r="S1058" i="20" s="1"/>
  <c r="K1058" i="20"/>
  <c r="AC1058" i="20" s="1"/>
  <c r="J1058" i="20"/>
  <c r="I1058" i="20"/>
  <c r="H1058" i="20"/>
  <c r="BG1057" i="20"/>
  <c r="BE1057" i="20"/>
  <c r="BF1057" i="20" s="1"/>
  <c r="AV1057" i="20"/>
  <c r="AF1057" i="20"/>
  <c r="AE1057" i="20"/>
  <c r="AD1057" i="20"/>
  <c r="AB1057" i="20"/>
  <c r="U1057" i="20"/>
  <c r="M1057" i="20"/>
  <c r="L1057" i="20"/>
  <c r="K1057" i="20"/>
  <c r="AC1057" i="20" s="1"/>
  <c r="J1057" i="20"/>
  <c r="I1057" i="20"/>
  <c r="H1057" i="20"/>
  <c r="BG1056" i="20"/>
  <c r="BE1056" i="20"/>
  <c r="BF1056" i="20" s="1"/>
  <c r="AV1056" i="20"/>
  <c r="AF1056" i="20"/>
  <c r="AE1056" i="20"/>
  <c r="AD1056" i="20"/>
  <c r="AB1056" i="20"/>
  <c r="U1056" i="20"/>
  <c r="M1056" i="20"/>
  <c r="L1056" i="20"/>
  <c r="K1056" i="20"/>
  <c r="AC1056" i="20" s="1"/>
  <c r="J1056" i="20"/>
  <c r="I1056" i="20"/>
  <c r="H1056" i="20"/>
  <c r="BG1055" i="20"/>
  <c r="BE1055" i="20"/>
  <c r="BF1055" i="20" s="1"/>
  <c r="AV1055" i="20"/>
  <c r="AF1055" i="20"/>
  <c r="AE1055" i="20"/>
  <c r="AD1055" i="20"/>
  <c r="AB1055" i="20"/>
  <c r="U1055" i="20"/>
  <c r="M1055" i="20"/>
  <c r="L1055" i="20"/>
  <c r="K1055" i="20"/>
  <c r="AC1055" i="20" s="1"/>
  <c r="J1055" i="20"/>
  <c r="I1055" i="20"/>
  <c r="H1055" i="20"/>
  <c r="BG1054" i="20"/>
  <c r="BE1054" i="20"/>
  <c r="BF1054" i="20" s="1"/>
  <c r="AV1054" i="20"/>
  <c r="AF1054" i="20"/>
  <c r="AE1054" i="20"/>
  <c r="AD1054" i="20"/>
  <c r="AB1054" i="20"/>
  <c r="U1054" i="20"/>
  <c r="M1054" i="20"/>
  <c r="L1054" i="20"/>
  <c r="K1054" i="20"/>
  <c r="J1054" i="20"/>
  <c r="I1054" i="20"/>
  <c r="H1054" i="20"/>
  <c r="BG1053" i="20"/>
  <c r="BF1053" i="20"/>
  <c r="BE1053" i="20"/>
  <c r="AV1053" i="20"/>
  <c r="AF1053" i="20"/>
  <c r="AE1053" i="20"/>
  <c r="AD1053" i="20"/>
  <c r="AB1053" i="20"/>
  <c r="U1053" i="20"/>
  <c r="M1053" i="20"/>
  <c r="L1053" i="20"/>
  <c r="S1053" i="20" s="1"/>
  <c r="K1053" i="20"/>
  <c r="AC1053" i="20" s="1"/>
  <c r="J1053" i="20"/>
  <c r="I1053" i="20"/>
  <c r="H1053" i="20"/>
  <c r="BM1052" i="20"/>
  <c r="BL1052" i="20"/>
  <c r="AZ1052" i="20"/>
  <c r="AV1052" i="20"/>
  <c r="AF1052" i="20"/>
  <c r="AE1052" i="20"/>
  <c r="AD1052" i="20"/>
  <c r="AB1052" i="20"/>
  <c r="U1052" i="20"/>
  <c r="M1052" i="20"/>
  <c r="L1052" i="20"/>
  <c r="K1052" i="20"/>
  <c r="AC1052" i="20" s="1"/>
  <c r="J1052" i="20"/>
  <c r="I1052" i="20"/>
  <c r="H1052" i="20"/>
  <c r="BG1051" i="20"/>
  <c r="AZ1051" i="20"/>
  <c r="AX1051" i="20"/>
  <c r="BE1051" i="20" s="1"/>
  <c r="BF1051" i="20" s="1"/>
  <c r="AV1051" i="20"/>
  <c r="AL1051" i="20"/>
  <c r="AI1051" i="20"/>
  <c r="AK1051" i="20" s="1"/>
  <c r="AF1051" i="20"/>
  <c r="AE1051" i="20"/>
  <c r="AD1051" i="20"/>
  <c r="AC1051" i="20"/>
  <c r="AB1051" i="20"/>
  <c r="U1051" i="20"/>
  <c r="M1051" i="20"/>
  <c r="L1051" i="20"/>
  <c r="K1051" i="20"/>
  <c r="BB1051" i="20" s="1"/>
  <c r="J1051" i="20"/>
  <c r="I1051" i="20"/>
  <c r="H1051" i="20"/>
  <c r="BG1050" i="20"/>
  <c r="AZ1050" i="20"/>
  <c r="AX1050" i="20"/>
  <c r="BE1050" i="20" s="1"/>
  <c r="BF1050" i="20" s="1"/>
  <c r="AV1050" i="20"/>
  <c r="AL1050" i="20"/>
  <c r="AK1050" i="20"/>
  <c r="AI1050" i="20"/>
  <c r="AJ1050" i="20" s="1"/>
  <c r="AF1050" i="20"/>
  <c r="AE1050" i="20"/>
  <c r="AD1050" i="20"/>
  <c r="AB1050" i="20"/>
  <c r="U1050" i="20"/>
  <c r="M1050" i="20"/>
  <c r="L1050" i="20"/>
  <c r="K1050" i="20"/>
  <c r="BC1050" i="20" s="1"/>
  <c r="J1050" i="20"/>
  <c r="I1050" i="20"/>
  <c r="H1050" i="20"/>
  <c r="BG1049" i="20"/>
  <c r="AZ1049" i="20"/>
  <c r="AX1049" i="20"/>
  <c r="BE1049" i="20" s="1"/>
  <c r="BF1049" i="20" s="1"/>
  <c r="AV1049" i="20"/>
  <c r="AL1049" i="20"/>
  <c r="AI1049" i="20"/>
  <c r="AK1049" i="20" s="1"/>
  <c r="AF1049" i="20"/>
  <c r="AE1049" i="20"/>
  <c r="AD1049" i="20"/>
  <c r="AB1049" i="20"/>
  <c r="U1049" i="20"/>
  <c r="M1049" i="20"/>
  <c r="L1049" i="20"/>
  <c r="K1049" i="20"/>
  <c r="AC1049" i="20" s="1"/>
  <c r="J1049" i="20"/>
  <c r="I1049" i="20"/>
  <c r="H1049" i="20"/>
  <c r="BG1048" i="20"/>
  <c r="AZ1048" i="20"/>
  <c r="AX1048" i="20"/>
  <c r="BE1048" i="20" s="1"/>
  <c r="BF1048" i="20" s="1"/>
  <c r="AV1048" i="20"/>
  <c r="AL1048" i="20"/>
  <c r="AI1048" i="20"/>
  <c r="AF1048" i="20"/>
  <c r="AE1048" i="20"/>
  <c r="AD1048" i="20"/>
  <c r="AB1048" i="20"/>
  <c r="U1048" i="20"/>
  <c r="M1048" i="20"/>
  <c r="L1048" i="20"/>
  <c r="K1048" i="20"/>
  <c r="J1048" i="20"/>
  <c r="I1048" i="20"/>
  <c r="H1048" i="20"/>
  <c r="BG1047" i="20"/>
  <c r="AZ1047" i="20"/>
  <c r="AX1047" i="20"/>
  <c r="BE1047" i="20" s="1"/>
  <c r="BF1047" i="20" s="1"/>
  <c r="AV1047" i="20"/>
  <c r="AL1047" i="20"/>
  <c r="AK1047" i="20"/>
  <c r="AI1047" i="20"/>
  <c r="AJ1047" i="20" s="1"/>
  <c r="AF1047" i="20"/>
  <c r="AE1047" i="20"/>
  <c r="AD1047" i="20"/>
  <c r="AB1047" i="20"/>
  <c r="U1047" i="20"/>
  <c r="M1047" i="20"/>
  <c r="L1047" i="20"/>
  <c r="K1047" i="20"/>
  <c r="BC1047" i="20" s="1"/>
  <c r="J1047" i="20"/>
  <c r="I1047" i="20"/>
  <c r="H1047" i="20"/>
  <c r="BG1046" i="20"/>
  <c r="BE1046" i="20"/>
  <c r="BF1046" i="20" s="1"/>
  <c r="AV1046" i="20"/>
  <c r="AF1046" i="20"/>
  <c r="AE1046" i="20"/>
  <c r="AD1046" i="20"/>
  <c r="AB1046" i="20"/>
  <c r="U1046" i="20"/>
  <c r="M1046" i="20"/>
  <c r="L1046" i="20"/>
  <c r="S1046" i="20" s="1"/>
  <c r="K1046" i="20"/>
  <c r="AC1046" i="20" s="1"/>
  <c r="J1046" i="20"/>
  <c r="I1046" i="20"/>
  <c r="H1046" i="20"/>
  <c r="BG1045" i="20"/>
  <c r="BE1045" i="20"/>
  <c r="BF1045" i="20" s="1"/>
  <c r="AV1045" i="20"/>
  <c r="AF1045" i="20"/>
  <c r="AE1045" i="20"/>
  <c r="AD1045" i="20"/>
  <c r="AB1045" i="20"/>
  <c r="U1045" i="20"/>
  <c r="M1045" i="20"/>
  <c r="L1045" i="20"/>
  <c r="S1045" i="20" s="1"/>
  <c r="K1045" i="20"/>
  <c r="AC1045" i="20" s="1"/>
  <c r="J1045" i="20"/>
  <c r="I1045" i="20"/>
  <c r="H1045" i="20"/>
  <c r="BG1044" i="20"/>
  <c r="BE1044" i="20"/>
  <c r="BF1044" i="20" s="1"/>
  <c r="AV1044" i="20"/>
  <c r="AF1044" i="20"/>
  <c r="AE1044" i="20"/>
  <c r="AD1044" i="20"/>
  <c r="AB1044" i="20"/>
  <c r="U1044" i="20"/>
  <c r="M1044" i="20"/>
  <c r="L1044" i="20"/>
  <c r="S1044" i="20" s="1"/>
  <c r="K1044" i="20"/>
  <c r="AC1044" i="20" s="1"/>
  <c r="J1044" i="20"/>
  <c r="I1044" i="20"/>
  <c r="H1044" i="20"/>
  <c r="BG1043" i="20"/>
  <c r="BF1043" i="20"/>
  <c r="BE1043" i="20"/>
  <c r="AV1043" i="20"/>
  <c r="AF1043" i="20"/>
  <c r="AE1043" i="20"/>
  <c r="AD1043" i="20"/>
  <c r="AB1043" i="20"/>
  <c r="U1043" i="20"/>
  <c r="M1043" i="20"/>
  <c r="L1043" i="20"/>
  <c r="S1043" i="20" s="1"/>
  <c r="K1043" i="20"/>
  <c r="AC1043" i="20" s="1"/>
  <c r="J1043" i="20"/>
  <c r="I1043" i="20"/>
  <c r="H1043" i="20"/>
  <c r="BG1042" i="20"/>
  <c r="BE1042" i="20"/>
  <c r="BF1042" i="20" s="1"/>
  <c r="AV1042" i="20"/>
  <c r="AF1042" i="20"/>
  <c r="AE1042" i="20"/>
  <c r="AD1042" i="20"/>
  <c r="AB1042" i="20"/>
  <c r="U1042" i="20"/>
  <c r="M1042" i="20"/>
  <c r="L1042" i="20"/>
  <c r="S1042" i="20" s="1"/>
  <c r="K1042" i="20"/>
  <c r="J1042" i="20"/>
  <c r="I1042" i="20"/>
  <c r="H1042" i="20"/>
  <c r="BG1041" i="20"/>
  <c r="BE1041" i="20"/>
  <c r="BF1041" i="20" s="1"/>
  <c r="AV1041" i="20"/>
  <c r="AF1041" i="20"/>
  <c r="AE1041" i="20"/>
  <c r="AD1041" i="20"/>
  <c r="AB1041" i="20"/>
  <c r="U1041" i="20"/>
  <c r="M1041" i="20"/>
  <c r="L1041" i="20"/>
  <c r="S1041" i="20" s="1"/>
  <c r="K1041" i="20"/>
  <c r="AC1041" i="20" s="1"/>
  <c r="J1041" i="20"/>
  <c r="I1041" i="20"/>
  <c r="H1041" i="20"/>
  <c r="BG1040" i="20"/>
  <c r="BE1040" i="20"/>
  <c r="BF1040" i="20" s="1"/>
  <c r="AV1040" i="20"/>
  <c r="AF1040" i="20"/>
  <c r="AE1040" i="20"/>
  <c r="AD1040" i="20"/>
  <c r="AB1040" i="20"/>
  <c r="U1040" i="20"/>
  <c r="M1040" i="20"/>
  <c r="L1040" i="20"/>
  <c r="Q1040" i="20" s="1"/>
  <c r="V1040" i="20" s="1"/>
  <c r="K1040" i="20"/>
  <c r="AC1040" i="20" s="1"/>
  <c r="J1040" i="20"/>
  <c r="I1040" i="20"/>
  <c r="H1040" i="20"/>
  <c r="BG1039" i="20"/>
  <c r="BE1039" i="20"/>
  <c r="BF1039" i="20" s="1"/>
  <c r="AV1039" i="20"/>
  <c r="AF1039" i="20"/>
  <c r="AE1039" i="20"/>
  <c r="AD1039" i="20"/>
  <c r="AB1039" i="20"/>
  <c r="U1039" i="20"/>
  <c r="M1039" i="20"/>
  <c r="L1039" i="20"/>
  <c r="K1039" i="20"/>
  <c r="AC1039" i="20" s="1"/>
  <c r="J1039" i="20"/>
  <c r="I1039" i="20"/>
  <c r="H1039" i="20"/>
  <c r="BG1038" i="20"/>
  <c r="BE1038" i="20"/>
  <c r="BF1038" i="20" s="1"/>
  <c r="AV1038" i="20"/>
  <c r="AF1038" i="20"/>
  <c r="AE1038" i="20"/>
  <c r="AD1038" i="20"/>
  <c r="AB1038" i="20"/>
  <c r="U1038" i="20"/>
  <c r="M1038" i="20"/>
  <c r="L1038" i="20"/>
  <c r="S1038" i="20" s="1"/>
  <c r="K1038" i="20"/>
  <c r="AC1038" i="20" s="1"/>
  <c r="J1038" i="20"/>
  <c r="I1038" i="20"/>
  <c r="H1038" i="20"/>
  <c r="BG1037" i="20"/>
  <c r="BF1037" i="20"/>
  <c r="BE1037" i="20"/>
  <c r="AV1037" i="20"/>
  <c r="AF1037" i="20"/>
  <c r="AE1037" i="20"/>
  <c r="AD1037" i="20"/>
  <c r="AB1037" i="20"/>
  <c r="U1037" i="20"/>
  <c r="M1037" i="20"/>
  <c r="L1037" i="20"/>
  <c r="K1037" i="20"/>
  <c r="AC1037" i="20" s="1"/>
  <c r="J1037" i="20"/>
  <c r="I1037" i="20"/>
  <c r="H1037" i="20"/>
  <c r="BG1036" i="20"/>
  <c r="AZ1036" i="20"/>
  <c r="AX1036" i="20"/>
  <c r="BE1036" i="20" s="1"/>
  <c r="BF1036" i="20" s="1"/>
  <c r="AV1036" i="20"/>
  <c r="AN1036" i="20"/>
  <c r="AM1036" i="20"/>
  <c r="AK1036" i="20"/>
  <c r="AJ1036" i="20"/>
  <c r="AF1036" i="20"/>
  <c r="AE1036" i="20"/>
  <c r="AD1036" i="20"/>
  <c r="AB1036" i="20"/>
  <c r="U1036" i="20"/>
  <c r="M1036" i="20"/>
  <c r="L1036" i="20"/>
  <c r="S1036" i="20" s="1"/>
  <c r="K1036" i="20"/>
  <c r="AC1036" i="20" s="1"/>
  <c r="J1036" i="20"/>
  <c r="I1036" i="20"/>
  <c r="H1036" i="20"/>
  <c r="BG1035" i="20"/>
  <c r="AZ1035" i="20"/>
  <c r="AX1035" i="20"/>
  <c r="BE1035" i="20" s="1"/>
  <c r="BF1035" i="20" s="1"/>
  <c r="AV1035" i="20"/>
  <c r="AN1035" i="20"/>
  <c r="AM1035" i="20"/>
  <c r="AK1035" i="20"/>
  <c r="AJ1035" i="20"/>
  <c r="AF1035" i="20"/>
  <c r="AE1035" i="20"/>
  <c r="AD1035" i="20"/>
  <c r="AB1035" i="20"/>
  <c r="U1035" i="20"/>
  <c r="M1035" i="20"/>
  <c r="L1035" i="20"/>
  <c r="S1035" i="20" s="1"/>
  <c r="K1035" i="20"/>
  <c r="AC1035" i="20" s="1"/>
  <c r="J1035" i="20"/>
  <c r="I1035" i="20"/>
  <c r="H1035" i="20"/>
  <c r="BM1034" i="20"/>
  <c r="BL1034" i="20"/>
  <c r="AW1034" i="20"/>
  <c r="AX1034" i="20" s="1"/>
  <c r="AV1034" i="20"/>
  <c r="AK1034" i="20"/>
  <c r="AJ1034" i="20"/>
  <c r="AF1034" i="20"/>
  <c r="AE1034" i="20"/>
  <c r="AD1034" i="20"/>
  <c r="AB1034" i="20"/>
  <c r="U1034" i="20"/>
  <c r="M1034" i="20"/>
  <c r="L1034" i="20"/>
  <c r="K1034" i="20"/>
  <c r="AC1034" i="20" s="1"/>
  <c r="J1034" i="20"/>
  <c r="I1034" i="20"/>
  <c r="H1034" i="20"/>
  <c r="BM1033" i="20"/>
  <c r="BN1033" i="20" s="1"/>
  <c r="BO1033" i="20" s="1"/>
  <c r="BD1033" i="20" s="1"/>
  <c r="BL1033" i="20"/>
  <c r="AZ1033" i="20"/>
  <c r="AX1033" i="20"/>
  <c r="AS1033" i="20"/>
  <c r="AR1033" i="20"/>
  <c r="AF1033" i="20"/>
  <c r="AE1033" i="20"/>
  <c r="AD1033" i="20"/>
  <c r="AB1033" i="20"/>
  <c r="U1033" i="20"/>
  <c r="M1033" i="20"/>
  <c r="L1033" i="20"/>
  <c r="Q1033" i="20" s="1"/>
  <c r="K1033" i="20"/>
  <c r="AC1033" i="20" s="1"/>
  <c r="J1033" i="20"/>
  <c r="I1033" i="20"/>
  <c r="H1033" i="20"/>
  <c r="BG1032" i="20"/>
  <c r="AX1032" i="20"/>
  <c r="BE1032" i="20" s="1"/>
  <c r="BF1032" i="20" s="1"/>
  <c r="AV1032" i="20"/>
  <c r="AN1032" i="20"/>
  <c r="AM1032" i="20"/>
  <c r="AK1032" i="20"/>
  <c r="AJ1032" i="20"/>
  <c r="AF1032" i="20"/>
  <c r="AE1032" i="20"/>
  <c r="AD1032" i="20"/>
  <c r="AB1032" i="20"/>
  <c r="U1032" i="20"/>
  <c r="M1032" i="20"/>
  <c r="L1032" i="20"/>
  <c r="S1032" i="20" s="1"/>
  <c r="K1032" i="20"/>
  <c r="AC1032" i="20" s="1"/>
  <c r="J1032" i="20"/>
  <c r="I1032" i="20"/>
  <c r="H1032" i="20"/>
  <c r="BG1031" i="20"/>
  <c r="AX1031" i="20"/>
  <c r="BE1031" i="20" s="1"/>
  <c r="BF1031" i="20" s="1"/>
  <c r="AV1031" i="20"/>
  <c r="AN1031" i="20"/>
  <c r="AM1031" i="20"/>
  <c r="AK1031" i="20"/>
  <c r="AJ1031" i="20"/>
  <c r="AF1031" i="20"/>
  <c r="AE1031" i="20"/>
  <c r="AD1031" i="20"/>
  <c r="AB1031" i="20"/>
  <c r="U1031" i="20"/>
  <c r="M1031" i="20"/>
  <c r="L1031" i="20"/>
  <c r="S1031" i="20" s="1"/>
  <c r="K1031" i="20"/>
  <c r="AC1031" i="20" s="1"/>
  <c r="J1031" i="20"/>
  <c r="I1031" i="20"/>
  <c r="H1031" i="20"/>
  <c r="BG1030" i="20"/>
  <c r="AX1030" i="20"/>
  <c r="BE1030" i="20" s="1"/>
  <c r="BF1030" i="20" s="1"/>
  <c r="AV1030" i="20"/>
  <c r="AN1030" i="20"/>
  <c r="AM1030" i="20"/>
  <c r="AK1030" i="20"/>
  <c r="AJ1030" i="20"/>
  <c r="AF1030" i="20"/>
  <c r="AE1030" i="20"/>
  <c r="AD1030" i="20"/>
  <c r="AB1030" i="20"/>
  <c r="U1030" i="20"/>
  <c r="M1030" i="20"/>
  <c r="L1030" i="20"/>
  <c r="S1030" i="20" s="1"/>
  <c r="K1030" i="20"/>
  <c r="AC1030" i="20" s="1"/>
  <c r="J1030" i="20"/>
  <c r="I1030" i="20"/>
  <c r="H1030" i="20"/>
  <c r="BG1029" i="20"/>
  <c r="AX1029" i="20"/>
  <c r="BE1029" i="20" s="1"/>
  <c r="BF1029" i="20" s="1"/>
  <c r="AV1029" i="20"/>
  <c r="AN1029" i="20"/>
  <c r="AM1029" i="20"/>
  <c r="AK1029" i="20"/>
  <c r="AJ1029" i="20"/>
  <c r="AF1029" i="20"/>
  <c r="AE1029" i="20"/>
  <c r="AD1029" i="20"/>
  <c r="AB1029" i="20"/>
  <c r="U1029" i="20"/>
  <c r="M1029" i="20"/>
  <c r="L1029" i="20"/>
  <c r="S1029" i="20" s="1"/>
  <c r="K1029" i="20"/>
  <c r="AC1029" i="20" s="1"/>
  <c r="J1029" i="20"/>
  <c r="I1029" i="20"/>
  <c r="H1029" i="20"/>
  <c r="BG1028" i="20"/>
  <c r="AX1028" i="20"/>
  <c r="BE1028" i="20" s="1"/>
  <c r="BF1028" i="20" s="1"/>
  <c r="AV1028" i="20"/>
  <c r="AN1028" i="20"/>
  <c r="AM1028" i="20"/>
  <c r="AK1028" i="20"/>
  <c r="AJ1028" i="20"/>
  <c r="AF1028" i="20"/>
  <c r="AE1028" i="20"/>
  <c r="AD1028" i="20"/>
  <c r="AB1028" i="20"/>
  <c r="U1028" i="20"/>
  <c r="M1028" i="20"/>
  <c r="L1028" i="20"/>
  <c r="S1028" i="20" s="1"/>
  <c r="K1028" i="20"/>
  <c r="AC1028" i="20" s="1"/>
  <c r="J1028" i="20"/>
  <c r="I1028" i="20"/>
  <c r="H1028" i="20"/>
  <c r="BG1027" i="20"/>
  <c r="AX1027" i="20"/>
  <c r="BE1027" i="20" s="1"/>
  <c r="BF1027" i="20" s="1"/>
  <c r="AV1027" i="20"/>
  <c r="AN1027" i="20"/>
  <c r="AM1027" i="20"/>
  <c r="AK1027" i="20"/>
  <c r="AJ1027" i="20"/>
  <c r="AF1027" i="20"/>
  <c r="AE1027" i="20"/>
  <c r="AD1027" i="20"/>
  <c r="AB1027" i="20"/>
  <c r="U1027" i="20"/>
  <c r="M1027" i="20"/>
  <c r="L1027" i="20"/>
  <c r="S1027" i="20" s="1"/>
  <c r="K1027" i="20"/>
  <c r="AC1027" i="20" s="1"/>
  <c r="J1027" i="20"/>
  <c r="I1027" i="20"/>
  <c r="H1027" i="20"/>
  <c r="BG1026" i="20"/>
  <c r="AX1026" i="20"/>
  <c r="BE1026" i="20" s="1"/>
  <c r="BF1026" i="20" s="1"/>
  <c r="AV1026" i="20"/>
  <c r="AN1026" i="20"/>
  <c r="AM1026" i="20"/>
  <c r="AK1026" i="20"/>
  <c r="AJ1026" i="20"/>
  <c r="AF1026" i="20"/>
  <c r="AE1026" i="20"/>
  <c r="AD1026" i="20"/>
  <c r="AB1026" i="20"/>
  <c r="U1026" i="20"/>
  <c r="M1026" i="20"/>
  <c r="L1026" i="20"/>
  <c r="Q1026" i="20" s="1"/>
  <c r="V1026" i="20" s="1"/>
  <c r="K1026" i="20"/>
  <c r="J1026" i="20"/>
  <c r="I1026" i="20"/>
  <c r="H1026" i="20"/>
  <c r="BG1025" i="20"/>
  <c r="AX1025" i="20"/>
  <c r="BE1025" i="20" s="1"/>
  <c r="BF1025" i="20" s="1"/>
  <c r="AV1025" i="20"/>
  <c r="AN1025" i="20"/>
  <c r="AM1025" i="20"/>
  <c r="AK1025" i="20"/>
  <c r="AJ1025" i="20"/>
  <c r="AF1025" i="20"/>
  <c r="AE1025" i="20"/>
  <c r="AD1025" i="20"/>
  <c r="AB1025" i="20"/>
  <c r="U1025" i="20"/>
  <c r="M1025" i="20"/>
  <c r="L1025" i="20"/>
  <c r="K1025" i="20"/>
  <c r="AC1025" i="20" s="1"/>
  <c r="J1025" i="20"/>
  <c r="I1025" i="20"/>
  <c r="H1025" i="20"/>
  <c r="BG1024" i="20"/>
  <c r="AX1024" i="20"/>
  <c r="BE1024" i="20" s="1"/>
  <c r="BF1024" i="20" s="1"/>
  <c r="AV1024" i="20"/>
  <c r="AN1024" i="20"/>
  <c r="AM1024" i="20"/>
  <c r="AK1024" i="20"/>
  <c r="AJ1024" i="20"/>
  <c r="AF1024" i="20"/>
  <c r="AE1024" i="20"/>
  <c r="AD1024" i="20"/>
  <c r="AB1024" i="20"/>
  <c r="U1024" i="20"/>
  <c r="M1024" i="20"/>
  <c r="L1024" i="20"/>
  <c r="K1024" i="20"/>
  <c r="AC1024" i="20" s="1"/>
  <c r="J1024" i="20"/>
  <c r="I1024" i="20"/>
  <c r="H1024" i="20"/>
  <c r="BG1023" i="20"/>
  <c r="AX1023" i="20"/>
  <c r="BE1023" i="20" s="1"/>
  <c r="BF1023" i="20" s="1"/>
  <c r="AV1023" i="20"/>
  <c r="AN1023" i="20"/>
  <c r="AM1023" i="20"/>
  <c r="AK1023" i="20"/>
  <c r="AJ1023" i="20"/>
  <c r="AF1023" i="20"/>
  <c r="AE1023" i="20"/>
  <c r="AD1023" i="20"/>
  <c r="AB1023" i="20"/>
  <c r="U1023" i="20"/>
  <c r="M1023" i="20"/>
  <c r="L1023" i="20"/>
  <c r="S1023" i="20" s="1"/>
  <c r="K1023" i="20"/>
  <c r="AC1023" i="20" s="1"/>
  <c r="J1023" i="20"/>
  <c r="I1023" i="20"/>
  <c r="H1023" i="20"/>
  <c r="BG1022" i="20"/>
  <c r="AX1022" i="20"/>
  <c r="BE1022" i="20" s="1"/>
  <c r="BF1022" i="20" s="1"/>
  <c r="AV1022" i="20"/>
  <c r="AN1022" i="20"/>
  <c r="AM1022" i="20"/>
  <c r="AK1022" i="20"/>
  <c r="AJ1022" i="20"/>
  <c r="AF1022" i="20"/>
  <c r="AE1022" i="20"/>
  <c r="AD1022" i="20"/>
  <c r="AB1022" i="20"/>
  <c r="U1022" i="20"/>
  <c r="M1022" i="20"/>
  <c r="L1022" i="20"/>
  <c r="S1022" i="20" s="1"/>
  <c r="K1022" i="20"/>
  <c r="AC1022" i="20" s="1"/>
  <c r="J1022" i="20"/>
  <c r="I1022" i="20"/>
  <c r="H1022" i="20"/>
  <c r="BG1021" i="20"/>
  <c r="AX1021" i="20"/>
  <c r="BE1021" i="20" s="1"/>
  <c r="BF1021" i="20" s="1"/>
  <c r="AV1021" i="20"/>
  <c r="AN1021" i="20"/>
  <c r="AM1021" i="20"/>
  <c r="AK1021" i="20"/>
  <c r="AJ1021" i="20"/>
  <c r="AF1021" i="20"/>
  <c r="AE1021" i="20"/>
  <c r="AD1021" i="20"/>
  <c r="AB1021" i="20"/>
  <c r="U1021" i="20"/>
  <c r="M1021" i="20"/>
  <c r="L1021" i="20"/>
  <c r="S1021" i="20" s="1"/>
  <c r="K1021" i="20"/>
  <c r="AC1021" i="20" s="1"/>
  <c r="J1021" i="20"/>
  <c r="I1021" i="20"/>
  <c r="H1021" i="20"/>
  <c r="BG1020" i="20"/>
  <c r="AX1020" i="20"/>
  <c r="BE1020" i="20" s="1"/>
  <c r="BF1020" i="20" s="1"/>
  <c r="AV1020" i="20"/>
  <c r="AN1020" i="20"/>
  <c r="AM1020" i="20"/>
  <c r="AK1020" i="20"/>
  <c r="AJ1020" i="20"/>
  <c r="AF1020" i="20"/>
  <c r="AE1020" i="20"/>
  <c r="AD1020" i="20"/>
  <c r="AB1020" i="20"/>
  <c r="U1020" i="20"/>
  <c r="M1020" i="20"/>
  <c r="L1020" i="20"/>
  <c r="S1020" i="20" s="1"/>
  <c r="K1020" i="20"/>
  <c r="J1020" i="20"/>
  <c r="I1020" i="20"/>
  <c r="H1020" i="20"/>
  <c r="BG1019" i="20"/>
  <c r="AX1019" i="20"/>
  <c r="BE1019" i="20" s="1"/>
  <c r="BF1019" i="20" s="1"/>
  <c r="AV1019" i="20"/>
  <c r="AN1019" i="20"/>
  <c r="AM1019" i="20"/>
  <c r="AK1019" i="20"/>
  <c r="AJ1019" i="20"/>
  <c r="AF1019" i="20"/>
  <c r="AE1019" i="20"/>
  <c r="AD1019" i="20"/>
  <c r="AB1019" i="20"/>
  <c r="U1019" i="20"/>
  <c r="M1019" i="20"/>
  <c r="L1019" i="20"/>
  <c r="K1019" i="20"/>
  <c r="AC1019" i="20" s="1"/>
  <c r="J1019" i="20"/>
  <c r="I1019" i="20"/>
  <c r="H1019" i="20"/>
  <c r="BG1018" i="20"/>
  <c r="AX1018" i="20"/>
  <c r="BE1018" i="20" s="1"/>
  <c r="BF1018" i="20" s="1"/>
  <c r="AV1018" i="20"/>
  <c r="AN1018" i="20"/>
  <c r="AM1018" i="20"/>
  <c r="AK1018" i="20"/>
  <c r="AJ1018" i="20"/>
  <c r="AF1018" i="20"/>
  <c r="AE1018" i="20"/>
  <c r="AD1018" i="20"/>
  <c r="AB1018" i="20"/>
  <c r="U1018" i="20"/>
  <c r="Q1018" i="20"/>
  <c r="V1018" i="20" s="1"/>
  <c r="M1018" i="20"/>
  <c r="L1018" i="20"/>
  <c r="S1018" i="20" s="1"/>
  <c r="K1018" i="20"/>
  <c r="AC1018" i="20" s="1"/>
  <c r="J1018" i="20"/>
  <c r="I1018" i="20"/>
  <c r="H1018" i="20"/>
  <c r="BG1017" i="20"/>
  <c r="AX1017" i="20"/>
  <c r="BE1017" i="20" s="1"/>
  <c r="BF1017" i="20" s="1"/>
  <c r="AV1017" i="20"/>
  <c r="AN1017" i="20"/>
  <c r="AM1017" i="20"/>
  <c r="AK1017" i="20"/>
  <c r="AJ1017" i="20"/>
  <c r="AF1017" i="20"/>
  <c r="AE1017" i="20"/>
  <c r="AD1017" i="20"/>
  <c r="AB1017" i="20"/>
  <c r="U1017" i="20"/>
  <c r="S1017" i="20"/>
  <c r="M1017" i="20"/>
  <c r="L1017" i="20"/>
  <c r="Q1017" i="20" s="1"/>
  <c r="K1017" i="20"/>
  <c r="AC1017" i="20" s="1"/>
  <c r="J1017" i="20"/>
  <c r="I1017" i="20"/>
  <c r="H1017" i="20"/>
  <c r="BG1016" i="20"/>
  <c r="AX1016" i="20"/>
  <c r="BE1016" i="20" s="1"/>
  <c r="BF1016" i="20" s="1"/>
  <c r="AV1016" i="20"/>
  <c r="AN1016" i="20"/>
  <c r="AM1016" i="20"/>
  <c r="AK1016" i="20"/>
  <c r="AJ1016" i="20"/>
  <c r="AF1016" i="20"/>
  <c r="AE1016" i="20"/>
  <c r="AD1016" i="20"/>
  <c r="AB1016" i="20"/>
  <c r="U1016" i="20"/>
  <c r="M1016" i="20"/>
  <c r="L1016" i="20"/>
  <c r="S1016" i="20" s="1"/>
  <c r="K1016" i="20"/>
  <c r="AC1016" i="20" s="1"/>
  <c r="J1016" i="20"/>
  <c r="I1016" i="20"/>
  <c r="H1016" i="20"/>
  <c r="BG1015" i="20"/>
  <c r="AX1015" i="20"/>
  <c r="BE1015" i="20" s="1"/>
  <c r="BF1015" i="20" s="1"/>
  <c r="AV1015" i="20"/>
  <c r="AN1015" i="20"/>
  <c r="AM1015" i="20"/>
  <c r="AK1015" i="20"/>
  <c r="AJ1015" i="20"/>
  <c r="AF1015" i="20"/>
  <c r="AE1015" i="20"/>
  <c r="AD1015" i="20"/>
  <c r="AC1015" i="20"/>
  <c r="AB1015" i="20"/>
  <c r="U1015" i="20"/>
  <c r="M1015" i="20"/>
  <c r="L1015" i="20"/>
  <c r="Q1015" i="20" s="1"/>
  <c r="K1015" i="20"/>
  <c r="J1015" i="20"/>
  <c r="I1015" i="20"/>
  <c r="H1015" i="20"/>
  <c r="BG1014" i="20"/>
  <c r="AX1014" i="20"/>
  <c r="BE1014" i="20" s="1"/>
  <c r="BF1014" i="20" s="1"/>
  <c r="AV1014" i="20"/>
  <c r="AN1014" i="20"/>
  <c r="AM1014" i="20"/>
  <c r="AK1014" i="20"/>
  <c r="AJ1014" i="20"/>
  <c r="AF1014" i="20"/>
  <c r="AE1014" i="20"/>
  <c r="AD1014" i="20"/>
  <c r="AB1014" i="20"/>
  <c r="U1014" i="20"/>
  <c r="M1014" i="20"/>
  <c r="L1014" i="20"/>
  <c r="Q1014" i="20" s="1"/>
  <c r="V1014" i="20" s="1"/>
  <c r="K1014" i="20"/>
  <c r="J1014" i="20"/>
  <c r="I1014" i="20"/>
  <c r="H1014" i="20"/>
  <c r="BG1013" i="20"/>
  <c r="AX1013" i="20"/>
  <c r="BE1013" i="20" s="1"/>
  <c r="BF1013" i="20" s="1"/>
  <c r="AV1013" i="20"/>
  <c r="AN1013" i="20"/>
  <c r="AM1013" i="20"/>
  <c r="AK1013" i="20"/>
  <c r="AJ1013" i="20"/>
  <c r="AF1013" i="20"/>
  <c r="AE1013" i="20"/>
  <c r="AD1013" i="20"/>
  <c r="AB1013" i="20"/>
  <c r="U1013" i="20"/>
  <c r="M1013" i="20"/>
  <c r="L1013" i="20"/>
  <c r="S1013" i="20" s="1"/>
  <c r="K1013" i="20"/>
  <c r="AC1013" i="20" s="1"/>
  <c r="J1013" i="20"/>
  <c r="I1013" i="20"/>
  <c r="H1013" i="20"/>
  <c r="BG1012" i="20"/>
  <c r="AX1012" i="20"/>
  <c r="BE1012" i="20" s="1"/>
  <c r="BF1012" i="20" s="1"/>
  <c r="AV1012" i="20"/>
  <c r="AN1012" i="20"/>
  <c r="AM1012" i="20"/>
  <c r="AK1012" i="20"/>
  <c r="AJ1012" i="20"/>
  <c r="AF1012" i="20"/>
  <c r="AE1012" i="20"/>
  <c r="AD1012" i="20"/>
  <c r="AB1012" i="20"/>
  <c r="U1012" i="20"/>
  <c r="M1012" i="20"/>
  <c r="L1012" i="20"/>
  <c r="Q1012" i="20" s="1"/>
  <c r="V1012" i="20" s="1"/>
  <c r="K1012" i="20"/>
  <c r="AC1012" i="20" s="1"/>
  <c r="J1012" i="20"/>
  <c r="I1012" i="20"/>
  <c r="H1012" i="20"/>
  <c r="BG1011" i="20"/>
  <c r="AX1011" i="20"/>
  <c r="BE1011" i="20" s="1"/>
  <c r="BF1011" i="20" s="1"/>
  <c r="AV1011" i="20"/>
  <c r="AN1011" i="20"/>
  <c r="AM1011" i="20"/>
  <c r="AK1011" i="20"/>
  <c r="AJ1011" i="20"/>
  <c r="AF1011" i="20"/>
  <c r="AE1011" i="20"/>
  <c r="AD1011" i="20"/>
  <c r="AB1011" i="20"/>
  <c r="U1011" i="20"/>
  <c r="M1011" i="20"/>
  <c r="L1011" i="20"/>
  <c r="S1011" i="20" s="1"/>
  <c r="K1011" i="20"/>
  <c r="AC1011" i="20" s="1"/>
  <c r="J1011" i="20"/>
  <c r="I1011" i="20"/>
  <c r="H1011" i="20"/>
  <c r="BG1010" i="20"/>
  <c r="AX1010" i="20"/>
  <c r="BE1010" i="20" s="1"/>
  <c r="BF1010" i="20" s="1"/>
  <c r="AV1010" i="20"/>
  <c r="AN1010" i="20"/>
  <c r="AM1010" i="20"/>
  <c r="AK1010" i="20"/>
  <c r="AJ1010" i="20"/>
  <c r="AF1010" i="20"/>
  <c r="AE1010" i="20"/>
  <c r="AD1010" i="20"/>
  <c r="AB1010" i="20"/>
  <c r="U1010" i="20"/>
  <c r="M1010" i="20"/>
  <c r="L1010" i="20"/>
  <c r="S1010" i="20" s="1"/>
  <c r="K1010" i="20"/>
  <c r="AC1010" i="20" s="1"/>
  <c r="J1010" i="20"/>
  <c r="I1010" i="20"/>
  <c r="H1010" i="20"/>
  <c r="BG1009" i="20"/>
  <c r="AX1009" i="20"/>
  <c r="BE1009" i="20" s="1"/>
  <c r="BF1009" i="20" s="1"/>
  <c r="AV1009" i="20"/>
  <c r="AN1009" i="20"/>
  <c r="AM1009" i="20"/>
  <c r="AK1009" i="20"/>
  <c r="AJ1009" i="20"/>
  <c r="AF1009" i="20"/>
  <c r="AE1009" i="20"/>
  <c r="AD1009" i="20"/>
  <c r="AB1009" i="20"/>
  <c r="U1009" i="20"/>
  <c r="M1009" i="20"/>
  <c r="L1009" i="20"/>
  <c r="K1009" i="20"/>
  <c r="AC1009" i="20" s="1"/>
  <c r="J1009" i="20"/>
  <c r="I1009" i="20"/>
  <c r="H1009" i="20"/>
  <c r="BG1008" i="20"/>
  <c r="AX1008" i="20"/>
  <c r="BE1008" i="20" s="1"/>
  <c r="BF1008" i="20" s="1"/>
  <c r="AV1008" i="20"/>
  <c r="AN1008" i="20"/>
  <c r="AM1008" i="20"/>
  <c r="AK1008" i="20"/>
  <c r="AJ1008" i="20"/>
  <c r="AF1008" i="20"/>
  <c r="AE1008" i="20"/>
  <c r="AD1008" i="20"/>
  <c r="AB1008" i="20"/>
  <c r="U1008" i="20"/>
  <c r="M1008" i="20"/>
  <c r="L1008" i="20"/>
  <c r="S1008" i="20" s="1"/>
  <c r="K1008" i="20"/>
  <c r="AC1008" i="20" s="1"/>
  <c r="J1008" i="20"/>
  <c r="I1008" i="20"/>
  <c r="H1008" i="20"/>
  <c r="BG1007" i="20"/>
  <c r="BE1007" i="20"/>
  <c r="BF1007" i="20" s="1"/>
  <c r="AX1007" i="20"/>
  <c r="AV1007" i="20"/>
  <c r="AN1007" i="20"/>
  <c r="AM1007" i="20"/>
  <c r="AK1007" i="20"/>
  <c r="AJ1007" i="20"/>
  <c r="AF1007" i="20"/>
  <c r="AE1007" i="20"/>
  <c r="AD1007" i="20"/>
  <c r="AB1007" i="20"/>
  <c r="U1007" i="20"/>
  <c r="M1007" i="20"/>
  <c r="L1007" i="20"/>
  <c r="K1007" i="20"/>
  <c r="AC1007" i="20" s="1"/>
  <c r="J1007" i="20"/>
  <c r="I1007" i="20"/>
  <c r="H1007" i="20"/>
  <c r="BM1006" i="20"/>
  <c r="BL1006" i="20"/>
  <c r="AZ1006" i="20"/>
  <c r="AX1006" i="20"/>
  <c r="AV1006" i="20"/>
  <c r="AF1006" i="20"/>
  <c r="AE1006" i="20"/>
  <c r="AD1006" i="20"/>
  <c r="AB1006" i="20"/>
  <c r="U1006" i="20"/>
  <c r="M1006" i="20"/>
  <c r="L1006" i="20"/>
  <c r="S1006" i="20" s="1"/>
  <c r="K1006" i="20"/>
  <c r="AC1006" i="20" s="1"/>
  <c r="J1006" i="20"/>
  <c r="I1006" i="20"/>
  <c r="H1006" i="20"/>
  <c r="BM1005" i="20"/>
  <c r="BL1005" i="20"/>
  <c r="AZ1005" i="20"/>
  <c r="AX1005" i="20"/>
  <c r="AV1005" i="20"/>
  <c r="AF1005" i="20"/>
  <c r="AE1005" i="20"/>
  <c r="AD1005" i="20"/>
  <c r="AB1005" i="20"/>
  <c r="U1005" i="20"/>
  <c r="M1005" i="20"/>
  <c r="L1005" i="20"/>
  <c r="K1005" i="20"/>
  <c r="AC1005" i="20" s="1"/>
  <c r="J1005" i="20"/>
  <c r="I1005" i="20"/>
  <c r="H1005" i="20"/>
  <c r="BM1004" i="20"/>
  <c r="BL1004" i="20"/>
  <c r="AZ1004" i="20"/>
  <c r="AX1004" i="20"/>
  <c r="AV1004" i="20"/>
  <c r="AF1004" i="20"/>
  <c r="AE1004" i="20"/>
  <c r="AD1004" i="20"/>
  <c r="AB1004" i="20"/>
  <c r="U1004" i="20"/>
  <c r="M1004" i="20"/>
  <c r="L1004" i="20"/>
  <c r="S1004" i="20" s="1"/>
  <c r="K1004" i="20"/>
  <c r="AC1004" i="20" s="1"/>
  <c r="J1004" i="20"/>
  <c r="I1004" i="20"/>
  <c r="H1004" i="20"/>
  <c r="BM1003" i="20"/>
  <c r="BL1003" i="20"/>
  <c r="BN1003" i="20" s="1"/>
  <c r="BO1003" i="20" s="1"/>
  <c r="BD1003" i="20" s="1"/>
  <c r="AZ1003" i="20"/>
  <c r="AX1003" i="20"/>
  <c r="AV1003" i="20"/>
  <c r="AF1003" i="20"/>
  <c r="AE1003" i="20"/>
  <c r="AD1003" i="20"/>
  <c r="AB1003" i="20"/>
  <c r="U1003" i="20"/>
  <c r="M1003" i="20"/>
  <c r="L1003" i="20"/>
  <c r="S1003" i="20" s="1"/>
  <c r="K1003" i="20"/>
  <c r="AC1003" i="20" s="1"/>
  <c r="J1003" i="20"/>
  <c r="I1003" i="20"/>
  <c r="H1003" i="20"/>
  <c r="BM1002" i="20"/>
  <c r="BL1002" i="20"/>
  <c r="BN1002" i="20" s="1"/>
  <c r="BO1002" i="20" s="1"/>
  <c r="BD1002" i="20" s="1"/>
  <c r="AZ1002" i="20"/>
  <c r="AX1002" i="20"/>
  <c r="AV1002" i="20"/>
  <c r="AF1002" i="20"/>
  <c r="AE1002" i="20"/>
  <c r="AD1002" i="20"/>
  <c r="AB1002" i="20"/>
  <c r="U1002" i="20"/>
  <c r="M1002" i="20"/>
  <c r="L1002" i="20"/>
  <c r="S1002" i="20" s="1"/>
  <c r="K1002" i="20"/>
  <c r="AC1002" i="20" s="1"/>
  <c r="J1002" i="20"/>
  <c r="I1002" i="20"/>
  <c r="H1002" i="20"/>
  <c r="BM1001" i="20"/>
  <c r="BL1001" i="20"/>
  <c r="BN1001" i="20" s="1"/>
  <c r="BO1001" i="20" s="1"/>
  <c r="BD1001" i="20" s="1"/>
  <c r="BE1001" i="20" s="1"/>
  <c r="BF1001" i="20" s="1"/>
  <c r="AZ1001" i="20"/>
  <c r="AX1001" i="20"/>
  <c r="AV1001" i="20"/>
  <c r="AF1001" i="20"/>
  <c r="AE1001" i="20"/>
  <c r="AD1001" i="20"/>
  <c r="AB1001" i="20"/>
  <c r="U1001" i="20"/>
  <c r="S1001" i="20"/>
  <c r="Q1001" i="20"/>
  <c r="M1001" i="20"/>
  <c r="L1001" i="20"/>
  <c r="K1001" i="20"/>
  <c r="AC1001" i="20" s="1"/>
  <c r="J1001" i="20"/>
  <c r="I1001" i="20"/>
  <c r="H1001" i="20"/>
  <c r="BM1000" i="20"/>
  <c r="BL1000" i="20"/>
  <c r="BN1000" i="20" s="1"/>
  <c r="BO1000" i="20" s="1"/>
  <c r="BD1000" i="20" s="1"/>
  <c r="AZ1000" i="20"/>
  <c r="AX1000" i="20"/>
  <c r="AV1000" i="20"/>
  <c r="AF1000" i="20"/>
  <c r="AE1000" i="20"/>
  <c r="AD1000" i="20"/>
  <c r="AB1000" i="20"/>
  <c r="U1000" i="20"/>
  <c r="M1000" i="20"/>
  <c r="L1000" i="20"/>
  <c r="S1000" i="20" s="1"/>
  <c r="K1000" i="20"/>
  <c r="AC1000" i="20" s="1"/>
  <c r="J1000" i="20"/>
  <c r="I1000" i="20"/>
  <c r="H1000" i="20"/>
  <c r="BM999" i="20"/>
  <c r="BL999" i="20"/>
  <c r="AZ999" i="20"/>
  <c r="AX999" i="20"/>
  <c r="AV999" i="20"/>
  <c r="AF999" i="20"/>
  <c r="AE999" i="20"/>
  <c r="AD999" i="20"/>
  <c r="AB999" i="20"/>
  <c r="U999" i="20"/>
  <c r="M999" i="20"/>
  <c r="L999" i="20"/>
  <c r="Q999" i="20" s="1"/>
  <c r="K999" i="20"/>
  <c r="J999" i="20"/>
  <c r="I999" i="20"/>
  <c r="H999" i="20"/>
  <c r="BM998" i="20"/>
  <c r="BL998" i="20"/>
  <c r="AZ998" i="20"/>
  <c r="AX998" i="20"/>
  <c r="AV998" i="20"/>
  <c r="AL998" i="20"/>
  <c r="AN998" i="20" s="1"/>
  <c r="AI998" i="20"/>
  <c r="AK998" i="20" s="1"/>
  <c r="AF998" i="20"/>
  <c r="AE998" i="20"/>
  <c r="AD998" i="20"/>
  <c r="AC998" i="20"/>
  <c r="AB998" i="20"/>
  <c r="U998" i="20"/>
  <c r="M998" i="20"/>
  <c r="L998" i="20"/>
  <c r="Q998" i="20" s="1"/>
  <c r="V998" i="20" s="1"/>
  <c r="K998" i="20"/>
  <c r="J998" i="20"/>
  <c r="I998" i="20"/>
  <c r="H998" i="20"/>
  <c r="BM997" i="20"/>
  <c r="BL997" i="20"/>
  <c r="AZ997" i="20"/>
  <c r="AX997" i="20"/>
  <c r="AV997" i="20"/>
  <c r="AL997" i="20"/>
  <c r="AN997" i="20" s="1"/>
  <c r="AI997" i="20"/>
  <c r="AK997" i="20" s="1"/>
  <c r="AF997" i="20"/>
  <c r="AE997" i="20"/>
  <c r="AD997" i="20"/>
  <c r="AB997" i="20"/>
  <c r="U997" i="20"/>
  <c r="M997" i="20"/>
  <c r="L997" i="20"/>
  <c r="K997" i="20"/>
  <c r="AC997" i="20" s="1"/>
  <c r="J997" i="20"/>
  <c r="I997" i="20"/>
  <c r="H997" i="20"/>
  <c r="BM996" i="20"/>
  <c r="BL996" i="20"/>
  <c r="AZ996" i="20"/>
  <c r="AX996" i="20"/>
  <c r="AV996" i="20"/>
  <c r="AL996" i="20"/>
  <c r="AN996" i="20" s="1"/>
  <c r="AI996" i="20"/>
  <c r="AK996" i="20" s="1"/>
  <c r="AF996" i="20"/>
  <c r="AE996" i="20"/>
  <c r="AD996" i="20"/>
  <c r="AB996" i="20"/>
  <c r="U996" i="20"/>
  <c r="Q996" i="20"/>
  <c r="T996" i="20" s="1"/>
  <c r="M996" i="20"/>
  <c r="L996" i="20"/>
  <c r="S996" i="20" s="1"/>
  <c r="K996" i="20"/>
  <c r="AC996" i="20" s="1"/>
  <c r="J996" i="20"/>
  <c r="I996" i="20"/>
  <c r="H996" i="20"/>
  <c r="BM995" i="20"/>
  <c r="BL995" i="20"/>
  <c r="AZ995" i="20"/>
  <c r="AX995" i="20"/>
  <c r="AV995" i="20"/>
  <c r="AL995" i="20"/>
  <c r="AN995" i="20" s="1"/>
  <c r="AI995" i="20"/>
  <c r="AK995" i="20" s="1"/>
  <c r="AF995" i="20"/>
  <c r="AE995" i="20"/>
  <c r="AD995" i="20"/>
  <c r="AB995" i="20"/>
  <c r="U995" i="20"/>
  <c r="M995" i="20"/>
  <c r="L995" i="20"/>
  <c r="S995" i="20" s="1"/>
  <c r="K995" i="20"/>
  <c r="AC995" i="20" s="1"/>
  <c r="J995" i="20"/>
  <c r="I995" i="20"/>
  <c r="H995" i="20"/>
  <c r="BM994" i="20"/>
  <c r="BL994" i="20"/>
  <c r="AZ994" i="20"/>
  <c r="AX994" i="20"/>
  <c r="AV994" i="20"/>
  <c r="AL994" i="20"/>
  <c r="AN994" i="20" s="1"/>
  <c r="AI994" i="20"/>
  <c r="AK994" i="20" s="1"/>
  <c r="AF994" i="20"/>
  <c r="AE994" i="20"/>
  <c r="AD994" i="20"/>
  <c r="AB994" i="20"/>
  <c r="U994" i="20"/>
  <c r="M994" i="20"/>
  <c r="L994" i="20"/>
  <c r="S994" i="20" s="1"/>
  <c r="K994" i="20"/>
  <c r="AC994" i="20" s="1"/>
  <c r="J994" i="20"/>
  <c r="I994" i="20"/>
  <c r="H994" i="20"/>
  <c r="BM993" i="20"/>
  <c r="BL993" i="20"/>
  <c r="AZ993" i="20"/>
  <c r="AX993" i="20"/>
  <c r="AV993" i="20"/>
  <c r="AL993" i="20"/>
  <c r="AN993" i="20" s="1"/>
  <c r="AI993" i="20"/>
  <c r="AK993" i="20" s="1"/>
  <c r="AF993" i="20"/>
  <c r="AE993" i="20"/>
  <c r="AD993" i="20"/>
  <c r="AB993" i="20"/>
  <c r="U993" i="20"/>
  <c r="M993" i="20"/>
  <c r="L993" i="20"/>
  <c r="S993" i="20" s="1"/>
  <c r="K993" i="20"/>
  <c r="AC993" i="20" s="1"/>
  <c r="J993" i="20"/>
  <c r="I993" i="20"/>
  <c r="H993" i="20"/>
  <c r="BM992" i="20"/>
  <c r="BL992" i="20"/>
  <c r="AZ992" i="20"/>
  <c r="AX992" i="20"/>
  <c r="AV992" i="20"/>
  <c r="AL992" i="20"/>
  <c r="AN992" i="20" s="1"/>
  <c r="AI992" i="20"/>
  <c r="AK992" i="20" s="1"/>
  <c r="AF992" i="20"/>
  <c r="AE992" i="20"/>
  <c r="AD992" i="20"/>
  <c r="AB992" i="20"/>
  <c r="U992" i="20"/>
  <c r="M992" i="20"/>
  <c r="L992" i="20"/>
  <c r="Q992" i="20" s="1"/>
  <c r="K992" i="20"/>
  <c r="AC992" i="20" s="1"/>
  <c r="J992" i="20"/>
  <c r="I992" i="20"/>
  <c r="H992" i="20"/>
  <c r="BM991" i="20"/>
  <c r="BN991" i="20" s="1"/>
  <c r="BO991" i="20" s="1"/>
  <c r="BD991" i="20" s="1"/>
  <c r="BL991" i="20"/>
  <c r="AZ991" i="20"/>
  <c r="AX991" i="20"/>
  <c r="AV991" i="20"/>
  <c r="AL991" i="20"/>
  <c r="AN991" i="20" s="1"/>
  <c r="AI991" i="20"/>
  <c r="AK991" i="20" s="1"/>
  <c r="AF991" i="20"/>
  <c r="AE991" i="20"/>
  <c r="AD991" i="20"/>
  <c r="AB991" i="20"/>
  <c r="U991" i="20"/>
  <c r="M991" i="20"/>
  <c r="L991" i="20"/>
  <c r="S991" i="20" s="1"/>
  <c r="K991" i="20"/>
  <c r="AC991" i="20" s="1"/>
  <c r="J991" i="20"/>
  <c r="I991" i="20"/>
  <c r="H991" i="20"/>
  <c r="BN990" i="20"/>
  <c r="BO990" i="20" s="1"/>
  <c r="BD990" i="20" s="1"/>
  <c r="BG990" i="20" s="1"/>
  <c r="BM990" i="20"/>
  <c r="BL990" i="20"/>
  <c r="AZ990" i="20"/>
  <c r="AX990" i="20"/>
  <c r="AV990" i="20"/>
  <c r="AN990" i="20"/>
  <c r="AL990" i="20"/>
  <c r="AI990" i="20"/>
  <c r="AK990" i="20" s="1"/>
  <c r="AF990" i="20"/>
  <c r="AE990" i="20"/>
  <c r="AD990" i="20"/>
  <c r="AB990" i="20"/>
  <c r="U990" i="20"/>
  <c r="M990" i="20"/>
  <c r="L990" i="20"/>
  <c r="S990" i="20" s="1"/>
  <c r="K990" i="20"/>
  <c r="AC990" i="20" s="1"/>
  <c r="J990" i="20"/>
  <c r="I990" i="20"/>
  <c r="H990" i="20"/>
  <c r="BM989" i="20"/>
  <c r="BL989" i="20"/>
  <c r="AZ989" i="20"/>
  <c r="AX989" i="20"/>
  <c r="AV989" i="20"/>
  <c r="AL989" i="20"/>
  <c r="AN989" i="20" s="1"/>
  <c r="AI989" i="20"/>
  <c r="AK989" i="20" s="1"/>
  <c r="AF989" i="20"/>
  <c r="AE989" i="20"/>
  <c r="AD989" i="20"/>
  <c r="AB989" i="20"/>
  <c r="U989" i="20"/>
  <c r="M989" i="20"/>
  <c r="L989" i="20"/>
  <c r="S989" i="20" s="1"/>
  <c r="K989" i="20"/>
  <c r="J989" i="20"/>
  <c r="I989" i="20"/>
  <c r="H989" i="20"/>
  <c r="BM988" i="20"/>
  <c r="BL988" i="20"/>
  <c r="AZ988" i="20"/>
  <c r="AX988" i="20"/>
  <c r="AV988" i="20"/>
  <c r="AN988" i="20"/>
  <c r="AL988" i="20"/>
  <c r="AI988" i="20"/>
  <c r="AK988" i="20" s="1"/>
  <c r="AF988" i="20"/>
  <c r="AE988" i="20"/>
  <c r="AD988" i="20"/>
  <c r="AB988" i="20"/>
  <c r="U988" i="20"/>
  <c r="M988" i="20"/>
  <c r="L988" i="20"/>
  <c r="Q988" i="20" s="1"/>
  <c r="V988" i="20" s="1"/>
  <c r="K988" i="20"/>
  <c r="AC988" i="20" s="1"/>
  <c r="J988" i="20"/>
  <c r="I988" i="20"/>
  <c r="H988" i="20"/>
  <c r="BM987" i="20"/>
  <c r="BL987" i="20"/>
  <c r="AZ987" i="20"/>
  <c r="AX987" i="20"/>
  <c r="AV987" i="20"/>
  <c r="AL987" i="20"/>
  <c r="AN987" i="20" s="1"/>
  <c r="AI987" i="20"/>
  <c r="AK987" i="20" s="1"/>
  <c r="AF987" i="20"/>
  <c r="AE987" i="20"/>
  <c r="AD987" i="20"/>
  <c r="AB987" i="20"/>
  <c r="U987" i="20"/>
  <c r="M987" i="20"/>
  <c r="L987" i="20"/>
  <c r="S987" i="20" s="1"/>
  <c r="K987" i="20"/>
  <c r="AC987" i="20" s="1"/>
  <c r="J987" i="20"/>
  <c r="I987" i="20"/>
  <c r="H987" i="20"/>
  <c r="BM986" i="20"/>
  <c r="BL986" i="20"/>
  <c r="AZ986" i="20"/>
  <c r="AX986" i="20"/>
  <c r="AV986" i="20"/>
  <c r="AL986" i="20"/>
  <c r="AN986" i="20" s="1"/>
  <c r="AI986" i="20"/>
  <c r="AK986" i="20" s="1"/>
  <c r="AF986" i="20"/>
  <c r="AE986" i="20"/>
  <c r="AD986" i="20"/>
  <c r="AB986" i="20"/>
  <c r="U986" i="20"/>
  <c r="M986" i="20"/>
  <c r="L986" i="20"/>
  <c r="S986" i="20" s="1"/>
  <c r="K986" i="20"/>
  <c r="AC986" i="20" s="1"/>
  <c r="J986" i="20"/>
  <c r="I986" i="20"/>
  <c r="H986" i="20"/>
  <c r="BM985" i="20"/>
  <c r="BL985" i="20"/>
  <c r="AZ985" i="20"/>
  <c r="AX985" i="20"/>
  <c r="AV985" i="20"/>
  <c r="AL985" i="20"/>
  <c r="AN985" i="20" s="1"/>
  <c r="AI985" i="20"/>
  <c r="AK985" i="20" s="1"/>
  <c r="AF985" i="20"/>
  <c r="AE985" i="20"/>
  <c r="AD985" i="20"/>
  <c r="AB985" i="20"/>
  <c r="U985" i="20"/>
  <c r="M985" i="20"/>
  <c r="L985" i="20"/>
  <c r="S985" i="20" s="1"/>
  <c r="K985" i="20"/>
  <c r="AC985" i="20" s="1"/>
  <c r="J985" i="20"/>
  <c r="I985" i="20"/>
  <c r="H985" i="20"/>
  <c r="BM984" i="20"/>
  <c r="BL984" i="20"/>
  <c r="AZ984" i="20"/>
  <c r="AX984" i="20"/>
  <c r="AV984" i="20"/>
  <c r="AL984" i="20"/>
  <c r="AN984" i="20" s="1"/>
  <c r="AI984" i="20"/>
  <c r="AK984" i="20" s="1"/>
  <c r="AF984" i="20"/>
  <c r="AE984" i="20"/>
  <c r="AD984" i="20"/>
  <c r="AB984" i="20"/>
  <c r="U984" i="20"/>
  <c r="Q984" i="20"/>
  <c r="V984" i="20" s="1"/>
  <c r="M984" i="20"/>
  <c r="L984" i="20"/>
  <c r="S984" i="20" s="1"/>
  <c r="K984" i="20"/>
  <c r="AC984" i="20" s="1"/>
  <c r="J984" i="20"/>
  <c r="I984" i="20"/>
  <c r="H984" i="20"/>
  <c r="BM983" i="20"/>
  <c r="BL983" i="20"/>
  <c r="AZ983" i="20"/>
  <c r="AX983" i="20"/>
  <c r="AV983" i="20"/>
  <c r="AL983" i="20"/>
  <c r="AN983" i="20" s="1"/>
  <c r="AI983" i="20"/>
  <c r="AK983" i="20" s="1"/>
  <c r="AF983" i="20"/>
  <c r="AE983" i="20"/>
  <c r="AD983" i="20"/>
  <c r="AB983" i="20"/>
  <c r="U983" i="20"/>
  <c r="Q983" i="20"/>
  <c r="V983" i="20" s="1"/>
  <c r="M983" i="20"/>
  <c r="L983" i="20"/>
  <c r="S983" i="20" s="1"/>
  <c r="K983" i="20"/>
  <c r="AC983" i="20" s="1"/>
  <c r="J983" i="20"/>
  <c r="I983" i="20"/>
  <c r="H983" i="20"/>
  <c r="BM982" i="20"/>
  <c r="BL982" i="20"/>
  <c r="AZ982" i="20"/>
  <c r="AX982" i="20"/>
  <c r="AV982" i="20"/>
  <c r="AL982" i="20"/>
  <c r="AN982" i="20" s="1"/>
  <c r="AI982" i="20"/>
  <c r="AK982" i="20" s="1"/>
  <c r="AF982" i="20"/>
  <c r="AE982" i="20"/>
  <c r="AD982" i="20"/>
  <c r="AB982" i="20"/>
  <c r="U982" i="20"/>
  <c r="M982" i="20"/>
  <c r="L982" i="20"/>
  <c r="Q982" i="20" s="1"/>
  <c r="V982" i="20" s="1"/>
  <c r="K982" i="20"/>
  <c r="AC982" i="20" s="1"/>
  <c r="J982" i="20"/>
  <c r="I982" i="20"/>
  <c r="H982" i="20"/>
  <c r="BM981" i="20"/>
  <c r="BL981" i="20"/>
  <c r="AZ981" i="20"/>
  <c r="AX981" i="20"/>
  <c r="AV981" i="20"/>
  <c r="AL981" i="20"/>
  <c r="AN981" i="20" s="1"/>
  <c r="AI981" i="20"/>
  <c r="AK981" i="20" s="1"/>
  <c r="AF981" i="20"/>
  <c r="AE981" i="20"/>
  <c r="AD981" i="20"/>
  <c r="AB981" i="20"/>
  <c r="U981" i="20"/>
  <c r="M981" i="20"/>
  <c r="L981" i="20"/>
  <c r="K981" i="20"/>
  <c r="AC981" i="20" s="1"/>
  <c r="J981" i="20"/>
  <c r="I981" i="20"/>
  <c r="H981" i="20"/>
  <c r="BM980" i="20"/>
  <c r="BL980" i="20"/>
  <c r="BN980" i="20" s="1"/>
  <c r="BO980" i="20" s="1"/>
  <c r="BD980" i="20" s="1"/>
  <c r="AZ980" i="20"/>
  <c r="AX980" i="20"/>
  <c r="AV980" i="20"/>
  <c r="AL980" i="20"/>
  <c r="AN980" i="20" s="1"/>
  <c r="AI980" i="20"/>
  <c r="AK980" i="20" s="1"/>
  <c r="AF980" i="20"/>
  <c r="AE980" i="20"/>
  <c r="AD980" i="20"/>
  <c r="AB980" i="20"/>
  <c r="U980" i="20"/>
  <c r="Q980" i="20"/>
  <c r="T980" i="20" s="1"/>
  <c r="M980" i="20"/>
  <c r="L980" i="20"/>
  <c r="S980" i="20" s="1"/>
  <c r="K980" i="20"/>
  <c r="AC980" i="20" s="1"/>
  <c r="J980" i="20"/>
  <c r="I980" i="20"/>
  <c r="H980" i="20"/>
  <c r="BM979" i="20"/>
  <c r="BL979" i="20"/>
  <c r="AZ979" i="20"/>
  <c r="AX979" i="20"/>
  <c r="AV979" i="20"/>
  <c r="AL979" i="20"/>
  <c r="AN979" i="20" s="1"/>
  <c r="AI979" i="20"/>
  <c r="AK979" i="20" s="1"/>
  <c r="AF979" i="20"/>
  <c r="AE979" i="20"/>
  <c r="AD979" i="20"/>
  <c r="AB979" i="20"/>
  <c r="U979" i="20"/>
  <c r="M979" i="20"/>
  <c r="L979" i="20"/>
  <c r="K979" i="20"/>
  <c r="AC979" i="20" s="1"/>
  <c r="J979" i="20"/>
  <c r="I979" i="20"/>
  <c r="H979" i="20"/>
  <c r="BM978" i="20"/>
  <c r="BL978" i="20"/>
  <c r="AZ978" i="20"/>
  <c r="AX978" i="20"/>
  <c r="AV978" i="20"/>
  <c r="AL978" i="20"/>
  <c r="AN978" i="20" s="1"/>
  <c r="AI978" i="20"/>
  <c r="AK978" i="20" s="1"/>
  <c r="AF978" i="20"/>
  <c r="AE978" i="20"/>
  <c r="AD978" i="20"/>
  <c r="AB978" i="20"/>
  <c r="U978" i="20"/>
  <c r="M978" i="20"/>
  <c r="L978" i="20"/>
  <c r="K978" i="20"/>
  <c r="AC978" i="20" s="1"/>
  <c r="J978" i="20"/>
  <c r="I978" i="20"/>
  <c r="H978" i="20"/>
  <c r="BM977" i="20"/>
  <c r="BL977" i="20"/>
  <c r="AZ977" i="20"/>
  <c r="AX977" i="20"/>
  <c r="AV977" i="20"/>
  <c r="AL977" i="20"/>
  <c r="AN977" i="20" s="1"/>
  <c r="AI977" i="20"/>
  <c r="AK977" i="20" s="1"/>
  <c r="AF977" i="20"/>
  <c r="AE977" i="20"/>
  <c r="AD977" i="20"/>
  <c r="AB977" i="20"/>
  <c r="U977" i="20"/>
  <c r="M977" i="20"/>
  <c r="L977" i="20"/>
  <c r="S977" i="20" s="1"/>
  <c r="K977" i="20"/>
  <c r="AC977" i="20" s="1"/>
  <c r="J977" i="20"/>
  <c r="I977" i="20"/>
  <c r="H977" i="20"/>
  <c r="BM976" i="20"/>
  <c r="BL976" i="20"/>
  <c r="AZ976" i="20"/>
  <c r="AX976" i="20"/>
  <c r="AV976" i="20"/>
  <c r="AL976" i="20"/>
  <c r="AN976" i="20" s="1"/>
  <c r="AI976" i="20"/>
  <c r="AK976" i="20" s="1"/>
  <c r="AF976" i="20"/>
  <c r="AE976" i="20"/>
  <c r="AD976" i="20"/>
  <c r="AB976" i="20"/>
  <c r="U976" i="20"/>
  <c r="M976" i="20"/>
  <c r="L976" i="20"/>
  <c r="S976" i="20" s="1"/>
  <c r="K976" i="20"/>
  <c r="AC976" i="20" s="1"/>
  <c r="J976" i="20"/>
  <c r="I976" i="20"/>
  <c r="H976" i="20"/>
  <c r="BM975" i="20"/>
  <c r="BL975" i="20"/>
  <c r="BN975" i="20" s="1"/>
  <c r="BO975" i="20" s="1"/>
  <c r="BD975" i="20" s="1"/>
  <c r="AZ975" i="20"/>
  <c r="AX975" i="20"/>
  <c r="AV975" i="20"/>
  <c r="AL975" i="20"/>
  <c r="AN975" i="20" s="1"/>
  <c r="AI975" i="20"/>
  <c r="AK975" i="20" s="1"/>
  <c r="AF975" i="20"/>
  <c r="AE975" i="20"/>
  <c r="AD975" i="20"/>
  <c r="AB975" i="20"/>
  <c r="U975" i="20"/>
  <c r="M975" i="20"/>
  <c r="L975" i="20"/>
  <c r="Q975" i="20" s="1"/>
  <c r="V975" i="20" s="1"/>
  <c r="K975" i="20"/>
  <c r="AC975" i="20" s="1"/>
  <c r="J975" i="20"/>
  <c r="I975" i="20"/>
  <c r="H975" i="20"/>
  <c r="BM974" i="20"/>
  <c r="BL974" i="20"/>
  <c r="AZ974" i="20"/>
  <c r="AX974" i="20"/>
  <c r="AV974" i="20"/>
  <c r="AL974" i="20"/>
  <c r="AN974" i="20" s="1"/>
  <c r="AI974" i="20"/>
  <c r="AK974" i="20" s="1"/>
  <c r="AF974" i="20"/>
  <c r="AE974" i="20"/>
  <c r="AD974" i="20"/>
  <c r="AB974" i="20"/>
  <c r="U974" i="20"/>
  <c r="M974" i="20"/>
  <c r="L974" i="20"/>
  <c r="S974" i="20" s="1"/>
  <c r="K974" i="20"/>
  <c r="AC974" i="20" s="1"/>
  <c r="J974" i="20"/>
  <c r="I974" i="20"/>
  <c r="H974" i="20"/>
  <c r="BM973" i="20"/>
  <c r="BL973" i="20"/>
  <c r="AZ973" i="20"/>
  <c r="AX973" i="20"/>
  <c r="AV973" i="20"/>
  <c r="AL973" i="20"/>
  <c r="AN973" i="20" s="1"/>
  <c r="AI973" i="20"/>
  <c r="AK973" i="20" s="1"/>
  <c r="AF973" i="20"/>
  <c r="AE973" i="20"/>
  <c r="AD973" i="20"/>
  <c r="AB973" i="20"/>
  <c r="U973" i="20"/>
  <c r="M973" i="20"/>
  <c r="L973" i="20"/>
  <c r="S973" i="20" s="1"/>
  <c r="K973" i="20"/>
  <c r="AC973" i="20" s="1"/>
  <c r="J973" i="20"/>
  <c r="I973" i="20"/>
  <c r="H973" i="20"/>
  <c r="BM972" i="20"/>
  <c r="BL972" i="20"/>
  <c r="BN972" i="20" s="1"/>
  <c r="BO972" i="20" s="1"/>
  <c r="BD972" i="20" s="1"/>
  <c r="BG972" i="20" s="1"/>
  <c r="AZ972" i="20"/>
  <c r="AX972" i="20"/>
  <c r="AV972" i="20"/>
  <c r="AN972" i="20"/>
  <c r="AL972" i="20"/>
  <c r="AI972" i="20"/>
  <c r="AK972" i="20" s="1"/>
  <c r="AF972" i="20"/>
  <c r="AE972" i="20"/>
  <c r="AD972" i="20"/>
  <c r="AB972" i="20"/>
  <c r="U972" i="20"/>
  <c r="M972" i="20"/>
  <c r="L972" i="20"/>
  <c r="S972" i="20" s="1"/>
  <c r="K972" i="20"/>
  <c r="AC972" i="20" s="1"/>
  <c r="J972" i="20"/>
  <c r="I972" i="20"/>
  <c r="H972" i="20"/>
  <c r="BM971" i="20"/>
  <c r="BL971" i="20"/>
  <c r="AZ971" i="20"/>
  <c r="AX971" i="20"/>
  <c r="AV971" i="20"/>
  <c r="AL971" i="20"/>
  <c r="AN971" i="20" s="1"/>
  <c r="AI971" i="20"/>
  <c r="AK971" i="20" s="1"/>
  <c r="AF971" i="20"/>
  <c r="AE971" i="20"/>
  <c r="AD971" i="20"/>
  <c r="AB971" i="20"/>
  <c r="U971" i="20"/>
  <c r="M971" i="20"/>
  <c r="L971" i="20"/>
  <c r="S971" i="20" s="1"/>
  <c r="K971" i="20"/>
  <c r="AC971" i="20" s="1"/>
  <c r="J971" i="20"/>
  <c r="I971" i="20"/>
  <c r="H971" i="20"/>
  <c r="BM970" i="20"/>
  <c r="BL970" i="20"/>
  <c r="AZ970" i="20"/>
  <c r="AX970" i="20"/>
  <c r="AV970" i="20"/>
  <c r="AL970" i="20"/>
  <c r="AN970" i="20" s="1"/>
  <c r="AI970" i="20"/>
  <c r="AK970" i="20" s="1"/>
  <c r="AF970" i="20"/>
  <c r="AE970" i="20"/>
  <c r="AD970" i="20"/>
  <c r="AB970" i="20"/>
  <c r="U970" i="20"/>
  <c r="Q970" i="20"/>
  <c r="V970" i="20" s="1"/>
  <c r="M970" i="20"/>
  <c r="L970" i="20"/>
  <c r="S970" i="20" s="1"/>
  <c r="K970" i="20"/>
  <c r="AC970" i="20" s="1"/>
  <c r="J970" i="20"/>
  <c r="I970" i="20"/>
  <c r="H970" i="20"/>
  <c r="BM969" i="20"/>
  <c r="BL969" i="20"/>
  <c r="BN969" i="20" s="1"/>
  <c r="BO969" i="20" s="1"/>
  <c r="BD969" i="20" s="1"/>
  <c r="AZ969" i="20"/>
  <c r="AX969" i="20"/>
  <c r="AV969" i="20"/>
  <c r="AL969" i="20"/>
  <c r="AN969" i="20" s="1"/>
  <c r="AI969" i="20"/>
  <c r="AK969" i="20" s="1"/>
  <c r="AF969" i="20"/>
  <c r="AE969" i="20"/>
  <c r="AD969" i="20"/>
  <c r="AB969" i="20"/>
  <c r="U969" i="20"/>
  <c r="M969" i="20"/>
  <c r="L969" i="20"/>
  <c r="Q969" i="20" s="1"/>
  <c r="V969" i="20" s="1"/>
  <c r="K969" i="20"/>
  <c r="AC969" i="20" s="1"/>
  <c r="J969" i="20"/>
  <c r="I969" i="20"/>
  <c r="H969" i="20"/>
  <c r="BM968" i="20"/>
  <c r="BL968" i="20"/>
  <c r="AZ968" i="20"/>
  <c r="AX968" i="20"/>
  <c r="AV968" i="20"/>
  <c r="AL968" i="20"/>
  <c r="AN968" i="20" s="1"/>
  <c r="AI968" i="20"/>
  <c r="AK968" i="20" s="1"/>
  <c r="AF968" i="20"/>
  <c r="AE968" i="20"/>
  <c r="AD968" i="20"/>
  <c r="AB968" i="20"/>
  <c r="U968" i="20"/>
  <c r="M968" i="20"/>
  <c r="L968" i="20"/>
  <c r="S968" i="20" s="1"/>
  <c r="K968" i="20"/>
  <c r="AC968" i="20" s="1"/>
  <c r="J968" i="20"/>
  <c r="I968" i="20"/>
  <c r="H968" i="20"/>
  <c r="BM967" i="20"/>
  <c r="BL967" i="20"/>
  <c r="AZ967" i="20"/>
  <c r="AX967" i="20"/>
  <c r="AV967" i="20"/>
  <c r="AL967" i="20"/>
  <c r="AN967" i="20" s="1"/>
  <c r="AK967" i="20"/>
  <c r="AI967" i="20"/>
  <c r="AF967" i="20"/>
  <c r="AE967" i="20"/>
  <c r="AD967" i="20"/>
  <c r="AB967" i="20"/>
  <c r="U967" i="20"/>
  <c r="M967" i="20"/>
  <c r="L967" i="20"/>
  <c r="S967" i="20" s="1"/>
  <c r="K967" i="20"/>
  <c r="AC967" i="20" s="1"/>
  <c r="J967" i="20"/>
  <c r="I967" i="20"/>
  <c r="H967" i="20"/>
  <c r="BM966" i="20"/>
  <c r="BL966" i="20"/>
  <c r="AZ966" i="20"/>
  <c r="AX966" i="20"/>
  <c r="AV966" i="20"/>
  <c r="AL966" i="20"/>
  <c r="AN966" i="20" s="1"/>
  <c r="AI966" i="20"/>
  <c r="AK966" i="20" s="1"/>
  <c r="AF966" i="20"/>
  <c r="AE966" i="20"/>
  <c r="AD966" i="20"/>
  <c r="AB966" i="20"/>
  <c r="U966" i="20"/>
  <c r="M966" i="20"/>
  <c r="L966" i="20"/>
  <c r="K966" i="20"/>
  <c r="AC966" i="20" s="1"/>
  <c r="J966" i="20"/>
  <c r="I966" i="20"/>
  <c r="H966" i="20"/>
  <c r="BM965" i="20"/>
  <c r="BL965" i="20"/>
  <c r="AZ965" i="20"/>
  <c r="AX965" i="20"/>
  <c r="AV965" i="20"/>
  <c r="AL965" i="20"/>
  <c r="AN965" i="20" s="1"/>
  <c r="AI965" i="20"/>
  <c r="AK965" i="20" s="1"/>
  <c r="AF965" i="20"/>
  <c r="AE965" i="20"/>
  <c r="AD965" i="20"/>
  <c r="AB965" i="20"/>
  <c r="U965" i="20"/>
  <c r="M965" i="20"/>
  <c r="L965" i="20"/>
  <c r="S965" i="20" s="1"/>
  <c r="K965" i="20"/>
  <c r="AC965" i="20" s="1"/>
  <c r="J965" i="20"/>
  <c r="I965" i="20"/>
  <c r="H965" i="20"/>
  <c r="BM964" i="20"/>
  <c r="BL964" i="20"/>
  <c r="AZ964" i="20"/>
  <c r="AX964" i="20"/>
  <c r="AV964" i="20"/>
  <c r="AN964" i="20"/>
  <c r="AL964" i="20"/>
  <c r="AI964" i="20"/>
  <c r="AK964" i="20" s="1"/>
  <c r="AF964" i="20"/>
  <c r="AE964" i="20"/>
  <c r="AD964" i="20"/>
  <c r="AB964" i="20"/>
  <c r="U964" i="20"/>
  <c r="M964" i="20"/>
  <c r="L964" i="20"/>
  <c r="S964" i="20" s="1"/>
  <c r="K964" i="20"/>
  <c r="J964" i="20"/>
  <c r="I964" i="20"/>
  <c r="H964" i="20"/>
  <c r="BM963" i="20"/>
  <c r="BL963" i="20"/>
  <c r="BN963" i="20" s="1"/>
  <c r="BO963" i="20" s="1"/>
  <c r="BD963" i="20" s="1"/>
  <c r="AZ963" i="20"/>
  <c r="AX963" i="20"/>
  <c r="AV963" i="20"/>
  <c r="AL963" i="20"/>
  <c r="AN963" i="20" s="1"/>
  <c r="AK963" i="20"/>
  <c r="AI963" i="20"/>
  <c r="AF963" i="20"/>
  <c r="AE963" i="20"/>
  <c r="AD963" i="20"/>
  <c r="AB963" i="20"/>
  <c r="U963" i="20"/>
  <c r="M963" i="20"/>
  <c r="L963" i="20"/>
  <c r="Q963" i="20" s="1"/>
  <c r="K963" i="20"/>
  <c r="AC963" i="20" s="1"/>
  <c r="J963" i="20"/>
  <c r="I963" i="20"/>
  <c r="H963" i="20"/>
  <c r="BM962" i="20"/>
  <c r="BL962" i="20"/>
  <c r="AZ962" i="20"/>
  <c r="AX962" i="20"/>
  <c r="AV962" i="20"/>
  <c r="AL962" i="20"/>
  <c r="AN962" i="20" s="1"/>
  <c r="AI962" i="20"/>
  <c r="AK962" i="20" s="1"/>
  <c r="AF962" i="20"/>
  <c r="AE962" i="20"/>
  <c r="AD962" i="20"/>
  <c r="AB962" i="20"/>
  <c r="U962" i="20"/>
  <c r="M962" i="20"/>
  <c r="L962" i="20"/>
  <c r="K962" i="20"/>
  <c r="AC962" i="20" s="1"/>
  <c r="J962" i="20"/>
  <c r="I962" i="20"/>
  <c r="H962" i="20"/>
  <c r="BM961" i="20"/>
  <c r="BL961" i="20"/>
  <c r="BN961" i="20" s="1"/>
  <c r="BO961" i="20" s="1"/>
  <c r="BD961" i="20" s="1"/>
  <c r="AZ961" i="20"/>
  <c r="AX961" i="20"/>
  <c r="AV961" i="20"/>
  <c r="AL961" i="20"/>
  <c r="AN961" i="20" s="1"/>
  <c r="AI961" i="20"/>
  <c r="AK961" i="20" s="1"/>
  <c r="AF961" i="20"/>
  <c r="AE961" i="20"/>
  <c r="AD961" i="20"/>
  <c r="AB961" i="20"/>
  <c r="U961" i="20"/>
  <c r="M961" i="20"/>
  <c r="L961" i="20"/>
  <c r="S961" i="20" s="1"/>
  <c r="K961" i="20"/>
  <c r="AC961" i="20" s="1"/>
  <c r="J961" i="20"/>
  <c r="I961" i="20"/>
  <c r="H961" i="20"/>
  <c r="BM960" i="20"/>
  <c r="BL960" i="20"/>
  <c r="AZ960" i="20"/>
  <c r="AX960" i="20"/>
  <c r="AV960" i="20"/>
  <c r="AL960" i="20"/>
  <c r="AN960" i="20" s="1"/>
  <c r="AI960" i="20"/>
  <c r="AK960" i="20" s="1"/>
  <c r="AF960" i="20"/>
  <c r="AE960" i="20"/>
  <c r="AD960" i="20"/>
  <c r="AB960" i="20"/>
  <c r="U960" i="20"/>
  <c r="M960" i="20"/>
  <c r="L960" i="20"/>
  <c r="Q960" i="20" s="1"/>
  <c r="K960" i="20"/>
  <c r="AC960" i="20" s="1"/>
  <c r="J960" i="20"/>
  <c r="I960" i="20"/>
  <c r="H960" i="20"/>
  <c r="BM959" i="20"/>
  <c r="BL959" i="20"/>
  <c r="AZ959" i="20"/>
  <c r="AX959" i="20"/>
  <c r="AV959" i="20"/>
  <c r="AL959" i="20"/>
  <c r="AN959" i="20" s="1"/>
  <c r="AI959" i="20"/>
  <c r="AK959" i="20" s="1"/>
  <c r="AF959" i="20"/>
  <c r="AE959" i="20"/>
  <c r="AD959" i="20"/>
  <c r="AB959" i="20"/>
  <c r="U959" i="20"/>
  <c r="M959" i="20"/>
  <c r="L959" i="20"/>
  <c r="K959" i="20"/>
  <c r="AC959" i="20" s="1"/>
  <c r="J959" i="20"/>
  <c r="I959" i="20"/>
  <c r="H959" i="20"/>
  <c r="BM958" i="20"/>
  <c r="BL958" i="20"/>
  <c r="AZ958" i="20"/>
  <c r="AX958" i="20"/>
  <c r="AV958" i="20"/>
  <c r="AL958" i="20"/>
  <c r="AN958" i="20" s="1"/>
  <c r="AI958" i="20"/>
  <c r="AK958" i="20" s="1"/>
  <c r="AF958" i="20"/>
  <c r="AE958" i="20"/>
  <c r="AD958" i="20"/>
  <c r="AB958" i="20"/>
  <c r="U958" i="20"/>
  <c r="M958" i="20"/>
  <c r="L958" i="20"/>
  <c r="S958" i="20" s="1"/>
  <c r="K958" i="20"/>
  <c r="AC958" i="20" s="1"/>
  <c r="J958" i="20"/>
  <c r="I958" i="20"/>
  <c r="H958" i="20"/>
  <c r="BM957" i="20"/>
  <c r="BL957" i="20"/>
  <c r="AZ957" i="20"/>
  <c r="AX957" i="20"/>
  <c r="AV957" i="20"/>
  <c r="AL957" i="20"/>
  <c r="AN957" i="20" s="1"/>
  <c r="AI957" i="20"/>
  <c r="AK957" i="20" s="1"/>
  <c r="AF957" i="20"/>
  <c r="AE957" i="20"/>
  <c r="AD957" i="20"/>
  <c r="AB957" i="20"/>
  <c r="U957" i="20"/>
  <c r="M957" i="20"/>
  <c r="L957" i="20"/>
  <c r="K957" i="20"/>
  <c r="AC957" i="20" s="1"/>
  <c r="J957" i="20"/>
  <c r="I957" i="20"/>
  <c r="H957" i="20"/>
  <c r="BM956" i="20"/>
  <c r="BL956" i="20"/>
  <c r="AZ956" i="20"/>
  <c r="AX956" i="20"/>
  <c r="AV956" i="20"/>
  <c r="AL956" i="20"/>
  <c r="AN956" i="20" s="1"/>
  <c r="AI956" i="20"/>
  <c r="AK956" i="20" s="1"/>
  <c r="AF956" i="20"/>
  <c r="AE956" i="20"/>
  <c r="AD956" i="20"/>
  <c r="AB956" i="20"/>
  <c r="U956" i="20"/>
  <c r="M956" i="20"/>
  <c r="L956" i="20"/>
  <c r="Q956" i="20" s="1"/>
  <c r="V956" i="20" s="1"/>
  <c r="K956" i="20"/>
  <c r="AC956" i="20" s="1"/>
  <c r="J956" i="20"/>
  <c r="I956" i="20"/>
  <c r="H956" i="20"/>
  <c r="BM955" i="20"/>
  <c r="BL955" i="20"/>
  <c r="AZ955" i="20"/>
  <c r="AX955" i="20"/>
  <c r="AV955" i="20"/>
  <c r="AL955" i="20"/>
  <c r="AN955" i="20" s="1"/>
  <c r="AI955" i="20"/>
  <c r="AK955" i="20" s="1"/>
  <c r="AF955" i="20"/>
  <c r="AE955" i="20"/>
  <c r="AD955" i="20"/>
  <c r="AB955" i="20"/>
  <c r="U955" i="20"/>
  <c r="M955" i="20"/>
  <c r="L955" i="20"/>
  <c r="S955" i="20" s="1"/>
  <c r="K955" i="20"/>
  <c r="AC955" i="20" s="1"/>
  <c r="J955" i="20"/>
  <c r="I955" i="20"/>
  <c r="H955" i="20"/>
  <c r="BM954" i="20"/>
  <c r="BL954" i="20"/>
  <c r="AZ954" i="20"/>
  <c r="AX954" i="20"/>
  <c r="AV954" i="20"/>
  <c r="AL954" i="20"/>
  <c r="AN954" i="20" s="1"/>
  <c r="AI954" i="20"/>
  <c r="AK954" i="20" s="1"/>
  <c r="AF954" i="20"/>
  <c r="AE954" i="20"/>
  <c r="AD954" i="20"/>
  <c r="AB954" i="20"/>
  <c r="U954" i="20"/>
  <c r="M954" i="20"/>
  <c r="L954" i="20"/>
  <c r="Q954" i="20" s="1"/>
  <c r="V954" i="20" s="1"/>
  <c r="K954" i="20"/>
  <c r="AC954" i="20" s="1"/>
  <c r="J954" i="20"/>
  <c r="I954" i="20"/>
  <c r="H954" i="20"/>
  <c r="BM953" i="20"/>
  <c r="BL953" i="20"/>
  <c r="AZ953" i="20"/>
  <c r="AX953" i="20"/>
  <c r="AV953" i="20"/>
  <c r="AL953" i="20"/>
  <c r="AN953" i="20" s="1"/>
  <c r="AI953" i="20"/>
  <c r="AK953" i="20" s="1"/>
  <c r="AF953" i="20"/>
  <c r="AE953" i="20"/>
  <c r="AD953" i="20"/>
  <c r="AB953" i="20"/>
  <c r="U953" i="20"/>
  <c r="M953" i="20"/>
  <c r="L953" i="20"/>
  <c r="S953" i="20" s="1"/>
  <c r="K953" i="20"/>
  <c r="AC953" i="20" s="1"/>
  <c r="J953" i="20"/>
  <c r="I953" i="20"/>
  <c r="H953" i="20"/>
  <c r="BM952" i="20"/>
  <c r="BL952" i="20"/>
  <c r="AZ952" i="20"/>
  <c r="AX952" i="20"/>
  <c r="AV952" i="20"/>
  <c r="AL952" i="20"/>
  <c r="AN952" i="20" s="1"/>
  <c r="AI952" i="20"/>
  <c r="AK952" i="20" s="1"/>
  <c r="AF952" i="20"/>
  <c r="AE952" i="20"/>
  <c r="AD952" i="20"/>
  <c r="AB952" i="20"/>
  <c r="U952" i="20"/>
  <c r="M952" i="20"/>
  <c r="L952" i="20"/>
  <c r="K952" i="20"/>
  <c r="AC952" i="20" s="1"/>
  <c r="J952" i="20"/>
  <c r="I952" i="20"/>
  <c r="H952" i="20"/>
  <c r="BM951" i="20"/>
  <c r="BL951" i="20"/>
  <c r="AZ951" i="20"/>
  <c r="AX951" i="20"/>
  <c r="AV951" i="20"/>
  <c r="AL951" i="20"/>
  <c r="AN951" i="20" s="1"/>
  <c r="AI951" i="20"/>
  <c r="AK951" i="20" s="1"/>
  <c r="AF951" i="20"/>
  <c r="AE951" i="20"/>
  <c r="AD951" i="20"/>
  <c r="AB951" i="20"/>
  <c r="U951" i="20"/>
  <c r="M951" i="20"/>
  <c r="L951" i="20"/>
  <c r="K951" i="20"/>
  <c r="AC951" i="20" s="1"/>
  <c r="J951" i="20"/>
  <c r="I951" i="20"/>
  <c r="H951" i="20"/>
  <c r="BM950" i="20"/>
  <c r="BL950" i="20"/>
  <c r="AZ950" i="20"/>
  <c r="AX950" i="20"/>
  <c r="AV950" i="20"/>
  <c r="AL950" i="20"/>
  <c r="AN950" i="20" s="1"/>
  <c r="AI950" i="20"/>
  <c r="AK950" i="20" s="1"/>
  <c r="AF950" i="20"/>
  <c r="AE950" i="20"/>
  <c r="AD950" i="20"/>
  <c r="AB950" i="20"/>
  <c r="U950" i="20"/>
  <c r="M950" i="20"/>
  <c r="L950" i="20"/>
  <c r="S950" i="20" s="1"/>
  <c r="K950" i="20"/>
  <c r="AC950" i="20" s="1"/>
  <c r="J950" i="20"/>
  <c r="I950" i="20"/>
  <c r="H950" i="20"/>
  <c r="BM949" i="20"/>
  <c r="BL949" i="20"/>
  <c r="AZ949" i="20"/>
  <c r="AX949" i="20"/>
  <c r="AV949" i="20"/>
  <c r="AN949" i="20"/>
  <c r="AL949" i="20"/>
  <c r="AI949" i="20"/>
  <c r="AK949" i="20" s="1"/>
  <c r="AF949" i="20"/>
  <c r="AE949" i="20"/>
  <c r="AD949" i="20"/>
  <c r="AB949" i="20"/>
  <c r="U949" i="20"/>
  <c r="M949" i="20"/>
  <c r="L949" i="20"/>
  <c r="Q949" i="20" s="1"/>
  <c r="K949" i="20"/>
  <c r="AC949" i="20" s="1"/>
  <c r="J949" i="20"/>
  <c r="I949" i="20"/>
  <c r="H949" i="20"/>
  <c r="BM948" i="20"/>
  <c r="BL948" i="20"/>
  <c r="AZ948" i="20"/>
  <c r="AX948" i="20"/>
  <c r="AV948" i="20"/>
  <c r="AL948" i="20"/>
  <c r="AN948" i="20" s="1"/>
  <c r="AI948" i="20"/>
  <c r="AK948" i="20" s="1"/>
  <c r="AF948" i="20"/>
  <c r="AE948" i="20"/>
  <c r="AD948" i="20"/>
  <c r="AB948" i="20"/>
  <c r="U948" i="20"/>
  <c r="M948" i="20"/>
  <c r="L948" i="20"/>
  <c r="S948" i="20" s="1"/>
  <c r="K948" i="20"/>
  <c r="AC948" i="20" s="1"/>
  <c r="J948" i="20"/>
  <c r="I948" i="20"/>
  <c r="H948" i="20"/>
  <c r="BM947" i="20"/>
  <c r="BL947" i="20"/>
  <c r="AZ947" i="20"/>
  <c r="AX947" i="20"/>
  <c r="AV947" i="20"/>
  <c r="AL947" i="20"/>
  <c r="AN947" i="20" s="1"/>
  <c r="AI947" i="20"/>
  <c r="AK947" i="20" s="1"/>
  <c r="AF947" i="20"/>
  <c r="AE947" i="20"/>
  <c r="AD947" i="20"/>
  <c r="AB947" i="20"/>
  <c r="U947" i="20"/>
  <c r="M947" i="20"/>
  <c r="L947" i="20"/>
  <c r="K947" i="20"/>
  <c r="AC947" i="20" s="1"/>
  <c r="J947" i="20"/>
  <c r="I947" i="20"/>
  <c r="H947" i="20"/>
  <c r="BM946" i="20"/>
  <c r="BL946" i="20"/>
  <c r="AZ946" i="20"/>
  <c r="AX946" i="20"/>
  <c r="AV946" i="20"/>
  <c r="AL946" i="20"/>
  <c r="AN946" i="20" s="1"/>
  <c r="AI946" i="20"/>
  <c r="AK946" i="20" s="1"/>
  <c r="AF946" i="20"/>
  <c r="AE946" i="20"/>
  <c r="AD946" i="20"/>
  <c r="AB946" i="20"/>
  <c r="U946" i="20"/>
  <c r="M946" i="20"/>
  <c r="L946" i="20"/>
  <c r="S946" i="20" s="1"/>
  <c r="K946" i="20"/>
  <c r="AC946" i="20" s="1"/>
  <c r="J946" i="20"/>
  <c r="I946" i="20"/>
  <c r="H946" i="20"/>
  <c r="BM945" i="20"/>
  <c r="BL945" i="20"/>
  <c r="AZ945" i="20"/>
  <c r="AX945" i="20"/>
  <c r="AV945" i="20"/>
  <c r="AL945" i="20"/>
  <c r="AN945" i="20" s="1"/>
  <c r="AI945" i="20"/>
  <c r="AK945" i="20" s="1"/>
  <c r="AF945" i="20"/>
  <c r="AE945" i="20"/>
  <c r="AD945" i="20"/>
  <c r="AB945" i="20"/>
  <c r="U945" i="20"/>
  <c r="S945" i="20"/>
  <c r="M945" i="20"/>
  <c r="L945" i="20"/>
  <c r="Q945" i="20" s="1"/>
  <c r="V945" i="20" s="1"/>
  <c r="K945" i="20"/>
  <c r="AC945" i="20" s="1"/>
  <c r="J945" i="20"/>
  <c r="I945" i="20"/>
  <c r="H945" i="20"/>
  <c r="BM944" i="20"/>
  <c r="BL944" i="20"/>
  <c r="BN944" i="20" s="1"/>
  <c r="BO944" i="20" s="1"/>
  <c r="BD944" i="20" s="1"/>
  <c r="AZ944" i="20"/>
  <c r="AX944" i="20"/>
  <c r="AV944" i="20"/>
  <c r="AL944" i="20"/>
  <c r="AN944" i="20" s="1"/>
  <c r="AI944" i="20"/>
  <c r="AK944" i="20" s="1"/>
  <c r="AF944" i="20"/>
  <c r="AE944" i="20"/>
  <c r="AD944" i="20"/>
  <c r="AB944" i="20"/>
  <c r="U944" i="20"/>
  <c r="M944" i="20"/>
  <c r="L944" i="20"/>
  <c r="Q944" i="20" s="1"/>
  <c r="K944" i="20"/>
  <c r="AC944" i="20" s="1"/>
  <c r="J944" i="20"/>
  <c r="I944" i="20"/>
  <c r="H944" i="20"/>
  <c r="BM943" i="20"/>
  <c r="BL943" i="20"/>
  <c r="BN943" i="20" s="1"/>
  <c r="BO943" i="20" s="1"/>
  <c r="BD943" i="20" s="1"/>
  <c r="AZ943" i="20"/>
  <c r="AX943" i="20"/>
  <c r="AV943" i="20"/>
  <c r="AL943" i="20"/>
  <c r="AN943" i="20" s="1"/>
  <c r="AI943" i="20"/>
  <c r="AK943" i="20" s="1"/>
  <c r="AF943" i="20"/>
  <c r="AE943" i="20"/>
  <c r="AD943" i="20"/>
  <c r="AB943" i="20"/>
  <c r="U943" i="20"/>
  <c r="M943" i="20"/>
  <c r="L943" i="20"/>
  <c r="K943" i="20"/>
  <c r="AC943" i="20" s="1"/>
  <c r="J943" i="20"/>
  <c r="I943" i="20"/>
  <c r="H943" i="20"/>
  <c r="BM942" i="20"/>
  <c r="BL942" i="20"/>
  <c r="AZ942" i="20"/>
  <c r="AX942" i="20"/>
  <c r="AV942" i="20"/>
  <c r="AL942" i="20"/>
  <c r="AN942" i="20" s="1"/>
  <c r="AI942" i="20"/>
  <c r="AK942" i="20" s="1"/>
  <c r="AF942" i="20"/>
  <c r="AE942" i="20"/>
  <c r="AD942" i="20"/>
  <c r="AB942" i="20"/>
  <c r="U942" i="20"/>
  <c r="M942" i="20"/>
  <c r="L942" i="20"/>
  <c r="S942" i="20" s="1"/>
  <c r="K942" i="20"/>
  <c r="AC942" i="20" s="1"/>
  <c r="J942" i="20"/>
  <c r="I942" i="20"/>
  <c r="H942" i="20"/>
  <c r="BM941" i="20"/>
  <c r="BL941" i="20"/>
  <c r="AZ941" i="20"/>
  <c r="AX941" i="20"/>
  <c r="AV941" i="20"/>
  <c r="AL941" i="20"/>
  <c r="AN941" i="20" s="1"/>
  <c r="AI941" i="20"/>
  <c r="AK941" i="20" s="1"/>
  <c r="AF941" i="20"/>
  <c r="AE941" i="20"/>
  <c r="AD941" i="20"/>
  <c r="AB941" i="20"/>
  <c r="U941" i="20"/>
  <c r="M941" i="20"/>
  <c r="L941" i="20"/>
  <c r="K941" i="20"/>
  <c r="AC941" i="20" s="1"/>
  <c r="J941" i="20"/>
  <c r="I941" i="20"/>
  <c r="H941" i="20"/>
  <c r="BM940" i="20"/>
  <c r="BL940" i="20"/>
  <c r="AZ940" i="20"/>
  <c r="AX940" i="20"/>
  <c r="AV940" i="20"/>
  <c r="AL940" i="20"/>
  <c r="AN940" i="20" s="1"/>
  <c r="AI940" i="20"/>
  <c r="AK940" i="20" s="1"/>
  <c r="AF940" i="20"/>
  <c r="AE940" i="20"/>
  <c r="AD940" i="20"/>
  <c r="AB940" i="20"/>
  <c r="U940" i="20"/>
  <c r="M940" i="20"/>
  <c r="L940" i="20"/>
  <c r="Q940" i="20" s="1"/>
  <c r="V940" i="20" s="1"/>
  <c r="K940" i="20"/>
  <c r="J940" i="20"/>
  <c r="I940" i="20"/>
  <c r="H940" i="20"/>
  <c r="BM939" i="20"/>
  <c r="BL939" i="20"/>
  <c r="AZ939" i="20"/>
  <c r="AX939" i="20"/>
  <c r="AV939" i="20"/>
  <c r="AL939" i="20"/>
  <c r="AN939" i="20" s="1"/>
  <c r="AI939" i="20"/>
  <c r="AK939" i="20" s="1"/>
  <c r="AF939" i="20"/>
  <c r="AE939" i="20"/>
  <c r="AD939" i="20"/>
  <c r="AB939" i="20"/>
  <c r="U939" i="20"/>
  <c r="M939" i="20"/>
  <c r="L939" i="20"/>
  <c r="S939" i="20" s="1"/>
  <c r="K939" i="20"/>
  <c r="AC939" i="20" s="1"/>
  <c r="J939" i="20"/>
  <c r="I939" i="20"/>
  <c r="H939" i="20"/>
  <c r="BM938" i="20"/>
  <c r="BL938" i="20"/>
  <c r="AZ938" i="20"/>
  <c r="AX938" i="20"/>
  <c r="AV938" i="20"/>
  <c r="AL938" i="20"/>
  <c r="AN938" i="20" s="1"/>
  <c r="AI938" i="20"/>
  <c r="AK938" i="20" s="1"/>
  <c r="AF938" i="20"/>
  <c r="AE938" i="20"/>
  <c r="AD938" i="20"/>
  <c r="AB938" i="20"/>
  <c r="U938" i="20"/>
  <c r="S938" i="20"/>
  <c r="T938" i="20" s="1"/>
  <c r="M938" i="20"/>
  <c r="L938" i="20"/>
  <c r="Q938" i="20" s="1"/>
  <c r="V938" i="20" s="1"/>
  <c r="K938" i="20"/>
  <c r="AC938" i="20" s="1"/>
  <c r="J938" i="20"/>
  <c r="I938" i="20"/>
  <c r="H938" i="20"/>
  <c r="BM937" i="20"/>
  <c r="BL937" i="20"/>
  <c r="AZ937" i="20"/>
  <c r="AX937" i="20"/>
  <c r="AV937" i="20"/>
  <c r="AL937" i="20"/>
  <c r="AN937" i="20" s="1"/>
  <c r="AI937" i="20"/>
  <c r="AK937" i="20" s="1"/>
  <c r="AF937" i="20"/>
  <c r="AE937" i="20"/>
  <c r="AD937" i="20"/>
  <c r="AB937" i="20"/>
  <c r="U937" i="20"/>
  <c r="M937" i="20"/>
  <c r="L937" i="20"/>
  <c r="K937" i="20"/>
  <c r="AC937" i="20" s="1"/>
  <c r="J937" i="20"/>
  <c r="I937" i="20"/>
  <c r="H937" i="20"/>
  <c r="BM936" i="20"/>
  <c r="BL936" i="20"/>
  <c r="AZ936" i="20"/>
  <c r="AX936" i="20"/>
  <c r="AV936" i="20"/>
  <c r="AL936" i="20"/>
  <c r="AN936" i="20" s="1"/>
  <c r="AI936" i="20"/>
  <c r="AK936" i="20" s="1"/>
  <c r="AF936" i="20"/>
  <c r="AE936" i="20"/>
  <c r="AD936" i="20"/>
  <c r="AB936" i="20"/>
  <c r="U936" i="20"/>
  <c r="M936" i="20"/>
  <c r="L936" i="20"/>
  <c r="S936" i="20" s="1"/>
  <c r="K936" i="20"/>
  <c r="J936" i="20"/>
  <c r="I936" i="20"/>
  <c r="H936" i="20"/>
  <c r="BM935" i="20"/>
  <c r="BL935" i="20"/>
  <c r="AZ935" i="20"/>
  <c r="AX935" i="20"/>
  <c r="AV935" i="20"/>
  <c r="AL935" i="20"/>
  <c r="AN935" i="20" s="1"/>
  <c r="AI935" i="20"/>
  <c r="AK935" i="20" s="1"/>
  <c r="AF935" i="20"/>
  <c r="AE935" i="20"/>
  <c r="AD935" i="20"/>
  <c r="AB935" i="20"/>
  <c r="U935" i="20"/>
  <c r="M935" i="20"/>
  <c r="L935" i="20"/>
  <c r="Q935" i="20" s="1"/>
  <c r="K935" i="20"/>
  <c r="AC935" i="20" s="1"/>
  <c r="J935" i="20"/>
  <c r="I935" i="20"/>
  <c r="H935" i="20"/>
  <c r="BM934" i="20"/>
  <c r="BL934" i="20"/>
  <c r="AZ934" i="20"/>
  <c r="AX934" i="20"/>
  <c r="AV934" i="20"/>
  <c r="AL934" i="20"/>
  <c r="AN934" i="20" s="1"/>
  <c r="AI934" i="20"/>
  <c r="AK934" i="20" s="1"/>
  <c r="AF934" i="20"/>
  <c r="AE934" i="20"/>
  <c r="AD934" i="20"/>
  <c r="AB934" i="20"/>
  <c r="U934" i="20"/>
  <c r="M934" i="20"/>
  <c r="L934" i="20"/>
  <c r="S934" i="20" s="1"/>
  <c r="K934" i="20"/>
  <c r="J934" i="20"/>
  <c r="I934" i="20"/>
  <c r="H934" i="20"/>
  <c r="BM933" i="20"/>
  <c r="BL933" i="20"/>
  <c r="AZ933" i="20"/>
  <c r="AX933" i="20"/>
  <c r="AV933" i="20"/>
  <c r="AL933" i="20"/>
  <c r="AN933" i="20" s="1"/>
  <c r="AI933" i="20"/>
  <c r="AK933" i="20" s="1"/>
  <c r="AF933" i="20"/>
  <c r="AE933" i="20"/>
  <c r="AD933" i="20"/>
  <c r="AB933" i="20"/>
  <c r="U933" i="20"/>
  <c r="M933" i="20"/>
  <c r="L933" i="20"/>
  <c r="S933" i="20" s="1"/>
  <c r="K933" i="20"/>
  <c r="AC933" i="20" s="1"/>
  <c r="J933" i="20"/>
  <c r="I933" i="20"/>
  <c r="H933" i="20"/>
  <c r="BM932" i="20"/>
  <c r="BL932" i="20"/>
  <c r="AZ932" i="20"/>
  <c r="AX932" i="20"/>
  <c r="AV932" i="20"/>
  <c r="AL932" i="20"/>
  <c r="AN932" i="20" s="1"/>
  <c r="AI932" i="20"/>
  <c r="AK932" i="20" s="1"/>
  <c r="AF932" i="20"/>
  <c r="AE932" i="20"/>
  <c r="AD932" i="20"/>
  <c r="AB932" i="20"/>
  <c r="U932" i="20"/>
  <c r="M932" i="20"/>
  <c r="L932" i="20"/>
  <c r="S932" i="20" s="1"/>
  <c r="K932" i="20"/>
  <c r="AC932" i="20" s="1"/>
  <c r="J932" i="20"/>
  <c r="I932" i="20"/>
  <c r="H932" i="20"/>
  <c r="BM931" i="20"/>
  <c r="BL931" i="20"/>
  <c r="AZ931" i="20"/>
  <c r="AX931" i="20"/>
  <c r="AV931" i="20"/>
  <c r="AL931" i="20"/>
  <c r="AN931" i="20" s="1"/>
  <c r="AI931" i="20"/>
  <c r="AK931" i="20" s="1"/>
  <c r="AF931" i="20"/>
  <c r="AE931" i="20"/>
  <c r="AD931" i="20"/>
  <c r="AB931" i="20"/>
  <c r="U931" i="20"/>
  <c r="M931" i="20"/>
  <c r="L931" i="20"/>
  <c r="S931" i="20" s="1"/>
  <c r="K931" i="20"/>
  <c r="AC931" i="20" s="1"/>
  <c r="J931" i="20"/>
  <c r="I931" i="20"/>
  <c r="H931" i="20"/>
  <c r="BM930" i="20"/>
  <c r="BL930" i="20"/>
  <c r="AZ930" i="20"/>
  <c r="AX930" i="20"/>
  <c r="AV930" i="20"/>
  <c r="AL930" i="20"/>
  <c r="AN930" i="20" s="1"/>
  <c r="AI930" i="20"/>
  <c r="AK930" i="20" s="1"/>
  <c r="AF930" i="20"/>
  <c r="AE930" i="20"/>
  <c r="AD930" i="20"/>
  <c r="AB930" i="20"/>
  <c r="U930" i="20"/>
  <c r="S930" i="20"/>
  <c r="Q930" i="20"/>
  <c r="V930" i="20" s="1"/>
  <c r="M930" i="20"/>
  <c r="L930" i="20"/>
  <c r="K930" i="20"/>
  <c r="AC930" i="20" s="1"/>
  <c r="J930" i="20"/>
  <c r="I930" i="20"/>
  <c r="H930" i="20"/>
  <c r="BM929" i="20"/>
  <c r="BL929" i="20"/>
  <c r="AZ929" i="20"/>
  <c r="AX929" i="20"/>
  <c r="AV929" i="20"/>
  <c r="AL929" i="20"/>
  <c r="AN929" i="20" s="1"/>
  <c r="AI929" i="20"/>
  <c r="AK929" i="20" s="1"/>
  <c r="AF929" i="20"/>
  <c r="AE929" i="20"/>
  <c r="AD929" i="20"/>
  <c r="AB929" i="20"/>
  <c r="U929" i="20"/>
  <c r="M929" i="20"/>
  <c r="L929" i="20"/>
  <c r="K929" i="20"/>
  <c r="AC929" i="20" s="1"/>
  <c r="J929" i="20"/>
  <c r="I929" i="20"/>
  <c r="H929" i="20"/>
  <c r="BM928" i="20"/>
  <c r="BL928" i="20"/>
  <c r="AZ928" i="20"/>
  <c r="AX928" i="20"/>
  <c r="AV928" i="20"/>
  <c r="AL928" i="20"/>
  <c r="AN928" i="20" s="1"/>
  <c r="AI928" i="20"/>
  <c r="AK928" i="20" s="1"/>
  <c r="AF928" i="20"/>
  <c r="AE928" i="20"/>
  <c r="AD928" i="20"/>
  <c r="AB928" i="20"/>
  <c r="U928" i="20"/>
  <c r="M928" i="20"/>
  <c r="L928" i="20"/>
  <c r="Q928" i="20" s="1"/>
  <c r="V928" i="20" s="1"/>
  <c r="K928" i="20"/>
  <c r="AC928" i="20" s="1"/>
  <c r="J928" i="20"/>
  <c r="I928" i="20"/>
  <c r="H928" i="20"/>
  <c r="BM927" i="20"/>
  <c r="BL927" i="20"/>
  <c r="AZ927" i="20"/>
  <c r="AX927" i="20"/>
  <c r="AV927" i="20"/>
  <c r="AL927" i="20"/>
  <c r="AN927" i="20" s="1"/>
  <c r="AI927" i="20"/>
  <c r="AK927" i="20" s="1"/>
  <c r="AF927" i="20"/>
  <c r="AE927" i="20"/>
  <c r="AD927" i="20"/>
  <c r="AB927" i="20"/>
  <c r="U927" i="20"/>
  <c r="M927" i="20"/>
  <c r="L927" i="20"/>
  <c r="S927" i="20" s="1"/>
  <c r="K927" i="20"/>
  <c r="AC927" i="20" s="1"/>
  <c r="J927" i="20"/>
  <c r="I927" i="20"/>
  <c r="H927" i="20"/>
  <c r="BM926" i="20"/>
  <c r="BL926" i="20"/>
  <c r="BN926" i="20" s="1"/>
  <c r="BO926" i="20" s="1"/>
  <c r="BD926" i="20" s="1"/>
  <c r="AZ926" i="20"/>
  <c r="AX926" i="20"/>
  <c r="AS926" i="20"/>
  <c r="AV926" i="20" s="1"/>
  <c r="AL926" i="20"/>
  <c r="AN926" i="20" s="1"/>
  <c r="AI926" i="20"/>
  <c r="AK926" i="20" s="1"/>
  <c r="AF926" i="20"/>
  <c r="AE926" i="20"/>
  <c r="AD926" i="20"/>
  <c r="AB926" i="20"/>
  <c r="U926" i="20"/>
  <c r="M926" i="20"/>
  <c r="L926" i="20"/>
  <c r="S926" i="20" s="1"/>
  <c r="K926" i="20"/>
  <c r="AC926" i="20" s="1"/>
  <c r="J926" i="20"/>
  <c r="I926" i="20"/>
  <c r="H926" i="20"/>
  <c r="BM925" i="20"/>
  <c r="BL925" i="20"/>
  <c r="AZ925" i="20"/>
  <c r="AX925" i="20"/>
  <c r="AV925" i="20"/>
  <c r="AN925" i="20"/>
  <c r="AL925" i="20"/>
  <c r="AI925" i="20"/>
  <c r="AK925" i="20" s="1"/>
  <c r="AF925" i="20"/>
  <c r="AE925" i="20"/>
  <c r="AD925" i="20"/>
  <c r="AB925" i="20"/>
  <c r="U925" i="20"/>
  <c r="S925" i="20"/>
  <c r="W925" i="20" s="1"/>
  <c r="Q925" i="20"/>
  <c r="V925" i="20" s="1"/>
  <c r="M925" i="20"/>
  <c r="L925" i="20"/>
  <c r="K925" i="20"/>
  <c r="AC925" i="20" s="1"/>
  <c r="J925" i="20"/>
  <c r="I925" i="20"/>
  <c r="H925" i="20"/>
  <c r="BM924" i="20"/>
  <c r="BL924" i="20"/>
  <c r="AZ924" i="20"/>
  <c r="AX924" i="20"/>
  <c r="AV924" i="20"/>
  <c r="AL924" i="20"/>
  <c r="AN924" i="20" s="1"/>
  <c r="AI924" i="20"/>
  <c r="AK924" i="20" s="1"/>
  <c r="AF924" i="20"/>
  <c r="AE924" i="20"/>
  <c r="AD924" i="20"/>
  <c r="AB924" i="20"/>
  <c r="U924" i="20"/>
  <c r="M924" i="20"/>
  <c r="L924" i="20"/>
  <c r="S924" i="20" s="1"/>
  <c r="K924" i="20"/>
  <c r="AC924" i="20" s="1"/>
  <c r="J924" i="20"/>
  <c r="I924" i="20"/>
  <c r="H924" i="20"/>
  <c r="BM923" i="20"/>
  <c r="BL923" i="20"/>
  <c r="AZ923" i="20"/>
  <c r="AX923" i="20"/>
  <c r="AV923" i="20"/>
  <c r="AL923" i="20"/>
  <c r="AN923" i="20" s="1"/>
  <c r="AI923" i="20"/>
  <c r="AK923" i="20" s="1"/>
  <c r="AF923" i="20"/>
  <c r="AE923" i="20"/>
  <c r="AD923" i="20"/>
  <c r="AB923" i="20"/>
  <c r="U923" i="20"/>
  <c r="M923" i="20"/>
  <c r="L923" i="20"/>
  <c r="Q923" i="20" s="1"/>
  <c r="K923" i="20"/>
  <c r="AC923" i="20" s="1"/>
  <c r="J923" i="20"/>
  <c r="I923" i="20"/>
  <c r="H923" i="20"/>
  <c r="BM922" i="20"/>
  <c r="BL922" i="20"/>
  <c r="BN922" i="20" s="1"/>
  <c r="BO922" i="20" s="1"/>
  <c r="BD922" i="20" s="1"/>
  <c r="AZ922" i="20"/>
  <c r="AX922" i="20"/>
  <c r="AV922" i="20"/>
  <c r="AL922" i="20"/>
  <c r="AN922" i="20" s="1"/>
  <c r="AI922" i="20"/>
  <c r="AK922" i="20" s="1"/>
  <c r="AF922" i="20"/>
  <c r="AE922" i="20"/>
  <c r="AD922" i="20"/>
  <c r="AB922" i="20"/>
  <c r="U922" i="20"/>
  <c r="M922" i="20"/>
  <c r="L922" i="20"/>
  <c r="K922" i="20"/>
  <c r="AC922" i="20" s="1"/>
  <c r="J922" i="20"/>
  <c r="I922" i="20"/>
  <c r="H922" i="20"/>
  <c r="BM921" i="20"/>
  <c r="BL921" i="20"/>
  <c r="AZ921" i="20"/>
  <c r="AX921" i="20"/>
  <c r="AV921" i="20"/>
  <c r="AL921" i="20"/>
  <c r="AN921" i="20" s="1"/>
  <c r="AI921" i="20"/>
  <c r="AK921" i="20" s="1"/>
  <c r="AF921" i="20"/>
  <c r="AE921" i="20"/>
  <c r="AD921" i="20"/>
  <c r="AB921" i="20"/>
  <c r="U921" i="20"/>
  <c r="M921" i="20"/>
  <c r="L921" i="20"/>
  <c r="S921" i="20" s="1"/>
  <c r="K921" i="20"/>
  <c r="AC921" i="20" s="1"/>
  <c r="J921" i="20"/>
  <c r="I921" i="20"/>
  <c r="H921" i="20"/>
  <c r="BM920" i="20"/>
  <c r="BL920" i="20"/>
  <c r="AZ920" i="20"/>
  <c r="AX920" i="20"/>
  <c r="AV920" i="20"/>
  <c r="AL920" i="20"/>
  <c r="AN920" i="20" s="1"/>
  <c r="AI920" i="20"/>
  <c r="AK920" i="20" s="1"/>
  <c r="AF920" i="20"/>
  <c r="AE920" i="20"/>
  <c r="AD920" i="20"/>
  <c r="AB920" i="20"/>
  <c r="U920" i="20"/>
  <c r="M920" i="20"/>
  <c r="L920" i="20"/>
  <c r="K920" i="20"/>
  <c r="AC920" i="20" s="1"/>
  <c r="J920" i="20"/>
  <c r="I920" i="20"/>
  <c r="H920" i="20"/>
  <c r="BM919" i="20"/>
  <c r="BN919" i="20" s="1"/>
  <c r="BO919" i="20" s="1"/>
  <c r="BD919" i="20" s="1"/>
  <c r="BL919" i="20"/>
  <c r="AZ919" i="20"/>
  <c r="AX919" i="20"/>
  <c r="AV919" i="20"/>
  <c r="AL919" i="20"/>
  <c r="AN919" i="20" s="1"/>
  <c r="AI919" i="20"/>
  <c r="AK919" i="20" s="1"/>
  <c r="AF919" i="20"/>
  <c r="AE919" i="20"/>
  <c r="AD919" i="20"/>
  <c r="AB919" i="20"/>
  <c r="U919" i="20"/>
  <c r="M919" i="20"/>
  <c r="L919" i="20"/>
  <c r="S919" i="20" s="1"/>
  <c r="K919" i="20"/>
  <c r="AC919" i="20" s="1"/>
  <c r="J919" i="20"/>
  <c r="I919" i="20"/>
  <c r="H919" i="20"/>
  <c r="BM918" i="20"/>
  <c r="BL918" i="20"/>
  <c r="AZ918" i="20"/>
  <c r="AX918" i="20"/>
  <c r="AV918" i="20"/>
  <c r="AN918" i="20"/>
  <c r="AL918" i="20"/>
  <c r="AI918" i="20"/>
  <c r="AK918" i="20" s="1"/>
  <c r="AF918" i="20"/>
  <c r="AE918" i="20"/>
  <c r="AD918" i="20"/>
  <c r="AB918" i="20"/>
  <c r="U918" i="20"/>
  <c r="M918" i="20"/>
  <c r="L918" i="20"/>
  <c r="S918" i="20" s="1"/>
  <c r="K918" i="20"/>
  <c r="J918" i="20"/>
  <c r="I918" i="20"/>
  <c r="H918" i="20"/>
  <c r="BM917" i="20"/>
  <c r="BL917" i="20"/>
  <c r="AZ917" i="20"/>
  <c r="AX917" i="20"/>
  <c r="AV917" i="20"/>
  <c r="AL917" i="20"/>
  <c r="AN917" i="20" s="1"/>
  <c r="AI917" i="20"/>
  <c r="AK917" i="20" s="1"/>
  <c r="AF917" i="20"/>
  <c r="AE917" i="20"/>
  <c r="AD917" i="20"/>
  <c r="AB917" i="20"/>
  <c r="U917" i="20"/>
  <c r="M917" i="20"/>
  <c r="L917" i="20"/>
  <c r="K917" i="20"/>
  <c r="AC917" i="20" s="1"/>
  <c r="J917" i="20"/>
  <c r="I917" i="20"/>
  <c r="H917" i="20"/>
  <c r="BM916" i="20"/>
  <c r="BL916" i="20"/>
  <c r="AZ916" i="20"/>
  <c r="AX916" i="20"/>
  <c r="AV916" i="20"/>
  <c r="AL916" i="20"/>
  <c r="AN916" i="20" s="1"/>
  <c r="AI916" i="20"/>
  <c r="AK916" i="20" s="1"/>
  <c r="AF916" i="20"/>
  <c r="AE916" i="20"/>
  <c r="AD916" i="20"/>
  <c r="AB916" i="20"/>
  <c r="U916" i="20"/>
  <c r="M916" i="20"/>
  <c r="L916" i="20"/>
  <c r="S916" i="20" s="1"/>
  <c r="K916" i="20"/>
  <c r="AC916" i="20" s="1"/>
  <c r="J916" i="20"/>
  <c r="I916" i="20"/>
  <c r="H916" i="20"/>
  <c r="BM915" i="20"/>
  <c r="BL915" i="20"/>
  <c r="BN915" i="20" s="1"/>
  <c r="BO915" i="20" s="1"/>
  <c r="BD915" i="20" s="1"/>
  <c r="AZ915" i="20"/>
  <c r="AX915" i="20"/>
  <c r="AV915" i="20"/>
  <c r="AL915" i="20"/>
  <c r="AN915" i="20" s="1"/>
  <c r="AI915" i="20"/>
  <c r="AK915" i="20" s="1"/>
  <c r="AF915" i="20"/>
  <c r="AE915" i="20"/>
  <c r="AD915" i="20"/>
  <c r="AB915" i="20"/>
  <c r="U915" i="20"/>
  <c r="M915" i="20"/>
  <c r="L915" i="20"/>
  <c r="Q915" i="20" s="1"/>
  <c r="V915" i="20" s="1"/>
  <c r="K915" i="20"/>
  <c r="J915" i="20"/>
  <c r="I915" i="20"/>
  <c r="H915" i="20"/>
  <c r="BM914" i="20"/>
  <c r="BL914" i="20"/>
  <c r="AZ914" i="20"/>
  <c r="AX914" i="20"/>
  <c r="AV914" i="20"/>
  <c r="AL914" i="20"/>
  <c r="AN914" i="20" s="1"/>
  <c r="AI914" i="20"/>
  <c r="AK914" i="20" s="1"/>
  <c r="AF914" i="20"/>
  <c r="AE914" i="20"/>
  <c r="AD914" i="20"/>
  <c r="AB914" i="20"/>
  <c r="U914" i="20"/>
  <c r="M914" i="20"/>
  <c r="L914" i="20"/>
  <c r="S914" i="20" s="1"/>
  <c r="K914" i="20"/>
  <c r="AC914" i="20" s="1"/>
  <c r="J914" i="20"/>
  <c r="I914" i="20"/>
  <c r="H914" i="20"/>
  <c r="BM913" i="20"/>
  <c r="BL913" i="20"/>
  <c r="AZ913" i="20"/>
  <c r="AX913" i="20"/>
  <c r="AV913" i="20"/>
  <c r="AN913" i="20"/>
  <c r="AL913" i="20"/>
  <c r="AK913" i="20"/>
  <c r="AI913" i="20"/>
  <c r="AF913" i="20"/>
  <c r="AE913" i="20"/>
  <c r="AD913" i="20"/>
  <c r="AC913" i="20"/>
  <c r="AB913" i="20"/>
  <c r="U913" i="20"/>
  <c r="M913" i="20"/>
  <c r="L913" i="20"/>
  <c r="Q913" i="20" s="1"/>
  <c r="K913" i="20"/>
  <c r="J913" i="20"/>
  <c r="I913" i="20"/>
  <c r="H913" i="20"/>
  <c r="BM912" i="20"/>
  <c r="BN912" i="20" s="1"/>
  <c r="BO912" i="20" s="1"/>
  <c r="BD912" i="20" s="1"/>
  <c r="BL912" i="20"/>
  <c r="AZ912" i="20"/>
  <c r="AX912" i="20"/>
  <c r="AV912" i="20"/>
  <c r="AL912" i="20"/>
  <c r="AN912" i="20" s="1"/>
  <c r="AI912" i="20"/>
  <c r="AK912" i="20" s="1"/>
  <c r="AF912" i="20"/>
  <c r="AE912" i="20"/>
  <c r="AD912" i="20"/>
  <c r="AB912" i="20"/>
  <c r="U912" i="20"/>
  <c r="M912" i="20"/>
  <c r="L912" i="20"/>
  <c r="S912" i="20" s="1"/>
  <c r="K912" i="20"/>
  <c r="AC912" i="20" s="1"/>
  <c r="J912" i="20"/>
  <c r="I912" i="20"/>
  <c r="H912" i="20"/>
  <c r="BM911" i="20"/>
  <c r="BL911" i="20"/>
  <c r="AZ911" i="20"/>
  <c r="AX911" i="20"/>
  <c r="AV911" i="20"/>
  <c r="AN911" i="20"/>
  <c r="AL911" i="20"/>
  <c r="AI911" i="20"/>
  <c r="AK911" i="20" s="1"/>
  <c r="AF911" i="20"/>
  <c r="AE911" i="20"/>
  <c r="AD911" i="20"/>
  <c r="AB911" i="20"/>
  <c r="U911" i="20"/>
  <c r="Q911" i="20"/>
  <c r="V911" i="20" s="1"/>
  <c r="M911" i="20"/>
  <c r="L911" i="20"/>
  <c r="S911" i="20" s="1"/>
  <c r="K911" i="20"/>
  <c r="AC911" i="20" s="1"/>
  <c r="J911" i="20"/>
  <c r="I911" i="20"/>
  <c r="H911" i="20"/>
  <c r="BM910" i="20"/>
  <c r="BL910" i="20"/>
  <c r="AZ910" i="20"/>
  <c r="AX910" i="20"/>
  <c r="AV910" i="20"/>
  <c r="AL910" i="20"/>
  <c r="AN910" i="20" s="1"/>
  <c r="AI910" i="20"/>
  <c r="AK910" i="20" s="1"/>
  <c r="AF910" i="20"/>
  <c r="AE910" i="20"/>
  <c r="AD910" i="20"/>
  <c r="AB910" i="20"/>
  <c r="U910" i="20"/>
  <c r="S910" i="20"/>
  <c r="M910" i="20"/>
  <c r="L910" i="20"/>
  <c r="Q910" i="20" s="1"/>
  <c r="K910" i="20"/>
  <c r="AC910" i="20" s="1"/>
  <c r="J910" i="20"/>
  <c r="I910" i="20"/>
  <c r="H910" i="20"/>
  <c r="BM909" i="20"/>
  <c r="BL909" i="20"/>
  <c r="AZ909" i="20"/>
  <c r="AX909" i="20"/>
  <c r="AV909" i="20"/>
  <c r="AL909" i="20"/>
  <c r="AN909" i="20" s="1"/>
  <c r="AK909" i="20"/>
  <c r="AI909" i="20"/>
  <c r="AF909" i="20"/>
  <c r="AE909" i="20"/>
  <c r="AD909" i="20"/>
  <c r="AB909" i="20"/>
  <c r="U909" i="20"/>
  <c r="M909" i="20"/>
  <c r="L909" i="20"/>
  <c r="Q909" i="20" s="1"/>
  <c r="K909" i="20"/>
  <c r="AC909" i="20" s="1"/>
  <c r="J909" i="20"/>
  <c r="I909" i="20"/>
  <c r="H909" i="20"/>
  <c r="BM908" i="20"/>
  <c r="BL908" i="20"/>
  <c r="AZ908" i="20"/>
  <c r="AX908" i="20"/>
  <c r="AV908" i="20"/>
  <c r="AL908" i="20"/>
  <c r="AN908" i="20" s="1"/>
  <c r="AK908" i="20"/>
  <c r="AI908" i="20"/>
  <c r="AF908" i="20"/>
  <c r="AE908" i="20"/>
  <c r="AD908" i="20"/>
  <c r="AB908" i="20"/>
  <c r="U908" i="20"/>
  <c r="M908" i="20"/>
  <c r="L908" i="20"/>
  <c r="K908" i="20"/>
  <c r="J908" i="20"/>
  <c r="I908" i="20"/>
  <c r="H908" i="20"/>
  <c r="BM907" i="20"/>
  <c r="BL907" i="20"/>
  <c r="AZ907" i="20"/>
  <c r="AX907" i="20"/>
  <c r="AV907" i="20"/>
  <c r="AL907" i="20"/>
  <c r="AN907" i="20" s="1"/>
  <c r="AI907" i="20"/>
  <c r="AK907" i="20" s="1"/>
  <c r="AF907" i="20"/>
  <c r="AE907" i="20"/>
  <c r="AD907" i="20"/>
  <c r="AB907" i="20"/>
  <c r="U907" i="20"/>
  <c r="Q907" i="20"/>
  <c r="W907" i="20" s="1"/>
  <c r="M907" i="20"/>
  <c r="L907" i="20"/>
  <c r="S907" i="20" s="1"/>
  <c r="K907" i="20"/>
  <c r="AC907" i="20" s="1"/>
  <c r="J907" i="20"/>
  <c r="I907" i="20"/>
  <c r="H907" i="20"/>
  <c r="BM906" i="20"/>
  <c r="BL906" i="20"/>
  <c r="AZ906" i="20"/>
  <c r="AX906" i="20"/>
  <c r="AV906" i="20"/>
  <c r="AL906" i="20"/>
  <c r="AN906" i="20" s="1"/>
  <c r="AI906" i="20"/>
  <c r="AK906" i="20" s="1"/>
  <c r="AF906" i="20"/>
  <c r="AE906" i="20"/>
  <c r="AD906" i="20"/>
  <c r="AB906" i="20"/>
  <c r="U906" i="20"/>
  <c r="M906" i="20"/>
  <c r="L906" i="20"/>
  <c r="Q906" i="20" s="1"/>
  <c r="V906" i="20" s="1"/>
  <c r="K906" i="20"/>
  <c r="AC906" i="20" s="1"/>
  <c r="J906" i="20"/>
  <c r="I906" i="20"/>
  <c r="H906" i="20"/>
  <c r="BM905" i="20"/>
  <c r="BL905" i="20"/>
  <c r="AZ905" i="20"/>
  <c r="AX905" i="20"/>
  <c r="AV905" i="20"/>
  <c r="AL905" i="20"/>
  <c r="AN905" i="20" s="1"/>
  <c r="AI905" i="20"/>
  <c r="AK905" i="20" s="1"/>
  <c r="AF905" i="20"/>
  <c r="AE905" i="20"/>
  <c r="AD905" i="20"/>
  <c r="AB905" i="20"/>
  <c r="U905" i="20"/>
  <c r="M905" i="20"/>
  <c r="L905" i="20"/>
  <c r="S905" i="20" s="1"/>
  <c r="K905" i="20"/>
  <c r="AC905" i="20" s="1"/>
  <c r="J905" i="20"/>
  <c r="I905" i="20"/>
  <c r="H905" i="20"/>
  <c r="BM904" i="20"/>
  <c r="BL904" i="20"/>
  <c r="AZ904" i="20"/>
  <c r="AX904" i="20"/>
  <c r="AV904" i="20"/>
  <c r="AL904" i="20"/>
  <c r="AN904" i="20" s="1"/>
  <c r="AI904" i="20"/>
  <c r="AK904" i="20" s="1"/>
  <c r="AF904" i="20"/>
  <c r="AE904" i="20"/>
  <c r="AD904" i="20"/>
  <c r="AB904" i="20"/>
  <c r="U904" i="20"/>
  <c r="M904" i="20"/>
  <c r="L904" i="20"/>
  <c r="S904" i="20" s="1"/>
  <c r="K904" i="20"/>
  <c r="AC904" i="20" s="1"/>
  <c r="J904" i="20"/>
  <c r="I904" i="20"/>
  <c r="H904" i="20"/>
  <c r="BM903" i="20"/>
  <c r="BL903" i="20"/>
  <c r="AZ903" i="20"/>
  <c r="AX903" i="20"/>
  <c r="AV903" i="20"/>
  <c r="AL903" i="20"/>
  <c r="AN903" i="20" s="1"/>
  <c r="AK903" i="20"/>
  <c r="AI903" i="20"/>
  <c r="AF903" i="20"/>
  <c r="AE903" i="20"/>
  <c r="AD903" i="20"/>
  <c r="AB903" i="20"/>
  <c r="U903" i="20"/>
  <c r="M903" i="20"/>
  <c r="L903" i="20"/>
  <c r="K903" i="20"/>
  <c r="J903" i="20"/>
  <c r="I903" i="20"/>
  <c r="H903" i="20"/>
  <c r="BM902" i="20"/>
  <c r="BL902" i="20"/>
  <c r="AZ902" i="20"/>
  <c r="AX902" i="20"/>
  <c r="AV902" i="20"/>
  <c r="AL902" i="20"/>
  <c r="AN902" i="20" s="1"/>
  <c r="AI902" i="20"/>
  <c r="AK902" i="20" s="1"/>
  <c r="AF902" i="20"/>
  <c r="AE902" i="20"/>
  <c r="AD902" i="20"/>
  <c r="AB902" i="20"/>
  <c r="U902" i="20"/>
  <c r="M902" i="20"/>
  <c r="L902" i="20"/>
  <c r="S902" i="20" s="1"/>
  <c r="K902" i="20"/>
  <c r="AC902" i="20" s="1"/>
  <c r="J902" i="20"/>
  <c r="I902" i="20"/>
  <c r="H902" i="20"/>
  <c r="BN901" i="20"/>
  <c r="BO901" i="20" s="1"/>
  <c r="BD901" i="20" s="1"/>
  <c r="BM901" i="20"/>
  <c r="BL901" i="20"/>
  <c r="AZ901" i="20"/>
  <c r="AX901" i="20"/>
  <c r="AV901" i="20"/>
  <c r="AN901" i="20"/>
  <c r="AL901" i="20"/>
  <c r="AI901" i="20"/>
  <c r="AK901" i="20" s="1"/>
  <c r="AF901" i="20"/>
  <c r="AE901" i="20"/>
  <c r="AD901" i="20"/>
  <c r="AB901" i="20"/>
  <c r="U901" i="20"/>
  <c r="Q901" i="20"/>
  <c r="V901" i="20" s="1"/>
  <c r="M901" i="20"/>
  <c r="L901" i="20"/>
  <c r="S901" i="20" s="1"/>
  <c r="K901" i="20"/>
  <c r="AC901" i="20" s="1"/>
  <c r="J901" i="20"/>
  <c r="I901" i="20"/>
  <c r="H901" i="20"/>
  <c r="BM900" i="20"/>
  <c r="BL900" i="20"/>
  <c r="BN900" i="20" s="1"/>
  <c r="BO900" i="20" s="1"/>
  <c r="BD900" i="20" s="1"/>
  <c r="AZ900" i="20"/>
  <c r="AX900" i="20"/>
  <c r="AV900" i="20"/>
  <c r="AL900" i="20"/>
  <c r="AN900" i="20" s="1"/>
  <c r="AI900" i="20"/>
  <c r="AK900" i="20" s="1"/>
  <c r="AF900" i="20"/>
  <c r="AE900" i="20"/>
  <c r="AD900" i="20"/>
  <c r="AB900" i="20"/>
  <c r="U900" i="20"/>
  <c r="M900" i="20"/>
  <c r="L900" i="20"/>
  <c r="S900" i="20" s="1"/>
  <c r="K900" i="20"/>
  <c r="AC900" i="20" s="1"/>
  <c r="J900" i="20"/>
  <c r="I900" i="20"/>
  <c r="H900" i="20"/>
  <c r="BM899" i="20"/>
  <c r="BL899" i="20"/>
  <c r="AZ899" i="20"/>
  <c r="AX899" i="20"/>
  <c r="AV899" i="20"/>
  <c r="AL899" i="20"/>
  <c r="AN899" i="20" s="1"/>
  <c r="AI899" i="20"/>
  <c r="AK899" i="20" s="1"/>
  <c r="AF899" i="20"/>
  <c r="AE899" i="20"/>
  <c r="AD899" i="20"/>
  <c r="AB899" i="20"/>
  <c r="U899" i="20"/>
  <c r="M899" i="20"/>
  <c r="L899" i="20"/>
  <c r="K899" i="20"/>
  <c r="AC899" i="20" s="1"/>
  <c r="J899" i="20"/>
  <c r="I899" i="20"/>
  <c r="H899" i="20"/>
  <c r="BM898" i="20"/>
  <c r="BL898" i="20"/>
  <c r="AZ898" i="20"/>
  <c r="AX898" i="20"/>
  <c r="AV898" i="20"/>
  <c r="AL898" i="20"/>
  <c r="AN898" i="20" s="1"/>
  <c r="AI898" i="20"/>
  <c r="AK898" i="20" s="1"/>
  <c r="AF898" i="20"/>
  <c r="AE898" i="20"/>
  <c r="AD898" i="20"/>
  <c r="AB898" i="20"/>
  <c r="U898" i="20"/>
  <c r="M898" i="20"/>
  <c r="L898" i="20"/>
  <c r="K898" i="20"/>
  <c r="AC898" i="20" s="1"/>
  <c r="J898" i="20"/>
  <c r="I898" i="20"/>
  <c r="H898" i="20"/>
  <c r="BM897" i="20"/>
  <c r="BL897" i="20"/>
  <c r="AZ897" i="20"/>
  <c r="AX897" i="20"/>
  <c r="AV897" i="20"/>
  <c r="AL897" i="20"/>
  <c r="AN897" i="20" s="1"/>
  <c r="AI897" i="20"/>
  <c r="AK897" i="20" s="1"/>
  <c r="AF897" i="20"/>
  <c r="AE897" i="20"/>
  <c r="AD897" i="20"/>
  <c r="AB897" i="20"/>
  <c r="U897" i="20"/>
  <c r="M897" i="20"/>
  <c r="L897" i="20"/>
  <c r="Q897" i="20" s="1"/>
  <c r="K897" i="20"/>
  <c r="AC897" i="20" s="1"/>
  <c r="J897" i="20"/>
  <c r="I897" i="20"/>
  <c r="H897" i="20"/>
  <c r="BM896" i="20"/>
  <c r="BL896" i="20"/>
  <c r="AZ896" i="20"/>
  <c r="AX896" i="20"/>
  <c r="AV896" i="20"/>
  <c r="AL896" i="20"/>
  <c r="AN896" i="20" s="1"/>
  <c r="AK896" i="20"/>
  <c r="AI896" i="20"/>
  <c r="AF896" i="20"/>
  <c r="AE896" i="20"/>
  <c r="AD896" i="20"/>
  <c r="AB896" i="20"/>
  <c r="U896" i="20"/>
  <c r="M896" i="20"/>
  <c r="L896" i="20"/>
  <c r="Q896" i="20" s="1"/>
  <c r="V896" i="20" s="1"/>
  <c r="K896" i="20"/>
  <c r="AC896" i="20" s="1"/>
  <c r="J896" i="20"/>
  <c r="I896" i="20"/>
  <c r="H896" i="20"/>
  <c r="BM895" i="20"/>
  <c r="BL895" i="20"/>
  <c r="AZ895" i="20"/>
  <c r="AX895" i="20"/>
  <c r="AV895" i="20"/>
  <c r="AL895" i="20"/>
  <c r="AN895" i="20" s="1"/>
  <c r="AI895" i="20"/>
  <c r="AK895" i="20" s="1"/>
  <c r="AF895" i="20"/>
  <c r="AE895" i="20"/>
  <c r="AD895" i="20"/>
  <c r="AB895" i="20"/>
  <c r="U895" i="20"/>
  <c r="S895" i="20"/>
  <c r="M895" i="20"/>
  <c r="L895" i="20"/>
  <c r="Q895" i="20" s="1"/>
  <c r="V895" i="20" s="1"/>
  <c r="K895" i="20"/>
  <c r="AC895" i="20" s="1"/>
  <c r="J895" i="20"/>
  <c r="I895" i="20"/>
  <c r="H895" i="20"/>
  <c r="BM894" i="20"/>
  <c r="BL894" i="20"/>
  <c r="AZ894" i="20"/>
  <c r="AX894" i="20"/>
  <c r="AV894" i="20"/>
  <c r="AL894" i="20"/>
  <c r="AN894" i="20" s="1"/>
  <c r="AI894" i="20"/>
  <c r="AK894" i="20" s="1"/>
  <c r="AF894" i="20"/>
  <c r="AE894" i="20"/>
  <c r="AD894" i="20"/>
  <c r="AB894" i="20"/>
  <c r="U894" i="20"/>
  <c r="M894" i="20"/>
  <c r="L894" i="20"/>
  <c r="S894" i="20" s="1"/>
  <c r="K894" i="20"/>
  <c r="AC894" i="20" s="1"/>
  <c r="J894" i="20"/>
  <c r="I894" i="20"/>
  <c r="H894" i="20"/>
  <c r="BM893" i="20"/>
  <c r="BL893" i="20"/>
  <c r="AZ893" i="20"/>
  <c r="AX893" i="20"/>
  <c r="AV893" i="20"/>
  <c r="AL893" i="20"/>
  <c r="AN893" i="20" s="1"/>
  <c r="AI893" i="20"/>
  <c r="AK893" i="20" s="1"/>
  <c r="AF893" i="20"/>
  <c r="AE893" i="20"/>
  <c r="AD893" i="20"/>
  <c r="AB893" i="20"/>
  <c r="U893" i="20"/>
  <c r="M893" i="20"/>
  <c r="L893" i="20"/>
  <c r="Q893" i="20" s="1"/>
  <c r="K893" i="20"/>
  <c r="AC893" i="20" s="1"/>
  <c r="J893" i="20"/>
  <c r="I893" i="20"/>
  <c r="H893" i="20"/>
  <c r="BM892" i="20"/>
  <c r="BN892" i="20" s="1"/>
  <c r="BO892" i="20" s="1"/>
  <c r="BD892" i="20" s="1"/>
  <c r="BL892" i="20"/>
  <c r="AZ892" i="20"/>
  <c r="AX892" i="20"/>
  <c r="AV892" i="20"/>
  <c r="AL892" i="20"/>
  <c r="AN892" i="20" s="1"/>
  <c r="AI892" i="20"/>
  <c r="AK892" i="20" s="1"/>
  <c r="AF892" i="20"/>
  <c r="AE892" i="20"/>
  <c r="AD892" i="20"/>
  <c r="AB892" i="20"/>
  <c r="U892" i="20"/>
  <c r="M892" i="20"/>
  <c r="L892" i="20"/>
  <c r="K892" i="20"/>
  <c r="AC892" i="20" s="1"/>
  <c r="J892" i="20"/>
  <c r="I892" i="20"/>
  <c r="H892" i="20"/>
  <c r="BM891" i="20"/>
  <c r="BL891" i="20"/>
  <c r="AZ891" i="20"/>
  <c r="AX891" i="20"/>
  <c r="AV891" i="20"/>
  <c r="AL891" i="20"/>
  <c r="AN891" i="20" s="1"/>
  <c r="AI891" i="20"/>
  <c r="AK891" i="20" s="1"/>
  <c r="AF891" i="20"/>
  <c r="AE891" i="20"/>
  <c r="AD891" i="20"/>
  <c r="AB891" i="20"/>
  <c r="U891" i="20"/>
  <c r="M891" i="20"/>
  <c r="L891" i="20"/>
  <c r="S891" i="20" s="1"/>
  <c r="K891" i="20"/>
  <c r="J891" i="20"/>
  <c r="I891" i="20"/>
  <c r="H891" i="20"/>
  <c r="BM890" i="20"/>
  <c r="BL890" i="20"/>
  <c r="AZ890" i="20"/>
  <c r="AX890" i="20"/>
  <c r="AV890" i="20"/>
  <c r="AL890" i="20"/>
  <c r="AN890" i="20" s="1"/>
  <c r="AI890" i="20"/>
  <c r="AK890" i="20" s="1"/>
  <c r="AF890" i="20"/>
  <c r="AE890" i="20"/>
  <c r="AD890" i="20"/>
  <c r="AB890" i="20"/>
  <c r="U890" i="20"/>
  <c r="M890" i="20"/>
  <c r="L890" i="20"/>
  <c r="Q890" i="20" s="1"/>
  <c r="K890" i="20"/>
  <c r="J890" i="20"/>
  <c r="I890" i="20"/>
  <c r="H890" i="20"/>
  <c r="BM889" i="20"/>
  <c r="BL889" i="20"/>
  <c r="AZ889" i="20"/>
  <c r="AX889" i="20"/>
  <c r="AV889" i="20"/>
  <c r="AL889" i="20"/>
  <c r="AN889" i="20" s="1"/>
  <c r="AI889" i="20"/>
  <c r="AK889" i="20" s="1"/>
  <c r="AF889" i="20"/>
  <c r="AE889" i="20"/>
  <c r="AD889" i="20"/>
  <c r="AB889" i="20"/>
  <c r="U889" i="20"/>
  <c r="M889" i="20"/>
  <c r="L889" i="20"/>
  <c r="K889" i="20"/>
  <c r="AC889" i="20" s="1"/>
  <c r="J889" i="20"/>
  <c r="I889" i="20"/>
  <c r="H889" i="20"/>
  <c r="BM888" i="20"/>
  <c r="BL888" i="20"/>
  <c r="AZ888" i="20"/>
  <c r="AX888" i="20"/>
  <c r="AV888" i="20"/>
  <c r="AL888" i="20"/>
  <c r="AN888" i="20" s="1"/>
  <c r="AI888" i="20"/>
  <c r="AK888" i="20" s="1"/>
  <c r="AF888" i="20"/>
  <c r="AE888" i="20"/>
  <c r="AD888" i="20"/>
  <c r="AB888" i="20"/>
  <c r="U888" i="20"/>
  <c r="M888" i="20"/>
  <c r="L888" i="20"/>
  <c r="S888" i="20" s="1"/>
  <c r="K888" i="20"/>
  <c r="AC888" i="20" s="1"/>
  <c r="J888" i="20"/>
  <c r="I888" i="20"/>
  <c r="H888" i="20"/>
  <c r="BG887" i="20"/>
  <c r="BE887" i="20"/>
  <c r="BF887" i="20" s="1"/>
  <c r="AV887" i="20"/>
  <c r="AF887" i="20"/>
  <c r="AE887" i="20"/>
  <c r="AD887" i="20"/>
  <c r="AB887" i="20"/>
  <c r="U887" i="20"/>
  <c r="M887" i="20"/>
  <c r="L887" i="20"/>
  <c r="S887" i="20" s="1"/>
  <c r="K887" i="20"/>
  <c r="AC887" i="20" s="1"/>
  <c r="J887" i="20"/>
  <c r="I887" i="20"/>
  <c r="H887" i="20"/>
  <c r="BG886" i="20"/>
  <c r="BE886" i="20"/>
  <c r="BF886" i="20" s="1"/>
  <c r="AV886" i="20"/>
  <c r="AF886" i="20"/>
  <c r="AE886" i="20"/>
  <c r="AD886" i="20"/>
  <c r="AB886" i="20"/>
  <c r="U886" i="20"/>
  <c r="M886" i="20"/>
  <c r="L886" i="20"/>
  <c r="K886" i="20"/>
  <c r="AC886" i="20" s="1"/>
  <c r="J886" i="20"/>
  <c r="I886" i="20"/>
  <c r="H886" i="20"/>
  <c r="BG885" i="20"/>
  <c r="BE885" i="20"/>
  <c r="BF885" i="20" s="1"/>
  <c r="AV885" i="20"/>
  <c r="AF885" i="20"/>
  <c r="AE885" i="20"/>
  <c r="AD885" i="20"/>
  <c r="AB885" i="20"/>
  <c r="U885" i="20"/>
  <c r="Q885" i="20"/>
  <c r="V885" i="20" s="1"/>
  <c r="M885" i="20"/>
  <c r="L885" i="20"/>
  <c r="S885" i="20" s="1"/>
  <c r="K885" i="20"/>
  <c r="AC885" i="20" s="1"/>
  <c r="J885" i="20"/>
  <c r="I885" i="20"/>
  <c r="H885" i="20"/>
  <c r="BG884" i="20"/>
  <c r="BF884" i="20"/>
  <c r="BE884" i="20"/>
  <c r="AV884" i="20"/>
  <c r="AF884" i="20"/>
  <c r="AE884" i="20"/>
  <c r="AD884" i="20"/>
  <c r="AB884" i="20"/>
  <c r="U884" i="20"/>
  <c r="M884" i="20"/>
  <c r="L884" i="20"/>
  <c r="S884" i="20" s="1"/>
  <c r="K884" i="20"/>
  <c r="AC884" i="20" s="1"/>
  <c r="J884" i="20"/>
  <c r="I884" i="20"/>
  <c r="H884" i="20"/>
  <c r="BG883" i="20"/>
  <c r="BF883" i="20"/>
  <c r="BE883" i="20"/>
  <c r="AV883" i="20"/>
  <c r="AF883" i="20"/>
  <c r="AE883" i="20"/>
  <c r="AD883" i="20"/>
  <c r="AB883" i="20"/>
  <c r="U883" i="20"/>
  <c r="M883" i="20"/>
  <c r="L883" i="20"/>
  <c r="Q883" i="20" s="1"/>
  <c r="K883" i="20"/>
  <c r="AC883" i="20" s="1"/>
  <c r="J883" i="20"/>
  <c r="I883" i="20"/>
  <c r="H883" i="20"/>
  <c r="BG882" i="20"/>
  <c r="BE882" i="20"/>
  <c r="BF882" i="20" s="1"/>
  <c r="AV882" i="20"/>
  <c r="AF882" i="20"/>
  <c r="AE882" i="20"/>
  <c r="AD882" i="20"/>
  <c r="AB882" i="20"/>
  <c r="U882" i="20"/>
  <c r="M882" i="20"/>
  <c r="L882" i="20"/>
  <c r="S882" i="20" s="1"/>
  <c r="K882" i="20"/>
  <c r="AC882" i="20" s="1"/>
  <c r="J882" i="20"/>
  <c r="I882" i="20"/>
  <c r="H882" i="20"/>
  <c r="BG881" i="20"/>
  <c r="BE881" i="20"/>
  <c r="BF881" i="20" s="1"/>
  <c r="AV881" i="20"/>
  <c r="AF881" i="20"/>
  <c r="AE881" i="20"/>
  <c r="AD881" i="20"/>
  <c r="AB881" i="20"/>
  <c r="U881" i="20"/>
  <c r="M881" i="20"/>
  <c r="L881" i="20"/>
  <c r="K881" i="20"/>
  <c r="J881" i="20"/>
  <c r="I881" i="20"/>
  <c r="H881" i="20"/>
  <c r="BG880" i="20"/>
  <c r="BE880" i="20"/>
  <c r="BF880" i="20" s="1"/>
  <c r="AV880" i="20"/>
  <c r="AF880" i="20"/>
  <c r="AE880" i="20"/>
  <c r="AD880" i="20"/>
  <c r="AB880" i="20"/>
  <c r="U880" i="20"/>
  <c r="M880" i="20"/>
  <c r="L880" i="20"/>
  <c r="S880" i="20" s="1"/>
  <c r="K880" i="20"/>
  <c r="AC880" i="20" s="1"/>
  <c r="J880" i="20"/>
  <c r="I880" i="20"/>
  <c r="H880" i="20"/>
  <c r="BG879" i="20"/>
  <c r="BE879" i="20"/>
  <c r="BF879" i="20" s="1"/>
  <c r="AV879" i="20"/>
  <c r="AF879" i="20"/>
  <c r="AE879" i="20"/>
  <c r="AD879" i="20"/>
  <c r="AC879" i="20"/>
  <c r="AB879" i="20"/>
  <c r="U879" i="20"/>
  <c r="M879" i="20"/>
  <c r="L879" i="20"/>
  <c r="S879" i="20" s="1"/>
  <c r="K879" i="20"/>
  <c r="J879" i="20"/>
  <c r="I879" i="20"/>
  <c r="H879" i="20"/>
  <c r="BG878" i="20"/>
  <c r="BE878" i="20"/>
  <c r="BF878" i="20" s="1"/>
  <c r="AV878" i="20"/>
  <c r="AF878" i="20"/>
  <c r="AE878" i="20"/>
  <c r="AD878" i="20"/>
  <c r="AB878" i="20"/>
  <c r="U878" i="20"/>
  <c r="M878" i="20"/>
  <c r="L878" i="20"/>
  <c r="K878" i="20"/>
  <c r="AC878" i="20" s="1"/>
  <c r="J878" i="20"/>
  <c r="I878" i="20"/>
  <c r="H878" i="20"/>
  <c r="BM877" i="20"/>
  <c r="BI877" i="20"/>
  <c r="AZ877" i="20"/>
  <c r="AX877" i="20"/>
  <c r="AV877" i="20"/>
  <c r="AL877" i="20"/>
  <c r="AI877" i="20"/>
  <c r="AJ877" i="20" s="1"/>
  <c r="AF877" i="20"/>
  <c r="AE877" i="20"/>
  <c r="AD877" i="20"/>
  <c r="AB877" i="20"/>
  <c r="U877" i="20"/>
  <c r="M877" i="20"/>
  <c r="L877" i="20"/>
  <c r="S877" i="20" s="1"/>
  <c r="K877" i="20"/>
  <c r="BB877" i="20" s="1"/>
  <c r="J877" i="20"/>
  <c r="I877" i="20"/>
  <c r="H877" i="20"/>
  <c r="BM876" i="20"/>
  <c r="BI876" i="20"/>
  <c r="AZ876" i="20"/>
  <c r="AX876" i="20"/>
  <c r="AV876" i="20"/>
  <c r="AM876" i="20"/>
  <c r="AL876" i="20"/>
  <c r="AN876" i="20" s="1"/>
  <c r="AI876" i="20"/>
  <c r="AF876" i="20"/>
  <c r="AE876" i="20"/>
  <c r="AD876" i="20"/>
  <c r="AC876" i="20"/>
  <c r="AB876" i="20"/>
  <c r="U876" i="20"/>
  <c r="M876" i="20"/>
  <c r="L876" i="20"/>
  <c r="S876" i="20" s="1"/>
  <c r="K876" i="20"/>
  <c r="BB876" i="20" s="1"/>
  <c r="J876" i="20"/>
  <c r="I876" i="20"/>
  <c r="H876" i="20"/>
  <c r="BM875" i="20"/>
  <c r="BI875" i="20"/>
  <c r="AZ875" i="20"/>
  <c r="AX875" i="20"/>
  <c r="AV875" i="20"/>
  <c r="AL875" i="20"/>
  <c r="AM875" i="20" s="1"/>
  <c r="AI875" i="20"/>
  <c r="AJ875" i="20" s="1"/>
  <c r="AF875" i="20"/>
  <c r="AE875" i="20"/>
  <c r="AD875" i="20"/>
  <c r="AB875" i="20"/>
  <c r="U875" i="20"/>
  <c r="M875" i="20"/>
  <c r="L875" i="20"/>
  <c r="S875" i="20" s="1"/>
  <c r="K875" i="20"/>
  <c r="AC875" i="20" s="1"/>
  <c r="J875" i="20"/>
  <c r="I875" i="20"/>
  <c r="H875" i="20"/>
  <c r="BM874" i="20"/>
  <c r="BI874" i="20"/>
  <c r="AZ874" i="20"/>
  <c r="AX874" i="20"/>
  <c r="AV874" i="20"/>
  <c r="AL874" i="20"/>
  <c r="AN874" i="20" s="1"/>
  <c r="AI874" i="20"/>
  <c r="AJ874" i="20" s="1"/>
  <c r="AF874" i="20"/>
  <c r="AE874" i="20"/>
  <c r="AD874" i="20"/>
  <c r="AB874" i="20"/>
  <c r="U874" i="20"/>
  <c r="M874" i="20"/>
  <c r="L874" i="20"/>
  <c r="S874" i="20" s="1"/>
  <c r="K874" i="20"/>
  <c r="AC874" i="20" s="1"/>
  <c r="J874" i="20"/>
  <c r="I874" i="20"/>
  <c r="H874" i="20"/>
  <c r="BM873" i="20"/>
  <c r="BI873" i="20"/>
  <c r="AZ873" i="20"/>
  <c r="AX873" i="20"/>
  <c r="AV873" i="20"/>
  <c r="AN873" i="20"/>
  <c r="AM873" i="20"/>
  <c r="AL873" i="20"/>
  <c r="AJ873" i="20"/>
  <c r="AI873" i="20"/>
  <c r="AK873" i="20" s="1"/>
  <c r="AF873" i="20"/>
  <c r="AE873" i="20"/>
  <c r="AD873" i="20"/>
  <c r="AB873" i="20"/>
  <c r="U873" i="20"/>
  <c r="S873" i="20"/>
  <c r="M873" i="20"/>
  <c r="L873" i="20"/>
  <c r="Q873" i="20" s="1"/>
  <c r="K873" i="20"/>
  <c r="J873" i="20"/>
  <c r="I873" i="20"/>
  <c r="H873" i="20"/>
  <c r="BM872" i="20"/>
  <c r="BI872" i="20"/>
  <c r="AZ872" i="20"/>
  <c r="AX872" i="20"/>
  <c r="AV872" i="20"/>
  <c r="AM872" i="20"/>
  <c r="AL872" i="20"/>
  <c r="AN872" i="20" s="1"/>
  <c r="AJ872" i="20"/>
  <c r="AI872" i="20"/>
  <c r="AK872" i="20" s="1"/>
  <c r="AF872" i="20"/>
  <c r="AE872" i="20"/>
  <c r="AD872" i="20"/>
  <c r="AB872" i="20"/>
  <c r="U872" i="20"/>
  <c r="M872" i="20"/>
  <c r="L872" i="20"/>
  <c r="S872" i="20" s="1"/>
  <c r="K872" i="20"/>
  <c r="BC872" i="20" s="1"/>
  <c r="J872" i="20"/>
  <c r="I872" i="20"/>
  <c r="H872" i="20"/>
  <c r="BG871" i="20"/>
  <c r="AZ871" i="20"/>
  <c r="AX871" i="20"/>
  <c r="BE871" i="20" s="1"/>
  <c r="BF871" i="20" s="1"/>
  <c r="AV871" i="20"/>
  <c r="AN871" i="20"/>
  <c r="AM871" i="20"/>
  <c r="AK871" i="20"/>
  <c r="AJ871" i="20"/>
  <c r="AF871" i="20"/>
  <c r="AE871" i="20"/>
  <c r="AD871" i="20"/>
  <c r="AB871" i="20"/>
  <c r="U871" i="20"/>
  <c r="M871" i="20"/>
  <c r="L871" i="20"/>
  <c r="K871" i="20"/>
  <c r="AC871" i="20" s="1"/>
  <c r="J871" i="20"/>
  <c r="I871" i="20"/>
  <c r="H871" i="20"/>
  <c r="BG870" i="20"/>
  <c r="AZ870" i="20"/>
  <c r="AX870" i="20"/>
  <c r="BE870" i="20" s="1"/>
  <c r="BF870" i="20" s="1"/>
  <c r="AV870" i="20"/>
  <c r="AN870" i="20"/>
  <c r="AM870" i="20"/>
  <c r="AK870" i="20"/>
  <c r="AJ870" i="20"/>
  <c r="AF870" i="20"/>
  <c r="AE870" i="20"/>
  <c r="AD870" i="20"/>
  <c r="AB870" i="20"/>
  <c r="U870" i="20"/>
  <c r="M870" i="20"/>
  <c r="L870" i="20"/>
  <c r="S870" i="20" s="1"/>
  <c r="K870" i="20"/>
  <c r="AC870" i="20" s="1"/>
  <c r="J870" i="20"/>
  <c r="I870" i="20"/>
  <c r="H870" i="20"/>
  <c r="BE869" i="20"/>
  <c r="BF869" i="20" s="1"/>
  <c r="BD869" i="20"/>
  <c r="BG869" i="20" s="1"/>
  <c r="AZ869" i="20"/>
  <c r="AX869" i="20"/>
  <c r="AV869" i="20"/>
  <c r="AF869" i="20"/>
  <c r="AE869" i="20"/>
  <c r="AD869" i="20"/>
  <c r="AB869" i="20"/>
  <c r="U869" i="20"/>
  <c r="M869" i="20"/>
  <c r="L869" i="20"/>
  <c r="S869" i="20" s="1"/>
  <c r="K869" i="20"/>
  <c r="AC869" i="20" s="1"/>
  <c r="J869" i="20"/>
  <c r="I869" i="20"/>
  <c r="H869" i="20"/>
  <c r="AZ868" i="20"/>
  <c r="AX868" i="20"/>
  <c r="BD868" i="20" s="1"/>
  <c r="BG868" i="20" s="1"/>
  <c r="AV868" i="20"/>
  <c r="AL868" i="20"/>
  <c r="AN868" i="20" s="1"/>
  <c r="AI868" i="20"/>
  <c r="AK868" i="20" s="1"/>
  <c r="AF868" i="20"/>
  <c r="AE868" i="20"/>
  <c r="AD868" i="20"/>
  <c r="AB868" i="20"/>
  <c r="U868" i="20"/>
  <c r="M868" i="20"/>
  <c r="L868" i="20"/>
  <c r="S868" i="20" s="1"/>
  <c r="K868" i="20"/>
  <c r="AC868" i="20" s="1"/>
  <c r="J868" i="20"/>
  <c r="I868" i="20"/>
  <c r="H868" i="20"/>
  <c r="AZ867" i="20"/>
  <c r="AX867" i="20"/>
  <c r="BD867" i="20" s="1"/>
  <c r="BG867" i="20" s="1"/>
  <c r="AV867" i="20"/>
  <c r="AN867" i="20"/>
  <c r="AL867" i="20"/>
  <c r="AM867" i="20" s="1"/>
  <c r="AI867" i="20"/>
  <c r="AF867" i="20"/>
  <c r="AE867" i="20"/>
  <c r="AD867" i="20"/>
  <c r="AB867" i="20"/>
  <c r="U867" i="20"/>
  <c r="M867" i="20"/>
  <c r="L867" i="20"/>
  <c r="K867" i="20"/>
  <c r="AC867" i="20" s="1"/>
  <c r="J867" i="20"/>
  <c r="I867" i="20"/>
  <c r="H867" i="20"/>
  <c r="AZ866" i="20"/>
  <c r="AX866" i="20"/>
  <c r="BD866" i="20" s="1"/>
  <c r="BG866" i="20" s="1"/>
  <c r="AV866" i="20"/>
  <c r="AL866" i="20"/>
  <c r="AM866" i="20" s="1"/>
  <c r="AK866" i="20"/>
  <c r="AJ866" i="20"/>
  <c r="AI866" i="20"/>
  <c r="AF866" i="20"/>
  <c r="AE866" i="20"/>
  <c r="AD866" i="20"/>
  <c r="AB866" i="20"/>
  <c r="U866" i="20"/>
  <c r="M866" i="20"/>
  <c r="L866" i="20"/>
  <c r="K866" i="20"/>
  <c r="AC866" i="20" s="1"/>
  <c r="J866" i="20"/>
  <c r="I866" i="20"/>
  <c r="H866" i="20"/>
  <c r="BG865" i="20"/>
  <c r="AZ865" i="20"/>
  <c r="AX865" i="20"/>
  <c r="BE865" i="20" s="1"/>
  <c r="BF865" i="20" s="1"/>
  <c r="AV865" i="20"/>
  <c r="AF865" i="20"/>
  <c r="AE865" i="20"/>
  <c r="AD865" i="20"/>
  <c r="AB865" i="20"/>
  <c r="U865" i="20"/>
  <c r="M865" i="20"/>
  <c r="L865" i="20"/>
  <c r="Q865" i="20" s="1"/>
  <c r="V865" i="20" s="1"/>
  <c r="K865" i="20"/>
  <c r="J865" i="20"/>
  <c r="I865" i="20"/>
  <c r="H865" i="20"/>
  <c r="BD864" i="20"/>
  <c r="BG864" i="20" s="1"/>
  <c r="AZ864" i="20"/>
  <c r="AX864" i="20"/>
  <c r="AV864" i="20"/>
  <c r="AF864" i="20"/>
  <c r="AE864" i="20"/>
  <c r="AD864" i="20"/>
  <c r="AB864" i="20"/>
  <c r="U864" i="20"/>
  <c r="M864" i="20"/>
  <c r="L864" i="20"/>
  <c r="S864" i="20" s="1"/>
  <c r="K864" i="20"/>
  <c r="BB864" i="20" s="1"/>
  <c r="J864" i="20"/>
  <c r="I864" i="20"/>
  <c r="H864" i="20"/>
  <c r="AZ863" i="20"/>
  <c r="AX863" i="20"/>
  <c r="BD863" i="20" s="1"/>
  <c r="BG863" i="20" s="1"/>
  <c r="AV863" i="20"/>
  <c r="AF863" i="20"/>
  <c r="AE863" i="20"/>
  <c r="AD863" i="20"/>
  <c r="AB863" i="20"/>
  <c r="U863" i="20"/>
  <c r="M863" i="20"/>
  <c r="L863" i="20"/>
  <c r="Q863" i="20" s="1"/>
  <c r="V863" i="20" s="1"/>
  <c r="K863" i="20"/>
  <c r="AC863" i="20" s="1"/>
  <c r="J863" i="20"/>
  <c r="I863" i="20"/>
  <c r="H863" i="20"/>
  <c r="AZ862" i="20"/>
  <c r="AX862" i="20"/>
  <c r="BD862" i="20" s="1"/>
  <c r="BE862" i="20" s="1"/>
  <c r="BF862" i="20" s="1"/>
  <c r="AV862" i="20"/>
  <c r="AF862" i="20"/>
  <c r="AE862" i="20"/>
  <c r="AD862" i="20"/>
  <c r="AB862" i="20"/>
  <c r="U862" i="20"/>
  <c r="M862" i="20"/>
  <c r="L862" i="20"/>
  <c r="S862" i="20" s="1"/>
  <c r="K862" i="20"/>
  <c r="BB862" i="20" s="1"/>
  <c r="J862" i="20"/>
  <c r="I862" i="20"/>
  <c r="H862" i="20"/>
  <c r="BC861" i="20"/>
  <c r="AZ861" i="20"/>
  <c r="AX861" i="20"/>
  <c r="BD861" i="20" s="1"/>
  <c r="AV861" i="20"/>
  <c r="AF861" i="20"/>
  <c r="AE861" i="20"/>
  <c r="AD861" i="20"/>
  <c r="AB861" i="20"/>
  <c r="U861" i="20"/>
  <c r="M861" i="20"/>
  <c r="L861" i="20"/>
  <c r="S861" i="20" s="1"/>
  <c r="K861" i="20"/>
  <c r="AC861" i="20" s="1"/>
  <c r="J861" i="20"/>
  <c r="I861" i="20"/>
  <c r="H861" i="20"/>
  <c r="BG860" i="20"/>
  <c r="AZ860" i="20"/>
  <c r="AX860" i="20"/>
  <c r="BD860" i="20" s="1"/>
  <c r="BE860" i="20" s="1"/>
  <c r="BF860" i="20" s="1"/>
  <c r="AV860" i="20"/>
  <c r="AF860" i="20"/>
  <c r="AE860" i="20"/>
  <c r="AD860" i="20"/>
  <c r="AB860" i="20"/>
  <c r="U860" i="20"/>
  <c r="M860" i="20"/>
  <c r="L860" i="20"/>
  <c r="K860" i="20"/>
  <c r="J860" i="20"/>
  <c r="I860" i="20"/>
  <c r="H860" i="20"/>
  <c r="BD859" i="20"/>
  <c r="BE859" i="20" s="1"/>
  <c r="BF859" i="20" s="1"/>
  <c r="AX859" i="20"/>
  <c r="AV859" i="20"/>
  <c r="AL859" i="20"/>
  <c r="AN859" i="20" s="1"/>
  <c r="AI859" i="20"/>
  <c r="AK859" i="20" s="1"/>
  <c r="AF859" i="20"/>
  <c r="AE859" i="20"/>
  <c r="AD859" i="20"/>
  <c r="AB859" i="20"/>
  <c r="U859" i="20"/>
  <c r="M859" i="20"/>
  <c r="L859" i="20"/>
  <c r="Q859" i="20" s="1"/>
  <c r="V859" i="20" s="1"/>
  <c r="K859" i="20"/>
  <c r="AC859" i="20" s="1"/>
  <c r="J859" i="20"/>
  <c r="I859" i="20"/>
  <c r="H859" i="20"/>
  <c r="BD858" i="20"/>
  <c r="AX858" i="20"/>
  <c r="AV858" i="20"/>
  <c r="AL858" i="20"/>
  <c r="AN858" i="20" s="1"/>
  <c r="AI858" i="20"/>
  <c r="AK858" i="20" s="1"/>
  <c r="AF858" i="20"/>
  <c r="AE858" i="20"/>
  <c r="AD858" i="20"/>
  <c r="AB858" i="20"/>
  <c r="U858" i="20"/>
  <c r="M858" i="20"/>
  <c r="L858" i="20"/>
  <c r="S858" i="20" s="1"/>
  <c r="K858" i="20"/>
  <c r="AC858" i="20" s="1"/>
  <c r="J858" i="20"/>
  <c r="I858" i="20"/>
  <c r="H858" i="20"/>
  <c r="BG857" i="20"/>
  <c r="BD857" i="20" s="1"/>
  <c r="AX857" i="20"/>
  <c r="AV857" i="20"/>
  <c r="AL857" i="20"/>
  <c r="AN857" i="20" s="1"/>
  <c r="AI857" i="20"/>
  <c r="AK857" i="20" s="1"/>
  <c r="AF857" i="20"/>
  <c r="AE857" i="20"/>
  <c r="AD857" i="20"/>
  <c r="AB857" i="20"/>
  <c r="U857" i="20"/>
  <c r="M857" i="20"/>
  <c r="L857" i="20"/>
  <c r="Q857" i="20" s="1"/>
  <c r="V857" i="20" s="1"/>
  <c r="K857" i="20"/>
  <c r="AC857" i="20" s="1"/>
  <c r="J857" i="20"/>
  <c r="I857" i="20"/>
  <c r="H857" i="20"/>
  <c r="BD856" i="20"/>
  <c r="AX856" i="20"/>
  <c r="AV856" i="20"/>
  <c r="AL856" i="20"/>
  <c r="AN856" i="20" s="1"/>
  <c r="AI856" i="20"/>
  <c r="AK856" i="20" s="1"/>
  <c r="AF856" i="20"/>
  <c r="AE856" i="20"/>
  <c r="AD856" i="20"/>
  <c r="AB856" i="20"/>
  <c r="U856" i="20"/>
  <c r="M856" i="20"/>
  <c r="L856" i="20"/>
  <c r="S856" i="20" s="1"/>
  <c r="K856" i="20"/>
  <c r="J856" i="20"/>
  <c r="I856" i="20"/>
  <c r="H856" i="20"/>
  <c r="BD855" i="20"/>
  <c r="BE855" i="20" s="1"/>
  <c r="BF855" i="20" s="1"/>
  <c r="AX855" i="20"/>
  <c r="AV855" i="20"/>
  <c r="AL855" i="20"/>
  <c r="AN855" i="20" s="1"/>
  <c r="AI855" i="20"/>
  <c r="AK855" i="20" s="1"/>
  <c r="AF855" i="20"/>
  <c r="AE855" i="20"/>
  <c r="AD855" i="20"/>
  <c r="AB855" i="20"/>
  <c r="U855" i="20"/>
  <c r="M855" i="20"/>
  <c r="L855" i="20"/>
  <c r="K855" i="20"/>
  <c r="AC855" i="20" s="1"/>
  <c r="J855" i="20"/>
  <c r="I855" i="20"/>
  <c r="H855" i="20"/>
  <c r="BD854" i="20"/>
  <c r="AX854" i="20"/>
  <c r="AV854" i="20"/>
  <c r="AL854" i="20"/>
  <c r="AN854" i="20" s="1"/>
  <c r="AI854" i="20"/>
  <c r="AK854" i="20" s="1"/>
  <c r="AF854" i="20"/>
  <c r="AE854" i="20"/>
  <c r="AD854" i="20"/>
  <c r="AB854" i="20"/>
  <c r="U854" i="20"/>
  <c r="M854" i="20"/>
  <c r="L854" i="20"/>
  <c r="S854" i="20" s="1"/>
  <c r="K854" i="20"/>
  <c r="AC854" i="20" s="1"/>
  <c r="J854" i="20"/>
  <c r="I854" i="20"/>
  <c r="H854" i="20"/>
  <c r="BG853" i="20"/>
  <c r="BD853" i="20" s="1"/>
  <c r="BE853" i="20" s="1"/>
  <c r="BF853" i="20" s="1"/>
  <c r="AX853" i="20"/>
  <c r="AV853" i="20"/>
  <c r="AL853" i="20"/>
  <c r="AN853" i="20" s="1"/>
  <c r="AK853" i="20"/>
  <c r="AI853" i="20"/>
  <c r="AF853" i="20"/>
  <c r="AE853" i="20"/>
  <c r="AD853" i="20"/>
  <c r="AB853" i="20"/>
  <c r="U853" i="20"/>
  <c r="M853" i="20"/>
  <c r="L853" i="20"/>
  <c r="Q853" i="20" s="1"/>
  <c r="K853" i="20"/>
  <c r="AC853" i="20" s="1"/>
  <c r="J853" i="20"/>
  <c r="I853" i="20"/>
  <c r="H853" i="20"/>
  <c r="BD852" i="20"/>
  <c r="BE852" i="20" s="1"/>
  <c r="BF852" i="20" s="1"/>
  <c r="AX852" i="20"/>
  <c r="AV852" i="20"/>
  <c r="AL852" i="20"/>
  <c r="AN852" i="20" s="1"/>
  <c r="AI852" i="20"/>
  <c r="AK852" i="20" s="1"/>
  <c r="AF852" i="20"/>
  <c r="AE852" i="20"/>
  <c r="AD852" i="20"/>
  <c r="AB852" i="20"/>
  <c r="U852" i="20"/>
  <c r="M852" i="20"/>
  <c r="L852" i="20"/>
  <c r="S852" i="20" s="1"/>
  <c r="K852" i="20"/>
  <c r="AC852" i="20" s="1"/>
  <c r="J852" i="20"/>
  <c r="I852" i="20"/>
  <c r="H852" i="20"/>
  <c r="BD851" i="20"/>
  <c r="AX851" i="20"/>
  <c r="BE851" i="20" s="1"/>
  <c r="BF851" i="20" s="1"/>
  <c r="AV851" i="20"/>
  <c r="AL851" i="20"/>
  <c r="AN851" i="20" s="1"/>
  <c r="AI851" i="20"/>
  <c r="AK851" i="20" s="1"/>
  <c r="AF851" i="20"/>
  <c r="AE851" i="20"/>
  <c r="AD851" i="20"/>
  <c r="AB851" i="20"/>
  <c r="U851" i="20"/>
  <c r="M851" i="20"/>
  <c r="L851" i="20"/>
  <c r="S851" i="20" s="1"/>
  <c r="K851" i="20"/>
  <c r="AC851" i="20" s="1"/>
  <c r="J851" i="20"/>
  <c r="I851" i="20"/>
  <c r="H851" i="20"/>
  <c r="BG850" i="20"/>
  <c r="BD850" i="20" s="1"/>
  <c r="BE850" i="20"/>
  <c r="BF850" i="20" s="1"/>
  <c r="AX850" i="20"/>
  <c r="AV850" i="20"/>
  <c r="AL850" i="20"/>
  <c r="AN850" i="20" s="1"/>
  <c r="AI850" i="20"/>
  <c r="AK850" i="20" s="1"/>
  <c r="AF850" i="20"/>
  <c r="AE850" i="20"/>
  <c r="AD850" i="20"/>
  <c r="AB850" i="20"/>
  <c r="U850" i="20"/>
  <c r="M850" i="20"/>
  <c r="L850" i="20"/>
  <c r="S850" i="20" s="1"/>
  <c r="K850" i="20"/>
  <c r="AC850" i="20" s="1"/>
  <c r="J850" i="20"/>
  <c r="I850" i="20"/>
  <c r="H850" i="20"/>
  <c r="BD849" i="20"/>
  <c r="AX849" i="20"/>
  <c r="AV849" i="20"/>
  <c r="AL849" i="20"/>
  <c r="AN849" i="20" s="1"/>
  <c r="AI849" i="20"/>
  <c r="AK849" i="20" s="1"/>
  <c r="AF849" i="20"/>
  <c r="AE849" i="20"/>
  <c r="AD849" i="20"/>
  <c r="AB849" i="20"/>
  <c r="U849" i="20"/>
  <c r="M849" i="20"/>
  <c r="L849" i="20"/>
  <c r="S849" i="20" s="1"/>
  <c r="K849" i="20"/>
  <c r="AC849" i="20" s="1"/>
  <c r="J849" i="20"/>
  <c r="I849" i="20"/>
  <c r="H849" i="20"/>
  <c r="BG848" i="20"/>
  <c r="AX848" i="20"/>
  <c r="BE848" i="20" s="1"/>
  <c r="BF848" i="20" s="1"/>
  <c r="AV848" i="20"/>
  <c r="AF848" i="20"/>
  <c r="AE848" i="20"/>
  <c r="AD848" i="20"/>
  <c r="AB848" i="20"/>
  <c r="U848" i="20"/>
  <c r="M848" i="20"/>
  <c r="L848" i="20"/>
  <c r="Q848" i="20" s="1"/>
  <c r="V848" i="20" s="1"/>
  <c r="K848" i="20"/>
  <c r="AC848" i="20" s="1"/>
  <c r="J848" i="20"/>
  <c r="I848" i="20"/>
  <c r="H848" i="20"/>
  <c r="BG847" i="20"/>
  <c r="AX847" i="20"/>
  <c r="BE847" i="20" s="1"/>
  <c r="BF847" i="20" s="1"/>
  <c r="AV847" i="20"/>
  <c r="AF847" i="20"/>
  <c r="AE847" i="20"/>
  <c r="AD847" i="20"/>
  <c r="AB847" i="20"/>
  <c r="U847" i="20"/>
  <c r="M847" i="20"/>
  <c r="L847" i="20"/>
  <c r="S847" i="20" s="1"/>
  <c r="K847" i="20"/>
  <c r="AC847" i="20" s="1"/>
  <c r="J847" i="20"/>
  <c r="I847" i="20"/>
  <c r="H847" i="20"/>
  <c r="BG846" i="20"/>
  <c r="AX846" i="20"/>
  <c r="BE846" i="20" s="1"/>
  <c r="BF846" i="20" s="1"/>
  <c r="AV846" i="20"/>
  <c r="AF846" i="20"/>
  <c r="AE846" i="20"/>
  <c r="AD846" i="20"/>
  <c r="AB846" i="20"/>
  <c r="U846" i="20"/>
  <c r="M846" i="20"/>
  <c r="L846" i="20"/>
  <c r="S846" i="20" s="1"/>
  <c r="K846" i="20"/>
  <c r="J846" i="20"/>
  <c r="I846" i="20"/>
  <c r="H846" i="20"/>
  <c r="AX845" i="20"/>
  <c r="BD845" i="20" s="1"/>
  <c r="AV845" i="20"/>
  <c r="AF845" i="20"/>
  <c r="AE845" i="20"/>
  <c r="AD845" i="20"/>
  <c r="AB845" i="20"/>
  <c r="U845" i="20"/>
  <c r="M845" i="20"/>
  <c r="L845" i="20"/>
  <c r="Q845" i="20" s="1"/>
  <c r="K845" i="20"/>
  <c r="AC845" i="20" s="1"/>
  <c r="J845" i="20"/>
  <c r="I845" i="20"/>
  <c r="H845" i="20"/>
  <c r="BG844" i="20"/>
  <c r="AZ844" i="20"/>
  <c r="AX844" i="20"/>
  <c r="BE844" i="20" s="1"/>
  <c r="BF844" i="20" s="1"/>
  <c r="AV844" i="20"/>
  <c r="AN844" i="20"/>
  <c r="AM844" i="20"/>
  <c r="AK844" i="20"/>
  <c r="AJ844" i="20"/>
  <c r="AF844" i="20"/>
  <c r="AE844" i="20"/>
  <c r="AD844" i="20"/>
  <c r="AB844" i="20"/>
  <c r="U844" i="20"/>
  <c r="M844" i="20"/>
  <c r="L844" i="20"/>
  <c r="S844" i="20" s="1"/>
  <c r="K844" i="20"/>
  <c r="J844" i="20"/>
  <c r="I844" i="20"/>
  <c r="H844" i="20"/>
  <c r="BG843" i="20"/>
  <c r="AZ843" i="20"/>
  <c r="AX843" i="20"/>
  <c r="BE843" i="20" s="1"/>
  <c r="BF843" i="20" s="1"/>
  <c r="AV843" i="20"/>
  <c r="AN843" i="20"/>
  <c r="AM843" i="20"/>
  <c r="AK843" i="20"/>
  <c r="AJ843" i="20"/>
  <c r="AF843" i="20"/>
  <c r="AE843" i="20"/>
  <c r="AD843" i="20"/>
  <c r="AB843" i="20"/>
  <c r="U843" i="20"/>
  <c r="M843" i="20"/>
  <c r="L843" i="20"/>
  <c r="K843" i="20"/>
  <c r="AC843" i="20" s="1"/>
  <c r="J843" i="20"/>
  <c r="I843" i="20"/>
  <c r="H843" i="20"/>
  <c r="BG842" i="20"/>
  <c r="BE842" i="20"/>
  <c r="BF842" i="20" s="1"/>
  <c r="AZ842" i="20"/>
  <c r="AX842" i="20"/>
  <c r="AV842" i="20"/>
  <c r="AN842" i="20"/>
  <c r="AM842" i="20"/>
  <c r="AK842" i="20"/>
  <c r="AJ842" i="20"/>
  <c r="AF842" i="20"/>
  <c r="AE842" i="20"/>
  <c r="AD842" i="20"/>
  <c r="AB842" i="20"/>
  <c r="U842" i="20"/>
  <c r="S842" i="20"/>
  <c r="Q842" i="20"/>
  <c r="V842" i="20" s="1"/>
  <c r="M842" i="20"/>
  <c r="L842" i="20"/>
  <c r="K842" i="20"/>
  <c r="AC842" i="20" s="1"/>
  <c r="J842" i="20"/>
  <c r="I842" i="20"/>
  <c r="H842" i="20"/>
  <c r="BG841" i="20"/>
  <c r="AZ841" i="20"/>
  <c r="AX841" i="20"/>
  <c r="BE841" i="20" s="1"/>
  <c r="BF841" i="20" s="1"/>
  <c r="AV841" i="20"/>
  <c r="AN841" i="20"/>
  <c r="AM841" i="20"/>
  <c r="AK841" i="20"/>
  <c r="AJ841" i="20"/>
  <c r="AF841" i="20"/>
  <c r="AE841" i="20"/>
  <c r="AD841" i="20"/>
  <c r="AB841" i="20"/>
  <c r="U841" i="20"/>
  <c r="M841" i="20"/>
  <c r="L841" i="20"/>
  <c r="S841" i="20" s="1"/>
  <c r="K841" i="20"/>
  <c r="AC841" i="20" s="1"/>
  <c r="J841" i="20"/>
  <c r="I841" i="20"/>
  <c r="H841" i="20"/>
  <c r="BG840" i="20"/>
  <c r="AZ840" i="20"/>
  <c r="AX840" i="20"/>
  <c r="BE840" i="20" s="1"/>
  <c r="BF840" i="20" s="1"/>
  <c r="AV840" i="20"/>
  <c r="AN840" i="20"/>
  <c r="AM840" i="20"/>
  <c r="AK840" i="20"/>
  <c r="AJ840" i="20"/>
  <c r="AF840" i="20"/>
  <c r="AE840" i="20"/>
  <c r="AD840" i="20"/>
  <c r="AB840" i="20"/>
  <c r="U840" i="20"/>
  <c r="M840" i="20"/>
  <c r="L840" i="20"/>
  <c r="S840" i="20" s="1"/>
  <c r="K840" i="20"/>
  <c r="AC840" i="20" s="1"/>
  <c r="J840" i="20"/>
  <c r="I840" i="20"/>
  <c r="H840" i="20"/>
  <c r="BG839" i="20"/>
  <c r="AZ839" i="20"/>
  <c r="AX839" i="20"/>
  <c r="BE839" i="20" s="1"/>
  <c r="BF839" i="20" s="1"/>
  <c r="AV839" i="20"/>
  <c r="AN839" i="20"/>
  <c r="AM839" i="20"/>
  <c r="AK839" i="20"/>
  <c r="AJ839" i="20"/>
  <c r="AF839" i="20"/>
  <c r="AE839" i="20"/>
  <c r="AD839" i="20"/>
  <c r="AB839" i="20"/>
  <c r="U839" i="20"/>
  <c r="M839" i="20"/>
  <c r="L839" i="20"/>
  <c r="K839" i="20"/>
  <c r="AC839" i="20" s="1"/>
  <c r="J839" i="20"/>
  <c r="I839" i="20"/>
  <c r="H839" i="20"/>
  <c r="BG838" i="20"/>
  <c r="AZ838" i="20"/>
  <c r="AX838" i="20"/>
  <c r="BE838" i="20" s="1"/>
  <c r="BF838" i="20" s="1"/>
  <c r="AV838" i="20"/>
  <c r="AN838" i="20"/>
  <c r="AM838" i="20"/>
  <c r="AK838" i="20"/>
  <c r="AJ838" i="20"/>
  <c r="AF838" i="20"/>
  <c r="AE838" i="20"/>
  <c r="AD838" i="20"/>
  <c r="AB838" i="20"/>
  <c r="U838" i="20"/>
  <c r="M838" i="20"/>
  <c r="L838" i="20"/>
  <c r="Q838" i="20" s="1"/>
  <c r="K838" i="20"/>
  <c r="AC838" i="20" s="1"/>
  <c r="J838" i="20"/>
  <c r="I838" i="20"/>
  <c r="H838" i="20"/>
  <c r="BG837" i="20"/>
  <c r="BE837" i="20"/>
  <c r="BF837" i="20" s="1"/>
  <c r="AZ837" i="20"/>
  <c r="AX837" i="20"/>
  <c r="AV837" i="20"/>
  <c r="AN837" i="20"/>
  <c r="AM837" i="20"/>
  <c r="AK837" i="20"/>
  <c r="AJ837" i="20"/>
  <c r="AF837" i="20"/>
  <c r="AE837" i="20"/>
  <c r="AD837" i="20"/>
  <c r="AB837" i="20"/>
  <c r="U837" i="20"/>
  <c r="M837" i="20"/>
  <c r="L837" i="20"/>
  <c r="S837" i="20" s="1"/>
  <c r="K837" i="20"/>
  <c r="AC837" i="20" s="1"/>
  <c r="J837" i="20"/>
  <c r="I837" i="20"/>
  <c r="H837" i="20"/>
  <c r="BG836" i="20"/>
  <c r="AZ836" i="20"/>
  <c r="AX836" i="20"/>
  <c r="BE836" i="20" s="1"/>
  <c r="BF836" i="20" s="1"/>
  <c r="AV836" i="20"/>
  <c r="AN836" i="20"/>
  <c r="AM836" i="20"/>
  <c r="AK836" i="20"/>
  <c r="AJ836" i="20"/>
  <c r="AF836" i="20"/>
  <c r="AE836" i="20"/>
  <c r="AD836" i="20"/>
  <c r="AB836" i="20"/>
  <c r="U836" i="20"/>
  <c r="M836" i="20"/>
  <c r="L836" i="20"/>
  <c r="S836" i="20" s="1"/>
  <c r="K836" i="20"/>
  <c r="AC836" i="20" s="1"/>
  <c r="J836" i="20"/>
  <c r="I836" i="20"/>
  <c r="H836" i="20"/>
  <c r="BG835" i="20"/>
  <c r="AZ835" i="20"/>
  <c r="AX835" i="20"/>
  <c r="BE835" i="20" s="1"/>
  <c r="BF835" i="20" s="1"/>
  <c r="AV835" i="20"/>
  <c r="AN835" i="20"/>
  <c r="AM835" i="20"/>
  <c r="AK835" i="20"/>
  <c r="AJ835" i="20"/>
  <c r="AF835" i="20"/>
  <c r="AE835" i="20"/>
  <c r="AD835" i="20"/>
  <c r="AB835" i="20"/>
  <c r="U835" i="20"/>
  <c r="M835" i="20"/>
  <c r="L835" i="20"/>
  <c r="K835" i="20"/>
  <c r="AC835" i="20" s="1"/>
  <c r="J835" i="20"/>
  <c r="I835" i="20"/>
  <c r="H835" i="20"/>
  <c r="BG834" i="20"/>
  <c r="AZ834" i="20"/>
  <c r="AX834" i="20"/>
  <c r="BE834" i="20" s="1"/>
  <c r="BF834" i="20" s="1"/>
  <c r="AV834" i="20"/>
  <c r="AN834" i="20"/>
  <c r="AM834" i="20"/>
  <c r="AK834" i="20"/>
  <c r="AJ834" i="20"/>
  <c r="AF834" i="20"/>
  <c r="AE834" i="20"/>
  <c r="AD834" i="20"/>
  <c r="AB834" i="20"/>
  <c r="U834" i="20"/>
  <c r="M834" i="20"/>
  <c r="L834" i="20"/>
  <c r="K834" i="20"/>
  <c r="AC834" i="20" s="1"/>
  <c r="J834" i="20"/>
  <c r="I834" i="20"/>
  <c r="H834" i="20"/>
  <c r="BG833" i="20"/>
  <c r="AZ833" i="20"/>
  <c r="AX833" i="20"/>
  <c r="BE833" i="20" s="1"/>
  <c r="BF833" i="20" s="1"/>
  <c r="AV833" i="20"/>
  <c r="AN833" i="20"/>
  <c r="AM833" i="20"/>
  <c r="AK833" i="20"/>
  <c r="AJ833" i="20"/>
  <c r="AF833" i="20"/>
  <c r="AE833" i="20"/>
  <c r="AD833" i="20"/>
  <c r="AB833" i="20"/>
  <c r="U833" i="20"/>
  <c r="M833" i="20"/>
  <c r="L833" i="20"/>
  <c r="Q833" i="20" s="1"/>
  <c r="V833" i="20" s="1"/>
  <c r="K833" i="20"/>
  <c r="AC833" i="20" s="1"/>
  <c r="J833" i="20"/>
  <c r="I833" i="20"/>
  <c r="H833" i="20"/>
  <c r="BG832" i="20"/>
  <c r="AZ832" i="20"/>
  <c r="AX832" i="20"/>
  <c r="BE832" i="20" s="1"/>
  <c r="BF832" i="20" s="1"/>
  <c r="AV832" i="20"/>
  <c r="AN832" i="20"/>
  <c r="AM832" i="20"/>
  <c r="AK832" i="20"/>
  <c r="AJ832" i="20"/>
  <c r="AF832" i="20"/>
  <c r="AE832" i="20"/>
  <c r="AD832" i="20"/>
  <c r="AB832" i="20"/>
  <c r="U832" i="20"/>
  <c r="M832" i="20"/>
  <c r="L832" i="20"/>
  <c r="S832" i="20" s="1"/>
  <c r="K832" i="20"/>
  <c r="AC832" i="20" s="1"/>
  <c r="J832" i="20"/>
  <c r="I832" i="20"/>
  <c r="H832" i="20"/>
  <c r="BG831" i="20"/>
  <c r="AZ831" i="20"/>
  <c r="AX831" i="20"/>
  <c r="BE831" i="20" s="1"/>
  <c r="BF831" i="20" s="1"/>
  <c r="AV831" i="20"/>
  <c r="AN831" i="20"/>
  <c r="AM831" i="20"/>
  <c r="AK831" i="20"/>
  <c r="AJ831" i="20"/>
  <c r="AF831" i="20"/>
  <c r="AE831" i="20"/>
  <c r="AD831" i="20"/>
  <c r="AB831" i="20"/>
  <c r="U831" i="20"/>
  <c r="M831" i="20"/>
  <c r="L831" i="20"/>
  <c r="K831" i="20"/>
  <c r="AC831" i="20" s="1"/>
  <c r="J831" i="20"/>
  <c r="I831" i="20"/>
  <c r="H831" i="20"/>
  <c r="BG830" i="20"/>
  <c r="AZ830" i="20"/>
  <c r="AX830" i="20"/>
  <c r="BE830" i="20" s="1"/>
  <c r="BF830" i="20" s="1"/>
  <c r="AV830" i="20"/>
  <c r="AN830" i="20"/>
  <c r="AM830" i="20"/>
  <c r="AK830" i="20"/>
  <c r="AJ830" i="20"/>
  <c r="AF830" i="20"/>
  <c r="AE830" i="20"/>
  <c r="AD830" i="20"/>
  <c r="AB830" i="20"/>
  <c r="U830" i="20"/>
  <c r="M830" i="20"/>
  <c r="L830" i="20"/>
  <c r="S830" i="20" s="1"/>
  <c r="K830" i="20"/>
  <c r="AC830" i="20" s="1"/>
  <c r="J830" i="20"/>
  <c r="I830" i="20"/>
  <c r="H830" i="20"/>
  <c r="BG829" i="20"/>
  <c r="AZ829" i="20"/>
  <c r="AX829" i="20"/>
  <c r="BE829" i="20" s="1"/>
  <c r="BF829" i="20" s="1"/>
  <c r="AV829" i="20"/>
  <c r="AN829" i="20"/>
  <c r="AM829" i="20"/>
  <c r="AK829" i="20"/>
  <c r="AJ829" i="20"/>
  <c r="AF829" i="20"/>
  <c r="AE829" i="20"/>
  <c r="AD829" i="20"/>
  <c r="AB829" i="20"/>
  <c r="U829" i="20"/>
  <c r="M829" i="20"/>
  <c r="L829" i="20"/>
  <c r="S829" i="20" s="1"/>
  <c r="K829" i="20"/>
  <c r="AC829" i="20" s="1"/>
  <c r="J829" i="20"/>
  <c r="I829" i="20"/>
  <c r="H829" i="20"/>
  <c r="BG828" i="20"/>
  <c r="AZ828" i="20"/>
  <c r="AX828" i="20"/>
  <c r="BE828" i="20" s="1"/>
  <c r="BF828" i="20" s="1"/>
  <c r="AV828" i="20"/>
  <c r="AN828" i="20"/>
  <c r="AM828" i="20"/>
  <c r="AK828" i="20"/>
  <c r="AJ828" i="20"/>
  <c r="AF828" i="20"/>
  <c r="AE828" i="20"/>
  <c r="AD828" i="20"/>
  <c r="AB828" i="20"/>
  <c r="U828" i="20"/>
  <c r="M828" i="20"/>
  <c r="L828" i="20"/>
  <c r="Q828" i="20" s="1"/>
  <c r="K828" i="20"/>
  <c r="AC828" i="20" s="1"/>
  <c r="J828" i="20"/>
  <c r="I828" i="20"/>
  <c r="H828" i="20"/>
  <c r="BG827" i="20"/>
  <c r="AZ827" i="20"/>
  <c r="AX827" i="20"/>
  <c r="BE827" i="20" s="1"/>
  <c r="BF827" i="20" s="1"/>
  <c r="AV827" i="20"/>
  <c r="AN827" i="20"/>
  <c r="AM827" i="20"/>
  <c r="AK827" i="20"/>
  <c r="AJ827" i="20"/>
  <c r="AF827" i="20"/>
  <c r="AE827" i="20"/>
  <c r="AD827" i="20"/>
  <c r="AB827" i="20"/>
  <c r="U827" i="20"/>
  <c r="M827" i="20"/>
  <c r="L827" i="20"/>
  <c r="S827" i="20" s="1"/>
  <c r="K827" i="20"/>
  <c r="AC827" i="20" s="1"/>
  <c r="J827" i="20"/>
  <c r="I827" i="20"/>
  <c r="H827" i="20"/>
  <c r="BG826" i="20"/>
  <c r="AZ826" i="20"/>
  <c r="AX826" i="20"/>
  <c r="BE826" i="20" s="1"/>
  <c r="BF826" i="20" s="1"/>
  <c r="AV826" i="20"/>
  <c r="AN826" i="20"/>
  <c r="AM826" i="20"/>
  <c r="AK826" i="20"/>
  <c r="AJ826" i="20"/>
  <c r="AF826" i="20"/>
  <c r="AE826" i="20"/>
  <c r="AD826" i="20"/>
  <c r="AB826" i="20"/>
  <c r="U826" i="20"/>
  <c r="M826" i="20"/>
  <c r="L826" i="20"/>
  <c r="Q826" i="20" s="1"/>
  <c r="K826" i="20"/>
  <c r="AC826" i="20" s="1"/>
  <c r="J826" i="20"/>
  <c r="I826" i="20"/>
  <c r="H826" i="20"/>
  <c r="BG825" i="20"/>
  <c r="AZ825" i="20"/>
  <c r="AW825" i="20"/>
  <c r="AX825" i="20" s="1"/>
  <c r="BE825" i="20" s="1"/>
  <c r="BF825" i="20" s="1"/>
  <c r="AV825" i="20"/>
  <c r="AP825" i="20"/>
  <c r="AF825" i="20"/>
  <c r="AE825" i="20"/>
  <c r="AD825" i="20"/>
  <c r="AB825" i="20"/>
  <c r="U825" i="20"/>
  <c r="M825" i="20"/>
  <c r="L825" i="20"/>
  <c r="Q825" i="20" s="1"/>
  <c r="K825" i="20"/>
  <c r="AC825" i="20" s="1"/>
  <c r="J825" i="20"/>
  <c r="I825" i="20"/>
  <c r="H825" i="20"/>
  <c r="BG824" i="20"/>
  <c r="AZ824" i="20"/>
  <c r="AX824" i="20"/>
  <c r="BE824" i="20" s="1"/>
  <c r="BF824" i="20" s="1"/>
  <c r="AV824" i="20"/>
  <c r="AF824" i="20"/>
  <c r="AE824" i="20"/>
  <c r="AD824" i="20"/>
  <c r="AB824" i="20"/>
  <c r="U824" i="20"/>
  <c r="M824" i="20"/>
  <c r="L824" i="20"/>
  <c r="K824" i="20"/>
  <c r="AC824" i="20" s="1"/>
  <c r="J824" i="20"/>
  <c r="I824" i="20"/>
  <c r="H824" i="20"/>
  <c r="BG823" i="20"/>
  <c r="AZ823" i="20"/>
  <c r="AX823" i="20"/>
  <c r="BE823" i="20" s="1"/>
  <c r="BF823" i="20" s="1"/>
  <c r="AV823" i="20"/>
  <c r="AF823" i="20"/>
  <c r="AE823" i="20"/>
  <c r="AD823" i="20"/>
  <c r="AB823" i="20"/>
  <c r="U823" i="20"/>
  <c r="M823" i="20"/>
  <c r="L823" i="20"/>
  <c r="Q823" i="20" s="1"/>
  <c r="K823" i="20"/>
  <c r="AC823" i="20" s="1"/>
  <c r="J823" i="20"/>
  <c r="I823" i="20"/>
  <c r="H823" i="20"/>
  <c r="BD822" i="20"/>
  <c r="AZ822" i="20"/>
  <c r="AX822" i="20"/>
  <c r="AV822" i="20"/>
  <c r="AN822" i="20"/>
  <c r="AM822" i="20"/>
  <c r="AK822" i="20"/>
  <c r="AJ822" i="20"/>
  <c r="AF822" i="20"/>
  <c r="AE822" i="20"/>
  <c r="AD822" i="20"/>
  <c r="AB822" i="20"/>
  <c r="U822" i="20"/>
  <c r="M822" i="20"/>
  <c r="L822" i="20"/>
  <c r="Q822" i="20" s="1"/>
  <c r="K822" i="20"/>
  <c r="AC822" i="20" s="1"/>
  <c r="J822" i="20"/>
  <c r="I822" i="20"/>
  <c r="H822" i="20"/>
  <c r="BM821" i="20"/>
  <c r="AZ821" i="20"/>
  <c r="AX821" i="20"/>
  <c r="AV821" i="20"/>
  <c r="AN821" i="20"/>
  <c r="AM821" i="20"/>
  <c r="AK821" i="20"/>
  <c r="AJ821" i="20"/>
  <c r="AF821" i="20"/>
  <c r="AE821" i="20"/>
  <c r="AD821" i="20"/>
  <c r="AB821" i="20"/>
  <c r="U821" i="20"/>
  <c r="M821" i="20"/>
  <c r="L821" i="20"/>
  <c r="K821" i="20"/>
  <c r="AC821" i="20" s="1"/>
  <c r="J821" i="20"/>
  <c r="I821" i="20"/>
  <c r="H821" i="20"/>
  <c r="BM820" i="20"/>
  <c r="AZ820" i="20"/>
  <c r="AX820" i="20"/>
  <c r="AV820" i="20"/>
  <c r="AN820" i="20"/>
  <c r="AM820" i="20"/>
  <c r="AK820" i="20"/>
  <c r="AJ820" i="20"/>
  <c r="AF820" i="20"/>
  <c r="AE820" i="20"/>
  <c r="AD820" i="20"/>
  <c r="AB820" i="20"/>
  <c r="U820" i="20"/>
  <c r="M820" i="20"/>
  <c r="L820" i="20"/>
  <c r="S820" i="20" s="1"/>
  <c r="K820" i="20"/>
  <c r="J820" i="20"/>
  <c r="I820" i="20"/>
  <c r="H820" i="20"/>
  <c r="BG819" i="20"/>
  <c r="AZ819" i="20"/>
  <c r="AX819" i="20"/>
  <c r="BE819" i="20" s="1"/>
  <c r="BF819" i="20" s="1"/>
  <c r="AV819" i="20"/>
  <c r="AF819" i="20"/>
  <c r="AE819" i="20"/>
  <c r="AD819" i="20"/>
  <c r="AB819" i="20"/>
  <c r="U819" i="20"/>
  <c r="M819" i="20"/>
  <c r="L819" i="20"/>
  <c r="S819" i="20" s="1"/>
  <c r="K819" i="20"/>
  <c r="AC819" i="20" s="1"/>
  <c r="J819" i="20"/>
  <c r="I819" i="20"/>
  <c r="H819" i="20"/>
  <c r="BG818" i="20"/>
  <c r="BD818" i="20"/>
  <c r="AZ818" i="20"/>
  <c r="AW818" i="20"/>
  <c r="AX818" i="20" s="1"/>
  <c r="AV818" i="20"/>
  <c r="AF818" i="20"/>
  <c r="AE818" i="20"/>
  <c r="AD818" i="20"/>
  <c r="AB818" i="20"/>
  <c r="U818" i="20"/>
  <c r="M818" i="20"/>
  <c r="L818" i="20"/>
  <c r="S818" i="20" s="1"/>
  <c r="K818" i="20"/>
  <c r="AC818" i="20" s="1"/>
  <c r="J818" i="20"/>
  <c r="I818" i="20"/>
  <c r="H818" i="20"/>
  <c r="BG817" i="20"/>
  <c r="AZ817" i="20"/>
  <c r="AX817" i="20"/>
  <c r="BE817" i="20" s="1"/>
  <c r="BF817" i="20" s="1"/>
  <c r="AV817" i="20"/>
  <c r="AL817" i="20"/>
  <c r="AN817" i="20" s="1"/>
  <c r="AI817" i="20"/>
  <c r="AF817" i="20"/>
  <c r="AE817" i="20"/>
  <c r="AD817" i="20"/>
  <c r="AB817" i="20"/>
  <c r="U817" i="20"/>
  <c r="M817" i="20"/>
  <c r="L817" i="20"/>
  <c r="S817" i="20" s="1"/>
  <c r="K817" i="20"/>
  <c r="AC817" i="20" s="1"/>
  <c r="J817" i="20"/>
  <c r="I817" i="20"/>
  <c r="H817" i="20"/>
  <c r="BG816" i="20"/>
  <c r="AZ816" i="20"/>
  <c r="AX816" i="20"/>
  <c r="BE816" i="20" s="1"/>
  <c r="BF816" i="20" s="1"/>
  <c r="AV816" i="20"/>
  <c r="AL816" i="20"/>
  <c r="AM816" i="20" s="1"/>
  <c r="AI816" i="20"/>
  <c r="AJ816" i="20" s="1"/>
  <c r="AF816" i="20"/>
  <c r="AE816" i="20"/>
  <c r="AD816" i="20"/>
  <c r="AB816" i="20"/>
  <c r="U816" i="20"/>
  <c r="M816" i="20"/>
  <c r="L816" i="20"/>
  <c r="Q816" i="20" s="1"/>
  <c r="K816" i="20"/>
  <c r="AC816" i="20" s="1"/>
  <c r="J816" i="20"/>
  <c r="I816" i="20"/>
  <c r="H816" i="20"/>
  <c r="BG815" i="20"/>
  <c r="AZ815" i="20"/>
  <c r="AX815" i="20"/>
  <c r="BE815" i="20" s="1"/>
  <c r="BF815" i="20" s="1"/>
  <c r="AV815" i="20"/>
  <c r="AL815" i="20"/>
  <c r="AM815" i="20" s="1"/>
  <c r="AI815" i="20"/>
  <c r="AF815" i="20"/>
  <c r="AE815" i="20"/>
  <c r="AD815" i="20"/>
  <c r="AB815" i="20"/>
  <c r="U815" i="20"/>
  <c r="M815" i="20"/>
  <c r="L815" i="20"/>
  <c r="S815" i="20" s="1"/>
  <c r="K815" i="20"/>
  <c r="AC815" i="20" s="1"/>
  <c r="J815" i="20"/>
  <c r="I815" i="20"/>
  <c r="H815" i="20"/>
  <c r="BG814" i="20"/>
  <c r="AZ814" i="20"/>
  <c r="AX814" i="20"/>
  <c r="BE814" i="20" s="1"/>
  <c r="BF814" i="20" s="1"/>
  <c r="AV814" i="20"/>
  <c r="AL814" i="20"/>
  <c r="AK814" i="20"/>
  <c r="AJ814" i="20"/>
  <c r="AI814" i="20"/>
  <c r="AF814" i="20"/>
  <c r="AE814" i="20"/>
  <c r="AD814" i="20"/>
  <c r="AB814" i="20"/>
  <c r="U814" i="20"/>
  <c r="M814" i="20"/>
  <c r="L814" i="20"/>
  <c r="S814" i="20" s="1"/>
  <c r="K814" i="20"/>
  <c r="AC814" i="20" s="1"/>
  <c r="J814" i="20"/>
  <c r="I814" i="20"/>
  <c r="H814" i="20"/>
  <c r="BG813" i="20"/>
  <c r="AZ813" i="20"/>
  <c r="AX813" i="20"/>
  <c r="BE813" i="20" s="1"/>
  <c r="BF813" i="20" s="1"/>
  <c r="AV813" i="20"/>
  <c r="AL813" i="20"/>
  <c r="AN813" i="20" s="1"/>
  <c r="AI813" i="20"/>
  <c r="AK813" i="20" s="1"/>
  <c r="AF813" i="20"/>
  <c r="AE813" i="20"/>
  <c r="AD813" i="20"/>
  <c r="AB813" i="20"/>
  <c r="U813" i="20"/>
  <c r="M813" i="20"/>
  <c r="L813" i="20"/>
  <c r="S813" i="20" s="1"/>
  <c r="K813" i="20"/>
  <c r="AC813" i="20" s="1"/>
  <c r="J813" i="20"/>
  <c r="I813" i="20"/>
  <c r="H813" i="20"/>
  <c r="BG812" i="20"/>
  <c r="AZ812" i="20"/>
  <c r="AX812" i="20"/>
  <c r="BE812" i="20" s="1"/>
  <c r="BF812" i="20" s="1"/>
  <c r="AV812" i="20"/>
  <c r="AL812" i="20"/>
  <c r="AM812" i="20" s="1"/>
  <c r="AI812" i="20"/>
  <c r="AK812" i="20" s="1"/>
  <c r="AF812" i="20"/>
  <c r="AE812" i="20"/>
  <c r="AD812" i="20"/>
  <c r="AB812" i="20"/>
  <c r="U812" i="20"/>
  <c r="M812" i="20"/>
  <c r="L812" i="20"/>
  <c r="S812" i="20" s="1"/>
  <c r="K812" i="20"/>
  <c r="J812" i="20"/>
  <c r="I812" i="20"/>
  <c r="H812" i="20"/>
  <c r="BG811" i="20"/>
  <c r="AZ811" i="20"/>
  <c r="AX811" i="20"/>
  <c r="BE811" i="20" s="1"/>
  <c r="BF811" i="20" s="1"/>
  <c r="AS811" i="20"/>
  <c r="AV811" i="20" s="1"/>
  <c r="AF811" i="20"/>
  <c r="AE811" i="20"/>
  <c r="AD811" i="20"/>
  <c r="AB811" i="20"/>
  <c r="U811" i="20"/>
  <c r="M811" i="20"/>
  <c r="L811" i="20"/>
  <c r="Q811" i="20" s="1"/>
  <c r="V811" i="20" s="1"/>
  <c r="K811" i="20"/>
  <c r="AC811" i="20" s="1"/>
  <c r="J811" i="20"/>
  <c r="I811" i="20"/>
  <c r="H811" i="20"/>
  <c r="BG810" i="20"/>
  <c r="AZ810" i="20"/>
  <c r="AX810" i="20"/>
  <c r="BE810" i="20" s="1"/>
  <c r="BF810" i="20" s="1"/>
  <c r="AS810" i="20"/>
  <c r="AV810" i="20" s="1"/>
  <c r="AF810" i="20"/>
  <c r="AE810" i="20"/>
  <c r="AD810" i="20"/>
  <c r="AB810" i="20"/>
  <c r="U810" i="20"/>
  <c r="M810" i="20"/>
  <c r="L810" i="20"/>
  <c r="S810" i="20" s="1"/>
  <c r="K810" i="20"/>
  <c r="AC810" i="20" s="1"/>
  <c r="J810" i="20"/>
  <c r="I810" i="20"/>
  <c r="H810" i="20"/>
  <c r="BG809" i="20"/>
  <c r="AZ809" i="20"/>
  <c r="AX809" i="20"/>
  <c r="BE809" i="20" s="1"/>
  <c r="BF809" i="20" s="1"/>
  <c r="AS809" i="20"/>
  <c r="AV809" i="20" s="1"/>
  <c r="AF809" i="20"/>
  <c r="AE809" i="20"/>
  <c r="AD809" i="20"/>
  <c r="AB809" i="20"/>
  <c r="U809" i="20"/>
  <c r="M809" i="20"/>
  <c r="L809" i="20"/>
  <c r="Q809" i="20" s="1"/>
  <c r="K809" i="20"/>
  <c r="AC809" i="20" s="1"/>
  <c r="J809" i="20"/>
  <c r="I809" i="20"/>
  <c r="H809" i="20"/>
  <c r="BG808" i="20"/>
  <c r="AZ808" i="20"/>
  <c r="AX808" i="20"/>
  <c r="BE808" i="20" s="1"/>
  <c r="BF808" i="20" s="1"/>
  <c r="AV808" i="20"/>
  <c r="AS808" i="20"/>
  <c r="AF808" i="20"/>
  <c r="AE808" i="20"/>
  <c r="AD808" i="20"/>
  <c r="AB808" i="20"/>
  <c r="U808" i="20"/>
  <c r="M808" i="20"/>
  <c r="L808" i="20"/>
  <c r="K808" i="20"/>
  <c r="AC808" i="20" s="1"/>
  <c r="J808" i="20"/>
  <c r="I808" i="20"/>
  <c r="H808" i="20"/>
  <c r="BG807" i="20"/>
  <c r="AZ807" i="20"/>
  <c r="AX807" i="20"/>
  <c r="BE807" i="20" s="1"/>
  <c r="BF807" i="20" s="1"/>
  <c r="AS807" i="20"/>
  <c r="AV807" i="20" s="1"/>
  <c r="AF807" i="20"/>
  <c r="AE807" i="20"/>
  <c r="AD807" i="20"/>
  <c r="AB807" i="20"/>
  <c r="U807" i="20"/>
  <c r="M807" i="20"/>
  <c r="L807" i="20"/>
  <c r="S807" i="20" s="1"/>
  <c r="K807" i="20"/>
  <c r="J807" i="20"/>
  <c r="I807" i="20"/>
  <c r="H807" i="20"/>
  <c r="BG806" i="20"/>
  <c r="AZ806" i="20"/>
  <c r="AX806" i="20"/>
  <c r="BE806" i="20" s="1"/>
  <c r="BF806" i="20" s="1"/>
  <c r="AS806" i="20"/>
  <c r="AV806" i="20" s="1"/>
  <c r="AF806" i="20"/>
  <c r="AE806" i="20"/>
  <c r="AD806" i="20"/>
  <c r="AB806" i="20"/>
  <c r="U806" i="20"/>
  <c r="M806" i="20"/>
  <c r="L806" i="20"/>
  <c r="S806" i="20" s="1"/>
  <c r="K806" i="20"/>
  <c r="J806" i="20"/>
  <c r="I806" i="20"/>
  <c r="H806" i="20"/>
  <c r="BG805" i="20"/>
  <c r="AZ805" i="20"/>
  <c r="AX805" i="20"/>
  <c r="BE805" i="20" s="1"/>
  <c r="BF805" i="20" s="1"/>
  <c r="AS805" i="20"/>
  <c r="AV805" i="20" s="1"/>
  <c r="AF805" i="20"/>
  <c r="AE805" i="20"/>
  <c r="AD805" i="20"/>
  <c r="AB805" i="20"/>
  <c r="U805" i="20"/>
  <c r="M805" i="20"/>
  <c r="L805" i="20"/>
  <c r="K805" i="20"/>
  <c r="AC805" i="20" s="1"/>
  <c r="J805" i="20"/>
  <c r="I805" i="20"/>
  <c r="H805" i="20"/>
  <c r="BG804" i="20"/>
  <c r="AZ804" i="20"/>
  <c r="AX804" i="20"/>
  <c r="BE804" i="20" s="1"/>
  <c r="BF804" i="20" s="1"/>
  <c r="AS804" i="20"/>
  <c r="AV804" i="20" s="1"/>
  <c r="AF804" i="20"/>
  <c r="AE804" i="20"/>
  <c r="AD804" i="20"/>
  <c r="AB804" i="20"/>
  <c r="U804" i="20"/>
  <c r="M804" i="20"/>
  <c r="L804" i="20"/>
  <c r="S804" i="20" s="1"/>
  <c r="K804" i="20"/>
  <c r="AC804" i="20" s="1"/>
  <c r="J804" i="20"/>
  <c r="I804" i="20"/>
  <c r="H804" i="20"/>
  <c r="BG803" i="20"/>
  <c r="AZ803" i="20"/>
  <c r="AX803" i="20"/>
  <c r="BE803" i="20" s="1"/>
  <c r="BF803" i="20" s="1"/>
  <c r="AS803" i="20"/>
  <c r="AV803" i="20" s="1"/>
  <c r="AF803" i="20"/>
  <c r="AE803" i="20"/>
  <c r="AD803" i="20"/>
  <c r="AB803" i="20"/>
  <c r="U803" i="20"/>
  <c r="M803" i="20"/>
  <c r="L803" i="20"/>
  <c r="Q803" i="20" s="1"/>
  <c r="V803" i="20" s="1"/>
  <c r="K803" i="20"/>
  <c r="AC803" i="20" s="1"/>
  <c r="J803" i="20"/>
  <c r="I803" i="20"/>
  <c r="H803" i="20"/>
  <c r="BG802" i="20"/>
  <c r="AZ802" i="20"/>
  <c r="AX802" i="20"/>
  <c r="BE802" i="20" s="1"/>
  <c r="BF802" i="20" s="1"/>
  <c r="AS802" i="20"/>
  <c r="AV802" i="20" s="1"/>
  <c r="AF802" i="20"/>
  <c r="AE802" i="20"/>
  <c r="AD802" i="20"/>
  <c r="AB802" i="20"/>
  <c r="U802" i="20"/>
  <c r="M802" i="20"/>
  <c r="L802" i="20"/>
  <c r="S802" i="20" s="1"/>
  <c r="K802" i="20"/>
  <c r="AC802" i="20" s="1"/>
  <c r="J802" i="20"/>
  <c r="I802" i="20"/>
  <c r="H802" i="20"/>
  <c r="BG801" i="20"/>
  <c r="AZ801" i="20"/>
  <c r="AX801" i="20"/>
  <c r="BE801" i="20" s="1"/>
  <c r="BF801" i="20" s="1"/>
  <c r="AS801" i="20"/>
  <c r="AV801" i="20" s="1"/>
  <c r="AF801" i="20"/>
  <c r="AE801" i="20"/>
  <c r="AD801" i="20"/>
  <c r="AB801" i="20"/>
  <c r="U801" i="20"/>
  <c r="M801" i="20"/>
  <c r="L801" i="20"/>
  <c r="K801" i="20"/>
  <c r="AC801" i="20" s="1"/>
  <c r="J801" i="20"/>
  <c r="I801" i="20"/>
  <c r="H801" i="20"/>
  <c r="BG800" i="20"/>
  <c r="AZ800" i="20"/>
  <c r="AX800" i="20"/>
  <c r="BE800" i="20" s="1"/>
  <c r="BF800" i="20" s="1"/>
  <c r="AS800" i="20"/>
  <c r="AV800" i="20" s="1"/>
  <c r="AF800" i="20"/>
  <c r="AE800" i="20"/>
  <c r="AD800" i="20"/>
  <c r="AB800" i="20"/>
  <c r="U800" i="20"/>
  <c r="M800" i="20"/>
  <c r="L800" i="20"/>
  <c r="K800" i="20"/>
  <c r="AC800" i="20" s="1"/>
  <c r="J800" i="20"/>
  <c r="I800" i="20"/>
  <c r="H800" i="20"/>
  <c r="BG799" i="20"/>
  <c r="AZ799" i="20"/>
  <c r="AX799" i="20"/>
  <c r="BE799" i="20" s="1"/>
  <c r="BF799" i="20" s="1"/>
  <c r="AS799" i="20"/>
  <c r="AV799" i="20" s="1"/>
  <c r="AF799" i="20"/>
  <c r="AE799" i="20"/>
  <c r="AD799" i="20"/>
  <c r="AB799" i="20"/>
  <c r="U799" i="20"/>
  <c r="M799" i="20"/>
  <c r="L799" i="20"/>
  <c r="S799" i="20" s="1"/>
  <c r="K799" i="20"/>
  <c r="AC799" i="20" s="1"/>
  <c r="J799" i="20"/>
  <c r="I799" i="20"/>
  <c r="H799" i="20"/>
  <c r="BG798" i="20"/>
  <c r="AZ798" i="20"/>
  <c r="AX798" i="20"/>
  <c r="BE798" i="20" s="1"/>
  <c r="BF798" i="20" s="1"/>
  <c r="AS798" i="20"/>
  <c r="AV798" i="20" s="1"/>
  <c r="AF798" i="20"/>
  <c r="AE798" i="20"/>
  <c r="AD798" i="20"/>
  <c r="AB798" i="20"/>
  <c r="U798" i="20"/>
  <c r="M798" i="20"/>
  <c r="L798" i="20"/>
  <c r="S798" i="20" s="1"/>
  <c r="K798" i="20"/>
  <c r="AC798" i="20" s="1"/>
  <c r="J798" i="20"/>
  <c r="I798" i="20"/>
  <c r="H798" i="20"/>
  <c r="BG797" i="20"/>
  <c r="AZ797" i="20"/>
  <c r="AX797" i="20"/>
  <c r="BE797" i="20" s="1"/>
  <c r="BF797" i="20" s="1"/>
  <c r="AS797" i="20"/>
  <c r="AV797" i="20" s="1"/>
  <c r="AF797" i="20"/>
  <c r="AE797" i="20"/>
  <c r="AD797" i="20"/>
  <c r="AB797" i="20"/>
  <c r="U797" i="20"/>
  <c r="M797" i="20"/>
  <c r="L797" i="20"/>
  <c r="S797" i="20" s="1"/>
  <c r="K797" i="20"/>
  <c r="AC797" i="20" s="1"/>
  <c r="J797" i="20"/>
  <c r="I797" i="20"/>
  <c r="H797" i="20"/>
  <c r="BG796" i="20"/>
  <c r="AZ796" i="20"/>
  <c r="AX796" i="20"/>
  <c r="BE796" i="20" s="1"/>
  <c r="BF796" i="20" s="1"/>
  <c r="AV796" i="20"/>
  <c r="AN796" i="20"/>
  <c r="AM796" i="20"/>
  <c r="AK796" i="20"/>
  <c r="AJ796" i="20"/>
  <c r="AF796" i="20"/>
  <c r="AE796" i="20"/>
  <c r="AD796" i="20"/>
  <c r="AB796" i="20"/>
  <c r="U796" i="20"/>
  <c r="M796" i="20"/>
  <c r="L796" i="20"/>
  <c r="K796" i="20"/>
  <c r="AC796" i="20" s="1"/>
  <c r="J796" i="20"/>
  <c r="I796" i="20"/>
  <c r="H796" i="20"/>
  <c r="BG795" i="20"/>
  <c r="AZ795" i="20"/>
  <c r="AX795" i="20"/>
  <c r="BE795" i="20" s="1"/>
  <c r="BF795" i="20" s="1"/>
  <c r="AV795" i="20"/>
  <c r="AN795" i="20"/>
  <c r="AM795" i="20"/>
  <c r="AK795" i="20"/>
  <c r="AJ795" i="20"/>
  <c r="AF795" i="20"/>
  <c r="AE795" i="20"/>
  <c r="AD795" i="20"/>
  <c r="AB795" i="20"/>
  <c r="U795" i="20"/>
  <c r="M795" i="20"/>
  <c r="L795" i="20"/>
  <c r="Q795" i="20" s="1"/>
  <c r="V795" i="20" s="1"/>
  <c r="K795" i="20"/>
  <c r="AC795" i="20" s="1"/>
  <c r="J795" i="20"/>
  <c r="I795" i="20"/>
  <c r="H795" i="20"/>
  <c r="BG794" i="20"/>
  <c r="AZ794" i="20"/>
  <c r="AX794" i="20"/>
  <c r="BE794" i="20" s="1"/>
  <c r="BF794" i="20" s="1"/>
  <c r="AV794" i="20"/>
  <c r="AN794" i="20"/>
  <c r="AM794" i="20"/>
  <c r="AK794" i="20"/>
  <c r="AJ794" i="20"/>
  <c r="AF794" i="20"/>
  <c r="AE794" i="20"/>
  <c r="AD794" i="20"/>
  <c r="AB794" i="20"/>
  <c r="U794" i="20"/>
  <c r="M794" i="20"/>
  <c r="L794" i="20"/>
  <c r="Q794" i="20" s="1"/>
  <c r="V794" i="20" s="1"/>
  <c r="K794" i="20"/>
  <c r="AC794" i="20" s="1"/>
  <c r="J794" i="20"/>
  <c r="I794" i="20"/>
  <c r="H794" i="20"/>
  <c r="BG793" i="20"/>
  <c r="AZ793" i="20"/>
  <c r="AX793" i="20"/>
  <c r="BE793" i="20" s="1"/>
  <c r="BF793" i="20" s="1"/>
  <c r="AV793" i="20"/>
  <c r="AN793" i="20"/>
  <c r="AM793" i="20"/>
  <c r="AK793" i="20"/>
  <c r="AJ793" i="20"/>
  <c r="AF793" i="20"/>
  <c r="AE793" i="20"/>
  <c r="AD793" i="20"/>
  <c r="AB793" i="20"/>
  <c r="U793" i="20"/>
  <c r="M793" i="20"/>
  <c r="L793" i="20"/>
  <c r="S793" i="20" s="1"/>
  <c r="K793" i="20"/>
  <c r="AC793" i="20" s="1"/>
  <c r="J793" i="20"/>
  <c r="I793" i="20"/>
  <c r="H793" i="20"/>
  <c r="BG792" i="20"/>
  <c r="AZ792" i="20"/>
  <c r="AX792" i="20"/>
  <c r="BE792" i="20" s="1"/>
  <c r="BF792" i="20" s="1"/>
  <c r="AV792" i="20"/>
  <c r="AN792" i="20"/>
  <c r="AM792" i="20"/>
  <c r="AK792" i="20"/>
  <c r="AJ792" i="20"/>
  <c r="AF792" i="20"/>
  <c r="AE792" i="20"/>
  <c r="AD792" i="20"/>
  <c r="AB792" i="20"/>
  <c r="U792" i="20"/>
  <c r="M792" i="20"/>
  <c r="L792" i="20"/>
  <c r="K792" i="20"/>
  <c r="AC792" i="20" s="1"/>
  <c r="J792" i="20"/>
  <c r="I792" i="20"/>
  <c r="H792" i="20"/>
  <c r="BG791" i="20"/>
  <c r="AZ791" i="20"/>
  <c r="AX791" i="20"/>
  <c r="BE791" i="20" s="1"/>
  <c r="BF791" i="20" s="1"/>
  <c r="AV791" i="20"/>
  <c r="AN791" i="20"/>
  <c r="AM791" i="20"/>
  <c r="AK791" i="20"/>
  <c r="AJ791" i="20"/>
  <c r="AF791" i="20"/>
  <c r="AE791" i="20"/>
  <c r="AD791" i="20"/>
  <c r="AB791" i="20"/>
  <c r="U791" i="20"/>
  <c r="M791" i="20"/>
  <c r="L791" i="20"/>
  <c r="K791" i="20"/>
  <c r="AC791" i="20" s="1"/>
  <c r="J791" i="20"/>
  <c r="I791" i="20"/>
  <c r="H791" i="20"/>
  <c r="BG790" i="20"/>
  <c r="AZ790" i="20"/>
  <c r="AX790" i="20"/>
  <c r="BE790" i="20" s="1"/>
  <c r="BF790" i="20" s="1"/>
  <c r="AV790" i="20"/>
  <c r="AN790" i="20"/>
  <c r="AM790" i="20"/>
  <c r="AK790" i="20"/>
  <c r="AJ790" i="20"/>
  <c r="AF790" i="20"/>
  <c r="AE790" i="20"/>
  <c r="AD790" i="20"/>
  <c r="AB790" i="20"/>
  <c r="U790" i="20"/>
  <c r="M790" i="20"/>
  <c r="L790" i="20"/>
  <c r="Q790" i="20" s="1"/>
  <c r="V790" i="20" s="1"/>
  <c r="K790" i="20"/>
  <c r="J790" i="20"/>
  <c r="I790" i="20"/>
  <c r="H790" i="20"/>
  <c r="BG789" i="20"/>
  <c r="AZ789" i="20"/>
  <c r="AX789" i="20"/>
  <c r="BE789" i="20" s="1"/>
  <c r="BF789" i="20" s="1"/>
  <c r="AV789" i="20"/>
  <c r="AN789" i="20"/>
  <c r="AM789" i="20"/>
  <c r="AK789" i="20"/>
  <c r="AJ789" i="20"/>
  <c r="AF789" i="20"/>
  <c r="AE789" i="20"/>
  <c r="AD789" i="20"/>
  <c r="AB789" i="20"/>
  <c r="U789" i="20"/>
  <c r="M789" i="20"/>
  <c r="L789" i="20"/>
  <c r="S789" i="20" s="1"/>
  <c r="K789" i="20"/>
  <c r="AC789" i="20" s="1"/>
  <c r="J789" i="20"/>
  <c r="I789" i="20"/>
  <c r="H789" i="20"/>
  <c r="BG788" i="20"/>
  <c r="AZ788" i="20"/>
  <c r="AX788" i="20"/>
  <c r="BE788" i="20" s="1"/>
  <c r="BF788" i="20" s="1"/>
  <c r="AV788" i="20"/>
  <c r="AN788" i="20"/>
  <c r="AM788" i="20"/>
  <c r="AK788" i="20"/>
  <c r="AJ788" i="20"/>
  <c r="AF788" i="20"/>
  <c r="AE788" i="20"/>
  <c r="AD788" i="20"/>
  <c r="AB788" i="20"/>
  <c r="U788" i="20"/>
  <c r="M788" i="20"/>
  <c r="L788" i="20"/>
  <c r="K788" i="20"/>
  <c r="AC788" i="20" s="1"/>
  <c r="J788" i="20"/>
  <c r="I788" i="20"/>
  <c r="H788" i="20"/>
  <c r="BG787" i="20"/>
  <c r="AZ787" i="20"/>
  <c r="AX787" i="20"/>
  <c r="BE787" i="20" s="1"/>
  <c r="BF787" i="20" s="1"/>
  <c r="AV787" i="20"/>
  <c r="AN787" i="20"/>
  <c r="AM787" i="20"/>
  <c r="AK787" i="20"/>
  <c r="AJ787" i="20"/>
  <c r="AF787" i="20"/>
  <c r="AE787" i="20"/>
  <c r="AD787" i="20"/>
  <c r="AB787" i="20"/>
  <c r="U787" i="20"/>
  <c r="M787" i="20"/>
  <c r="L787" i="20"/>
  <c r="S787" i="20" s="1"/>
  <c r="K787" i="20"/>
  <c r="AC787" i="20" s="1"/>
  <c r="J787" i="20"/>
  <c r="I787" i="20"/>
  <c r="H787" i="20"/>
  <c r="BG786" i="20"/>
  <c r="AZ786" i="20"/>
  <c r="AX786" i="20"/>
  <c r="BE786" i="20" s="1"/>
  <c r="BF786" i="20" s="1"/>
  <c r="AV786" i="20"/>
  <c r="AN786" i="20"/>
  <c r="AM786" i="20"/>
  <c r="AK786" i="20"/>
  <c r="AJ786" i="20"/>
  <c r="AF786" i="20"/>
  <c r="AE786" i="20"/>
  <c r="AD786" i="20"/>
  <c r="AB786" i="20"/>
  <c r="U786" i="20"/>
  <c r="M786" i="20"/>
  <c r="L786" i="20"/>
  <c r="Q786" i="20" s="1"/>
  <c r="V786" i="20" s="1"/>
  <c r="K786" i="20"/>
  <c r="AC786" i="20" s="1"/>
  <c r="J786" i="20"/>
  <c r="I786" i="20"/>
  <c r="H786" i="20"/>
  <c r="BG785" i="20"/>
  <c r="AZ785" i="20"/>
  <c r="AX785" i="20"/>
  <c r="BE785" i="20" s="1"/>
  <c r="BF785" i="20" s="1"/>
  <c r="AV785" i="20"/>
  <c r="AN785" i="20"/>
  <c r="AM785" i="20"/>
  <c r="AK785" i="20"/>
  <c r="AJ785" i="20"/>
  <c r="AF785" i="20"/>
  <c r="AE785" i="20"/>
  <c r="AD785" i="20"/>
  <c r="AB785" i="20"/>
  <c r="U785" i="20"/>
  <c r="M785" i="20"/>
  <c r="L785" i="20"/>
  <c r="S785" i="20" s="1"/>
  <c r="K785" i="20"/>
  <c r="J785" i="20"/>
  <c r="I785" i="20"/>
  <c r="H785" i="20"/>
  <c r="BG784" i="20"/>
  <c r="AZ784" i="20"/>
  <c r="AX784" i="20"/>
  <c r="BE784" i="20" s="1"/>
  <c r="BF784" i="20" s="1"/>
  <c r="AV784" i="20"/>
  <c r="AN784" i="20"/>
  <c r="AM784" i="20"/>
  <c r="AK784" i="20"/>
  <c r="AJ784" i="20"/>
  <c r="AF784" i="20"/>
  <c r="AE784" i="20"/>
  <c r="AD784" i="20"/>
  <c r="AB784" i="20"/>
  <c r="U784" i="20"/>
  <c r="M784" i="20"/>
  <c r="L784" i="20"/>
  <c r="K784" i="20"/>
  <c r="AC784" i="20" s="1"/>
  <c r="J784" i="20"/>
  <c r="I784" i="20"/>
  <c r="H784" i="20"/>
  <c r="BG783" i="20"/>
  <c r="BA783" i="20"/>
  <c r="AZ783" i="20"/>
  <c r="AX783" i="20"/>
  <c r="BE783" i="20" s="1"/>
  <c r="BF783" i="20" s="1"/>
  <c r="AV783" i="20"/>
  <c r="AF783" i="20"/>
  <c r="AE783" i="20"/>
  <c r="AD783" i="20"/>
  <c r="AB783" i="20"/>
  <c r="U783" i="20"/>
  <c r="M783" i="20"/>
  <c r="L783" i="20"/>
  <c r="S783" i="20" s="1"/>
  <c r="K783" i="20"/>
  <c r="AC783" i="20" s="1"/>
  <c r="J783" i="20"/>
  <c r="I783" i="20"/>
  <c r="H783" i="20"/>
  <c r="BG782" i="20"/>
  <c r="AZ782" i="20"/>
  <c r="AX782" i="20"/>
  <c r="BE782" i="20" s="1"/>
  <c r="BF782" i="20" s="1"/>
  <c r="AV782" i="20"/>
  <c r="AF782" i="20"/>
  <c r="AE782" i="20"/>
  <c r="AD782" i="20"/>
  <c r="AB782" i="20"/>
  <c r="U782" i="20"/>
  <c r="M782" i="20"/>
  <c r="L782" i="20"/>
  <c r="K782" i="20"/>
  <c r="AC782" i="20" s="1"/>
  <c r="J782" i="20"/>
  <c r="I782" i="20"/>
  <c r="H782" i="20"/>
  <c r="BG781" i="20"/>
  <c r="AZ781" i="20"/>
  <c r="AX781" i="20"/>
  <c r="BE781" i="20" s="1"/>
  <c r="BF781" i="20" s="1"/>
  <c r="AV781" i="20"/>
  <c r="AF781" i="20"/>
  <c r="AE781" i="20"/>
  <c r="AD781" i="20"/>
  <c r="AB781" i="20"/>
  <c r="U781" i="20"/>
  <c r="M781" i="20"/>
  <c r="L781" i="20"/>
  <c r="S781" i="20" s="1"/>
  <c r="K781" i="20"/>
  <c r="J781" i="20"/>
  <c r="I781" i="20"/>
  <c r="H781" i="20"/>
  <c r="BG780" i="20"/>
  <c r="BE780" i="20"/>
  <c r="BF780" i="20" s="1"/>
  <c r="AZ780" i="20"/>
  <c r="AX780" i="20"/>
  <c r="AV780" i="20"/>
  <c r="AF780" i="20"/>
  <c r="AE780" i="20"/>
  <c r="AD780" i="20"/>
  <c r="AB780" i="20"/>
  <c r="U780" i="20"/>
  <c r="M780" i="20"/>
  <c r="L780" i="20"/>
  <c r="K780" i="20"/>
  <c r="AC780" i="20" s="1"/>
  <c r="J780" i="20"/>
  <c r="I780" i="20"/>
  <c r="H780" i="20"/>
  <c r="BG779" i="20"/>
  <c r="AZ779" i="20"/>
  <c r="AX779" i="20"/>
  <c r="BE779" i="20" s="1"/>
  <c r="BF779" i="20" s="1"/>
  <c r="AV779" i="20"/>
  <c r="AL779" i="20"/>
  <c r="AI779" i="20"/>
  <c r="AK779" i="20" s="1"/>
  <c r="AF779" i="20"/>
  <c r="AE779" i="20"/>
  <c r="AD779" i="20"/>
  <c r="AB779" i="20"/>
  <c r="U779" i="20"/>
  <c r="M779" i="20"/>
  <c r="L779" i="20"/>
  <c r="Q779" i="20" s="1"/>
  <c r="V779" i="20" s="1"/>
  <c r="K779" i="20"/>
  <c r="J779" i="20"/>
  <c r="I779" i="20"/>
  <c r="H779" i="20"/>
  <c r="BG778" i="20"/>
  <c r="AZ778" i="20"/>
  <c r="AX778" i="20"/>
  <c r="BE778" i="20" s="1"/>
  <c r="BF778" i="20" s="1"/>
  <c r="AV778" i="20"/>
  <c r="AL778" i="20"/>
  <c r="AM778" i="20" s="1"/>
  <c r="AI778" i="20"/>
  <c r="AF778" i="20"/>
  <c r="AE778" i="20"/>
  <c r="AD778" i="20"/>
  <c r="AB778" i="20"/>
  <c r="U778" i="20"/>
  <c r="M778" i="20"/>
  <c r="L778" i="20"/>
  <c r="Q778" i="20" s="1"/>
  <c r="K778" i="20"/>
  <c r="AC778" i="20" s="1"/>
  <c r="J778" i="20"/>
  <c r="I778" i="20"/>
  <c r="H778" i="20"/>
  <c r="BG777" i="20"/>
  <c r="AZ777" i="20"/>
  <c r="AX777" i="20"/>
  <c r="BE777" i="20" s="1"/>
  <c r="BF777" i="20" s="1"/>
  <c r="AV777" i="20"/>
  <c r="AL777" i="20"/>
  <c r="AM777" i="20" s="1"/>
  <c r="AI777" i="20"/>
  <c r="AK777" i="20" s="1"/>
  <c r="AF777" i="20"/>
  <c r="AE777" i="20"/>
  <c r="AD777" i="20"/>
  <c r="AB777" i="20"/>
  <c r="U777" i="20"/>
  <c r="M777" i="20"/>
  <c r="L777" i="20"/>
  <c r="Q777" i="20" s="1"/>
  <c r="V777" i="20" s="1"/>
  <c r="K777" i="20"/>
  <c r="AC777" i="20" s="1"/>
  <c r="J777" i="20"/>
  <c r="I777" i="20"/>
  <c r="H777" i="20"/>
  <c r="BG776" i="20"/>
  <c r="AZ776" i="20"/>
  <c r="AX776" i="20"/>
  <c r="BE776" i="20" s="1"/>
  <c r="BF776" i="20" s="1"/>
  <c r="AV776" i="20"/>
  <c r="AM776" i="20"/>
  <c r="AL776" i="20"/>
  <c r="AN776" i="20" s="1"/>
  <c r="AI776" i="20"/>
  <c r="AK776" i="20" s="1"/>
  <c r="AF776" i="20"/>
  <c r="AE776" i="20"/>
  <c r="AD776" i="20"/>
  <c r="AB776" i="20"/>
  <c r="U776" i="20"/>
  <c r="M776" i="20"/>
  <c r="L776" i="20"/>
  <c r="S776" i="20" s="1"/>
  <c r="K776" i="20"/>
  <c r="BC776" i="20" s="1"/>
  <c r="J776" i="20"/>
  <c r="I776" i="20"/>
  <c r="H776" i="20"/>
  <c r="BG775" i="20"/>
  <c r="AZ775" i="20"/>
  <c r="AX775" i="20"/>
  <c r="BE775" i="20" s="1"/>
  <c r="BF775" i="20" s="1"/>
  <c r="AV775" i="20"/>
  <c r="AN775" i="20"/>
  <c r="AM775" i="20"/>
  <c r="AK775" i="20"/>
  <c r="AJ775" i="20"/>
  <c r="AF775" i="20"/>
  <c r="AE775" i="20"/>
  <c r="AD775" i="20"/>
  <c r="AB775" i="20"/>
  <c r="U775" i="20"/>
  <c r="M775" i="20"/>
  <c r="L775" i="20"/>
  <c r="S775" i="20" s="1"/>
  <c r="K775" i="20"/>
  <c r="AC775" i="20" s="1"/>
  <c r="J775" i="20"/>
  <c r="I775" i="20"/>
  <c r="H775" i="20"/>
  <c r="BG774" i="20"/>
  <c r="AZ774" i="20"/>
  <c r="AX774" i="20"/>
  <c r="BE774" i="20" s="1"/>
  <c r="BF774" i="20" s="1"/>
  <c r="AV774" i="20"/>
  <c r="AN774" i="20"/>
  <c r="AM774" i="20"/>
  <c r="AK774" i="20"/>
  <c r="AJ774" i="20"/>
  <c r="AF774" i="20"/>
  <c r="AE774" i="20"/>
  <c r="AD774" i="20"/>
  <c r="AB774" i="20"/>
  <c r="U774" i="20"/>
  <c r="M774" i="20"/>
  <c r="L774" i="20"/>
  <c r="S774" i="20" s="1"/>
  <c r="K774" i="20"/>
  <c r="AC774" i="20" s="1"/>
  <c r="J774" i="20"/>
  <c r="I774" i="20"/>
  <c r="H774" i="20"/>
  <c r="BG773" i="20"/>
  <c r="BE773" i="20"/>
  <c r="BF773" i="20" s="1"/>
  <c r="AZ773" i="20"/>
  <c r="AX773" i="20"/>
  <c r="AV773" i="20"/>
  <c r="AN773" i="20"/>
  <c r="AM773" i="20"/>
  <c r="AK773" i="20"/>
  <c r="AJ773" i="20"/>
  <c r="AF773" i="20"/>
  <c r="AE773" i="20"/>
  <c r="AD773" i="20"/>
  <c r="AB773" i="20"/>
  <c r="U773" i="20"/>
  <c r="M773" i="20"/>
  <c r="L773" i="20"/>
  <c r="K773" i="20"/>
  <c r="AC773" i="20" s="1"/>
  <c r="J773" i="20"/>
  <c r="I773" i="20"/>
  <c r="H773" i="20"/>
  <c r="BG772" i="20"/>
  <c r="AZ772" i="20"/>
  <c r="AX772" i="20"/>
  <c r="BE772" i="20" s="1"/>
  <c r="BF772" i="20" s="1"/>
  <c r="AV772" i="20"/>
  <c r="AN772" i="20"/>
  <c r="AM772" i="20"/>
  <c r="AK772" i="20"/>
  <c r="AJ772" i="20"/>
  <c r="AF772" i="20"/>
  <c r="AE772" i="20"/>
  <c r="AD772" i="20"/>
  <c r="AB772" i="20"/>
  <c r="U772" i="20"/>
  <c r="M772" i="20"/>
  <c r="L772" i="20"/>
  <c r="Q772" i="20" s="1"/>
  <c r="K772" i="20"/>
  <c r="AC772" i="20" s="1"/>
  <c r="J772" i="20"/>
  <c r="I772" i="20"/>
  <c r="H772" i="20"/>
  <c r="BG771" i="20"/>
  <c r="AZ771" i="20"/>
  <c r="AX771" i="20"/>
  <c r="BE771" i="20" s="1"/>
  <c r="BF771" i="20" s="1"/>
  <c r="AV771" i="20"/>
  <c r="AN771" i="20"/>
  <c r="AM771" i="20"/>
  <c r="AK771" i="20"/>
  <c r="AJ771" i="20"/>
  <c r="AF771" i="20"/>
  <c r="AE771" i="20"/>
  <c r="AD771" i="20"/>
  <c r="AC771" i="20"/>
  <c r="AB771" i="20"/>
  <c r="U771" i="20"/>
  <c r="S771" i="20"/>
  <c r="M771" i="20"/>
  <c r="L771" i="20"/>
  <c r="Q771" i="20" s="1"/>
  <c r="V771" i="20" s="1"/>
  <c r="K771" i="20"/>
  <c r="J771" i="20"/>
  <c r="I771" i="20"/>
  <c r="H771" i="20"/>
  <c r="BG770" i="20"/>
  <c r="AZ770" i="20"/>
  <c r="AX770" i="20"/>
  <c r="BE770" i="20" s="1"/>
  <c r="BF770" i="20" s="1"/>
  <c r="AV770" i="20"/>
  <c r="AF770" i="20"/>
  <c r="AE770" i="20"/>
  <c r="AD770" i="20"/>
  <c r="AB770" i="20"/>
  <c r="U770" i="20"/>
  <c r="M770" i="20"/>
  <c r="L770" i="20"/>
  <c r="S770" i="20" s="1"/>
  <c r="K770" i="20"/>
  <c r="AC770" i="20" s="1"/>
  <c r="J770" i="20"/>
  <c r="I770" i="20"/>
  <c r="H770" i="20"/>
  <c r="BG769" i="20"/>
  <c r="AZ769" i="20"/>
  <c r="AX769" i="20"/>
  <c r="BE769" i="20" s="1"/>
  <c r="BF769" i="20" s="1"/>
  <c r="AV769" i="20"/>
  <c r="AF769" i="20"/>
  <c r="AE769" i="20"/>
  <c r="AD769" i="20"/>
  <c r="AB769" i="20"/>
  <c r="U769" i="20"/>
  <c r="M769" i="20"/>
  <c r="L769" i="20"/>
  <c r="S769" i="20" s="1"/>
  <c r="K769" i="20"/>
  <c r="J769" i="20"/>
  <c r="I769" i="20"/>
  <c r="H769" i="20"/>
  <c r="BG768" i="20"/>
  <c r="AZ768" i="20"/>
  <c r="AX768" i="20"/>
  <c r="BE768" i="20" s="1"/>
  <c r="BF768" i="20" s="1"/>
  <c r="AV768" i="20"/>
  <c r="AF768" i="20"/>
  <c r="AE768" i="20"/>
  <c r="AD768" i="20"/>
  <c r="AB768" i="20"/>
  <c r="U768" i="20"/>
  <c r="M768" i="20"/>
  <c r="L768" i="20"/>
  <c r="S768" i="20" s="1"/>
  <c r="K768" i="20"/>
  <c r="AC768" i="20" s="1"/>
  <c r="J768" i="20"/>
  <c r="I768" i="20"/>
  <c r="H768" i="20"/>
  <c r="BG767" i="20"/>
  <c r="AZ767" i="20"/>
  <c r="AX767" i="20"/>
  <c r="BE767" i="20" s="1"/>
  <c r="BF767" i="20" s="1"/>
  <c r="AV767" i="20"/>
  <c r="AF767" i="20"/>
  <c r="AE767" i="20"/>
  <c r="AD767" i="20"/>
  <c r="AB767" i="20"/>
  <c r="U767" i="20"/>
  <c r="M767" i="20"/>
  <c r="L767" i="20"/>
  <c r="K767" i="20"/>
  <c r="AC767" i="20" s="1"/>
  <c r="J767" i="20"/>
  <c r="I767" i="20"/>
  <c r="H767" i="20"/>
  <c r="BM766" i="20"/>
  <c r="BL766" i="20"/>
  <c r="BN766" i="20" s="1"/>
  <c r="BO766" i="20" s="1"/>
  <c r="BD766" i="20" s="1"/>
  <c r="AZ766" i="20"/>
  <c r="AV766" i="20"/>
  <c r="AF766" i="20"/>
  <c r="AE766" i="20"/>
  <c r="AD766" i="20"/>
  <c r="AB766" i="20"/>
  <c r="U766" i="20"/>
  <c r="M766" i="20"/>
  <c r="L766" i="20"/>
  <c r="S766" i="20" s="1"/>
  <c r="K766" i="20"/>
  <c r="AC766" i="20" s="1"/>
  <c r="J766" i="20"/>
  <c r="I766" i="20"/>
  <c r="H766" i="20"/>
  <c r="BM765" i="20"/>
  <c r="BI765" i="20"/>
  <c r="BL765" i="20" s="1"/>
  <c r="BD765" i="20"/>
  <c r="BE765" i="20" s="1"/>
  <c r="BF765" i="20" s="1"/>
  <c r="AZ765" i="20"/>
  <c r="AX765" i="20"/>
  <c r="AV765" i="20"/>
  <c r="AF765" i="20"/>
  <c r="AE765" i="20"/>
  <c r="AD765" i="20"/>
  <c r="AB765" i="20"/>
  <c r="U765" i="20"/>
  <c r="M765" i="20"/>
  <c r="L765" i="20"/>
  <c r="K765" i="20"/>
  <c r="AC765" i="20" s="1"/>
  <c r="J765" i="20"/>
  <c r="I765" i="20"/>
  <c r="H765" i="20"/>
  <c r="BM764" i="20"/>
  <c r="BI764" i="20"/>
  <c r="BL764" i="20" s="1"/>
  <c r="BD764" i="20"/>
  <c r="BG764" i="20" s="1"/>
  <c r="AZ764" i="20"/>
  <c r="AX764" i="20"/>
  <c r="AV764" i="20"/>
  <c r="AF764" i="20"/>
  <c r="AE764" i="20"/>
  <c r="AD764" i="20"/>
  <c r="AB764" i="20"/>
  <c r="U764" i="20"/>
  <c r="M764" i="20"/>
  <c r="L764" i="20"/>
  <c r="Q764" i="20" s="1"/>
  <c r="V764" i="20" s="1"/>
  <c r="K764" i="20"/>
  <c r="AC764" i="20" s="1"/>
  <c r="J764" i="20"/>
  <c r="I764" i="20"/>
  <c r="H764" i="20"/>
  <c r="BM763" i="20"/>
  <c r="BI763" i="20"/>
  <c r="BL763" i="20" s="1"/>
  <c r="BD763" i="20"/>
  <c r="BG763" i="20" s="1"/>
  <c r="AZ763" i="20"/>
  <c r="AX763" i="20"/>
  <c r="AV763" i="20"/>
  <c r="AF763" i="20"/>
  <c r="AE763" i="20"/>
  <c r="AD763" i="20"/>
  <c r="AB763" i="20"/>
  <c r="U763" i="20"/>
  <c r="M763" i="20"/>
  <c r="L763" i="20"/>
  <c r="S763" i="20" s="1"/>
  <c r="K763" i="20"/>
  <c r="AC763" i="20" s="1"/>
  <c r="J763" i="20"/>
  <c r="I763" i="20"/>
  <c r="H763" i="20"/>
  <c r="BM762" i="20"/>
  <c r="BI762" i="20"/>
  <c r="BL762" i="20" s="1"/>
  <c r="BD762" i="20"/>
  <c r="BG762" i="20" s="1"/>
  <c r="AZ762" i="20"/>
  <c r="AX762" i="20"/>
  <c r="AV762" i="20"/>
  <c r="AF762" i="20"/>
  <c r="AE762" i="20"/>
  <c r="AD762" i="20"/>
  <c r="AB762" i="20"/>
  <c r="U762" i="20"/>
  <c r="M762" i="20"/>
  <c r="L762" i="20"/>
  <c r="S762" i="20" s="1"/>
  <c r="K762" i="20"/>
  <c r="AC762" i="20" s="1"/>
  <c r="J762" i="20"/>
  <c r="I762" i="20"/>
  <c r="H762" i="20"/>
  <c r="BM761" i="20"/>
  <c r="BI761" i="20"/>
  <c r="BL761" i="20" s="1"/>
  <c r="BD761" i="20"/>
  <c r="BG761" i="20" s="1"/>
  <c r="AZ761" i="20"/>
  <c r="AX761" i="20"/>
  <c r="AV761" i="20"/>
  <c r="AF761" i="20"/>
  <c r="AE761" i="20"/>
  <c r="AD761" i="20"/>
  <c r="AB761" i="20"/>
  <c r="U761" i="20"/>
  <c r="M761" i="20"/>
  <c r="L761" i="20"/>
  <c r="Q761" i="20" s="1"/>
  <c r="V761" i="20" s="1"/>
  <c r="K761" i="20"/>
  <c r="AC761" i="20" s="1"/>
  <c r="J761" i="20"/>
  <c r="I761" i="20"/>
  <c r="H761" i="20"/>
  <c r="BG760" i="20"/>
  <c r="BE760" i="20"/>
  <c r="BF760" i="20" s="1"/>
  <c r="AV760" i="20"/>
  <c r="AF760" i="20"/>
  <c r="AE760" i="20"/>
  <c r="AD760" i="20"/>
  <c r="AB760" i="20"/>
  <c r="U760" i="20"/>
  <c r="M760" i="20"/>
  <c r="L760" i="20"/>
  <c r="S760" i="20" s="1"/>
  <c r="K760" i="20"/>
  <c r="J760" i="20"/>
  <c r="I760" i="20"/>
  <c r="H760" i="20"/>
  <c r="BG759" i="20"/>
  <c r="BE759" i="20"/>
  <c r="BF759" i="20" s="1"/>
  <c r="AV759" i="20"/>
  <c r="AF759" i="20"/>
  <c r="AE759" i="20"/>
  <c r="AD759" i="20"/>
  <c r="AB759" i="20"/>
  <c r="U759" i="20"/>
  <c r="M759" i="20"/>
  <c r="L759" i="20"/>
  <c r="S759" i="20" s="1"/>
  <c r="K759" i="20"/>
  <c r="J759" i="20"/>
  <c r="I759" i="20"/>
  <c r="H759" i="20"/>
  <c r="BG758" i="20"/>
  <c r="BE758" i="20"/>
  <c r="BF758" i="20" s="1"/>
  <c r="AV758" i="20"/>
  <c r="AF758" i="20"/>
  <c r="AE758" i="20"/>
  <c r="AD758" i="20"/>
  <c r="AB758" i="20"/>
  <c r="U758" i="20"/>
  <c r="M758" i="20"/>
  <c r="L758" i="20"/>
  <c r="S758" i="20" s="1"/>
  <c r="K758" i="20"/>
  <c r="AC758" i="20" s="1"/>
  <c r="J758" i="20"/>
  <c r="I758" i="20"/>
  <c r="H758" i="20"/>
  <c r="BG757" i="20"/>
  <c r="BE757" i="20"/>
  <c r="BF757" i="20" s="1"/>
  <c r="AV757" i="20"/>
  <c r="AF757" i="20"/>
  <c r="AE757" i="20"/>
  <c r="AD757" i="20"/>
  <c r="AB757" i="20"/>
  <c r="U757" i="20"/>
  <c r="M757" i="20"/>
  <c r="L757" i="20"/>
  <c r="K757" i="20"/>
  <c r="AC757" i="20" s="1"/>
  <c r="J757" i="20"/>
  <c r="I757" i="20"/>
  <c r="H757" i="20"/>
  <c r="BG756" i="20"/>
  <c r="BF756" i="20"/>
  <c r="BE756" i="20"/>
  <c r="AV756" i="20"/>
  <c r="AF756" i="20"/>
  <c r="AE756" i="20"/>
  <c r="AD756" i="20"/>
  <c r="AB756" i="20"/>
  <c r="U756" i="20"/>
  <c r="M756" i="20"/>
  <c r="L756" i="20"/>
  <c r="S756" i="20" s="1"/>
  <c r="K756" i="20"/>
  <c r="AC756" i="20" s="1"/>
  <c r="J756" i="20"/>
  <c r="I756" i="20"/>
  <c r="H756" i="20"/>
  <c r="BG755" i="20"/>
  <c r="BE755" i="20"/>
  <c r="BF755" i="20" s="1"/>
  <c r="AV755" i="20"/>
  <c r="AF755" i="20"/>
  <c r="AE755" i="20"/>
  <c r="AD755" i="20"/>
  <c r="AB755" i="20"/>
  <c r="U755" i="20"/>
  <c r="M755" i="20"/>
  <c r="L755" i="20"/>
  <c r="S755" i="20" s="1"/>
  <c r="K755" i="20"/>
  <c r="AC755" i="20" s="1"/>
  <c r="J755" i="20"/>
  <c r="I755" i="20"/>
  <c r="H755" i="20"/>
  <c r="BG754" i="20"/>
  <c r="BE754" i="20"/>
  <c r="BF754" i="20" s="1"/>
  <c r="AV754" i="20"/>
  <c r="AF754" i="20"/>
  <c r="AE754" i="20"/>
  <c r="AD754" i="20"/>
  <c r="AB754" i="20"/>
  <c r="U754" i="20"/>
  <c r="M754" i="20"/>
  <c r="L754" i="20"/>
  <c r="S754" i="20" s="1"/>
  <c r="K754" i="20"/>
  <c r="AC754" i="20" s="1"/>
  <c r="J754" i="20"/>
  <c r="I754" i="20"/>
  <c r="H754" i="20"/>
  <c r="BG753" i="20"/>
  <c r="BE753" i="20"/>
  <c r="BF753" i="20" s="1"/>
  <c r="AV753" i="20"/>
  <c r="AF753" i="20"/>
  <c r="AE753" i="20"/>
  <c r="AD753" i="20"/>
  <c r="AB753" i="20"/>
  <c r="U753" i="20"/>
  <c r="M753" i="20"/>
  <c r="L753" i="20"/>
  <c r="S753" i="20" s="1"/>
  <c r="K753" i="20"/>
  <c r="AC753" i="20" s="1"/>
  <c r="J753" i="20"/>
  <c r="I753" i="20"/>
  <c r="H753" i="20"/>
  <c r="BG752" i="20"/>
  <c r="BE752" i="20"/>
  <c r="BF752" i="20" s="1"/>
  <c r="AV752" i="20"/>
  <c r="AF752" i="20"/>
  <c r="AE752" i="20"/>
  <c r="AD752" i="20"/>
  <c r="AB752" i="20"/>
  <c r="U752" i="20"/>
  <c r="M752" i="20"/>
  <c r="L752" i="20"/>
  <c r="S752" i="20" s="1"/>
  <c r="K752" i="20"/>
  <c r="AC752" i="20" s="1"/>
  <c r="J752" i="20"/>
  <c r="I752" i="20"/>
  <c r="H752" i="20"/>
  <c r="BM751" i="20"/>
  <c r="BL751" i="20"/>
  <c r="AZ751" i="20"/>
  <c r="AV751" i="20"/>
  <c r="AF751" i="20"/>
  <c r="AE751" i="20"/>
  <c r="AD751" i="20"/>
  <c r="AB751" i="20"/>
  <c r="U751" i="20"/>
  <c r="M751" i="20"/>
  <c r="L751" i="20"/>
  <c r="K751" i="20"/>
  <c r="AC751" i="20" s="1"/>
  <c r="J751" i="20"/>
  <c r="I751" i="20"/>
  <c r="H751" i="20"/>
  <c r="BG750" i="20"/>
  <c r="AZ750" i="20"/>
  <c r="AX750" i="20"/>
  <c r="BE750" i="20" s="1"/>
  <c r="BF750" i="20" s="1"/>
  <c r="AV750" i="20"/>
  <c r="AN750" i="20"/>
  <c r="AM750" i="20"/>
  <c r="AK750" i="20"/>
  <c r="AJ750" i="20"/>
  <c r="AF750" i="20"/>
  <c r="AE750" i="20"/>
  <c r="AD750" i="20"/>
  <c r="AB750" i="20"/>
  <c r="U750" i="20"/>
  <c r="M750" i="20"/>
  <c r="L750" i="20"/>
  <c r="S750" i="20" s="1"/>
  <c r="K750" i="20"/>
  <c r="AC750" i="20" s="1"/>
  <c r="J750" i="20"/>
  <c r="I750" i="20"/>
  <c r="H750" i="20"/>
  <c r="BG749" i="20"/>
  <c r="AZ749" i="20"/>
  <c r="AX749" i="20"/>
  <c r="BE749" i="20" s="1"/>
  <c r="BF749" i="20" s="1"/>
  <c r="AV749" i="20"/>
  <c r="AN749" i="20"/>
  <c r="AM749" i="20"/>
  <c r="AK749" i="20"/>
  <c r="AJ749" i="20"/>
  <c r="AF749" i="20"/>
  <c r="AE749" i="20"/>
  <c r="AD749" i="20"/>
  <c r="AB749" i="20"/>
  <c r="U749" i="20"/>
  <c r="M749" i="20"/>
  <c r="L749" i="20"/>
  <c r="Q749" i="20" s="1"/>
  <c r="K749" i="20"/>
  <c r="AC749" i="20" s="1"/>
  <c r="J749" i="20"/>
  <c r="I749" i="20"/>
  <c r="H749" i="20"/>
  <c r="AZ748" i="20"/>
  <c r="AX748" i="20"/>
  <c r="BD748" i="20" s="1"/>
  <c r="AV748" i="20"/>
  <c r="AL748" i="20"/>
  <c r="AM748" i="20" s="1"/>
  <c r="AI748" i="20"/>
  <c r="AK748" i="20" s="1"/>
  <c r="AF748" i="20"/>
  <c r="AE748" i="20"/>
  <c r="AD748" i="20"/>
  <c r="AB748" i="20"/>
  <c r="U748" i="20"/>
  <c r="M748" i="20"/>
  <c r="L748" i="20"/>
  <c r="K748" i="20"/>
  <c r="AC748" i="20" s="1"/>
  <c r="J748" i="20"/>
  <c r="I748" i="20"/>
  <c r="H748" i="20"/>
  <c r="AZ747" i="20"/>
  <c r="AX747" i="20"/>
  <c r="BD747" i="20" s="1"/>
  <c r="AV747" i="20"/>
  <c r="AL747" i="20"/>
  <c r="AN747" i="20" s="1"/>
  <c r="AI747" i="20"/>
  <c r="AF747" i="20"/>
  <c r="AE747" i="20"/>
  <c r="AD747" i="20"/>
  <c r="AB747" i="20"/>
  <c r="U747" i="20"/>
  <c r="M747" i="20"/>
  <c r="L747" i="20"/>
  <c r="S747" i="20" s="1"/>
  <c r="K747" i="20"/>
  <c r="AC747" i="20" s="1"/>
  <c r="J747" i="20"/>
  <c r="I747" i="20"/>
  <c r="H747" i="20"/>
  <c r="AZ746" i="20"/>
  <c r="AX746" i="20"/>
  <c r="BD746" i="20" s="1"/>
  <c r="BG746" i="20" s="1"/>
  <c r="AV746" i="20"/>
  <c r="AN746" i="20"/>
  <c r="AL746" i="20"/>
  <c r="AM746" i="20" s="1"/>
  <c r="AI746" i="20"/>
  <c r="AK746" i="20" s="1"/>
  <c r="AF746" i="20"/>
  <c r="AE746" i="20"/>
  <c r="AD746" i="20"/>
  <c r="AB746" i="20"/>
  <c r="U746" i="20"/>
  <c r="M746" i="20"/>
  <c r="L746" i="20"/>
  <c r="S746" i="20" s="1"/>
  <c r="K746" i="20"/>
  <c r="AC746" i="20" s="1"/>
  <c r="J746" i="20"/>
  <c r="I746" i="20"/>
  <c r="H746" i="20"/>
  <c r="BD745" i="20"/>
  <c r="AZ745" i="20"/>
  <c r="AX745" i="20"/>
  <c r="AV745" i="20"/>
  <c r="AL745" i="20"/>
  <c r="AN745" i="20" s="1"/>
  <c r="AI745" i="20"/>
  <c r="AK745" i="20" s="1"/>
  <c r="AF745" i="20"/>
  <c r="AE745" i="20"/>
  <c r="AD745" i="20"/>
  <c r="AB745" i="20"/>
  <c r="U745" i="20"/>
  <c r="M745" i="20"/>
  <c r="L745" i="20"/>
  <c r="Q745" i="20" s="1"/>
  <c r="K745" i="20"/>
  <c r="AC745" i="20" s="1"/>
  <c r="J745" i="20"/>
  <c r="I745" i="20"/>
  <c r="H745" i="20"/>
  <c r="BG744" i="20"/>
  <c r="AX744" i="20"/>
  <c r="BE744" i="20" s="1"/>
  <c r="BF744" i="20" s="1"/>
  <c r="AV744" i="20"/>
  <c r="AN744" i="20"/>
  <c r="AM744" i="20"/>
  <c r="AK744" i="20"/>
  <c r="AJ744" i="20"/>
  <c r="AF744" i="20"/>
  <c r="AE744" i="20"/>
  <c r="AD744" i="20"/>
  <c r="AB744" i="20"/>
  <c r="U744" i="20"/>
  <c r="M744" i="20"/>
  <c r="L744" i="20"/>
  <c r="K744" i="20"/>
  <c r="AC744" i="20" s="1"/>
  <c r="J744" i="20"/>
  <c r="I744" i="20"/>
  <c r="H744" i="20"/>
  <c r="BG743" i="20"/>
  <c r="AX743" i="20"/>
  <c r="BE743" i="20" s="1"/>
  <c r="BF743" i="20" s="1"/>
  <c r="AV743" i="20"/>
  <c r="AN743" i="20"/>
  <c r="AM743" i="20"/>
  <c r="AK743" i="20"/>
  <c r="AJ743" i="20"/>
  <c r="AF743" i="20"/>
  <c r="AE743" i="20"/>
  <c r="AD743" i="20"/>
  <c r="AB743" i="20"/>
  <c r="U743" i="20"/>
  <c r="M743" i="20"/>
  <c r="L743" i="20"/>
  <c r="S743" i="20" s="1"/>
  <c r="K743" i="20"/>
  <c r="AC743" i="20" s="1"/>
  <c r="J743" i="20"/>
  <c r="I743" i="20"/>
  <c r="H743" i="20"/>
  <c r="BG742" i="20"/>
  <c r="AX742" i="20"/>
  <c r="BE742" i="20" s="1"/>
  <c r="BF742" i="20" s="1"/>
  <c r="AV742" i="20"/>
  <c r="AN742" i="20"/>
  <c r="AM742" i="20"/>
  <c r="AK742" i="20"/>
  <c r="AJ742" i="20"/>
  <c r="AF742" i="20"/>
  <c r="AE742" i="20"/>
  <c r="AD742" i="20"/>
  <c r="AB742" i="20"/>
  <c r="U742" i="20"/>
  <c r="M742" i="20"/>
  <c r="L742" i="20"/>
  <c r="K742" i="20"/>
  <c r="AC742" i="20" s="1"/>
  <c r="J742" i="20"/>
  <c r="I742" i="20"/>
  <c r="H742" i="20"/>
  <c r="BG741" i="20"/>
  <c r="AX741" i="20"/>
  <c r="BE741" i="20" s="1"/>
  <c r="BF741" i="20" s="1"/>
  <c r="AV741" i="20"/>
  <c r="AN741" i="20"/>
  <c r="AM741" i="20"/>
  <c r="AK741" i="20"/>
  <c r="AJ741" i="20"/>
  <c r="AF741" i="20"/>
  <c r="AE741" i="20"/>
  <c r="AD741" i="20"/>
  <c r="AB741" i="20"/>
  <c r="U741" i="20"/>
  <c r="M741" i="20"/>
  <c r="L741" i="20"/>
  <c r="S741" i="20" s="1"/>
  <c r="K741" i="20"/>
  <c r="AC741" i="20" s="1"/>
  <c r="J741" i="20"/>
  <c r="I741" i="20"/>
  <c r="H741" i="20"/>
  <c r="BG740" i="20"/>
  <c r="AX740" i="20"/>
  <c r="BE740" i="20" s="1"/>
  <c r="BF740" i="20" s="1"/>
  <c r="AV740" i="20"/>
  <c r="AN740" i="20"/>
  <c r="AM740" i="20"/>
  <c r="AK740" i="20"/>
  <c r="AJ740" i="20"/>
  <c r="AF740" i="20"/>
  <c r="AE740" i="20"/>
  <c r="AD740" i="20"/>
  <c r="AB740" i="20"/>
  <c r="U740" i="20"/>
  <c r="M740" i="20"/>
  <c r="L740" i="20"/>
  <c r="K740" i="20"/>
  <c r="AC740" i="20" s="1"/>
  <c r="J740" i="20"/>
  <c r="I740" i="20"/>
  <c r="H740" i="20"/>
  <c r="BG739" i="20"/>
  <c r="BE739" i="20"/>
  <c r="BF739" i="20" s="1"/>
  <c r="AX739" i="20"/>
  <c r="AV739" i="20"/>
  <c r="AN739" i="20"/>
  <c r="AM739" i="20"/>
  <c r="AK739" i="20"/>
  <c r="AJ739" i="20"/>
  <c r="AF739" i="20"/>
  <c r="AE739" i="20"/>
  <c r="AD739" i="20"/>
  <c r="AB739" i="20"/>
  <c r="U739" i="20"/>
  <c r="M739" i="20"/>
  <c r="L739" i="20"/>
  <c r="K739" i="20"/>
  <c r="AC739" i="20" s="1"/>
  <c r="J739" i="20"/>
  <c r="I739" i="20"/>
  <c r="H739" i="20"/>
  <c r="BG738" i="20"/>
  <c r="AX738" i="20"/>
  <c r="BE738" i="20" s="1"/>
  <c r="BF738" i="20" s="1"/>
  <c r="AV738" i="20"/>
  <c r="AN738" i="20"/>
  <c r="AM738" i="20"/>
  <c r="AK738" i="20"/>
  <c r="AJ738" i="20"/>
  <c r="AF738" i="20"/>
  <c r="AE738" i="20"/>
  <c r="AD738" i="20"/>
  <c r="AB738" i="20"/>
  <c r="U738" i="20"/>
  <c r="M738" i="20"/>
  <c r="L738" i="20"/>
  <c r="S738" i="20" s="1"/>
  <c r="K738" i="20"/>
  <c r="AC738" i="20" s="1"/>
  <c r="J738" i="20"/>
  <c r="I738" i="20"/>
  <c r="H738" i="20"/>
  <c r="BG737" i="20"/>
  <c r="AX737" i="20"/>
  <c r="BE737" i="20" s="1"/>
  <c r="BF737" i="20" s="1"/>
  <c r="AV737" i="20"/>
  <c r="AN737" i="20"/>
  <c r="AM737" i="20"/>
  <c r="AK737" i="20"/>
  <c r="AJ737" i="20"/>
  <c r="AF737" i="20"/>
  <c r="AE737" i="20"/>
  <c r="AD737" i="20"/>
  <c r="AB737" i="20"/>
  <c r="U737" i="20"/>
  <c r="S737" i="20"/>
  <c r="Q737" i="20"/>
  <c r="V737" i="20" s="1"/>
  <c r="M737" i="20"/>
  <c r="L737" i="20"/>
  <c r="K737" i="20"/>
  <c r="AC737" i="20" s="1"/>
  <c r="J737" i="20"/>
  <c r="I737" i="20"/>
  <c r="H737" i="20"/>
  <c r="BG736" i="20"/>
  <c r="BE736" i="20"/>
  <c r="BF736" i="20" s="1"/>
  <c r="AX736" i="20"/>
  <c r="AV736" i="20"/>
  <c r="AN736" i="20"/>
  <c r="AM736" i="20"/>
  <c r="AK736" i="20"/>
  <c r="AJ736" i="20"/>
  <c r="AF736" i="20"/>
  <c r="AE736" i="20"/>
  <c r="AD736" i="20"/>
  <c r="AB736" i="20"/>
  <c r="U736" i="20"/>
  <c r="Q736" i="20"/>
  <c r="M736" i="20"/>
  <c r="L736" i="20"/>
  <c r="S736" i="20" s="1"/>
  <c r="K736" i="20"/>
  <c r="AC736" i="20" s="1"/>
  <c r="J736" i="20"/>
  <c r="I736" i="20"/>
  <c r="H736" i="20"/>
  <c r="BG735" i="20"/>
  <c r="AX735" i="20"/>
  <c r="BE735" i="20" s="1"/>
  <c r="BF735" i="20" s="1"/>
  <c r="AV735" i="20"/>
  <c r="AN735" i="20"/>
  <c r="AM735" i="20"/>
  <c r="AK735" i="20"/>
  <c r="AJ735" i="20"/>
  <c r="AF735" i="20"/>
  <c r="AE735" i="20"/>
  <c r="AD735" i="20"/>
  <c r="AB735" i="20"/>
  <c r="U735" i="20"/>
  <c r="M735" i="20"/>
  <c r="L735" i="20"/>
  <c r="S735" i="20" s="1"/>
  <c r="K735" i="20"/>
  <c r="J735" i="20"/>
  <c r="I735" i="20"/>
  <c r="H735" i="20"/>
  <c r="BG734" i="20"/>
  <c r="AX734" i="20"/>
  <c r="BE734" i="20" s="1"/>
  <c r="BF734" i="20" s="1"/>
  <c r="AV734" i="20"/>
  <c r="AN734" i="20"/>
  <c r="AM734" i="20"/>
  <c r="AK734" i="20"/>
  <c r="AJ734" i="20"/>
  <c r="AF734" i="20"/>
  <c r="AE734" i="20"/>
  <c r="AD734" i="20"/>
  <c r="AB734" i="20"/>
  <c r="U734" i="20"/>
  <c r="M734" i="20"/>
  <c r="L734" i="20"/>
  <c r="S734" i="20" s="1"/>
  <c r="K734" i="20"/>
  <c r="J734" i="20"/>
  <c r="I734" i="20"/>
  <c r="H734" i="20"/>
  <c r="BG733" i="20"/>
  <c r="AX733" i="20"/>
  <c r="BE733" i="20" s="1"/>
  <c r="BF733" i="20" s="1"/>
  <c r="AV733" i="20"/>
  <c r="AN733" i="20"/>
  <c r="AM733" i="20"/>
  <c r="AK733" i="20"/>
  <c r="AJ733" i="20"/>
  <c r="AF733" i="20"/>
  <c r="AE733" i="20"/>
  <c r="AD733" i="20"/>
  <c r="AB733" i="20"/>
  <c r="U733" i="20"/>
  <c r="M733" i="20"/>
  <c r="L733" i="20"/>
  <c r="Q733" i="20" s="1"/>
  <c r="V733" i="20" s="1"/>
  <c r="K733" i="20"/>
  <c r="AC733" i="20" s="1"/>
  <c r="J733" i="20"/>
  <c r="I733" i="20"/>
  <c r="H733" i="20"/>
  <c r="BG732" i="20"/>
  <c r="AX732" i="20"/>
  <c r="BE732" i="20" s="1"/>
  <c r="BF732" i="20" s="1"/>
  <c r="AV732" i="20"/>
  <c r="AN732" i="20"/>
  <c r="AM732" i="20"/>
  <c r="AK732" i="20"/>
  <c r="AJ732" i="20"/>
  <c r="AF732" i="20"/>
  <c r="AE732" i="20"/>
  <c r="AD732" i="20"/>
  <c r="AB732" i="20"/>
  <c r="U732" i="20"/>
  <c r="M732" i="20"/>
  <c r="L732" i="20"/>
  <c r="S732" i="20" s="1"/>
  <c r="K732" i="20"/>
  <c r="J732" i="20"/>
  <c r="I732" i="20"/>
  <c r="H732" i="20"/>
  <c r="BG731" i="20"/>
  <c r="BE731" i="20"/>
  <c r="BF731" i="20" s="1"/>
  <c r="AX731" i="20"/>
  <c r="AV731" i="20"/>
  <c r="AN731" i="20"/>
  <c r="AM731" i="20"/>
  <c r="AK731" i="20"/>
  <c r="AJ731" i="20"/>
  <c r="AF731" i="20"/>
  <c r="AE731" i="20"/>
  <c r="AD731" i="20"/>
  <c r="AB731" i="20"/>
  <c r="V731" i="20"/>
  <c r="U731" i="20"/>
  <c r="M731" i="20"/>
  <c r="L731" i="20"/>
  <c r="Q731" i="20" s="1"/>
  <c r="K731" i="20"/>
  <c r="AC731" i="20" s="1"/>
  <c r="J731" i="20"/>
  <c r="I731" i="20"/>
  <c r="H731" i="20"/>
  <c r="BG730" i="20"/>
  <c r="AX730" i="20"/>
  <c r="BE730" i="20" s="1"/>
  <c r="BF730" i="20" s="1"/>
  <c r="AV730" i="20"/>
  <c r="AN730" i="20"/>
  <c r="AM730" i="20"/>
  <c r="AK730" i="20"/>
  <c r="AJ730" i="20"/>
  <c r="AF730" i="20"/>
  <c r="AE730" i="20"/>
  <c r="AD730" i="20"/>
  <c r="AB730" i="20"/>
  <c r="U730" i="20"/>
  <c r="M730" i="20"/>
  <c r="L730" i="20"/>
  <c r="S730" i="20" s="1"/>
  <c r="K730" i="20"/>
  <c r="J730" i="20"/>
  <c r="I730" i="20"/>
  <c r="H730" i="20"/>
  <c r="BG729" i="20"/>
  <c r="AX729" i="20"/>
  <c r="BE729" i="20" s="1"/>
  <c r="BF729" i="20" s="1"/>
  <c r="AV729" i="20"/>
  <c r="AN729" i="20"/>
  <c r="AM729" i="20"/>
  <c r="AK729" i="20"/>
  <c r="AJ729" i="20"/>
  <c r="AF729" i="20"/>
  <c r="AE729" i="20"/>
  <c r="AD729" i="20"/>
  <c r="AB729" i="20"/>
  <c r="U729" i="20"/>
  <c r="M729" i="20"/>
  <c r="L729" i="20"/>
  <c r="K729" i="20"/>
  <c r="AC729" i="20" s="1"/>
  <c r="J729" i="20"/>
  <c r="I729" i="20"/>
  <c r="H729" i="20"/>
  <c r="BG728" i="20"/>
  <c r="AX728" i="20"/>
  <c r="BE728" i="20" s="1"/>
  <c r="BF728" i="20" s="1"/>
  <c r="AV728" i="20"/>
  <c r="AN728" i="20"/>
  <c r="AM728" i="20"/>
  <c r="AK728" i="20"/>
  <c r="AJ728" i="20"/>
  <c r="AF728" i="20"/>
  <c r="AE728" i="20"/>
  <c r="AD728" i="20"/>
  <c r="AB728" i="20"/>
  <c r="U728" i="20"/>
  <c r="M728" i="20"/>
  <c r="L728" i="20"/>
  <c r="K728" i="20"/>
  <c r="AC728" i="20" s="1"/>
  <c r="J728" i="20"/>
  <c r="I728" i="20"/>
  <c r="H728" i="20"/>
  <c r="BG727" i="20"/>
  <c r="AX727" i="20"/>
  <c r="BE727" i="20" s="1"/>
  <c r="BF727" i="20" s="1"/>
  <c r="AV727" i="20"/>
  <c r="AN727" i="20"/>
  <c r="AM727" i="20"/>
  <c r="AK727" i="20"/>
  <c r="AJ727" i="20"/>
  <c r="AF727" i="20"/>
  <c r="AE727" i="20"/>
  <c r="AD727" i="20"/>
  <c r="AB727" i="20"/>
  <c r="U727" i="20"/>
  <c r="M727" i="20"/>
  <c r="L727" i="20"/>
  <c r="S727" i="20" s="1"/>
  <c r="K727" i="20"/>
  <c r="AC727" i="20" s="1"/>
  <c r="J727" i="20"/>
  <c r="I727" i="20"/>
  <c r="H727" i="20"/>
  <c r="BG726" i="20"/>
  <c r="AX726" i="20"/>
  <c r="BE726" i="20" s="1"/>
  <c r="BF726" i="20" s="1"/>
  <c r="AV726" i="20"/>
  <c r="AN726" i="20"/>
  <c r="AM726" i="20"/>
  <c r="AK726" i="20"/>
  <c r="AJ726" i="20"/>
  <c r="AF726" i="20"/>
  <c r="AE726" i="20"/>
  <c r="AD726" i="20"/>
  <c r="AB726" i="20"/>
  <c r="U726" i="20"/>
  <c r="M726" i="20"/>
  <c r="L726" i="20"/>
  <c r="S726" i="20" s="1"/>
  <c r="K726" i="20"/>
  <c r="AC726" i="20" s="1"/>
  <c r="J726" i="20"/>
  <c r="I726" i="20"/>
  <c r="H726" i="20"/>
  <c r="BG725" i="20"/>
  <c r="AX725" i="20"/>
  <c r="BE725" i="20" s="1"/>
  <c r="BF725" i="20" s="1"/>
  <c r="AV725" i="20"/>
  <c r="AN725" i="20"/>
  <c r="AM725" i="20"/>
  <c r="AK725" i="20"/>
  <c r="AJ725" i="20"/>
  <c r="AF725" i="20"/>
  <c r="AE725" i="20"/>
  <c r="AD725" i="20"/>
  <c r="AB725" i="20"/>
  <c r="U725" i="20"/>
  <c r="M725" i="20"/>
  <c r="L725" i="20"/>
  <c r="S725" i="20" s="1"/>
  <c r="K725" i="20"/>
  <c r="AC725" i="20" s="1"/>
  <c r="J725" i="20"/>
  <c r="I725" i="20"/>
  <c r="H725" i="20"/>
  <c r="BG724" i="20"/>
  <c r="AX724" i="20"/>
  <c r="BE724" i="20" s="1"/>
  <c r="BF724" i="20" s="1"/>
  <c r="AV724" i="20"/>
  <c r="AN724" i="20"/>
  <c r="AM724" i="20"/>
  <c r="AK724" i="20"/>
  <c r="AJ724" i="20"/>
  <c r="AF724" i="20"/>
  <c r="AE724" i="20"/>
  <c r="AD724" i="20"/>
  <c r="AB724" i="20"/>
  <c r="U724" i="20"/>
  <c r="M724" i="20"/>
  <c r="L724" i="20"/>
  <c r="S724" i="20" s="1"/>
  <c r="K724" i="20"/>
  <c r="AC724" i="20" s="1"/>
  <c r="J724" i="20"/>
  <c r="I724" i="20"/>
  <c r="H724" i="20"/>
  <c r="BG723" i="20"/>
  <c r="AX723" i="20"/>
  <c r="BE723" i="20" s="1"/>
  <c r="BF723" i="20" s="1"/>
  <c r="AV723" i="20"/>
  <c r="AN723" i="20"/>
  <c r="AM723" i="20"/>
  <c r="AK723" i="20"/>
  <c r="AJ723" i="20"/>
  <c r="AF723" i="20"/>
  <c r="AE723" i="20"/>
  <c r="AD723" i="20"/>
  <c r="AB723" i="20"/>
  <c r="U723" i="20"/>
  <c r="M723" i="20"/>
  <c r="L723" i="20"/>
  <c r="Q723" i="20" s="1"/>
  <c r="V723" i="20" s="1"/>
  <c r="K723" i="20"/>
  <c r="J723" i="20"/>
  <c r="I723" i="20"/>
  <c r="H723" i="20"/>
  <c r="BG722" i="20"/>
  <c r="AX722" i="20"/>
  <c r="BE722" i="20" s="1"/>
  <c r="BF722" i="20" s="1"/>
  <c r="AV722" i="20"/>
  <c r="AN722" i="20"/>
  <c r="AM722" i="20"/>
  <c r="AK722" i="20"/>
  <c r="AJ722" i="20"/>
  <c r="AF722" i="20"/>
  <c r="AE722" i="20"/>
  <c r="AD722" i="20"/>
  <c r="AB722" i="20"/>
  <c r="U722" i="20"/>
  <c r="S722" i="20"/>
  <c r="M722" i="20"/>
  <c r="L722" i="20"/>
  <c r="Q722" i="20" s="1"/>
  <c r="T722" i="20" s="1"/>
  <c r="K722" i="20"/>
  <c r="AC722" i="20" s="1"/>
  <c r="J722" i="20"/>
  <c r="I722" i="20"/>
  <c r="H722" i="20"/>
  <c r="BG721" i="20"/>
  <c r="AX721" i="20"/>
  <c r="BE721" i="20" s="1"/>
  <c r="BF721" i="20" s="1"/>
  <c r="AV721" i="20"/>
  <c r="AN721" i="20"/>
  <c r="AM721" i="20"/>
  <c r="AK721" i="20"/>
  <c r="AJ721" i="20"/>
  <c r="AF721" i="20"/>
  <c r="AE721" i="20"/>
  <c r="AD721" i="20"/>
  <c r="AB721" i="20"/>
  <c r="U721" i="20"/>
  <c r="M721" i="20"/>
  <c r="L721" i="20"/>
  <c r="Q721" i="20" s="1"/>
  <c r="K721" i="20"/>
  <c r="J721" i="20"/>
  <c r="I721" i="20"/>
  <c r="H721" i="20"/>
  <c r="BG720" i="20"/>
  <c r="AX720" i="20"/>
  <c r="BE720" i="20" s="1"/>
  <c r="BF720" i="20" s="1"/>
  <c r="AV720" i="20"/>
  <c r="AN720" i="20"/>
  <c r="AM720" i="20"/>
  <c r="AK720" i="20"/>
  <c r="AJ720" i="20"/>
  <c r="AF720" i="20"/>
  <c r="AE720" i="20"/>
  <c r="AD720" i="20"/>
  <c r="AB720" i="20"/>
  <c r="U720" i="20"/>
  <c r="M720" i="20"/>
  <c r="L720" i="20"/>
  <c r="S720" i="20" s="1"/>
  <c r="K720" i="20"/>
  <c r="AC720" i="20" s="1"/>
  <c r="J720" i="20"/>
  <c r="I720" i="20"/>
  <c r="H720" i="20"/>
  <c r="BG719" i="20"/>
  <c r="AX719" i="20"/>
  <c r="BE719" i="20" s="1"/>
  <c r="BF719" i="20" s="1"/>
  <c r="AV719" i="20"/>
  <c r="AN719" i="20"/>
  <c r="AM719" i="20"/>
  <c r="AK719" i="20"/>
  <c r="AJ719" i="20"/>
  <c r="AF719" i="20"/>
  <c r="AE719" i="20"/>
  <c r="AD719" i="20"/>
  <c r="AB719" i="20"/>
  <c r="U719" i="20"/>
  <c r="M719" i="20"/>
  <c r="L719" i="20"/>
  <c r="S719" i="20" s="1"/>
  <c r="K719" i="20"/>
  <c r="AC719" i="20" s="1"/>
  <c r="J719" i="20"/>
  <c r="I719" i="20"/>
  <c r="H719" i="20"/>
  <c r="BG718" i="20"/>
  <c r="AZ718" i="20"/>
  <c r="AX718" i="20"/>
  <c r="BE718" i="20" s="1"/>
  <c r="BF718" i="20" s="1"/>
  <c r="AV718" i="20"/>
  <c r="AN718" i="20"/>
  <c r="AM718" i="20"/>
  <c r="AK718" i="20"/>
  <c r="AJ718" i="20"/>
  <c r="AF718" i="20"/>
  <c r="AE718" i="20"/>
  <c r="AD718" i="20"/>
  <c r="AB718" i="20"/>
  <c r="U718" i="20"/>
  <c r="M718" i="20"/>
  <c r="L718" i="20"/>
  <c r="Q718" i="20" s="1"/>
  <c r="V718" i="20" s="1"/>
  <c r="K718" i="20"/>
  <c r="AC718" i="20" s="1"/>
  <c r="J718" i="20"/>
  <c r="I718" i="20"/>
  <c r="H718" i="20"/>
  <c r="BG717" i="20"/>
  <c r="BE717" i="20"/>
  <c r="BF717" i="20" s="1"/>
  <c r="AZ717" i="20"/>
  <c r="AX717" i="20"/>
  <c r="AV717" i="20"/>
  <c r="AN717" i="20"/>
  <c r="AM717" i="20"/>
  <c r="AK717" i="20"/>
  <c r="AJ717" i="20"/>
  <c r="AF717" i="20"/>
  <c r="AE717" i="20"/>
  <c r="AD717" i="20"/>
  <c r="AB717" i="20"/>
  <c r="U717" i="20"/>
  <c r="M717" i="20"/>
  <c r="L717" i="20"/>
  <c r="K717" i="20"/>
  <c r="AC717" i="20" s="1"/>
  <c r="J717" i="20"/>
  <c r="I717" i="20"/>
  <c r="H717" i="20"/>
  <c r="BG716" i="20"/>
  <c r="BE716" i="20"/>
  <c r="BF716" i="20" s="1"/>
  <c r="AV716" i="20"/>
  <c r="AF716" i="20"/>
  <c r="AE716" i="20"/>
  <c r="AD716" i="20"/>
  <c r="AB716" i="20"/>
  <c r="U716" i="20"/>
  <c r="M716" i="20"/>
  <c r="L716" i="20"/>
  <c r="S716" i="20" s="1"/>
  <c r="K716" i="20"/>
  <c r="AC716" i="20" s="1"/>
  <c r="J716" i="20"/>
  <c r="I716" i="20"/>
  <c r="H716" i="20"/>
  <c r="BG715" i="20"/>
  <c r="BE715" i="20"/>
  <c r="BF715" i="20" s="1"/>
  <c r="AV715" i="20"/>
  <c r="AF715" i="20"/>
  <c r="AE715" i="20"/>
  <c r="AD715" i="20"/>
  <c r="AB715" i="20"/>
  <c r="U715" i="20"/>
  <c r="M715" i="20"/>
  <c r="L715" i="20"/>
  <c r="S715" i="20" s="1"/>
  <c r="K715" i="20"/>
  <c r="AC715" i="20" s="1"/>
  <c r="J715" i="20"/>
  <c r="I715" i="20"/>
  <c r="H715" i="20"/>
  <c r="BG714" i="20"/>
  <c r="BE714" i="20"/>
  <c r="BF714" i="20" s="1"/>
  <c r="AV714" i="20"/>
  <c r="AF714" i="20"/>
  <c r="AE714" i="20"/>
  <c r="AD714" i="20"/>
  <c r="AB714" i="20"/>
  <c r="U714" i="20"/>
  <c r="M714" i="20"/>
  <c r="L714" i="20"/>
  <c r="S714" i="20" s="1"/>
  <c r="K714" i="20"/>
  <c r="AC714" i="20" s="1"/>
  <c r="J714" i="20"/>
  <c r="I714" i="20"/>
  <c r="H714" i="20"/>
  <c r="BG713" i="20"/>
  <c r="BE713" i="20"/>
  <c r="BF713" i="20" s="1"/>
  <c r="AV713" i="20"/>
  <c r="AF713" i="20"/>
  <c r="AE713" i="20"/>
  <c r="AD713" i="20"/>
  <c r="AB713" i="20"/>
  <c r="U713" i="20"/>
  <c r="M713" i="20"/>
  <c r="L713" i="20"/>
  <c r="Q713" i="20" s="1"/>
  <c r="K713" i="20"/>
  <c r="AC713" i="20" s="1"/>
  <c r="J713" i="20"/>
  <c r="I713" i="20"/>
  <c r="H713" i="20"/>
  <c r="BG712" i="20"/>
  <c r="BE712" i="20"/>
  <c r="BF712" i="20" s="1"/>
  <c r="AV712" i="20"/>
  <c r="AF712" i="20"/>
  <c r="AE712" i="20"/>
  <c r="AD712" i="20"/>
  <c r="AB712" i="20"/>
  <c r="U712" i="20"/>
  <c r="M712" i="20"/>
  <c r="L712" i="20"/>
  <c r="K712" i="20"/>
  <c r="J712" i="20"/>
  <c r="I712" i="20"/>
  <c r="H712" i="20"/>
  <c r="BG711" i="20"/>
  <c r="BF711" i="20"/>
  <c r="BE711" i="20"/>
  <c r="AV711" i="20"/>
  <c r="AF711" i="20"/>
  <c r="AE711" i="20"/>
  <c r="AD711" i="20"/>
  <c r="AC711" i="20"/>
  <c r="AB711" i="20"/>
  <c r="U711" i="20"/>
  <c r="M711" i="20"/>
  <c r="L711" i="20"/>
  <c r="S711" i="20" s="1"/>
  <c r="K711" i="20"/>
  <c r="J711" i="20"/>
  <c r="I711" i="20"/>
  <c r="H711" i="20"/>
  <c r="BG710" i="20"/>
  <c r="BE710" i="20"/>
  <c r="BF710" i="20" s="1"/>
  <c r="AV710" i="20"/>
  <c r="AF710" i="20"/>
  <c r="AE710" i="20"/>
  <c r="AD710" i="20"/>
  <c r="AB710" i="20"/>
  <c r="U710" i="20"/>
  <c r="M710" i="20"/>
  <c r="L710" i="20"/>
  <c r="S710" i="20" s="1"/>
  <c r="K710" i="20"/>
  <c r="AC710" i="20" s="1"/>
  <c r="J710" i="20"/>
  <c r="I710" i="20"/>
  <c r="H710" i="20"/>
  <c r="BG709" i="20"/>
  <c r="BE709" i="20"/>
  <c r="BF709" i="20" s="1"/>
  <c r="AV709" i="20"/>
  <c r="AF709" i="20"/>
  <c r="AE709" i="20"/>
  <c r="AD709" i="20"/>
  <c r="AB709" i="20"/>
  <c r="U709" i="20"/>
  <c r="M709" i="20"/>
  <c r="L709" i="20"/>
  <c r="Q709" i="20" s="1"/>
  <c r="K709" i="20"/>
  <c r="AC709" i="20" s="1"/>
  <c r="J709" i="20"/>
  <c r="I709" i="20"/>
  <c r="H709" i="20"/>
  <c r="BG708" i="20"/>
  <c r="BE708" i="20"/>
  <c r="BF708" i="20" s="1"/>
  <c r="AV708" i="20"/>
  <c r="AF708" i="20"/>
  <c r="AE708" i="20"/>
  <c r="AD708" i="20"/>
  <c r="AB708" i="20"/>
  <c r="U708" i="20"/>
  <c r="M708" i="20"/>
  <c r="L708" i="20"/>
  <c r="S708" i="20" s="1"/>
  <c r="K708" i="20"/>
  <c r="AC708" i="20" s="1"/>
  <c r="J708" i="20"/>
  <c r="I708" i="20"/>
  <c r="H708" i="20"/>
  <c r="BG707" i="20"/>
  <c r="BE707" i="20"/>
  <c r="BF707" i="20" s="1"/>
  <c r="AV707" i="20"/>
  <c r="AF707" i="20"/>
  <c r="AE707" i="20"/>
  <c r="AD707" i="20"/>
  <c r="AB707" i="20"/>
  <c r="U707" i="20"/>
  <c r="M707" i="20"/>
  <c r="L707" i="20"/>
  <c r="S707" i="20" s="1"/>
  <c r="K707" i="20"/>
  <c r="AC707" i="20" s="1"/>
  <c r="J707" i="20"/>
  <c r="I707" i="20"/>
  <c r="H707" i="20"/>
  <c r="BG706" i="20"/>
  <c r="AZ706" i="20"/>
  <c r="AX706" i="20"/>
  <c r="BE706" i="20" s="1"/>
  <c r="BF706" i="20" s="1"/>
  <c r="AV706" i="20"/>
  <c r="AN706" i="20"/>
  <c r="AM706" i="20"/>
  <c r="AK706" i="20"/>
  <c r="AJ706" i="20"/>
  <c r="AF706" i="20"/>
  <c r="AE706" i="20"/>
  <c r="AD706" i="20"/>
  <c r="AB706" i="20"/>
  <c r="U706" i="20"/>
  <c r="M706" i="20"/>
  <c r="L706" i="20"/>
  <c r="Q706" i="20" s="1"/>
  <c r="K706" i="20"/>
  <c r="J706" i="20"/>
  <c r="I706" i="20"/>
  <c r="H706" i="20"/>
  <c r="BG705" i="20"/>
  <c r="AZ705" i="20"/>
  <c r="AX705" i="20"/>
  <c r="BE705" i="20" s="1"/>
  <c r="BF705" i="20" s="1"/>
  <c r="AV705" i="20"/>
  <c r="AN705" i="20"/>
  <c r="AM705" i="20"/>
  <c r="AK705" i="20"/>
  <c r="AJ705" i="20"/>
  <c r="AF705" i="20"/>
  <c r="AE705" i="20"/>
  <c r="AD705" i="20"/>
  <c r="AB705" i="20"/>
  <c r="U705" i="20"/>
  <c r="M705" i="20"/>
  <c r="L705" i="20"/>
  <c r="S705" i="20" s="1"/>
  <c r="K705" i="20"/>
  <c r="AC705" i="20" s="1"/>
  <c r="J705" i="20"/>
  <c r="I705" i="20"/>
  <c r="H705" i="20"/>
  <c r="BG704" i="20"/>
  <c r="AZ704" i="20"/>
  <c r="AX704" i="20"/>
  <c r="BE704" i="20" s="1"/>
  <c r="BF704" i="20" s="1"/>
  <c r="AV704" i="20"/>
  <c r="AN704" i="20"/>
  <c r="AM704" i="20"/>
  <c r="AK704" i="20"/>
  <c r="AJ704" i="20"/>
  <c r="AF704" i="20"/>
  <c r="AE704" i="20"/>
  <c r="AD704" i="20"/>
  <c r="AB704" i="20"/>
  <c r="U704" i="20"/>
  <c r="M704" i="20"/>
  <c r="L704" i="20"/>
  <c r="K704" i="20"/>
  <c r="AC704" i="20" s="1"/>
  <c r="J704" i="20"/>
  <c r="I704" i="20"/>
  <c r="H704" i="20"/>
  <c r="BG703" i="20"/>
  <c r="AZ703" i="20"/>
  <c r="AX703" i="20"/>
  <c r="BE703" i="20" s="1"/>
  <c r="BF703" i="20" s="1"/>
  <c r="AV703" i="20"/>
  <c r="AN703" i="20"/>
  <c r="AM703" i="20"/>
  <c r="AK703" i="20"/>
  <c r="AJ703" i="20"/>
  <c r="AF703" i="20"/>
  <c r="AE703" i="20"/>
  <c r="AD703" i="20"/>
  <c r="AB703" i="20"/>
  <c r="U703" i="20"/>
  <c r="M703" i="20"/>
  <c r="L703" i="20"/>
  <c r="S703" i="20" s="1"/>
  <c r="K703" i="20"/>
  <c r="AC703" i="20" s="1"/>
  <c r="J703" i="20"/>
  <c r="I703" i="20"/>
  <c r="H703" i="20"/>
  <c r="BG702" i="20"/>
  <c r="BE702" i="20"/>
  <c r="BF702" i="20" s="1"/>
  <c r="AZ702" i="20"/>
  <c r="AX702" i="20"/>
  <c r="AV702" i="20"/>
  <c r="AN702" i="20"/>
  <c r="AM702" i="20"/>
  <c r="AK702" i="20"/>
  <c r="AJ702" i="20"/>
  <c r="AF702" i="20"/>
  <c r="AE702" i="20"/>
  <c r="AD702" i="20"/>
  <c r="AB702" i="20"/>
  <c r="U702" i="20"/>
  <c r="M702" i="20"/>
  <c r="L702" i="20"/>
  <c r="Q702" i="20" s="1"/>
  <c r="K702" i="20"/>
  <c r="J702" i="20"/>
  <c r="I702" i="20"/>
  <c r="H702" i="20"/>
  <c r="BG701" i="20"/>
  <c r="BE701" i="20"/>
  <c r="BF701" i="20" s="1"/>
  <c r="AZ701" i="20"/>
  <c r="AX701" i="20"/>
  <c r="AV701" i="20"/>
  <c r="AN701" i="20"/>
  <c r="AM701" i="20"/>
  <c r="AK701" i="20"/>
  <c r="AJ701" i="20"/>
  <c r="AF701" i="20"/>
  <c r="AE701" i="20"/>
  <c r="AD701" i="20"/>
  <c r="AB701" i="20"/>
  <c r="U701" i="20"/>
  <c r="M701" i="20"/>
  <c r="L701" i="20"/>
  <c r="S701" i="20" s="1"/>
  <c r="K701" i="20"/>
  <c r="AC701" i="20" s="1"/>
  <c r="J701" i="20"/>
  <c r="I701" i="20"/>
  <c r="H701" i="20"/>
  <c r="BG700" i="20"/>
  <c r="AZ700" i="20"/>
  <c r="AX700" i="20"/>
  <c r="BE700" i="20" s="1"/>
  <c r="BF700" i="20" s="1"/>
  <c r="AV700" i="20"/>
  <c r="AN700" i="20"/>
  <c r="AM700" i="20"/>
  <c r="AK700" i="20"/>
  <c r="AJ700" i="20"/>
  <c r="AF700" i="20"/>
  <c r="AE700" i="20"/>
  <c r="AD700" i="20"/>
  <c r="AB700" i="20"/>
  <c r="U700" i="20"/>
  <c r="M700" i="20"/>
  <c r="L700" i="20"/>
  <c r="Q700" i="20" s="1"/>
  <c r="K700" i="20"/>
  <c r="AC700" i="20" s="1"/>
  <c r="J700" i="20"/>
  <c r="I700" i="20"/>
  <c r="H700" i="20"/>
  <c r="BG699" i="20"/>
  <c r="AZ699" i="20"/>
  <c r="AX699" i="20"/>
  <c r="BE699" i="20" s="1"/>
  <c r="BF699" i="20" s="1"/>
  <c r="AV699" i="20"/>
  <c r="AN699" i="20"/>
  <c r="AM699" i="20"/>
  <c r="AK699" i="20"/>
  <c r="AJ699" i="20"/>
  <c r="AF699" i="20"/>
  <c r="AE699" i="20"/>
  <c r="AD699" i="20"/>
  <c r="AB699" i="20"/>
  <c r="U699" i="20"/>
  <c r="M699" i="20"/>
  <c r="L699" i="20"/>
  <c r="S699" i="20" s="1"/>
  <c r="K699" i="20"/>
  <c r="AC699" i="20" s="1"/>
  <c r="J699" i="20"/>
  <c r="I699" i="20"/>
  <c r="H699" i="20"/>
  <c r="BG698" i="20"/>
  <c r="AZ698" i="20"/>
  <c r="AX698" i="20"/>
  <c r="BE698" i="20" s="1"/>
  <c r="BF698" i="20" s="1"/>
  <c r="AV698" i="20"/>
  <c r="AN698" i="20"/>
  <c r="AM698" i="20"/>
  <c r="AK698" i="20"/>
  <c r="AJ698" i="20"/>
  <c r="AF698" i="20"/>
  <c r="AE698" i="20"/>
  <c r="AD698" i="20"/>
  <c r="AB698" i="20"/>
  <c r="U698" i="20"/>
  <c r="M698" i="20"/>
  <c r="L698" i="20"/>
  <c r="K698" i="20"/>
  <c r="J698" i="20"/>
  <c r="I698" i="20"/>
  <c r="H698" i="20"/>
  <c r="BG697" i="20"/>
  <c r="BE697" i="20"/>
  <c r="BF697" i="20" s="1"/>
  <c r="AZ697" i="20"/>
  <c r="AX697" i="20"/>
  <c r="AV697" i="20"/>
  <c r="AN697" i="20"/>
  <c r="AM697" i="20"/>
  <c r="AK697" i="20"/>
  <c r="AJ697" i="20"/>
  <c r="AF697" i="20"/>
  <c r="AE697" i="20"/>
  <c r="AD697" i="20"/>
  <c r="AB697" i="20"/>
  <c r="U697" i="20"/>
  <c r="M697" i="20"/>
  <c r="L697" i="20"/>
  <c r="S697" i="20" s="1"/>
  <c r="K697" i="20"/>
  <c r="AC697" i="20" s="1"/>
  <c r="J697" i="20"/>
  <c r="I697" i="20"/>
  <c r="H697" i="20"/>
  <c r="BG696" i="20"/>
  <c r="AZ696" i="20"/>
  <c r="AX696" i="20"/>
  <c r="BE696" i="20" s="1"/>
  <c r="BF696" i="20" s="1"/>
  <c r="AV696" i="20"/>
  <c r="AN696" i="20"/>
  <c r="AM696" i="20"/>
  <c r="AK696" i="20"/>
  <c r="AJ696" i="20"/>
  <c r="AF696" i="20"/>
  <c r="AE696" i="20"/>
  <c r="AD696" i="20"/>
  <c r="AB696" i="20"/>
  <c r="U696" i="20"/>
  <c r="M696" i="20"/>
  <c r="L696" i="20"/>
  <c r="Q696" i="20" s="1"/>
  <c r="K696" i="20"/>
  <c r="AC696" i="20" s="1"/>
  <c r="J696" i="20"/>
  <c r="I696" i="20"/>
  <c r="H696" i="20"/>
  <c r="BG695" i="20"/>
  <c r="AZ695" i="20"/>
  <c r="AX695" i="20"/>
  <c r="BE695" i="20" s="1"/>
  <c r="BF695" i="20" s="1"/>
  <c r="AV695" i="20"/>
  <c r="AN695" i="20"/>
  <c r="AM695" i="20"/>
  <c r="AK695" i="20"/>
  <c r="AJ695" i="20"/>
  <c r="AF695" i="20"/>
  <c r="AE695" i="20"/>
  <c r="AD695" i="20"/>
  <c r="AB695" i="20"/>
  <c r="U695" i="20"/>
  <c r="M695" i="20"/>
  <c r="L695" i="20"/>
  <c r="S695" i="20" s="1"/>
  <c r="K695" i="20"/>
  <c r="AC695" i="20" s="1"/>
  <c r="J695" i="20"/>
  <c r="I695" i="20"/>
  <c r="H695" i="20"/>
  <c r="BG694" i="20"/>
  <c r="AZ694" i="20"/>
  <c r="AX694" i="20"/>
  <c r="BE694" i="20" s="1"/>
  <c r="BF694" i="20" s="1"/>
  <c r="AV694" i="20"/>
  <c r="AN694" i="20"/>
  <c r="AM694" i="20"/>
  <c r="AK694" i="20"/>
  <c r="AJ694" i="20"/>
  <c r="AF694" i="20"/>
  <c r="AE694" i="20"/>
  <c r="AD694" i="20"/>
  <c r="AB694" i="20"/>
  <c r="U694" i="20"/>
  <c r="M694" i="20"/>
  <c r="L694" i="20"/>
  <c r="Q694" i="20" s="1"/>
  <c r="K694" i="20"/>
  <c r="J694" i="20"/>
  <c r="I694" i="20"/>
  <c r="H694" i="20"/>
  <c r="BG693" i="20"/>
  <c r="AZ693" i="20"/>
  <c r="AX693" i="20"/>
  <c r="BE693" i="20" s="1"/>
  <c r="BF693" i="20" s="1"/>
  <c r="AV693" i="20"/>
  <c r="AN693" i="20"/>
  <c r="AM693" i="20"/>
  <c r="AK693" i="20"/>
  <c r="AJ693" i="20"/>
  <c r="AF693" i="20"/>
  <c r="AE693" i="20"/>
  <c r="AD693" i="20"/>
  <c r="AB693" i="20"/>
  <c r="U693" i="20"/>
  <c r="M693" i="20"/>
  <c r="L693" i="20"/>
  <c r="S693" i="20" s="1"/>
  <c r="K693" i="20"/>
  <c r="AC693" i="20" s="1"/>
  <c r="J693" i="20"/>
  <c r="I693" i="20"/>
  <c r="H693" i="20"/>
  <c r="BG692" i="20"/>
  <c r="AZ692" i="20"/>
  <c r="AX692" i="20"/>
  <c r="BE692" i="20" s="1"/>
  <c r="BF692" i="20" s="1"/>
  <c r="AV692" i="20"/>
  <c r="AN692" i="20"/>
  <c r="AM692" i="20"/>
  <c r="AK692" i="20"/>
  <c r="AJ692" i="20"/>
  <c r="AF692" i="20"/>
  <c r="AE692" i="20"/>
  <c r="AD692" i="20"/>
  <c r="AB692" i="20"/>
  <c r="U692" i="20"/>
  <c r="M692" i="20"/>
  <c r="L692" i="20"/>
  <c r="Q692" i="20" s="1"/>
  <c r="K692" i="20"/>
  <c r="AC692" i="20" s="1"/>
  <c r="J692" i="20"/>
  <c r="I692" i="20"/>
  <c r="H692" i="20"/>
  <c r="BG691" i="20"/>
  <c r="AZ691" i="20"/>
  <c r="AX691" i="20"/>
  <c r="BE691" i="20" s="1"/>
  <c r="BF691" i="20" s="1"/>
  <c r="AV691" i="20"/>
  <c r="AN691" i="20"/>
  <c r="AM691" i="20"/>
  <c r="AK691" i="20"/>
  <c r="AJ691" i="20"/>
  <c r="AF691" i="20"/>
  <c r="AE691" i="20"/>
  <c r="AD691" i="20"/>
  <c r="AB691" i="20"/>
  <c r="U691" i="20"/>
  <c r="M691" i="20"/>
  <c r="L691" i="20"/>
  <c r="S691" i="20" s="1"/>
  <c r="K691" i="20"/>
  <c r="AC691" i="20" s="1"/>
  <c r="J691" i="20"/>
  <c r="I691" i="20"/>
  <c r="H691" i="20"/>
  <c r="BG690" i="20"/>
  <c r="AZ690" i="20"/>
  <c r="AX690" i="20"/>
  <c r="BE690" i="20" s="1"/>
  <c r="BF690" i="20" s="1"/>
  <c r="AV690" i="20"/>
  <c r="AN690" i="20"/>
  <c r="AM690" i="20"/>
  <c r="AK690" i="20"/>
  <c r="AJ690" i="20"/>
  <c r="AF690" i="20"/>
  <c r="AE690" i="20"/>
  <c r="AD690" i="20"/>
  <c r="AB690" i="20"/>
  <c r="U690" i="20"/>
  <c r="S690" i="20"/>
  <c r="M690" i="20"/>
  <c r="L690" i="20"/>
  <c r="Q690" i="20" s="1"/>
  <c r="V690" i="20" s="1"/>
  <c r="K690" i="20"/>
  <c r="J690" i="20"/>
  <c r="I690" i="20"/>
  <c r="H690" i="20"/>
  <c r="BG689" i="20"/>
  <c r="AZ689" i="20"/>
  <c r="AX689" i="20"/>
  <c r="BE689" i="20" s="1"/>
  <c r="BF689" i="20" s="1"/>
  <c r="AV689" i="20"/>
  <c r="AN689" i="20"/>
  <c r="AM689" i="20"/>
  <c r="AK689" i="20"/>
  <c r="AJ689" i="20"/>
  <c r="AF689" i="20"/>
  <c r="AE689" i="20"/>
  <c r="AD689" i="20"/>
  <c r="AB689" i="20"/>
  <c r="U689" i="20"/>
  <c r="M689" i="20"/>
  <c r="L689" i="20"/>
  <c r="K689" i="20"/>
  <c r="AC689" i="20" s="1"/>
  <c r="J689" i="20"/>
  <c r="I689" i="20"/>
  <c r="H689" i="20"/>
  <c r="BG688" i="20"/>
  <c r="AZ688" i="20"/>
  <c r="AX688" i="20"/>
  <c r="BE688" i="20" s="1"/>
  <c r="BF688" i="20" s="1"/>
  <c r="AV688" i="20"/>
  <c r="AN688" i="20"/>
  <c r="AM688" i="20"/>
  <c r="AK688" i="20"/>
  <c r="AJ688" i="20"/>
  <c r="AF688" i="20"/>
  <c r="AE688" i="20"/>
  <c r="AD688" i="20"/>
  <c r="AB688" i="20"/>
  <c r="U688" i="20"/>
  <c r="M688" i="20"/>
  <c r="L688" i="20"/>
  <c r="K688" i="20"/>
  <c r="AC688" i="20" s="1"/>
  <c r="J688" i="20"/>
  <c r="I688" i="20"/>
  <c r="H688" i="20"/>
  <c r="BG687" i="20"/>
  <c r="AZ687" i="20"/>
  <c r="AX687" i="20"/>
  <c r="BE687" i="20" s="1"/>
  <c r="BF687" i="20" s="1"/>
  <c r="AV687" i="20"/>
  <c r="AN687" i="20"/>
  <c r="AM687" i="20"/>
  <c r="AK687" i="20"/>
  <c r="AJ687" i="20"/>
  <c r="AF687" i="20"/>
  <c r="AE687" i="20"/>
  <c r="AD687" i="20"/>
  <c r="AB687" i="20"/>
  <c r="U687" i="20"/>
  <c r="M687" i="20"/>
  <c r="L687" i="20"/>
  <c r="K687" i="20"/>
  <c r="AC687" i="20" s="1"/>
  <c r="J687" i="20"/>
  <c r="I687" i="20"/>
  <c r="H687" i="20"/>
  <c r="BG686" i="20"/>
  <c r="AZ686" i="20"/>
  <c r="AX686" i="20"/>
  <c r="BE686" i="20" s="1"/>
  <c r="BF686" i="20" s="1"/>
  <c r="AV686" i="20"/>
  <c r="AN686" i="20"/>
  <c r="AM686" i="20"/>
  <c r="AK686" i="20"/>
  <c r="AJ686" i="20"/>
  <c r="AF686" i="20"/>
  <c r="AE686" i="20"/>
  <c r="AD686" i="20"/>
  <c r="AB686" i="20"/>
  <c r="U686" i="20"/>
  <c r="M686" i="20"/>
  <c r="L686" i="20"/>
  <c r="Q686" i="20" s="1"/>
  <c r="V686" i="20" s="1"/>
  <c r="K686" i="20"/>
  <c r="J686" i="20"/>
  <c r="I686" i="20"/>
  <c r="H686" i="20"/>
  <c r="BG685" i="20"/>
  <c r="AZ685" i="20"/>
  <c r="AX685" i="20"/>
  <c r="BE685" i="20" s="1"/>
  <c r="BF685" i="20" s="1"/>
  <c r="AV685" i="20"/>
  <c r="AN685" i="20"/>
  <c r="AM685" i="20"/>
  <c r="AK685" i="20"/>
  <c r="AJ685" i="20"/>
  <c r="AF685" i="20"/>
  <c r="AE685" i="20"/>
  <c r="AD685" i="20"/>
  <c r="AB685" i="20"/>
  <c r="U685" i="20"/>
  <c r="M685" i="20"/>
  <c r="L685" i="20"/>
  <c r="K685" i="20"/>
  <c r="AC685" i="20" s="1"/>
  <c r="J685" i="20"/>
  <c r="I685" i="20"/>
  <c r="H685" i="20"/>
  <c r="BG684" i="20"/>
  <c r="AZ684" i="20"/>
  <c r="AX684" i="20"/>
  <c r="BE684" i="20" s="1"/>
  <c r="BF684" i="20" s="1"/>
  <c r="AV684" i="20"/>
  <c r="AN684" i="20"/>
  <c r="AM684" i="20"/>
  <c r="AK684" i="20"/>
  <c r="AJ684" i="20"/>
  <c r="AF684" i="20"/>
  <c r="AE684" i="20"/>
  <c r="AD684" i="20"/>
  <c r="AB684" i="20"/>
  <c r="U684" i="20"/>
  <c r="M684" i="20"/>
  <c r="L684" i="20"/>
  <c r="Q684" i="20" s="1"/>
  <c r="K684" i="20"/>
  <c r="AC684" i="20" s="1"/>
  <c r="J684" i="20"/>
  <c r="I684" i="20"/>
  <c r="H684" i="20"/>
  <c r="BG683" i="20"/>
  <c r="AZ683" i="20"/>
  <c r="AX683" i="20"/>
  <c r="BE683" i="20" s="1"/>
  <c r="BF683" i="20" s="1"/>
  <c r="AV683" i="20"/>
  <c r="AN683" i="20"/>
  <c r="AM683" i="20"/>
  <c r="AK683" i="20"/>
  <c r="AJ683" i="20"/>
  <c r="AF683" i="20"/>
  <c r="AE683" i="20"/>
  <c r="AD683" i="20"/>
  <c r="AB683" i="20"/>
  <c r="U683" i="20"/>
  <c r="M683" i="20"/>
  <c r="L683" i="20"/>
  <c r="K683" i="20"/>
  <c r="AC683" i="20" s="1"/>
  <c r="J683" i="20"/>
  <c r="I683" i="20"/>
  <c r="H683" i="20"/>
  <c r="BG682" i="20"/>
  <c r="AZ682" i="20"/>
  <c r="AX682" i="20"/>
  <c r="BE682" i="20" s="1"/>
  <c r="BF682" i="20" s="1"/>
  <c r="AV682" i="20"/>
  <c r="AN682" i="20"/>
  <c r="AM682" i="20"/>
  <c r="AK682" i="20"/>
  <c r="AJ682" i="20"/>
  <c r="AF682" i="20"/>
  <c r="AE682" i="20"/>
  <c r="AD682" i="20"/>
  <c r="AB682" i="20"/>
  <c r="U682" i="20"/>
  <c r="M682" i="20"/>
  <c r="L682" i="20"/>
  <c r="Q682" i="20" s="1"/>
  <c r="V682" i="20" s="1"/>
  <c r="K682" i="20"/>
  <c r="J682" i="20"/>
  <c r="I682" i="20"/>
  <c r="H682" i="20"/>
  <c r="BG681" i="20"/>
  <c r="AZ681" i="20"/>
  <c r="AX681" i="20"/>
  <c r="BE681" i="20" s="1"/>
  <c r="BF681" i="20" s="1"/>
  <c r="AV681" i="20"/>
  <c r="AN681" i="20"/>
  <c r="AM681" i="20"/>
  <c r="AK681" i="20"/>
  <c r="AJ681" i="20"/>
  <c r="AF681" i="20"/>
  <c r="AE681" i="20"/>
  <c r="AD681" i="20"/>
  <c r="AB681" i="20"/>
  <c r="U681" i="20"/>
  <c r="M681" i="20"/>
  <c r="L681" i="20"/>
  <c r="K681" i="20"/>
  <c r="AC681" i="20" s="1"/>
  <c r="J681" i="20"/>
  <c r="I681" i="20"/>
  <c r="H681" i="20"/>
  <c r="BG680" i="20"/>
  <c r="AZ680" i="20"/>
  <c r="AW680" i="20"/>
  <c r="AX680" i="20" s="1"/>
  <c r="BE680" i="20" s="1"/>
  <c r="BF680" i="20" s="1"/>
  <c r="AV680" i="20"/>
  <c r="AP680" i="20"/>
  <c r="AF680" i="20"/>
  <c r="AE680" i="20"/>
  <c r="AD680" i="20"/>
  <c r="AB680" i="20"/>
  <c r="U680" i="20"/>
  <c r="M680" i="20"/>
  <c r="L680" i="20"/>
  <c r="S680" i="20" s="1"/>
  <c r="K680" i="20"/>
  <c r="AC680" i="20" s="1"/>
  <c r="J680" i="20"/>
  <c r="I680" i="20"/>
  <c r="H680" i="20"/>
  <c r="BD679" i="20"/>
  <c r="AZ679" i="20"/>
  <c r="AX679" i="20"/>
  <c r="AV679" i="20"/>
  <c r="AN679" i="20"/>
  <c r="AM679" i="20"/>
  <c r="AK679" i="20"/>
  <c r="AJ679" i="20"/>
  <c r="AF679" i="20"/>
  <c r="AE679" i="20"/>
  <c r="AD679" i="20"/>
  <c r="AB679" i="20"/>
  <c r="U679" i="20"/>
  <c r="M679" i="20"/>
  <c r="L679" i="20"/>
  <c r="S679" i="20" s="1"/>
  <c r="K679" i="20"/>
  <c r="AC679" i="20" s="1"/>
  <c r="J679" i="20"/>
  <c r="I679" i="20"/>
  <c r="H679" i="20"/>
  <c r="BG678" i="20"/>
  <c r="AZ678" i="20"/>
  <c r="AX678" i="20"/>
  <c r="BE678" i="20" s="1"/>
  <c r="BF678" i="20" s="1"/>
  <c r="AV678" i="20"/>
  <c r="AN678" i="20"/>
  <c r="AM678" i="20"/>
  <c r="AK678" i="20"/>
  <c r="AJ678" i="20"/>
  <c r="AF678" i="20"/>
  <c r="AE678" i="20"/>
  <c r="AD678" i="20"/>
  <c r="AB678" i="20"/>
  <c r="U678" i="20"/>
  <c r="M678" i="20"/>
  <c r="L678" i="20"/>
  <c r="S678" i="20" s="1"/>
  <c r="K678" i="20"/>
  <c r="AC678" i="20" s="1"/>
  <c r="J678" i="20"/>
  <c r="I678" i="20"/>
  <c r="H678" i="20"/>
  <c r="BG677" i="20"/>
  <c r="AZ677" i="20"/>
  <c r="AX677" i="20"/>
  <c r="BE677" i="20" s="1"/>
  <c r="BF677" i="20" s="1"/>
  <c r="AV677" i="20"/>
  <c r="AN677" i="20"/>
  <c r="AM677" i="20"/>
  <c r="AK677" i="20"/>
  <c r="AJ677" i="20"/>
  <c r="AF677" i="20"/>
  <c r="AE677" i="20"/>
  <c r="AD677" i="20"/>
  <c r="AB677" i="20"/>
  <c r="U677" i="20"/>
  <c r="M677" i="20"/>
  <c r="L677" i="20"/>
  <c r="S677" i="20" s="1"/>
  <c r="K677" i="20"/>
  <c r="AC677" i="20" s="1"/>
  <c r="J677" i="20"/>
  <c r="I677" i="20"/>
  <c r="H677" i="20"/>
  <c r="BG676" i="20"/>
  <c r="AZ676" i="20"/>
  <c r="AX676" i="20"/>
  <c r="BE676" i="20" s="1"/>
  <c r="BF676" i="20" s="1"/>
  <c r="AV676" i="20"/>
  <c r="AN676" i="20"/>
  <c r="AM676" i="20"/>
  <c r="AK676" i="20"/>
  <c r="AJ676" i="20"/>
  <c r="AF676" i="20"/>
  <c r="AE676" i="20"/>
  <c r="AD676" i="20"/>
  <c r="AB676" i="20"/>
  <c r="U676" i="20"/>
  <c r="M676" i="20"/>
  <c r="L676" i="20"/>
  <c r="Q676" i="20" s="1"/>
  <c r="V676" i="20" s="1"/>
  <c r="K676" i="20"/>
  <c r="AC676" i="20" s="1"/>
  <c r="J676" i="20"/>
  <c r="I676" i="20"/>
  <c r="H676" i="20"/>
  <c r="BD675" i="20"/>
  <c r="BE675" i="20" s="1"/>
  <c r="BF675" i="20" s="1"/>
  <c r="AX675" i="20"/>
  <c r="AV675" i="20"/>
  <c r="AL675" i="20"/>
  <c r="AN675" i="20" s="1"/>
  <c r="AI675" i="20"/>
  <c r="AK675" i="20" s="1"/>
  <c r="AF675" i="20"/>
  <c r="AE675" i="20"/>
  <c r="AD675" i="20"/>
  <c r="AB675" i="20"/>
  <c r="U675" i="20"/>
  <c r="M675" i="20"/>
  <c r="L675" i="20"/>
  <c r="S675" i="20" s="1"/>
  <c r="K675" i="20"/>
  <c r="J675" i="20"/>
  <c r="I675" i="20"/>
  <c r="H675" i="20"/>
  <c r="BD674" i="20"/>
  <c r="AX674" i="20"/>
  <c r="AV674" i="20"/>
  <c r="AN674" i="20"/>
  <c r="AL674" i="20"/>
  <c r="AI674" i="20"/>
  <c r="AK674" i="20" s="1"/>
  <c r="AF674" i="20"/>
  <c r="AE674" i="20"/>
  <c r="AD674" i="20"/>
  <c r="AB674" i="20"/>
  <c r="U674" i="20"/>
  <c r="M674" i="20"/>
  <c r="L674" i="20"/>
  <c r="S674" i="20" s="1"/>
  <c r="K674" i="20"/>
  <c r="AC674" i="20" s="1"/>
  <c r="J674" i="20"/>
  <c r="I674" i="20"/>
  <c r="H674" i="20"/>
  <c r="BD673" i="20"/>
  <c r="AX673" i="20"/>
  <c r="AV673" i="20"/>
  <c r="AL673" i="20"/>
  <c r="AN673" i="20" s="1"/>
  <c r="AI673" i="20"/>
  <c r="AK673" i="20" s="1"/>
  <c r="AF673" i="20"/>
  <c r="AE673" i="20"/>
  <c r="AD673" i="20"/>
  <c r="AB673" i="20"/>
  <c r="U673" i="20"/>
  <c r="M673" i="20"/>
  <c r="L673" i="20"/>
  <c r="Q673" i="20" s="1"/>
  <c r="K673" i="20"/>
  <c r="AC673" i="20" s="1"/>
  <c r="J673" i="20"/>
  <c r="I673" i="20"/>
  <c r="H673" i="20"/>
  <c r="BD672" i="20"/>
  <c r="AX672" i="20"/>
  <c r="BE672" i="20" s="1"/>
  <c r="BF672" i="20" s="1"/>
  <c r="AV672" i="20"/>
  <c r="AL672" i="20"/>
  <c r="AN672" i="20" s="1"/>
  <c r="AI672" i="20"/>
  <c r="AK672" i="20" s="1"/>
  <c r="AF672" i="20"/>
  <c r="AE672" i="20"/>
  <c r="AD672" i="20"/>
  <c r="AB672" i="20"/>
  <c r="U672" i="20"/>
  <c r="M672" i="20"/>
  <c r="L672" i="20"/>
  <c r="K672" i="20"/>
  <c r="AC672" i="20" s="1"/>
  <c r="J672" i="20"/>
  <c r="I672" i="20"/>
  <c r="H672" i="20"/>
  <c r="BG671" i="20"/>
  <c r="BD671" i="20" s="1"/>
  <c r="AX671" i="20"/>
  <c r="BE671" i="20" s="1"/>
  <c r="BF671" i="20" s="1"/>
  <c r="AV671" i="20"/>
  <c r="AL671" i="20"/>
  <c r="AN671" i="20" s="1"/>
  <c r="AI671" i="20"/>
  <c r="AK671" i="20" s="1"/>
  <c r="AF671" i="20"/>
  <c r="AE671" i="20"/>
  <c r="AD671" i="20"/>
  <c r="AB671" i="20"/>
  <c r="U671" i="20"/>
  <c r="M671" i="20"/>
  <c r="L671" i="20"/>
  <c r="K671" i="20"/>
  <c r="AC671" i="20" s="1"/>
  <c r="J671" i="20"/>
  <c r="I671" i="20"/>
  <c r="H671" i="20"/>
  <c r="BG670" i="20"/>
  <c r="BD670" i="20" s="1"/>
  <c r="BE670" i="20" s="1"/>
  <c r="BF670" i="20" s="1"/>
  <c r="AX670" i="20"/>
  <c r="AV670" i="20"/>
  <c r="AN670" i="20"/>
  <c r="AL670" i="20"/>
  <c r="AK670" i="20"/>
  <c r="AI670" i="20"/>
  <c r="AF670" i="20"/>
  <c r="AE670" i="20"/>
  <c r="AD670" i="20"/>
  <c r="AB670" i="20"/>
  <c r="U670" i="20"/>
  <c r="M670" i="20"/>
  <c r="L670" i="20"/>
  <c r="S670" i="20" s="1"/>
  <c r="K670" i="20"/>
  <c r="J670" i="20"/>
  <c r="I670" i="20"/>
  <c r="H670" i="20"/>
  <c r="BD669" i="20"/>
  <c r="AX669" i="20"/>
  <c r="AV669" i="20"/>
  <c r="AN669" i="20"/>
  <c r="AL669" i="20"/>
  <c r="AK669" i="20"/>
  <c r="AI669" i="20"/>
  <c r="AF669" i="20"/>
  <c r="AE669" i="20"/>
  <c r="AD669" i="20"/>
  <c r="AB669" i="20"/>
  <c r="U669" i="20"/>
  <c r="Q669" i="20"/>
  <c r="V669" i="20" s="1"/>
  <c r="M669" i="20"/>
  <c r="L669" i="20"/>
  <c r="S669" i="20" s="1"/>
  <c r="K669" i="20"/>
  <c r="AC669" i="20" s="1"/>
  <c r="J669" i="20"/>
  <c r="I669" i="20"/>
  <c r="H669" i="20"/>
  <c r="BD668" i="20"/>
  <c r="AX668" i="20"/>
  <c r="BE668" i="20" s="1"/>
  <c r="BF668" i="20" s="1"/>
  <c r="AV668" i="20"/>
  <c r="AL668" i="20"/>
  <c r="AN668" i="20" s="1"/>
  <c r="AI668" i="20"/>
  <c r="AK668" i="20" s="1"/>
  <c r="AF668" i="20"/>
  <c r="AE668" i="20"/>
  <c r="AD668" i="20"/>
  <c r="AB668" i="20"/>
  <c r="U668" i="20"/>
  <c r="M668" i="20"/>
  <c r="L668" i="20"/>
  <c r="S668" i="20" s="1"/>
  <c r="K668" i="20"/>
  <c r="AC668" i="20" s="1"/>
  <c r="J668" i="20"/>
  <c r="I668" i="20"/>
  <c r="H668" i="20"/>
  <c r="BG667" i="20"/>
  <c r="BD667" i="20"/>
  <c r="BE667" i="20" s="1"/>
  <c r="BF667" i="20" s="1"/>
  <c r="AX667" i="20"/>
  <c r="AV667" i="20"/>
  <c r="AL667" i="20"/>
  <c r="AN667" i="20" s="1"/>
  <c r="AI667" i="20"/>
  <c r="AK667" i="20" s="1"/>
  <c r="AF667" i="20"/>
  <c r="AE667" i="20"/>
  <c r="AD667" i="20"/>
  <c r="AB667" i="20"/>
  <c r="U667" i="20"/>
  <c r="M667" i="20"/>
  <c r="L667" i="20"/>
  <c r="S667" i="20" s="1"/>
  <c r="K667" i="20"/>
  <c r="AC667" i="20" s="1"/>
  <c r="J667" i="20"/>
  <c r="I667" i="20"/>
  <c r="H667" i="20"/>
  <c r="BD666" i="20"/>
  <c r="AX666" i="20"/>
  <c r="AV666" i="20"/>
  <c r="AL666" i="20"/>
  <c r="AN666" i="20" s="1"/>
  <c r="AI666" i="20"/>
  <c r="AK666" i="20" s="1"/>
  <c r="AF666" i="20"/>
  <c r="AE666" i="20"/>
  <c r="AD666" i="20"/>
  <c r="AB666" i="20"/>
  <c r="U666" i="20"/>
  <c r="M666" i="20"/>
  <c r="L666" i="20"/>
  <c r="Q666" i="20" s="1"/>
  <c r="V666" i="20" s="1"/>
  <c r="K666" i="20"/>
  <c r="AC666" i="20" s="1"/>
  <c r="J666" i="20"/>
  <c r="I666" i="20"/>
  <c r="H666" i="20"/>
  <c r="BG665" i="20"/>
  <c r="AZ665" i="20"/>
  <c r="AX665" i="20"/>
  <c r="BE665" i="20" s="1"/>
  <c r="BF665" i="20" s="1"/>
  <c r="AV665" i="20"/>
  <c r="AF665" i="20"/>
  <c r="AE665" i="20"/>
  <c r="AD665" i="20"/>
  <c r="AB665" i="20"/>
  <c r="U665" i="20"/>
  <c r="M665" i="20"/>
  <c r="L665" i="20"/>
  <c r="Q665" i="20" s="1"/>
  <c r="V665" i="20" s="1"/>
  <c r="K665" i="20"/>
  <c r="J665" i="20"/>
  <c r="I665" i="20"/>
  <c r="H665" i="20"/>
  <c r="BG664" i="20"/>
  <c r="BE664" i="20"/>
  <c r="BF664" i="20" s="1"/>
  <c r="AZ664" i="20"/>
  <c r="AX664" i="20"/>
  <c r="AV664" i="20"/>
  <c r="AF664" i="20"/>
  <c r="AE664" i="20"/>
  <c r="AD664" i="20"/>
  <c r="AB664" i="20"/>
  <c r="U664" i="20"/>
  <c r="M664" i="20"/>
  <c r="L664" i="20"/>
  <c r="Q664" i="20" s="1"/>
  <c r="K664" i="20"/>
  <c r="AC664" i="20" s="1"/>
  <c r="J664" i="20"/>
  <c r="I664" i="20"/>
  <c r="H664" i="20"/>
  <c r="BG663" i="20"/>
  <c r="BE663" i="20"/>
  <c r="BF663" i="20" s="1"/>
  <c r="AV663" i="20"/>
  <c r="AF663" i="20"/>
  <c r="AE663" i="20"/>
  <c r="AD663" i="20"/>
  <c r="AB663" i="20"/>
  <c r="U663" i="20"/>
  <c r="M663" i="20"/>
  <c r="L663" i="20"/>
  <c r="Q663" i="20" s="1"/>
  <c r="V663" i="20" s="1"/>
  <c r="K663" i="20"/>
  <c r="AC663" i="20" s="1"/>
  <c r="J663" i="20"/>
  <c r="I663" i="20"/>
  <c r="H663" i="20"/>
  <c r="BG662" i="20"/>
  <c r="BE662" i="20"/>
  <c r="BF662" i="20" s="1"/>
  <c r="AV662" i="20"/>
  <c r="AF662" i="20"/>
  <c r="AE662" i="20"/>
  <c r="AD662" i="20"/>
  <c r="AB662" i="20"/>
  <c r="U662" i="20"/>
  <c r="M662" i="20"/>
  <c r="L662" i="20"/>
  <c r="S662" i="20" s="1"/>
  <c r="K662" i="20"/>
  <c r="AC662" i="20" s="1"/>
  <c r="J662" i="20"/>
  <c r="I662" i="20"/>
  <c r="H662" i="20"/>
  <c r="BG661" i="20"/>
  <c r="BE661" i="20"/>
  <c r="BF661" i="20" s="1"/>
  <c r="AV661" i="20"/>
  <c r="AF661" i="20"/>
  <c r="AE661" i="20"/>
  <c r="AD661" i="20"/>
  <c r="AB661" i="20"/>
  <c r="U661" i="20"/>
  <c r="M661" i="20"/>
  <c r="L661" i="20"/>
  <c r="Q661" i="20" s="1"/>
  <c r="V661" i="20" s="1"/>
  <c r="K661" i="20"/>
  <c r="AC661" i="20" s="1"/>
  <c r="J661" i="20"/>
  <c r="I661" i="20"/>
  <c r="H661" i="20"/>
  <c r="BG660" i="20"/>
  <c r="BE660" i="20"/>
  <c r="BF660" i="20" s="1"/>
  <c r="AV660" i="20"/>
  <c r="AF660" i="20"/>
  <c r="AE660" i="20"/>
  <c r="AD660" i="20"/>
  <c r="AB660" i="20"/>
  <c r="U660" i="20"/>
  <c r="M660" i="20"/>
  <c r="L660" i="20"/>
  <c r="Q660" i="20" s="1"/>
  <c r="V660" i="20" s="1"/>
  <c r="K660" i="20"/>
  <c r="J660" i="20"/>
  <c r="I660" i="20"/>
  <c r="H660" i="20"/>
  <c r="BG659" i="20"/>
  <c r="BE659" i="20"/>
  <c r="BF659" i="20" s="1"/>
  <c r="AV659" i="20"/>
  <c r="AF659" i="20"/>
  <c r="AE659" i="20"/>
  <c r="AD659" i="20"/>
  <c r="AB659" i="20"/>
  <c r="U659" i="20"/>
  <c r="M659" i="20"/>
  <c r="L659" i="20"/>
  <c r="S659" i="20" s="1"/>
  <c r="K659" i="20"/>
  <c r="AC659" i="20" s="1"/>
  <c r="J659" i="20"/>
  <c r="I659" i="20"/>
  <c r="H659" i="20"/>
  <c r="BG658" i="20"/>
  <c r="BF658" i="20"/>
  <c r="BE658" i="20"/>
  <c r="AV658" i="20"/>
  <c r="AF658" i="20"/>
  <c r="AE658" i="20"/>
  <c r="AD658" i="20"/>
  <c r="AB658" i="20"/>
  <c r="U658" i="20"/>
  <c r="M658" i="20"/>
  <c r="L658" i="20"/>
  <c r="S658" i="20" s="1"/>
  <c r="K658" i="20"/>
  <c r="AC658" i="20" s="1"/>
  <c r="J658" i="20"/>
  <c r="I658" i="20"/>
  <c r="H658" i="20"/>
  <c r="BG657" i="20"/>
  <c r="BF657" i="20"/>
  <c r="BE657" i="20"/>
  <c r="AV657" i="20"/>
  <c r="AF657" i="20"/>
  <c r="AE657" i="20"/>
  <c r="AD657" i="20"/>
  <c r="AB657" i="20"/>
  <c r="U657" i="20"/>
  <c r="M657" i="20"/>
  <c r="L657" i="20"/>
  <c r="K657" i="20"/>
  <c r="AC657" i="20" s="1"/>
  <c r="J657" i="20"/>
  <c r="I657" i="20"/>
  <c r="H657" i="20"/>
  <c r="BG656" i="20"/>
  <c r="BE656" i="20"/>
  <c r="BF656" i="20" s="1"/>
  <c r="AV656" i="20"/>
  <c r="AF656" i="20"/>
  <c r="AE656" i="20"/>
  <c r="AD656" i="20"/>
  <c r="AB656" i="20"/>
  <c r="U656" i="20"/>
  <c r="M656" i="20"/>
  <c r="L656" i="20"/>
  <c r="Q656" i="20" s="1"/>
  <c r="K656" i="20"/>
  <c r="AC656" i="20" s="1"/>
  <c r="J656" i="20"/>
  <c r="I656" i="20"/>
  <c r="H656" i="20"/>
  <c r="BG655" i="20"/>
  <c r="BE655" i="20"/>
  <c r="BF655" i="20" s="1"/>
  <c r="AV655" i="20"/>
  <c r="AF655" i="20"/>
  <c r="AE655" i="20"/>
  <c r="AD655" i="20"/>
  <c r="AB655" i="20"/>
  <c r="U655" i="20"/>
  <c r="S655" i="20"/>
  <c r="M655" i="20"/>
  <c r="L655" i="20"/>
  <c r="Q655" i="20" s="1"/>
  <c r="V655" i="20" s="1"/>
  <c r="K655" i="20"/>
  <c r="AC655" i="20" s="1"/>
  <c r="J655" i="20"/>
  <c r="I655" i="20"/>
  <c r="H655" i="20"/>
  <c r="BG654" i="20"/>
  <c r="BE654" i="20"/>
  <c r="BF654" i="20" s="1"/>
  <c r="AV654" i="20"/>
  <c r="AF654" i="20"/>
  <c r="AE654" i="20"/>
  <c r="AD654" i="20"/>
  <c r="AB654" i="20"/>
  <c r="U654" i="20"/>
  <c r="M654" i="20"/>
  <c r="L654" i="20"/>
  <c r="S654" i="20" s="1"/>
  <c r="K654" i="20"/>
  <c r="AC654" i="20" s="1"/>
  <c r="J654" i="20"/>
  <c r="I654" i="20"/>
  <c r="H654" i="20"/>
  <c r="BG653" i="20"/>
  <c r="AZ653" i="20"/>
  <c r="AX653" i="20"/>
  <c r="BE653" i="20" s="1"/>
  <c r="BF653" i="20" s="1"/>
  <c r="AV653" i="20"/>
  <c r="AN653" i="20"/>
  <c r="AM653" i="20"/>
  <c r="AK653" i="20"/>
  <c r="AJ653" i="20"/>
  <c r="AF653" i="20"/>
  <c r="AE653" i="20"/>
  <c r="AD653" i="20"/>
  <c r="AB653" i="20"/>
  <c r="U653" i="20"/>
  <c r="M653" i="20"/>
  <c r="L653" i="20"/>
  <c r="Q653" i="20" s="1"/>
  <c r="V653" i="20" s="1"/>
  <c r="K653" i="20"/>
  <c r="J653" i="20"/>
  <c r="I653" i="20"/>
  <c r="H653" i="20"/>
  <c r="BG652" i="20"/>
  <c r="AZ652" i="20"/>
  <c r="AX652" i="20"/>
  <c r="BE652" i="20" s="1"/>
  <c r="BF652" i="20" s="1"/>
  <c r="AV652" i="20"/>
  <c r="AN652" i="20"/>
  <c r="AM652" i="20"/>
  <c r="AK652" i="20"/>
  <c r="AJ652" i="20"/>
  <c r="AF652" i="20"/>
  <c r="AE652" i="20"/>
  <c r="AD652" i="20"/>
  <c r="AB652" i="20"/>
  <c r="U652" i="20"/>
  <c r="M652" i="20"/>
  <c r="L652" i="20"/>
  <c r="S652" i="20" s="1"/>
  <c r="K652" i="20"/>
  <c r="AC652" i="20" s="1"/>
  <c r="J652" i="20"/>
  <c r="I652" i="20"/>
  <c r="H652" i="20"/>
  <c r="BG651" i="20"/>
  <c r="AZ651" i="20"/>
  <c r="AX651" i="20"/>
  <c r="BE651" i="20" s="1"/>
  <c r="BF651" i="20" s="1"/>
  <c r="AV651" i="20"/>
  <c r="AN651" i="20"/>
  <c r="AM651" i="20"/>
  <c r="AK651" i="20"/>
  <c r="AJ651" i="20"/>
  <c r="AF651" i="20"/>
  <c r="AE651" i="20"/>
  <c r="AD651" i="20"/>
  <c r="AB651" i="20"/>
  <c r="U651" i="20"/>
  <c r="M651" i="20"/>
  <c r="L651" i="20"/>
  <c r="K651" i="20"/>
  <c r="AC651" i="20" s="1"/>
  <c r="J651" i="20"/>
  <c r="I651" i="20"/>
  <c r="H651" i="20"/>
  <c r="BG650" i="20"/>
  <c r="AZ650" i="20"/>
  <c r="AX650" i="20"/>
  <c r="BE650" i="20" s="1"/>
  <c r="BF650" i="20" s="1"/>
  <c r="AV650" i="20"/>
  <c r="AN650" i="20"/>
  <c r="AM650" i="20"/>
  <c r="AK650" i="20"/>
  <c r="AJ650" i="20"/>
  <c r="AF650" i="20"/>
  <c r="AE650" i="20"/>
  <c r="AD650" i="20"/>
  <c r="AB650" i="20"/>
  <c r="U650" i="20"/>
  <c r="M650" i="20"/>
  <c r="L650" i="20"/>
  <c r="S650" i="20" s="1"/>
  <c r="K650" i="20"/>
  <c r="AC650" i="20" s="1"/>
  <c r="J650" i="20"/>
  <c r="I650" i="20"/>
  <c r="H650" i="20"/>
  <c r="BG649" i="20"/>
  <c r="AZ649" i="20"/>
  <c r="AX649" i="20"/>
  <c r="BE649" i="20" s="1"/>
  <c r="BF649" i="20" s="1"/>
  <c r="AV649" i="20"/>
  <c r="AF649" i="20"/>
  <c r="AE649" i="20"/>
  <c r="AD649" i="20"/>
  <c r="AB649" i="20"/>
  <c r="U649" i="20"/>
  <c r="M649" i="20"/>
  <c r="L649" i="20"/>
  <c r="S649" i="20" s="1"/>
  <c r="K649" i="20"/>
  <c r="AC649" i="20" s="1"/>
  <c r="J649" i="20"/>
  <c r="I649" i="20"/>
  <c r="H649" i="20"/>
  <c r="BG648" i="20"/>
  <c r="AZ648" i="20"/>
  <c r="AX648" i="20"/>
  <c r="BE648" i="20" s="1"/>
  <c r="BF648" i="20" s="1"/>
  <c r="AV648" i="20"/>
  <c r="AF648" i="20"/>
  <c r="AE648" i="20"/>
  <c r="AD648" i="20"/>
  <c r="AB648" i="20"/>
  <c r="U648" i="20"/>
  <c r="M648" i="20"/>
  <c r="L648" i="20"/>
  <c r="K648" i="20"/>
  <c r="AC648" i="20" s="1"/>
  <c r="J648" i="20"/>
  <c r="I648" i="20"/>
  <c r="H648" i="20"/>
  <c r="BG647" i="20"/>
  <c r="AZ647" i="20"/>
  <c r="AX647" i="20"/>
  <c r="BE647" i="20" s="1"/>
  <c r="BF647" i="20" s="1"/>
  <c r="AV647" i="20"/>
  <c r="AF647" i="20"/>
  <c r="AE647" i="20"/>
  <c r="AD647" i="20"/>
  <c r="AB647" i="20"/>
  <c r="U647" i="20"/>
  <c r="M647" i="20"/>
  <c r="L647" i="20"/>
  <c r="S647" i="20" s="1"/>
  <c r="K647" i="20"/>
  <c r="AC647" i="20" s="1"/>
  <c r="J647" i="20"/>
  <c r="I647" i="20"/>
  <c r="H647" i="20"/>
  <c r="BG646" i="20"/>
  <c r="AZ646" i="20"/>
  <c r="AX646" i="20"/>
  <c r="BE646" i="20" s="1"/>
  <c r="BF646" i="20" s="1"/>
  <c r="AV646" i="20"/>
  <c r="AF646" i="20"/>
  <c r="AE646" i="20"/>
  <c r="AD646" i="20"/>
  <c r="AB646" i="20"/>
  <c r="U646" i="20"/>
  <c r="M646" i="20"/>
  <c r="L646" i="20"/>
  <c r="S646" i="20" s="1"/>
  <c r="K646" i="20"/>
  <c r="AC646" i="20" s="1"/>
  <c r="J646" i="20"/>
  <c r="I646" i="20"/>
  <c r="H646" i="20"/>
  <c r="BG645" i="20"/>
  <c r="AZ645" i="20"/>
  <c r="AX645" i="20"/>
  <c r="BE645" i="20" s="1"/>
  <c r="BF645" i="20" s="1"/>
  <c r="AV645" i="20"/>
  <c r="AF645" i="20"/>
  <c r="AE645" i="20"/>
  <c r="AD645" i="20"/>
  <c r="AB645" i="20"/>
  <c r="U645" i="20"/>
  <c r="M645" i="20"/>
  <c r="L645" i="20"/>
  <c r="K645" i="20"/>
  <c r="AC645" i="20" s="1"/>
  <c r="J645" i="20"/>
  <c r="I645" i="20"/>
  <c r="H645" i="20"/>
  <c r="BG644" i="20"/>
  <c r="AZ644" i="20"/>
  <c r="AX644" i="20"/>
  <c r="BE644" i="20" s="1"/>
  <c r="BF644" i="20" s="1"/>
  <c r="AV644" i="20"/>
  <c r="AF644" i="20"/>
  <c r="AE644" i="20"/>
  <c r="AD644" i="20"/>
  <c r="AB644" i="20"/>
  <c r="U644" i="20"/>
  <c r="M644" i="20"/>
  <c r="L644" i="20"/>
  <c r="Q644" i="20" s="1"/>
  <c r="K644" i="20"/>
  <c r="AC644" i="20" s="1"/>
  <c r="J644" i="20"/>
  <c r="I644" i="20"/>
  <c r="H644" i="20"/>
  <c r="BG643" i="20"/>
  <c r="AZ643" i="20"/>
  <c r="AX643" i="20"/>
  <c r="BE643" i="20" s="1"/>
  <c r="BF643" i="20" s="1"/>
  <c r="AV643" i="20"/>
  <c r="AF643" i="20"/>
  <c r="AE643" i="20"/>
  <c r="AD643" i="20"/>
  <c r="AB643" i="20"/>
  <c r="U643" i="20"/>
  <c r="M643" i="20"/>
  <c r="L643" i="20"/>
  <c r="S643" i="20" s="1"/>
  <c r="K643" i="20"/>
  <c r="AC643" i="20" s="1"/>
  <c r="J643" i="20"/>
  <c r="I643" i="20"/>
  <c r="H643" i="20"/>
  <c r="BG642" i="20"/>
  <c r="AZ642" i="20"/>
  <c r="AX642" i="20"/>
  <c r="BE642" i="20" s="1"/>
  <c r="BF642" i="20" s="1"/>
  <c r="AV642" i="20"/>
  <c r="AF642" i="20"/>
  <c r="AE642" i="20"/>
  <c r="AD642" i="20"/>
  <c r="AB642" i="20"/>
  <c r="U642" i="20"/>
  <c r="M642" i="20"/>
  <c r="L642" i="20"/>
  <c r="S642" i="20" s="1"/>
  <c r="K642" i="20"/>
  <c r="AC642" i="20" s="1"/>
  <c r="J642" i="20"/>
  <c r="I642" i="20"/>
  <c r="H642" i="20"/>
  <c r="BG641" i="20"/>
  <c r="AZ641" i="20"/>
  <c r="AX641" i="20"/>
  <c r="BE641" i="20" s="1"/>
  <c r="BF641" i="20" s="1"/>
  <c r="AV641" i="20"/>
  <c r="AF641" i="20"/>
  <c r="AE641" i="20"/>
  <c r="AD641" i="20"/>
  <c r="AB641" i="20"/>
  <c r="U641" i="20"/>
  <c r="M641" i="20"/>
  <c r="L641" i="20"/>
  <c r="S641" i="20" s="1"/>
  <c r="K641" i="20"/>
  <c r="AC641" i="20" s="1"/>
  <c r="J641" i="20"/>
  <c r="I641" i="20"/>
  <c r="H641" i="20"/>
  <c r="BG640" i="20"/>
  <c r="AZ640" i="20"/>
  <c r="AX640" i="20"/>
  <c r="BE640" i="20" s="1"/>
  <c r="BF640" i="20" s="1"/>
  <c r="AV640" i="20"/>
  <c r="AF640" i="20"/>
  <c r="AE640" i="20"/>
  <c r="AD640" i="20"/>
  <c r="AB640" i="20"/>
  <c r="U640" i="20"/>
  <c r="M640" i="20"/>
  <c r="L640" i="20"/>
  <c r="S640" i="20" s="1"/>
  <c r="K640" i="20"/>
  <c r="AC640" i="20" s="1"/>
  <c r="J640" i="20"/>
  <c r="I640" i="20"/>
  <c r="H640" i="20"/>
  <c r="BG639" i="20"/>
  <c r="AZ639" i="20"/>
  <c r="AX639" i="20"/>
  <c r="BE639" i="20" s="1"/>
  <c r="BF639" i="20" s="1"/>
  <c r="AV639" i="20"/>
  <c r="AN639" i="20"/>
  <c r="AM639" i="20"/>
  <c r="AK639" i="20"/>
  <c r="AJ639" i="20"/>
  <c r="AF639" i="20"/>
  <c r="AE639" i="20"/>
  <c r="AD639" i="20"/>
  <c r="AB639" i="20"/>
  <c r="U639" i="20"/>
  <c r="S639" i="20"/>
  <c r="M639" i="20"/>
  <c r="L639" i="20"/>
  <c r="Q639" i="20" s="1"/>
  <c r="K639" i="20"/>
  <c r="J639" i="20"/>
  <c r="I639" i="20"/>
  <c r="H639" i="20"/>
  <c r="BG638" i="20"/>
  <c r="AZ638" i="20"/>
  <c r="AX638" i="20"/>
  <c r="BE638" i="20" s="1"/>
  <c r="BF638" i="20" s="1"/>
  <c r="AV638" i="20"/>
  <c r="AN638" i="20"/>
  <c r="AM638" i="20"/>
  <c r="AK638" i="20"/>
  <c r="AJ638" i="20"/>
  <c r="AF638" i="20"/>
  <c r="AE638" i="20"/>
  <c r="AD638" i="20"/>
  <c r="AB638" i="20"/>
  <c r="U638" i="20"/>
  <c r="M638" i="20"/>
  <c r="L638" i="20"/>
  <c r="S638" i="20" s="1"/>
  <c r="K638" i="20"/>
  <c r="AC638" i="20" s="1"/>
  <c r="J638" i="20"/>
  <c r="I638" i="20"/>
  <c r="H638" i="20"/>
  <c r="BG637" i="20"/>
  <c r="AZ637" i="20"/>
  <c r="AX637" i="20"/>
  <c r="BE637" i="20" s="1"/>
  <c r="BF637" i="20" s="1"/>
  <c r="AV637" i="20"/>
  <c r="AN637" i="20"/>
  <c r="AM637" i="20"/>
  <c r="AK637" i="20"/>
  <c r="AJ637" i="20"/>
  <c r="AF637" i="20"/>
  <c r="AE637" i="20"/>
  <c r="AD637" i="20"/>
  <c r="AB637" i="20"/>
  <c r="U637" i="20"/>
  <c r="M637" i="20"/>
  <c r="L637" i="20"/>
  <c r="Q637" i="20" s="1"/>
  <c r="V637" i="20" s="1"/>
  <c r="K637" i="20"/>
  <c r="AC637" i="20" s="1"/>
  <c r="J637" i="20"/>
  <c r="I637" i="20"/>
  <c r="H637" i="20"/>
  <c r="BG636" i="20"/>
  <c r="AZ636" i="20"/>
  <c r="AX636" i="20"/>
  <c r="BE636" i="20" s="1"/>
  <c r="BF636" i="20" s="1"/>
  <c r="AV636" i="20"/>
  <c r="AN636" i="20"/>
  <c r="AM636" i="20"/>
  <c r="AK636" i="20"/>
  <c r="AJ636" i="20"/>
  <c r="AF636" i="20"/>
  <c r="AE636" i="20"/>
  <c r="AD636" i="20"/>
  <c r="AC636" i="20"/>
  <c r="AB636" i="20"/>
  <c r="U636" i="20"/>
  <c r="M636" i="20"/>
  <c r="L636" i="20"/>
  <c r="S636" i="20" s="1"/>
  <c r="K636" i="20"/>
  <c r="J636" i="20"/>
  <c r="I636" i="20"/>
  <c r="H636" i="20"/>
  <c r="BG635" i="20"/>
  <c r="AZ635" i="20"/>
  <c r="AX635" i="20"/>
  <c r="BE635" i="20" s="1"/>
  <c r="BF635" i="20" s="1"/>
  <c r="AV635" i="20"/>
  <c r="AN635" i="20"/>
  <c r="AM635" i="20"/>
  <c r="AK635" i="20"/>
  <c r="AJ635" i="20"/>
  <c r="AF635" i="20"/>
  <c r="AE635" i="20"/>
  <c r="AD635" i="20"/>
  <c r="AB635" i="20"/>
  <c r="U635" i="20"/>
  <c r="M635" i="20"/>
  <c r="L635" i="20"/>
  <c r="Q635" i="20" s="1"/>
  <c r="V635" i="20" s="1"/>
  <c r="K635" i="20"/>
  <c r="AC635" i="20" s="1"/>
  <c r="J635" i="20"/>
  <c r="I635" i="20"/>
  <c r="H635" i="20"/>
  <c r="BG634" i="20"/>
  <c r="AZ634" i="20"/>
  <c r="AX634" i="20"/>
  <c r="BE634" i="20" s="1"/>
  <c r="BF634" i="20" s="1"/>
  <c r="AV634" i="20"/>
  <c r="AN634" i="20"/>
  <c r="AM634" i="20"/>
  <c r="AK634" i="20"/>
  <c r="AJ634" i="20"/>
  <c r="AF634" i="20"/>
  <c r="AE634" i="20"/>
  <c r="AD634" i="20"/>
  <c r="AB634" i="20"/>
  <c r="U634" i="20"/>
  <c r="M634" i="20"/>
  <c r="L634" i="20"/>
  <c r="Q634" i="20" s="1"/>
  <c r="K634" i="20"/>
  <c r="J634" i="20"/>
  <c r="I634" i="20"/>
  <c r="H634" i="20"/>
  <c r="BG633" i="20"/>
  <c r="AZ633" i="20"/>
  <c r="AX633" i="20"/>
  <c r="BE633" i="20" s="1"/>
  <c r="BF633" i="20" s="1"/>
  <c r="AV633" i="20"/>
  <c r="AN633" i="20"/>
  <c r="AM633" i="20"/>
  <c r="AK633" i="20"/>
  <c r="AJ633" i="20"/>
  <c r="AF633" i="20"/>
  <c r="AE633" i="20"/>
  <c r="AD633" i="20"/>
  <c r="AB633" i="20"/>
  <c r="U633" i="20"/>
  <c r="M633" i="20"/>
  <c r="L633" i="20"/>
  <c r="Q633" i="20" s="1"/>
  <c r="V633" i="20" s="1"/>
  <c r="K633" i="20"/>
  <c r="AC633" i="20" s="1"/>
  <c r="J633" i="20"/>
  <c r="I633" i="20"/>
  <c r="H633" i="20"/>
  <c r="BG632" i="20"/>
  <c r="AZ632" i="20"/>
  <c r="AX632" i="20"/>
  <c r="BD632" i="20" s="1"/>
  <c r="BE632" i="20" s="1"/>
  <c r="BF632" i="20" s="1"/>
  <c r="AV632" i="20"/>
  <c r="AL632" i="20"/>
  <c r="AN632" i="20" s="1"/>
  <c r="AI632" i="20"/>
  <c r="AK632" i="20" s="1"/>
  <c r="AF632" i="20"/>
  <c r="AE632" i="20"/>
  <c r="AD632" i="20"/>
  <c r="AB632" i="20"/>
  <c r="U632" i="20"/>
  <c r="M632" i="20"/>
  <c r="L632" i="20"/>
  <c r="S632" i="20" s="1"/>
  <c r="K632" i="20"/>
  <c r="AC632" i="20" s="1"/>
  <c r="J632" i="20"/>
  <c r="I632" i="20"/>
  <c r="H632" i="20"/>
  <c r="AZ631" i="20"/>
  <c r="AX631" i="20"/>
  <c r="BD631" i="20" s="1"/>
  <c r="AV631" i="20"/>
  <c r="AL631" i="20"/>
  <c r="AN631" i="20" s="1"/>
  <c r="AI631" i="20"/>
  <c r="AK631" i="20" s="1"/>
  <c r="AF631" i="20"/>
  <c r="AE631" i="20"/>
  <c r="AD631" i="20"/>
  <c r="AB631" i="20"/>
  <c r="U631" i="20"/>
  <c r="M631" i="20"/>
  <c r="L631" i="20"/>
  <c r="S631" i="20" s="1"/>
  <c r="K631" i="20"/>
  <c r="AC631" i="20" s="1"/>
  <c r="J631" i="20"/>
  <c r="I631" i="20"/>
  <c r="H631" i="20"/>
  <c r="AZ630" i="20"/>
  <c r="AX630" i="20"/>
  <c r="BD630" i="20" s="1"/>
  <c r="AV630" i="20"/>
  <c r="AL630" i="20"/>
  <c r="AM630" i="20" s="1"/>
  <c r="AI630" i="20"/>
  <c r="AK630" i="20" s="1"/>
  <c r="AF630" i="20"/>
  <c r="AE630" i="20"/>
  <c r="AD630" i="20"/>
  <c r="AB630" i="20"/>
  <c r="U630" i="20"/>
  <c r="M630" i="20"/>
  <c r="L630" i="20"/>
  <c r="Q630" i="20" s="1"/>
  <c r="V630" i="20" s="1"/>
  <c r="K630" i="20"/>
  <c r="AC630" i="20" s="1"/>
  <c r="J630" i="20"/>
  <c r="I630" i="20"/>
  <c r="H630" i="20"/>
  <c r="BD629" i="20"/>
  <c r="BG629" i="20" s="1"/>
  <c r="AZ629" i="20"/>
  <c r="AX629" i="20"/>
  <c r="AV629" i="20"/>
  <c r="AL629" i="20"/>
  <c r="AN629" i="20" s="1"/>
  <c r="AI629" i="20"/>
  <c r="AK629" i="20" s="1"/>
  <c r="AF629" i="20"/>
  <c r="AE629" i="20"/>
  <c r="AD629" i="20"/>
  <c r="AB629" i="20"/>
  <c r="U629" i="20"/>
  <c r="M629" i="20"/>
  <c r="L629" i="20"/>
  <c r="S629" i="20" s="1"/>
  <c r="K629" i="20"/>
  <c r="AC629" i="20" s="1"/>
  <c r="J629" i="20"/>
  <c r="I629" i="20"/>
  <c r="H629" i="20"/>
  <c r="BG628" i="20"/>
  <c r="AZ628" i="20"/>
  <c r="AX628" i="20"/>
  <c r="BE628" i="20" s="1"/>
  <c r="BF628" i="20" s="1"/>
  <c r="AV628" i="20"/>
  <c r="AF628" i="20"/>
  <c r="AE628" i="20"/>
  <c r="AD628" i="20"/>
  <c r="AB628" i="20"/>
  <c r="U628" i="20"/>
  <c r="S628" i="20"/>
  <c r="M628" i="20"/>
  <c r="L628" i="20"/>
  <c r="Q628" i="20" s="1"/>
  <c r="K628" i="20"/>
  <c r="AC628" i="20" s="1"/>
  <c r="J628" i="20"/>
  <c r="I628" i="20"/>
  <c r="H628" i="20"/>
  <c r="BG627" i="20"/>
  <c r="AZ627" i="20"/>
  <c r="AW627" i="20"/>
  <c r="AX627" i="20" s="1"/>
  <c r="BE627" i="20" s="1"/>
  <c r="BF627" i="20" s="1"/>
  <c r="AV627" i="20"/>
  <c r="AP627" i="20"/>
  <c r="AF627" i="20"/>
  <c r="AE627" i="20"/>
  <c r="AD627" i="20"/>
  <c r="AB627" i="20"/>
  <c r="U627" i="20"/>
  <c r="M627" i="20"/>
  <c r="L627" i="20"/>
  <c r="S627" i="20" s="1"/>
  <c r="K627" i="20"/>
  <c r="AC627" i="20" s="1"/>
  <c r="J627" i="20"/>
  <c r="I627" i="20"/>
  <c r="H627" i="20"/>
  <c r="BG626" i="20"/>
  <c r="AZ626" i="20"/>
  <c r="AX626" i="20"/>
  <c r="BE626" i="20" s="1"/>
  <c r="BF626" i="20" s="1"/>
  <c r="AV626" i="20"/>
  <c r="AN626" i="20"/>
  <c r="AM626" i="20"/>
  <c r="AK626" i="20"/>
  <c r="AJ626" i="20"/>
  <c r="AF626" i="20"/>
  <c r="AE626" i="20"/>
  <c r="AD626" i="20"/>
  <c r="AB626" i="20"/>
  <c r="U626" i="20"/>
  <c r="Q626" i="20"/>
  <c r="M626" i="20"/>
  <c r="L626" i="20"/>
  <c r="S626" i="20" s="1"/>
  <c r="K626" i="20"/>
  <c r="AC626" i="20" s="1"/>
  <c r="J626" i="20"/>
  <c r="I626" i="20"/>
  <c r="H626" i="20"/>
  <c r="BG625" i="20"/>
  <c r="AZ625" i="20"/>
  <c r="AX625" i="20"/>
  <c r="BE625" i="20" s="1"/>
  <c r="BF625" i="20" s="1"/>
  <c r="AV625" i="20"/>
  <c r="AN625" i="20"/>
  <c r="AM625" i="20"/>
  <c r="AK625" i="20"/>
  <c r="AJ625" i="20"/>
  <c r="AF625" i="20"/>
  <c r="AE625" i="20"/>
  <c r="AD625" i="20"/>
  <c r="AB625" i="20"/>
  <c r="U625" i="20"/>
  <c r="M625" i="20"/>
  <c r="L625" i="20"/>
  <c r="K625" i="20"/>
  <c r="AC625" i="20" s="1"/>
  <c r="J625" i="20"/>
  <c r="I625" i="20"/>
  <c r="H625" i="20"/>
  <c r="BG624" i="20"/>
  <c r="AZ624" i="20"/>
  <c r="AX624" i="20"/>
  <c r="BE624" i="20" s="1"/>
  <c r="BF624" i="20" s="1"/>
  <c r="AV624" i="20"/>
  <c r="AN624" i="20"/>
  <c r="AM624" i="20"/>
  <c r="AK624" i="20"/>
  <c r="AJ624" i="20"/>
  <c r="AF624" i="20"/>
  <c r="AE624" i="20"/>
  <c r="AD624" i="20"/>
  <c r="AB624" i="20"/>
  <c r="U624" i="20"/>
  <c r="M624" i="20"/>
  <c r="L624" i="20"/>
  <c r="Q624" i="20" s="1"/>
  <c r="V624" i="20" s="1"/>
  <c r="K624" i="20"/>
  <c r="AC624" i="20" s="1"/>
  <c r="J624" i="20"/>
  <c r="I624" i="20"/>
  <c r="H624" i="20"/>
  <c r="BG623" i="20"/>
  <c r="BE623" i="20"/>
  <c r="BF623" i="20" s="1"/>
  <c r="AZ623" i="20"/>
  <c r="AX623" i="20"/>
  <c r="AV623" i="20"/>
  <c r="AN623" i="20"/>
  <c r="AM623" i="20"/>
  <c r="AK623" i="20"/>
  <c r="AJ623" i="20"/>
  <c r="AF623" i="20"/>
  <c r="AE623" i="20"/>
  <c r="AD623" i="20"/>
  <c r="AB623" i="20"/>
  <c r="U623" i="20"/>
  <c r="M623" i="20"/>
  <c r="L623" i="20"/>
  <c r="K623" i="20"/>
  <c r="AC623" i="20" s="1"/>
  <c r="J623" i="20"/>
  <c r="I623" i="20"/>
  <c r="H623" i="20"/>
  <c r="BG622" i="20"/>
  <c r="AZ622" i="20"/>
  <c r="AX622" i="20"/>
  <c r="BE622" i="20" s="1"/>
  <c r="BF622" i="20" s="1"/>
  <c r="AV622" i="20"/>
  <c r="AN622" i="20"/>
  <c r="AM622" i="20"/>
  <c r="AK622" i="20"/>
  <c r="AJ622" i="20"/>
  <c r="AF622" i="20"/>
  <c r="AE622" i="20"/>
  <c r="AD622" i="20"/>
  <c r="AB622" i="20"/>
  <c r="U622" i="20"/>
  <c r="M622" i="20"/>
  <c r="L622" i="20"/>
  <c r="S622" i="20" s="1"/>
  <c r="K622" i="20"/>
  <c r="AC622" i="20" s="1"/>
  <c r="J622" i="20"/>
  <c r="I622" i="20"/>
  <c r="H622" i="20"/>
  <c r="BM621" i="20"/>
  <c r="BI621" i="20"/>
  <c r="AZ621" i="20"/>
  <c r="AX621" i="20"/>
  <c r="AV621" i="20"/>
  <c r="AL621" i="20"/>
  <c r="AN621" i="20" s="1"/>
  <c r="AI621" i="20"/>
  <c r="AK621" i="20" s="1"/>
  <c r="AF621" i="20"/>
  <c r="AE621" i="20"/>
  <c r="AD621" i="20"/>
  <c r="AB621" i="20"/>
  <c r="U621" i="20"/>
  <c r="M621" i="20"/>
  <c r="L621" i="20"/>
  <c r="S621" i="20" s="1"/>
  <c r="K621" i="20"/>
  <c r="J621" i="20"/>
  <c r="I621" i="20"/>
  <c r="H621" i="20"/>
  <c r="BM620" i="20"/>
  <c r="BI620" i="20"/>
  <c r="AZ620" i="20"/>
  <c r="AX620" i="20"/>
  <c r="AV620" i="20"/>
  <c r="AL620" i="20"/>
  <c r="AN620" i="20" s="1"/>
  <c r="AI620" i="20"/>
  <c r="AK620" i="20" s="1"/>
  <c r="AF620" i="20"/>
  <c r="AE620" i="20"/>
  <c r="AD620" i="20"/>
  <c r="AB620" i="20"/>
  <c r="U620" i="20"/>
  <c r="M620" i="20"/>
  <c r="L620" i="20"/>
  <c r="K620" i="20"/>
  <c r="AC620" i="20" s="1"/>
  <c r="J620" i="20"/>
  <c r="I620" i="20"/>
  <c r="H620" i="20"/>
  <c r="BM619" i="20"/>
  <c r="BI619" i="20"/>
  <c r="AZ619" i="20"/>
  <c r="AX619" i="20"/>
  <c r="AV619" i="20"/>
  <c r="AL619" i="20"/>
  <c r="AN619" i="20" s="1"/>
  <c r="AK619" i="20"/>
  <c r="AI619" i="20"/>
  <c r="AJ619" i="20" s="1"/>
  <c r="AF619" i="20"/>
  <c r="AE619" i="20"/>
  <c r="AD619" i="20"/>
  <c r="AB619" i="20"/>
  <c r="U619" i="20"/>
  <c r="M619" i="20"/>
  <c r="L619" i="20"/>
  <c r="Q619" i="20" s="1"/>
  <c r="V619" i="20" s="1"/>
  <c r="K619" i="20"/>
  <c r="BC619" i="20" s="1"/>
  <c r="J619" i="20"/>
  <c r="I619" i="20"/>
  <c r="H619" i="20"/>
  <c r="BM618" i="20"/>
  <c r="BI618" i="20"/>
  <c r="AZ618" i="20"/>
  <c r="AX618" i="20"/>
  <c r="AV618" i="20"/>
  <c r="AL618" i="20"/>
  <c r="AN618" i="20" s="1"/>
  <c r="AK618" i="20"/>
  <c r="AJ618" i="20"/>
  <c r="AI618" i="20"/>
  <c r="AF618" i="20"/>
  <c r="AE618" i="20"/>
  <c r="AD618" i="20"/>
  <c r="AB618" i="20"/>
  <c r="U618" i="20"/>
  <c r="M618" i="20"/>
  <c r="L618" i="20"/>
  <c r="S618" i="20" s="1"/>
  <c r="K618" i="20"/>
  <c r="J618" i="20"/>
  <c r="I618" i="20"/>
  <c r="H618" i="20"/>
  <c r="BM617" i="20"/>
  <c r="BI617" i="20"/>
  <c r="AZ617" i="20"/>
  <c r="AX617" i="20"/>
  <c r="AV617" i="20"/>
  <c r="AL617" i="20"/>
  <c r="AN617" i="20" s="1"/>
  <c r="AJ617" i="20"/>
  <c r="AI617" i="20"/>
  <c r="AK617" i="20" s="1"/>
  <c r="AF617" i="20"/>
  <c r="AE617" i="20"/>
  <c r="AD617" i="20"/>
  <c r="AB617" i="20"/>
  <c r="U617" i="20"/>
  <c r="M617" i="20"/>
  <c r="L617" i="20"/>
  <c r="S617" i="20" s="1"/>
  <c r="K617" i="20"/>
  <c r="BC617" i="20" s="1"/>
  <c r="J617" i="20"/>
  <c r="I617" i="20"/>
  <c r="H617" i="20"/>
  <c r="BM616" i="20"/>
  <c r="BI616" i="20"/>
  <c r="AZ616" i="20"/>
  <c r="AX616" i="20"/>
  <c r="AV616" i="20"/>
  <c r="AL616" i="20"/>
  <c r="AI616" i="20"/>
  <c r="AF616" i="20"/>
  <c r="AE616" i="20"/>
  <c r="AD616" i="20"/>
  <c r="AB616" i="20"/>
  <c r="U616" i="20"/>
  <c r="M616" i="20"/>
  <c r="L616" i="20"/>
  <c r="S616" i="20" s="1"/>
  <c r="K616" i="20"/>
  <c r="AC616" i="20" s="1"/>
  <c r="J616" i="20"/>
  <c r="I616" i="20"/>
  <c r="H616" i="20"/>
  <c r="BG615" i="20"/>
  <c r="AZ615" i="20"/>
  <c r="AX615" i="20"/>
  <c r="BE615" i="20" s="1"/>
  <c r="BF615" i="20" s="1"/>
  <c r="AV615" i="20"/>
  <c r="AF615" i="20"/>
  <c r="AE615" i="20"/>
  <c r="AD615" i="20"/>
  <c r="AB615" i="20"/>
  <c r="U615" i="20"/>
  <c r="M615" i="20"/>
  <c r="L615" i="20"/>
  <c r="K615" i="20"/>
  <c r="AC615" i="20" s="1"/>
  <c r="J615" i="20"/>
  <c r="I615" i="20"/>
  <c r="H615" i="20"/>
  <c r="BG614" i="20"/>
  <c r="AZ614" i="20"/>
  <c r="AX614" i="20"/>
  <c r="BE614" i="20" s="1"/>
  <c r="BF614" i="20" s="1"/>
  <c r="AV614" i="20"/>
  <c r="AF614" i="20"/>
  <c r="AE614" i="20"/>
  <c r="AD614" i="20"/>
  <c r="AB614" i="20"/>
  <c r="U614" i="20"/>
  <c r="M614" i="20"/>
  <c r="L614" i="20"/>
  <c r="S614" i="20" s="1"/>
  <c r="K614" i="20"/>
  <c r="AC614" i="20" s="1"/>
  <c r="J614" i="20"/>
  <c r="I614" i="20"/>
  <c r="H614" i="20"/>
  <c r="BG613" i="20"/>
  <c r="AZ613" i="20"/>
  <c r="AX613" i="20"/>
  <c r="BE613" i="20" s="1"/>
  <c r="BF613" i="20" s="1"/>
  <c r="AV613" i="20"/>
  <c r="AN613" i="20"/>
  <c r="AM613" i="20"/>
  <c r="AK613" i="20"/>
  <c r="AJ613" i="20"/>
  <c r="AF613" i="20"/>
  <c r="AE613" i="20"/>
  <c r="AD613" i="20"/>
  <c r="AB613" i="20"/>
  <c r="U613" i="20"/>
  <c r="M613" i="20"/>
  <c r="L613" i="20"/>
  <c r="S613" i="20" s="1"/>
  <c r="K613" i="20"/>
  <c r="AC613" i="20" s="1"/>
  <c r="J613" i="20"/>
  <c r="I613" i="20"/>
  <c r="H613" i="20"/>
  <c r="BG612" i="20"/>
  <c r="BE612" i="20"/>
  <c r="BF612" i="20" s="1"/>
  <c r="AZ612" i="20"/>
  <c r="AX612" i="20"/>
  <c r="AV612" i="20"/>
  <c r="AN612" i="20"/>
  <c r="AM612" i="20"/>
  <c r="AK612" i="20"/>
  <c r="AJ612" i="20"/>
  <c r="AF612" i="20"/>
  <c r="AE612" i="20"/>
  <c r="AD612" i="20"/>
  <c r="AB612" i="20"/>
  <c r="U612" i="20"/>
  <c r="M612" i="20"/>
  <c r="L612" i="20"/>
  <c r="K612" i="20"/>
  <c r="AC612" i="20" s="1"/>
  <c r="J612" i="20"/>
  <c r="I612" i="20"/>
  <c r="H612" i="20"/>
  <c r="BG611" i="20"/>
  <c r="AZ611" i="20"/>
  <c r="AX611" i="20"/>
  <c r="BE611" i="20" s="1"/>
  <c r="BF611" i="20" s="1"/>
  <c r="AV611" i="20"/>
  <c r="AN611" i="20"/>
  <c r="AM611" i="20"/>
  <c r="AK611" i="20"/>
  <c r="AJ611" i="20"/>
  <c r="AF611" i="20"/>
  <c r="AE611" i="20"/>
  <c r="AD611" i="20"/>
  <c r="AB611" i="20"/>
  <c r="U611" i="20"/>
  <c r="M611" i="20"/>
  <c r="L611" i="20"/>
  <c r="S611" i="20" s="1"/>
  <c r="K611" i="20"/>
  <c r="AC611" i="20" s="1"/>
  <c r="J611" i="20"/>
  <c r="I611" i="20"/>
  <c r="H611" i="20"/>
  <c r="BG610" i="20"/>
  <c r="BF610" i="20"/>
  <c r="BE610" i="20"/>
  <c r="AZ610" i="20"/>
  <c r="AX610" i="20"/>
  <c r="AV610" i="20"/>
  <c r="AN610" i="20"/>
  <c r="AM610" i="20"/>
  <c r="AK610" i="20"/>
  <c r="AJ610" i="20"/>
  <c r="AF610" i="20"/>
  <c r="AE610" i="20"/>
  <c r="AD610" i="20"/>
  <c r="AB610" i="20"/>
  <c r="U610" i="20"/>
  <c r="M610" i="20"/>
  <c r="L610" i="20"/>
  <c r="S610" i="20" s="1"/>
  <c r="K610" i="20"/>
  <c r="AC610" i="20" s="1"/>
  <c r="J610" i="20"/>
  <c r="I610" i="20"/>
  <c r="H610" i="20"/>
  <c r="BG609" i="20"/>
  <c r="AZ609" i="20"/>
  <c r="AX609" i="20"/>
  <c r="BE609" i="20" s="1"/>
  <c r="BF609" i="20" s="1"/>
  <c r="AV609" i="20"/>
  <c r="AN609" i="20"/>
  <c r="AM609" i="20"/>
  <c r="AK609" i="20"/>
  <c r="AJ609" i="20"/>
  <c r="AF609" i="20"/>
  <c r="AE609" i="20"/>
  <c r="AD609" i="20"/>
  <c r="AB609" i="20"/>
  <c r="U609" i="20"/>
  <c r="M609" i="20"/>
  <c r="L609" i="20"/>
  <c r="Q609" i="20" s="1"/>
  <c r="K609" i="20"/>
  <c r="AC609" i="20" s="1"/>
  <c r="J609" i="20"/>
  <c r="I609" i="20"/>
  <c r="H609" i="20"/>
  <c r="BG608" i="20"/>
  <c r="AZ608" i="20"/>
  <c r="AX608" i="20"/>
  <c r="BE608" i="20" s="1"/>
  <c r="BF608" i="20" s="1"/>
  <c r="AV608" i="20"/>
  <c r="AN608" i="20"/>
  <c r="AM608" i="20"/>
  <c r="AK608" i="20"/>
  <c r="AJ608" i="20"/>
  <c r="AF608" i="20"/>
  <c r="AE608" i="20"/>
  <c r="AD608" i="20"/>
  <c r="AB608" i="20"/>
  <c r="U608" i="20"/>
  <c r="M608" i="20"/>
  <c r="L608" i="20"/>
  <c r="K608" i="20"/>
  <c r="AC608" i="20" s="1"/>
  <c r="J608" i="20"/>
  <c r="I608" i="20"/>
  <c r="H608" i="20"/>
  <c r="BG607" i="20"/>
  <c r="AX607" i="20"/>
  <c r="BE607" i="20" s="1"/>
  <c r="BF607" i="20" s="1"/>
  <c r="AV607" i="20"/>
  <c r="AF607" i="20"/>
  <c r="AE607" i="20"/>
  <c r="AD607" i="20"/>
  <c r="AB607" i="20"/>
  <c r="U607" i="20"/>
  <c r="M607" i="20"/>
  <c r="L607" i="20"/>
  <c r="Q607" i="20" s="1"/>
  <c r="K607" i="20"/>
  <c r="AC607" i="20" s="1"/>
  <c r="J607" i="20"/>
  <c r="I607" i="20"/>
  <c r="H607" i="20"/>
  <c r="BG606" i="20"/>
  <c r="AX606" i="20"/>
  <c r="BE606" i="20" s="1"/>
  <c r="BF606" i="20" s="1"/>
  <c r="AV606" i="20"/>
  <c r="AF606" i="20"/>
  <c r="AE606" i="20"/>
  <c r="AD606" i="20"/>
  <c r="AB606" i="20"/>
  <c r="U606" i="20"/>
  <c r="M606" i="20"/>
  <c r="L606" i="20"/>
  <c r="S606" i="20" s="1"/>
  <c r="K606" i="20"/>
  <c r="AC606" i="20" s="1"/>
  <c r="J606" i="20"/>
  <c r="I606" i="20"/>
  <c r="H606" i="20"/>
  <c r="BG605" i="20"/>
  <c r="AX605" i="20"/>
  <c r="BE605" i="20" s="1"/>
  <c r="BF605" i="20" s="1"/>
  <c r="AV605" i="20"/>
  <c r="AF605" i="20"/>
  <c r="AE605" i="20"/>
  <c r="AD605" i="20"/>
  <c r="AB605" i="20"/>
  <c r="U605" i="20"/>
  <c r="M605" i="20"/>
  <c r="L605" i="20"/>
  <c r="K605" i="20"/>
  <c r="AC605" i="20" s="1"/>
  <c r="J605" i="20"/>
  <c r="I605" i="20"/>
  <c r="H605" i="20"/>
  <c r="BG604" i="20"/>
  <c r="AX604" i="20"/>
  <c r="BE604" i="20" s="1"/>
  <c r="BF604" i="20" s="1"/>
  <c r="AV604" i="20"/>
  <c r="AF604" i="20"/>
  <c r="AE604" i="20"/>
  <c r="AD604" i="20"/>
  <c r="AB604" i="20"/>
  <c r="U604" i="20"/>
  <c r="M604" i="20"/>
  <c r="L604" i="20"/>
  <c r="S604" i="20" s="1"/>
  <c r="K604" i="20"/>
  <c r="AC604" i="20" s="1"/>
  <c r="J604" i="20"/>
  <c r="I604" i="20"/>
  <c r="H604" i="20"/>
  <c r="BG603" i="20"/>
  <c r="AX603" i="20"/>
  <c r="BE603" i="20" s="1"/>
  <c r="BF603" i="20" s="1"/>
  <c r="AV603" i="20"/>
  <c r="AF603" i="20"/>
  <c r="AE603" i="20"/>
  <c r="AD603" i="20"/>
  <c r="AB603" i="20"/>
  <c r="U603" i="20"/>
  <c r="M603" i="20"/>
  <c r="L603" i="20"/>
  <c r="S603" i="20" s="1"/>
  <c r="K603" i="20"/>
  <c r="AC603" i="20" s="1"/>
  <c r="J603" i="20"/>
  <c r="I603" i="20"/>
  <c r="H603" i="20"/>
  <c r="BG602" i="20"/>
  <c r="AX602" i="20"/>
  <c r="BE602" i="20" s="1"/>
  <c r="BF602" i="20" s="1"/>
  <c r="AV602" i="20"/>
  <c r="AF602" i="20"/>
  <c r="AE602" i="20"/>
  <c r="AD602" i="20"/>
  <c r="AB602" i="20"/>
  <c r="U602" i="20"/>
  <c r="M602" i="20"/>
  <c r="L602" i="20"/>
  <c r="S602" i="20" s="1"/>
  <c r="K602" i="20"/>
  <c r="AC602" i="20" s="1"/>
  <c r="J602" i="20"/>
  <c r="I602" i="20"/>
  <c r="H602" i="20"/>
  <c r="BG601" i="20"/>
  <c r="AX601" i="20"/>
  <c r="BE601" i="20" s="1"/>
  <c r="BF601" i="20" s="1"/>
  <c r="AV601" i="20"/>
  <c r="AF601" i="20"/>
  <c r="AE601" i="20"/>
  <c r="AD601" i="20"/>
  <c r="AB601" i="20"/>
  <c r="U601" i="20"/>
  <c r="M601" i="20"/>
  <c r="L601" i="20"/>
  <c r="K601" i="20"/>
  <c r="AC601" i="20" s="1"/>
  <c r="J601" i="20"/>
  <c r="I601" i="20"/>
  <c r="H601" i="20"/>
  <c r="BG600" i="20"/>
  <c r="AX600" i="20"/>
  <c r="BE600" i="20" s="1"/>
  <c r="BF600" i="20" s="1"/>
  <c r="AV600" i="20"/>
  <c r="AF600" i="20"/>
  <c r="AE600" i="20"/>
  <c r="AD600" i="20"/>
  <c r="AB600" i="20"/>
  <c r="U600" i="20"/>
  <c r="M600" i="20"/>
  <c r="L600" i="20"/>
  <c r="S600" i="20" s="1"/>
  <c r="K600" i="20"/>
  <c r="J600" i="20"/>
  <c r="I600" i="20"/>
  <c r="H600" i="20"/>
  <c r="BG599" i="20"/>
  <c r="AX599" i="20"/>
  <c r="BE599" i="20" s="1"/>
  <c r="BF599" i="20" s="1"/>
  <c r="AV599" i="20"/>
  <c r="AF599" i="20"/>
  <c r="AE599" i="20"/>
  <c r="AD599" i="20"/>
  <c r="AB599" i="20"/>
  <c r="U599" i="20"/>
  <c r="M599" i="20"/>
  <c r="L599" i="20"/>
  <c r="Q599" i="20" s="1"/>
  <c r="V599" i="20" s="1"/>
  <c r="K599" i="20"/>
  <c r="AC599" i="20" s="1"/>
  <c r="J599" i="20"/>
  <c r="I599" i="20"/>
  <c r="H599" i="20"/>
  <c r="BG598" i="20"/>
  <c r="AX598" i="20"/>
  <c r="BE598" i="20" s="1"/>
  <c r="BF598" i="20" s="1"/>
  <c r="AV598" i="20"/>
  <c r="AF598" i="20"/>
  <c r="AE598" i="20"/>
  <c r="AD598" i="20"/>
  <c r="AB598" i="20"/>
  <c r="U598" i="20"/>
  <c r="M598" i="20"/>
  <c r="L598" i="20"/>
  <c r="S598" i="20" s="1"/>
  <c r="K598" i="20"/>
  <c r="AC598" i="20" s="1"/>
  <c r="J598" i="20"/>
  <c r="I598" i="20"/>
  <c r="H598" i="20"/>
  <c r="BG597" i="20"/>
  <c r="AX597" i="20"/>
  <c r="BE597" i="20" s="1"/>
  <c r="BF597" i="20" s="1"/>
  <c r="AV597" i="20"/>
  <c r="AF597" i="20"/>
  <c r="AE597" i="20"/>
  <c r="AD597" i="20"/>
  <c r="AB597" i="20"/>
  <c r="U597" i="20"/>
  <c r="M597" i="20"/>
  <c r="L597" i="20"/>
  <c r="S597" i="20" s="1"/>
  <c r="K597" i="20"/>
  <c r="AC597" i="20" s="1"/>
  <c r="J597" i="20"/>
  <c r="I597" i="20"/>
  <c r="H597" i="20"/>
  <c r="BG596" i="20"/>
  <c r="AX596" i="20"/>
  <c r="BE596" i="20" s="1"/>
  <c r="BF596" i="20" s="1"/>
  <c r="AV596" i="20"/>
  <c r="AF596" i="20"/>
  <c r="AE596" i="20"/>
  <c r="AD596" i="20"/>
  <c r="AB596" i="20"/>
  <c r="U596" i="20"/>
  <c r="M596" i="20"/>
  <c r="L596" i="20"/>
  <c r="Q596" i="20" s="1"/>
  <c r="K596" i="20"/>
  <c r="AC596" i="20" s="1"/>
  <c r="J596" i="20"/>
  <c r="I596" i="20"/>
  <c r="H596" i="20"/>
  <c r="BG595" i="20"/>
  <c r="AX595" i="20"/>
  <c r="BE595" i="20" s="1"/>
  <c r="BF595" i="20" s="1"/>
  <c r="AV595" i="20"/>
  <c r="AF595" i="20"/>
  <c r="AE595" i="20"/>
  <c r="AD595" i="20"/>
  <c r="AB595" i="20"/>
  <c r="U595" i="20"/>
  <c r="M595" i="20"/>
  <c r="L595" i="20"/>
  <c r="S595" i="20" s="1"/>
  <c r="K595" i="20"/>
  <c r="AC595" i="20" s="1"/>
  <c r="J595" i="20"/>
  <c r="I595" i="20"/>
  <c r="H595" i="20"/>
  <c r="BG594" i="20"/>
  <c r="AX594" i="20"/>
  <c r="BE594" i="20" s="1"/>
  <c r="BF594" i="20" s="1"/>
  <c r="AV594" i="20"/>
  <c r="AF594" i="20"/>
  <c r="AE594" i="20"/>
  <c r="AD594" i="20"/>
  <c r="AB594" i="20"/>
  <c r="U594" i="20"/>
  <c r="M594" i="20"/>
  <c r="L594" i="20"/>
  <c r="S594" i="20" s="1"/>
  <c r="K594" i="20"/>
  <c r="AC594" i="20" s="1"/>
  <c r="J594" i="20"/>
  <c r="I594" i="20"/>
  <c r="H594" i="20"/>
  <c r="BG593" i="20"/>
  <c r="BE593" i="20"/>
  <c r="BF593" i="20" s="1"/>
  <c r="AX593" i="20"/>
  <c r="AV593" i="20"/>
  <c r="AF593" i="20"/>
  <c r="AE593" i="20"/>
  <c r="AD593" i="20"/>
  <c r="AB593" i="20"/>
  <c r="U593" i="20"/>
  <c r="M593" i="20"/>
  <c r="L593" i="20"/>
  <c r="Q593" i="20" s="1"/>
  <c r="K593" i="20"/>
  <c r="AC593" i="20" s="1"/>
  <c r="J593" i="20"/>
  <c r="I593" i="20"/>
  <c r="H593" i="20"/>
  <c r="BG592" i="20"/>
  <c r="AX592" i="20"/>
  <c r="BE592" i="20" s="1"/>
  <c r="BF592" i="20" s="1"/>
  <c r="AV592" i="20"/>
  <c r="AF592" i="20"/>
  <c r="AE592" i="20"/>
  <c r="AD592" i="20"/>
  <c r="AB592" i="20"/>
  <c r="U592" i="20"/>
  <c r="M592" i="20"/>
  <c r="L592" i="20"/>
  <c r="K592" i="20"/>
  <c r="AC592" i="20" s="1"/>
  <c r="J592" i="20"/>
  <c r="I592" i="20"/>
  <c r="H592" i="20"/>
  <c r="BG591" i="20"/>
  <c r="AX591" i="20"/>
  <c r="BE591" i="20" s="1"/>
  <c r="BF591" i="20" s="1"/>
  <c r="AV591" i="20"/>
  <c r="AF591" i="20"/>
  <c r="AE591" i="20"/>
  <c r="AD591" i="20"/>
  <c r="AB591" i="20"/>
  <c r="U591" i="20"/>
  <c r="M591" i="20"/>
  <c r="L591" i="20"/>
  <c r="Q591" i="20" s="1"/>
  <c r="V591" i="20" s="1"/>
  <c r="K591" i="20"/>
  <c r="AC591" i="20" s="1"/>
  <c r="J591" i="20"/>
  <c r="I591" i="20"/>
  <c r="H591" i="20"/>
  <c r="BG590" i="20"/>
  <c r="AX590" i="20"/>
  <c r="BE590" i="20" s="1"/>
  <c r="BF590" i="20" s="1"/>
  <c r="AV590" i="20"/>
  <c r="AF590" i="20"/>
  <c r="AE590" i="20"/>
  <c r="AD590" i="20"/>
  <c r="AB590" i="20"/>
  <c r="U590" i="20"/>
  <c r="M590" i="20"/>
  <c r="L590" i="20"/>
  <c r="S590" i="20" s="1"/>
  <c r="K590" i="20"/>
  <c r="AC590" i="20" s="1"/>
  <c r="J590" i="20"/>
  <c r="I590" i="20"/>
  <c r="H590" i="20"/>
  <c r="BG589" i="20"/>
  <c r="AX589" i="20"/>
  <c r="BE589" i="20" s="1"/>
  <c r="BF589" i="20" s="1"/>
  <c r="AV589" i="20"/>
  <c r="AF589" i="20"/>
  <c r="AE589" i="20"/>
  <c r="AD589" i="20"/>
  <c r="AB589" i="20"/>
  <c r="U589" i="20"/>
  <c r="M589" i="20"/>
  <c r="L589" i="20"/>
  <c r="S589" i="20" s="1"/>
  <c r="K589" i="20"/>
  <c r="AC589" i="20" s="1"/>
  <c r="J589" i="20"/>
  <c r="I589" i="20"/>
  <c r="H589" i="20"/>
  <c r="BG588" i="20"/>
  <c r="AZ588" i="20"/>
  <c r="AX588" i="20"/>
  <c r="BE588" i="20" s="1"/>
  <c r="BF588" i="20" s="1"/>
  <c r="AV588" i="20"/>
  <c r="AF588" i="20"/>
  <c r="AE588" i="20"/>
  <c r="AD588" i="20"/>
  <c r="AB588" i="20"/>
  <c r="U588" i="20"/>
  <c r="M588" i="20"/>
  <c r="L588" i="20"/>
  <c r="S588" i="20" s="1"/>
  <c r="K588" i="20"/>
  <c r="AC588" i="20" s="1"/>
  <c r="J588" i="20"/>
  <c r="I588" i="20"/>
  <c r="H588" i="20"/>
  <c r="BG587" i="20"/>
  <c r="AZ587" i="20"/>
  <c r="AX587" i="20"/>
  <c r="BE587" i="20" s="1"/>
  <c r="BF587" i="20" s="1"/>
  <c r="AV587" i="20"/>
  <c r="AF587" i="20"/>
  <c r="AE587" i="20"/>
  <c r="AD587" i="20"/>
  <c r="AB587" i="20"/>
  <c r="U587" i="20"/>
  <c r="M587" i="20"/>
  <c r="L587" i="20"/>
  <c r="K587" i="20"/>
  <c r="AC587" i="20" s="1"/>
  <c r="J587" i="20"/>
  <c r="I587" i="20"/>
  <c r="H587" i="20"/>
  <c r="AZ586" i="20"/>
  <c r="AX586" i="20"/>
  <c r="BD586" i="20" s="1"/>
  <c r="BG586" i="20" s="1"/>
  <c r="AV586" i="20"/>
  <c r="AL586" i="20"/>
  <c r="AN586" i="20" s="1"/>
  <c r="AK586" i="20"/>
  <c r="AI586" i="20"/>
  <c r="AF586" i="20"/>
  <c r="AE586" i="20"/>
  <c r="AD586" i="20"/>
  <c r="AB586" i="20"/>
  <c r="U586" i="20"/>
  <c r="M586" i="20"/>
  <c r="L586" i="20"/>
  <c r="Q586" i="20" s="1"/>
  <c r="K586" i="20"/>
  <c r="AC586" i="20" s="1"/>
  <c r="J586" i="20"/>
  <c r="I586" i="20"/>
  <c r="H586" i="20"/>
  <c r="BG585" i="20"/>
  <c r="AZ585" i="20"/>
  <c r="AX585" i="20"/>
  <c r="BE585" i="20" s="1"/>
  <c r="BF585" i="20" s="1"/>
  <c r="AV585" i="20"/>
  <c r="AF585" i="20"/>
  <c r="AE585" i="20"/>
  <c r="AD585" i="20"/>
  <c r="AB585" i="20"/>
  <c r="U585" i="20"/>
  <c r="M585" i="20"/>
  <c r="L585" i="20"/>
  <c r="Q585" i="20" s="1"/>
  <c r="K585" i="20"/>
  <c r="AC585" i="20" s="1"/>
  <c r="J585" i="20"/>
  <c r="I585" i="20"/>
  <c r="H585" i="20"/>
  <c r="BG584" i="20"/>
  <c r="AZ584" i="20"/>
  <c r="AX584" i="20"/>
  <c r="BE584" i="20" s="1"/>
  <c r="BF584" i="20" s="1"/>
  <c r="AV584" i="20"/>
  <c r="AF584" i="20"/>
  <c r="AE584" i="20"/>
  <c r="AD584" i="20"/>
  <c r="AB584" i="20"/>
  <c r="U584" i="20"/>
  <c r="M584" i="20"/>
  <c r="L584" i="20"/>
  <c r="S584" i="20" s="1"/>
  <c r="K584" i="20"/>
  <c r="AC584" i="20" s="1"/>
  <c r="J584" i="20"/>
  <c r="I584" i="20"/>
  <c r="H584" i="20"/>
  <c r="BG583" i="20"/>
  <c r="BE583" i="20"/>
  <c r="BF583" i="20" s="1"/>
  <c r="AV583" i="20"/>
  <c r="AF583" i="20"/>
  <c r="AE583" i="20"/>
  <c r="AD583" i="20"/>
  <c r="AB583" i="20"/>
  <c r="U583" i="20"/>
  <c r="M583" i="20"/>
  <c r="L583" i="20"/>
  <c r="S583" i="20" s="1"/>
  <c r="K583" i="20"/>
  <c r="AC583" i="20" s="1"/>
  <c r="J583" i="20"/>
  <c r="I583" i="20"/>
  <c r="H583" i="20"/>
  <c r="BG582" i="20"/>
  <c r="BE582" i="20"/>
  <c r="BF582" i="20" s="1"/>
  <c r="AV582" i="20"/>
  <c r="AF582" i="20"/>
  <c r="AE582" i="20"/>
  <c r="AD582" i="20"/>
  <c r="AB582" i="20"/>
  <c r="U582" i="20"/>
  <c r="M582" i="20"/>
  <c r="L582" i="20"/>
  <c r="K582" i="20"/>
  <c r="AC582" i="20" s="1"/>
  <c r="J582" i="20"/>
  <c r="I582" i="20"/>
  <c r="H582" i="20"/>
  <c r="BG581" i="20"/>
  <c r="BE581" i="20"/>
  <c r="BF581" i="20" s="1"/>
  <c r="AV581" i="20"/>
  <c r="AF581" i="20"/>
  <c r="AE581" i="20"/>
  <c r="AD581" i="20"/>
  <c r="AB581" i="20"/>
  <c r="U581" i="20"/>
  <c r="M581" i="20"/>
  <c r="L581" i="20"/>
  <c r="S581" i="20" s="1"/>
  <c r="K581" i="20"/>
  <c r="AC581" i="20" s="1"/>
  <c r="J581" i="20"/>
  <c r="I581" i="20"/>
  <c r="H581" i="20"/>
  <c r="BG580" i="20"/>
  <c r="BE580" i="20"/>
  <c r="BF580" i="20" s="1"/>
  <c r="AV580" i="20"/>
  <c r="AF580" i="20"/>
  <c r="AE580" i="20"/>
  <c r="AD580" i="20"/>
  <c r="AB580" i="20"/>
  <c r="U580" i="20"/>
  <c r="M580" i="20"/>
  <c r="L580" i="20"/>
  <c r="S580" i="20" s="1"/>
  <c r="K580" i="20"/>
  <c r="AC580" i="20" s="1"/>
  <c r="J580" i="20"/>
  <c r="I580" i="20"/>
  <c r="H580" i="20"/>
  <c r="BG579" i="20"/>
  <c r="BE579" i="20"/>
  <c r="BF579" i="20" s="1"/>
  <c r="AV579" i="20"/>
  <c r="AF579" i="20"/>
  <c r="AE579" i="20"/>
  <c r="AD579" i="20"/>
  <c r="AB579" i="20"/>
  <c r="U579" i="20"/>
  <c r="M579" i="20"/>
  <c r="L579" i="20"/>
  <c r="Q579" i="20" s="1"/>
  <c r="K579" i="20"/>
  <c r="AC579" i="20" s="1"/>
  <c r="J579" i="20"/>
  <c r="I579" i="20"/>
  <c r="H579" i="20"/>
  <c r="BG578" i="20"/>
  <c r="BE578" i="20"/>
  <c r="BF578" i="20" s="1"/>
  <c r="AV578" i="20"/>
  <c r="AF578" i="20"/>
  <c r="AE578" i="20"/>
  <c r="AD578" i="20"/>
  <c r="AB578" i="20"/>
  <c r="U578" i="20"/>
  <c r="M578" i="20"/>
  <c r="L578" i="20"/>
  <c r="S578" i="20" s="1"/>
  <c r="K578" i="20"/>
  <c r="AC578" i="20" s="1"/>
  <c r="J578" i="20"/>
  <c r="I578" i="20"/>
  <c r="H578" i="20"/>
  <c r="BG577" i="20"/>
  <c r="BF577" i="20"/>
  <c r="BE577" i="20"/>
  <c r="AV577" i="20"/>
  <c r="AF577" i="20"/>
  <c r="AE577" i="20"/>
  <c r="AD577" i="20"/>
  <c r="AB577" i="20"/>
  <c r="U577" i="20"/>
  <c r="M577" i="20"/>
  <c r="L577" i="20"/>
  <c r="S577" i="20" s="1"/>
  <c r="K577" i="20"/>
  <c r="AC577" i="20" s="1"/>
  <c r="J577" i="20"/>
  <c r="I577" i="20"/>
  <c r="H577" i="20"/>
  <c r="BG576" i="20"/>
  <c r="BF576" i="20"/>
  <c r="BE576" i="20"/>
  <c r="AV576" i="20"/>
  <c r="AF576" i="20"/>
  <c r="AE576" i="20"/>
  <c r="AD576" i="20"/>
  <c r="AB576" i="20"/>
  <c r="U576" i="20"/>
  <c r="M576" i="20"/>
  <c r="L576" i="20"/>
  <c r="Q576" i="20" s="1"/>
  <c r="K576" i="20"/>
  <c r="AC576" i="20" s="1"/>
  <c r="J576" i="20"/>
  <c r="I576" i="20"/>
  <c r="H576" i="20"/>
  <c r="BG575" i="20"/>
  <c r="BE575" i="20"/>
  <c r="BF575" i="20" s="1"/>
  <c r="AV575" i="20"/>
  <c r="AF575" i="20"/>
  <c r="AE575" i="20"/>
  <c r="AD575" i="20"/>
  <c r="AB575" i="20"/>
  <c r="U575" i="20"/>
  <c r="M575" i="20"/>
  <c r="L575" i="20"/>
  <c r="Q575" i="20" s="1"/>
  <c r="K575" i="20"/>
  <c r="J575" i="20"/>
  <c r="I575" i="20"/>
  <c r="H575" i="20"/>
  <c r="BG574" i="20"/>
  <c r="BE574" i="20"/>
  <c r="BF574" i="20" s="1"/>
  <c r="AV574" i="20"/>
  <c r="AF574" i="20"/>
  <c r="AE574" i="20"/>
  <c r="AD574" i="20"/>
  <c r="AB574" i="20"/>
  <c r="U574" i="20"/>
  <c r="M574" i="20"/>
  <c r="L574" i="20"/>
  <c r="S574" i="20" s="1"/>
  <c r="K574" i="20"/>
  <c r="J574" i="20"/>
  <c r="I574" i="20"/>
  <c r="H574" i="20"/>
  <c r="BG573" i="20"/>
  <c r="AZ573" i="20"/>
  <c r="AX573" i="20"/>
  <c r="BE573" i="20" s="1"/>
  <c r="BF573" i="20" s="1"/>
  <c r="AV573" i="20"/>
  <c r="AF573" i="20"/>
  <c r="AE573" i="20"/>
  <c r="AD573" i="20"/>
  <c r="AB573" i="20"/>
  <c r="U573" i="20"/>
  <c r="M573" i="20"/>
  <c r="L573" i="20"/>
  <c r="S573" i="20" s="1"/>
  <c r="K573" i="20"/>
  <c r="AC573" i="20" s="1"/>
  <c r="J573" i="20"/>
  <c r="I573" i="20"/>
  <c r="H573" i="20"/>
  <c r="BG572" i="20"/>
  <c r="AZ572" i="20"/>
  <c r="AX572" i="20"/>
  <c r="BE572" i="20" s="1"/>
  <c r="BF572" i="20" s="1"/>
  <c r="AV572" i="20"/>
  <c r="AF572" i="20"/>
  <c r="AE572" i="20"/>
  <c r="AD572" i="20"/>
  <c r="AB572" i="20"/>
  <c r="U572" i="20"/>
  <c r="M572" i="20"/>
  <c r="L572" i="20"/>
  <c r="S572" i="20" s="1"/>
  <c r="K572" i="20"/>
  <c r="J572" i="20"/>
  <c r="I572" i="20"/>
  <c r="H572" i="20"/>
  <c r="BG571" i="20"/>
  <c r="AZ571" i="20"/>
  <c r="AX571" i="20"/>
  <c r="BE571" i="20" s="1"/>
  <c r="BF571" i="20" s="1"/>
  <c r="AV571" i="20"/>
  <c r="AF571" i="20"/>
  <c r="AE571" i="20"/>
  <c r="AD571" i="20"/>
  <c r="AB571" i="20"/>
  <c r="U571" i="20"/>
  <c r="M571" i="20"/>
  <c r="L571" i="20"/>
  <c r="S571" i="20" s="1"/>
  <c r="K571" i="20"/>
  <c r="AC571" i="20" s="1"/>
  <c r="J571" i="20"/>
  <c r="I571" i="20"/>
  <c r="H571" i="20"/>
  <c r="AZ570" i="20"/>
  <c r="AX570" i="20"/>
  <c r="BD570" i="20" s="1"/>
  <c r="AV570" i="20"/>
  <c r="AL570" i="20"/>
  <c r="AN570" i="20" s="1"/>
  <c r="AI570" i="20"/>
  <c r="AK570" i="20" s="1"/>
  <c r="AF570" i="20"/>
  <c r="AE570" i="20"/>
  <c r="AD570" i="20"/>
  <c r="AB570" i="20"/>
  <c r="U570" i="20"/>
  <c r="M570" i="20"/>
  <c r="L570" i="20"/>
  <c r="S570" i="20" s="1"/>
  <c r="K570" i="20"/>
  <c r="AC570" i="20" s="1"/>
  <c r="J570" i="20"/>
  <c r="I570" i="20"/>
  <c r="H570" i="20"/>
  <c r="AZ569" i="20"/>
  <c r="AX569" i="20"/>
  <c r="BD569" i="20" s="1"/>
  <c r="AV569" i="20"/>
  <c r="AL569" i="20"/>
  <c r="AN569" i="20" s="1"/>
  <c r="AI569" i="20"/>
  <c r="AK569" i="20" s="1"/>
  <c r="AF569" i="20"/>
  <c r="AE569" i="20"/>
  <c r="AD569" i="20"/>
  <c r="AB569" i="20"/>
  <c r="U569" i="20"/>
  <c r="M569" i="20"/>
  <c r="L569" i="20"/>
  <c r="S569" i="20" s="1"/>
  <c r="K569" i="20"/>
  <c r="AC569" i="20" s="1"/>
  <c r="J569" i="20"/>
  <c r="I569" i="20"/>
  <c r="H569" i="20"/>
  <c r="BG568" i="20"/>
  <c r="AZ568" i="20"/>
  <c r="AX568" i="20"/>
  <c r="BE568" i="20" s="1"/>
  <c r="BF568" i="20" s="1"/>
  <c r="AV568" i="20"/>
  <c r="AN568" i="20"/>
  <c r="AM568" i="20"/>
  <c r="AK568" i="20"/>
  <c r="AJ568" i="20"/>
  <c r="AF568" i="20"/>
  <c r="AE568" i="20"/>
  <c r="AD568" i="20"/>
  <c r="AB568" i="20"/>
  <c r="U568" i="20"/>
  <c r="M568" i="20"/>
  <c r="L568" i="20"/>
  <c r="K568" i="20"/>
  <c r="AC568" i="20" s="1"/>
  <c r="J568" i="20"/>
  <c r="I568" i="20"/>
  <c r="H568" i="20"/>
  <c r="BG567" i="20"/>
  <c r="AZ567" i="20"/>
  <c r="AX567" i="20"/>
  <c r="BE567" i="20" s="1"/>
  <c r="BF567" i="20" s="1"/>
  <c r="AV567" i="20"/>
  <c r="AN567" i="20"/>
  <c r="AM567" i="20"/>
  <c r="AK567" i="20"/>
  <c r="AJ567" i="20"/>
  <c r="AF567" i="20"/>
  <c r="AE567" i="20"/>
  <c r="AD567" i="20"/>
  <c r="AB567" i="20"/>
  <c r="U567" i="20"/>
  <c r="M567" i="20"/>
  <c r="L567" i="20"/>
  <c r="K567" i="20"/>
  <c r="AC567" i="20" s="1"/>
  <c r="J567" i="20"/>
  <c r="I567" i="20"/>
  <c r="H567" i="20"/>
  <c r="BG566" i="20"/>
  <c r="AZ566" i="20"/>
  <c r="AX566" i="20"/>
  <c r="BE566" i="20" s="1"/>
  <c r="BF566" i="20" s="1"/>
  <c r="AV566" i="20"/>
  <c r="AN566" i="20"/>
  <c r="AM566" i="20"/>
  <c r="AK566" i="20"/>
  <c r="AJ566" i="20"/>
  <c r="AF566" i="20"/>
  <c r="AE566" i="20"/>
  <c r="AD566" i="20"/>
  <c r="AB566" i="20"/>
  <c r="U566" i="20"/>
  <c r="M566" i="20"/>
  <c r="L566" i="20"/>
  <c r="S566" i="20" s="1"/>
  <c r="K566" i="20"/>
  <c r="AC566" i="20" s="1"/>
  <c r="J566" i="20"/>
  <c r="I566" i="20"/>
  <c r="H566" i="20"/>
  <c r="BG565" i="20"/>
  <c r="AZ565" i="20"/>
  <c r="AX565" i="20"/>
  <c r="BE565" i="20" s="1"/>
  <c r="BF565" i="20" s="1"/>
  <c r="AV565" i="20"/>
  <c r="AN565" i="20"/>
  <c r="AM565" i="20"/>
  <c r="AK565" i="20"/>
  <c r="AJ565" i="20"/>
  <c r="AF565" i="20"/>
  <c r="AE565" i="20"/>
  <c r="AD565" i="20"/>
  <c r="AB565" i="20"/>
  <c r="U565" i="20"/>
  <c r="M565" i="20"/>
  <c r="L565" i="20"/>
  <c r="S565" i="20" s="1"/>
  <c r="K565" i="20"/>
  <c r="AC565" i="20" s="1"/>
  <c r="J565" i="20"/>
  <c r="I565" i="20"/>
  <c r="H565" i="20"/>
  <c r="BG564" i="20"/>
  <c r="AZ564" i="20"/>
  <c r="AX564" i="20"/>
  <c r="BE564" i="20" s="1"/>
  <c r="BF564" i="20" s="1"/>
  <c r="AV564" i="20"/>
  <c r="AN564" i="20"/>
  <c r="AM564" i="20"/>
  <c r="AK564" i="20"/>
  <c r="AJ564" i="20"/>
  <c r="AF564" i="20"/>
  <c r="AE564" i="20"/>
  <c r="AD564" i="20"/>
  <c r="AB564" i="20"/>
  <c r="U564" i="20"/>
  <c r="M564" i="20"/>
  <c r="L564" i="20"/>
  <c r="K564" i="20"/>
  <c r="AC564" i="20" s="1"/>
  <c r="J564" i="20"/>
  <c r="I564" i="20"/>
  <c r="H564" i="20"/>
  <c r="BG563" i="20"/>
  <c r="AZ563" i="20"/>
  <c r="AX563" i="20"/>
  <c r="BE563" i="20" s="1"/>
  <c r="BF563" i="20" s="1"/>
  <c r="AV563" i="20"/>
  <c r="AN563" i="20"/>
  <c r="AM563" i="20"/>
  <c r="AK563" i="20"/>
  <c r="AJ563" i="20"/>
  <c r="AF563" i="20"/>
  <c r="AE563" i="20"/>
  <c r="AD563" i="20"/>
  <c r="AB563" i="20"/>
  <c r="U563" i="20"/>
  <c r="M563" i="20"/>
  <c r="L563" i="20"/>
  <c r="K563" i="20"/>
  <c r="AC563" i="20" s="1"/>
  <c r="J563" i="20"/>
  <c r="I563" i="20"/>
  <c r="H563" i="20"/>
  <c r="BG562" i="20"/>
  <c r="AZ562" i="20"/>
  <c r="AX562" i="20"/>
  <c r="BE562" i="20" s="1"/>
  <c r="BF562" i="20" s="1"/>
  <c r="AV562" i="20"/>
  <c r="AN562" i="20"/>
  <c r="AM562" i="20"/>
  <c r="AK562" i="20"/>
  <c r="AJ562" i="20"/>
  <c r="AF562" i="20"/>
  <c r="AE562" i="20"/>
  <c r="AD562" i="20"/>
  <c r="AB562" i="20"/>
  <c r="U562" i="20"/>
  <c r="M562" i="20"/>
  <c r="L562" i="20"/>
  <c r="Q562" i="20" s="1"/>
  <c r="K562" i="20"/>
  <c r="AC562" i="20" s="1"/>
  <c r="J562" i="20"/>
  <c r="I562" i="20"/>
  <c r="H562" i="20"/>
  <c r="BG561" i="20"/>
  <c r="AZ561" i="20"/>
  <c r="AX561" i="20"/>
  <c r="BE561" i="20" s="1"/>
  <c r="BF561" i="20" s="1"/>
  <c r="AV561" i="20"/>
  <c r="AF561" i="20"/>
  <c r="AE561" i="20"/>
  <c r="AD561" i="20"/>
  <c r="AB561" i="20"/>
  <c r="U561" i="20"/>
  <c r="M561" i="20"/>
  <c r="L561" i="20"/>
  <c r="K561" i="20"/>
  <c r="AC561" i="20" s="1"/>
  <c r="J561" i="20"/>
  <c r="I561" i="20"/>
  <c r="H561" i="20"/>
  <c r="BG560" i="20"/>
  <c r="AZ560" i="20"/>
  <c r="AX560" i="20"/>
  <c r="BE560" i="20" s="1"/>
  <c r="BF560" i="20" s="1"/>
  <c r="AV560" i="20"/>
  <c r="AF560" i="20"/>
  <c r="AE560" i="20"/>
  <c r="AD560" i="20"/>
  <c r="AB560" i="20"/>
  <c r="U560" i="20"/>
  <c r="M560" i="20"/>
  <c r="L560" i="20"/>
  <c r="S560" i="20" s="1"/>
  <c r="K560" i="20"/>
  <c r="AC560" i="20" s="1"/>
  <c r="J560" i="20"/>
  <c r="I560" i="20"/>
  <c r="H560" i="20"/>
  <c r="BG559" i="20"/>
  <c r="BE559" i="20"/>
  <c r="BF559" i="20" s="1"/>
  <c r="AV559" i="20"/>
  <c r="AF559" i="20"/>
  <c r="AE559" i="20"/>
  <c r="AD559" i="20"/>
  <c r="AB559" i="20"/>
  <c r="U559" i="20"/>
  <c r="M559" i="20"/>
  <c r="L559" i="20"/>
  <c r="Q559" i="20" s="1"/>
  <c r="K559" i="20"/>
  <c r="AC559" i="20" s="1"/>
  <c r="J559" i="20"/>
  <c r="I559" i="20"/>
  <c r="H559" i="20"/>
  <c r="BG558" i="20"/>
  <c r="BE558" i="20"/>
  <c r="BF558" i="20" s="1"/>
  <c r="AV558" i="20"/>
  <c r="AF558" i="20"/>
  <c r="AE558" i="20"/>
  <c r="AD558" i="20"/>
  <c r="AB558" i="20"/>
  <c r="U558" i="20"/>
  <c r="M558" i="20"/>
  <c r="L558" i="20"/>
  <c r="S558" i="20" s="1"/>
  <c r="K558" i="20"/>
  <c r="AC558" i="20" s="1"/>
  <c r="J558" i="20"/>
  <c r="I558" i="20"/>
  <c r="H558" i="20"/>
  <c r="BG557" i="20"/>
  <c r="BE557" i="20"/>
  <c r="BF557" i="20" s="1"/>
  <c r="AV557" i="20"/>
  <c r="AF557" i="20"/>
  <c r="AE557" i="20"/>
  <c r="AD557" i="20"/>
  <c r="AB557" i="20"/>
  <c r="U557" i="20"/>
  <c r="M557" i="20"/>
  <c r="L557" i="20"/>
  <c r="S557" i="20" s="1"/>
  <c r="K557" i="20"/>
  <c r="AC557" i="20" s="1"/>
  <c r="J557" i="20"/>
  <c r="I557" i="20"/>
  <c r="H557" i="20"/>
  <c r="BG556" i="20"/>
  <c r="BF556" i="20"/>
  <c r="BE556" i="20"/>
  <c r="AV556" i="20"/>
  <c r="AF556" i="20"/>
  <c r="AE556" i="20"/>
  <c r="AD556" i="20"/>
  <c r="AB556" i="20"/>
  <c r="U556" i="20"/>
  <c r="M556" i="20"/>
  <c r="L556" i="20"/>
  <c r="K556" i="20"/>
  <c r="AC556" i="20" s="1"/>
  <c r="J556" i="20"/>
  <c r="I556" i="20"/>
  <c r="H556" i="20"/>
  <c r="BG555" i="20"/>
  <c r="BF555" i="20"/>
  <c r="BE555" i="20"/>
  <c r="AV555" i="20"/>
  <c r="AF555" i="20"/>
  <c r="AE555" i="20"/>
  <c r="AD555" i="20"/>
  <c r="AB555" i="20"/>
  <c r="U555" i="20"/>
  <c r="M555" i="20"/>
  <c r="L555" i="20"/>
  <c r="Q555" i="20" s="1"/>
  <c r="K555" i="20"/>
  <c r="AC555" i="20" s="1"/>
  <c r="J555" i="20"/>
  <c r="I555" i="20"/>
  <c r="H555" i="20"/>
  <c r="BG554" i="20"/>
  <c r="BE554" i="20"/>
  <c r="BF554" i="20" s="1"/>
  <c r="AV554" i="20"/>
  <c r="AF554" i="20"/>
  <c r="AE554" i="20"/>
  <c r="AD554" i="20"/>
  <c r="AB554" i="20"/>
  <c r="U554" i="20"/>
  <c r="M554" i="20"/>
  <c r="L554" i="20"/>
  <c r="S554" i="20" s="1"/>
  <c r="K554" i="20"/>
  <c r="AC554" i="20" s="1"/>
  <c r="J554" i="20"/>
  <c r="I554" i="20"/>
  <c r="H554" i="20"/>
  <c r="BG553" i="20"/>
  <c r="BE553" i="20"/>
  <c r="BF553" i="20" s="1"/>
  <c r="AV553" i="20"/>
  <c r="AF553" i="20"/>
  <c r="AE553" i="20"/>
  <c r="AD553" i="20"/>
  <c r="AB553" i="20"/>
  <c r="U553" i="20"/>
  <c r="M553" i="20"/>
  <c r="L553" i="20"/>
  <c r="S553" i="20" s="1"/>
  <c r="K553" i="20"/>
  <c r="AC553" i="20" s="1"/>
  <c r="J553" i="20"/>
  <c r="I553" i="20"/>
  <c r="H553" i="20"/>
  <c r="BG552" i="20"/>
  <c r="BE552" i="20"/>
  <c r="BF552" i="20" s="1"/>
  <c r="AV552" i="20"/>
  <c r="AF552" i="20"/>
  <c r="AE552" i="20"/>
  <c r="AD552" i="20"/>
  <c r="AB552" i="20"/>
  <c r="U552" i="20"/>
  <c r="M552" i="20"/>
  <c r="L552" i="20"/>
  <c r="S552" i="20" s="1"/>
  <c r="K552" i="20"/>
  <c r="AC552" i="20" s="1"/>
  <c r="J552" i="20"/>
  <c r="I552" i="20"/>
  <c r="H552" i="20"/>
  <c r="BG551" i="20"/>
  <c r="BE551" i="20"/>
  <c r="BF551" i="20" s="1"/>
  <c r="AV551" i="20"/>
  <c r="AF551" i="20"/>
  <c r="AE551" i="20"/>
  <c r="AD551" i="20"/>
  <c r="AB551" i="20"/>
  <c r="U551" i="20"/>
  <c r="M551" i="20"/>
  <c r="L551" i="20"/>
  <c r="Q551" i="20" s="1"/>
  <c r="K551" i="20"/>
  <c r="J551" i="20"/>
  <c r="I551" i="20"/>
  <c r="H551" i="20"/>
  <c r="BG550" i="20"/>
  <c r="BE550" i="20"/>
  <c r="BF550" i="20" s="1"/>
  <c r="AV550" i="20"/>
  <c r="AF550" i="20"/>
  <c r="AE550" i="20"/>
  <c r="AD550" i="20"/>
  <c r="AB550" i="20"/>
  <c r="U550" i="20"/>
  <c r="M550" i="20"/>
  <c r="L550" i="20"/>
  <c r="S550" i="20" s="1"/>
  <c r="K550" i="20"/>
  <c r="J550" i="20"/>
  <c r="I550" i="20"/>
  <c r="H550" i="20"/>
  <c r="BM549" i="20"/>
  <c r="BN549" i="20" s="1"/>
  <c r="BO549" i="20" s="1"/>
  <c r="BD549" i="20" s="1"/>
  <c r="BL549" i="20"/>
  <c r="AZ549" i="20"/>
  <c r="AV549" i="20"/>
  <c r="AF549" i="20"/>
  <c r="AE549" i="20"/>
  <c r="AD549" i="20"/>
  <c r="AB549" i="20"/>
  <c r="U549" i="20"/>
  <c r="M549" i="20"/>
  <c r="L549" i="20"/>
  <c r="K549" i="20"/>
  <c r="AC549" i="20" s="1"/>
  <c r="J549" i="20"/>
  <c r="I549" i="20"/>
  <c r="H549" i="20"/>
  <c r="AZ548" i="20"/>
  <c r="AX548" i="20"/>
  <c r="BD548" i="20" s="1"/>
  <c r="AV548" i="20"/>
  <c r="AN548" i="20"/>
  <c r="AM548" i="20"/>
  <c r="AL548" i="20"/>
  <c r="AI548" i="20"/>
  <c r="AJ548" i="20" s="1"/>
  <c r="AF548" i="20"/>
  <c r="AE548" i="20"/>
  <c r="AD548" i="20"/>
  <c r="AB548" i="20"/>
  <c r="U548" i="20"/>
  <c r="M548" i="20"/>
  <c r="L548" i="20"/>
  <c r="K548" i="20"/>
  <c r="BB548" i="20" s="1"/>
  <c r="J548" i="20"/>
  <c r="I548" i="20"/>
  <c r="H548" i="20"/>
  <c r="BG547" i="20"/>
  <c r="AZ547" i="20"/>
  <c r="AX547" i="20"/>
  <c r="BE547" i="20" s="1"/>
  <c r="BF547" i="20" s="1"/>
  <c r="AV547" i="20"/>
  <c r="AF547" i="20"/>
  <c r="AE547" i="20"/>
  <c r="AD547" i="20"/>
  <c r="AB547" i="20"/>
  <c r="U547" i="20"/>
  <c r="M547" i="20"/>
  <c r="L547" i="20"/>
  <c r="K547" i="20"/>
  <c r="AC547" i="20" s="1"/>
  <c r="J547" i="20"/>
  <c r="I547" i="20"/>
  <c r="H547" i="20"/>
  <c r="BG546" i="20"/>
  <c r="AZ546" i="20"/>
  <c r="AX546" i="20"/>
  <c r="BE546" i="20" s="1"/>
  <c r="BF546" i="20" s="1"/>
  <c r="AV546" i="20"/>
  <c r="AF546" i="20"/>
  <c r="AE546" i="20"/>
  <c r="AD546" i="20"/>
  <c r="AB546" i="20"/>
  <c r="U546" i="20"/>
  <c r="M546" i="20"/>
  <c r="L546" i="20"/>
  <c r="K546" i="20"/>
  <c r="AC546" i="20" s="1"/>
  <c r="J546" i="20"/>
  <c r="I546" i="20"/>
  <c r="H546" i="20"/>
  <c r="BG545" i="20"/>
  <c r="AZ545" i="20"/>
  <c r="AX545" i="20"/>
  <c r="BE545" i="20" s="1"/>
  <c r="BF545" i="20" s="1"/>
  <c r="AV545" i="20"/>
  <c r="AM545" i="20"/>
  <c r="AL545" i="20"/>
  <c r="AN545" i="20" s="1"/>
  <c r="AI545" i="20"/>
  <c r="AJ545" i="20" s="1"/>
  <c r="AF545" i="20"/>
  <c r="AE545" i="20"/>
  <c r="AD545" i="20"/>
  <c r="AB545" i="20"/>
  <c r="U545" i="20"/>
  <c r="M545" i="20"/>
  <c r="L545" i="20"/>
  <c r="Q545" i="20" s="1"/>
  <c r="K545" i="20"/>
  <c r="BC545" i="20" s="1"/>
  <c r="J545" i="20"/>
  <c r="I545" i="20"/>
  <c r="H545" i="20"/>
  <c r="BG544" i="20"/>
  <c r="AZ544" i="20"/>
  <c r="AX544" i="20"/>
  <c r="BE544" i="20" s="1"/>
  <c r="BF544" i="20" s="1"/>
  <c r="AV544" i="20"/>
  <c r="AN544" i="20"/>
  <c r="AL544" i="20"/>
  <c r="AM544" i="20" s="1"/>
  <c r="AI544" i="20"/>
  <c r="AJ544" i="20" s="1"/>
  <c r="AF544" i="20"/>
  <c r="AE544" i="20"/>
  <c r="AD544" i="20"/>
  <c r="AB544" i="20"/>
  <c r="U544" i="20"/>
  <c r="M544" i="20"/>
  <c r="L544" i="20"/>
  <c r="Q544" i="20" s="1"/>
  <c r="K544" i="20"/>
  <c r="BC544" i="20" s="1"/>
  <c r="J544" i="20"/>
  <c r="I544" i="20"/>
  <c r="H544" i="20"/>
  <c r="BG543" i="20"/>
  <c r="AZ543" i="20"/>
  <c r="AX543" i="20"/>
  <c r="BE543" i="20" s="1"/>
  <c r="BF543" i="20" s="1"/>
  <c r="AV543" i="20"/>
  <c r="AL543" i="20"/>
  <c r="AN543" i="20" s="1"/>
  <c r="AI543" i="20"/>
  <c r="AJ543" i="20" s="1"/>
  <c r="AF543" i="20"/>
  <c r="AE543" i="20"/>
  <c r="AD543" i="20"/>
  <c r="AB543" i="20"/>
  <c r="U543" i="20"/>
  <c r="M543" i="20"/>
  <c r="L543" i="20"/>
  <c r="K543" i="20"/>
  <c r="BC543" i="20" s="1"/>
  <c r="J543" i="20"/>
  <c r="I543" i="20"/>
  <c r="H543" i="20"/>
  <c r="BG542" i="20"/>
  <c r="AZ542" i="20"/>
  <c r="AX542" i="20"/>
  <c r="BE542" i="20" s="1"/>
  <c r="BF542" i="20" s="1"/>
  <c r="AV542" i="20"/>
  <c r="AL542" i="20"/>
  <c r="AN542" i="20" s="1"/>
  <c r="AI542" i="20"/>
  <c r="AJ542" i="20" s="1"/>
  <c r="AF542" i="20"/>
  <c r="AE542" i="20"/>
  <c r="AD542" i="20"/>
  <c r="AB542" i="20"/>
  <c r="U542" i="20"/>
  <c r="M542" i="20"/>
  <c r="L542" i="20"/>
  <c r="Q542" i="20" s="1"/>
  <c r="K542" i="20"/>
  <c r="BC542" i="20" s="1"/>
  <c r="J542" i="20"/>
  <c r="I542" i="20"/>
  <c r="H542" i="20"/>
  <c r="BG541" i="20"/>
  <c r="AZ541" i="20"/>
  <c r="AX541" i="20"/>
  <c r="BE541" i="20" s="1"/>
  <c r="BF541" i="20" s="1"/>
  <c r="AV541" i="20"/>
  <c r="AL541" i="20"/>
  <c r="AM541" i="20" s="1"/>
  <c r="AI541" i="20"/>
  <c r="AJ541" i="20" s="1"/>
  <c r="AF541" i="20"/>
  <c r="AE541" i="20"/>
  <c r="AD541" i="20"/>
  <c r="AB541" i="20"/>
  <c r="U541" i="20"/>
  <c r="M541" i="20"/>
  <c r="L541" i="20"/>
  <c r="Q541" i="20" s="1"/>
  <c r="K541" i="20"/>
  <c r="BC541" i="20" s="1"/>
  <c r="J541" i="20"/>
  <c r="I541" i="20"/>
  <c r="H541" i="20"/>
  <c r="BD540" i="20"/>
  <c r="BE540" i="20" s="1"/>
  <c r="BF540" i="20" s="1"/>
  <c r="AX540" i="20"/>
  <c r="AV540" i="20"/>
  <c r="AL540" i="20"/>
  <c r="AN540" i="20" s="1"/>
  <c r="AI540" i="20"/>
  <c r="AK540" i="20" s="1"/>
  <c r="AF540" i="20"/>
  <c r="AE540" i="20"/>
  <c r="AD540" i="20"/>
  <c r="AB540" i="20"/>
  <c r="U540" i="20"/>
  <c r="M540" i="20"/>
  <c r="L540" i="20"/>
  <c r="S540" i="20" s="1"/>
  <c r="K540" i="20"/>
  <c r="AC540" i="20" s="1"/>
  <c r="J540" i="20"/>
  <c r="I540" i="20"/>
  <c r="H540" i="20"/>
  <c r="BD539" i="20"/>
  <c r="AX539" i="20"/>
  <c r="AV539" i="20"/>
  <c r="AL539" i="20"/>
  <c r="AN539" i="20" s="1"/>
  <c r="AI539" i="20"/>
  <c r="AK539" i="20" s="1"/>
  <c r="AF539" i="20"/>
  <c r="AE539" i="20"/>
  <c r="AD539" i="20"/>
  <c r="AB539" i="20"/>
  <c r="U539" i="20"/>
  <c r="M539" i="20"/>
  <c r="L539" i="20"/>
  <c r="Q539" i="20" s="1"/>
  <c r="K539" i="20"/>
  <c r="AC539" i="20" s="1"/>
  <c r="J539" i="20"/>
  <c r="I539" i="20"/>
  <c r="H539" i="20"/>
  <c r="BG538" i="20"/>
  <c r="BD538" i="20" s="1"/>
  <c r="AX538" i="20"/>
  <c r="AV538" i="20"/>
  <c r="AL538" i="20"/>
  <c r="AN538" i="20" s="1"/>
  <c r="AI538" i="20"/>
  <c r="AK538" i="20" s="1"/>
  <c r="AF538" i="20"/>
  <c r="AE538" i="20"/>
  <c r="AD538" i="20"/>
  <c r="AB538" i="20"/>
  <c r="U538" i="20"/>
  <c r="Q538" i="20"/>
  <c r="M538" i="20"/>
  <c r="L538" i="20"/>
  <c r="S538" i="20" s="1"/>
  <c r="K538" i="20"/>
  <c r="J538" i="20"/>
  <c r="I538" i="20"/>
  <c r="H538" i="20"/>
  <c r="BD537" i="20"/>
  <c r="BE537" i="20" s="1"/>
  <c r="BF537" i="20" s="1"/>
  <c r="AX537" i="20"/>
  <c r="AV537" i="20"/>
  <c r="AL537" i="20"/>
  <c r="AN537" i="20" s="1"/>
  <c r="AI537" i="20"/>
  <c r="AK537" i="20" s="1"/>
  <c r="AF537" i="20"/>
  <c r="AE537" i="20"/>
  <c r="AD537" i="20"/>
  <c r="AB537" i="20"/>
  <c r="U537" i="20"/>
  <c r="Q537" i="20"/>
  <c r="M537" i="20"/>
  <c r="L537" i="20"/>
  <c r="S537" i="20" s="1"/>
  <c r="K537" i="20"/>
  <c r="AC537" i="20" s="1"/>
  <c r="J537" i="20"/>
  <c r="I537" i="20"/>
  <c r="H537" i="20"/>
  <c r="BD536" i="20"/>
  <c r="AX536" i="20"/>
  <c r="AV536" i="20"/>
  <c r="AL536" i="20"/>
  <c r="AN536" i="20" s="1"/>
  <c r="AI536" i="20"/>
  <c r="AK536" i="20" s="1"/>
  <c r="AF536" i="20"/>
  <c r="AE536" i="20"/>
  <c r="AD536" i="20"/>
  <c r="AB536" i="20"/>
  <c r="U536" i="20"/>
  <c r="M536" i="20"/>
  <c r="L536" i="20"/>
  <c r="S536" i="20" s="1"/>
  <c r="K536" i="20"/>
  <c r="AC536" i="20" s="1"/>
  <c r="J536" i="20"/>
  <c r="I536" i="20"/>
  <c r="H536" i="20"/>
  <c r="BG535" i="20"/>
  <c r="BD535" i="20" s="1"/>
  <c r="BE535" i="20" s="1"/>
  <c r="BF535" i="20" s="1"/>
  <c r="AX535" i="20"/>
  <c r="AV535" i="20"/>
  <c r="AL535" i="20"/>
  <c r="AN535" i="20" s="1"/>
  <c r="AI535" i="20"/>
  <c r="AK535" i="20" s="1"/>
  <c r="AF535" i="20"/>
  <c r="AE535" i="20"/>
  <c r="AD535" i="20"/>
  <c r="AB535" i="20"/>
  <c r="U535" i="20"/>
  <c r="M535" i="20"/>
  <c r="L535" i="20"/>
  <c r="S535" i="20" s="1"/>
  <c r="K535" i="20"/>
  <c r="AC535" i="20" s="1"/>
  <c r="J535" i="20"/>
  <c r="I535" i="20"/>
  <c r="H535" i="20"/>
  <c r="BG534" i="20"/>
  <c r="BD534" i="20" s="1"/>
  <c r="BE534" i="20" s="1"/>
  <c r="BF534" i="20" s="1"/>
  <c r="AX534" i="20"/>
  <c r="AV534" i="20"/>
  <c r="AL534" i="20"/>
  <c r="AN534" i="20" s="1"/>
  <c r="AI534" i="20"/>
  <c r="AK534" i="20" s="1"/>
  <c r="AF534" i="20"/>
  <c r="AE534" i="20"/>
  <c r="AD534" i="20"/>
  <c r="AB534" i="20"/>
  <c r="U534" i="20"/>
  <c r="M534" i="20"/>
  <c r="L534" i="20"/>
  <c r="Q534" i="20" s="1"/>
  <c r="K534" i="20"/>
  <c r="AC534" i="20" s="1"/>
  <c r="J534" i="20"/>
  <c r="I534" i="20"/>
  <c r="H534" i="20"/>
  <c r="BD533" i="20"/>
  <c r="BE533" i="20" s="1"/>
  <c r="BF533" i="20" s="1"/>
  <c r="AX533" i="20"/>
  <c r="AV533" i="20"/>
  <c r="AL533" i="20"/>
  <c r="AN533" i="20" s="1"/>
  <c r="AI533" i="20"/>
  <c r="AK533" i="20" s="1"/>
  <c r="AF533" i="20"/>
  <c r="AE533" i="20"/>
  <c r="AD533" i="20"/>
  <c r="AB533" i="20"/>
  <c r="U533" i="20"/>
  <c r="M533" i="20"/>
  <c r="L533" i="20"/>
  <c r="K533" i="20"/>
  <c r="AC533" i="20" s="1"/>
  <c r="J533" i="20"/>
  <c r="I533" i="20"/>
  <c r="H533" i="20"/>
  <c r="BG532" i="20"/>
  <c r="BD532" i="20" s="1"/>
  <c r="AX532" i="20"/>
  <c r="AV532" i="20"/>
  <c r="AL532" i="20"/>
  <c r="AN532" i="20" s="1"/>
  <c r="AI532" i="20"/>
  <c r="AK532" i="20" s="1"/>
  <c r="AF532" i="20"/>
  <c r="AE532" i="20"/>
  <c r="AD532" i="20"/>
  <c r="AB532" i="20"/>
  <c r="U532" i="20"/>
  <c r="M532" i="20"/>
  <c r="L532" i="20"/>
  <c r="Q532" i="20" s="1"/>
  <c r="V532" i="20" s="1"/>
  <c r="K532" i="20"/>
  <c r="AC532" i="20" s="1"/>
  <c r="J532" i="20"/>
  <c r="I532" i="20"/>
  <c r="H532" i="20"/>
  <c r="BD531" i="20"/>
  <c r="AX531" i="20"/>
  <c r="AV531" i="20"/>
  <c r="AL531" i="20"/>
  <c r="AN531" i="20" s="1"/>
  <c r="AI531" i="20"/>
  <c r="AK531" i="20" s="1"/>
  <c r="AF531" i="20"/>
  <c r="AE531" i="20"/>
  <c r="AD531" i="20"/>
  <c r="AB531" i="20"/>
  <c r="U531" i="20"/>
  <c r="M531" i="20"/>
  <c r="L531" i="20"/>
  <c r="K531" i="20"/>
  <c r="AC531" i="20" s="1"/>
  <c r="J531" i="20"/>
  <c r="I531" i="20"/>
  <c r="H531" i="20"/>
  <c r="BG530" i="20"/>
  <c r="AZ530" i="20"/>
  <c r="AX530" i="20"/>
  <c r="BE530" i="20" s="1"/>
  <c r="BF530" i="20" s="1"/>
  <c r="AV530" i="20"/>
  <c r="AN530" i="20"/>
  <c r="AM530" i="20"/>
  <c r="AK530" i="20"/>
  <c r="AJ530" i="20"/>
  <c r="AF530" i="20"/>
  <c r="AE530" i="20"/>
  <c r="AD530" i="20"/>
  <c r="AB530" i="20"/>
  <c r="U530" i="20"/>
  <c r="S530" i="20"/>
  <c r="M530" i="20"/>
  <c r="L530" i="20"/>
  <c r="Q530" i="20" s="1"/>
  <c r="K530" i="20"/>
  <c r="J530" i="20"/>
  <c r="I530" i="20"/>
  <c r="H530" i="20"/>
  <c r="BG529" i="20"/>
  <c r="BE529" i="20"/>
  <c r="BF529" i="20" s="1"/>
  <c r="AV529" i="20"/>
  <c r="AF529" i="20"/>
  <c r="AE529" i="20"/>
  <c r="AD529" i="20"/>
  <c r="AB529" i="20"/>
  <c r="U529" i="20"/>
  <c r="Q529" i="20"/>
  <c r="V529" i="20" s="1"/>
  <c r="M529" i="20"/>
  <c r="L529" i="20"/>
  <c r="S529" i="20" s="1"/>
  <c r="K529" i="20"/>
  <c r="AC529" i="20" s="1"/>
  <c r="J529" i="20"/>
  <c r="I529" i="20"/>
  <c r="H529" i="20"/>
  <c r="BG528" i="20"/>
  <c r="BE528" i="20"/>
  <c r="BF528" i="20" s="1"/>
  <c r="AV528" i="20"/>
  <c r="AF528" i="20"/>
  <c r="AE528" i="20"/>
  <c r="AD528" i="20"/>
  <c r="AB528" i="20"/>
  <c r="U528" i="20"/>
  <c r="M528" i="20"/>
  <c r="L528" i="20"/>
  <c r="S528" i="20" s="1"/>
  <c r="K528" i="20"/>
  <c r="AC528" i="20" s="1"/>
  <c r="J528" i="20"/>
  <c r="I528" i="20"/>
  <c r="H528" i="20"/>
  <c r="BG527" i="20"/>
  <c r="BF527" i="20"/>
  <c r="BE527" i="20"/>
  <c r="AV527" i="20"/>
  <c r="AF527" i="20"/>
  <c r="AE527" i="20"/>
  <c r="AD527" i="20"/>
  <c r="AB527" i="20"/>
  <c r="U527" i="20"/>
  <c r="M527" i="20"/>
  <c r="L527" i="20"/>
  <c r="S527" i="20" s="1"/>
  <c r="K527" i="20"/>
  <c r="AC527" i="20" s="1"/>
  <c r="J527" i="20"/>
  <c r="I527" i="20"/>
  <c r="H527" i="20"/>
  <c r="BG526" i="20"/>
  <c r="BE526" i="20"/>
  <c r="BF526" i="20" s="1"/>
  <c r="AV526" i="20"/>
  <c r="AF526" i="20"/>
  <c r="AE526" i="20"/>
  <c r="AD526" i="20"/>
  <c r="AB526" i="20"/>
  <c r="U526" i="20"/>
  <c r="M526" i="20"/>
  <c r="L526" i="20"/>
  <c r="Q526" i="20" s="1"/>
  <c r="V526" i="20" s="1"/>
  <c r="K526" i="20"/>
  <c r="AC526" i="20" s="1"/>
  <c r="J526" i="20"/>
  <c r="I526" i="20"/>
  <c r="H526" i="20"/>
  <c r="BG525" i="20"/>
  <c r="BE525" i="20"/>
  <c r="BF525" i="20" s="1"/>
  <c r="AV525" i="20"/>
  <c r="AF525" i="20"/>
  <c r="AE525" i="20"/>
  <c r="AD525" i="20"/>
  <c r="AB525" i="20"/>
  <c r="U525" i="20"/>
  <c r="M525" i="20"/>
  <c r="L525" i="20"/>
  <c r="S525" i="20" s="1"/>
  <c r="K525" i="20"/>
  <c r="AC525" i="20" s="1"/>
  <c r="J525" i="20"/>
  <c r="I525" i="20"/>
  <c r="H525" i="20"/>
  <c r="BG524" i="20"/>
  <c r="BE524" i="20"/>
  <c r="BF524" i="20" s="1"/>
  <c r="AV524" i="20"/>
  <c r="AF524" i="20"/>
  <c r="AE524" i="20"/>
  <c r="AD524" i="20"/>
  <c r="AB524" i="20"/>
  <c r="U524" i="20"/>
  <c r="M524" i="20"/>
  <c r="L524" i="20"/>
  <c r="S524" i="20" s="1"/>
  <c r="K524" i="20"/>
  <c r="AC524" i="20" s="1"/>
  <c r="J524" i="20"/>
  <c r="I524" i="20"/>
  <c r="H524" i="20"/>
  <c r="BG523" i="20"/>
  <c r="BE523" i="20"/>
  <c r="BF523" i="20" s="1"/>
  <c r="AV523" i="20"/>
  <c r="AF523" i="20"/>
  <c r="AE523" i="20"/>
  <c r="AD523" i="20"/>
  <c r="AB523" i="20"/>
  <c r="U523" i="20"/>
  <c r="M523" i="20"/>
  <c r="L523" i="20"/>
  <c r="S523" i="20" s="1"/>
  <c r="K523" i="20"/>
  <c r="AC523" i="20" s="1"/>
  <c r="J523" i="20"/>
  <c r="I523" i="20"/>
  <c r="H523" i="20"/>
  <c r="BG522" i="20"/>
  <c r="BE522" i="20"/>
  <c r="BF522" i="20" s="1"/>
  <c r="AV522" i="20"/>
  <c r="AF522" i="20"/>
  <c r="AE522" i="20"/>
  <c r="AD522" i="20"/>
  <c r="AB522" i="20"/>
  <c r="U522" i="20"/>
  <c r="M522" i="20"/>
  <c r="L522" i="20"/>
  <c r="Q522" i="20" s="1"/>
  <c r="K522" i="20"/>
  <c r="AC522" i="20" s="1"/>
  <c r="J522" i="20"/>
  <c r="I522" i="20"/>
  <c r="H522" i="20"/>
  <c r="BG521" i="20"/>
  <c r="BE521" i="20"/>
  <c r="BF521" i="20" s="1"/>
  <c r="AV521" i="20"/>
  <c r="AF521" i="20"/>
  <c r="AE521" i="20"/>
  <c r="AD521" i="20"/>
  <c r="AB521" i="20"/>
  <c r="U521" i="20"/>
  <c r="M521" i="20"/>
  <c r="L521" i="20"/>
  <c r="S521" i="20" s="1"/>
  <c r="K521" i="20"/>
  <c r="AC521" i="20" s="1"/>
  <c r="J521" i="20"/>
  <c r="I521" i="20"/>
  <c r="H521" i="20"/>
  <c r="BG520" i="20"/>
  <c r="BE520" i="20"/>
  <c r="BF520" i="20" s="1"/>
  <c r="AV520" i="20"/>
  <c r="AF520" i="20"/>
  <c r="AE520" i="20"/>
  <c r="AD520" i="20"/>
  <c r="AB520" i="20"/>
  <c r="U520" i="20"/>
  <c r="M520" i="20"/>
  <c r="L520" i="20"/>
  <c r="K520" i="20"/>
  <c r="AC520" i="20" s="1"/>
  <c r="J520" i="20"/>
  <c r="I520" i="20"/>
  <c r="H520" i="20"/>
  <c r="BG519" i="20"/>
  <c r="AZ519" i="20"/>
  <c r="AX519" i="20"/>
  <c r="BE519" i="20" s="1"/>
  <c r="BF519" i="20" s="1"/>
  <c r="AV519" i="20"/>
  <c r="AF519" i="20"/>
  <c r="AE519" i="20"/>
  <c r="AD519" i="20"/>
  <c r="AB519" i="20"/>
  <c r="U519" i="20"/>
  <c r="M519" i="20"/>
  <c r="L519" i="20"/>
  <c r="S519" i="20" s="1"/>
  <c r="K519" i="20"/>
  <c r="AC519" i="20" s="1"/>
  <c r="J519" i="20"/>
  <c r="I519" i="20"/>
  <c r="H519" i="20"/>
  <c r="BG518" i="20"/>
  <c r="AZ518" i="20"/>
  <c r="AX518" i="20"/>
  <c r="BE518" i="20" s="1"/>
  <c r="BF518" i="20" s="1"/>
  <c r="AV518" i="20"/>
  <c r="AF518" i="20"/>
  <c r="AE518" i="20"/>
  <c r="AD518" i="20"/>
  <c r="AB518" i="20"/>
  <c r="U518" i="20"/>
  <c r="M518" i="20"/>
  <c r="L518" i="20"/>
  <c r="K518" i="20"/>
  <c r="AC518" i="20" s="1"/>
  <c r="J518" i="20"/>
  <c r="I518" i="20"/>
  <c r="H518" i="20"/>
  <c r="BG517" i="20"/>
  <c r="AZ517" i="20"/>
  <c r="AX517" i="20"/>
  <c r="BE517" i="20" s="1"/>
  <c r="BF517" i="20" s="1"/>
  <c r="AV517" i="20"/>
  <c r="AF517" i="20"/>
  <c r="AE517" i="20"/>
  <c r="AD517" i="20"/>
  <c r="AB517" i="20"/>
  <c r="U517" i="20"/>
  <c r="Q517" i="20"/>
  <c r="V517" i="20" s="1"/>
  <c r="M517" i="20"/>
  <c r="L517" i="20"/>
  <c r="S517" i="20" s="1"/>
  <c r="K517" i="20"/>
  <c r="AC517" i="20" s="1"/>
  <c r="J517" i="20"/>
  <c r="I517" i="20"/>
  <c r="H517" i="20"/>
  <c r="BM516" i="20"/>
  <c r="BL516" i="20"/>
  <c r="AZ516" i="20"/>
  <c r="AV516" i="20"/>
  <c r="AF516" i="20"/>
  <c r="AE516" i="20"/>
  <c r="AD516" i="20"/>
  <c r="AB516" i="20"/>
  <c r="U516" i="20"/>
  <c r="M516" i="20"/>
  <c r="L516" i="20"/>
  <c r="Q516" i="20" s="1"/>
  <c r="V516" i="20" s="1"/>
  <c r="K516" i="20"/>
  <c r="AC516" i="20" s="1"/>
  <c r="J516" i="20"/>
  <c r="I516" i="20"/>
  <c r="H516" i="20"/>
  <c r="AZ515" i="20"/>
  <c r="AX515" i="20"/>
  <c r="BD515" i="20" s="1"/>
  <c r="BG515" i="20" s="1"/>
  <c r="AV515" i="20"/>
  <c r="AF515" i="20"/>
  <c r="AE515" i="20"/>
  <c r="AD515" i="20"/>
  <c r="AB515" i="20"/>
  <c r="U515" i="20"/>
  <c r="M515" i="20"/>
  <c r="L515" i="20"/>
  <c r="Q515" i="20" s="1"/>
  <c r="V515" i="20" s="1"/>
  <c r="K515" i="20"/>
  <c r="J515" i="20"/>
  <c r="I515" i="20"/>
  <c r="H515" i="20"/>
  <c r="AZ514" i="20"/>
  <c r="AX514" i="20"/>
  <c r="BD514" i="20" s="1"/>
  <c r="BG514" i="20" s="1"/>
  <c r="AV514" i="20"/>
  <c r="AF514" i="20"/>
  <c r="AE514" i="20"/>
  <c r="AD514" i="20"/>
  <c r="AB514" i="20"/>
  <c r="U514" i="20"/>
  <c r="M514" i="20"/>
  <c r="L514" i="20"/>
  <c r="S514" i="20" s="1"/>
  <c r="K514" i="20"/>
  <c r="AC514" i="20" s="1"/>
  <c r="J514" i="20"/>
  <c r="I514" i="20"/>
  <c r="H514" i="20"/>
  <c r="AZ513" i="20"/>
  <c r="AX513" i="20"/>
  <c r="BD513" i="20" s="1"/>
  <c r="AV513" i="20"/>
  <c r="AF513" i="20"/>
  <c r="AE513" i="20"/>
  <c r="AD513" i="20"/>
  <c r="AB513" i="20"/>
  <c r="U513" i="20"/>
  <c r="M513" i="20"/>
  <c r="L513" i="20"/>
  <c r="S513" i="20" s="1"/>
  <c r="K513" i="20"/>
  <c r="J513" i="20"/>
  <c r="I513" i="20"/>
  <c r="H513" i="20"/>
  <c r="AZ512" i="20"/>
  <c r="AX512" i="20"/>
  <c r="BD512" i="20" s="1"/>
  <c r="BG512" i="20" s="1"/>
  <c r="AV512" i="20"/>
  <c r="AF512" i="20"/>
  <c r="AE512" i="20"/>
  <c r="AD512" i="20"/>
  <c r="AC512" i="20"/>
  <c r="AB512" i="20"/>
  <c r="U512" i="20"/>
  <c r="M512" i="20"/>
  <c r="L512" i="20"/>
  <c r="K512" i="20"/>
  <c r="J512" i="20"/>
  <c r="I512" i="20"/>
  <c r="H512" i="20"/>
  <c r="AZ511" i="20"/>
  <c r="AX511" i="20"/>
  <c r="BD511" i="20" s="1"/>
  <c r="AV511" i="20"/>
  <c r="AF511" i="20"/>
  <c r="AE511" i="20"/>
  <c r="AD511" i="20"/>
  <c r="AB511" i="20"/>
  <c r="U511" i="20"/>
  <c r="M511" i="20"/>
  <c r="L511" i="20"/>
  <c r="S511" i="20" s="1"/>
  <c r="K511" i="20"/>
  <c r="BB511" i="20" s="1"/>
  <c r="J511" i="20"/>
  <c r="I511" i="20"/>
  <c r="H511" i="20"/>
  <c r="BG510" i="20"/>
  <c r="AZ510" i="20"/>
  <c r="AX510" i="20"/>
  <c r="BE510" i="20" s="1"/>
  <c r="BF510" i="20" s="1"/>
  <c r="AV510" i="20"/>
  <c r="AF510" i="20"/>
  <c r="AE510" i="20"/>
  <c r="AD510" i="20"/>
  <c r="AB510" i="20"/>
  <c r="U510" i="20"/>
  <c r="M510" i="20"/>
  <c r="L510" i="20"/>
  <c r="K510" i="20"/>
  <c r="J510" i="20"/>
  <c r="I510" i="20"/>
  <c r="H510" i="20"/>
  <c r="BG509" i="20"/>
  <c r="AZ509" i="20"/>
  <c r="AX509" i="20"/>
  <c r="BE509" i="20" s="1"/>
  <c r="BF509" i="20" s="1"/>
  <c r="AV509" i="20"/>
  <c r="AF509" i="20"/>
  <c r="AE509" i="20"/>
  <c r="AD509" i="20"/>
  <c r="AB509" i="20"/>
  <c r="U509" i="20"/>
  <c r="M509" i="20"/>
  <c r="L509" i="20"/>
  <c r="K509" i="20"/>
  <c r="AC509" i="20" s="1"/>
  <c r="J509" i="20"/>
  <c r="I509" i="20"/>
  <c r="H509" i="20"/>
  <c r="BG508" i="20"/>
  <c r="AZ508" i="20"/>
  <c r="AX508" i="20"/>
  <c r="BE508" i="20" s="1"/>
  <c r="BF508" i="20" s="1"/>
  <c r="AV508" i="20"/>
  <c r="AF508" i="20"/>
  <c r="AE508" i="20"/>
  <c r="AD508" i="20"/>
  <c r="AB508" i="20"/>
  <c r="U508" i="20"/>
  <c r="M508" i="20"/>
  <c r="L508" i="20"/>
  <c r="S508" i="20" s="1"/>
  <c r="K508" i="20"/>
  <c r="AC508" i="20" s="1"/>
  <c r="J508" i="20"/>
  <c r="I508" i="20"/>
  <c r="H508" i="20"/>
  <c r="BG507" i="20"/>
  <c r="AZ507" i="20"/>
  <c r="AX507" i="20"/>
  <c r="BE507" i="20" s="1"/>
  <c r="BF507" i="20" s="1"/>
  <c r="AV507" i="20"/>
  <c r="AN507" i="20"/>
  <c r="AM507" i="20"/>
  <c r="AK507" i="20"/>
  <c r="AJ507" i="20"/>
  <c r="AF507" i="20"/>
  <c r="AE507" i="20"/>
  <c r="AD507" i="20"/>
  <c r="AB507" i="20"/>
  <c r="U507" i="20"/>
  <c r="M507" i="20"/>
  <c r="L507" i="20"/>
  <c r="Q507" i="20" s="1"/>
  <c r="V507" i="20" s="1"/>
  <c r="K507" i="20"/>
  <c r="AC507" i="20" s="1"/>
  <c r="J507" i="20"/>
  <c r="I507" i="20"/>
  <c r="H507" i="20"/>
  <c r="BG506" i="20"/>
  <c r="BE506" i="20"/>
  <c r="BF506" i="20" s="1"/>
  <c r="AZ506" i="20"/>
  <c r="AX506" i="20"/>
  <c r="AV506" i="20"/>
  <c r="AN506" i="20"/>
  <c r="AL506" i="20"/>
  <c r="AM506" i="20" s="1"/>
  <c r="AI506" i="20"/>
  <c r="AK506" i="20" s="1"/>
  <c r="AF506" i="20"/>
  <c r="AE506" i="20"/>
  <c r="AD506" i="20"/>
  <c r="AB506" i="20"/>
  <c r="U506" i="20"/>
  <c r="M506" i="20"/>
  <c r="L506" i="20"/>
  <c r="Q506" i="20" s="1"/>
  <c r="K506" i="20"/>
  <c r="J506" i="20"/>
  <c r="I506" i="20"/>
  <c r="H506" i="20"/>
  <c r="BG505" i="20"/>
  <c r="AZ505" i="20"/>
  <c r="AX505" i="20"/>
  <c r="BE505" i="20" s="1"/>
  <c r="BF505" i="20" s="1"/>
  <c r="AV505" i="20"/>
  <c r="AL505" i="20"/>
  <c r="AM505" i="20" s="1"/>
  <c r="AI505" i="20"/>
  <c r="AF505" i="20"/>
  <c r="AE505" i="20"/>
  <c r="AD505" i="20"/>
  <c r="AB505" i="20"/>
  <c r="U505" i="20"/>
  <c r="S505" i="20"/>
  <c r="M505" i="20"/>
  <c r="L505" i="20"/>
  <c r="Q505" i="20" s="1"/>
  <c r="V505" i="20" s="1"/>
  <c r="K505" i="20"/>
  <c r="BB505" i="20" s="1"/>
  <c r="J505" i="20"/>
  <c r="I505" i="20"/>
  <c r="H505" i="20"/>
  <c r="BG504" i="20"/>
  <c r="AZ504" i="20"/>
  <c r="AX504" i="20"/>
  <c r="BE504" i="20" s="1"/>
  <c r="BF504" i="20" s="1"/>
  <c r="AV504" i="20"/>
  <c r="AL504" i="20"/>
  <c r="AM504" i="20" s="1"/>
  <c r="AI504" i="20"/>
  <c r="AK504" i="20" s="1"/>
  <c r="AF504" i="20"/>
  <c r="AE504" i="20"/>
  <c r="AD504" i="20"/>
  <c r="AB504" i="20"/>
  <c r="U504" i="20"/>
  <c r="M504" i="20"/>
  <c r="L504" i="20"/>
  <c r="Q504" i="20" s="1"/>
  <c r="V504" i="20" s="1"/>
  <c r="K504" i="20"/>
  <c r="J504" i="20"/>
  <c r="I504" i="20"/>
  <c r="H504" i="20"/>
  <c r="BG503" i="20"/>
  <c r="BE503" i="20"/>
  <c r="BF503" i="20" s="1"/>
  <c r="AZ503" i="20"/>
  <c r="AX503" i="20"/>
  <c r="AV503" i="20"/>
  <c r="AL503" i="20"/>
  <c r="AI503" i="20"/>
  <c r="AK503" i="20" s="1"/>
  <c r="AF503" i="20"/>
  <c r="AE503" i="20"/>
  <c r="AD503" i="20"/>
  <c r="AB503" i="20"/>
  <c r="U503" i="20"/>
  <c r="M503" i="20"/>
  <c r="L503" i="20"/>
  <c r="Q503" i="20" s="1"/>
  <c r="K503" i="20"/>
  <c r="J503" i="20"/>
  <c r="I503" i="20"/>
  <c r="H503" i="20"/>
  <c r="BG502" i="20"/>
  <c r="AZ502" i="20"/>
  <c r="AX502" i="20"/>
  <c r="BE502" i="20" s="1"/>
  <c r="BF502" i="20" s="1"/>
  <c r="AV502" i="20"/>
  <c r="AL502" i="20"/>
  <c r="AM502" i="20" s="1"/>
  <c r="AI502" i="20"/>
  <c r="AK502" i="20" s="1"/>
  <c r="AF502" i="20"/>
  <c r="AE502" i="20"/>
  <c r="AD502" i="20"/>
  <c r="AB502" i="20"/>
  <c r="U502" i="20"/>
  <c r="M502" i="20"/>
  <c r="L502" i="20"/>
  <c r="Q502" i="20" s="1"/>
  <c r="V502" i="20" s="1"/>
  <c r="K502" i="20"/>
  <c r="BB502" i="20" s="1"/>
  <c r="J502" i="20"/>
  <c r="I502" i="20"/>
  <c r="H502" i="20"/>
  <c r="BM501" i="20"/>
  <c r="BI501" i="20"/>
  <c r="AZ501" i="20"/>
  <c r="AX501" i="20"/>
  <c r="AV501" i="20"/>
  <c r="AL501" i="20"/>
  <c r="AN501" i="20" s="1"/>
  <c r="AI501" i="20"/>
  <c r="AK501" i="20" s="1"/>
  <c r="AF501" i="20"/>
  <c r="AE501" i="20"/>
  <c r="AD501" i="20"/>
  <c r="AB501" i="20"/>
  <c r="U501" i="20"/>
  <c r="M501" i="20"/>
  <c r="L501" i="20"/>
  <c r="S501" i="20" s="1"/>
  <c r="K501" i="20"/>
  <c r="J501" i="20"/>
  <c r="I501" i="20"/>
  <c r="H501" i="20"/>
  <c r="BM500" i="20"/>
  <c r="BI500" i="20"/>
  <c r="AZ500" i="20"/>
  <c r="AX500" i="20"/>
  <c r="AV500" i="20"/>
  <c r="AL500" i="20"/>
  <c r="AN500" i="20" s="1"/>
  <c r="AK500" i="20"/>
  <c r="AJ500" i="20"/>
  <c r="AI500" i="20"/>
  <c r="AF500" i="20"/>
  <c r="AE500" i="20"/>
  <c r="AD500" i="20"/>
  <c r="AC500" i="20"/>
  <c r="AB500" i="20"/>
  <c r="U500" i="20"/>
  <c r="M500" i="20"/>
  <c r="L500" i="20"/>
  <c r="S500" i="20" s="1"/>
  <c r="K500" i="20"/>
  <c r="BC500" i="20" s="1"/>
  <c r="J500" i="20"/>
  <c r="I500" i="20"/>
  <c r="H500" i="20"/>
  <c r="BM499" i="20"/>
  <c r="BI499" i="20"/>
  <c r="AZ499" i="20"/>
  <c r="AX499" i="20"/>
  <c r="AV499" i="20"/>
  <c r="AL499" i="20"/>
  <c r="AK499" i="20"/>
  <c r="AI499" i="20"/>
  <c r="AJ499" i="20" s="1"/>
  <c r="AF499" i="20"/>
  <c r="AE499" i="20"/>
  <c r="AD499" i="20"/>
  <c r="AB499" i="20"/>
  <c r="U499" i="20"/>
  <c r="M499" i="20"/>
  <c r="L499" i="20"/>
  <c r="K499" i="20"/>
  <c r="AC499" i="20" s="1"/>
  <c r="J499" i="20"/>
  <c r="I499" i="20"/>
  <c r="H499" i="20"/>
  <c r="BM498" i="20"/>
  <c r="BI498" i="20"/>
  <c r="AZ498" i="20"/>
  <c r="AX498" i="20"/>
  <c r="AV498" i="20"/>
  <c r="AL498" i="20"/>
  <c r="AM498" i="20" s="1"/>
  <c r="AI498" i="20"/>
  <c r="AK498" i="20" s="1"/>
  <c r="AF498" i="20"/>
  <c r="AE498" i="20"/>
  <c r="AD498" i="20"/>
  <c r="AB498" i="20"/>
  <c r="U498" i="20"/>
  <c r="M498" i="20"/>
  <c r="L498" i="20"/>
  <c r="Q498" i="20" s="1"/>
  <c r="V498" i="20" s="1"/>
  <c r="K498" i="20"/>
  <c r="BB498" i="20" s="1"/>
  <c r="J498" i="20"/>
  <c r="I498" i="20"/>
  <c r="H498" i="20"/>
  <c r="BM497" i="20"/>
  <c r="BI497" i="20"/>
  <c r="AZ497" i="20"/>
  <c r="AX497" i="20"/>
  <c r="AV497" i="20"/>
  <c r="AL497" i="20"/>
  <c r="AN497" i="20" s="1"/>
  <c r="AI497" i="20"/>
  <c r="AK497" i="20" s="1"/>
  <c r="AF497" i="20"/>
  <c r="AE497" i="20"/>
  <c r="AD497" i="20"/>
  <c r="AB497" i="20"/>
  <c r="U497" i="20"/>
  <c r="M497" i="20"/>
  <c r="L497" i="20"/>
  <c r="S497" i="20" s="1"/>
  <c r="K497" i="20"/>
  <c r="J497" i="20"/>
  <c r="I497" i="20"/>
  <c r="H497" i="20"/>
  <c r="BM496" i="20"/>
  <c r="BI496" i="20"/>
  <c r="AZ496" i="20"/>
  <c r="AX496" i="20"/>
  <c r="AV496" i="20"/>
  <c r="AL496" i="20"/>
  <c r="AN496" i="20" s="1"/>
  <c r="AI496" i="20"/>
  <c r="AK496" i="20" s="1"/>
  <c r="AF496" i="20"/>
  <c r="AE496" i="20"/>
  <c r="AD496" i="20"/>
  <c r="AB496" i="20"/>
  <c r="U496" i="20"/>
  <c r="M496" i="20"/>
  <c r="L496" i="20"/>
  <c r="S496" i="20" s="1"/>
  <c r="K496" i="20"/>
  <c r="AC496" i="20" s="1"/>
  <c r="J496" i="20"/>
  <c r="I496" i="20"/>
  <c r="H496" i="20"/>
  <c r="BD495" i="20"/>
  <c r="AX495" i="20"/>
  <c r="AV495" i="20"/>
  <c r="AL495" i="20"/>
  <c r="AN495" i="20" s="1"/>
  <c r="AI495" i="20"/>
  <c r="AK495" i="20" s="1"/>
  <c r="AF495" i="20"/>
  <c r="AE495" i="20"/>
  <c r="AD495" i="20"/>
  <c r="AB495" i="20"/>
  <c r="U495" i="20"/>
  <c r="M495" i="20"/>
  <c r="L495" i="20"/>
  <c r="S495" i="20" s="1"/>
  <c r="K495" i="20"/>
  <c r="AC495" i="20" s="1"/>
  <c r="J495" i="20"/>
  <c r="I495" i="20"/>
  <c r="H495" i="20"/>
  <c r="BD494" i="20"/>
  <c r="AX494" i="20"/>
  <c r="BE494" i="20" s="1"/>
  <c r="BF494" i="20" s="1"/>
  <c r="AV494" i="20"/>
  <c r="AL494" i="20"/>
  <c r="AN494" i="20" s="1"/>
  <c r="AK494" i="20"/>
  <c r="AI494" i="20"/>
  <c r="AF494" i="20"/>
  <c r="AE494" i="20"/>
  <c r="AD494" i="20"/>
  <c r="AB494" i="20"/>
  <c r="U494" i="20"/>
  <c r="M494" i="20"/>
  <c r="L494" i="20"/>
  <c r="Q494" i="20" s="1"/>
  <c r="K494" i="20"/>
  <c r="AC494" i="20" s="1"/>
  <c r="J494" i="20"/>
  <c r="I494" i="20"/>
  <c r="H494" i="20"/>
  <c r="BD493" i="20"/>
  <c r="AX493" i="20"/>
  <c r="AV493" i="20"/>
  <c r="AL493" i="20"/>
  <c r="AN493" i="20" s="1"/>
  <c r="AI493" i="20"/>
  <c r="AK493" i="20" s="1"/>
  <c r="AF493" i="20"/>
  <c r="AE493" i="20"/>
  <c r="AD493" i="20"/>
  <c r="AB493" i="20"/>
  <c r="U493" i="20"/>
  <c r="M493" i="20"/>
  <c r="L493" i="20"/>
  <c r="K493" i="20"/>
  <c r="AC493" i="20" s="1"/>
  <c r="J493" i="20"/>
  <c r="I493" i="20"/>
  <c r="H493" i="20"/>
  <c r="BD492" i="20"/>
  <c r="BE492" i="20" s="1"/>
  <c r="BF492" i="20" s="1"/>
  <c r="AX492" i="20"/>
  <c r="AV492" i="20"/>
  <c r="AL492" i="20"/>
  <c r="AN492" i="20" s="1"/>
  <c r="AI492" i="20"/>
  <c r="AK492" i="20" s="1"/>
  <c r="AF492" i="20"/>
  <c r="AE492" i="20"/>
  <c r="AD492" i="20"/>
  <c r="AB492" i="20"/>
  <c r="U492" i="20"/>
  <c r="M492" i="20"/>
  <c r="L492" i="20"/>
  <c r="Q492" i="20" s="1"/>
  <c r="V492" i="20" s="1"/>
  <c r="K492" i="20"/>
  <c r="AC492" i="20" s="1"/>
  <c r="J492" i="20"/>
  <c r="I492" i="20"/>
  <c r="H492" i="20"/>
  <c r="BG491" i="20"/>
  <c r="BD491" i="20" s="1"/>
  <c r="BE491" i="20" s="1"/>
  <c r="BF491" i="20" s="1"/>
  <c r="AX491" i="20"/>
  <c r="AV491" i="20"/>
  <c r="AL491" i="20"/>
  <c r="AN491" i="20" s="1"/>
  <c r="AI491" i="20"/>
  <c r="AK491" i="20" s="1"/>
  <c r="AF491" i="20"/>
  <c r="AE491" i="20"/>
  <c r="AD491" i="20"/>
  <c r="AB491" i="20"/>
  <c r="U491" i="20"/>
  <c r="M491" i="20"/>
  <c r="L491" i="20"/>
  <c r="Q491" i="20" s="1"/>
  <c r="K491" i="20"/>
  <c r="J491" i="20"/>
  <c r="I491" i="20"/>
  <c r="H491" i="20"/>
  <c r="BG490" i="20"/>
  <c r="BD490" i="20" s="1"/>
  <c r="AX490" i="20"/>
  <c r="AV490" i="20"/>
  <c r="AL490" i="20"/>
  <c r="AN490" i="20" s="1"/>
  <c r="AI490" i="20"/>
  <c r="AK490" i="20" s="1"/>
  <c r="AF490" i="20"/>
  <c r="AE490" i="20"/>
  <c r="AD490" i="20"/>
  <c r="AB490" i="20"/>
  <c r="U490" i="20"/>
  <c r="S490" i="20"/>
  <c r="T490" i="20" s="1"/>
  <c r="M490" i="20"/>
  <c r="L490" i="20"/>
  <c r="Q490" i="20" s="1"/>
  <c r="V490" i="20" s="1"/>
  <c r="K490" i="20"/>
  <c r="AC490" i="20" s="1"/>
  <c r="J490" i="20"/>
  <c r="I490" i="20"/>
  <c r="H490" i="20"/>
  <c r="BG489" i="20"/>
  <c r="BD489" i="20" s="1"/>
  <c r="AX489" i="20"/>
  <c r="AV489" i="20"/>
  <c r="AL489" i="20"/>
  <c r="AN489" i="20" s="1"/>
  <c r="AK489" i="20"/>
  <c r="AI489" i="20"/>
  <c r="AF489" i="20"/>
  <c r="AE489" i="20"/>
  <c r="AD489" i="20"/>
  <c r="AB489" i="20"/>
  <c r="U489" i="20"/>
  <c r="M489" i="20"/>
  <c r="L489" i="20"/>
  <c r="Q489" i="20" s="1"/>
  <c r="K489" i="20"/>
  <c r="J489" i="20"/>
  <c r="I489" i="20"/>
  <c r="H489" i="20"/>
  <c r="BD488" i="20"/>
  <c r="BE488" i="20" s="1"/>
  <c r="BF488" i="20" s="1"/>
  <c r="AX488" i="20"/>
  <c r="AV488" i="20"/>
  <c r="AL488" i="20"/>
  <c r="AN488" i="20" s="1"/>
  <c r="AI488" i="20"/>
  <c r="AK488" i="20" s="1"/>
  <c r="AF488" i="20"/>
  <c r="AE488" i="20"/>
  <c r="AD488" i="20"/>
  <c r="AB488" i="20"/>
  <c r="U488" i="20"/>
  <c r="M488" i="20"/>
  <c r="L488" i="20"/>
  <c r="K488" i="20"/>
  <c r="AC488" i="20" s="1"/>
  <c r="J488" i="20"/>
  <c r="I488" i="20"/>
  <c r="H488" i="20"/>
  <c r="BG487" i="20"/>
  <c r="BD487" i="20" s="1"/>
  <c r="BE487" i="20" s="1"/>
  <c r="BF487" i="20" s="1"/>
  <c r="AX487" i="20"/>
  <c r="AV487" i="20"/>
  <c r="AL487" i="20"/>
  <c r="AN487" i="20" s="1"/>
  <c r="AI487" i="20"/>
  <c r="AK487" i="20" s="1"/>
  <c r="AF487" i="20"/>
  <c r="AE487" i="20"/>
  <c r="AD487" i="20"/>
  <c r="AB487" i="20"/>
  <c r="U487" i="20"/>
  <c r="M487" i="20"/>
  <c r="L487" i="20"/>
  <c r="S487" i="20" s="1"/>
  <c r="K487" i="20"/>
  <c r="AC487" i="20" s="1"/>
  <c r="J487" i="20"/>
  <c r="I487" i="20"/>
  <c r="H487" i="20"/>
  <c r="BD486" i="20"/>
  <c r="BE486" i="20" s="1"/>
  <c r="BF486" i="20" s="1"/>
  <c r="AX486" i="20"/>
  <c r="AV486" i="20"/>
  <c r="AL486" i="20"/>
  <c r="AN486" i="20" s="1"/>
  <c r="AI486" i="20"/>
  <c r="AK486" i="20" s="1"/>
  <c r="AF486" i="20"/>
  <c r="AE486" i="20"/>
  <c r="AD486" i="20"/>
  <c r="AC486" i="20"/>
  <c r="AB486" i="20"/>
  <c r="U486" i="20"/>
  <c r="M486" i="20"/>
  <c r="L486" i="20"/>
  <c r="S486" i="20" s="1"/>
  <c r="K486" i="20"/>
  <c r="J486" i="20"/>
  <c r="I486" i="20"/>
  <c r="H486" i="20"/>
  <c r="BG485" i="20"/>
  <c r="AZ485" i="20"/>
  <c r="AX485" i="20"/>
  <c r="BE485" i="20" s="1"/>
  <c r="BF485" i="20" s="1"/>
  <c r="AV485" i="20"/>
  <c r="AN485" i="20"/>
  <c r="AM485" i="20"/>
  <c r="AK485" i="20"/>
  <c r="AJ485" i="20"/>
  <c r="AF485" i="20"/>
  <c r="AE485" i="20"/>
  <c r="AD485" i="20"/>
  <c r="AB485" i="20"/>
  <c r="U485" i="20"/>
  <c r="M485" i="20"/>
  <c r="L485" i="20"/>
  <c r="S485" i="20" s="1"/>
  <c r="K485" i="20"/>
  <c r="AC485" i="20" s="1"/>
  <c r="J485" i="20"/>
  <c r="I485" i="20"/>
  <c r="H485" i="20"/>
  <c r="BG484" i="20"/>
  <c r="AZ484" i="20"/>
  <c r="AX484" i="20"/>
  <c r="BE484" i="20" s="1"/>
  <c r="BF484" i="20" s="1"/>
  <c r="AV484" i="20"/>
  <c r="AN484" i="20"/>
  <c r="AM484" i="20"/>
  <c r="AK484" i="20"/>
  <c r="AJ484" i="20"/>
  <c r="AF484" i="20"/>
  <c r="AE484" i="20"/>
  <c r="AD484" i="20"/>
  <c r="AB484" i="20"/>
  <c r="U484" i="20"/>
  <c r="M484" i="20"/>
  <c r="L484" i="20"/>
  <c r="S484" i="20" s="1"/>
  <c r="K484" i="20"/>
  <c r="AC484" i="20" s="1"/>
  <c r="J484" i="20"/>
  <c r="I484" i="20"/>
  <c r="H484" i="20"/>
  <c r="BG483" i="20"/>
  <c r="AZ483" i="20"/>
  <c r="AX483" i="20"/>
  <c r="BE483" i="20" s="1"/>
  <c r="BF483" i="20" s="1"/>
  <c r="AV483" i="20"/>
  <c r="AN483" i="20"/>
  <c r="AM483" i="20"/>
  <c r="AK483" i="20"/>
  <c r="AJ483" i="20"/>
  <c r="AF483" i="20"/>
  <c r="AE483" i="20"/>
  <c r="AD483" i="20"/>
  <c r="AB483" i="20"/>
  <c r="U483" i="20"/>
  <c r="M483" i="20"/>
  <c r="L483" i="20"/>
  <c r="S483" i="20" s="1"/>
  <c r="K483" i="20"/>
  <c r="AC483" i="20" s="1"/>
  <c r="J483" i="20"/>
  <c r="I483" i="20"/>
  <c r="H483" i="20"/>
  <c r="BG482" i="20"/>
  <c r="AZ482" i="20"/>
  <c r="AX482" i="20"/>
  <c r="BE482" i="20" s="1"/>
  <c r="BF482" i="20" s="1"/>
  <c r="AV482" i="20"/>
  <c r="AN482" i="20"/>
  <c r="AM482" i="20"/>
  <c r="AK482" i="20"/>
  <c r="AJ482" i="20"/>
  <c r="AF482" i="20"/>
  <c r="AE482" i="20"/>
  <c r="AD482" i="20"/>
  <c r="AB482" i="20"/>
  <c r="U482" i="20"/>
  <c r="M482" i="20"/>
  <c r="L482" i="20"/>
  <c r="S482" i="20" s="1"/>
  <c r="K482" i="20"/>
  <c r="AC482" i="20" s="1"/>
  <c r="J482" i="20"/>
  <c r="I482" i="20"/>
  <c r="H482" i="20"/>
  <c r="BG481" i="20"/>
  <c r="BF481" i="20"/>
  <c r="AZ481" i="20"/>
  <c r="AX481" i="20"/>
  <c r="BE481" i="20" s="1"/>
  <c r="AV481" i="20"/>
  <c r="AN481" i="20"/>
  <c r="AM481" i="20"/>
  <c r="AK481" i="20"/>
  <c r="AJ481" i="20"/>
  <c r="AF481" i="20"/>
  <c r="AE481" i="20"/>
  <c r="AD481" i="20"/>
  <c r="AB481" i="20"/>
  <c r="U481" i="20"/>
  <c r="M481" i="20"/>
  <c r="L481" i="20"/>
  <c r="K481" i="20"/>
  <c r="AC481" i="20" s="1"/>
  <c r="J481" i="20"/>
  <c r="I481" i="20"/>
  <c r="H481" i="20"/>
  <c r="BG480" i="20"/>
  <c r="AZ480" i="20"/>
  <c r="AX480" i="20"/>
  <c r="BE480" i="20" s="1"/>
  <c r="BF480" i="20" s="1"/>
  <c r="AV480" i="20"/>
  <c r="AN480" i="20"/>
  <c r="AM480" i="20"/>
  <c r="AK480" i="20"/>
  <c r="AJ480" i="20"/>
  <c r="AF480" i="20"/>
  <c r="AE480" i="20"/>
  <c r="AD480" i="20"/>
  <c r="AB480" i="20"/>
  <c r="U480" i="20"/>
  <c r="M480" i="20"/>
  <c r="L480" i="20"/>
  <c r="S480" i="20" s="1"/>
  <c r="K480" i="20"/>
  <c r="J480" i="20"/>
  <c r="I480" i="20"/>
  <c r="H480" i="20"/>
  <c r="BG479" i="20"/>
  <c r="AZ479" i="20"/>
  <c r="AX479" i="20"/>
  <c r="BE479" i="20" s="1"/>
  <c r="BF479" i="20" s="1"/>
  <c r="AV479" i="20"/>
  <c r="AN479" i="20"/>
  <c r="AM479" i="20"/>
  <c r="AK479" i="20"/>
  <c r="AJ479" i="20"/>
  <c r="AF479" i="20"/>
  <c r="AE479" i="20"/>
  <c r="AD479" i="20"/>
  <c r="AB479" i="20"/>
  <c r="U479" i="20"/>
  <c r="M479" i="20"/>
  <c r="L479" i="20"/>
  <c r="Q479" i="20" s="1"/>
  <c r="K479" i="20"/>
  <c r="AC479" i="20" s="1"/>
  <c r="J479" i="20"/>
  <c r="I479" i="20"/>
  <c r="H479" i="20"/>
  <c r="BG478" i="20"/>
  <c r="BF478" i="20"/>
  <c r="AZ478" i="20"/>
  <c r="AX478" i="20"/>
  <c r="BE478" i="20" s="1"/>
  <c r="AV478" i="20"/>
  <c r="AN478" i="20"/>
  <c r="AM478" i="20"/>
  <c r="AK478" i="20"/>
  <c r="AJ478" i="20"/>
  <c r="AF478" i="20"/>
  <c r="AE478" i="20"/>
  <c r="AD478" i="20"/>
  <c r="AB478" i="20"/>
  <c r="U478" i="20"/>
  <c r="M478" i="20"/>
  <c r="L478" i="20"/>
  <c r="S478" i="20" s="1"/>
  <c r="K478" i="20"/>
  <c r="AC478" i="20" s="1"/>
  <c r="J478" i="20"/>
  <c r="I478" i="20"/>
  <c r="H478" i="20"/>
  <c r="BG477" i="20"/>
  <c r="AZ477" i="20"/>
  <c r="AX477" i="20"/>
  <c r="BE477" i="20" s="1"/>
  <c r="BF477" i="20" s="1"/>
  <c r="AV477" i="20"/>
  <c r="AN477" i="20"/>
  <c r="AM477" i="20"/>
  <c r="AK477" i="20"/>
  <c r="AJ477" i="20"/>
  <c r="AF477" i="20"/>
  <c r="AE477" i="20"/>
  <c r="AD477" i="20"/>
  <c r="AB477" i="20"/>
  <c r="U477" i="20"/>
  <c r="M477" i="20"/>
  <c r="L477" i="20"/>
  <c r="S477" i="20" s="1"/>
  <c r="K477" i="20"/>
  <c r="AC477" i="20" s="1"/>
  <c r="J477" i="20"/>
  <c r="I477" i="20"/>
  <c r="H477" i="20"/>
  <c r="BG476" i="20"/>
  <c r="AZ476" i="20"/>
  <c r="AX476" i="20"/>
  <c r="BE476" i="20" s="1"/>
  <c r="BF476" i="20" s="1"/>
  <c r="AV476" i="20"/>
  <c r="AN476" i="20"/>
  <c r="AM476" i="20"/>
  <c r="AK476" i="20"/>
  <c r="AJ476" i="20"/>
  <c r="AF476" i="20"/>
  <c r="AE476" i="20"/>
  <c r="AD476" i="20"/>
  <c r="AB476" i="20"/>
  <c r="U476" i="20"/>
  <c r="M476" i="20"/>
  <c r="L476" i="20"/>
  <c r="S476" i="20" s="1"/>
  <c r="K476" i="20"/>
  <c r="AC476" i="20" s="1"/>
  <c r="J476" i="20"/>
  <c r="I476" i="20"/>
  <c r="H476" i="20"/>
  <c r="BG475" i="20"/>
  <c r="AZ475" i="20"/>
  <c r="AX475" i="20"/>
  <c r="BE475" i="20" s="1"/>
  <c r="BF475" i="20" s="1"/>
  <c r="AV475" i="20"/>
  <c r="AN475" i="20"/>
  <c r="AM475" i="20"/>
  <c r="AK475" i="20"/>
  <c r="AJ475" i="20"/>
  <c r="AF475" i="20"/>
  <c r="AE475" i="20"/>
  <c r="AD475" i="20"/>
  <c r="AB475" i="20"/>
  <c r="U475" i="20"/>
  <c r="Q475" i="20"/>
  <c r="V475" i="20" s="1"/>
  <c r="M475" i="20"/>
  <c r="L475" i="20"/>
  <c r="S475" i="20" s="1"/>
  <c r="K475" i="20"/>
  <c r="AC475" i="20" s="1"/>
  <c r="J475" i="20"/>
  <c r="I475" i="20"/>
  <c r="H475" i="20"/>
  <c r="BG474" i="20"/>
  <c r="AZ474" i="20"/>
  <c r="AX474" i="20"/>
  <c r="BE474" i="20" s="1"/>
  <c r="BF474" i="20" s="1"/>
  <c r="AV474" i="20"/>
  <c r="AN474" i="20"/>
  <c r="AM474" i="20"/>
  <c r="AK474" i="20"/>
  <c r="AJ474" i="20"/>
  <c r="AF474" i="20"/>
  <c r="AE474" i="20"/>
  <c r="AD474" i="20"/>
  <c r="AB474" i="20"/>
  <c r="U474" i="20"/>
  <c r="M474" i="20"/>
  <c r="L474" i="20"/>
  <c r="S474" i="20" s="1"/>
  <c r="K474" i="20"/>
  <c r="AC474" i="20" s="1"/>
  <c r="J474" i="20"/>
  <c r="I474" i="20"/>
  <c r="H474" i="20"/>
  <c r="BG473" i="20"/>
  <c r="AZ473" i="20"/>
  <c r="AX473" i="20"/>
  <c r="BE473" i="20" s="1"/>
  <c r="BF473" i="20" s="1"/>
  <c r="AV473" i="20"/>
  <c r="AN473" i="20"/>
  <c r="AM473" i="20"/>
  <c r="AK473" i="20"/>
  <c r="AJ473" i="20"/>
  <c r="AF473" i="20"/>
  <c r="AE473" i="20"/>
  <c r="AD473" i="20"/>
  <c r="AB473" i="20"/>
  <c r="U473" i="20"/>
  <c r="M473" i="20"/>
  <c r="L473" i="20"/>
  <c r="S473" i="20" s="1"/>
  <c r="K473" i="20"/>
  <c r="AC473" i="20" s="1"/>
  <c r="J473" i="20"/>
  <c r="I473" i="20"/>
  <c r="H473" i="20"/>
  <c r="BG472" i="20"/>
  <c r="AZ472" i="20"/>
  <c r="AX472" i="20"/>
  <c r="BE472" i="20" s="1"/>
  <c r="BF472" i="20" s="1"/>
  <c r="AV472" i="20"/>
  <c r="AN472" i="20"/>
  <c r="AM472" i="20"/>
  <c r="AK472" i="20"/>
  <c r="AJ472" i="20"/>
  <c r="AF472" i="20"/>
  <c r="AE472" i="20"/>
  <c r="AD472" i="20"/>
  <c r="AB472" i="20"/>
  <c r="U472" i="20"/>
  <c r="M472" i="20"/>
  <c r="L472" i="20"/>
  <c r="S472" i="20" s="1"/>
  <c r="K472" i="20"/>
  <c r="J472" i="20"/>
  <c r="I472" i="20"/>
  <c r="H472" i="20"/>
  <c r="BG471" i="20"/>
  <c r="BF471" i="20"/>
  <c r="BE471" i="20"/>
  <c r="AV471" i="20"/>
  <c r="AF471" i="20"/>
  <c r="AE471" i="20"/>
  <c r="AD471" i="20"/>
  <c r="AB471" i="20"/>
  <c r="U471" i="20"/>
  <c r="S471" i="20"/>
  <c r="M471" i="20"/>
  <c r="L471" i="20"/>
  <c r="Q471" i="20" s="1"/>
  <c r="V471" i="20" s="1"/>
  <c r="K471" i="20"/>
  <c r="AC471" i="20" s="1"/>
  <c r="J471" i="20"/>
  <c r="I471" i="20"/>
  <c r="H471" i="20"/>
  <c r="BG470" i="20"/>
  <c r="BE470" i="20"/>
  <c r="BF470" i="20" s="1"/>
  <c r="AV470" i="20"/>
  <c r="AF470" i="20"/>
  <c r="AE470" i="20"/>
  <c r="AD470" i="20"/>
  <c r="AB470" i="20"/>
  <c r="U470" i="20"/>
  <c r="M470" i="20"/>
  <c r="L470" i="20"/>
  <c r="K470" i="20"/>
  <c r="AC470" i="20" s="1"/>
  <c r="J470" i="20"/>
  <c r="I470" i="20"/>
  <c r="H470" i="20"/>
  <c r="BG469" i="20"/>
  <c r="BE469" i="20"/>
  <c r="BF469" i="20" s="1"/>
  <c r="AV469" i="20"/>
  <c r="AF469" i="20"/>
  <c r="AE469" i="20"/>
  <c r="AD469" i="20"/>
  <c r="AB469" i="20"/>
  <c r="U469" i="20"/>
  <c r="M469" i="20"/>
  <c r="L469" i="20"/>
  <c r="Q469" i="20" s="1"/>
  <c r="K469" i="20"/>
  <c r="AC469" i="20" s="1"/>
  <c r="J469" i="20"/>
  <c r="I469" i="20"/>
  <c r="H469" i="20"/>
  <c r="BG468" i="20"/>
  <c r="BE468" i="20"/>
  <c r="BF468" i="20" s="1"/>
  <c r="AV468" i="20"/>
  <c r="AF468" i="20"/>
  <c r="AE468" i="20"/>
  <c r="AD468" i="20"/>
  <c r="AB468" i="20"/>
  <c r="U468" i="20"/>
  <c r="M468" i="20"/>
  <c r="L468" i="20"/>
  <c r="Q468" i="20" s="1"/>
  <c r="K468" i="20"/>
  <c r="AC468" i="20" s="1"/>
  <c r="J468" i="20"/>
  <c r="I468" i="20"/>
  <c r="H468" i="20"/>
  <c r="BG467" i="20"/>
  <c r="BE467" i="20"/>
  <c r="BF467" i="20" s="1"/>
  <c r="AV467" i="20"/>
  <c r="AF467" i="20"/>
  <c r="AE467" i="20"/>
  <c r="AD467" i="20"/>
  <c r="AB467" i="20"/>
  <c r="U467" i="20"/>
  <c r="M467" i="20"/>
  <c r="L467" i="20"/>
  <c r="Q467" i="20" s="1"/>
  <c r="V467" i="20" s="1"/>
  <c r="K467" i="20"/>
  <c r="AC467" i="20" s="1"/>
  <c r="J467" i="20"/>
  <c r="I467" i="20"/>
  <c r="H467" i="20"/>
  <c r="BG466" i="20"/>
  <c r="BF466" i="20"/>
  <c r="BE466" i="20"/>
  <c r="AV466" i="20"/>
  <c r="AF466" i="20"/>
  <c r="AE466" i="20"/>
  <c r="AD466" i="20"/>
  <c r="AB466" i="20"/>
  <c r="U466" i="20"/>
  <c r="M466" i="20"/>
  <c r="L466" i="20"/>
  <c r="S466" i="20" s="1"/>
  <c r="K466" i="20"/>
  <c r="AC466" i="20" s="1"/>
  <c r="J466" i="20"/>
  <c r="I466" i="20"/>
  <c r="H466" i="20"/>
  <c r="BG465" i="20"/>
  <c r="BE465" i="20"/>
  <c r="BF465" i="20" s="1"/>
  <c r="AV465" i="20"/>
  <c r="AF465" i="20"/>
  <c r="AE465" i="20"/>
  <c r="AD465" i="20"/>
  <c r="AB465" i="20"/>
  <c r="U465" i="20"/>
  <c r="M465" i="20"/>
  <c r="L465" i="20"/>
  <c r="K465" i="20"/>
  <c r="AC465" i="20" s="1"/>
  <c r="J465" i="20"/>
  <c r="I465" i="20"/>
  <c r="H465" i="20"/>
  <c r="BG464" i="20"/>
  <c r="BE464" i="20"/>
  <c r="BF464" i="20" s="1"/>
  <c r="AV464" i="20"/>
  <c r="AF464" i="20"/>
  <c r="AE464" i="20"/>
  <c r="AD464" i="20"/>
  <c r="AB464" i="20"/>
  <c r="U464" i="20"/>
  <c r="M464" i="20"/>
  <c r="L464" i="20"/>
  <c r="Q464" i="20" s="1"/>
  <c r="V464" i="20" s="1"/>
  <c r="K464" i="20"/>
  <c r="J464" i="20"/>
  <c r="I464" i="20"/>
  <c r="H464" i="20"/>
  <c r="BG463" i="20"/>
  <c r="BE463" i="20"/>
  <c r="BF463" i="20" s="1"/>
  <c r="AV463" i="20"/>
  <c r="AF463" i="20"/>
  <c r="AE463" i="20"/>
  <c r="AD463" i="20"/>
  <c r="AB463" i="20"/>
  <c r="U463" i="20"/>
  <c r="M463" i="20"/>
  <c r="L463" i="20"/>
  <c r="Q463" i="20" s="1"/>
  <c r="V463" i="20" s="1"/>
  <c r="K463" i="20"/>
  <c r="AC463" i="20" s="1"/>
  <c r="J463" i="20"/>
  <c r="I463" i="20"/>
  <c r="H463" i="20"/>
  <c r="BG462" i="20"/>
  <c r="BE462" i="20"/>
  <c r="BF462" i="20" s="1"/>
  <c r="AV462" i="20"/>
  <c r="AF462" i="20"/>
  <c r="AE462" i="20"/>
  <c r="AD462" i="20"/>
  <c r="AB462" i="20"/>
  <c r="U462" i="20"/>
  <c r="M462" i="20"/>
  <c r="L462" i="20"/>
  <c r="S462" i="20" s="1"/>
  <c r="K462" i="20"/>
  <c r="AC462" i="20" s="1"/>
  <c r="J462" i="20"/>
  <c r="I462" i="20"/>
  <c r="H462" i="20"/>
  <c r="BE461" i="20"/>
  <c r="BF461" i="20" s="1"/>
  <c r="BD461" i="20"/>
  <c r="BG461" i="20" s="1"/>
  <c r="AZ461" i="20"/>
  <c r="AX461" i="20"/>
  <c r="AV461" i="20"/>
  <c r="AN461" i="20"/>
  <c r="AM461" i="20"/>
  <c r="AK461" i="20"/>
  <c r="AJ461" i="20"/>
  <c r="AF461" i="20"/>
  <c r="AE461" i="20"/>
  <c r="AD461" i="20"/>
  <c r="AB461" i="20"/>
  <c r="U461" i="20"/>
  <c r="M461" i="20"/>
  <c r="L461" i="20"/>
  <c r="K461" i="20"/>
  <c r="AC461" i="20" s="1"/>
  <c r="J461" i="20"/>
  <c r="I461" i="20"/>
  <c r="H461" i="20"/>
  <c r="BN460" i="20"/>
  <c r="BO460" i="20" s="1"/>
  <c r="BD460" i="20" s="1"/>
  <c r="BL460" i="20"/>
  <c r="AZ460" i="20"/>
  <c r="AV460" i="20"/>
  <c r="AF460" i="20"/>
  <c r="AE460" i="20"/>
  <c r="AD460" i="20"/>
  <c r="AB460" i="20"/>
  <c r="U460" i="20"/>
  <c r="M460" i="20"/>
  <c r="L460" i="20"/>
  <c r="S460" i="20" s="1"/>
  <c r="K460" i="20"/>
  <c r="AC460" i="20" s="1"/>
  <c r="J460" i="20"/>
  <c r="I460" i="20"/>
  <c r="H460" i="20"/>
  <c r="BG459" i="20"/>
  <c r="AZ459" i="20"/>
  <c r="AX459" i="20"/>
  <c r="BE459" i="20" s="1"/>
  <c r="BF459" i="20" s="1"/>
  <c r="AV459" i="20"/>
  <c r="AF459" i="20"/>
  <c r="AE459" i="20"/>
  <c r="AD459" i="20"/>
  <c r="AB459" i="20"/>
  <c r="U459" i="20"/>
  <c r="M459" i="20"/>
  <c r="L459" i="20"/>
  <c r="K459" i="20"/>
  <c r="AC459" i="20" s="1"/>
  <c r="J459" i="20"/>
  <c r="I459" i="20"/>
  <c r="H459" i="20"/>
  <c r="BG458" i="20"/>
  <c r="AZ458" i="20"/>
  <c r="AX458" i="20"/>
  <c r="BE458" i="20" s="1"/>
  <c r="BF458" i="20" s="1"/>
  <c r="AV458" i="20"/>
  <c r="AL458" i="20"/>
  <c r="AI458" i="20"/>
  <c r="AK458" i="20" s="1"/>
  <c r="AF458" i="20"/>
  <c r="AE458" i="20"/>
  <c r="AD458" i="20"/>
  <c r="AB458" i="20"/>
  <c r="U458" i="20"/>
  <c r="M458" i="20"/>
  <c r="L458" i="20"/>
  <c r="Q458" i="20" s="1"/>
  <c r="K458" i="20"/>
  <c r="BC458" i="20" s="1"/>
  <c r="J458" i="20"/>
  <c r="I458" i="20"/>
  <c r="H458" i="20"/>
  <c r="BG457" i="20"/>
  <c r="AZ457" i="20"/>
  <c r="AX457" i="20"/>
  <c r="BE457" i="20" s="1"/>
  <c r="BF457" i="20" s="1"/>
  <c r="AV457" i="20"/>
  <c r="AL457" i="20"/>
  <c r="AM457" i="20" s="1"/>
  <c r="AK457" i="20"/>
  <c r="AJ457" i="20"/>
  <c r="AI457" i="20"/>
  <c r="AF457" i="20"/>
  <c r="AE457" i="20"/>
  <c r="AD457" i="20"/>
  <c r="AB457" i="20"/>
  <c r="U457" i="20"/>
  <c r="M457" i="20"/>
  <c r="L457" i="20"/>
  <c r="S457" i="20" s="1"/>
  <c r="K457" i="20"/>
  <c r="AC457" i="20" s="1"/>
  <c r="J457" i="20"/>
  <c r="I457" i="20"/>
  <c r="H457" i="20"/>
  <c r="BG456" i="20"/>
  <c r="BE456" i="20"/>
  <c r="BF456" i="20" s="1"/>
  <c r="AZ456" i="20"/>
  <c r="AX456" i="20"/>
  <c r="AV456" i="20"/>
  <c r="AL456" i="20"/>
  <c r="AN456" i="20" s="1"/>
  <c r="AI456" i="20"/>
  <c r="AK456" i="20" s="1"/>
  <c r="AF456" i="20"/>
  <c r="AE456" i="20"/>
  <c r="AD456" i="20"/>
  <c r="AB456" i="20"/>
  <c r="U456" i="20"/>
  <c r="M456" i="20"/>
  <c r="L456" i="20"/>
  <c r="S456" i="20" s="1"/>
  <c r="K456" i="20"/>
  <c r="AC456" i="20" s="1"/>
  <c r="J456" i="20"/>
  <c r="I456" i="20"/>
  <c r="H456" i="20"/>
  <c r="BG455" i="20"/>
  <c r="AZ455" i="20"/>
  <c r="AW455" i="20"/>
  <c r="AX455" i="20" s="1"/>
  <c r="BE455" i="20" s="1"/>
  <c r="BF455" i="20" s="1"/>
  <c r="AV455" i="20"/>
  <c r="AP455" i="20"/>
  <c r="AF455" i="20"/>
  <c r="AE455" i="20"/>
  <c r="AD455" i="20"/>
  <c r="AB455" i="20"/>
  <c r="U455" i="20"/>
  <c r="M455" i="20"/>
  <c r="L455" i="20"/>
  <c r="Q455" i="20" s="1"/>
  <c r="K455" i="20"/>
  <c r="AC455" i="20" s="1"/>
  <c r="J455" i="20"/>
  <c r="I455" i="20"/>
  <c r="H455" i="20"/>
  <c r="BG454" i="20"/>
  <c r="AZ454" i="20"/>
  <c r="AX454" i="20"/>
  <c r="BE454" i="20" s="1"/>
  <c r="BF454" i="20" s="1"/>
  <c r="AV454" i="20"/>
  <c r="AN454" i="20"/>
  <c r="AM454" i="20"/>
  <c r="AK454" i="20"/>
  <c r="AJ454" i="20"/>
  <c r="AF454" i="20"/>
  <c r="AE454" i="20"/>
  <c r="AD454" i="20"/>
  <c r="AB454" i="20"/>
  <c r="U454" i="20"/>
  <c r="M454" i="20"/>
  <c r="L454" i="20"/>
  <c r="Q454" i="20" s="1"/>
  <c r="K454" i="20"/>
  <c r="AC454" i="20" s="1"/>
  <c r="J454" i="20"/>
  <c r="I454" i="20"/>
  <c r="H454" i="20"/>
  <c r="BG453" i="20"/>
  <c r="AZ453" i="20"/>
  <c r="AX453" i="20"/>
  <c r="BE453" i="20" s="1"/>
  <c r="BF453" i="20" s="1"/>
  <c r="AV453" i="20"/>
  <c r="AN453" i="20"/>
  <c r="AM453" i="20"/>
  <c r="AK453" i="20"/>
  <c r="AJ453" i="20"/>
  <c r="AF453" i="20"/>
  <c r="AE453" i="20"/>
  <c r="AD453" i="20"/>
  <c r="AB453" i="20"/>
  <c r="U453" i="20"/>
  <c r="M453" i="20"/>
  <c r="L453" i="20"/>
  <c r="S453" i="20" s="1"/>
  <c r="K453" i="20"/>
  <c r="AC453" i="20" s="1"/>
  <c r="J453" i="20"/>
  <c r="I453" i="20"/>
  <c r="H453" i="20"/>
  <c r="BG452" i="20"/>
  <c r="AZ452" i="20"/>
  <c r="AX452" i="20"/>
  <c r="BE452" i="20" s="1"/>
  <c r="BF452" i="20" s="1"/>
  <c r="AV452" i="20"/>
  <c r="AN452" i="20"/>
  <c r="AM452" i="20"/>
  <c r="AK452" i="20"/>
  <c r="AJ452" i="20"/>
  <c r="AF452" i="20"/>
  <c r="AE452" i="20"/>
  <c r="AD452" i="20"/>
  <c r="AB452" i="20"/>
  <c r="U452" i="20"/>
  <c r="M452" i="20"/>
  <c r="L452" i="20"/>
  <c r="K452" i="20"/>
  <c r="AC452" i="20" s="1"/>
  <c r="J452" i="20"/>
  <c r="I452" i="20"/>
  <c r="H452" i="20"/>
  <c r="BG451" i="20"/>
  <c r="AZ451" i="20"/>
  <c r="AX451" i="20"/>
  <c r="BE451" i="20" s="1"/>
  <c r="BF451" i="20" s="1"/>
  <c r="AV451" i="20"/>
  <c r="AN451" i="20"/>
  <c r="AM451" i="20"/>
  <c r="AK451" i="20"/>
  <c r="AJ451" i="20"/>
  <c r="AF451" i="20"/>
  <c r="AE451" i="20"/>
  <c r="AD451" i="20"/>
  <c r="AB451" i="20"/>
  <c r="U451" i="20"/>
  <c r="M451" i="20"/>
  <c r="L451" i="20"/>
  <c r="Q451" i="20" s="1"/>
  <c r="V451" i="20" s="1"/>
  <c r="K451" i="20"/>
  <c r="AC451" i="20" s="1"/>
  <c r="J451" i="20"/>
  <c r="I451" i="20"/>
  <c r="H451" i="20"/>
  <c r="BG450" i="20"/>
  <c r="AZ450" i="20"/>
  <c r="AX450" i="20"/>
  <c r="BE450" i="20" s="1"/>
  <c r="BF450" i="20" s="1"/>
  <c r="AV450" i="20"/>
  <c r="AN450" i="20"/>
  <c r="AM450" i="20"/>
  <c r="AK450" i="20"/>
  <c r="AJ450" i="20"/>
  <c r="AF450" i="20"/>
  <c r="AE450" i="20"/>
  <c r="AD450" i="20"/>
  <c r="AB450" i="20"/>
  <c r="U450" i="20"/>
  <c r="S450" i="20"/>
  <c r="M450" i="20"/>
  <c r="L450" i="20"/>
  <c r="Q450" i="20" s="1"/>
  <c r="K450" i="20"/>
  <c r="AC450" i="20" s="1"/>
  <c r="J450" i="20"/>
  <c r="I450" i="20"/>
  <c r="H450" i="20"/>
  <c r="BG449" i="20"/>
  <c r="AZ449" i="20"/>
  <c r="AX449" i="20"/>
  <c r="BE449" i="20" s="1"/>
  <c r="BF449" i="20" s="1"/>
  <c r="AV449" i="20"/>
  <c r="AF449" i="20"/>
  <c r="AE449" i="20"/>
  <c r="AD449" i="20"/>
  <c r="AB449" i="20"/>
  <c r="U449" i="20"/>
  <c r="M449" i="20"/>
  <c r="L449" i="20"/>
  <c r="K449" i="20"/>
  <c r="AC449" i="20" s="1"/>
  <c r="J449" i="20"/>
  <c r="I449" i="20"/>
  <c r="H449" i="20"/>
  <c r="BG448" i="20"/>
  <c r="AZ448" i="20"/>
  <c r="AX448" i="20"/>
  <c r="BE448" i="20" s="1"/>
  <c r="BF448" i="20" s="1"/>
  <c r="AV448" i="20"/>
  <c r="AF448" i="20"/>
  <c r="AE448" i="20"/>
  <c r="AD448" i="20"/>
  <c r="AB448" i="20"/>
  <c r="U448" i="20"/>
  <c r="M448" i="20"/>
  <c r="L448" i="20"/>
  <c r="Q448" i="20" s="1"/>
  <c r="V448" i="20" s="1"/>
  <c r="K448" i="20"/>
  <c r="AC448" i="20" s="1"/>
  <c r="J448" i="20"/>
  <c r="I448" i="20"/>
  <c r="H448" i="20"/>
  <c r="AZ447" i="20"/>
  <c r="AX447" i="20"/>
  <c r="BD447" i="20" s="1"/>
  <c r="BG447" i="20" s="1"/>
  <c r="AV447" i="20"/>
  <c r="AL447" i="20"/>
  <c r="AN447" i="20" s="1"/>
  <c r="AI447" i="20"/>
  <c r="AK447" i="20" s="1"/>
  <c r="AF447" i="20"/>
  <c r="AE447" i="20"/>
  <c r="AD447" i="20"/>
  <c r="AB447" i="20"/>
  <c r="U447" i="20"/>
  <c r="M447" i="20"/>
  <c r="L447" i="20"/>
  <c r="S447" i="20" s="1"/>
  <c r="K447" i="20"/>
  <c r="AC447" i="20" s="1"/>
  <c r="J447" i="20"/>
  <c r="I447" i="20"/>
  <c r="H447" i="20"/>
  <c r="BD446" i="20"/>
  <c r="AX446" i="20"/>
  <c r="BE446" i="20" s="1"/>
  <c r="BF446" i="20" s="1"/>
  <c r="AV446" i="20"/>
  <c r="AL446" i="20"/>
  <c r="AN446" i="20" s="1"/>
  <c r="AI446" i="20"/>
  <c r="AK446" i="20" s="1"/>
  <c r="AF446" i="20"/>
  <c r="AE446" i="20"/>
  <c r="AD446" i="20"/>
  <c r="AB446" i="20"/>
  <c r="U446" i="20"/>
  <c r="M446" i="20"/>
  <c r="L446" i="20"/>
  <c r="K446" i="20"/>
  <c r="AC446" i="20" s="1"/>
  <c r="J446" i="20"/>
  <c r="I446" i="20"/>
  <c r="H446" i="20"/>
  <c r="BD445" i="20"/>
  <c r="AX445" i="20"/>
  <c r="AV445" i="20"/>
  <c r="AL445" i="20"/>
  <c r="AN445" i="20" s="1"/>
  <c r="AI445" i="20"/>
  <c r="AK445" i="20" s="1"/>
  <c r="AF445" i="20"/>
  <c r="AE445" i="20"/>
  <c r="AD445" i="20"/>
  <c r="AB445" i="20"/>
  <c r="U445" i="20"/>
  <c r="M445" i="20"/>
  <c r="L445" i="20"/>
  <c r="S445" i="20" s="1"/>
  <c r="K445" i="20"/>
  <c r="AC445" i="20" s="1"/>
  <c r="J445" i="20"/>
  <c r="I445" i="20"/>
  <c r="H445" i="20"/>
  <c r="BD444" i="20"/>
  <c r="BE444" i="20" s="1"/>
  <c r="BF444" i="20" s="1"/>
  <c r="AX444" i="20"/>
  <c r="AV444" i="20"/>
  <c r="AN444" i="20"/>
  <c r="AL444" i="20"/>
  <c r="AI444" i="20"/>
  <c r="AK444" i="20" s="1"/>
  <c r="AF444" i="20"/>
  <c r="AE444" i="20"/>
  <c r="AD444" i="20"/>
  <c r="AB444" i="20"/>
  <c r="U444" i="20"/>
  <c r="M444" i="20"/>
  <c r="L444" i="20"/>
  <c r="K444" i="20"/>
  <c r="AC444" i="20" s="1"/>
  <c r="J444" i="20"/>
  <c r="I444" i="20"/>
  <c r="H444" i="20"/>
  <c r="BG443" i="20"/>
  <c r="BD443" i="20" s="1"/>
  <c r="BE443" i="20" s="1"/>
  <c r="BF443" i="20" s="1"/>
  <c r="AX443" i="20"/>
  <c r="AV443" i="20"/>
  <c r="AL443" i="20"/>
  <c r="AN443" i="20" s="1"/>
  <c r="AI443" i="20"/>
  <c r="AK443" i="20" s="1"/>
  <c r="AF443" i="20"/>
  <c r="AE443" i="20"/>
  <c r="AD443" i="20"/>
  <c r="AB443" i="20"/>
  <c r="U443" i="20"/>
  <c r="S443" i="20"/>
  <c r="M443" i="20"/>
  <c r="L443" i="20"/>
  <c r="Q443" i="20" s="1"/>
  <c r="K443" i="20"/>
  <c r="AC443" i="20" s="1"/>
  <c r="J443" i="20"/>
  <c r="I443" i="20"/>
  <c r="H443" i="20"/>
  <c r="BG442" i="20"/>
  <c r="BD442" i="20" s="1"/>
  <c r="BE442" i="20" s="1"/>
  <c r="BF442" i="20" s="1"/>
  <c r="AX442" i="20"/>
  <c r="AV442" i="20"/>
  <c r="AL442" i="20"/>
  <c r="AN442" i="20" s="1"/>
  <c r="AI442" i="20"/>
  <c r="AK442" i="20" s="1"/>
  <c r="AF442" i="20"/>
  <c r="AE442" i="20"/>
  <c r="AD442" i="20"/>
  <c r="AB442" i="20"/>
  <c r="U442" i="20"/>
  <c r="S442" i="20"/>
  <c r="T442" i="20" s="1"/>
  <c r="M442" i="20"/>
  <c r="L442" i="20"/>
  <c r="Q442" i="20" s="1"/>
  <c r="V442" i="20" s="1"/>
  <c r="K442" i="20"/>
  <c r="AC442" i="20" s="1"/>
  <c r="J442" i="20"/>
  <c r="I442" i="20"/>
  <c r="H442" i="20"/>
  <c r="BD441" i="20"/>
  <c r="BE441" i="20" s="1"/>
  <c r="BF441" i="20" s="1"/>
  <c r="AX441" i="20"/>
  <c r="AV441" i="20"/>
  <c r="AL441" i="20"/>
  <c r="AN441" i="20" s="1"/>
  <c r="AI441" i="20"/>
  <c r="AK441" i="20" s="1"/>
  <c r="AF441" i="20"/>
  <c r="AE441" i="20"/>
  <c r="AD441" i="20"/>
  <c r="AB441" i="20"/>
  <c r="U441" i="20"/>
  <c r="M441" i="20"/>
  <c r="L441" i="20"/>
  <c r="S441" i="20" s="1"/>
  <c r="K441" i="20"/>
  <c r="AC441" i="20" s="1"/>
  <c r="J441" i="20"/>
  <c r="I441" i="20"/>
  <c r="H441" i="20"/>
  <c r="BD440" i="20"/>
  <c r="BE440" i="20" s="1"/>
  <c r="BF440" i="20" s="1"/>
  <c r="AX440" i="20"/>
  <c r="AV440" i="20"/>
  <c r="AL440" i="20"/>
  <c r="AN440" i="20" s="1"/>
  <c r="AI440" i="20"/>
  <c r="AK440" i="20" s="1"/>
  <c r="AF440" i="20"/>
  <c r="AE440" i="20"/>
  <c r="AD440" i="20"/>
  <c r="AB440" i="20"/>
  <c r="U440" i="20"/>
  <c r="M440" i="20"/>
  <c r="L440" i="20"/>
  <c r="S440" i="20" s="1"/>
  <c r="K440" i="20"/>
  <c r="J440" i="20"/>
  <c r="I440" i="20"/>
  <c r="H440" i="20"/>
  <c r="BG439" i="20"/>
  <c r="BD439" i="20" s="1"/>
  <c r="AX439" i="20"/>
  <c r="AV439" i="20"/>
  <c r="AL439" i="20"/>
  <c r="AN439" i="20" s="1"/>
  <c r="AI439" i="20"/>
  <c r="AK439" i="20" s="1"/>
  <c r="AF439" i="20"/>
  <c r="AE439" i="20"/>
  <c r="AD439" i="20"/>
  <c r="AB439" i="20"/>
  <c r="U439" i="20"/>
  <c r="M439" i="20"/>
  <c r="L439" i="20"/>
  <c r="K439" i="20"/>
  <c r="AC439" i="20" s="1"/>
  <c r="J439" i="20"/>
  <c r="I439" i="20"/>
  <c r="H439" i="20"/>
  <c r="BD438" i="20"/>
  <c r="BE438" i="20" s="1"/>
  <c r="BF438" i="20" s="1"/>
  <c r="AX438" i="20"/>
  <c r="AV438" i="20"/>
  <c r="AN438" i="20"/>
  <c r="AL438" i="20"/>
  <c r="AI438" i="20"/>
  <c r="AK438" i="20" s="1"/>
  <c r="AF438" i="20"/>
  <c r="AE438" i="20"/>
  <c r="AD438" i="20"/>
  <c r="AB438" i="20"/>
  <c r="U438" i="20"/>
  <c r="M438" i="20"/>
  <c r="L438" i="20"/>
  <c r="S438" i="20" s="1"/>
  <c r="K438" i="20"/>
  <c r="AC438" i="20" s="1"/>
  <c r="J438" i="20"/>
  <c r="I438" i="20"/>
  <c r="H438" i="20"/>
  <c r="BG437" i="20"/>
  <c r="AX437" i="20"/>
  <c r="BE437" i="20" s="1"/>
  <c r="BF437" i="20" s="1"/>
  <c r="AV437" i="20"/>
  <c r="AN437" i="20"/>
  <c r="AM437" i="20"/>
  <c r="AK437" i="20"/>
  <c r="AJ437" i="20"/>
  <c r="AF437" i="20"/>
  <c r="AE437" i="20"/>
  <c r="AD437" i="20"/>
  <c r="AB437" i="20"/>
  <c r="U437" i="20"/>
  <c r="M437" i="20"/>
  <c r="L437" i="20"/>
  <c r="Q437" i="20" s="1"/>
  <c r="V437" i="20" s="1"/>
  <c r="K437" i="20"/>
  <c r="AC437" i="20" s="1"/>
  <c r="J437" i="20"/>
  <c r="I437" i="20"/>
  <c r="H437" i="20"/>
  <c r="BG436" i="20"/>
  <c r="AX436" i="20"/>
  <c r="BE436" i="20" s="1"/>
  <c r="BF436" i="20" s="1"/>
  <c r="AV436" i="20"/>
  <c r="AN436" i="20"/>
  <c r="AM436" i="20"/>
  <c r="AK436" i="20"/>
  <c r="AJ436" i="20"/>
  <c r="AF436" i="20"/>
  <c r="AE436" i="20"/>
  <c r="AD436" i="20"/>
  <c r="AB436" i="20"/>
  <c r="U436" i="20"/>
  <c r="M436" i="20"/>
  <c r="L436" i="20"/>
  <c r="S436" i="20" s="1"/>
  <c r="K436" i="20"/>
  <c r="AC436" i="20" s="1"/>
  <c r="J436" i="20"/>
  <c r="I436" i="20"/>
  <c r="H436" i="20"/>
  <c r="BG435" i="20"/>
  <c r="AX435" i="20"/>
  <c r="BE435" i="20" s="1"/>
  <c r="BF435" i="20" s="1"/>
  <c r="AV435" i="20"/>
  <c r="AN435" i="20"/>
  <c r="AM435" i="20"/>
  <c r="AK435" i="20"/>
  <c r="AJ435" i="20"/>
  <c r="AF435" i="20"/>
  <c r="AE435" i="20"/>
  <c r="AD435" i="20"/>
  <c r="AB435" i="20"/>
  <c r="U435" i="20"/>
  <c r="M435" i="20"/>
  <c r="L435" i="20"/>
  <c r="S435" i="20" s="1"/>
  <c r="K435" i="20"/>
  <c r="AC435" i="20" s="1"/>
  <c r="J435" i="20"/>
  <c r="I435" i="20"/>
  <c r="H435" i="20"/>
  <c r="BG434" i="20"/>
  <c r="BE434" i="20"/>
  <c r="BF434" i="20" s="1"/>
  <c r="AX434" i="20"/>
  <c r="AV434" i="20"/>
  <c r="AN434" i="20"/>
  <c r="AM434" i="20"/>
  <c r="AK434" i="20"/>
  <c r="AJ434" i="20"/>
  <c r="AF434" i="20"/>
  <c r="AE434" i="20"/>
  <c r="AD434" i="20"/>
  <c r="AB434" i="20"/>
  <c r="U434" i="20"/>
  <c r="M434" i="20"/>
  <c r="L434" i="20"/>
  <c r="S434" i="20" s="1"/>
  <c r="K434" i="20"/>
  <c r="AC434" i="20" s="1"/>
  <c r="J434" i="20"/>
  <c r="I434" i="20"/>
  <c r="H434" i="20"/>
  <c r="BG433" i="20"/>
  <c r="BF433" i="20"/>
  <c r="BE433" i="20"/>
  <c r="AX433" i="20"/>
  <c r="AV433" i="20"/>
  <c r="AN433" i="20"/>
  <c r="AM433" i="20"/>
  <c r="AK433" i="20"/>
  <c r="AJ433" i="20"/>
  <c r="AF433" i="20"/>
  <c r="AE433" i="20"/>
  <c r="AD433" i="20"/>
  <c r="AB433" i="20"/>
  <c r="U433" i="20"/>
  <c r="M433" i="20"/>
  <c r="L433" i="20"/>
  <c r="S433" i="20" s="1"/>
  <c r="K433" i="20"/>
  <c r="AC433" i="20" s="1"/>
  <c r="J433" i="20"/>
  <c r="I433" i="20"/>
  <c r="H433" i="20"/>
  <c r="BG432" i="20"/>
  <c r="AX432" i="20"/>
  <c r="BE432" i="20" s="1"/>
  <c r="BF432" i="20" s="1"/>
  <c r="AV432" i="20"/>
  <c r="AN432" i="20"/>
  <c r="AM432" i="20"/>
  <c r="AK432" i="20"/>
  <c r="AJ432" i="20"/>
  <c r="AF432" i="20"/>
  <c r="AE432" i="20"/>
  <c r="AD432" i="20"/>
  <c r="AB432" i="20"/>
  <c r="U432" i="20"/>
  <c r="M432" i="20"/>
  <c r="L432" i="20"/>
  <c r="S432" i="20" s="1"/>
  <c r="K432" i="20"/>
  <c r="AC432" i="20" s="1"/>
  <c r="J432" i="20"/>
  <c r="I432" i="20"/>
  <c r="H432" i="20"/>
  <c r="BG431" i="20"/>
  <c r="AX431" i="20"/>
  <c r="BE431" i="20" s="1"/>
  <c r="BF431" i="20" s="1"/>
  <c r="AV431" i="20"/>
  <c r="AN431" i="20"/>
  <c r="AM431" i="20"/>
  <c r="AK431" i="20"/>
  <c r="AJ431" i="20"/>
  <c r="AF431" i="20"/>
  <c r="AE431" i="20"/>
  <c r="AD431" i="20"/>
  <c r="AB431" i="20"/>
  <c r="U431" i="20"/>
  <c r="M431" i="20"/>
  <c r="L431" i="20"/>
  <c r="K431" i="20"/>
  <c r="AC431" i="20" s="1"/>
  <c r="J431" i="20"/>
  <c r="I431" i="20"/>
  <c r="H431" i="20"/>
  <c r="BG430" i="20"/>
  <c r="AX430" i="20"/>
  <c r="BE430" i="20" s="1"/>
  <c r="BF430" i="20" s="1"/>
  <c r="AV430" i="20"/>
  <c r="AN430" i="20"/>
  <c r="AM430" i="20"/>
  <c r="AK430" i="20"/>
  <c r="AJ430" i="20"/>
  <c r="AF430" i="20"/>
  <c r="AE430" i="20"/>
  <c r="AD430" i="20"/>
  <c r="AB430" i="20"/>
  <c r="U430" i="20"/>
  <c r="M430" i="20"/>
  <c r="L430" i="20"/>
  <c r="Q430" i="20" s="1"/>
  <c r="K430" i="20"/>
  <c r="AC430" i="20" s="1"/>
  <c r="J430" i="20"/>
  <c r="I430" i="20"/>
  <c r="H430" i="20"/>
  <c r="BG429" i="20"/>
  <c r="AX429" i="20"/>
  <c r="BE429" i="20" s="1"/>
  <c r="BF429" i="20" s="1"/>
  <c r="AV429" i="20"/>
  <c r="AN429" i="20"/>
  <c r="AM429" i="20"/>
  <c r="AK429" i="20"/>
  <c r="AJ429" i="20"/>
  <c r="AF429" i="20"/>
  <c r="AE429" i="20"/>
  <c r="AD429" i="20"/>
  <c r="AB429" i="20"/>
  <c r="U429" i="20"/>
  <c r="M429" i="20"/>
  <c r="L429" i="20"/>
  <c r="Q429" i="20" s="1"/>
  <c r="K429" i="20"/>
  <c r="AC429" i="20" s="1"/>
  <c r="J429" i="20"/>
  <c r="I429" i="20"/>
  <c r="H429" i="20"/>
  <c r="BG428" i="20"/>
  <c r="BE428" i="20"/>
  <c r="BF428" i="20" s="1"/>
  <c r="AX428" i="20"/>
  <c r="AV428" i="20"/>
  <c r="AN428" i="20"/>
  <c r="AM428" i="20"/>
  <c r="AK428" i="20"/>
  <c r="AJ428" i="20"/>
  <c r="AF428" i="20"/>
  <c r="AE428" i="20"/>
  <c r="AD428" i="20"/>
  <c r="AB428" i="20"/>
  <c r="U428" i="20"/>
  <c r="M428" i="20"/>
  <c r="L428" i="20"/>
  <c r="Q428" i="20" s="1"/>
  <c r="K428" i="20"/>
  <c r="AC428" i="20" s="1"/>
  <c r="J428" i="20"/>
  <c r="I428" i="20"/>
  <c r="H428" i="20"/>
  <c r="BG427" i="20"/>
  <c r="AX427" i="20"/>
  <c r="BE427" i="20" s="1"/>
  <c r="BF427" i="20" s="1"/>
  <c r="AV427" i="20"/>
  <c r="AN427" i="20"/>
  <c r="AM427" i="20"/>
  <c r="AK427" i="20"/>
  <c r="AJ427" i="20"/>
  <c r="AF427" i="20"/>
  <c r="AE427" i="20"/>
  <c r="AD427" i="20"/>
  <c r="AB427" i="20"/>
  <c r="U427" i="20"/>
  <c r="M427" i="20"/>
  <c r="L427" i="20"/>
  <c r="K427" i="20"/>
  <c r="AC427" i="20" s="1"/>
  <c r="J427" i="20"/>
  <c r="I427" i="20"/>
  <c r="H427" i="20"/>
  <c r="BG426" i="20"/>
  <c r="AX426" i="20"/>
  <c r="BE426" i="20" s="1"/>
  <c r="BF426" i="20" s="1"/>
  <c r="AV426" i="20"/>
  <c r="AN426" i="20"/>
  <c r="AM426" i="20"/>
  <c r="AK426" i="20"/>
  <c r="AJ426" i="20"/>
  <c r="AF426" i="20"/>
  <c r="AE426" i="20"/>
  <c r="AD426" i="20"/>
  <c r="AB426" i="20"/>
  <c r="U426" i="20"/>
  <c r="M426" i="20"/>
  <c r="L426" i="20"/>
  <c r="S426" i="20" s="1"/>
  <c r="K426" i="20"/>
  <c r="J426" i="20"/>
  <c r="I426" i="20"/>
  <c r="H426" i="20"/>
  <c r="BG425" i="20"/>
  <c r="BF425" i="20"/>
  <c r="BE425" i="20"/>
  <c r="AX425" i="20"/>
  <c r="AV425" i="20"/>
  <c r="AN425" i="20"/>
  <c r="AM425" i="20"/>
  <c r="AK425" i="20"/>
  <c r="AJ425" i="20"/>
  <c r="AF425" i="20"/>
  <c r="AE425" i="20"/>
  <c r="AD425" i="20"/>
  <c r="AB425" i="20"/>
  <c r="U425" i="20"/>
  <c r="M425" i="20"/>
  <c r="L425" i="20"/>
  <c r="S425" i="20" s="1"/>
  <c r="K425" i="20"/>
  <c r="AC425" i="20" s="1"/>
  <c r="J425" i="20"/>
  <c r="I425" i="20"/>
  <c r="H425" i="20"/>
  <c r="BG424" i="20"/>
  <c r="AX424" i="20"/>
  <c r="BE424" i="20" s="1"/>
  <c r="BF424" i="20" s="1"/>
  <c r="AV424" i="20"/>
  <c r="AN424" i="20"/>
  <c r="AM424" i="20"/>
  <c r="AK424" i="20"/>
  <c r="AJ424" i="20"/>
  <c r="AF424" i="20"/>
  <c r="AE424" i="20"/>
  <c r="AD424" i="20"/>
  <c r="AB424" i="20"/>
  <c r="U424" i="20"/>
  <c r="M424" i="20"/>
  <c r="L424" i="20"/>
  <c r="S424" i="20" s="1"/>
  <c r="K424" i="20"/>
  <c r="AC424" i="20" s="1"/>
  <c r="J424" i="20"/>
  <c r="I424" i="20"/>
  <c r="H424" i="20"/>
  <c r="BG423" i="20"/>
  <c r="AX423" i="20"/>
  <c r="BE423" i="20" s="1"/>
  <c r="BF423" i="20" s="1"/>
  <c r="AV423" i="20"/>
  <c r="AN423" i="20"/>
  <c r="AM423" i="20"/>
  <c r="AK423" i="20"/>
  <c r="AJ423" i="20"/>
  <c r="AF423" i="20"/>
  <c r="AE423" i="20"/>
  <c r="AD423" i="20"/>
  <c r="AB423" i="20"/>
  <c r="U423" i="20"/>
  <c r="M423" i="20"/>
  <c r="L423" i="20"/>
  <c r="K423" i="20"/>
  <c r="AC423" i="20" s="1"/>
  <c r="J423" i="20"/>
  <c r="I423" i="20"/>
  <c r="H423" i="20"/>
  <c r="BG422" i="20"/>
  <c r="AX422" i="20"/>
  <c r="BE422" i="20" s="1"/>
  <c r="BF422" i="20" s="1"/>
  <c r="AV422" i="20"/>
  <c r="AN422" i="20"/>
  <c r="AM422" i="20"/>
  <c r="AK422" i="20"/>
  <c r="AJ422" i="20"/>
  <c r="AF422" i="20"/>
  <c r="AE422" i="20"/>
  <c r="AD422" i="20"/>
  <c r="AB422" i="20"/>
  <c r="U422" i="20"/>
  <c r="M422" i="20"/>
  <c r="L422" i="20"/>
  <c r="S422" i="20" s="1"/>
  <c r="K422" i="20"/>
  <c r="AC422" i="20" s="1"/>
  <c r="J422" i="20"/>
  <c r="I422" i="20"/>
  <c r="H422" i="20"/>
  <c r="BG421" i="20"/>
  <c r="AX421" i="20"/>
  <c r="BE421" i="20" s="1"/>
  <c r="BF421" i="20" s="1"/>
  <c r="AV421" i="20"/>
  <c r="AN421" i="20"/>
  <c r="AM421" i="20"/>
  <c r="AK421" i="20"/>
  <c r="AJ421" i="20"/>
  <c r="AF421" i="20"/>
  <c r="AE421" i="20"/>
  <c r="AD421" i="20"/>
  <c r="AB421" i="20"/>
  <c r="U421" i="20"/>
  <c r="M421" i="20"/>
  <c r="L421" i="20"/>
  <c r="Q421" i="20" s="1"/>
  <c r="V421" i="20" s="1"/>
  <c r="K421" i="20"/>
  <c r="AC421" i="20" s="1"/>
  <c r="J421" i="20"/>
  <c r="I421" i="20"/>
  <c r="H421" i="20"/>
  <c r="BG420" i="20"/>
  <c r="AX420" i="20"/>
  <c r="BE420" i="20" s="1"/>
  <c r="BF420" i="20" s="1"/>
  <c r="AV420" i="20"/>
  <c r="AN420" i="20"/>
  <c r="AM420" i="20"/>
  <c r="AK420" i="20"/>
  <c r="AJ420" i="20"/>
  <c r="AF420" i="20"/>
  <c r="AE420" i="20"/>
  <c r="AD420" i="20"/>
  <c r="AB420" i="20"/>
  <c r="U420" i="20"/>
  <c r="M420" i="20"/>
  <c r="L420" i="20"/>
  <c r="K420" i="20"/>
  <c r="AC420" i="20" s="1"/>
  <c r="J420" i="20"/>
  <c r="I420" i="20"/>
  <c r="H420" i="20"/>
  <c r="BG419" i="20"/>
  <c r="AX419" i="20"/>
  <c r="BE419" i="20" s="1"/>
  <c r="BF419" i="20" s="1"/>
  <c r="AV419" i="20"/>
  <c r="AN419" i="20"/>
  <c r="AM419" i="20"/>
  <c r="AK419" i="20"/>
  <c r="AJ419" i="20"/>
  <c r="AF419" i="20"/>
  <c r="AE419" i="20"/>
  <c r="AD419" i="20"/>
  <c r="AB419" i="20"/>
  <c r="U419" i="20"/>
  <c r="Q419" i="20"/>
  <c r="V419" i="20" s="1"/>
  <c r="M419" i="20"/>
  <c r="L419" i="20"/>
  <c r="S419" i="20" s="1"/>
  <c r="K419" i="20"/>
  <c r="AC419" i="20" s="1"/>
  <c r="J419" i="20"/>
  <c r="I419" i="20"/>
  <c r="H419" i="20"/>
  <c r="BG418" i="20"/>
  <c r="AX418" i="20"/>
  <c r="BE418" i="20" s="1"/>
  <c r="BF418" i="20" s="1"/>
  <c r="AV418" i="20"/>
  <c r="AN418" i="20"/>
  <c r="AM418" i="20"/>
  <c r="AK418" i="20"/>
  <c r="AJ418" i="20"/>
  <c r="AF418" i="20"/>
  <c r="AE418" i="20"/>
  <c r="AD418" i="20"/>
  <c r="AB418" i="20"/>
  <c r="U418" i="20"/>
  <c r="S418" i="20"/>
  <c r="Q418" i="20"/>
  <c r="V418" i="20" s="1"/>
  <c r="M418" i="20"/>
  <c r="L418" i="20"/>
  <c r="K418" i="20"/>
  <c r="AC418" i="20" s="1"/>
  <c r="J418" i="20"/>
  <c r="I418" i="20"/>
  <c r="H418" i="20"/>
  <c r="BG417" i="20"/>
  <c r="AX417" i="20"/>
  <c r="BE417" i="20" s="1"/>
  <c r="BF417" i="20" s="1"/>
  <c r="AV417" i="20"/>
  <c r="AN417" i="20"/>
  <c r="AM417" i="20"/>
  <c r="AK417" i="20"/>
  <c r="AJ417" i="20"/>
  <c r="AF417" i="20"/>
  <c r="AE417" i="20"/>
  <c r="AD417" i="20"/>
  <c r="AB417" i="20"/>
  <c r="U417" i="20"/>
  <c r="M417" i="20"/>
  <c r="L417" i="20"/>
  <c r="S417" i="20" s="1"/>
  <c r="K417" i="20"/>
  <c r="AC417" i="20" s="1"/>
  <c r="J417" i="20"/>
  <c r="I417" i="20"/>
  <c r="H417" i="20"/>
  <c r="BG416" i="20"/>
  <c r="AX416" i="20"/>
  <c r="BE416" i="20" s="1"/>
  <c r="BF416" i="20" s="1"/>
  <c r="AV416" i="20"/>
  <c r="AN416" i="20"/>
  <c r="AM416" i="20"/>
  <c r="AK416" i="20"/>
  <c r="AJ416" i="20"/>
  <c r="AF416" i="20"/>
  <c r="AE416" i="20"/>
  <c r="AD416" i="20"/>
  <c r="AB416" i="20"/>
  <c r="U416" i="20"/>
  <c r="M416" i="20"/>
  <c r="L416" i="20"/>
  <c r="S416" i="20" s="1"/>
  <c r="K416" i="20"/>
  <c r="AC416" i="20" s="1"/>
  <c r="J416" i="20"/>
  <c r="I416" i="20"/>
  <c r="H416" i="20"/>
  <c r="BG415" i="20"/>
  <c r="AX415" i="20"/>
  <c r="BE415" i="20" s="1"/>
  <c r="BF415" i="20" s="1"/>
  <c r="AV415" i="20"/>
  <c r="AN415" i="20"/>
  <c r="AM415" i="20"/>
  <c r="AK415" i="20"/>
  <c r="AJ415" i="20"/>
  <c r="AF415" i="20"/>
  <c r="AE415" i="20"/>
  <c r="AD415" i="20"/>
  <c r="AB415" i="20"/>
  <c r="U415" i="20"/>
  <c r="Q415" i="20"/>
  <c r="V415" i="20" s="1"/>
  <c r="M415" i="20"/>
  <c r="L415" i="20"/>
  <c r="S415" i="20" s="1"/>
  <c r="K415" i="20"/>
  <c r="AC415" i="20" s="1"/>
  <c r="J415" i="20"/>
  <c r="I415" i="20"/>
  <c r="H415" i="20"/>
  <c r="BG414" i="20"/>
  <c r="AX414" i="20"/>
  <c r="BE414" i="20" s="1"/>
  <c r="BF414" i="20" s="1"/>
  <c r="AV414" i="20"/>
  <c r="AN414" i="20"/>
  <c r="AM414" i="20"/>
  <c r="AK414" i="20"/>
  <c r="AJ414" i="20"/>
  <c r="AF414" i="20"/>
  <c r="AE414" i="20"/>
  <c r="AD414" i="20"/>
  <c r="AB414" i="20"/>
  <c r="U414" i="20"/>
  <c r="M414" i="20"/>
  <c r="L414" i="20"/>
  <c r="Q414" i="20" s="1"/>
  <c r="K414" i="20"/>
  <c r="AC414" i="20" s="1"/>
  <c r="J414" i="20"/>
  <c r="I414" i="20"/>
  <c r="H414" i="20"/>
  <c r="BG413" i="20"/>
  <c r="AX413" i="20"/>
  <c r="BE413" i="20" s="1"/>
  <c r="BF413" i="20" s="1"/>
  <c r="AV413" i="20"/>
  <c r="AN413" i="20"/>
  <c r="AM413" i="20"/>
  <c r="AK413" i="20"/>
  <c r="AJ413" i="20"/>
  <c r="AF413" i="20"/>
  <c r="AE413" i="20"/>
  <c r="AD413" i="20"/>
  <c r="AB413" i="20"/>
  <c r="U413" i="20"/>
  <c r="M413" i="20"/>
  <c r="L413" i="20"/>
  <c r="K413" i="20"/>
  <c r="AC413" i="20" s="1"/>
  <c r="J413" i="20"/>
  <c r="I413" i="20"/>
  <c r="H413" i="20"/>
  <c r="BG412" i="20"/>
  <c r="BA412" i="20"/>
  <c r="AZ412" i="20"/>
  <c r="AX412" i="20"/>
  <c r="BE412" i="20" s="1"/>
  <c r="BF412" i="20" s="1"/>
  <c r="AV412" i="20"/>
  <c r="AK412" i="20"/>
  <c r="AJ412" i="20"/>
  <c r="AF412" i="20"/>
  <c r="AE412" i="20"/>
  <c r="AD412" i="20"/>
  <c r="AB412" i="20"/>
  <c r="U412" i="20"/>
  <c r="M412" i="20"/>
  <c r="L412" i="20"/>
  <c r="Q412" i="20" s="1"/>
  <c r="K412" i="20"/>
  <c r="AC412" i="20" s="1"/>
  <c r="J412" i="20"/>
  <c r="I412" i="20"/>
  <c r="H412" i="20"/>
  <c r="BG411" i="20"/>
  <c r="BA411" i="20"/>
  <c r="AZ411" i="20"/>
  <c r="AX411" i="20"/>
  <c r="BE411" i="20" s="1"/>
  <c r="BF411" i="20" s="1"/>
  <c r="AV411" i="20"/>
  <c r="AK411" i="20"/>
  <c r="AJ411" i="20"/>
  <c r="AF411" i="20"/>
  <c r="AE411" i="20"/>
  <c r="AD411" i="20"/>
  <c r="AB411" i="20"/>
  <c r="U411" i="20"/>
  <c r="Q411" i="20"/>
  <c r="V411" i="20" s="1"/>
  <c r="M411" i="20"/>
  <c r="L411" i="20"/>
  <c r="S411" i="20" s="1"/>
  <c r="K411" i="20"/>
  <c r="AC411" i="20" s="1"/>
  <c r="J411" i="20"/>
  <c r="I411" i="20"/>
  <c r="H411" i="20"/>
  <c r="BG410" i="20"/>
  <c r="BE410" i="20"/>
  <c r="BF410" i="20" s="1"/>
  <c r="BA410" i="20"/>
  <c r="AZ410" i="20"/>
  <c r="AX410" i="20"/>
  <c r="AV410" i="20"/>
  <c r="AK410" i="20"/>
  <c r="AJ410" i="20"/>
  <c r="AF410" i="20"/>
  <c r="AE410" i="20"/>
  <c r="AD410" i="20"/>
  <c r="AB410" i="20"/>
  <c r="U410" i="20"/>
  <c r="M410" i="20"/>
  <c r="L410" i="20"/>
  <c r="K410" i="20"/>
  <c r="J410" i="20"/>
  <c r="I410" i="20"/>
  <c r="H410" i="20"/>
  <c r="BG409" i="20"/>
  <c r="BA409" i="20"/>
  <c r="AZ409" i="20"/>
  <c r="AX409" i="20"/>
  <c r="BE409" i="20" s="1"/>
  <c r="BF409" i="20" s="1"/>
  <c r="AV409" i="20"/>
  <c r="AK409" i="20"/>
  <c r="AJ409" i="20"/>
  <c r="AF409" i="20"/>
  <c r="AE409" i="20"/>
  <c r="AD409" i="20"/>
  <c r="AB409" i="20"/>
  <c r="U409" i="20"/>
  <c r="M409" i="20"/>
  <c r="L409" i="20"/>
  <c r="S409" i="20" s="1"/>
  <c r="K409" i="20"/>
  <c r="AC409" i="20" s="1"/>
  <c r="J409" i="20"/>
  <c r="I409" i="20"/>
  <c r="H409" i="20"/>
  <c r="BG408" i="20"/>
  <c r="BA408" i="20"/>
  <c r="AZ408" i="20"/>
  <c r="AX408" i="20"/>
  <c r="BE408" i="20" s="1"/>
  <c r="BF408" i="20" s="1"/>
  <c r="AV408" i="20"/>
  <c r="AK408" i="20"/>
  <c r="AJ408" i="20"/>
  <c r="AF408" i="20"/>
  <c r="AE408" i="20"/>
  <c r="AD408" i="20"/>
  <c r="AB408" i="20"/>
  <c r="U408" i="20"/>
  <c r="M408" i="20"/>
  <c r="L408" i="20"/>
  <c r="S408" i="20" s="1"/>
  <c r="K408" i="20"/>
  <c r="AC408" i="20" s="1"/>
  <c r="J408" i="20"/>
  <c r="I408" i="20"/>
  <c r="H408" i="20"/>
  <c r="BG407" i="20"/>
  <c r="BA407" i="20"/>
  <c r="AZ407" i="20"/>
  <c r="AX407" i="20"/>
  <c r="BE407" i="20" s="1"/>
  <c r="BF407" i="20" s="1"/>
  <c r="AV407" i="20"/>
  <c r="AK407" i="20"/>
  <c r="AJ407" i="20"/>
  <c r="AF407" i="20"/>
  <c r="AE407" i="20"/>
  <c r="AD407" i="20"/>
  <c r="AB407" i="20"/>
  <c r="U407" i="20"/>
  <c r="M407" i="20"/>
  <c r="L407" i="20"/>
  <c r="K407" i="20"/>
  <c r="AC407" i="20" s="1"/>
  <c r="J407" i="20"/>
  <c r="I407" i="20"/>
  <c r="H407" i="20"/>
  <c r="BG406" i="20"/>
  <c r="AX406" i="20"/>
  <c r="BE406" i="20" s="1"/>
  <c r="BF406" i="20" s="1"/>
  <c r="AV406" i="20"/>
  <c r="AF406" i="20"/>
  <c r="AE406" i="20"/>
  <c r="AD406" i="20"/>
  <c r="AB406" i="20"/>
  <c r="U406" i="20"/>
  <c r="M406" i="20"/>
  <c r="L406" i="20"/>
  <c r="K406" i="20"/>
  <c r="AC406" i="20" s="1"/>
  <c r="J406" i="20"/>
  <c r="I406" i="20"/>
  <c r="H406" i="20"/>
  <c r="BG405" i="20"/>
  <c r="AZ405" i="20"/>
  <c r="AX405" i="20"/>
  <c r="BE405" i="20" s="1"/>
  <c r="BF405" i="20" s="1"/>
  <c r="AS405" i="20"/>
  <c r="AR405" i="20"/>
  <c r="AF405" i="20"/>
  <c r="AE405" i="20"/>
  <c r="AD405" i="20"/>
  <c r="AB405" i="20"/>
  <c r="U405" i="20"/>
  <c r="M405" i="20"/>
  <c r="L405" i="20"/>
  <c r="Q405" i="20" s="1"/>
  <c r="K405" i="20"/>
  <c r="AC405" i="20" s="1"/>
  <c r="J405" i="20"/>
  <c r="I405" i="20"/>
  <c r="H405" i="20"/>
  <c r="BD404" i="20"/>
  <c r="AZ404" i="20"/>
  <c r="AX404" i="20"/>
  <c r="AV404" i="20"/>
  <c r="AF404" i="20"/>
  <c r="AE404" i="20"/>
  <c r="AD404" i="20"/>
  <c r="AB404" i="20"/>
  <c r="U404" i="20"/>
  <c r="M404" i="20"/>
  <c r="L404" i="20"/>
  <c r="S404" i="20" s="1"/>
  <c r="K404" i="20"/>
  <c r="AC404" i="20" s="1"/>
  <c r="J404" i="20"/>
  <c r="I404" i="20"/>
  <c r="H404" i="20"/>
  <c r="BG403" i="20"/>
  <c r="AZ403" i="20"/>
  <c r="AX403" i="20"/>
  <c r="BE403" i="20" s="1"/>
  <c r="BF403" i="20" s="1"/>
  <c r="AV403" i="20"/>
  <c r="AF403" i="20"/>
  <c r="AE403" i="20"/>
  <c r="AD403" i="20"/>
  <c r="AB403" i="20"/>
  <c r="U403" i="20"/>
  <c r="M403" i="20"/>
  <c r="L403" i="20"/>
  <c r="S403" i="20" s="1"/>
  <c r="K403" i="20"/>
  <c r="AC403" i="20" s="1"/>
  <c r="J403" i="20"/>
  <c r="I403" i="20"/>
  <c r="H403" i="20"/>
  <c r="BG402" i="20"/>
  <c r="AZ402" i="20"/>
  <c r="AW402" i="20"/>
  <c r="AX402" i="20" s="1"/>
  <c r="BE402" i="20" s="1"/>
  <c r="BF402" i="20" s="1"/>
  <c r="AV402" i="20"/>
  <c r="AP402" i="20"/>
  <c r="AF402" i="20"/>
  <c r="AE402" i="20"/>
  <c r="AD402" i="20"/>
  <c r="AB402" i="20"/>
  <c r="U402" i="20"/>
  <c r="M402" i="20"/>
  <c r="L402" i="20"/>
  <c r="S402" i="20" s="1"/>
  <c r="K402" i="20"/>
  <c r="AC402" i="20" s="1"/>
  <c r="J402" i="20"/>
  <c r="I402" i="20"/>
  <c r="H402" i="20"/>
  <c r="BG401" i="20"/>
  <c r="AZ401" i="20"/>
  <c r="AX401" i="20"/>
  <c r="BE401" i="20" s="1"/>
  <c r="BF401" i="20" s="1"/>
  <c r="AV401" i="20"/>
  <c r="AF401" i="20"/>
  <c r="AE401" i="20"/>
  <c r="AD401" i="20"/>
  <c r="AB401" i="20"/>
  <c r="U401" i="20"/>
  <c r="M401" i="20"/>
  <c r="L401" i="20"/>
  <c r="S401" i="20" s="1"/>
  <c r="K401" i="20"/>
  <c r="AC401" i="20" s="1"/>
  <c r="J401" i="20"/>
  <c r="I401" i="20"/>
  <c r="H401" i="20"/>
  <c r="BG400" i="20"/>
  <c r="AZ400" i="20"/>
  <c r="AX400" i="20"/>
  <c r="BE400" i="20" s="1"/>
  <c r="BF400" i="20" s="1"/>
  <c r="AV400" i="20"/>
  <c r="AF400" i="20"/>
  <c r="AE400" i="20"/>
  <c r="AD400" i="20"/>
  <c r="AB400" i="20"/>
  <c r="U400" i="20"/>
  <c r="M400" i="20"/>
  <c r="L400" i="20"/>
  <c r="S400" i="20" s="1"/>
  <c r="K400" i="20"/>
  <c r="AC400" i="20" s="1"/>
  <c r="J400" i="20"/>
  <c r="I400" i="20"/>
  <c r="H400" i="20"/>
  <c r="BD399" i="20"/>
  <c r="BG399" i="20" s="1"/>
  <c r="AZ399" i="20"/>
  <c r="AX399" i="20"/>
  <c r="AV399" i="20"/>
  <c r="AN399" i="20"/>
  <c r="AM399" i="20"/>
  <c r="AK399" i="20"/>
  <c r="AJ399" i="20"/>
  <c r="AF399" i="20"/>
  <c r="AE399" i="20"/>
  <c r="AD399" i="20"/>
  <c r="AB399" i="20"/>
  <c r="U399" i="20"/>
  <c r="M399" i="20"/>
  <c r="L399" i="20"/>
  <c r="Q399" i="20" s="1"/>
  <c r="K399" i="20"/>
  <c r="AC399" i="20" s="1"/>
  <c r="J399" i="20"/>
  <c r="I399" i="20"/>
  <c r="H399" i="20"/>
  <c r="BM398" i="20"/>
  <c r="BI398" i="20"/>
  <c r="AX398" i="20"/>
  <c r="AV398" i="20"/>
  <c r="AF398" i="20"/>
  <c r="AE398" i="20"/>
  <c r="AD398" i="20"/>
  <c r="AB398" i="20"/>
  <c r="U398" i="20"/>
  <c r="M398" i="20"/>
  <c r="L398" i="20"/>
  <c r="Q398" i="20" s="1"/>
  <c r="K398" i="20"/>
  <c r="AC398" i="20" s="1"/>
  <c r="J398" i="20"/>
  <c r="I398" i="20"/>
  <c r="H398" i="20"/>
  <c r="BM397" i="20"/>
  <c r="BI397" i="20"/>
  <c r="AX397" i="20"/>
  <c r="AV397" i="20"/>
  <c r="AF397" i="20"/>
  <c r="AE397" i="20"/>
  <c r="AD397" i="20"/>
  <c r="AB397" i="20"/>
  <c r="U397" i="20"/>
  <c r="M397" i="20"/>
  <c r="L397" i="20"/>
  <c r="Q397" i="20" s="1"/>
  <c r="K397" i="20"/>
  <c r="AC397" i="20" s="1"/>
  <c r="J397" i="20"/>
  <c r="I397" i="20"/>
  <c r="H397" i="20"/>
  <c r="BM396" i="20"/>
  <c r="BI396" i="20"/>
  <c r="AX396" i="20"/>
  <c r="AV396" i="20"/>
  <c r="AF396" i="20"/>
  <c r="AE396" i="20"/>
  <c r="AD396" i="20"/>
  <c r="AB396" i="20"/>
  <c r="U396" i="20"/>
  <c r="M396" i="20"/>
  <c r="L396" i="20"/>
  <c r="K396" i="20"/>
  <c r="J396" i="20"/>
  <c r="I396" i="20"/>
  <c r="H396" i="20"/>
  <c r="BM395" i="20"/>
  <c r="BI395" i="20"/>
  <c r="AX395" i="20"/>
  <c r="AV395" i="20"/>
  <c r="AF395" i="20"/>
  <c r="AE395" i="20"/>
  <c r="AD395" i="20"/>
  <c r="AB395" i="20"/>
  <c r="U395" i="20"/>
  <c r="M395" i="20"/>
  <c r="L395" i="20"/>
  <c r="K395" i="20"/>
  <c r="AC395" i="20" s="1"/>
  <c r="J395" i="20"/>
  <c r="I395" i="20"/>
  <c r="H395" i="20"/>
  <c r="BM394" i="20"/>
  <c r="BI394" i="20"/>
  <c r="AX394" i="20"/>
  <c r="AV394" i="20"/>
  <c r="AF394" i="20"/>
  <c r="AE394" i="20"/>
  <c r="AD394" i="20"/>
  <c r="AB394" i="20"/>
  <c r="U394" i="20"/>
  <c r="M394" i="20"/>
  <c r="L394" i="20"/>
  <c r="S394" i="20" s="1"/>
  <c r="K394" i="20"/>
  <c r="J394" i="20"/>
  <c r="I394" i="20"/>
  <c r="H394" i="20"/>
  <c r="AZ393" i="20"/>
  <c r="AX393" i="20"/>
  <c r="BD393" i="20" s="1"/>
  <c r="BE393" i="20" s="1"/>
  <c r="BF393" i="20" s="1"/>
  <c r="AV393" i="20"/>
  <c r="AF393" i="20"/>
  <c r="AE393" i="20"/>
  <c r="AD393" i="20"/>
  <c r="AB393" i="20"/>
  <c r="U393" i="20"/>
  <c r="M393" i="20"/>
  <c r="L393" i="20"/>
  <c r="K393" i="20"/>
  <c r="BB393" i="20" s="1"/>
  <c r="J393" i="20"/>
  <c r="I393" i="20"/>
  <c r="H393" i="20"/>
  <c r="BD392" i="20"/>
  <c r="BG392" i="20" s="1"/>
  <c r="AZ392" i="20"/>
  <c r="AX392" i="20"/>
  <c r="AV392" i="20"/>
  <c r="AF392" i="20"/>
  <c r="AE392" i="20"/>
  <c r="AD392" i="20"/>
  <c r="AB392" i="20"/>
  <c r="U392" i="20"/>
  <c r="M392" i="20"/>
  <c r="L392" i="20"/>
  <c r="K392" i="20"/>
  <c r="BC392" i="20" s="1"/>
  <c r="J392" i="20"/>
  <c r="I392" i="20"/>
  <c r="H392" i="20"/>
  <c r="AZ391" i="20"/>
  <c r="AX391" i="20"/>
  <c r="BD391" i="20" s="1"/>
  <c r="BE391" i="20" s="1"/>
  <c r="BF391" i="20" s="1"/>
  <c r="AV391" i="20"/>
  <c r="AF391" i="20"/>
  <c r="AE391" i="20"/>
  <c r="AD391" i="20"/>
  <c r="AB391" i="20"/>
  <c r="U391" i="20"/>
  <c r="M391" i="20"/>
  <c r="L391" i="20"/>
  <c r="K391" i="20"/>
  <c r="AC391" i="20" s="1"/>
  <c r="J391" i="20"/>
  <c r="I391" i="20"/>
  <c r="H391" i="20"/>
  <c r="AZ390" i="20"/>
  <c r="AX390" i="20"/>
  <c r="BD390" i="20" s="1"/>
  <c r="AV390" i="20"/>
  <c r="AF390" i="20"/>
  <c r="AE390" i="20"/>
  <c r="AD390" i="20"/>
  <c r="AB390" i="20"/>
  <c r="U390" i="20"/>
  <c r="S390" i="20"/>
  <c r="M390" i="20"/>
  <c r="L390" i="20"/>
  <c r="Q390" i="20" s="1"/>
  <c r="V390" i="20" s="1"/>
  <c r="K390" i="20"/>
  <c r="BB390" i="20" s="1"/>
  <c r="J390" i="20"/>
  <c r="I390" i="20"/>
  <c r="H390" i="20"/>
  <c r="BG389" i="20"/>
  <c r="BE389" i="20"/>
  <c r="BF389" i="20" s="1"/>
  <c r="AZ389" i="20"/>
  <c r="AX389" i="20"/>
  <c r="BD389" i="20" s="1"/>
  <c r="AV389" i="20"/>
  <c r="AF389" i="20"/>
  <c r="AE389" i="20"/>
  <c r="AD389" i="20"/>
  <c r="AB389" i="20"/>
  <c r="U389" i="20"/>
  <c r="M389" i="20"/>
  <c r="L389" i="20"/>
  <c r="Q389" i="20" s="1"/>
  <c r="V389" i="20" s="1"/>
  <c r="K389" i="20"/>
  <c r="AC389" i="20" s="1"/>
  <c r="J389" i="20"/>
  <c r="I389" i="20"/>
  <c r="H389" i="20"/>
  <c r="BG388" i="20"/>
  <c r="AZ388" i="20"/>
  <c r="AX388" i="20"/>
  <c r="BE388" i="20" s="1"/>
  <c r="BF388" i="20" s="1"/>
  <c r="AV388" i="20"/>
  <c r="AN388" i="20"/>
  <c r="AM388" i="20"/>
  <c r="AK388" i="20"/>
  <c r="AJ388" i="20"/>
  <c r="AF388" i="20"/>
  <c r="AE388" i="20"/>
  <c r="AD388" i="20"/>
  <c r="AB388" i="20"/>
  <c r="U388" i="20"/>
  <c r="M388" i="20"/>
  <c r="L388" i="20"/>
  <c r="K388" i="20"/>
  <c r="AC388" i="20" s="1"/>
  <c r="J388" i="20"/>
  <c r="I388" i="20"/>
  <c r="H388" i="20"/>
  <c r="BG387" i="20"/>
  <c r="AZ387" i="20"/>
  <c r="AX387" i="20"/>
  <c r="BE387" i="20" s="1"/>
  <c r="BF387" i="20" s="1"/>
  <c r="AV387" i="20"/>
  <c r="AN387" i="20"/>
  <c r="AM387" i="20"/>
  <c r="AK387" i="20"/>
  <c r="AJ387" i="20"/>
  <c r="AF387" i="20"/>
  <c r="AE387" i="20"/>
  <c r="AD387" i="20"/>
  <c r="AB387" i="20"/>
  <c r="U387" i="20"/>
  <c r="M387" i="20"/>
  <c r="L387" i="20"/>
  <c r="Q387" i="20" s="1"/>
  <c r="K387" i="20"/>
  <c r="AC387" i="20" s="1"/>
  <c r="J387" i="20"/>
  <c r="I387" i="20"/>
  <c r="H387" i="20"/>
  <c r="BG386" i="20"/>
  <c r="AZ386" i="20"/>
  <c r="AX386" i="20"/>
  <c r="BE386" i="20" s="1"/>
  <c r="BF386" i="20" s="1"/>
  <c r="AV386" i="20"/>
  <c r="AN386" i="20"/>
  <c r="AM386" i="20"/>
  <c r="AK386" i="20"/>
  <c r="AJ386" i="20"/>
  <c r="AF386" i="20"/>
  <c r="AE386" i="20"/>
  <c r="AD386" i="20"/>
  <c r="AB386" i="20"/>
  <c r="U386" i="20"/>
  <c r="M386" i="20"/>
  <c r="L386" i="20"/>
  <c r="K386" i="20"/>
  <c r="AC386" i="20" s="1"/>
  <c r="J386" i="20"/>
  <c r="I386" i="20"/>
  <c r="H386" i="20"/>
  <c r="BG385" i="20"/>
  <c r="AZ385" i="20"/>
  <c r="AX385" i="20"/>
  <c r="BE385" i="20" s="1"/>
  <c r="BF385" i="20" s="1"/>
  <c r="AV385" i="20"/>
  <c r="AN385" i="20"/>
  <c r="AM385" i="20"/>
  <c r="AK385" i="20"/>
  <c r="AJ385" i="20"/>
  <c r="AF385" i="20"/>
  <c r="AE385" i="20"/>
  <c r="AD385" i="20"/>
  <c r="AB385" i="20"/>
  <c r="U385" i="20"/>
  <c r="M385" i="20"/>
  <c r="L385" i="20"/>
  <c r="Q385" i="20" s="1"/>
  <c r="K385" i="20"/>
  <c r="AC385" i="20" s="1"/>
  <c r="J385" i="20"/>
  <c r="I385" i="20"/>
  <c r="H385" i="20"/>
  <c r="BG384" i="20"/>
  <c r="AZ384" i="20"/>
  <c r="AX384" i="20"/>
  <c r="BE384" i="20" s="1"/>
  <c r="BF384" i="20" s="1"/>
  <c r="AV384" i="20"/>
  <c r="AN384" i="20"/>
  <c r="AM384" i="20"/>
  <c r="AK384" i="20"/>
  <c r="AJ384" i="20"/>
  <c r="AF384" i="20"/>
  <c r="AE384" i="20"/>
  <c r="AD384" i="20"/>
  <c r="AB384" i="20"/>
  <c r="U384" i="20"/>
  <c r="M384" i="20"/>
  <c r="L384" i="20"/>
  <c r="S384" i="20" s="1"/>
  <c r="K384" i="20"/>
  <c r="AC384" i="20" s="1"/>
  <c r="J384" i="20"/>
  <c r="I384" i="20"/>
  <c r="H384" i="20"/>
  <c r="BG383" i="20"/>
  <c r="AZ383" i="20"/>
  <c r="AX383" i="20"/>
  <c r="BE383" i="20" s="1"/>
  <c r="BF383" i="20" s="1"/>
  <c r="AV383" i="20"/>
  <c r="AN383" i="20"/>
  <c r="AM383" i="20"/>
  <c r="AK383" i="20"/>
  <c r="AJ383" i="20"/>
  <c r="AF383" i="20"/>
  <c r="AE383" i="20"/>
  <c r="AD383" i="20"/>
  <c r="AB383" i="20"/>
  <c r="V383" i="20"/>
  <c r="U383" i="20"/>
  <c r="M383" i="20"/>
  <c r="L383" i="20"/>
  <c r="Q383" i="20" s="1"/>
  <c r="K383" i="20"/>
  <c r="AC383" i="20" s="1"/>
  <c r="J383" i="20"/>
  <c r="I383" i="20"/>
  <c r="H383" i="20"/>
  <c r="BG382" i="20"/>
  <c r="AZ382" i="20"/>
  <c r="AX382" i="20"/>
  <c r="BE382" i="20" s="1"/>
  <c r="BF382" i="20" s="1"/>
  <c r="AV382" i="20"/>
  <c r="AN382" i="20"/>
  <c r="AM382" i="20"/>
  <c r="AK382" i="20"/>
  <c r="AJ382" i="20"/>
  <c r="AF382" i="20"/>
  <c r="AE382" i="20"/>
  <c r="AD382" i="20"/>
  <c r="AB382" i="20"/>
  <c r="U382" i="20"/>
  <c r="M382" i="20"/>
  <c r="L382" i="20"/>
  <c r="S382" i="20" s="1"/>
  <c r="K382" i="20"/>
  <c r="AC382" i="20" s="1"/>
  <c r="J382" i="20"/>
  <c r="I382" i="20"/>
  <c r="H382" i="20"/>
  <c r="BG381" i="20"/>
  <c r="AZ381" i="20"/>
  <c r="AX381" i="20"/>
  <c r="BE381" i="20" s="1"/>
  <c r="BF381" i="20" s="1"/>
  <c r="AV381" i="20"/>
  <c r="AN381" i="20"/>
  <c r="AM381" i="20"/>
  <c r="AK381" i="20"/>
  <c r="AJ381" i="20"/>
  <c r="AF381" i="20"/>
  <c r="AE381" i="20"/>
  <c r="AD381" i="20"/>
  <c r="AB381" i="20"/>
  <c r="U381" i="20"/>
  <c r="M381" i="20"/>
  <c r="L381" i="20"/>
  <c r="Q381" i="20" s="1"/>
  <c r="V381" i="20" s="1"/>
  <c r="K381" i="20"/>
  <c r="AC381" i="20" s="1"/>
  <c r="J381" i="20"/>
  <c r="I381" i="20"/>
  <c r="H381" i="20"/>
  <c r="BG380" i="20"/>
  <c r="AZ380" i="20"/>
  <c r="AX380" i="20"/>
  <c r="BE380" i="20" s="1"/>
  <c r="BF380" i="20" s="1"/>
  <c r="AV380" i="20"/>
  <c r="AN380" i="20"/>
  <c r="AM380" i="20"/>
  <c r="AK380" i="20"/>
  <c r="AJ380" i="20"/>
  <c r="AF380" i="20"/>
  <c r="AE380" i="20"/>
  <c r="AD380" i="20"/>
  <c r="AB380" i="20"/>
  <c r="U380" i="20"/>
  <c r="M380" i="20"/>
  <c r="L380" i="20"/>
  <c r="S380" i="20" s="1"/>
  <c r="K380" i="20"/>
  <c r="AC380" i="20" s="1"/>
  <c r="J380" i="20"/>
  <c r="I380" i="20"/>
  <c r="H380" i="20"/>
  <c r="BG379" i="20"/>
  <c r="AZ379" i="20"/>
  <c r="AX379" i="20"/>
  <c r="BE379" i="20" s="1"/>
  <c r="BF379" i="20" s="1"/>
  <c r="AV379" i="20"/>
  <c r="AN379" i="20"/>
  <c r="AM379" i="20"/>
  <c r="AK379" i="20"/>
  <c r="AJ379" i="20"/>
  <c r="AF379" i="20"/>
  <c r="AE379" i="20"/>
  <c r="AD379" i="20"/>
  <c r="AB379" i="20"/>
  <c r="U379" i="20"/>
  <c r="M379" i="20"/>
  <c r="L379" i="20"/>
  <c r="Q379" i="20" s="1"/>
  <c r="K379" i="20"/>
  <c r="AC379" i="20" s="1"/>
  <c r="J379" i="20"/>
  <c r="I379" i="20"/>
  <c r="H379" i="20"/>
  <c r="BG378" i="20"/>
  <c r="BE378" i="20"/>
  <c r="BF378" i="20" s="1"/>
  <c r="AZ378" i="20"/>
  <c r="AX378" i="20"/>
  <c r="AV378" i="20"/>
  <c r="AN378" i="20"/>
  <c r="AM378" i="20"/>
  <c r="AK378" i="20"/>
  <c r="AJ378" i="20"/>
  <c r="AF378" i="20"/>
  <c r="AE378" i="20"/>
  <c r="AD378" i="20"/>
  <c r="AB378" i="20"/>
  <c r="U378" i="20"/>
  <c r="M378" i="20"/>
  <c r="L378" i="20"/>
  <c r="K378" i="20"/>
  <c r="AC378" i="20" s="1"/>
  <c r="J378" i="20"/>
  <c r="I378" i="20"/>
  <c r="H378" i="20"/>
  <c r="BG377" i="20"/>
  <c r="AZ377" i="20"/>
  <c r="AX377" i="20"/>
  <c r="BE377" i="20" s="1"/>
  <c r="BF377" i="20" s="1"/>
  <c r="AV377" i="20"/>
  <c r="AN377" i="20"/>
  <c r="AM377" i="20"/>
  <c r="AK377" i="20"/>
  <c r="AJ377" i="20"/>
  <c r="AF377" i="20"/>
  <c r="AE377" i="20"/>
  <c r="AD377" i="20"/>
  <c r="AB377" i="20"/>
  <c r="U377" i="20"/>
  <c r="M377" i="20"/>
  <c r="L377" i="20"/>
  <c r="K377" i="20"/>
  <c r="AC377" i="20" s="1"/>
  <c r="J377" i="20"/>
  <c r="I377" i="20"/>
  <c r="H377" i="20"/>
  <c r="BG376" i="20"/>
  <c r="AZ376" i="20"/>
  <c r="AX376" i="20"/>
  <c r="BE376" i="20" s="1"/>
  <c r="BF376" i="20" s="1"/>
  <c r="AV376" i="20"/>
  <c r="AN376" i="20"/>
  <c r="AM376" i="20"/>
  <c r="AK376" i="20"/>
  <c r="AJ376" i="20"/>
  <c r="AF376" i="20"/>
  <c r="AE376" i="20"/>
  <c r="AD376" i="20"/>
  <c r="AB376" i="20"/>
  <c r="U376" i="20"/>
  <c r="M376" i="20"/>
  <c r="L376" i="20"/>
  <c r="S376" i="20" s="1"/>
  <c r="K376" i="20"/>
  <c r="AC376" i="20" s="1"/>
  <c r="J376" i="20"/>
  <c r="I376" i="20"/>
  <c r="H376" i="20"/>
  <c r="BG375" i="20"/>
  <c r="AZ375" i="20"/>
  <c r="AX375" i="20"/>
  <c r="BE375" i="20" s="1"/>
  <c r="BF375" i="20" s="1"/>
  <c r="AV375" i="20"/>
  <c r="AN375" i="20"/>
  <c r="AM375" i="20"/>
  <c r="AK375" i="20"/>
  <c r="AJ375" i="20"/>
  <c r="AF375" i="20"/>
  <c r="AE375" i="20"/>
  <c r="AD375" i="20"/>
  <c r="AB375" i="20"/>
  <c r="U375" i="20"/>
  <c r="M375" i="20"/>
  <c r="L375" i="20"/>
  <c r="K375" i="20"/>
  <c r="AC375" i="20" s="1"/>
  <c r="J375" i="20"/>
  <c r="I375" i="20"/>
  <c r="H375" i="20"/>
  <c r="BG374" i="20"/>
  <c r="AZ374" i="20"/>
  <c r="AX374" i="20"/>
  <c r="BE374" i="20" s="1"/>
  <c r="BF374" i="20" s="1"/>
  <c r="AV374" i="20"/>
  <c r="AN374" i="20"/>
  <c r="AM374" i="20"/>
  <c r="AK374" i="20"/>
  <c r="AJ374" i="20"/>
  <c r="AF374" i="20"/>
  <c r="AE374" i="20"/>
  <c r="AD374" i="20"/>
  <c r="AB374" i="20"/>
  <c r="U374" i="20"/>
  <c r="M374" i="20"/>
  <c r="L374" i="20"/>
  <c r="Q374" i="20" s="1"/>
  <c r="K374" i="20"/>
  <c r="AC374" i="20" s="1"/>
  <c r="J374" i="20"/>
  <c r="I374" i="20"/>
  <c r="H374" i="20"/>
  <c r="BG373" i="20"/>
  <c r="AZ373" i="20"/>
  <c r="AX373" i="20"/>
  <c r="BE373" i="20" s="1"/>
  <c r="BF373" i="20" s="1"/>
  <c r="AV373" i="20"/>
  <c r="AN373" i="20"/>
  <c r="AM373" i="20"/>
  <c r="AK373" i="20"/>
  <c r="AJ373" i="20"/>
  <c r="AF373" i="20"/>
  <c r="AE373" i="20"/>
  <c r="AD373" i="20"/>
  <c r="AB373" i="20"/>
  <c r="U373" i="20"/>
  <c r="M373" i="20"/>
  <c r="L373" i="20"/>
  <c r="Q373" i="20" s="1"/>
  <c r="K373" i="20"/>
  <c r="J373" i="20"/>
  <c r="I373" i="20"/>
  <c r="H373" i="20"/>
  <c r="BG372" i="20"/>
  <c r="AZ372" i="20"/>
  <c r="AX372" i="20"/>
  <c r="BE372" i="20" s="1"/>
  <c r="BF372" i="20" s="1"/>
  <c r="AV372" i="20"/>
  <c r="AN372" i="20"/>
  <c r="AM372" i="20"/>
  <c r="AK372" i="20"/>
  <c r="AJ372" i="20"/>
  <c r="AF372" i="20"/>
  <c r="AE372" i="20"/>
  <c r="AD372" i="20"/>
  <c r="AB372" i="20"/>
  <c r="U372" i="20"/>
  <c r="M372" i="20"/>
  <c r="L372" i="20"/>
  <c r="S372" i="20" s="1"/>
  <c r="K372" i="20"/>
  <c r="AC372" i="20" s="1"/>
  <c r="J372" i="20"/>
  <c r="I372" i="20"/>
  <c r="H372" i="20"/>
  <c r="BG371" i="20"/>
  <c r="AZ371" i="20"/>
  <c r="AX371" i="20"/>
  <c r="BE371" i="20" s="1"/>
  <c r="BF371" i="20" s="1"/>
  <c r="AV371" i="20"/>
  <c r="AN371" i="20"/>
  <c r="AM371" i="20"/>
  <c r="AK371" i="20"/>
  <c r="AJ371" i="20"/>
  <c r="AF371" i="20"/>
  <c r="AE371" i="20"/>
  <c r="AD371" i="20"/>
  <c r="AB371" i="20"/>
  <c r="U371" i="20"/>
  <c r="M371" i="20"/>
  <c r="L371" i="20"/>
  <c r="Q371" i="20" s="1"/>
  <c r="V371" i="20" s="1"/>
  <c r="K371" i="20"/>
  <c r="AC371" i="20" s="1"/>
  <c r="J371" i="20"/>
  <c r="I371" i="20"/>
  <c r="H371" i="20"/>
  <c r="BG370" i="20"/>
  <c r="AZ370" i="20"/>
  <c r="AX370" i="20"/>
  <c r="BE370" i="20" s="1"/>
  <c r="BF370" i="20" s="1"/>
  <c r="AV370" i="20"/>
  <c r="AN370" i="20"/>
  <c r="AM370" i="20"/>
  <c r="AK370" i="20"/>
  <c r="AJ370" i="20"/>
  <c r="AF370" i="20"/>
  <c r="AE370" i="20"/>
  <c r="AD370" i="20"/>
  <c r="AB370" i="20"/>
  <c r="U370" i="20"/>
  <c r="M370" i="20"/>
  <c r="L370" i="20"/>
  <c r="S370" i="20" s="1"/>
  <c r="K370" i="20"/>
  <c r="AC370" i="20" s="1"/>
  <c r="J370" i="20"/>
  <c r="I370" i="20"/>
  <c r="H370" i="20"/>
  <c r="BG369" i="20"/>
  <c r="AZ369" i="20"/>
  <c r="AX369" i="20"/>
  <c r="BE369" i="20" s="1"/>
  <c r="BF369" i="20" s="1"/>
  <c r="AV369" i="20"/>
  <c r="AN369" i="20"/>
  <c r="AM369" i="20"/>
  <c r="AK369" i="20"/>
  <c r="AJ369" i="20"/>
  <c r="AF369" i="20"/>
  <c r="AE369" i="20"/>
  <c r="AD369" i="20"/>
  <c r="AB369" i="20"/>
  <c r="U369" i="20"/>
  <c r="M369" i="20"/>
  <c r="L369" i="20"/>
  <c r="Q369" i="20" s="1"/>
  <c r="K369" i="20"/>
  <c r="J369" i="20"/>
  <c r="I369" i="20"/>
  <c r="H369" i="20"/>
  <c r="BG368" i="20"/>
  <c r="AZ368" i="20"/>
  <c r="AX368" i="20"/>
  <c r="BE368" i="20" s="1"/>
  <c r="BF368" i="20" s="1"/>
  <c r="AV368" i="20"/>
  <c r="AN368" i="20"/>
  <c r="AM368" i="20"/>
  <c r="AK368" i="20"/>
  <c r="AJ368" i="20"/>
  <c r="AF368" i="20"/>
  <c r="AE368" i="20"/>
  <c r="AD368" i="20"/>
  <c r="AB368" i="20"/>
  <c r="U368" i="20"/>
  <c r="Q368" i="20"/>
  <c r="M368" i="20"/>
  <c r="L368" i="20"/>
  <c r="S368" i="20" s="1"/>
  <c r="K368" i="20"/>
  <c r="AC368" i="20" s="1"/>
  <c r="J368" i="20"/>
  <c r="I368" i="20"/>
  <c r="H368" i="20"/>
  <c r="BG367" i="20"/>
  <c r="AZ367" i="20"/>
  <c r="AX367" i="20"/>
  <c r="BE367" i="20" s="1"/>
  <c r="BF367" i="20" s="1"/>
  <c r="AV367" i="20"/>
  <c r="AN367" i="20"/>
  <c r="AM367" i="20"/>
  <c r="AK367" i="20"/>
  <c r="AJ367" i="20"/>
  <c r="AF367" i="20"/>
  <c r="AE367" i="20"/>
  <c r="AD367" i="20"/>
  <c r="AB367" i="20"/>
  <c r="U367" i="20"/>
  <c r="M367" i="20"/>
  <c r="L367" i="20"/>
  <c r="Q367" i="20" s="1"/>
  <c r="K367" i="20"/>
  <c r="AC367" i="20" s="1"/>
  <c r="J367" i="20"/>
  <c r="I367" i="20"/>
  <c r="H367" i="20"/>
  <c r="BG366" i="20"/>
  <c r="AZ366" i="20"/>
  <c r="AX366" i="20"/>
  <c r="BE366" i="20" s="1"/>
  <c r="BF366" i="20" s="1"/>
  <c r="AV366" i="20"/>
  <c r="AN366" i="20"/>
  <c r="AM366" i="20"/>
  <c r="AK366" i="20"/>
  <c r="AJ366" i="20"/>
  <c r="AF366" i="20"/>
  <c r="AE366" i="20"/>
  <c r="AD366" i="20"/>
  <c r="AB366" i="20"/>
  <c r="U366" i="20"/>
  <c r="M366" i="20"/>
  <c r="L366" i="20"/>
  <c r="S366" i="20" s="1"/>
  <c r="K366" i="20"/>
  <c r="AC366" i="20" s="1"/>
  <c r="J366" i="20"/>
  <c r="I366" i="20"/>
  <c r="H366" i="20"/>
  <c r="BG365" i="20"/>
  <c r="AZ365" i="20"/>
  <c r="AX365" i="20"/>
  <c r="BE365" i="20" s="1"/>
  <c r="BF365" i="20" s="1"/>
  <c r="AV365" i="20"/>
  <c r="AN365" i="20"/>
  <c r="AM365" i="20"/>
  <c r="AK365" i="20"/>
  <c r="AJ365" i="20"/>
  <c r="AF365" i="20"/>
  <c r="AE365" i="20"/>
  <c r="AD365" i="20"/>
  <c r="AB365" i="20"/>
  <c r="U365" i="20"/>
  <c r="M365" i="20"/>
  <c r="L365" i="20"/>
  <c r="Q365" i="20" s="1"/>
  <c r="V365" i="20" s="1"/>
  <c r="K365" i="20"/>
  <c r="J365" i="20"/>
  <c r="I365" i="20"/>
  <c r="H365" i="20"/>
  <c r="BG364" i="20"/>
  <c r="AZ364" i="20"/>
  <c r="AX364" i="20"/>
  <c r="BE364" i="20" s="1"/>
  <c r="BF364" i="20" s="1"/>
  <c r="AV364" i="20"/>
  <c r="AN364" i="20"/>
  <c r="AM364" i="20"/>
  <c r="AK364" i="20"/>
  <c r="AJ364" i="20"/>
  <c r="AF364" i="20"/>
  <c r="AE364" i="20"/>
  <c r="AD364" i="20"/>
  <c r="AB364" i="20"/>
  <c r="U364" i="20"/>
  <c r="M364" i="20"/>
  <c r="L364" i="20"/>
  <c r="S364" i="20" s="1"/>
  <c r="K364" i="20"/>
  <c r="AC364" i="20" s="1"/>
  <c r="J364" i="20"/>
  <c r="I364" i="20"/>
  <c r="H364" i="20"/>
  <c r="BG363" i="20"/>
  <c r="AZ363" i="20"/>
  <c r="AX363" i="20"/>
  <c r="BE363" i="20" s="1"/>
  <c r="BF363" i="20" s="1"/>
  <c r="AV363" i="20"/>
  <c r="AN363" i="20"/>
  <c r="AM363" i="20"/>
  <c r="AK363" i="20"/>
  <c r="AJ363" i="20"/>
  <c r="AF363" i="20"/>
  <c r="AE363" i="20"/>
  <c r="AD363" i="20"/>
  <c r="AB363" i="20"/>
  <c r="U363" i="20"/>
  <c r="M363" i="20"/>
  <c r="L363" i="20"/>
  <c r="Q363" i="20" s="1"/>
  <c r="K363" i="20"/>
  <c r="AC363" i="20" s="1"/>
  <c r="J363" i="20"/>
  <c r="I363" i="20"/>
  <c r="H363" i="20"/>
  <c r="BG362" i="20"/>
  <c r="AZ362" i="20"/>
  <c r="AX362" i="20"/>
  <c r="BE362" i="20" s="1"/>
  <c r="BF362" i="20" s="1"/>
  <c r="AV362" i="20"/>
  <c r="AN362" i="20"/>
  <c r="AM362" i="20"/>
  <c r="AK362" i="20"/>
  <c r="AJ362" i="20"/>
  <c r="AF362" i="20"/>
  <c r="AE362" i="20"/>
  <c r="AD362" i="20"/>
  <c r="AB362" i="20"/>
  <c r="U362" i="20"/>
  <c r="S362" i="20"/>
  <c r="M362" i="20"/>
  <c r="L362" i="20"/>
  <c r="Q362" i="20" s="1"/>
  <c r="K362" i="20"/>
  <c r="AC362" i="20" s="1"/>
  <c r="J362" i="20"/>
  <c r="I362" i="20"/>
  <c r="H362" i="20"/>
  <c r="BG361" i="20"/>
  <c r="AZ361" i="20"/>
  <c r="AX361" i="20"/>
  <c r="BE361" i="20" s="1"/>
  <c r="BF361" i="20" s="1"/>
  <c r="AV361" i="20"/>
  <c r="AN361" i="20"/>
  <c r="AM361" i="20"/>
  <c r="AK361" i="20"/>
  <c r="AJ361" i="20"/>
  <c r="AF361" i="20"/>
  <c r="AE361" i="20"/>
  <c r="AD361" i="20"/>
  <c r="AB361" i="20"/>
  <c r="U361" i="20"/>
  <c r="M361" i="20"/>
  <c r="L361" i="20"/>
  <c r="Q361" i="20" s="1"/>
  <c r="V361" i="20" s="1"/>
  <c r="K361" i="20"/>
  <c r="J361" i="20"/>
  <c r="I361" i="20"/>
  <c r="H361" i="20"/>
  <c r="BG360" i="20"/>
  <c r="AZ360" i="20"/>
  <c r="AX360" i="20"/>
  <c r="BE360" i="20" s="1"/>
  <c r="BF360" i="20" s="1"/>
  <c r="AV360" i="20"/>
  <c r="AN360" i="20"/>
  <c r="AM360" i="20"/>
  <c r="AK360" i="20"/>
  <c r="AJ360" i="20"/>
  <c r="AF360" i="20"/>
  <c r="AE360" i="20"/>
  <c r="AD360" i="20"/>
  <c r="AB360" i="20"/>
  <c r="U360" i="20"/>
  <c r="M360" i="20"/>
  <c r="L360" i="20"/>
  <c r="S360" i="20" s="1"/>
  <c r="K360" i="20"/>
  <c r="AC360" i="20" s="1"/>
  <c r="J360" i="20"/>
  <c r="I360" i="20"/>
  <c r="H360" i="20"/>
  <c r="BG359" i="20"/>
  <c r="AZ359" i="20"/>
  <c r="AX359" i="20"/>
  <c r="BE359" i="20" s="1"/>
  <c r="BF359" i="20" s="1"/>
  <c r="AV359" i="20"/>
  <c r="AN359" i="20"/>
  <c r="AM359" i="20"/>
  <c r="AK359" i="20"/>
  <c r="AJ359" i="20"/>
  <c r="AF359" i="20"/>
  <c r="AE359" i="20"/>
  <c r="AD359" i="20"/>
  <c r="AB359" i="20"/>
  <c r="U359" i="20"/>
  <c r="M359" i="20"/>
  <c r="L359" i="20"/>
  <c r="Q359" i="20" s="1"/>
  <c r="V359" i="20" s="1"/>
  <c r="K359" i="20"/>
  <c r="AC359" i="20" s="1"/>
  <c r="J359" i="20"/>
  <c r="I359" i="20"/>
  <c r="H359" i="20"/>
  <c r="BG358" i="20"/>
  <c r="AZ358" i="20"/>
  <c r="AX358" i="20"/>
  <c r="BE358" i="20" s="1"/>
  <c r="BF358" i="20" s="1"/>
  <c r="AV358" i="20"/>
  <c r="AN358" i="20"/>
  <c r="AM358" i="20"/>
  <c r="AK358" i="20"/>
  <c r="AJ358" i="20"/>
  <c r="AF358" i="20"/>
  <c r="AE358" i="20"/>
  <c r="AD358" i="20"/>
  <c r="AB358" i="20"/>
  <c r="U358" i="20"/>
  <c r="M358" i="20"/>
  <c r="L358" i="20"/>
  <c r="K358" i="20"/>
  <c r="AC358" i="20" s="1"/>
  <c r="J358" i="20"/>
  <c r="I358" i="20"/>
  <c r="H358" i="20"/>
  <c r="BG357" i="20"/>
  <c r="AZ357" i="20"/>
  <c r="AX357" i="20"/>
  <c r="BE357" i="20" s="1"/>
  <c r="BF357" i="20" s="1"/>
  <c r="AV357" i="20"/>
  <c r="AN357" i="20"/>
  <c r="AM357" i="20"/>
  <c r="AK357" i="20"/>
  <c r="AJ357" i="20"/>
  <c r="AF357" i="20"/>
  <c r="AE357" i="20"/>
  <c r="AD357" i="20"/>
  <c r="AB357" i="20"/>
  <c r="U357" i="20"/>
  <c r="M357" i="20"/>
  <c r="L357" i="20"/>
  <c r="Q357" i="20" s="1"/>
  <c r="V357" i="20" s="1"/>
  <c r="K357" i="20"/>
  <c r="AC357" i="20" s="1"/>
  <c r="J357" i="20"/>
  <c r="I357" i="20"/>
  <c r="H357" i="20"/>
  <c r="BG356" i="20"/>
  <c r="BE356" i="20"/>
  <c r="BF356" i="20" s="1"/>
  <c r="AV356" i="20"/>
  <c r="AF356" i="20"/>
  <c r="AE356" i="20"/>
  <c r="AD356" i="20"/>
  <c r="AB356" i="20"/>
  <c r="U356" i="20"/>
  <c r="M356" i="20"/>
  <c r="L356" i="20"/>
  <c r="S356" i="20" s="1"/>
  <c r="K356" i="20"/>
  <c r="AC356" i="20" s="1"/>
  <c r="J356" i="20"/>
  <c r="I356" i="20"/>
  <c r="H356" i="20"/>
  <c r="BG355" i="20"/>
  <c r="BF355" i="20"/>
  <c r="BE355" i="20"/>
  <c r="AV355" i="20"/>
  <c r="AF355" i="20"/>
  <c r="AE355" i="20"/>
  <c r="AD355" i="20"/>
  <c r="AB355" i="20"/>
  <c r="U355" i="20"/>
  <c r="M355" i="20"/>
  <c r="L355" i="20"/>
  <c r="Q355" i="20" s="1"/>
  <c r="K355" i="20"/>
  <c r="AC355" i="20" s="1"/>
  <c r="J355" i="20"/>
  <c r="I355" i="20"/>
  <c r="H355" i="20"/>
  <c r="BG354" i="20"/>
  <c r="BE354" i="20"/>
  <c r="BF354" i="20" s="1"/>
  <c r="AV354" i="20"/>
  <c r="AF354" i="20"/>
  <c r="AE354" i="20"/>
  <c r="AD354" i="20"/>
  <c r="AB354" i="20"/>
  <c r="U354" i="20"/>
  <c r="M354" i="20"/>
  <c r="L354" i="20"/>
  <c r="Q354" i="20" s="1"/>
  <c r="K354" i="20"/>
  <c r="AC354" i="20" s="1"/>
  <c r="J354" i="20"/>
  <c r="I354" i="20"/>
  <c r="H354" i="20"/>
  <c r="BG353" i="20"/>
  <c r="BE353" i="20"/>
  <c r="BF353" i="20" s="1"/>
  <c r="AV353" i="20"/>
  <c r="AF353" i="20"/>
  <c r="AE353" i="20"/>
  <c r="AD353" i="20"/>
  <c r="AB353" i="20"/>
  <c r="U353" i="20"/>
  <c r="M353" i="20"/>
  <c r="L353" i="20"/>
  <c r="Q353" i="20" s="1"/>
  <c r="V353" i="20" s="1"/>
  <c r="K353" i="20"/>
  <c r="AC353" i="20" s="1"/>
  <c r="J353" i="20"/>
  <c r="I353" i="20"/>
  <c r="H353" i="20"/>
  <c r="BG352" i="20"/>
  <c r="BE352" i="20"/>
  <c r="BF352" i="20" s="1"/>
  <c r="AV352" i="20"/>
  <c r="AF352" i="20"/>
  <c r="AE352" i="20"/>
  <c r="AD352" i="20"/>
  <c r="AB352" i="20"/>
  <c r="U352" i="20"/>
  <c r="M352" i="20"/>
  <c r="L352" i="20"/>
  <c r="S352" i="20" s="1"/>
  <c r="K352" i="20"/>
  <c r="J352" i="20"/>
  <c r="I352" i="20"/>
  <c r="H352" i="20"/>
  <c r="BG351" i="20"/>
  <c r="BE351" i="20"/>
  <c r="BF351" i="20" s="1"/>
  <c r="AV351" i="20"/>
  <c r="AF351" i="20"/>
  <c r="AE351" i="20"/>
  <c r="AD351" i="20"/>
  <c r="AB351" i="20"/>
  <c r="U351" i="20"/>
  <c r="M351" i="20"/>
  <c r="L351" i="20"/>
  <c r="S351" i="20" s="1"/>
  <c r="K351" i="20"/>
  <c r="AC351" i="20" s="1"/>
  <c r="J351" i="20"/>
  <c r="I351" i="20"/>
  <c r="H351" i="20"/>
  <c r="BG350" i="20"/>
  <c r="BE350" i="20"/>
  <c r="BF350" i="20" s="1"/>
  <c r="AV350" i="20"/>
  <c r="AF350" i="20"/>
  <c r="AE350" i="20"/>
  <c r="AD350" i="20"/>
  <c r="AB350" i="20"/>
  <c r="U350" i="20"/>
  <c r="M350" i="20"/>
  <c r="L350" i="20"/>
  <c r="K350" i="20"/>
  <c r="AC350" i="20" s="1"/>
  <c r="J350" i="20"/>
  <c r="I350" i="20"/>
  <c r="H350" i="20"/>
  <c r="BG349" i="20"/>
  <c r="BE349" i="20"/>
  <c r="BF349" i="20" s="1"/>
  <c r="AV349" i="20"/>
  <c r="AF349" i="20"/>
  <c r="AE349" i="20"/>
  <c r="AD349" i="20"/>
  <c r="AB349" i="20"/>
  <c r="U349" i="20"/>
  <c r="M349" i="20"/>
  <c r="L349" i="20"/>
  <c r="Q349" i="20" s="1"/>
  <c r="K349" i="20"/>
  <c r="AC349" i="20" s="1"/>
  <c r="J349" i="20"/>
  <c r="I349" i="20"/>
  <c r="H349" i="20"/>
  <c r="BG348" i="20"/>
  <c r="BE348" i="20"/>
  <c r="BF348" i="20" s="1"/>
  <c r="AV348" i="20"/>
  <c r="AF348" i="20"/>
  <c r="AE348" i="20"/>
  <c r="AD348" i="20"/>
  <c r="AB348" i="20"/>
  <c r="U348" i="20"/>
  <c r="M348" i="20"/>
  <c r="L348" i="20"/>
  <c r="S348" i="20" s="1"/>
  <c r="K348" i="20"/>
  <c r="AC348" i="20" s="1"/>
  <c r="J348" i="20"/>
  <c r="I348" i="20"/>
  <c r="H348" i="20"/>
  <c r="BG347" i="20"/>
  <c r="BE347" i="20"/>
  <c r="BF347" i="20" s="1"/>
  <c r="AV347" i="20"/>
  <c r="AF347" i="20"/>
  <c r="AE347" i="20"/>
  <c r="AD347" i="20"/>
  <c r="AB347" i="20"/>
  <c r="U347" i="20"/>
  <c r="Q347" i="20"/>
  <c r="M347" i="20"/>
  <c r="L347" i="20"/>
  <c r="S347" i="20" s="1"/>
  <c r="K347" i="20"/>
  <c r="AC347" i="20" s="1"/>
  <c r="J347" i="20"/>
  <c r="I347" i="20"/>
  <c r="H347" i="20"/>
  <c r="BG346" i="20"/>
  <c r="AZ346" i="20"/>
  <c r="AX346" i="20"/>
  <c r="BE346" i="20" s="1"/>
  <c r="BF346" i="20" s="1"/>
  <c r="AV346" i="20"/>
  <c r="AF346" i="20"/>
  <c r="AE346" i="20"/>
  <c r="AD346" i="20"/>
  <c r="AB346" i="20"/>
  <c r="U346" i="20"/>
  <c r="Q346" i="20"/>
  <c r="M346" i="20"/>
  <c r="L346" i="20"/>
  <c r="S346" i="20" s="1"/>
  <c r="K346" i="20"/>
  <c r="AC346" i="20" s="1"/>
  <c r="J346" i="20"/>
  <c r="I346" i="20"/>
  <c r="H346" i="20"/>
  <c r="BG345" i="20"/>
  <c r="BF345" i="20"/>
  <c r="AZ345" i="20"/>
  <c r="AX345" i="20"/>
  <c r="BE345" i="20" s="1"/>
  <c r="AV345" i="20"/>
  <c r="AF345" i="20"/>
  <c r="AE345" i="20"/>
  <c r="AD345" i="20"/>
  <c r="AB345" i="20"/>
  <c r="U345" i="20"/>
  <c r="M345" i="20"/>
  <c r="L345" i="20"/>
  <c r="S345" i="20" s="1"/>
  <c r="K345" i="20"/>
  <c r="AC345" i="20" s="1"/>
  <c r="J345" i="20"/>
  <c r="I345" i="20"/>
  <c r="H345" i="20"/>
  <c r="BG344" i="20"/>
  <c r="AZ344" i="20"/>
  <c r="AX344" i="20"/>
  <c r="BE344" i="20" s="1"/>
  <c r="BF344" i="20" s="1"/>
  <c r="AV344" i="20"/>
  <c r="AF344" i="20"/>
  <c r="AE344" i="20"/>
  <c r="AD344" i="20"/>
  <c r="AB344" i="20"/>
  <c r="U344" i="20"/>
  <c r="M344" i="20"/>
  <c r="L344" i="20"/>
  <c r="Q344" i="20" s="1"/>
  <c r="K344" i="20"/>
  <c r="AC344" i="20" s="1"/>
  <c r="J344" i="20"/>
  <c r="I344" i="20"/>
  <c r="H344" i="20"/>
  <c r="BG343" i="20"/>
  <c r="AZ343" i="20"/>
  <c r="AX343" i="20"/>
  <c r="BE343" i="20" s="1"/>
  <c r="BF343" i="20" s="1"/>
  <c r="AV343" i="20"/>
  <c r="AF343" i="20"/>
  <c r="AE343" i="20"/>
  <c r="AD343" i="20"/>
  <c r="AB343" i="20"/>
  <c r="U343" i="20"/>
  <c r="M343" i="20"/>
  <c r="L343" i="20"/>
  <c r="S343" i="20" s="1"/>
  <c r="K343" i="20"/>
  <c r="AC343" i="20" s="1"/>
  <c r="J343" i="20"/>
  <c r="I343" i="20"/>
  <c r="H343" i="20"/>
  <c r="BG342" i="20"/>
  <c r="AZ342" i="20"/>
  <c r="AX342" i="20"/>
  <c r="BE342" i="20" s="1"/>
  <c r="BF342" i="20" s="1"/>
  <c r="AV342" i="20"/>
  <c r="AF342" i="20"/>
  <c r="AE342" i="20"/>
  <c r="AD342" i="20"/>
  <c r="AB342" i="20"/>
  <c r="U342" i="20"/>
  <c r="M342" i="20"/>
  <c r="L342" i="20"/>
  <c r="K342" i="20"/>
  <c r="AC342" i="20" s="1"/>
  <c r="J342" i="20"/>
  <c r="I342" i="20"/>
  <c r="H342" i="20"/>
  <c r="BG341" i="20"/>
  <c r="AZ341" i="20"/>
  <c r="AX341" i="20"/>
  <c r="BE341" i="20" s="1"/>
  <c r="BF341" i="20" s="1"/>
  <c r="AV341" i="20"/>
  <c r="AF341" i="20"/>
  <c r="AE341" i="20"/>
  <c r="AD341" i="20"/>
  <c r="AB341" i="20"/>
  <c r="U341" i="20"/>
  <c r="M341" i="20"/>
  <c r="L341" i="20"/>
  <c r="S341" i="20" s="1"/>
  <c r="K341" i="20"/>
  <c r="AC341" i="20" s="1"/>
  <c r="J341" i="20"/>
  <c r="I341" i="20"/>
  <c r="H341" i="20"/>
  <c r="BG340" i="20"/>
  <c r="AZ340" i="20"/>
  <c r="AX340" i="20"/>
  <c r="BE340" i="20" s="1"/>
  <c r="BF340" i="20" s="1"/>
  <c r="AV340" i="20"/>
  <c r="AF340" i="20"/>
  <c r="AE340" i="20"/>
  <c r="AD340" i="20"/>
  <c r="AB340" i="20"/>
  <c r="U340" i="20"/>
  <c r="M340" i="20"/>
  <c r="L340" i="20"/>
  <c r="S340" i="20" s="1"/>
  <c r="K340" i="20"/>
  <c r="AC340" i="20" s="1"/>
  <c r="J340" i="20"/>
  <c r="I340" i="20"/>
  <c r="H340" i="20"/>
  <c r="BG339" i="20"/>
  <c r="AZ339" i="20"/>
  <c r="AX339" i="20"/>
  <c r="BE339" i="20" s="1"/>
  <c r="BF339" i="20" s="1"/>
  <c r="AV339" i="20"/>
  <c r="AF339" i="20"/>
  <c r="AE339" i="20"/>
  <c r="AD339" i="20"/>
  <c r="AB339" i="20"/>
  <c r="U339" i="20"/>
  <c r="M339" i="20"/>
  <c r="L339" i="20"/>
  <c r="S339" i="20" s="1"/>
  <c r="K339" i="20"/>
  <c r="J339" i="20"/>
  <c r="I339" i="20"/>
  <c r="H339" i="20"/>
  <c r="BG338" i="20"/>
  <c r="AZ338" i="20"/>
  <c r="AX338" i="20"/>
  <c r="BE338" i="20" s="1"/>
  <c r="BF338" i="20" s="1"/>
  <c r="AV338" i="20"/>
  <c r="AF338" i="20"/>
  <c r="AE338" i="20"/>
  <c r="AD338" i="20"/>
  <c r="AB338" i="20"/>
  <c r="U338" i="20"/>
  <c r="M338" i="20"/>
  <c r="L338" i="20"/>
  <c r="S338" i="20" s="1"/>
  <c r="K338" i="20"/>
  <c r="AC338" i="20" s="1"/>
  <c r="J338" i="20"/>
  <c r="I338" i="20"/>
  <c r="H338" i="20"/>
  <c r="BG337" i="20"/>
  <c r="AZ337" i="20"/>
  <c r="AX337" i="20"/>
  <c r="BE337" i="20" s="1"/>
  <c r="BF337" i="20" s="1"/>
  <c r="AV337" i="20"/>
  <c r="AF337" i="20"/>
  <c r="AE337" i="20"/>
  <c r="AD337" i="20"/>
  <c r="AB337" i="20"/>
  <c r="U337" i="20"/>
  <c r="M337" i="20"/>
  <c r="L337" i="20"/>
  <c r="K337" i="20"/>
  <c r="AC337" i="20" s="1"/>
  <c r="J337" i="20"/>
  <c r="I337" i="20"/>
  <c r="H337" i="20"/>
  <c r="BG336" i="20"/>
  <c r="AZ336" i="20"/>
  <c r="AX336" i="20"/>
  <c r="BE336" i="20" s="1"/>
  <c r="BF336" i="20" s="1"/>
  <c r="AV336" i="20"/>
  <c r="AF336" i="20"/>
  <c r="AE336" i="20"/>
  <c r="AD336" i="20"/>
  <c r="AB336" i="20"/>
  <c r="U336" i="20"/>
  <c r="M336" i="20"/>
  <c r="L336" i="20"/>
  <c r="Q336" i="20" s="1"/>
  <c r="K336" i="20"/>
  <c r="AC336" i="20" s="1"/>
  <c r="J336" i="20"/>
  <c r="I336" i="20"/>
  <c r="H336" i="20"/>
  <c r="BG335" i="20"/>
  <c r="AZ335" i="20"/>
  <c r="AX335" i="20"/>
  <c r="BE335" i="20" s="1"/>
  <c r="BF335" i="20" s="1"/>
  <c r="AV335" i="20"/>
  <c r="AF335" i="20"/>
  <c r="AE335" i="20"/>
  <c r="AD335" i="20"/>
  <c r="AB335" i="20"/>
  <c r="U335" i="20"/>
  <c r="S335" i="20"/>
  <c r="M335" i="20"/>
  <c r="L335" i="20"/>
  <c r="Q335" i="20" s="1"/>
  <c r="K335" i="20"/>
  <c r="AC335" i="20" s="1"/>
  <c r="J335" i="20"/>
  <c r="I335" i="20"/>
  <c r="H335" i="20"/>
  <c r="BG334" i="20"/>
  <c r="AZ334" i="20"/>
  <c r="AX334" i="20"/>
  <c r="BE334" i="20" s="1"/>
  <c r="BF334" i="20" s="1"/>
  <c r="AV334" i="20"/>
  <c r="AF334" i="20"/>
  <c r="AE334" i="20"/>
  <c r="AD334" i="20"/>
  <c r="AB334" i="20"/>
  <c r="U334" i="20"/>
  <c r="M334" i="20"/>
  <c r="L334" i="20"/>
  <c r="S334" i="20" s="1"/>
  <c r="K334" i="20"/>
  <c r="AC334" i="20" s="1"/>
  <c r="J334" i="20"/>
  <c r="I334" i="20"/>
  <c r="H334" i="20"/>
  <c r="BG333" i="20"/>
  <c r="AZ333" i="20"/>
  <c r="AX333" i="20"/>
  <c r="BE333" i="20" s="1"/>
  <c r="BF333" i="20" s="1"/>
  <c r="AV333" i="20"/>
  <c r="AF333" i="20"/>
  <c r="AE333" i="20"/>
  <c r="AD333" i="20"/>
  <c r="AB333" i="20"/>
  <c r="U333" i="20"/>
  <c r="M333" i="20"/>
  <c r="L333" i="20"/>
  <c r="S333" i="20" s="1"/>
  <c r="K333" i="20"/>
  <c r="AC333" i="20" s="1"/>
  <c r="J333" i="20"/>
  <c r="I333" i="20"/>
  <c r="H333" i="20"/>
  <c r="BG332" i="20"/>
  <c r="AZ332" i="20"/>
  <c r="AX332" i="20"/>
  <c r="BE332" i="20" s="1"/>
  <c r="BF332" i="20" s="1"/>
  <c r="AV332" i="20"/>
  <c r="AF332" i="20"/>
  <c r="AE332" i="20"/>
  <c r="AD332" i="20"/>
  <c r="AB332" i="20"/>
  <c r="U332" i="20"/>
  <c r="M332" i="20"/>
  <c r="L332" i="20"/>
  <c r="S332" i="20" s="1"/>
  <c r="K332" i="20"/>
  <c r="AC332" i="20" s="1"/>
  <c r="J332" i="20"/>
  <c r="I332" i="20"/>
  <c r="H332" i="20"/>
  <c r="BG331" i="20"/>
  <c r="AZ331" i="20"/>
  <c r="AX331" i="20"/>
  <c r="BE331" i="20" s="1"/>
  <c r="BF331" i="20" s="1"/>
  <c r="AV331" i="20"/>
  <c r="AF331" i="20"/>
  <c r="AE331" i="20"/>
  <c r="AD331" i="20"/>
  <c r="AB331" i="20"/>
  <c r="U331" i="20"/>
  <c r="M331" i="20"/>
  <c r="L331" i="20"/>
  <c r="S331" i="20" s="1"/>
  <c r="K331" i="20"/>
  <c r="AC331" i="20" s="1"/>
  <c r="J331" i="20"/>
  <c r="I331" i="20"/>
  <c r="H331" i="20"/>
  <c r="BG330" i="20"/>
  <c r="AZ330" i="20"/>
  <c r="AX330" i="20"/>
  <c r="BE330" i="20" s="1"/>
  <c r="BF330" i="20" s="1"/>
  <c r="AV330" i="20"/>
  <c r="AF330" i="20"/>
  <c r="AE330" i="20"/>
  <c r="AD330" i="20"/>
  <c r="AB330" i="20"/>
  <c r="U330" i="20"/>
  <c r="M330" i="20"/>
  <c r="L330" i="20"/>
  <c r="S330" i="20" s="1"/>
  <c r="K330" i="20"/>
  <c r="AC330" i="20" s="1"/>
  <c r="J330" i="20"/>
  <c r="I330" i="20"/>
  <c r="H330" i="20"/>
  <c r="BG329" i="20"/>
  <c r="AZ329" i="20"/>
  <c r="AX329" i="20"/>
  <c r="BE329" i="20" s="1"/>
  <c r="BF329" i="20" s="1"/>
  <c r="AV329" i="20"/>
  <c r="AF329" i="20"/>
  <c r="AE329" i="20"/>
  <c r="AD329" i="20"/>
  <c r="AB329" i="20"/>
  <c r="U329" i="20"/>
  <c r="M329" i="20"/>
  <c r="L329" i="20"/>
  <c r="Q329" i="20" s="1"/>
  <c r="K329" i="20"/>
  <c r="AC329" i="20" s="1"/>
  <c r="J329" i="20"/>
  <c r="I329" i="20"/>
  <c r="H329" i="20"/>
  <c r="BG328" i="20"/>
  <c r="AZ328" i="20"/>
  <c r="AX328" i="20"/>
  <c r="BE328" i="20" s="1"/>
  <c r="BF328" i="20" s="1"/>
  <c r="AV328" i="20"/>
  <c r="AF328" i="20"/>
  <c r="AE328" i="20"/>
  <c r="AD328" i="20"/>
  <c r="AB328" i="20"/>
  <c r="U328" i="20"/>
  <c r="M328" i="20"/>
  <c r="L328" i="20"/>
  <c r="Q328" i="20" s="1"/>
  <c r="K328" i="20"/>
  <c r="AC328" i="20" s="1"/>
  <c r="J328" i="20"/>
  <c r="I328" i="20"/>
  <c r="H328" i="20"/>
  <c r="BG327" i="20"/>
  <c r="AZ327" i="20"/>
  <c r="AX327" i="20"/>
  <c r="BE327" i="20" s="1"/>
  <c r="BF327" i="20" s="1"/>
  <c r="AV327" i="20"/>
  <c r="AF327" i="20"/>
  <c r="AE327" i="20"/>
  <c r="AD327" i="20"/>
  <c r="AB327" i="20"/>
  <c r="U327" i="20"/>
  <c r="M327" i="20"/>
  <c r="L327" i="20"/>
  <c r="S327" i="20" s="1"/>
  <c r="K327" i="20"/>
  <c r="AC327" i="20" s="1"/>
  <c r="J327" i="20"/>
  <c r="I327" i="20"/>
  <c r="H327" i="20"/>
  <c r="BG326" i="20"/>
  <c r="AZ326" i="20"/>
  <c r="AX326" i="20"/>
  <c r="BE326" i="20" s="1"/>
  <c r="BF326" i="20" s="1"/>
  <c r="AV326" i="20"/>
  <c r="AF326" i="20"/>
  <c r="AE326" i="20"/>
  <c r="AD326" i="20"/>
  <c r="AB326" i="20"/>
  <c r="U326" i="20"/>
  <c r="M326" i="20"/>
  <c r="L326" i="20"/>
  <c r="S326" i="20" s="1"/>
  <c r="K326" i="20"/>
  <c r="AC326" i="20" s="1"/>
  <c r="J326" i="20"/>
  <c r="I326" i="20"/>
  <c r="H326" i="20"/>
  <c r="BG325" i="20"/>
  <c r="AZ325" i="20"/>
  <c r="AX325" i="20"/>
  <c r="BE325" i="20" s="1"/>
  <c r="BF325" i="20" s="1"/>
  <c r="AV325" i="20"/>
  <c r="AF325" i="20"/>
  <c r="AE325" i="20"/>
  <c r="AD325" i="20"/>
  <c r="AB325" i="20"/>
  <c r="U325" i="20"/>
  <c r="M325" i="20"/>
  <c r="L325" i="20"/>
  <c r="K325" i="20"/>
  <c r="AC325" i="20" s="1"/>
  <c r="J325" i="20"/>
  <c r="I325" i="20"/>
  <c r="H325" i="20"/>
  <c r="BG324" i="20"/>
  <c r="AZ324" i="20"/>
  <c r="AX324" i="20"/>
  <c r="BE324" i="20" s="1"/>
  <c r="BF324" i="20" s="1"/>
  <c r="AV324" i="20"/>
  <c r="AF324" i="20"/>
  <c r="AE324" i="20"/>
  <c r="AD324" i="20"/>
  <c r="AB324" i="20"/>
  <c r="U324" i="20"/>
  <c r="M324" i="20"/>
  <c r="L324" i="20"/>
  <c r="S324" i="20" s="1"/>
  <c r="K324" i="20"/>
  <c r="AC324" i="20" s="1"/>
  <c r="J324" i="20"/>
  <c r="I324" i="20"/>
  <c r="H324" i="20"/>
  <c r="BG323" i="20"/>
  <c r="AZ323" i="20"/>
  <c r="AX323" i="20"/>
  <c r="BE323" i="20" s="1"/>
  <c r="BF323" i="20" s="1"/>
  <c r="AV323" i="20"/>
  <c r="AF323" i="20"/>
  <c r="AE323" i="20"/>
  <c r="AD323" i="20"/>
  <c r="AB323" i="20"/>
  <c r="U323" i="20"/>
  <c r="M323" i="20"/>
  <c r="L323" i="20"/>
  <c r="S323" i="20" s="1"/>
  <c r="K323" i="20"/>
  <c r="AC323" i="20" s="1"/>
  <c r="J323" i="20"/>
  <c r="I323" i="20"/>
  <c r="H323" i="20"/>
  <c r="BG322" i="20"/>
  <c r="AZ322" i="20"/>
  <c r="AX322" i="20"/>
  <c r="BE322" i="20" s="1"/>
  <c r="BF322" i="20" s="1"/>
  <c r="AV322" i="20"/>
  <c r="AF322" i="20"/>
  <c r="AE322" i="20"/>
  <c r="AD322" i="20"/>
  <c r="AB322" i="20"/>
  <c r="U322" i="20"/>
  <c r="M322" i="20"/>
  <c r="L322" i="20"/>
  <c r="S322" i="20" s="1"/>
  <c r="K322" i="20"/>
  <c r="AC322" i="20" s="1"/>
  <c r="J322" i="20"/>
  <c r="I322" i="20"/>
  <c r="H322" i="20"/>
  <c r="BG321" i="20"/>
  <c r="AZ321" i="20"/>
  <c r="AX321" i="20"/>
  <c r="BE321" i="20" s="1"/>
  <c r="BF321" i="20" s="1"/>
  <c r="AV321" i="20"/>
  <c r="AF321" i="20"/>
  <c r="AE321" i="20"/>
  <c r="AD321" i="20"/>
  <c r="AB321" i="20"/>
  <c r="U321" i="20"/>
  <c r="M321" i="20"/>
  <c r="L321" i="20"/>
  <c r="S321" i="20" s="1"/>
  <c r="K321" i="20"/>
  <c r="AC321" i="20" s="1"/>
  <c r="J321" i="20"/>
  <c r="I321" i="20"/>
  <c r="H321" i="20"/>
  <c r="BG320" i="20"/>
  <c r="AZ320" i="20"/>
  <c r="AX320" i="20"/>
  <c r="BE320" i="20" s="1"/>
  <c r="BF320" i="20" s="1"/>
  <c r="AV320" i="20"/>
  <c r="AF320" i="20"/>
  <c r="AE320" i="20"/>
  <c r="AD320" i="20"/>
  <c r="AB320" i="20"/>
  <c r="U320" i="20"/>
  <c r="M320" i="20"/>
  <c r="L320" i="20"/>
  <c r="S320" i="20" s="1"/>
  <c r="K320" i="20"/>
  <c r="AC320" i="20" s="1"/>
  <c r="J320" i="20"/>
  <c r="I320" i="20"/>
  <c r="H320" i="20"/>
  <c r="BG319" i="20"/>
  <c r="AZ319" i="20"/>
  <c r="AX319" i="20"/>
  <c r="BE319" i="20" s="1"/>
  <c r="BF319" i="20" s="1"/>
  <c r="AV319" i="20"/>
  <c r="AF319" i="20"/>
  <c r="AE319" i="20"/>
  <c r="AD319" i="20"/>
  <c r="AB319" i="20"/>
  <c r="U319" i="20"/>
  <c r="Q319" i="20"/>
  <c r="M319" i="20"/>
  <c r="L319" i="20"/>
  <c r="S319" i="20" s="1"/>
  <c r="K319" i="20"/>
  <c r="AC319" i="20" s="1"/>
  <c r="J319" i="20"/>
  <c r="I319" i="20"/>
  <c r="H319" i="20"/>
  <c r="BG318" i="20"/>
  <c r="AZ318" i="20"/>
  <c r="AX318" i="20"/>
  <c r="BE318" i="20" s="1"/>
  <c r="BF318" i="20" s="1"/>
  <c r="AV318" i="20"/>
  <c r="AF318" i="20"/>
  <c r="AE318" i="20"/>
  <c r="AD318" i="20"/>
  <c r="AB318" i="20"/>
  <c r="U318" i="20"/>
  <c r="M318" i="20"/>
  <c r="L318" i="20"/>
  <c r="S318" i="20" s="1"/>
  <c r="K318" i="20"/>
  <c r="AC318" i="20" s="1"/>
  <c r="J318" i="20"/>
  <c r="I318" i="20"/>
  <c r="H318" i="20"/>
  <c r="BG317" i="20"/>
  <c r="AZ317" i="20"/>
  <c r="AX317" i="20"/>
  <c r="BE317" i="20" s="1"/>
  <c r="BF317" i="20" s="1"/>
  <c r="AV317" i="20"/>
  <c r="AF317" i="20"/>
  <c r="AE317" i="20"/>
  <c r="AD317" i="20"/>
  <c r="AB317" i="20"/>
  <c r="U317" i="20"/>
  <c r="M317" i="20"/>
  <c r="L317" i="20"/>
  <c r="Q317" i="20" s="1"/>
  <c r="K317" i="20"/>
  <c r="AC317" i="20" s="1"/>
  <c r="J317" i="20"/>
  <c r="I317" i="20"/>
  <c r="H317" i="20"/>
  <c r="BG316" i="20"/>
  <c r="AZ316" i="20"/>
  <c r="AX316" i="20"/>
  <c r="BE316" i="20" s="1"/>
  <c r="BF316" i="20" s="1"/>
  <c r="AV316" i="20"/>
  <c r="AF316" i="20"/>
  <c r="AE316" i="20"/>
  <c r="AD316" i="20"/>
  <c r="AB316" i="20"/>
  <c r="U316" i="20"/>
  <c r="M316" i="20"/>
  <c r="L316" i="20"/>
  <c r="Q316" i="20" s="1"/>
  <c r="K316" i="20"/>
  <c r="AC316" i="20" s="1"/>
  <c r="J316" i="20"/>
  <c r="I316" i="20"/>
  <c r="H316" i="20"/>
  <c r="BG315" i="20"/>
  <c r="AZ315" i="20"/>
  <c r="AX315" i="20"/>
  <c r="BE315" i="20" s="1"/>
  <c r="BF315" i="20" s="1"/>
  <c r="AV315" i="20"/>
  <c r="AF315" i="20"/>
  <c r="AE315" i="20"/>
  <c r="AD315" i="20"/>
  <c r="AB315" i="20"/>
  <c r="U315" i="20"/>
  <c r="M315" i="20"/>
  <c r="L315" i="20"/>
  <c r="Q315" i="20" s="1"/>
  <c r="K315" i="20"/>
  <c r="J315" i="20"/>
  <c r="I315" i="20"/>
  <c r="H315" i="20"/>
  <c r="BG314" i="20"/>
  <c r="AZ314" i="20"/>
  <c r="AX314" i="20"/>
  <c r="BE314" i="20" s="1"/>
  <c r="BF314" i="20" s="1"/>
  <c r="AV314" i="20"/>
  <c r="AF314" i="20"/>
  <c r="AE314" i="20"/>
  <c r="AD314" i="20"/>
  <c r="AB314" i="20"/>
  <c r="U314" i="20"/>
  <c r="M314" i="20"/>
  <c r="L314" i="20"/>
  <c r="Q314" i="20" s="1"/>
  <c r="K314" i="20"/>
  <c r="AC314" i="20" s="1"/>
  <c r="J314" i="20"/>
  <c r="I314" i="20"/>
  <c r="H314" i="20"/>
  <c r="BG313" i="20"/>
  <c r="AZ313" i="20"/>
  <c r="AX313" i="20"/>
  <c r="BE313" i="20" s="1"/>
  <c r="BF313" i="20" s="1"/>
  <c r="AV313" i="20"/>
  <c r="AF313" i="20"/>
  <c r="AE313" i="20"/>
  <c r="AD313" i="20"/>
  <c r="AB313" i="20"/>
  <c r="U313" i="20"/>
  <c r="M313" i="20"/>
  <c r="L313" i="20"/>
  <c r="K313" i="20"/>
  <c r="AC313" i="20" s="1"/>
  <c r="J313" i="20"/>
  <c r="I313" i="20"/>
  <c r="H313" i="20"/>
  <c r="BG312" i="20"/>
  <c r="AZ312" i="20"/>
  <c r="AX312" i="20"/>
  <c r="BE312" i="20" s="1"/>
  <c r="BF312" i="20" s="1"/>
  <c r="AV312" i="20"/>
  <c r="AF312" i="20"/>
  <c r="AE312" i="20"/>
  <c r="AD312" i="20"/>
  <c r="AB312" i="20"/>
  <c r="U312" i="20"/>
  <c r="S312" i="20"/>
  <c r="M312" i="20"/>
  <c r="L312" i="20"/>
  <c r="Q312" i="20" s="1"/>
  <c r="K312" i="20"/>
  <c r="J312" i="20"/>
  <c r="I312" i="20"/>
  <c r="H312" i="20"/>
  <c r="BG311" i="20"/>
  <c r="AZ311" i="20"/>
  <c r="AX311" i="20"/>
  <c r="BE311" i="20" s="1"/>
  <c r="BF311" i="20" s="1"/>
  <c r="AV311" i="20"/>
  <c r="AF311" i="20"/>
  <c r="AE311" i="20"/>
  <c r="AD311" i="20"/>
  <c r="AB311" i="20"/>
  <c r="U311" i="20"/>
  <c r="M311" i="20"/>
  <c r="L311" i="20"/>
  <c r="S311" i="20" s="1"/>
  <c r="K311" i="20"/>
  <c r="AC311" i="20" s="1"/>
  <c r="J311" i="20"/>
  <c r="I311" i="20"/>
  <c r="H311" i="20"/>
  <c r="BG310" i="20"/>
  <c r="AZ310" i="20"/>
  <c r="AX310" i="20"/>
  <c r="BE310" i="20" s="1"/>
  <c r="BF310" i="20" s="1"/>
  <c r="AV310" i="20"/>
  <c r="AF310" i="20"/>
  <c r="AE310" i="20"/>
  <c r="AD310" i="20"/>
  <c r="AB310" i="20"/>
  <c r="U310" i="20"/>
  <c r="M310" i="20"/>
  <c r="L310" i="20"/>
  <c r="S310" i="20" s="1"/>
  <c r="K310" i="20"/>
  <c r="AC310" i="20" s="1"/>
  <c r="J310" i="20"/>
  <c r="I310" i="20"/>
  <c r="H310" i="20"/>
  <c r="BG309" i="20"/>
  <c r="AZ309" i="20"/>
  <c r="AX309" i="20"/>
  <c r="BE309" i="20" s="1"/>
  <c r="BF309" i="20" s="1"/>
  <c r="AV309" i="20"/>
  <c r="AF309" i="20"/>
  <c r="AE309" i="20"/>
  <c r="AD309" i="20"/>
  <c r="AB309" i="20"/>
  <c r="U309" i="20"/>
  <c r="M309" i="20"/>
  <c r="L309" i="20"/>
  <c r="S309" i="20" s="1"/>
  <c r="K309" i="20"/>
  <c r="AC309" i="20" s="1"/>
  <c r="J309" i="20"/>
  <c r="I309" i="20"/>
  <c r="H309" i="20"/>
  <c r="BG308" i="20"/>
  <c r="AZ308" i="20"/>
  <c r="AX308" i="20"/>
  <c r="BE308" i="20" s="1"/>
  <c r="BF308" i="20" s="1"/>
  <c r="AV308" i="20"/>
  <c r="AF308" i="20"/>
  <c r="AE308" i="20"/>
  <c r="AD308" i="20"/>
  <c r="AB308" i="20"/>
  <c r="U308" i="20"/>
  <c r="M308" i="20"/>
  <c r="L308" i="20"/>
  <c r="Q308" i="20" s="1"/>
  <c r="K308" i="20"/>
  <c r="AC308" i="20" s="1"/>
  <c r="J308" i="20"/>
  <c r="I308" i="20"/>
  <c r="H308" i="20"/>
  <c r="BG307" i="20"/>
  <c r="AZ307" i="20"/>
  <c r="AX307" i="20"/>
  <c r="BE307" i="20" s="1"/>
  <c r="BF307" i="20" s="1"/>
  <c r="AV307" i="20"/>
  <c r="AF307" i="20"/>
  <c r="AE307" i="20"/>
  <c r="AD307" i="20"/>
  <c r="AB307" i="20"/>
  <c r="U307" i="20"/>
  <c r="M307" i="20"/>
  <c r="L307" i="20"/>
  <c r="S307" i="20" s="1"/>
  <c r="K307" i="20"/>
  <c r="AC307" i="20" s="1"/>
  <c r="J307" i="20"/>
  <c r="I307" i="20"/>
  <c r="H307" i="20"/>
  <c r="BG306" i="20"/>
  <c r="AZ306" i="20"/>
  <c r="AX306" i="20"/>
  <c r="BE306" i="20" s="1"/>
  <c r="BF306" i="20" s="1"/>
  <c r="AV306" i="20"/>
  <c r="AF306" i="20"/>
  <c r="AE306" i="20"/>
  <c r="AD306" i="20"/>
  <c r="AB306" i="20"/>
  <c r="U306" i="20"/>
  <c r="M306" i="20"/>
  <c r="L306" i="20"/>
  <c r="Q306" i="20" s="1"/>
  <c r="K306" i="20"/>
  <c r="AC306" i="20" s="1"/>
  <c r="J306" i="20"/>
  <c r="I306" i="20"/>
  <c r="H306" i="20"/>
  <c r="BG305" i="20"/>
  <c r="AZ305" i="20"/>
  <c r="AX305" i="20"/>
  <c r="BE305" i="20" s="1"/>
  <c r="BF305" i="20" s="1"/>
  <c r="AV305" i="20"/>
  <c r="AF305" i="20"/>
  <c r="AE305" i="20"/>
  <c r="AD305" i="20"/>
  <c r="AB305" i="20"/>
  <c r="U305" i="20"/>
  <c r="M305" i="20"/>
  <c r="L305" i="20"/>
  <c r="Q305" i="20" s="1"/>
  <c r="K305" i="20"/>
  <c r="AC305" i="20" s="1"/>
  <c r="J305" i="20"/>
  <c r="I305" i="20"/>
  <c r="H305" i="20"/>
  <c r="BG304" i="20"/>
  <c r="AZ304" i="20"/>
  <c r="AX304" i="20"/>
  <c r="BE304" i="20" s="1"/>
  <c r="BF304" i="20" s="1"/>
  <c r="AV304" i="20"/>
  <c r="AF304" i="20"/>
  <c r="AE304" i="20"/>
  <c r="AD304" i="20"/>
  <c r="AB304" i="20"/>
  <c r="U304" i="20"/>
  <c r="M304" i="20"/>
  <c r="L304" i="20"/>
  <c r="S304" i="20" s="1"/>
  <c r="K304" i="20"/>
  <c r="J304" i="20"/>
  <c r="I304" i="20"/>
  <c r="H304" i="20"/>
  <c r="BG303" i="20"/>
  <c r="AZ303" i="20"/>
  <c r="AX303" i="20"/>
  <c r="BE303" i="20" s="1"/>
  <c r="BF303" i="20" s="1"/>
  <c r="AV303" i="20"/>
  <c r="AF303" i="20"/>
  <c r="AE303" i="20"/>
  <c r="AD303" i="20"/>
  <c r="AB303" i="20"/>
  <c r="U303" i="20"/>
  <c r="M303" i="20"/>
  <c r="L303" i="20"/>
  <c r="S303" i="20" s="1"/>
  <c r="K303" i="20"/>
  <c r="AC303" i="20" s="1"/>
  <c r="J303" i="20"/>
  <c r="I303" i="20"/>
  <c r="H303" i="20"/>
  <c r="BG302" i="20"/>
  <c r="AZ302" i="20"/>
  <c r="AX302" i="20"/>
  <c r="BE302" i="20" s="1"/>
  <c r="BF302" i="20" s="1"/>
  <c r="AV302" i="20"/>
  <c r="AF302" i="20"/>
  <c r="AE302" i="20"/>
  <c r="AD302" i="20"/>
  <c r="AB302" i="20"/>
  <c r="U302" i="20"/>
  <c r="M302" i="20"/>
  <c r="L302" i="20"/>
  <c r="S302" i="20" s="1"/>
  <c r="K302" i="20"/>
  <c r="AC302" i="20" s="1"/>
  <c r="J302" i="20"/>
  <c r="I302" i="20"/>
  <c r="H302" i="20"/>
  <c r="BG301" i="20"/>
  <c r="AZ301" i="20"/>
  <c r="AX301" i="20"/>
  <c r="BE301" i="20" s="1"/>
  <c r="BF301" i="20" s="1"/>
  <c r="AV301" i="20"/>
  <c r="AF301" i="20"/>
  <c r="AE301" i="20"/>
  <c r="AD301" i="20"/>
  <c r="AB301" i="20"/>
  <c r="U301" i="20"/>
  <c r="M301" i="20"/>
  <c r="L301" i="20"/>
  <c r="K301" i="20"/>
  <c r="AC301" i="20" s="1"/>
  <c r="J301" i="20"/>
  <c r="I301" i="20"/>
  <c r="H301" i="20"/>
  <c r="BG300" i="20"/>
  <c r="AZ300" i="20"/>
  <c r="AX300" i="20"/>
  <c r="BE300" i="20" s="1"/>
  <c r="BF300" i="20" s="1"/>
  <c r="AV300" i="20"/>
  <c r="AF300" i="20"/>
  <c r="AE300" i="20"/>
  <c r="AD300" i="20"/>
  <c r="AB300" i="20"/>
  <c r="U300" i="20"/>
  <c r="M300" i="20"/>
  <c r="L300" i="20"/>
  <c r="S300" i="20" s="1"/>
  <c r="K300" i="20"/>
  <c r="AC300" i="20" s="1"/>
  <c r="J300" i="20"/>
  <c r="I300" i="20"/>
  <c r="H300" i="20"/>
  <c r="BG299" i="20"/>
  <c r="AZ299" i="20"/>
  <c r="AX299" i="20"/>
  <c r="BE299" i="20" s="1"/>
  <c r="BF299" i="20" s="1"/>
  <c r="AV299" i="20"/>
  <c r="AF299" i="20"/>
  <c r="AE299" i="20"/>
  <c r="AD299" i="20"/>
  <c r="AB299" i="20"/>
  <c r="U299" i="20"/>
  <c r="M299" i="20"/>
  <c r="L299" i="20"/>
  <c r="S299" i="20" s="1"/>
  <c r="K299" i="20"/>
  <c r="AC299" i="20" s="1"/>
  <c r="J299" i="20"/>
  <c r="I299" i="20"/>
  <c r="H299" i="20"/>
  <c r="BG298" i="20"/>
  <c r="AZ298" i="20"/>
  <c r="AX298" i="20"/>
  <c r="BE298" i="20" s="1"/>
  <c r="BF298" i="20" s="1"/>
  <c r="AV298" i="20"/>
  <c r="AF298" i="20"/>
  <c r="AE298" i="20"/>
  <c r="AD298" i="20"/>
  <c r="AB298" i="20"/>
  <c r="U298" i="20"/>
  <c r="M298" i="20"/>
  <c r="L298" i="20"/>
  <c r="Q298" i="20" s="1"/>
  <c r="K298" i="20"/>
  <c r="AC298" i="20" s="1"/>
  <c r="J298" i="20"/>
  <c r="I298" i="20"/>
  <c r="H298" i="20"/>
  <c r="BG297" i="20"/>
  <c r="AZ297" i="20"/>
  <c r="AX297" i="20"/>
  <c r="BE297" i="20" s="1"/>
  <c r="BF297" i="20" s="1"/>
  <c r="AV297" i="20"/>
  <c r="AF297" i="20"/>
  <c r="AE297" i="20"/>
  <c r="AD297" i="20"/>
  <c r="AB297" i="20"/>
  <c r="U297" i="20"/>
  <c r="M297" i="20"/>
  <c r="L297" i="20"/>
  <c r="Q297" i="20" s="1"/>
  <c r="K297" i="20"/>
  <c r="AC297" i="20" s="1"/>
  <c r="J297" i="20"/>
  <c r="I297" i="20"/>
  <c r="H297" i="20"/>
  <c r="BG296" i="20"/>
  <c r="AZ296" i="20"/>
  <c r="AX296" i="20"/>
  <c r="BE296" i="20" s="1"/>
  <c r="BF296" i="20" s="1"/>
  <c r="AV296" i="20"/>
  <c r="AF296" i="20"/>
  <c r="AE296" i="20"/>
  <c r="AD296" i="20"/>
  <c r="AB296" i="20"/>
  <c r="U296" i="20"/>
  <c r="M296" i="20"/>
  <c r="L296" i="20"/>
  <c r="S296" i="20" s="1"/>
  <c r="K296" i="20"/>
  <c r="J296" i="20"/>
  <c r="I296" i="20"/>
  <c r="H296" i="20"/>
  <c r="BG295" i="20"/>
  <c r="BE295" i="20"/>
  <c r="BF295" i="20" s="1"/>
  <c r="AZ295" i="20"/>
  <c r="AX295" i="20"/>
  <c r="AV295" i="20"/>
  <c r="AF295" i="20"/>
  <c r="AE295" i="20"/>
  <c r="AD295" i="20"/>
  <c r="AB295" i="20"/>
  <c r="U295" i="20"/>
  <c r="M295" i="20"/>
  <c r="L295" i="20"/>
  <c r="S295" i="20" s="1"/>
  <c r="K295" i="20"/>
  <c r="AC295" i="20" s="1"/>
  <c r="J295" i="20"/>
  <c r="I295" i="20"/>
  <c r="H295" i="20"/>
  <c r="BG294" i="20"/>
  <c r="AZ294" i="20"/>
  <c r="AX294" i="20"/>
  <c r="BE294" i="20" s="1"/>
  <c r="BF294" i="20" s="1"/>
  <c r="AV294" i="20"/>
  <c r="AF294" i="20"/>
  <c r="AE294" i="20"/>
  <c r="AD294" i="20"/>
  <c r="AB294" i="20"/>
  <c r="U294" i="20"/>
  <c r="M294" i="20"/>
  <c r="L294" i="20"/>
  <c r="S294" i="20" s="1"/>
  <c r="K294" i="20"/>
  <c r="AC294" i="20" s="1"/>
  <c r="J294" i="20"/>
  <c r="I294" i="20"/>
  <c r="H294" i="20"/>
  <c r="BG293" i="20"/>
  <c r="AZ293" i="20"/>
  <c r="AX293" i="20"/>
  <c r="BE293" i="20" s="1"/>
  <c r="BF293" i="20" s="1"/>
  <c r="AV293" i="20"/>
  <c r="AF293" i="20"/>
  <c r="AE293" i="20"/>
  <c r="AD293" i="20"/>
  <c r="AB293" i="20"/>
  <c r="U293" i="20"/>
  <c r="M293" i="20"/>
  <c r="L293" i="20"/>
  <c r="S293" i="20" s="1"/>
  <c r="K293" i="20"/>
  <c r="AC293" i="20" s="1"/>
  <c r="J293" i="20"/>
  <c r="I293" i="20"/>
  <c r="H293" i="20"/>
  <c r="BG292" i="20"/>
  <c r="AZ292" i="20"/>
  <c r="AX292" i="20"/>
  <c r="BE292" i="20" s="1"/>
  <c r="BF292" i="20" s="1"/>
  <c r="AV292" i="20"/>
  <c r="AF292" i="20"/>
  <c r="AE292" i="20"/>
  <c r="AD292" i="20"/>
  <c r="AB292" i="20"/>
  <c r="U292" i="20"/>
  <c r="M292" i="20"/>
  <c r="L292" i="20"/>
  <c r="S292" i="20" s="1"/>
  <c r="K292" i="20"/>
  <c r="AC292" i="20" s="1"/>
  <c r="J292" i="20"/>
  <c r="I292" i="20"/>
  <c r="H292" i="20"/>
  <c r="BG291" i="20"/>
  <c r="AZ291" i="20"/>
  <c r="AX291" i="20"/>
  <c r="BE291" i="20" s="1"/>
  <c r="BF291" i="20" s="1"/>
  <c r="AV291" i="20"/>
  <c r="AF291" i="20"/>
  <c r="AE291" i="20"/>
  <c r="AD291" i="20"/>
  <c r="AB291" i="20"/>
  <c r="U291" i="20"/>
  <c r="M291" i="20"/>
  <c r="L291" i="20"/>
  <c r="S291" i="20" s="1"/>
  <c r="K291" i="20"/>
  <c r="AC291" i="20" s="1"/>
  <c r="J291" i="20"/>
  <c r="I291" i="20"/>
  <c r="H291" i="20"/>
  <c r="BG290" i="20"/>
  <c r="AZ290" i="20"/>
  <c r="AX290" i="20"/>
  <c r="BE290" i="20" s="1"/>
  <c r="BF290" i="20" s="1"/>
  <c r="AV290" i="20"/>
  <c r="AF290" i="20"/>
  <c r="AE290" i="20"/>
  <c r="AD290" i="20"/>
  <c r="AB290" i="20"/>
  <c r="U290" i="20"/>
  <c r="M290" i="20"/>
  <c r="L290" i="20"/>
  <c r="Q290" i="20" s="1"/>
  <c r="K290" i="20"/>
  <c r="AC290" i="20" s="1"/>
  <c r="J290" i="20"/>
  <c r="I290" i="20"/>
  <c r="H290" i="20"/>
  <c r="BG289" i="20"/>
  <c r="AZ289" i="20"/>
  <c r="AX289" i="20"/>
  <c r="BE289" i="20" s="1"/>
  <c r="BF289" i="20" s="1"/>
  <c r="AV289" i="20"/>
  <c r="AF289" i="20"/>
  <c r="AE289" i="20"/>
  <c r="AD289" i="20"/>
  <c r="AB289" i="20"/>
  <c r="U289" i="20"/>
  <c r="M289" i="20"/>
  <c r="L289" i="20"/>
  <c r="Q289" i="20" s="1"/>
  <c r="K289" i="20"/>
  <c r="AC289" i="20" s="1"/>
  <c r="J289" i="20"/>
  <c r="I289" i="20"/>
  <c r="H289" i="20"/>
  <c r="BG288" i="20"/>
  <c r="AZ288" i="20"/>
  <c r="AX288" i="20"/>
  <c r="BE288" i="20" s="1"/>
  <c r="BF288" i="20" s="1"/>
  <c r="AV288" i="20"/>
  <c r="AF288" i="20"/>
  <c r="AE288" i="20"/>
  <c r="AD288" i="20"/>
  <c r="AB288" i="20"/>
  <c r="U288" i="20"/>
  <c r="M288" i="20"/>
  <c r="L288" i="20"/>
  <c r="K288" i="20"/>
  <c r="J288" i="20"/>
  <c r="I288" i="20"/>
  <c r="H288" i="20"/>
  <c r="BG287" i="20"/>
  <c r="AZ287" i="20"/>
  <c r="AX287" i="20"/>
  <c r="BE287" i="20" s="1"/>
  <c r="BF287" i="20" s="1"/>
  <c r="AV287" i="20"/>
  <c r="AF287" i="20"/>
  <c r="AE287" i="20"/>
  <c r="AD287" i="20"/>
  <c r="AB287" i="20"/>
  <c r="U287" i="20"/>
  <c r="M287" i="20"/>
  <c r="L287" i="20"/>
  <c r="K287" i="20"/>
  <c r="AC287" i="20" s="1"/>
  <c r="J287" i="20"/>
  <c r="I287" i="20"/>
  <c r="H287" i="20"/>
  <c r="BG286" i="20"/>
  <c r="AZ286" i="20"/>
  <c r="AX286" i="20"/>
  <c r="BE286" i="20" s="1"/>
  <c r="BF286" i="20" s="1"/>
  <c r="AV286" i="20"/>
  <c r="AF286" i="20"/>
  <c r="AE286" i="20"/>
  <c r="AD286" i="20"/>
  <c r="AB286" i="20"/>
  <c r="U286" i="20"/>
  <c r="M286" i="20"/>
  <c r="L286" i="20"/>
  <c r="S286" i="20" s="1"/>
  <c r="K286" i="20"/>
  <c r="AC286" i="20" s="1"/>
  <c r="J286" i="20"/>
  <c r="I286" i="20"/>
  <c r="H286" i="20"/>
  <c r="BG285" i="20"/>
  <c r="AZ285" i="20"/>
  <c r="AX285" i="20"/>
  <c r="BE285" i="20" s="1"/>
  <c r="BF285" i="20" s="1"/>
  <c r="AV285" i="20"/>
  <c r="AF285" i="20"/>
  <c r="AE285" i="20"/>
  <c r="AD285" i="20"/>
  <c r="AB285" i="20"/>
  <c r="U285" i="20"/>
  <c r="M285" i="20"/>
  <c r="L285" i="20"/>
  <c r="Q285" i="20" s="1"/>
  <c r="K285" i="20"/>
  <c r="AC285" i="20" s="1"/>
  <c r="J285" i="20"/>
  <c r="I285" i="20"/>
  <c r="H285" i="20"/>
  <c r="BG284" i="20"/>
  <c r="AZ284" i="20"/>
  <c r="AX284" i="20"/>
  <c r="BE284" i="20" s="1"/>
  <c r="BF284" i="20" s="1"/>
  <c r="AV284" i="20"/>
  <c r="AF284" i="20"/>
  <c r="AE284" i="20"/>
  <c r="AD284" i="20"/>
  <c r="AB284" i="20"/>
  <c r="U284" i="20"/>
  <c r="M284" i="20"/>
  <c r="L284" i="20"/>
  <c r="S284" i="20" s="1"/>
  <c r="K284" i="20"/>
  <c r="AC284" i="20" s="1"/>
  <c r="J284" i="20"/>
  <c r="I284" i="20"/>
  <c r="H284" i="20"/>
  <c r="BG283" i="20"/>
  <c r="AZ283" i="20"/>
  <c r="AX283" i="20"/>
  <c r="BE283" i="20" s="1"/>
  <c r="BF283" i="20" s="1"/>
  <c r="AV283" i="20"/>
  <c r="AF283" i="20"/>
  <c r="AE283" i="20"/>
  <c r="AD283" i="20"/>
  <c r="AB283" i="20"/>
  <c r="U283" i="20"/>
  <c r="M283" i="20"/>
  <c r="L283" i="20"/>
  <c r="K283" i="20"/>
  <c r="AC283" i="20" s="1"/>
  <c r="J283" i="20"/>
  <c r="I283" i="20"/>
  <c r="H283" i="20"/>
  <c r="BG282" i="20"/>
  <c r="AZ282" i="20"/>
  <c r="AX282" i="20"/>
  <c r="BE282" i="20" s="1"/>
  <c r="BF282" i="20" s="1"/>
  <c r="AV282" i="20"/>
  <c r="AF282" i="20"/>
  <c r="AE282" i="20"/>
  <c r="AD282" i="20"/>
  <c r="AB282" i="20"/>
  <c r="U282" i="20"/>
  <c r="S282" i="20"/>
  <c r="M282" i="20"/>
  <c r="L282" i="20"/>
  <c r="Q282" i="20" s="1"/>
  <c r="K282" i="20"/>
  <c r="AC282" i="20" s="1"/>
  <c r="J282" i="20"/>
  <c r="I282" i="20"/>
  <c r="H282" i="20"/>
  <c r="BG281" i="20"/>
  <c r="AZ281" i="20"/>
  <c r="AX281" i="20"/>
  <c r="BE281" i="20" s="1"/>
  <c r="BF281" i="20" s="1"/>
  <c r="AV281" i="20"/>
  <c r="AF281" i="20"/>
  <c r="AE281" i="20"/>
  <c r="AD281" i="20"/>
  <c r="AB281" i="20"/>
  <c r="U281" i="20"/>
  <c r="M281" i="20"/>
  <c r="L281" i="20"/>
  <c r="Q281" i="20" s="1"/>
  <c r="K281" i="20"/>
  <c r="AC281" i="20" s="1"/>
  <c r="J281" i="20"/>
  <c r="I281" i="20"/>
  <c r="H281" i="20"/>
  <c r="BG280" i="20"/>
  <c r="AZ280" i="20"/>
  <c r="AX280" i="20"/>
  <c r="BE280" i="20" s="1"/>
  <c r="BF280" i="20" s="1"/>
  <c r="AV280" i="20"/>
  <c r="AF280" i="20"/>
  <c r="AE280" i="20"/>
  <c r="AD280" i="20"/>
  <c r="AB280" i="20"/>
  <c r="U280" i="20"/>
  <c r="M280" i="20"/>
  <c r="L280" i="20"/>
  <c r="Q280" i="20" s="1"/>
  <c r="K280" i="20"/>
  <c r="AC280" i="20" s="1"/>
  <c r="J280" i="20"/>
  <c r="I280" i="20"/>
  <c r="H280" i="20"/>
  <c r="BG279" i="20"/>
  <c r="AZ279" i="20"/>
  <c r="AX279" i="20"/>
  <c r="BE279" i="20" s="1"/>
  <c r="BF279" i="20" s="1"/>
  <c r="AV279" i="20"/>
  <c r="AF279" i="20"/>
  <c r="AE279" i="20"/>
  <c r="AD279" i="20"/>
  <c r="AB279" i="20"/>
  <c r="U279" i="20"/>
  <c r="M279" i="20"/>
  <c r="L279" i="20"/>
  <c r="S279" i="20" s="1"/>
  <c r="K279" i="20"/>
  <c r="AC279" i="20" s="1"/>
  <c r="J279" i="20"/>
  <c r="I279" i="20"/>
  <c r="H279" i="20"/>
  <c r="BG278" i="20"/>
  <c r="BE278" i="20"/>
  <c r="BF278" i="20" s="1"/>
  <c r="AZ278" i="20"/>
  <c r="AX278" i="20"/>
  <c r="AV278" i="20"/>
  <c r="AF278" i="20"/>
  <c r="AE278" i="20"/>
  <c r="AD278" i="20"/>
  <c r="AB278" i="20"/>
  <c r="U278" i="20"/>
  <c r="M278" i="20"/>
  <c r="L278" i="20"/>
  <c r="K278" i="20"/>
  <c r="AC278" i="20" s="1"/>
  <c r="J278" i="20"/>
  <c r="I278" i="20"/>
  <c r="H278" i="20"/>
  <c r="BG277" i="20"/>
  <c r="AZ277" i="20"/>
  <c r="AX277" i="20"/>
  <c r="BE277" i="20" s="1"/>
  <c r="BF277" i="20" s="1"/>
  <c r="AV277" i="20"/>
  <c r="AF277" i="20"/>
  <c r="AE277" i="20"/>
  <c r="AD277" i="20"/>
  <c r="AB277" i="20"/>
  <c r="U277" i="20"/>
  <c r="M277" i="20"/>
  <c r="L277" i="20"/>
  <c r="Q277" i="20" s="1"/>
  <c r="K277" i="20"/>
  <c r="AC277" i="20" s="1"/>
  <c r="J277" i="20"/>
  <c r="I277" i="20"/>
  <c r="H277" i="20"/>
  <c r="BG276" i="20"/>
  <c r="BE276" i="20"/>
  <c r="BF276" i="20" s="1"/>
  <c r="AZ276" i="20"/>
  <c r="AX276" i="20"/>
  <c r="AV276" i="20"/>
  <c r="AF276" i="20"/>
  <c r="AE276" i="20"/>
  <c r="AD276" i="20"/>
  <c r="AB276" i="20"/>
  <c r="U276" i="20"/>
  <c r="M276" i="20"/>
  <c r="L276" i="20"/>
  <c r="S276" i="20" s="1"/>
  <c r="K276" i="20"/>
  <c r="AC276" i="20" s="1"/>
  <c r="J276" i="20"/>
  <c r="I276" i="20"/>
  <c r="H276" i="20"/>
  <c r="BG275" i="20"/>
  <c r="AZ275" i="20"/>
  <c r="AX275" i="20"/>
  <c r="BE275" i="20" s="1"/>
  <c r="BF275" i="20" s="1"/>
  <c r="AV275" i="20"/>
  <c r="AF275" i="20"/>
  <c r="AE275" i="20"/>
  <c r="AD275" i="20"/>
  <c r="AB275" i="20"/>
  <c r="U275" i="20"/>
  <c r="M275" i="20"/>
  <c r="L275" i="20"/>
  <c r="Q275" i="20" s="1"/>
  <c r="K275" i="20"/>
  <c r="AC275" i="20" s="1"/>
  <c r="J275" i="20"/>
  <c r="I275" i="20"/>
  <c r="H275" i="20"/>
  <c r="BG274" i="20"/>
  <c r="AZ274" i="20"/>
  <c r="AX274" i="20"/>
  <c r="BE274" i="20" s="1"/>
  <c r="BF274" i="20" s="1"/>
  <c r="AV274" i="20"/>
  <c r="AF274" i="20"/>
  <c r="AE274" i="20"/>
  <c r="AD274" i="20"/>
  <c r="AB274" i="20"/>
  <c r="U274" i="20"/>
  <c r="M274" i="20"/>
  <c r="L274" i="20"/>
  <c r="S274" i="20" s="1"/>
  <c r="K274" i="20"/>
  <c r="AC274" i="20" s="1"/>
  <c r="J274" i="20"/>
  <c r="I274" i="20"/>
  <c r="H274" i="20"/>
  <c r="BG273" i="20"/>
  <c r="AZ273" i="20"/>
  <c r="AX273" i="20"/>
  <c r="BE273" i="20" s="1"/>
  <c r="BF273" i="20" s="1"/>
  <c r="AV273" i="20"/>
  <c r="AF273" i="20"/>
  <c r="AE273" i="20"/>
  <c r="AD273" i="20"/>
  <c r="AB273" i="20"/>
  <c r="U273" i="20"/>
  <c r="M273" i="20"/>
  <c r="L273" i="20"/>
  <c r="K273" i="20"/>
  <c r="AC273" i="20" s="1"/>
  <c r="J273" i="20"/>
  <c r="I273" i="20"/>
  <c r="H273" i="20"/>
  <c r="BG272" i="20"/>
  <c r="AZ272" i="20"/>
  <c r="AX272" i="20"/>
  <c r="BE272" i="20" s="1"/>
  <c r="BF272" i="20" s="1"/>
  <c r="AV272" i="20"/>
  <c r="AF272" i="20"/>
  <c r="AE272" i="20"/>
  <c r="AD272" i="20"/>
  <c r="AB272" i="20"/>
  <c r="U272" i="20"/>
  <c r="M272" i="20"/>
  <c r="L272" i="20"/>
  <c r="K272" i="20"/>
  <c r="AC272" i="20" s="1"/>
  <c r="J272" i="20"/>
  <c r="I272" i="20"/>
  <c r="H272" i="20"/>
  <c r="BG271" i="20"/>
  <c r="AZ271" i="20"/>
  <c r="AX271" i="20"/>
  <c r="BE271" i="20" s="1"/>
  <c r="BF271" i="20" s="1"/>
  <c r="AV271" i="20"/>
  <c r="AF271" i="20"/>
  <c r="AE271" i="20"/>
  <c r="AD271" i="20"/>
  <c r="AB271" i="20"/>
  <c r="U271" i="20"/>
  <c r="M271" i="20"/>
  <c r="L271" i="20"/>
  <c r="K271" i="20"/>
  <c r="AC271" i="20" s="1"/>
  <c r="J271" i="20"/>
  <c r="I271" i="20"/>
  <c r="H271" i="20"/>
  <c r="BG270" i="20"/>
  <c r="AZ270" i="20"/>
  <c r="AX270" i="20"/>
  <c r="BE270" i="20" s="1"/>
  <c r="BF270" i="20" s="1"/>
  <c r="AV270" i="20"/>
  <c r="AF270" i="20"/>
  <c r="AE270" i="20"/>
  <c r="AD270" i="20"/>
  <c r="AB270" i="20"/>
  <c r="U270" i="20"/>
  <c r="M270" i="20"/>
  <c r="L270" i="20"/>
  <c r="K270" i="20"/>
  <c r="AC270" i="20" s="1"/>
  <c r="J270" i="20"/>
  <c r="I270" i="20"/>
  <c r="H270" i="20"/>
  <c r="BG269" i="20"/>
  <c r="AZ269" i="20"/>
  <c r="AX269" i="20"/>
  <c r="BE269" i="20" s="1"/>
  <c r="BF269" i="20" s="1"/>
  <c r="AV269" i="20"/>
  <c r="AF269" i="20"/>
  <c r="AE269" i="20"/>
  <c r="AD269" i="20"/>
  <c r="AB269" i="20"/>
  <c r="U269" i="20"/>
  <c r="M269" i="20"/>
  <c r="L269" i="20"/>
  <c r="K269" i="20"/>
  <c r="AC269" i="20" s="1"/>
  <c r="J269" i="20"/>
  <c r="I269" i="20"/>
  <c r="H269" i="20"/>
  <c r="BG268" i="20"/>
  <c r="AZ268" i="20"/>
  <c r="AX268" i="20"/>
  <c r="BE268" i="20" s="1"/>
  <c r="BF268" i="20" s="1"/>
  <c r="AV268" i="20"/>
  <c r="AF268" i="20"/>
  <c r="AE268" i="20"/>
  <c r="AD268" i="20"/>
  <c r="AB268" i="20"/>
  <c r="U268" i="20"/>
  <c r="M268" i="20"/>
  <c r="L268" i="20"/>
  <c r="K268" i="20"/>
  <c r="AC268" i="20" s="1"/>
  <c r="J268" i="20"/>
  <c r="I268" i="20"/>
  <c r="H268" i="20"/>
  <c r="BG267" i="20"/>
  <c r="AZ267" i="20"/>
  <c r="AX267" i="20"/>
  <c r="BE267" i="20" s="1"/>
  <c r="BF267" i="20" s="1"/>
  <c r="AV267" i="20"/>
  <c r="AF267" i="20"/>
  <c r="AE267" i="20"/>
  <c r="AD267" i="20"/>
  <c r="AB267" i="20"/>
  <c r="U267" i="20"/>
  <c r="M267" i="20"/>
  <c r="L267" i="20"/>
  <c r="K267" i="20"/>
  <c r="AC267" i="20" s="1"/>
  <c r="J267" i="20"/>
  <c r="I267" i="20"/>
  <c r="H267" i="20"/>
  <c r="BG266" i="20"/>
  <c r="AZ266" i="20"/>
  <c r="AX266" i="20"/>
  <c r="BE266" i="20" s="1"/>
  <c r="BF266" i="20" s="1"/>
  <c r="AV266" i="20"/>
  <c r="AF266" i="20"/>
  <c r="AE266" i="20"/>
  <c r="AD266" i="20"/>
  <c r="AB266" i="20"/>
  <c r="U266" i="20"/>
  <c r="M266" i="20"/>
  <c r="L266" i="20"/>
  <c r="K266" i="20"/>
  <c r="AC266" i="20" s="1"/>
  <c r="J266" i="20"/>
  <c r="I266" i="20"/>
  <c r="H266" i="20"/>
  <c r="BG265" i="20"/>
  <c r="AZ265" i="20"/>
  <c r="AX265" i="20"/>
  <c r="BE265" i="20" s="1"/>
  <c r="BF265" i="20" s="1"/>
  <c r="AV265" i="20"/>
  <c r="AF265" i="20"/>
  <c r="AE265" i="20"/>
  <c r="AD265" i="20"/>
  <c r="AB265" i="20"/>
  <c r="U265" i="20"/>
  <c r="M265" i="20"/>
  <c r="L265" i="20"/>
  <c r="K265" i="20"/>
  <c r="AC265" i="20" s="1"/>
  <c r="J265" i="20"/>
  <c r="I265" i="20"/>
  <c r="H265" i="20"/>
  <c r="BG264" i="20"/>
  <c r="AZ264" i="20"/>
  <c r="AX264" i="20"/>
  <c r="BE264" i="20" s="1"/>
  <c r="BF264" i="20" s="1"/>
  <c r="AV264" i="20"/>
  <c r="AF264" i="20"/>
  <c r="AE264" i="20"/>
  <c r="AD264" i="20"/>
  <c r="AB264" i="20"/>
  <c r="U264" i="20"/>
  <c r="M264" i="20"/>
  <c r="L264" i="20"/>
  <c r="K264" i="20"/>
  <c r="AC264" i="20" s="1"/>
  <c r="J264" i="20"/>
  <c r="I264" i="20"/>
  <c r="H264" i="20"/>
  <c r="BG263" i="20"/>
  <c r="AZ263" i="20"/>
  <c r="AX263" i="20"/>
  <c r="BE263" i="20" s="1"/>
  <c r="BF263" i="20" s="1"/>
  <c r="AV263" i="20"/>
  <c r="AF263" i="20"/>
  <c r="AE263" i="20"/>
  <c r="AD263" i="20"/>
  <c r="AB263" i="20"/>
  <c r="U263" i="20"/>
  <c r="M263" i="20"/>
  <c r="L263" i="20"/>
  <c r="K263" i="20"/>
  <c r="AC263" i="20" s="1"/>
  <c r="J263" i="20"/>
  <c r="I263" i="20"/>
  <c r="H263" i="20"/>
  <c r="BG262" i="20"/>
  <c r="AZ262" i="20"/>
  <c r="AX262" i="20"/>
  <c r="BE262" i="20" s="1"/>
  <c r="BF262" i="20" s="1"/>
  <c r="AV262" i="20"/>
  <c r="AF262" i="20"/>
  <c r="AE262" i="20"/>
  <c r="AD262" i="20"/>
  <c r="AB262" i="20"/>
  <c r="U262" i="20"/>
  <c r="M262" i="20"/>
  <c r="L262" i="20"/>
  <c r="K262" i="20"/>
  <c r="AC262" i="20" s="1"/>
  <c r="J262" i="20"/>
  <c r="I262" i="20"/>
  <c r="H262" i="20"/>
  <c r="BG261" i="20"/>
  <c r="AZ261" i="20"/>
  <c r="AX261" i="20"/>
  <c r="BE261" i="20" s="1"/>
  <c r="BF261" i="20" s="1"/>
  <c r="AV261" i="20"/>
  <c r="AF261" i="20"/>
  <c r="AE261" i="20"/>
  <c r="AD261" i="20"/>
  <c r="AB261" i="20"/>
  <c r="U261" i="20"/>
  <c r="M261" i="20"/>
  <c r="L261" i="20"/>
  <c r="Q261" i="20" s="1"/>
  <c r="K261" i="20"/>
  <c r="AC261" i="20" s="1"/>
  <c r="J261" i="20"/>
  <c r="I261" i="20"/>
  <c r="H261" i="20"/>
  <c r="BG260" i="20"/>
  <c r="AZ260" i="20"/>
  <c r="AX260" i="20"/>
  <c r="BE260" i="20" s="1"/>
  <c r="BF260" i="20" s="1"/>
  <c r="AV260" i="20"/>
  <c r="AF260" i="20"/>
  <c r="AE260" i="20"/>
  <c r="AD260" i="20"/>
  <c r="AB260" i="20"/>
  <c r="U260" i="20"/>
  <c r="M260" i="20"/>
  <c r="L260" i="20"/>
  <c r="K260" i="20"/>
  <c r="AC260" i="20" s="1"/>
  <c r="J260" i="20"/>
  <c r="I260" i="20"/>
  <c r="H260" i="20"/>
  <c r="BG259" i="20"/>
  <c r="AZ259" i="20"/>
  <c r="AX259" i="20"/>
  <c r="BE259" i="20" s="1"/>
  <c r="BF259" i="20" s="1"/>
  <c r="AV259" i="20"/>
  <c r="AF259" i="20"/>
  <c r="AE259" i="20"/>
  <c r="AD259" i="20"/>
  <c r="AB259" i="20"/>
  <c r="U259" i="20"/>
  <c r="M259" i="20"/>
  <c r="L259" i="20"/>
  <c r="Q259" i="20" s="1"/>
  <c r="K259" i="20"/>
  <c r="AC259" i="20" s="1"/>
  <c r="J259" i="20"/>
  <c r="I259" i="20"/>
  <c r="H259" i="20"/>
  <c r="BG258" i="20"/>
  <c r="AZ258" i="20"/>
  <c r="AX258" i="20"/>
  <c r="BE258" i="20" s="1"/>
  <c r="BF258" i="20" s="1"/>
  <c r="AV258" i="20"/>
  <c r="AF258" i="20"/>
  <c r="AE258" i="20"/>
  <c r="AD258" i="20"/>
  <c r="AB258" i="20"/>
  <c r="U258" i="20"/>
  <c r="M258" i="20"/>
  <c r="L258" i="20"/>
  <c r="K258" i="20"/>
  <c r="AC258" i="20" s="1"/>
  <c r="J258" i="20"/>
  <c r="I258" i="20"/>
  <c r="H258" i="20"/>
  <c r="BG257" i="20"/>
  <c r="AZ257" i="20"/>
  <c r="AX257" i="20"/>
  <c r="BE257" i="20" s="1"/>
  <c r="BF257" i="20" s="1"/>
  <c r="AV257" i="20"/>
  <c r="AF257" i="20"/>
  <c r="AE257" i="20"/>
  <c r="AD257" i="20"/>
  <c r="AB257" i="20"/>
  <c r="U257" i="20"/>
  <c r="M257" i="20"/>
  <c r="L257" i="20"/>
  <c r="K257" i="20"/>
  <c r="AC257" i="20" s="1"/>
  <c r="J257" i="20"/>
  <c r="I257" i="20"/>
  <c r="H257" i="20"/>
  <c r="BG256" i="20"/>
  <c r="AZ256" i="20"/>
  <c r="AX256" i="20"/>
  <c r="BE256" i="20" s="1"/>
  <c r="BF256" i="20" s="1"/>
  <c r="AV256" i="20"/>
  <c r="AF256" i="20"/>
  <c r="AE256" i="20"/>
  <c r="AD256" i="20"/>
  <c r="AB256" i="20"/>
  <c r="U256" i="20"/>
  <c r="M256" i="20"/>
  <c r="L256" i="20"/>
  <c r="K256" i="20"/>
  <c r="AC256" i="20" s="1"/>
  <c r="J256" i="20"/>
  <c r="I256" i="20"/>
  <c r="H256" i="20"/>
  <c r="BG255" i="20"/>
  <c r="AZ255" i="20"/>
  <c r="AX255" i="20"/>
  <c r="BE255" i="20" s="1"/>
  <c r="BF255" i="20" s="1"/>
  <c r="AV255" i="20"/>
  <c r="AF255" i="20"/>
  <c r="AE255" i="20"/>
  <c r="AD255" i="20"/>
  <c r="AB255" i="20"/>
  <c r="U255" i="20"/>
  <c r="M255" i="20"/>
  <c r="L255" i="20"/>
  <c r="Q255" i="20" s="1"/>
  <c r="K255" i="20"/>
  <c r="AC255" i="20" s="1"/>
  <c r="J255" i="20"/>
  <c r="I255" i="20"/>
  <c r="H255" i="20"/>
  <c r="BG254" i="20"/>
  <c r="AZ254" i="20"/>
  <c r="AX254" i="20"/>
  <c r="BE254" i="20" s="1"/>
  <c r="BF254" i="20" s="1"/>
  <c r="AV254" i="20"/>
  <c r="AF254" i="20"/>
  <c r="AE254" i="20"/>
  <c r="AD254" i="20"/>
  <c r="AB254" i="20"/>
  <c r="U254" i="20"/>
  <c r="M254" i="20"/>
  <c r="L254" i="20"/>
  <c r="K254" i="20"/>
  <c r="AC254" i="20" s="1"/>
  <c r="J254" i="20"/>
  <c r="I254" i="20"/>
  <c r="H254" i="20"/>
  <c r="BG253" i="20"/>
  <c r="AZ253" i="20"/>
  <c r="AX253" i="20"/>
  <c r="BE253" i="20" s="1"/>
  <c r="BF253" i="20" s="1"/>
  <c r="AV253" i="20"/>
  <c r="AF253" i="20"/>
  <c r="AE253" i="20"/>
  <c r="AD253" i="20"/>
  <c r="AB253" i="20"/>
  <c r="U253" i="20"/>
  <c r="M253" i="20"/>
  <c r="L253" i="20"/>
  <c r="Q253" i="20" s="1"/>
  <c r="K253" i="20"/>
  <c r="AC253" i="20" s="1"/>
  <c r="J253" i="20"/>
  <c r="I253" i="20"/>
  <c r="H253" i="20"/>
  <c r="BG252" i="20"/>
  <c r="AZ252" i="20"/>
  <c r="AX252" i="20"/>
  <c r="BE252" i="20" s="1"/>
  <c r="BF252" i="20" s="1"/>
  <c r="AV252" i="20"/>
  <c r="AF252" i="20"/>
  <c r="AE252" i="20"/>
  <c r="AD252" i="20"/>
  <c r="AB252" i="20"/>
  <c r="U252" i="20"/>
  <c r="M252" i="20"/>
  <c r="L252" i="20"/>
  <c r="K252" i="20"/>
  <c r="J252" i="20"/>
  <c r="I252" i="20"/>
  <c r="H252" i="20"/>
  <c r="BG251" i="20"/>
  <c r="AZ251" i="20"/>
  <c r="AX251" i="20"/>
  <c r="BE251" i="20" s="1"/>
  <c r="BF251" i="20" s="1"/>
  <c r="AV251" i="20"/>
  <c r="AF251" i="20"/>
  <c r="AE251" i="20"/>
  <c r="AD251" i="20"/>
  <c r="AB251" i="20"/>
  <c r="U251" i="20"/>
  <c r="M251" i="20"/>
  <c r="L251" i="20"/>
  <c r="Q251" i="20" s="1"/>
  <c r="K251" i="20"/>
  <c r="AC251" i="20" s="1"/>
  <c r="J251" i="20"/>
  <c r="I251" i="20"/>
  <c r="H251" i="20"/>
  <c r="BG250" i="20"/>
  <c r="AZ250" i="20"/>
  <c r="AX250" i="20"/>
  <c r="BE250" i="20" s="1"/>
  <c r="BF250" i="20" s="1"/>
  <c r="AV250" i="20"/>
  <c r="AF250" i="20"/>
  <c r="AE250" i="20"/>
  <c r="AD250" i="20"/>
  <c r="AB250" i="20"/>
  <c r="U250" i="20"/>
  <c r="M250" i="20"/>
  <c r="L250" i="20"/>
  <c r="K250" i="20"/>
  <c r="J250" i="20"/>
  <c r="I250" i="20"/>
  <c r="H250" i="20"/>
  <c r="BG249" i="20"/>
  <c r="AZ249" i="20"/>
  <c r="AX249" i="20"/>
  <c r="BE249" i="20" s="1"/>
  <c r="BF249" i="20" s="1"/>
  <c r="AV249" i="20"/>
  <c r="AF249" i="20"/>
  <c r="AE249" i="20"/>
  <c r="AD249" i="20"/>
  <c r="AB249" i="20"/>
  <c r="U249" i="20"/>
  <c r="M249" i="20"/>
  <c r="L249" i="20"/>
  <c r="Q249" i="20" s="1"/>
  <c r="K249" i="20"/>
  <c r="AC249" i="20" s="1"/>
  <c r="J249" i="20"/>
  <c r="I249" i="20"/>
  <c r="H249" i="20"/>
  <c r="BG248" i="20"/>
  <c r="AZ248" i="20"/>
  <c r="AX248" i="20"/>
  <c r="BE248" i="20" s="1"/>
  <c r="BF248" i="20" s="1"/>
  <c r="AV248" i="20"/>
  <c r="AF248" i="20"/>
  <c r="AE248" i="20"/>
  <c r="AD248" i="20"/>
  <c r="AB248" i="20"/>
  <c r="U248" i="20"/>
  <c r="M248" i="20"/>
  <c r="L248" i="20"/>
  <c r="K248" i="20"/>
  <c r="J248" i="20"/>
  <c r="I248" i="20"/>
  <c r="H248" i="20"/>
  <c r="BG247" i="20"/>
  <c r="AZ247" i="20"/>
  <c r="AX247" i="20"/>
  <c r="BE247" i="20" s="1"/>
  <c r="BF247" i="20" s="1"/>
  <c r="AV247" i="20"/>
  <c r="AF247" i="20"/>
  <c r="AE247" i="20"/>
  <c r="AD247" i="20"/>
  <c r="AB247" i="20"/>
  <c r="U247" i="20"/>
  <c r="M247" i="20"/>
  <c r="L247" i="20"/>
  <c r="Q247" i="20" s="1"/>
  <c r="K247" i="20"/>
  <c r="AC247" i="20" s="1"/>
  <c r="J247" i="20"/>
  <c r="I247" i="20"/>
  <c r="H247" i="20"/>
  <c r="AZ246" i="20"/>
  <c r="AX246" i="20"/>
  <c r="BD246" i="20" s="1"/>
  <c r="AV246" i="20"/>
  <c r="AL246" i="20"/>
  <c r="AN246" i="20" s="1"/>
  <c r="AI246" i="20"/>
  <c r="AK246" i="20" s="1"/>
  <c r="AF246" i="20"/>
  <c r="AE246" i="20"/>
  <c r="AD246" i="20"/>
  <c r="AB246" i="20"/>
  <c r="U246" i="20"/>
  <c r="M246" i="20"/>
  <c r="L246" i="20"/>
  <c r="Q246" i="20" s="1"/>
  <c r="K246" i="20"/>
  <c r="J246" i="20"/>
  <c r="I246" i="20"/>
  <c r="H246" i="20"/>
  <c r="AZ245" i="20"/>
  <c r="AX245" i="20"/>
  <c r="BD245" i="20" s="1"/>
  <c r="BE245" i="20" s="1"/>
  <c r="BF245" i="20" s="1"/>
  <c r="AV245" i="20"/>
  <c r="AN245" i="20"/>
  <c r="AL245" i="20"/>
  <c r="AM245" i="20" s="1"/>
  <c r="AI245" i="20"/>
  <c r="AK245" i="20" s="1"/>
  <c r="AF245" i="20"/>
  <c r="AE245" i="20"/>
  <c r="AD245" i="20"/>
  <c r="AB245" i="20"/>
  <c r="U245" i="20"/>
  <c r="M245" i="20"/>
  <c r="L245" i="20"/>
  <c r="Q245" i="20" s="1"/>
  <c r="K245" i="20"/>
  <c r="AC245" i="20" s="1"/>
  <c r="J245" i="20"/>
  <c r="I245" i="20"/>
  <c r="H245" i="20"/>
  <c r="AZ244" i="20"/>
  <c r="AX244" i="20"/>
  <c r="BD244" i="20" s="1"/>
  <c r="BE244" i="20" s="1"/>
  <c r="BF244" i="20" s="1"/>
  <c r="AV244" i="20"/>
  <c r="AL244" i="20"/>
  <c r="AN244" i="20" s="1"/>
  <c r="AI244" i="20"/>
  <c r="AK244" i="20" s="1"/>
  <c r="AF244" i="20"/>
  <c r="AE244" i="20"/>
  <c r="AD244" i="20"/>
  <c r="AB244" i="20"/>
  <c r="U244" i="20"/>
  <c r="M244" i="20"/>
  <c r="L244" i="20"/>
  <c r="K244" i="20"/>
  <c r="AC244" i="20" s="1"/>
  <c r="J244" i="20"/>
  <c r="I244" i="20"/>
  <c r="H244" i="20"/>
  <c r="BG243" i="20"/>
  <c r="AZ243" i="20"/>
  <c r="AX243" i="20"/>
  <c r="BE243" i="20" s="1"/>
  <c r="BF243" i="20" s="1"/>
  <c r="AV243" i="20"/>
  <c r="AL243" i="20"/>
  <c r="AN243" i="20" s="1"/>
  <c r="AI243" i="20"/>
  <c r="AF243" i="20"/>
  <c r="AE243" i="20"/>
  <c r="AD243" i="20"/>
  <c r="AB243" i="20"/>
  <c r="U243" i="20"/>
  <c r="M243" i="20"/>
  <c r="L243" i="20"/>
  <c r="K243" i="20"/>
  <c r="AC243" i="20" s="1"/>
  <c r="J243" i="20"/>
  <c r="I243" i="20"/>
  <c r="H243" i="20"/>
  <c r="BG242" i="20"/>
  <c r="AZ242" i="20"/>
  <c r="AX242" i="20"/>
  <c r="BE242" i="20" s="1"/>
  <c r="BF242" i="20" s="1"/>
  <c r="AV242" i="20"/>
  <c r="AL242" i="20"/>
  <c r="AI242" i="20"/>
  <c r="AJ242" i="20" s="1"/>
  <c r="AF242" i="20"/>
  <c r="AE242" i="20"/>
  <c r="AD242" i="20"/>
  <c r="AB242" i="20"/>
  <c r="U242" i="20"/>
  <c r="M242" i="20"/>
  <c r="L242" i="20"/>
  <c r="K242" i="20"/>
  <c r="AC242" i="20" s="1"/>
  <c r="J242" i="20"/>
  <c r="I242" i="20"/>
  <c r="H242" i="20"/>
  <c r="BG241" i="20"/>
  <c r="AZ241" i="20"/>
  <c r="AX241" i="20"/>
  <c r="BE241" i="20" s="1"/>
  <c r="BF241" i="20" s="1"/>
  <c r="AV241" i="20"/>
  <c r="AL241" i="20"/>
  <c r="AI241" i="20"/>
  <c r="AK241" i="20" s="1"/>
  <c r="AF241" i="20"/>
  <c r="AE241" i="20"/>
  <c r="AD241" i="20"/>
  <c r="AB241" i="20"/>
  <c r="U241" i="20"/>
  <c r="M241" i="20"/>
  <c r="L241" i="20"/>
  <c r="S241" i="20" s="1"/>
  <c r="K241" i="20"/>
  <c r="AC241" i="20" s="1"/>
  <c r="J241" i="20"/>
  <c r="I241" i="20"/>
  <c r="H241" i="20"/>
  <c r="BG240" i="20"/>
  <c r="AZ240" i="20"/>
  <c r="AX240" i="20"/>
  <c r="BE240" i="20" s="1"/>
  <c r="BF240" i="20" s="1"/>
  <c r="AV240" i="20"/>
  <c r="AM240" i="20"/>
  <c r="AL240" i="20"/>
  <c r="AN240" i="20" s="1"/>
  <c r="AJ240" i="20"/>
  <c r="AI240" i="20"/>
  <c r="AK240" i="20" s="1"/>
  <c r="AF240" i="20"/>
  <c r="AE240" i="20"/>
  <c r="AD240" i="20"/>
  <c r="AB240" i="20"/>
  <c r="U240" i="20"/>
  <c r="M240" i="20"/>
  <c r="L240" i="20"/>
  <c r="S240" i="20" s="1"/>
  <c r="K240" i="20"/>
  <c r="AC240" i="20" s="1"/>
  <c r="J240" i="20"/>
  <c r="I240" i="20"/>
  <c r="H240" i="20"/>
  <c r="BG239" i="20"/>
  <c r="AZ239" i="20"/>
  <c r="AX239" i="20"/>
  <c r="BE239" i="20" s="1"/>
  <c r="BF239" i="20" s="1"/>
  <c r="AV239" i="20"/>
  <c r="AM239" i="20"/>
  <c r="AL239" i="20"/>
  <c r="AN239" i="20" s="1"/>
  <c r="AI239" i="20"/>
  <c r="AJ239" i="20" s="1"/>
  <c r="AF239" i="20"/>
  <c r="AE239" i="20"/>
  <c r="AD239" i="20"/>
  <c r="AB239" i="20"/>
  <c r="V239" i="20"/>
  <c r="U239" i="20"/>
  <c r="M239" i="20"/>
  <c r="L239" i="20"/>
  <c r="Q239" i="20" s="1"/>
  <c r="K239" i="20"/>
  <c r="AC239" i="20" s="1"/>
  <c r="J239" i="20"/>
  <c r="I239" i="20"/>
  <c r="H239" i="20"/>
  <c r="BG238" i="20"/>
  <c r="AZ238" i="20"/>
  <c r="AX238" i="20"/>
  <c r="BE238" i="20" s="1"/>
  <c r="BF238" i="20" s="1"/>
  <c r="AV238" i="20"/>
  <c r="AL238" i="20"/>
  <c r="AI238" i="20"/>
  <c r="AJ238" i="20" s="1"/>
  <c r="AF238" i="20"/>
  <c r="AE238" i="20"/>
  <c r="AD238" i="20"/>
  <c r="AB238" i="20"/>
  <c r="U238" i="20"/>
  <c r="M238" i="20"/>
  <c r="L238" i="20"/>
  <c r="K238" i="20"/>
  <c r="AC238" i="20" s="1"/>
  <c r="J238" i="20"/>
  <c r="I238" i="20"/>
  <c r="H238" i="20"/>
  <c r="BG237" i="20"/>
  <c r="AZ237" i="20"/>
  <c r="AX237" i="20"/>
  <c r="BE237" i="20" s="1"/>
  <c r="BF237" i="20" s="1"/>
  <c r="AV237" i="20"/>
  <c r="AL237" i="20"/>
  <c r="AI237" i="20"/>
  <c r="AK237" i="20" s="1"/>
  <c r="AF237" i="20"/>
  <c r="AE237" i="20"/>
  <c r="AD237" i="20"/>
  <c r="AB237" i="20"/>
  <c r="U237" i="20"/>
  <c r="M237" i="20"/>
  <c r="L237" i="20"/>
  <c r="S237" i="20" s="1"/>
  <c r="K237" i="20"/>
  <c r="AC237" i="20" s="1"/>
  <c r="J237" i="20"/>
  <c r="I237" i="20"/>
  <c r="H237" i="20"/>
  <c r="BG236" i="20"/>
  <c r="AZ236" i="20"/>
  <c r="AX236" i="20"/>
  <c r="BE236" i="20" s="1"/>
  <c r="BF236" i="20" s="1"/>
  <c r="AV236" i="20"/>
  <c r="AL236" i="20"/>
  <c r="AN236" i="20" s="1"/>
  <c r="AI236" i="20"/>
  <c r="AK236" i="20" s="1"/>
  <c r="AF236" i="20"/>
  <c r="AE236" i="20"/>
  <c r="AD236" i="20"/>
  <c r="AB236" i="20"/>
  <c r="U236" i="20"/>
  <c r="M236" i="20"/>
  <c r="L236" i="20"/>
  <c r="K236" i="20"/>
  <c r="AC236" i="20" s="1"/>
  <c r="J236" i="20"/>
  <c r="I236" i="20"/>
  <c r="H236" i="20"/>
  <c r="BG235" i="20"/>
  <c r="AZ235" i="20"/>
  <c r="AX235" i="20"/>
  <c r="BE235" i="20" s="1"/>
  <c r="BF235" i="20" s="1"/>
  <c r="AV235" i="20"/>
  <c r="AL235" i="20"/>
  <c r="AN235" i="20" s="1"/>
  <c r="AI235" i="20"/>
  <c r="AF235" i="20"/>
  <c r="AE235" i="20"/>
  <c r="AD235" i="20"/>
  <c r="AB235" i="20"/>
  <c r="U235" i="20"/>
  <c r="M235" i="20"/>
  <c r="L235" i="20"/>
  <c r="Q235" i="20" s="1"/>
  <c r="K235" i="20"/>
  <c r="AC235" i="20" s="1"/>
  <c r="J235" i="20"/>
  <c r="I235" i="20"/>
  <c r="H235" i="20"/>
  <c r="BG234" i="20"/>
  <c r="AZ234" i="20"/>
  <c r="AX234" i="20"/>
  <c r="BE234" i="20" s="1"/>
  <c r="BF234" i="20" s="1"/>
  <c r="AV234" i="20"/>
  <c r="AL234" i="20"/>
  <c r="AI234" i="20"/>
  <c r="AJ234" i="20" s="1"/>
  <c r="AF234" i="20"/>
  <c r="AE234" i="20"/>
  <c r="AD234" i="20"/>
  <c r="AB234" i="20"/>
  <c r="U234" i="20"/>
  <c r="M234" i="20"/>
  <c r="L234" i="20"/>
  <c r="K234" i="20"/>
  <c r="AC234" i="20" s="1"/>
  <c r="J234" i="20"/>
  <c r="I234" i="20"/>
  <c r="H234" i="20"/>
  <c r="BG233" i="20"/>
  <c r="AZ233" i="20"/>
  <c r="AX233" i="20"/>
  <c r="BE233" i="20" s="1"/>
  <c r="BF233" i="20" s="1"/>
  <c r="AV233" i="20"/>
  <c r="AF233" i="20"/>
  <c r="AE233" i="20"/>
  <c r="AD233" i="20"/>
  <c r="AB233" i="20"/>
  <c r="U233" i="20"/>
  <c r="M233" i="20"/>
  <c r="L233" i="20"/>
  <c r="Q233" i="20" s="1"/>
  <c r="V233" i="20" s="1"/>
  <c r="K233" i="20"/>
  <c r="AC233" i="20" s="1"/>
  <c r="J233" i="20"/>
  <c r="I233" i="20"/>
  <c r="H233" i="20"/>
  <c r="BG232" i="20"/>
  <c r="AZ232" i="20"/>
  <c r="AX232" i="20"/>
  <c r="BE232" i="20" s="1"/>
  <c r="BF232" i="20" s="1"/>
  <c r="AV232" i="20"/>
  <c r="AF232" i="20"/>
  <c r="AE232" i="20"/>
  <c r="AD232" i="20"/>
  <c r="AB232" i="20"/>
  <c r="U232" i="20"/>
  <c r="M232" i="20"/>
  <c r="L232" i="20"/>
  <c r="Q232" i="20" s="1"/>
  <c r="K232" i="20"/>
  <c r="AC232" i="20" s="1"/>
  <c r="J232" i="20"/>
  <c r="I232" i="20"/>
  <c r="H232" i="20"/>
  <c r="BG231" i="20"/>
  <c r="AZ231" i="20"/>
  <c r="AX231" i="20"/>
  <c r="BE231" i="20" s="1"/>
  <c r="BF231" i="20" s="1"/>
  <c r="AV231" i="20"/>
  <c r="AF231" i="20"/>
  <c r="AE231" i="20"/>
  <c r="AD231" i="20"/>
  <c r="AB231" i="20"/>
  <c r="U231" i="20"/>
  <c r="M231" i="20"/>
  <c r="L231" i="20"/>
  <c r="K231" i="20"/>
  <c r="AC231" i="20" s="1"/>
  <c r="J231" i="20"/>
  <c r="I231" i="20"/>
  <c r="H231" i="20"/>
  <c r="BG230" i="20"/>
  <c r="AZ230" i="20"/>
  <c r="AX230" i="20"/>
  <c r="BE230" i="20" s="1"/>
  <c r="BF230" i="20" s="1"/>
  <c r="AV230" i="20"/>
  <c r="AN230" i="20"/>
  <c r="AM230" i="20"/>
  <c r="AK230" i="20"/>
  <c r="AJ230" i="20"/>
  <c r="AF230" i="20"/>
  <c r="AE230" i="20"/>
  <c r="AD230" i="20"/>
  <c r="AB230" i="20"/>
  <c r="U230" i="20"/>
  <c r="M230" i="20"/>
  <c r="L230" i="20"/>
  <c r="K230" i="20"/>
  <c r="AC230" i="20" s="1"/>
  <c r="J230" i="20"/>
  <c r="I230" i="20"/>
  <c r="H230" i="20"/>
  <c r="BG229" i="20"/>
  <c r="AZ229" i="20"/>
  <c r="AX229" i="20"/>
  <c r="BE229" i="20" s="1"/>
  <c r="BF229" i="20" s="1"/>
  <c r="AV229" i="20"/>
  <c r="AN229" i="20"/>
  <c r="AM229" i="20"/>
  <c r="AK229" i="20"/>
  <c r="AJ229" i="20"/>
  <c r="AF229" i="20"/>
  <c r="AE229" i="20"/>
  <c r="AD229" i="20"/>
  <c r="AB229" i="20"/>
  <c r="U229" i="20"/>
  <c r="M229" i="20"/>
  <c r="L229" i="20"/>
  <c r="Q229" i="20" s="1"/>
  <c r="V229" i="20" s="1"/>
  <c r="K229" i="20"/>
  <c r="AC229" i="20" s="1"/>
  <c r="J229" i="20"/>
  <c r="I229" i="20"/>
  <c r="H229" i="20"/>
  <c r="BM228" i="20"/>
  <c r="BI228" i="20"/>
  <c r="AZ228" i="20"/>
  <c r="AX228" i="20"/>
  <c r="AV228" i="20"/>
  <c r="AL228" i="20"/>
  <c r="AN228" i="20" s="1"/>
  <c r="AJ228" i="20"/>
  <c r="AI228" i="20"/>
  <c r="AK228" i="20" s="1"/>
  <c r="AF228" i="20"/>
  <c r="AE228" i="20"/>
  <c r="AD228" i="20"/>
  <c r="AB228" i="20"/>
  <c r="U228" i="20"/>
  <c r="M228" i="20"/>
  <c r="L228" i="20"/>
  <c r="S228" i="20" s="1"/>
  <c r="K228" i="20"/>
  <c r="BC228" i="20" s="1"/>
  <c r="J228" i="20"/>
  <c r="I228" i="20"/>
  <c r="H228" i="20"/>
  <c r="BM227" i="20"/>
  <c r="BI227" i="20"/>
  <c r="AZ227" i="20"/>
  <c r="AX227" i="20"/>
  <c r="AV227" i="20"/>
  <c r="AM227" i="20"/>
  <c r="AL227" i="20"/>
  <c r="AN227" i="20" s="1"/>
  <c r="AI227" i="20"/>
  <c r="AK227" i="20" s="1"/>
  <c r="AF227" i="20"/>
  <c r="AE227" i="20"/>
  <c r="AD227" i="20"/>
  <c r="AB227" i="20"/>
  <c r="U227" i="20"/>
  <c r="M227" i="20"/>
  <c r="L227" i="20"/>
  <c r="S227" i="20" s="1"/>
  <c r="K227" i="20"/>
  <c r="AC227" i="20" s="1"/>
  <c r="J227" i="20"/>
  <c r="I227" i="20"/>
  <c r="H227" i="20"/>
  <c r="BM226" i="20"/>
  <c r="BI226" i="20"/>
  <c r="AZ226" i="20"/>
  <c r="AX226" i="20"/>
  <c r="AV226" i="20"/>
  <c r="AN226" i="20"/>
  <c r="AL226" i="20"/>
  <c r="AM226" i="20" s="1"/>
  <c r="AI226" i="20"/>
  <c r="AF226" i="20"/>
  <c r="AE226" i="20"/>
  <c r="AD226" i="20"/>
  <c r="AB226" i="20"/>
  <c r="U226" i="20"/>
  <c r="M226" i="20"/>
  <c r="L226" i="20"/>
  <c r="Q226" i="20" s="1"/>
  <c r="V226" i="20" s="1"/>
  <c r="K226" i="20"/>
  <c r="BB226" i="20" s="1"/>
  <c r="J226" i="20"/>
  <c r="I226" i="20"/>
  <c r="H226" i="20"/>
  <c r="BM225" i="20"/>
  <c r="BI225" i="20"/>
  <c r="AZ225" i="20"/>
  <c r="AX225" i="20"/>
  <c r="AV225" i="20"/>
  <c r="AL225" i="20"/>
  <c r="AM225" i="20" s="1"/>
  <c r="AI225" i="20"/>
  <c r="AJ225" i="20" s="1"/>
  <c r="AF225" i="20"/>
  <c r="AE225" i="20"/>
  <c r="AD225" i="20"/>
  <c r="AB225" i="20"/>
  <c r="U225" i="20"/>
  <c r="M225" i="20"/>
  <c r="L225" i="20"/>
  <c r="Q225" i="20" s="1"/>
  <c r="V225" i="20" s="1"/>
  <c r="K225" i="20"/>
  <c r="BB225" i="20" s="1"/>
  <c r="J225" i="20"/>
  <c r="I225" i="20"/>
  <c r="H225" i="20"/>
  <c r="BM224" i="20"/>
  <c r="BI224" i="20"/>
  <c r="AZ224" i="20"/>
  <c r="AX224" i="20"/>
  <c r="AV224" i="20"/>
  <c r="AL224" i="20"/>
  <c r="AN224" i="20" s="1"/>
  <c r="AI224" i="20"/>
  <c r="AK224" i="20" s="1"/>
  <c r="AF224" i="20"/>
  <c r="AE224" i="20"/>
  <c r="AD224" i="20"/>
  <c r="AB224" i="20"/>
  <c r="U224" i="20"/>
  <c r="M224" i="20"/>
  <c r="L224" i="20"/>
  <c r="S224" i="20" s="1"/>
  <c r="K224" i="20"/>
  <c r="BC224" i="20" s="1"/>
  <c r="J224" i="20"/>
  <c r="I224" i="20"/>
  <c r="H224" i="20"/>
  <c r="BM223" i="20"/>
  <c r="BI223" i="20"/>
  <c r="AZ223" i="20"/>
  <c r="AX223" i="20"/>
  <c r="AV223" i="20"/>
  <c r="AL223" i="20"/>
  <c r="AN223" i="20" s="1"/>
  <c r="AK223" i="20"/>
  <c r="AJ223" i="20"/>
  <c r="AI223" i="20"/>
  <c r="AF223" i="20"/>
  <c r="AE223" i="20"/>
  <c r="AD223" i="20"/>
  <c r="AB223" i="20"/>
  <c r="U223" i="20"/>
  <c r="M223" i="20"/>
  <c r="L223" i="20"/>
  <c r="K223" i="20"/>
  <c r="BC223" i="20" s="1"/>
  <c r="J223" i="20"/>
  <c r="I223" i="20"/>
  <c r="H223" i="20"/>
  <c r="BG222" i="20"/>
  <c r="AZ222" i="20"/>
  <c r="AX222" i="20"/>
  <c r="BE222" i="20" s="1"/>
  <c r="BF222" i="20" s="1"/>
  <c r="AV222" i="20"/>
  <c r="AL222" i="20"/>
  <c r="AN222" i="20" s="1"/>
  <c r="AI222" i="20"/>
  <c r="AF222" i="20"/>
  <c r="AE222" i="20"/>
  <c r="AD222" i="20"/>
  <c r="AB222" i="20"/>
  <c r="U222" i="20"/>
  <c r="M222" i="20"/>
  <c r="L222" i="20"/>
  <c r="K222" i="20"/>
  <c r="AC222" i="20" s="1"/>
  <c r="J222" i="20"/>
  <c r="I222" i="20"/>
  <c r="H222" i="20"/>
  <c r="BG221" i="20"/>
  <c r="AZ221" i="20"/>
  <c r="AX221" i="20"/>
  <c r="BE221" i="20" s="1"/>
  <c r="BF221" i="20" s="1"/>
  <c r="AV221" i="20"/>
  <c r="AL221" i="20"/>
  <c r="AM221" i="20" s="1"/>
  <c r="AI221" i="20"/>
  <c r="AJ221" i="20" s="1"/>
  <c r="AF221" i="20"/>
  <c r="AE221" i="20"/>
  <c r="AD221" i="20"/>
  <c r="AB221" i="20"/>
  <c r="U221" i="20"/>
  <c r="M221" i="20"/>
  <c r="L221" i="20"/>
  <c r="Q221" i="20" s="1"/>
  <c r="K221" i="20"/>
  <c r="AC221" i="20" s="1"/>
  <c r="J221" i="20"/>
  <c r="I221" i="20"/>
  <c r="H221" i="20"/>
  <c r="BG220" i="20"/>
  <c r="AZ220" i="20"/>
  <c r="AX220" i="20"/>
  <c r="BE220" i="20" s="1"/>
  <c r="BF220" i="20" s="1"/>
  <c r="AV220" i="20"/>
  <c r="AN220" i="20"/>
  <c r="AM220" i="20"/>
  <c r="AK220" i="20"/>
  <c r="AJ220" i="20"/>
  <c r="AF220" i="20"/>
  <c r="AE220" i="20"/>
  <c r="AD220" i="20"/>
  <c r="AB220" i="20"/>
  <c r="U220" i="20"/>
  <c r="M220" i="20"/>
  <c r="L220" i="20"/>
  <c r="S220" i="20" s="1"/>
  <c r="K220" i="20"/>
  <c r="AC220" i="20" s="1"/>
  <c r="J220" i="20"/>
  <c r="I220" i="20"/>
  <c r="H220" i="20"/>
  <c r="BG219" i="20"/>
  <c r="AZ219" i="20"/>
  <c r="AX219" i="20"/>
  <c r="BE219" i="20" s="1"/>
  <c r="BF219" i="20" s="1"/>
  <c r="AV219" i="20"/>
  <c r="AN219" i="20"/>
  <c r="AM219" i="20"/>
  <c r="AK219" i="20"/>
  <c r="AJ219" i="20"/>
  <c r="AF219" i="20"/>
  <c r="AE219" i="20"/>
  <c r="AD219" i="20"/>
  <c r="AB219" i="20"/>
  <c r="U219" i="20"/>
  <c r="M219" i="20"/>
  <c r="L219" i="20"/>
  <c r="Q219" i="20" s="1"/>
  <c r="V219" i="20" s="1"/>
  <c r="K219" i="20"/>
  <c r="AC219" i="20" s="1"/>
  <c r="J219" i="20"/>
  <c r="I219" i="20"/>
  <c r="H219" i="20"/>
  <c r="BG218" i="20"/>
  <c r="AZ218" i="20"/>
  <c r="AX218" i="20"/>
  <c r="BE218" i="20" s="1"/>
  <c r="BF218" i="20" s="1"/>
  <c r="AV218" i="20"/>
  <c r="AN218" i="20"/>
  <c r="AM218" i="20"/>
  <c r="AK218" i="20"/>
  <c r="AJ218" i="20"/>
  <c r="AF218" i="20"/>
  <c r="AE218" i="20"/>
  <c r="AD218" i="20"/>
  <c r="AB218" i="20"/>
  <c r="U218" i="20"/>
  <c r="M218" i="20"/>
  <c r="L218" i="20"/>
  <c r="K218" i="20"/>
  <c r="AC218" i="20" s="1"/>
  <c r="J218" i="20"/>
  <c r="I218" i="20"/>
  <c r="H218" i="20"/>
  <c r="BM217" i="20"/>
  <c r="BL217" i="20"/>
  <c r="AZ217" i="20"/>
  <c r="AV217" i="20"/>
  <c r="AF217" i="20"/>
  <c r="AE217" i="20"/>
  <c r="AD217" i="20"/>
  <c r="AB217" i="20"/>
  <c r="U217" i="20"/>
  <c r="M217" i="20"/>
  <c r="L217" i="20"/>
  <c r="S217" i="20" s="1"/>
  <c r="K217" i="20"/>
  <c r="AC217" i="20" s="1"/>
  <c r="J217" i="20"/>
  <c r="I217" i="20"/>
  <c r="H217" i="20"/>
  <c r="BG216" i="20"/>
  <c r="AZ216" i="20"/>
  <c r="AX216" i="20"/>
  <c r="BE216" i="20" s="1"/>
  <c r="BF216" i="20" s="1"/>
  <c r="AV216" i="20"/>
  <c r="AN216" i="20"/>
  <c r="AM216" i="20"/>
  <c r="AK216" i="20"/>
  <c r="AJ216" i="20"/>
  <c r="AF216" i="20"/>
  <c r="AE216" i="20"/>
  <c r="AD216" i="20"/>
  <c r="AB216" i="20"/>
  <c r="U216" i="20"/>
  <c r="M216" i="20"/>
  <c r="L216" i="20"/>
  <c r="S216" i="20" s="1"/>
  <c r="K216" i="20"/>
  <c r="AC216" i="20" s="1"/>
  <c r="J216" i="20"/>
  <c r="I216" i="20"/>
  <c r="H216" i="20"/>
  <c r="BG215" i="20"/>
  <c r="AZ215" i="20"/>
  <c r="AX215" i="20"/>
  <c r="BE215" i="20" s="1"/>
  <c r="BF215" i="20" s="1"/>
  <c r="AV215" i="20"/>
  <c r="AN215" i="20"/>
  <c r="AM215" i="20"/>
  <c r="AK215" i="20"/>
  <c r="AJ215" i="20"/>
  <c r="AF215" i="20"/>
  <c r="AE215" i="20"/>
  <c r="AD215" i="20"/>
  <c r="AB215" i="20"/>
  <c r="U215" i="20"/>
  <c r="M215" i="20"/>
  <c r="L215" i="20"/>
  <c r="Q215" i="20" s="1"/>
  <c r="K215" i="20"/>
  <c r="AC215" i="20" s="1"/>
  <c r="J215" i="20"/>
  <c r="I215" i="20"/>
  <c r="H215" i="20"/>
  <c r="BG214" i="20"/>
  <c r="AZ214" i="20"/>
  <c r="AX214" i="20"/>
  <c r="BE214" i="20" s="1"/>
  <c r="BF214" i="20" s="1"/>
  <c r="AV214" i="20"/>
  <c r="AF214" i="20"/>
  <c r="AE214" i="20"/>
  <c r="AD214" i="20"/>
  <c r="AB214" i="20"/>
  <c r="U214" i="20"/>
  <c r="M214" i="20"/>
  <c r="L214" i="20"/>
  <c r="S214" i="20" s="1"/>
  <c r="K214" i="20"/>
  <c r="AC214" i="20" s="1"/>
  <c r="J214" i="20"/>
  <c r="I214" i="20"/>
  <c r="H214" i="20"/>
  <c r="BG213" i="20"/>
  <c r="AZ213" i="20"/>
  <c r="AX213" i="20"/>
  <c r="BE213" i="20" s="1"/>
  <c r="BF213" i="20" s="1"/>
  <c r="AV213" i="20"/>
  <c r="AF213" i="20"/>
  <c r="AE213" i="20"/>
  <c r="AD213" i="20"/>
  <c r="AB213" i="20"/>
  <c r="U213" i="20"/>
  <c r="M213" i="20"/>
  <c r="L213" i="20"/>
  <c r="S213" i="20" s="1"/>
  <c r="K213" i="20"/>
  <c r="AC213" i="20" s="1"/>
  <c r="J213" i="20"/>
  <c r="I213" i="20"/>
  <c r="H213" i="20"/>
  <c r="BG212" i="20"/>
  <c r="BE212" i="20"/>
  <c r="BF212" i="20" s="1"/>
  <c r="AZ212" i="20"/>
  <c r="AX212" i="20"/>
  <c r="AV212" i="20"/>
  <c r="AF212" i="20"/>
  <c r="AE212" i="20"/>
  <c r="AD212" i="20"/>
  <c r="AB212" i="20"/>
  <c r="U212" i="20"/>
  <c r="M212" i="20"/>
  <c r="L212" i="20"/>
  <c r="Q212" i="20" s="1"/>
  <c r="K212" i="20"/>
  <c r="AC212" i="20" s="1"/>
  <c r="J212" i="20"/>
  <c r="I212" i="20"/>
  <c r="H212" i="20"/>
  <c r="BG211" i="20"/>
  <c r="BF211" i="20"/>
  <c r="AZ211" i="20"/>
  <c r="AX211" i="20"/>
  <c r="BE211" i="20" s="1"/>
  <c r="AV211" i="20"/>
  <c r="AF211" i="20"/>
  <c r="AE211" i="20"/>
  <c r="AD211" i="20"/>
  <c r="AB211" i="20"/>
  <c r="U211" i="20"/>
  <c r="M211" i="20"/>
  <c r="L211" i="20"/>
  <c r="S211" i="20" s="1"/>
  <c r="K211" i="20"/>
  <c r="AC211" i="20" s="1"/>
  <c r="J211" i="20"/>
  <c r="I211" i="20"/>
  <c r="H211" i="20"/>
  <c r="BG210" i="20"/>
  <c r="BF210" i="20"/>
  <c r="BE210" i="20"/>
  <c r="AZ210" i="20"/>
  <c r="AX210" i="20"/>
  <c r="AV210" i="20"/>
  <c r="AF210" i="20"/>
  <c r="AE210" i="20"/>
  <c r="AD210" i="20"/>
  <c r="AB210" i="20"/>
  <c r="U210" i="20"/>
  <c r="M210" i="20"/>
  <c r="L210" i="20"/>
  <c r="Q210" i="20" s="1"/>
  <c r="K210" i="20"/>
  <c r="AC210" i="20" s="1"/>
  <c r="J210" i="20"/>
  <c r="I210" i="20"/>
  <c r="H210" i="20"/>
  <c r="BG209" i="20"/>
  <c r="BE209" i="20"/>
  <c r="BF209" i="20" s="1"/>
  <c r="AV209" i="20"/>
  <c r="AF209" i="20"/>
  <c r="AE209" i="20"/>
  <c r="AD209" i="20"/>
  <c r="AB209" i="20"/>
  <c r="U209" i="20"/>
  <c r="M209" i="20"/>
  <c r="L209" i="20"/>
  <c r="S209" i="20" s="1"/>
  <c r="K209" i="20"/>
  <c r="AC209" i="20" s="1"/>
  <c r="J209" i="20"/>
  <c r="I209" i="20"/>
  <c r="H209" i="20"/>
  <c r="BG208" i="20"/>
  <c r="BE208" i="20"/>
  <c r="BF208" i="20" s="1"/>
  <c r="AV208" i="20"/>
  <c r="AF208" i="20"/>
  <c r="AE208" i="20"/>
  <c r="AD208" i="20"/>
  <c r="AB208" i="20"/>
  <c r="U208" i="20"/>
  <c r="Q208" i="20"/>
  <c r="V208" i="20" s="1"/>
  <c r="M208" i="20"/>
  <c r="L208" i="20"/>
  <c r="S208" i="20" s="1"/>
  <c r="K208" i="20"/>
  <c r="AC208" i="20" s="1"/>
  <c r="J208" i="20"/>
  <c r="I208" i="20"/>
  <c r="H208" i="20"/>
  <c r="BG207" i="20"/>
  <c r="BE207" i="20"/>
  <c r="BF207" i="20" s="1"/>
  <c r="AV207" i="20"/>
  <c r="AF207" i="20"/>
  <c r="AE207" i="20"/>
  <c r="AD207" i="20"/>
  <c r="AB207" i="20"/>
  <c r="U207" i="20"/>
  <c r="M207" i="20"/>
  <c r="L207" i="20"/>
  <c r="Q207" i="20" s="1"/>
  <c r="V207" i="20" s="1"/>
  <c r="K207" i="20"/>
  <c r="AC207" i="20" s="1"/>
  <c r="J207" i="20"/>
  <c r="I207" i="20"/>
  <c r="H207" i="20"/>
  <c r="BG206" i="20"/>
  <c r="BE206" i="20"/>
  <c r="BF206" i="20" s="1"/>
  <c r="AV206" i="20"/>
  <c r="AF206" i="20"/>
  <c r="AE206" i="20"/>
  <c r="AD206" i="20"/>
  <c r="AB206" i="20"/>
  <c r="U206" i="20"/>
  <c r="M206" i="20"/>
  <c r="L206" i="20"/>
  <c r="S206" i="20" s="1"/>
  <c r="K206" i="20"/>
  <c r="AC206" i="20" s="1"/>
  <c r="J206" i="20"/>
  <c r="I206" i="20"/>
  <c r="H206" i="20"/>
  <c r="BG205" i="20"/>
  <c r="BE205" i="20"/>
  <c r="BF205" i="20" s="1"/>
  <c r="AV205" i="20"/>
  <c r="AF205" i="20"/>
  <c r="AE205" i="20"/>
  <c r="AD205" i="20"/>
  <c r="AB205" i="20"/>
  <c r="U205" i="20"/>
  <c r="M205" i="20"/>
  <c r="L205" i="20"/>
  <c r="S205" i="20" s="1"/>
  <c r="K205" i="20"/>
  <c r="J205" i="20"/>
  <c r="I205" i="20"/>
  <c r="H205" i="20"/>
  <c r="BG204" i="20"/>
  <c r="BE204" i="20"/>
  <c r="BF204" i="20" s="1"/>
  <c r="AV204" i="20"/>
  <c r="AF204" i="20"/>
  <c r="AE204" i="20"/>
  <c r="AD204" i="20"/>
  <c r="AB204" i="20"/>
  <c r="U204" i="20"/>
  <c r="M204" i="20"/>
  <c r="L204" i="20"/>
  <c r="K204" i="20"/>
  <c r="AC204" i="20" s="1"/>
  <c r="J204" i="20"/>
  <c r="I204" i="20"/>
  <c r="H204" i="20"/>
  <c r="BG203" i="20"/>
  <c r="BE203" i="20"/>
  <c r="BF203" i="20" s="1"/>
  <c r="AV203" i="20"/>
  <c r="AF203" i="20"/>
  <c r="AE203" i="20"/>
  <c r="AD203" i="20"/>
  <c r="AB203" i="20"/>
  <c r="U203" i="20"/>
  <c r="M203" i="20"/>
  <c r="L203" i="20"/>
  <c r="S203" i="20" s="1"/>
  <c r="K203" i="20"/>
  <c r="AC203" i="20" s="1"/>
  <c r="J203" i="20"/>
  <c r="I203" i="20"/>
  <c r="H203" i="20"/>
  <c r="BG202" i="20"/>
  <c r="BE202" i="20"/>
  <c r="BF202" i="20" s="1"/>
  <c r="AV202" i="20"/>
  <c r="AF202" i="20"/>
  <c r="AE202" i="20"/>
  <c r="AD202" i="20"/>
  <c r="AB202" i="20"/>
  <c r="U202" i="20"/>
  <c r="M202" i="20"/>
  <c r="L202" i="20"/>
  <c r="Q202" i="20" s="1"/>
  <c r="K202" i="20"/>
  <c r="AC202" i="20" s="1"/>
  <c r="J202" i="20"/>
  <c r="I202" i="20"/>
  <c r="H202" i="20"/>
  <c r="BG201" i="20"/>
  <c r="BE201" i="20"/>
  <c r="BF201" i="20" s="1"/>
  <c r="AV201" i="20"/>
  <c r="AF201" i="20"/>
  <c r="AE201" i="20"/>
  <c r="AD201" i="20"/>
  <c r="AB201" i="20"/>
  <c r="U201" i="20"/>
  <c r="M201" i="20"/>
  <c r="L201" i="20"/>
  <c r="S201" i="20" s="1"/>
  <c r="K201" i="20"/>
  <c r="AC201" i="20" s="1"/>
  <c r="J201" i="20"/>
  <c r="I201" i="20"/>
  <c r="H201" i="20"/>
  <c r="BG200" i="20"/>
  <c r="BE200" i="20"/>
  <c r="BF200" i="20" s="1"/>
  <c r="AV200" i="20"/>
  <c r="AF200" i="20"/>
  <c r="AE200" i="20"/>
  <c r="AD200" i="20"/>
  <c r="AB200" i="20"/>
  <c r="U200" i="20"/>
  <c r="M200" i="20"/>
  <c r="L200" i="20"/>
  <c r="S200" i="20" s="1"/>
  <c r="K200" i="20"/>
  <c r="AC200" i="20" s="1"/>
  <c r="J200" i="20"/>
  <c r="I200" i="20"/>
  <c r="H200" i="20"/>
  <c r="BG199" i="20"/>
  <c r="AZ199" i="20"/>
  <c r="AX199" i="20"/>
  <c r="BE199" i="20" s="1"/>
  <c r="BF199" i="20" s="1"/>
  <c r="AV199" i="20"/>
  <c r="AN199" i="20"/>
  <c r="AM199" i="20"/>
  <c r="AK199" i="20"/>
  <c r="AJ199" i="20"/>
  <c r="AF199" i="20"/>
  <c r="AE199" i="20"/>
  <c r="AD199" i="20"/>
  <c r="AB199" i="20"/>
  <c r="U199" i="20"/>
  <c r="M199" i="20"/>
  <c r="L199" i="20"/>
  <c r="S199" i="20" s="1"/>
  <c r="K199" i="20"/>
  <c r="AC199" i="20" s="1"/>
  <c r="J199" i="20"/>
  <c r="I199" i="20"/>
  <c r="H199" i="20"/>
  <c r="BG198" i="20"/>
  <c r="BE198" i="20"/>
  <c r="BF198" i="20" s="1"/>
  <c r="AZ198" i="20"/>
  <c r="AX198" i="20"/>
  <c r="AV198" i="20"/>
  <c r="AN198" i="20"/>
  <c r="AM198" i="20"/>
  <c r="AK198" i="20"/>
  <c r="AJ198" i="20"/>
  <c r="AF198" i="20"/>
  <c r="AE198" i="20"/>
  <c r="AD198" i="20"/>
  <c r="AB198" i="20"/>
  <c r="U198" i="20"/>
  <c r="M198" i="20"/>
  <c r="L198" i="20"/>
  <c r="K198" i="20"/>
  <c r="AC198" i="20" s="1"/>
  <c r="J198" i="20"/>
  <c r="I198" i="20"/>
  <c r="H198" i="20"/>
  <c r="BG197" i="20"/>
  <c r="AZ197" i="20"/>
  <c r="AX197" i="20"/>
  <c r="BE197" i="20" s="1"/>
  <c r="BF197" i="20" s="1"/>
  <c r="AV197" i="20"/>
  <c r="AF197" i="20"/>
  <c r="AE197" i="20"/>
  <c r="AD197" i="20"/>
  <c r="AC197" i="20"/>
  <c r="AB197" i="20"/>
  <c r="U197" i="20"/>
  <c r="M197" i="20"/>
  <c r="L197" i="20"/>
  <c r="K197" i="20"/>
  <c r="J197" i="20"/>
  <c r="I197" i="20"/>
  <c r="H197" i="20"/>
  <c r="BG196" i="20"/>
  <c r="AZ196" i="20"/>
  <c r="AW196" i="20"/>
  <c r="AX196" i="20" s="1"/>
  <c r="BE196" i="20" s="1"/>
  <c r="BF196" i="20" s="1"/>
  <c r="AV196" i="20"/>
  <c r="AP196" i="20"/>
  <c r="AF196" i="20"/>
  <c r="AE196" i="20"/>
  <c r="AD196" i="20"/>
  <c r="AB196" i="20"/>
  <c r="U196" i="20"/>
  <c r="M196" i="20"/>
  <c r="L196" i="20"/>
  <c r="S196" i="20" s="1"/>
  <c r="K196" i="20"/>
  <c r="AC196" i="20" s="1"/>
  <c r="J196" i="20"/>
  <c r="I196" i="20"/>
  <c r="H196" i="20"/>
  <c r="AZ195" i="20"/>
  <c r="AX195" i="20"/>
  <c r="BD195" i="20" s="1"/>
  <c r="AV195" i="20"/>
  <c r="AL195" i="20"/>
  <c r="AN195" i="20" s="1"/>
  <c r="AI195" i="20"/>
  <c r="AK195" i="20" s="1"/>
  <c r="AF195" i="20"/>
  <c r="AE195" i="20"/>
  <c r="AD195" i="20"/>
  <c r="AB195" i="20"/>
  <c r="U195" i="20"/>
  <c r="M195" i="20"/>
  <c r="L195" i="20"/>
  <c r="S195" i="20" s="1"/>
  <c r="K195" i="20"/>
  <c r="BB195" i="20" s="1"/>
  <c r="J195" i="20"/>
  <c r="I195" i="20"/>
  <c r="H195" i="20"/>
  <c r="AZ194" i="20"/>
  <c r="AX194" i="20"/>
  <c r="BD194" i="20" s="1"/>
  <c r="AV194" i="20"/>
  <c r="AL194" i="20"/>
  <c r="AN194" i="20" s="1"/>
  <c r="AI194" i="20"/>
  <c r="AF194" i="20"/>
  <c r="AE194" i="20"/>
  <c r="AD194" i="20"/>
  <c r="AB194" i="20"/>
  <c r="U194" i="20"/>
  <c r="M194" i="20"/>
  <c r="L194" i="20"/>
  <c r="S194" i="20" s="1"/>
  <c r="K194" i="20"/>
  <c r="BB194" i="20" s="1"/>
  <c r="J194" i="20"/>
  <c r="I194" i="20"/>
  <c r="H194" i="20"/>
  <c r="AZ193" i="20"/>
  <c r="AX193" i="20"/>
  <c r="BD193" i="20" s="1"/>
  <c r="AV193" i="20"/>
  <c r="AL193" i="20"/>
  <c r="AN193" i="20" s="1"/>
  <c r="AK193" i="20"/>
  <c r="AI193" i="20"/>
  <c r="AF193" i="20"/>
  <c r="AE193" i="20"/>
  <c r="AD193" i="20"/>
  <c r="AB193" i="20"/>
  <c r="U193" i="20"/>
  <c r="M193" i="20"/>
  <c r="L193" i="20"/>
  <c r="S193" i="20" s="1"/>
  <c r="K193" i="20"/>
  <c r="AC193" i="20" s="1"/>
  <c r="J193" i="20"/>
  <c r="I193" i="20"/>
  <c r="H193" i="20"/>
  <c r="BG192" i="20"/>
  <c r="AZ192" i="20"/>
  <c r="AX192" i="20"/>
  <c r="BE192" i="20" s="1"/>
  <c r="BF192" i="20" s="1"/>
  <c r="AV192" i="20"/>
  <c r="AN192" i="20"/>
  <c r="AM192" i="20"/>
  <c r="AK192" i="20"/>
  <c r="AJ192" i="20"/>
  <c r="AF192" i="20"/>
  <c r="AE192" i="20"/>
  <c r="AD192" i="20"/>
  <c r="AB192" i="20"/>
  <c r="U192" i="20"/>
  <c r="M192" i="20"/>
  <c r="L192" i="20"/>
  <c r="K192" i="20"/>
  <c r="AC192" i="20" s="1"/>
  <c r="J192" i="20"/>
  <c r="I192" i="20"/>
  <c r="H192" i="20"/>
  <c r="BG191" i="20"/>
  <c r="AZ191" i="20"/>
  <c r="AX191" i="20"/>
  <c r="BE191" i="20" s="1"/>
  <c r="BF191" i="20" s="1"/>
  <c r="AV191" i="20"/>
  <c r="AN191" i="20"/>
  <c r="AM191" i="20"/>
  <c r="AK191" i="20"/>
  <c r="AJ191" i="20"/>
  <c r="AF191" i="20"/>
  <c r="AE191" i="20"/>
  <c r="AD191" i="20"/>
  <c r="AB191" i="20"/>
  <c r="V191" i="20"/>
  <c r="U191" i="20"/>
  <c r="M191" i="20"/>
  <c r="L191" i="20"/>
  <c r="Q191" i="20" s="1"/>
  <c r="K191" i="20"/>
  <c r="AC191" i="20" s="1"/>
  <c r="J191" i="20"/>
  <c r="I191" i="20"/>
  <c r="H191" i="20"/>
  <c r="BG190" i="20"/>
  <c r="AZ190" i="20"/>
  <c r="AX190" i="20"/>
  <c r="BE190" i="20" s="1"/>
  <c r="BF190" i="20" s="1"/>
  <c r="AV190" i="20"/>
  <c r="AN190" i="20"/>
  <c r="AM190" i="20"/>
  <c r="AK190" i="20"/>
  <c r="AJ190" i="20"/>
  <c r="AF190" i="20"/>
  <c r="AE190" i="20"/>
  <c r="AD190" i="20"/>
  <c r="AB190" i="20"/>
  <c r="U190" i="20"/>
  <c r="M190" i="20"/>
  <c r="L190" i="20"/>
  <c r="S190" i="20" s="1"/>
  <c r="K190" i="20"/>
  <c r="AC190" i="20" s="1"/>
  <c r="J190" i="20"/>
  <c r="I190" i="20"/>
  <c r="H190" i="20"/>
  <c r="BG189" i="20"/>
  <c r="AZ189" i="20"/>
  <c r="AX189" i="20"/>
  <c r="BE189" i="20" s="1"/>
  <c r="BF189" i="20" s="1"/>
  <c r="AV189" i="20"/>
  <c r="AN189" i="20"/>
  <c r="AM189" i="20"/>
  <c r="AK189" i="20"/>
  <c r="AJ189" i="20"/>
  <c r="AF189" i="20"/>
  <c r="AE189" i="20"/>
  <c r="AD189" i="20"/>
  <c r="AB189" i="20"/>
  <c r="U189" i="20"/>
  <c r="S189" i="20"/>
  <c r="M189" i="20"/>
  <c r="L189" i="20"/>
  <c r="Q189" i="20" s="1"/>
  <c r="V189" i="20" s="1"/>
  <c r="K189" i="20"/>
  <c r="AC189" i="20" s="1"/>
  <c r="J189" i="20"/>
  <c r="I189" i="20"/>
  <c r="H189" i="20"/>
  <c r="BG188" i="20"/>
  <c r="AZ188" i="20"/>
  <c r="AX188" i="20"/>
  <c r="BE188" i="20" s="1"/>
  <c r="BF188" i="20" s="1"/>
  <c r="AV188" i="20"/>
  <c r="AN188" i="20"/>
  <c r="AM188" i="20"/>
  <c r="AK188" i="20"/>
  <c r="AJ188" i="20"/>
  <c r="AF188" i="20"/>
  <c r="AE188" i="20"/>
  <c r="AD188" i="20"/>
  <c r="AB188" i="20"/>
  <c r="U188" i="20"/>
  <c r="M188" i="20"/>
  <c r="L188" i="20"/>
  <c r="Q188" i="20" s="1"/>
  <c r="K188" i="20"/>
  <c r="AC188" i="20" s="1"/>
  <c r="J188" i="20"/>
  <c r="I188" i="20"/>
  <c r="H188" i="20"/>
  <c r="BG187" i="20"/>
  <c r="BE187" i="20"/>
  <c r="BF187" i="20" s="1"/>
  <c r="AZ187" i="20"/>
  <c r="AX187" i="20"/>
  <c r="AV187" i="20"/>
  <c r="AF187" i="20"/>
  <c r="AE187" i="20"/>
  <c r="AD187" i="20"/>
  <c r="AB187" i="20"/>
  <c r="U187" i="20"/>
  <c r="M187" i="20"/>
  <c r="L187" i="20"/>
  <c r="S187" i="20" s="1"/>
  <c r="K187" i="20"/>
  <c r="AC187" i="20" s="1"/>
  <c r="J187" i="20"/>
  <c r="I187" i="20"/>
  <c r="H187" i="20"/>
  <c r="BG186" i="20"/>
  <c r="AZ186" i="20"/>
  <c r="AX186" i="20"/>
  <c r="BE186" i="20" s="1"/>
  <c r="BF186" i="20" s="1"/>
  <c r="AV186" i="20"/>
  <c r="AF186" i="20"/>
  <c r="AE186" i="20"/>
  <c r="AD186" i="20"/>
  <c r="AB186" i="20"/>
  <c r="U186" i="20"/>
  <c r="M186" i="20"/>
  <c r="L186" i="20"/>
  <c r="S186" i="20" s="1"/>
  <c r="K186" i="20"/>
  <c r="AC186" i="20" s="1"/>
  <c r="J186" i="20"/>
  <c r="I186" i="20"/>
  <c r="H186" i="20"/>
  <c r="BG185" i="20"/>
  <c r="BE185" i="20"/>
  <c r="BF185" i="20" s="1"/>
  <c r="AZ185" i="20"/>
  <c r="AV185" i="20"/>
  <c r="AF185" i="20"/>
  <c r="AE185" i="20"/>
  <c r="AD185" i="20"/>
  <c r="AB185" i="20"/>
  <c r="U185" i="20"/>
  <c r="M185" i="20"/>
  <c r="L185" i="20"/>
  <c r="S185" i="20" s="1"/>
  <c r="K185" i="20"/>
  <c r="AC185" i="20" s="1"/>
  <c r="J185" i="20"/>
  <c r="I185" i="20"/>
  <c r="H185" i="20"/>
  <c r="BG184" i="20"/>
  <c r="BE184" i="20"/>
  <c r="BF184" i="20" s="1"/>
  <c r="AZ184" i="20"/>
  <c r="AV184" i="20"/>
  <c r="AF184" i="20"/>
  <c r="AE184" i="20"/>
  <c r="AD184" i="20"/>
  <c r="AB184" i="20"/>
  <c r="U184" i="20"/>
  <c r="M184" i="20"/>
  <c r="L184" i="20"/>
  <c r="S184" i="20" s="1"/>
  <c r="K184" i="20"/>
  <c r="AC184" i="20" s="1"/>
  <c r="J184" i="20"/>
  <c r="I184" i="20"/>
  <c r="H184" i="20"/>
  <c r="BG183" i="20"/>
  <c r="BE183" i="20"/>
  <c r="BF183" i="20" s="1"/>
  <c r="AZ183" i="20"/>
  <c r="AV183" i="20"/>
  <c r="AF183" i="20"/>
  <c r="AE183" i="20"/>
  <c r="AD183" i="20"/>
  <c r="AB183" i="20"/>
  <c r="U183" i="20"/>
  <c r="M183" i="20"/>
  <c r="L183" i="20"/>
  <c r="S183" i="20" s="1"/>
  <c r="K183" i="20"/>
  <c r="AC183" i="20" s="1"/>
  <c r="J183" i="20"/>
  <c r="I183" i="20"/>
  <c r="H183" i="20"/>
  <c r="BG182" i="20"/>
  <c r="BE182" i="20"/>
  <c r="BF182" i="20" s="1"/>
  <c r="AZ182" i="20"/>
  <c r="AV182" i="20"/>
  <c r="AF182" i="20"/>
  <c r="AE182" i="20"/>
  <c r="AD182" i="20"/>
  <c r="AB182" i="20"/>
  <c r="U182" i="20"/>
  <c r="S182" i="20"/>
  <c r="M182" i="20"/>
  <c r="L182" i="20"/>
  <c r="Q182" i="20" s="1"/>
  <c r="V182" i="20" s="1"/>
  <c r="K182" i="20"/>
  <c r="AC182" i="20" s="1"/>
  <c r="J182" i="20"/>
  <c r="I182" i="20"/>
  <c r="H182" i="20"/>
  <c r="BG181" i="20"/>
  <c r="BF181" i="20"/>
  <c r="BE181" i="20"/>
  <c r="AZ181" i="20"/>
  <c r="AV181" i="20"/>
  <c r="AF181" i="20"/>
  <c r="AE181" i="20"/>
  <c r="AD181" i="20"/>
  <c r="AB181" i="20"/>
  <c r="U181" i="20"/>
  <c r="M181" i="20"/>
  <c r="L181" i="20"/>
  <c r="S181" i="20" s="1"/>
  <c r="K181" i="20"/>
  <c r="AC181" i="20" s="1"/>
  <c r="J181" i="20"/>
  <c r="I181" i="20"/>
  <c r="H181" i="20"/>
  <c r="BG180" i="20"/>
  <c r="BE180" i="20"/>
  <c r="BF180" i="20" s="1"/>
  <c r="AZ180" i="20"/>
  <c r="AV180" i="20"/>
  <c r="AF180" i="20"/>
  <c r="AE180" i="20"/>
  <c r="AD180" i="20"/>
  <c r="AB180" i="20"/>
  <c r="U180" i="20"/>
  <c r="M180" i="20"/>
  <c r="L180" i="20"/>
  <c r="S180" i="20" s="1"/>
  <c r="K180" i="20"/>
  <c r="AC180" i="20" s="1"/>
  <c r="J180" i="20"/>
  <c r="I180" i="20"/>
  <c r="H180" i="20"/>
  <c r="BG179" i="20"/>
  <c r="BE179" i="20"/>
  <c r="BF179" i="20" s="1"/>
  <c r="AZ179" i="20"/>
  <c r="AV179" i="20"/>
  <c r="AF179" i="20"/>
  <c r="AE179" i="20"/>
  <c r="AD179" i="20"/>
  <c r="AB179" i="20"/>
  <c r="U179" i="20"/>
  <c r="M179" i="20"/>
  <c r="L179" i="20"/>
  <c r="S179" i="20" s="1"/>
  <c r="K179" i="20"/>
  <c r="J179" i="20"/>
  <c r="I179" i="20"/>
  <c r="H179" i="20"/>
  <c r="BG178" i="20"/>
  <c r="BE178" i="20"/>
  <c r="BF178" i="20" s="1"/>
  <c r="AZ178" i="20"/>
  <c r="AV178" i="20"/>
  <c r="AF178" i="20"/>
  <c r="AE178" i="20"/>
  <c r="AD178" i="20"/>
  <c r="AB178" i="20"/>
  <c r="U178" i="20"/>
  <c r="M178" i="20"/>
  <c r="L178" i="20"/>
  <c r="S178" i="20" s="1"/>
  <c r="K178" i="20"/>
  <c r="J178" i="20"/>
  <c r="I178" i="20"/>
  <c r="H178" i="20"/>
  <c r="BG177" i="20"/>
  <c r="BE177" i="20"/>
  <c r="BF177" i="20" s="1"/>
  <c r="AZ177" i="20"/>
  <c r="AV177" i="20"/>
  <c r="AF177" i="20"/>
  <c r="AE177" i="20"/>
  <c r="AD177" i="20"/>
  <c r="AB177" i="20"/>
  <c r="U177" i="20"/>
  <c r="M177" i="20"/>
  <c r="L177" i="20"/>
  <c r="S177" i="20" s="1"/>
  <c r="K177" i="20"/>
  <c r="AC177" i="20" s="1"/>
  <c r="J177" i="20"/>
  <c r="I177" i="20"/>
  <c r="H177" i="20"/>
  <c r="BG176" i="20"/>
  <c r="BE176" i="20"/>
  <c r="BF176" i="20" s="1"/>
  <c r="AZ176" i="20"/>
  <c r="AV176" i="20"/>
  <c r="AF176" i="20"/>
  <c r="AE176" i="20"/>
  <c r="AD176" i="20"/>
  <c r="AB176" i="20"/>
  <c r="U176" i="20"/>
  <c r="M176" i="20"/>
  <c r="L176" i="20"/>
  <c r="Q176" i="20" s="1"/>
  <c r="V176" i="20" s="1"/>
  <c r="K176" i="20"/>
  <c r="AC176" i="20" s="1"/>
  <c r="J176" i="20"/>
  <c r="I176" i="20"/>
  <c r="H176" i="20"/>
  <c r="BG175" i="20"/>
  <c r="AZ175" i="20"/>
  <c r="AX175" i="20"/>
  <c r="BE175" i="20" s="1"/>
  <c r="BF175" i="20" s="1"/>
  <c r="AV175" i="20"/>
  <c r="AN175" i="20"/>
  <c r="AM175" i="20"/>
  <c r="AK175" i="20"/>
  <c r="AJ175" i="20"/>
  <c r="AF175" i="20"/>
  <c r="AE175" i="20"/>
  <c r="AD175" i="20"/>
  <c r="AB175" i="20"/>
  <c r="U175" i="20"/>
  <c r="Q175" i="20"/>
  <c r="V175" i="20" s="1"/>
  <c r="M175" i="20"/>
  <c r="L175" i="20"/>
  <c r="S175" i="20" s="1"/>
  <c r="K175" i="20"/>
  <c r="AC175" i="20" s="1"/>
  <c r="J175" i="20"/>
  <c r="I175" i="20"/>
  <c r="H175" i="20"/>
  <c r="BG174" i="20"/>
  <c r="AZ174" i="20"/>
  <c r="AX174" i="20"/>
  <c r="BE174" i="20" s="1"/>
  <c r="BF174" i="20" s="1"/>
  <c r="AV174" i="20"/>
  <c r="AN174" i="20"/>
  <c r="AM174" i="20"/>
  <c r="AK174" i="20"/>
  <c r="AJ174" i="20"/>
  <c r="AF174" i="20"/>
  <c r="AE174" i="20"/>
  <c r="AD174" i="20"/>
  <c r="AB174" i="20"/>
  <c r="U174" i="20"/>
  <c r="M174" i="20"/>
  <c r="L174" i="20"/>
  <c r="S174" i="20" s="1"/>
  <c r="K174" i="20"/>
  <c r="AC174" i="20" s="1"/>
  <c r="J174" i="20"/>
  <c r="I174" i="20"/>
  <c r="H174" i="20"/>
  <c r="AZ173" i="20"/>
  <c r="AX173" i="20"/>
  <c r="BD173" i="20" s="1"/>
  <c r="BE173" i="20" s="1"/>
  <c r="BF173" i="20" s="1"/>
  <c r="AV173" i="20"/>
  <c r="AL173" i="20"/>
  <c r="AN173" i="20" s="1"/>
  <c r="AI173" i="20"/>
  <c r="AK173" i="20" s="1"/>
  <c r="AF173" i="20"/>
  <c r="AE173" i="20"/>
  <c r="AD173" i="20"/>
  <c r="AB173" i="20"/>
  <c r="U173" i="20"/>
  <c r="M173" i="20"/>
  <c r="L173" i="20"/>
  <c r="S173" i="20" s="1"/>
  <c r="K173" i="20"/>
  <c r="AC173" i="20" s="1"/>
  <c r="J173" i="20"/>
  <c r="I173" i="20"/>
  <c r="H173" i="20"/>
  <c r="BG172" i="20"/>
  <c r="AZ172" i="20"/>
  <c r="AX172" i="20"/>
  <c r="BE172" i="20" s="1"/>
  <c r="BF172" i="20" s="1"/>
  <c r="AV172" i="20"/>
  <c r="AN172" i="20"/>
  <c r="AM172" i="20"/>
  <c r="AK172" i="20"/>
  <c r="AJ172" i="20"/>
  <c r="AF172" i="20"/>
  <c r="AE172" i="20"/>
  <c r="AD172" i="20"/>
  <c r="AC172" i="20"/>
  <c r="AB172" i="20"/>
  <c r="U172" i="20"/>
  <c r="M172" i="20"/>
  <c r="L172" i="20"/>
  <c r="S172" i="20" s="1"/>
  <c r="K172" i="20"/>
  <c r="J172" i="20"/>
  <c r="I172" i="20"/>
  <c r="H172" i="20"/>
  <c r="BG171" i="20"/>
  <c r="AZ171" i="20"/>
  <c r="AX171" i="20"/>
  <c r="BE171" i="20" s="1"/>
  <c r="BF171" i="20" s="1"/>
  <c r="AV171" i="20"/>
  <c r="AN171" i="20"/>
  <c r="AM171" i="20"/>
  <c r="AK171" i="20"/>
  <c r="AJ171" i="20"/>
  <c r="AF171" i="20"/>
  <c r="AE171" i="20"/>
  <c r="AD171" i="20"/>
  <c r="AB171" i="20"/>
  <c r="U171" i="20"/>
  <c r="M171" i="20"/>
  <c r="L171" i="20"/>
  <c r="S171" i="20" s="1"/>
  <c r="K171" i="20"/>
  <c r="AC171" i="20" s="1"/>
  <c r="J171" i="20"/>
  <c r="I171" i="20"/>
  <c r="H171" i="20"/>
  <c r="BG170" i="20"/>
  <c r="BF170" i="20"/>
  <c r="AZ170" i="20"/>
  <c r="AX170" i="20"/>
  <c r="BE170" i="20" s="1"/>
  <c r="AV170" i="20"/>
  <c r="AN170" i="20"/>
  <c r="AM170" i="20"/>
  <c r="AK170" i="20"/>
  <c r="AJ170" i="20"/>
  <c r="AF170" i="20"/>
  <c r="AE170" i="20"/>
  <c r="AD170" i="20"/>
  <c r="AB170" i="20"/>
  <c r="U170" i="20"/>
  <c r="M170" i="20"/>
  <c r="L170" i="20"/>
  <c r="Q170" i="20" s="1"/>
  <c r="K170" i="20"/>
  <c r="AC170" i="20" s="1"/>
  <c r="J170" i="20"/>
  <c r="I170" i="20"/>
  <c r="H170" i="20"/>
  <c r="BG169" i="20"/>
  <c r="AZ169" i="20"/>
  <c r="AX169" i="20"/>
  <c r="BE169" i="20" s="1"/>
  <c r="BF169" i="20" s="1"/>
  <c r="AV169" i="20"/>
  <c r="AN169" i="20"/>
  <c r="AM169" i="20"/>
  <c r="AK169" i="20"/>
  <c r="AJ169" i="20"/>
  <c r="AF169" i="20"/>
  <c r="AE169" i="20"/>
  <c r="AD169" i="20"/>
  <c r="AB169" i="20"/>
  <c r="U169" i="20"/>
  <c r="M169" i="20"/>
  <c r="L169" i="20"/>
  <c r="Q169" i="20" s="1"/>
  <c r="K169" i="20"/>
  <c r="AC169" i="20" s="1"/>
  <c r="J169" i="20"/>
  <c r="I169" i="20"/>
  <c r="H169" i="20"/>
  <c r="BG168" i="20"/>
  <c r="AZ168" i="20"/>
  <c r="AX168" i="20"/>
  <c r="BE168" i="20" s="1"/>
  <c r="BF168" i="20" s="1"/>
  <c r="AV168" i="20"/>
  <c r="AN168" i="20"/>
  <c r="AM168" i="20"/>
  <c r="AK168" i="20"/>
  <c r="AJ168" i="20"/>
  <c r="AF168" i="20"/>
  <c r="AE168" i="20"/>
  <c r="AD168" i="20"/>
  <c r="AB168" i="20"/>
  <c r="U168" i="20"/>
  <c r="M168" i="20"/>
  <c r="L168" i="20"/>
  <c r="S168" i="20" s="1"/>
  <c r="K168" i="20"/>
  <c r="AC168" i="20" s="1"/>
  <c r="J168" i="20"/>
  <c r="I168" i="20"/>
  <c r="H168" i="20"/>
  <c r="BG167" i="20"/>
  <c r="AZ167" i="20"/>
  <c r="AX167" i="20"/>
  <c r="BE167" i="20" s="1"/>
  <c r="BF167" i="20" s="1"/>
  <c r="AV167" i="20"/>
  <c r="AN167" i="20"/>
  <c r="AM167" i="20"/>
  <c r="AK167" i="20"/>
  <c r="AJ167" i="20"/>
  <c r="AF167" i="20"/>
  <c r="AE167" i="20"/>
  <c r="AD167" i="20"/>
  <c r="AB167" i="20"/>
  <c r="U167" i="20"/>
  <c r="M167" i="20"/>
  <c r="L167" i="20"/>
  <c r="S167" i="20" s="1"/>
  <c r="K167" i="20"/>
  <c r="AC167" i="20" s="1"/>
  <c r="J167" i="20"/>
  <c r="I167" i="20"/>
  <c r="H167" i="20"/>
  <c r="BG166" i="20"/>
  <c r="AZ166" i="20"/>
  <c r="AX166" i="20"/>
  <c r="BE166" i="20" s="1"/>
  <c r="BF166" i="20" s="1"/>
  <c r="AV166" i="20"/>
  <c r="AN166" i="20"/>
  <c r="AM166" i="20"/>
  <c r="AK166" i="20"/>
  <c r="AJ166" i="20"/>
  <c r="AF166" i="20"/>
  <c r="AE166" i="20"/>
  <c r="AD166" i="20"/>
  <c r="AB166" i="20"/>
  <c r="U166" i="20"/>
  <c r="M166" i="20"/>
  <c r="L166" i="20"/>
  <c r="Q166" i="20" s="1"/>
  <c r="K166" i="20"/>
  <c r="AC166" i="20" s="1"/>
  <c r="J166" i="20"/>
  <c r="I166" i="20"/>
  <c r="H166" i="20"/>
  <c r="BG165" i="20"/>
  <c r="AZ165" i="20"/>
  <c r="AX165" i="20"/>
  <c r="BE165" i="20" s="1"/>
  <c r="BF165" i="20" s="1"/>
  <c r="AV165" i="20"/>
  <c r="AF165" i="20"/>
  <c r="AE165" i="20"/>
  <c r="AD165" i="20"/>
  <c r="AB165" i="20"/>
  <c r="U165" i="20"/>
  <c r="M165" i="20"/>
  <c r="L165" i="20"/>
  <c r="S165" i="20" s="1"/>
  <c r="K165" i="20"/>
  <c r="AC165" i="20" s="1"/>
  <c r="J165" i="20"/>
  <c r="I165" i="20"/>
  <c r="H165" i="20"/>
  <c r="BG164" i="20"/>
  <c r="AZ164" i="20"/>
  <c r="AX164" i="20"/>
  <c r="BE164" i="20" s="1"/>
  <c r="BF164" i="20" s="1"/>
  <c r="AV164" i="20"/>
  <c r="AN164" i="20"/>
  <c r="AM164" i="20"/>
  <c r="AK164" i="20"/>
  <c r="AJ164" i="20"/>
  <c r="AF164" i="20"/>
  <c r="AE164" i="20"/>
  <c r="AD164" i="20"/>
  <c r="AB164" i="20"/>
  <c r="U164" i="20"/>
  <c r="M164" i="20"/>
  <c r="L164" i="20"/>
  <c r="S164" i="20" s="1"/>
  <c r="K164" i="20"/>
  <c r="AC164" i="20" s="1"/>
  <c r="J164" i="20"/>
  <c r="I164" i="20"/>
  <c r="H164" i="20"/>
  <c r="BG163" i="20"/>
  <c r="AZ163" i="20"/>
  <c r="AX163" i="20"/>
  <c r="BE163" i="20" s="1"/>
  <c r="BF163" i="20" s="1"/>
  <c r="AV163" i="20"/>
  <c r="AN163" i="20"/>
  <c r="AM163" i="20"/>
  <c r="AK163" i="20"/>
  <c r="AJ163" i="20"/>
  <c r="AF163" i="20"/>
  <c r="AE163" i="20"/>
  <c r="AD163" i="20"/>
  <c r="AB163" i="20"/>
  <c r="U163" i="20"/>
  <c r="M163" i="20"/>
  <c r="L163" i="20"/>
  <c r="Q163" i="20" s="1"/>
  <c r="K163" i="20"/>
  <c r="AC163" i="20" s="1"/>
  <c r="J163" i="20"/>
  <c r="I163" i="20"/>
  <c r="H163" i="20"/>
  <c r="BG162" i="20"/>
  <c r="AZ162" i="20"/>
  <c r="AX162" i="20"/>
  <c r="BE162" i="20" s="1"/>
  <c r="BF162" i="20" s="1"/>
  <c r="AV162" i="20"/>
  <c r="AN162" i="20"/>
  <c r="AM162" i="20"/>
  <c r="AK162" i="20"/>
  <c r="AJ162" i="20"/>
  <c r="AF162" i="20"/>
  <c r="AE162" i="20"/>
  <c r="AD162" i="20"/>
  <c r="AB162" i="20"/>
  <c r="U162" i="20"/>
  <c r="M162" i="20"/>
  <c r="L162" i="20"/>
  <c r="K162" i="20"/>
  <c r="AC162" i="20" s="1"/>
  <c r="J162" i="20"/>
  <c r="I162" i="20"/>
  <c r="H162" i="20"/>
  <c r="BG161" i="20"/>
  <c r="AZ161" i="20"/>
  <c r="AX161" i="20"/>
  <c r="BE161" i="20" s="1"/>
  <c r="BF161" i="20" s="1"/>
  <c r="AV161" i="20"/>
  <c r="AF161" i="20"/>
  <c r="AE161" i="20"/>
  <c r="AD161" i="20"/>
  <c r="AB161" i="20"/>
  <c r="U161" i="20"/>
  <c r="M161" i="20"/>
  <c r="L161" i="20"/>
  <c r="S161" i="20" s="1"/>
  <c r="K161" i="20"/>
  <c r="AC161" i="20" s="1"/>
  <c r="J161" i="20"/>
  <c r="I161" i="20"/>
  <c r="H161" i="20"/>
  <c r="BG160" i="20"/>
  <c r="AZ160" i="20"/>
  <c r="AX160" i="20"/>
  <c r="BE160" i="20" s="1"/>
  <c r="BF160" i="20" s="1"/>
  <c r="AV160" i="20"/>
  <c r="AF160" i="20"/>
  <c r="AE160" i="20"/>
  <c r="AD160" i="20"/>
  <c r="AB160" i="20"/>
  <c r="U160" i="20"/>
  <c r="S160" i="20"/>
  <c r="M160" i="20"/>
  <c r="L160" i="20"/>
  <c r="Q160" i="20" s="1"/>
  <c r="K160" i="20"/>
  <c r="AC160" i="20" s="1"/>
  <c r="J160" i="20"/>
  <c r="I160" i="20"/>
  <c r="H160" i="20"/>
  <c r="BG159" i="20"/>
  <c r="BE159" i="20"/>
  <c r="BF159" i="20" s="1"/>
  <c r="AV159" i="20"/>
  <c r="AF159" i="20"/>
  <c r="AE159" i="20"/>
  <c r="AD159" i="20"/>
  <c r="AB159" i="20"/>
  <c r="U159" i="20"/>
  <c r="M159" i="20"/>
  <c r="L159" i="20"/>
  <c r="S159" i="20" s="1"/>
  <c r="K159" i="20"/>
  <c r="AC159" i="20" s="1"/>
  <c r="J159" i="20"/>
  <c r="I159" i="20"/>
  <c r="H159" i="20"/>
  <c r="BG158" i="20"/>
  <c r="BE158" i="20"/>
  <c r="BF158" i="20" s="1"/>
  <c r="AV158" i="20"/>
  <c r="AF158" i="20"/>
  <c r="AE158" i="20"/>
  <c r="AD158" i="20"/>
  <c r="AB158" i="20"/>
  <c r="U158" i="20"/>
  <c r="M158" i="20"/>
  <c r="L158" i="20"/>
  <c r="S158" i="20" s="1"/>
  <c r="K158" i="20"/>
  <c r="AC158" i="20" s="1"/>
  <c r="J158" i="20"/>
  <c r="I158" i="20"/>
  <c r="H158" i="20"/>
  <c r="BG157" i="20"/>
  <c r="BE157" i="20"/>
  <c r="BF157" i="20" s="1"/>
  <c r="AV157" i="20"/>
  <c r="AF157" i="20"/>
  <c r="AE157" i="20"/>
  <c r="AD157" i="20"/>
  <c r="AB157" i="20"/>
  <c r="U157" i="20"/>
  <c r="M157" i="20"/>
  <c r="L157" i="20"/>
  <c r="Q157" i="20" s="1"/>
  <c r="K157" i="20"/>
  <c r="AC157" i="20" s="1"/>
  <c r="J157" i="20"/>
  <c r="I157" i="20"/>
  <c r="H157" i="20"/>
  <c r="BG156" i="20"/>
  <c r="BE156" i="20"/>
  <c r="BF156" i="20" s="1"/>
  <c r="AV156" i="20"/>
  <c r="AF156" i="20"/>
  <c r="AE156" i="20"/>
  <c r="AD156" i="20"/>
  <c r="AB156" i="20"/>
  <c r="U156" i="20"/>
  <c r="M156" i="20"/>
  <c r="L156" i="20"/>
  <c r="S156" i="20" s="1"/>
  <c r="K156" i="20"/>
  <c r="AC156" i="20" s="1"/>
  <c r="J156" i="20"/>
  <c r="I156" i="20"/>
  <c r="H156" i="20"/>
  <c r="BG155" i="20"/>
  <c r="BE155" i="20"/>
  <c r="BF155" i="20" s="1"/>
  <c r="AV155" i="20"/>
  <c r="AF155" i="20"/>
  <c r="AE155" i="20"/>
  <c r="AD155" i="20"/>
  <c r="AB155" i="20"/>
  <c r="U155" i="20"/>
  <c r="Q155" i="20"/>
  <c r="V155" i="20" s="1"/>
  <c r="M155" i="20"/>
  <c r="L155" i="20"/>
  <c r="S155" i="20" s="1"/>
  <c r="K155" i="20"/>
  <c r="AC155" i="20" s="1"/>
  <c r="J155" i="20"/>
  <c r="I155" i="20"/>
  <c r="H155" i="20"/>
  <c r="BG154" i="20"/>
  <c r="BF154" i="20"/>
  <c r="BE154" i="20"/>
  <c r="AV154" i="20"/>
  <c r="AF154" i="20"/>
  <c r="AE154" i="20"/>
  <c r="AD154" i="20"/>
  <c r="AB154" i="20"/>
  <c r="U154" i="20"/>
  <c r="M154" i="20"/>
  <c r="L154" i="20"/>
  <c r="Q154" i="20" s="1"/>
  <c r="K154" i="20"/>
  <c r="AC154" i="20" s="1"/>
  <c r="J154" i="20"/>
  <c r="I154" i="20"/>
  <c r="H154" i="20"/>
  <c r="BG153" i="20"/>
  <c r="BE153" i="20"/>
  <c r="BF153" i="20" s="1"/>
  <c r="AV153" i="20"/>
  <c r="AF153" i="20"/>
  <c r="AE153" i="20"/>
  <c r="AD153" i="20"/>
  <c r="AB153" i="20"/>
  <c r="U153" i="20"/>
  <c r="M153" i="20"/>
  <c r="L153" i="20"/>
  <c r="S153" i="20" s="1"/>
  <c r="K153" i="20"/>
  <c r="AC153" i="20" s="1"/>
  <c r="J153" i="20"/>
  <c r="I153" i="20"/>
  <c r="H153" i="20"/>
  <c r="BG152" i="20"/>
  <c r="BE152" i="20"/>
  <c r="BF152" i="20" s="1"/>
  <c r="AV152" i="20"/>
  <c r="AF152" i="20"/>
  <c r="AE152" i="20"/>
  <c r="AD152" i="20"/>
  <c r="AB152" i="20"/>
  <c r="U152" i="20"/>
  <c r="M152" i="20"/>
  <c r="L152" i="20"/>
  <c r="Q152" i="20" s="1"/>
  <c r="K152" i="20"/>
  <c r="AC152" i="20" s="1"/>
  <c r="J152" i="20"/>
  <c r="I152" i="20"/>
  <c r="H152" i="20"/>
  <c r="BG151" i="20"/>
  <c r="BE151" i="20"/>
  <c r="BF151" i="20" s="1"/>
  <c r="AV151" i="20"/>
  <c r="AF151" i="20"/>
  <c r="AE151" i="20"/>
  <c r="AD151" i="20"/>
  <c r="AB151" i="20"/>
  <c r="U151" i="20"/>
  <c r="M151" i="20"/>
  <c r="L151" i="20"/>
  <c r="S151" i="20" s="1"/>
  <c r="K151" i="20"/>
  <c r="AC151" i="20" s="1"/>
  <c r="J151" i="20"/>
  <c r="I151" i="20"/>
  <c r="H151" i="20"/>
  <c r="BG150" i="20"/>
  <c r="BE150" i="20"/>
  <c r="BF150" i="20" s="1"/>
  <c r="AV150" i="20"/>
  <c r="AF150" i="20"/>
  <c r="AE150" i="20"/>
  <c r="AD150" i="20"/>
  <c r="AB150" i="20"/>
  <c r="U150" i="20"/>
  <c r="M150" i="20"/>
  <c r="L150" i="20"/>
  <c r="S150" i="20" s="1"/>
  <c r="K150" i="20"/>
  <c r="AC150" i="20" s="1"/>
  <c r="J150" i="20"/>
  <c r="I150" i="20"/>
  <c r="H150" i="20"/>
  <c r="BM149" i="20"/>
  <c r="BI149" i="20"/>
  <c r="AZ149" i="20"/>
  <c r="AX149" i="20"/>
  <c r="AV149" i="20"/>
  <c r="AL149" i="20"/>
  <c r="AM149" i="20" s="1"/>
  <c r="AI149" i="20"/>
  <c r="AK149" i="20" s="1"/>
  <c r="AF149" i="20"/>
  <c r="AE149" i="20"/>
  <c r="AD149" i="20"/>
  <c r="AB149" i="20"/>
  <c r="U149" i="20"/>
  <c r="M149" i="20"/>
  <c r="L149" i="20"/>
  <c r="S149" i="20" s="1"/>
  <c r="K149" i="20"/>
  <c r="BB149" i="20" s="1"/>
  <c r="J149" i="20"/>
  <c r="I149" i="20"/>
  <c r="H149" i="20"/>
  <c r="BM148" i="20"/>
  <c r="BI148" i="20"/>
  <c r="AZ148" i="20"/>
  <c r="AX148" i="20"/>
  <c r="AV148" i="20"/>
  <c r="AL148" i="20"/>
  <c r="AN148" i="20" s="1"/>
  <c r="AI148" i="20"/>
  <c r="AF148" i="20"/>
  <c r="AE148" i="20"/>
  <c r="AD148" i="20"/>
  <c r="AB148" i="20"/>
  <c r="U148" i="20"/>
  <c r="M148" i="20"/>
  <c r="L148" i="20"/>
  <c r="S148" i="20" s="1"/>
  <c r="K148" i="20"/>
  <c r="BC148" i="20" s="1"/>
  <c r="J148" i="20"/>
  <c r="I148" i="20"/>
  <c r="H148" i="20"/>
  <c r="BM147" i="20"/>
  <c r="BI147" i="20"/>
  <c r="AZ147" i="20"/>
  <c r="AX147" i="20"/>
  <c r="AV147" i="20"/>
  <c r="AL147" i="20"/>
  <c r="AN147" i="20" s="1"/>
  <c r="AJ147" i="20"/>
  <c r="AI147" i="20"/>
  <c r="AK147" i="20" s="1"/>
  <c r="AF147" i="20"/>
  <c r="AE147" i="20"/>
  <c r="AD147" i="20"/>
  <c r="AB147" i="20"/>
  <c r="U147" i="20"/>
  <c r="M147" i="20"/>
  <c r="L147" i="20"/>
  <c r="S147" i="20" s="1"/>
  <c r="K147" i="20"/>
  <c r="AC147" i="20" s="1"/>
  <c r="J147" i="20"/>
  <c r="I147" i="20"/>
  <c r="H147" i="20"/>
  <c r="BM146" i="20"/>
  <c r="BI146" i="20"/>
  <c r="AZ146" i="20"/>
  <c r="AX146" i="20"/>
  <c r="AV146" i="20"/>
  <c r="AL146" i="20"/>
  <c r="AM146" i="20" s="1"/>
  <c r="AI146" i="20"/>
  <c r="AJ146" i="20" s="1"/>
  <c r="AF146" i="20"/>
  <c r="AE146" i="20"/>
  <c r="AD146" i="20"/>
  <c r="AB146" i="20"/>
  <c r="U146" i="20"/>
  <c r="M146" i="20"/>
  <c r="L146" i="20"/>
  <c r="Q146" i="20" s="1"/>
  <c r="K146" i="20"/>
  <c r="AC146" i="20" s="1"/>
  <c r="J146" i="20"/>
  <c r="I146" i="20"/>
  <c r="H146" i="20"/>
  <c r="BM145" i="20"/>
  <c r="BI145" i="20"/>
  <c r="AZ145" i="20"/>
  <c r="AX145" i="20"/>
  <c r="AV145" i="20"/>
  <c r="AL145" i="20"/>
  <c r="AI145" i="20"/>
  <c r="AK145" i="20" s="1"/>
  <c r="AF145" i="20"/>
  <c r="AE145" i="20"/>
  <c r="AD145" i="20"/>
  <c r="AB145" i="20"/>
  <c r="U145" i="20"/>
  <c r="M145" i="20"/>
  <c r="L145" i="20"/>
  <c r="Q145" i="20" s="1"/>
  <c r="K145" i="20"/>
  <c r="BC145" i="20" s="1"/>
  <c r="J145" i="20"/>
  <c r="I145" i="20"/>
  <c r="H145" i="20"/>
  <c r="BM144" i="20"/>
  <c r="BI144" i="20"/>
  <c r="AZ144" i="20"/>
  <c r="AX144" i="20"/>
  <c r="AV144" i="20"/>
  <c r="AL144" i="20"/>
  <c r="AM144" i="20" s="1"/>
  <c r="AK144" i="20"/>
  <c r="AI144" i="20"/>
  <c r="AJ144" i="20" s="1"/>
  <c r="AF144" i="20"/>
  <c r="AE144" i="20"/>
  <c r="AD144" i="20"/>
  <c r="AB144" i="20"/>
  <c r="U144" i="20"/>
  <c r="M144" i="20"/>
  <c r="L144" i="20"/>
  <c r="Q144" i="20" s="1"/>
  <c r="K144" i="20"/>
  <c r="BB144" i="20" s="1"/>
  <c r="J144" i="20"/>
  <c r="I144" i="20"/>
  <c r="H144" i="20"/>
  <c r="BG143" i="20"/>
  <c r="AZ143" i="20"/>
  <c r="AX143" i="20"/>
  <c r="BE143" i="20" s="1"/>
  <c r="BF143" i="20" s="1"/>
  <c r="AV143" i="20"/>
  <c r="AF143" i="20"/>
  <c r="AE143" i="20"/>
  <c r="AD143" i="20"/>
  <c r="AB143" i="20"/>
  <c r="U143" i="20"/>
  <c r="M143" i="20"/>
  <c r="L143" i="20"/>
  <c r="Q143" i="20" s="1"/>
  <c r="K143" i="20"/>
  <c r="J143" i="20"/>
  <c r="I143" i="20"/>
  <c r="H143" i="20"/>
  <c r="BG142" i="20"/>
  <c r="AZ142" i="20"/>
  <c r="AX142" i="20"/>
  <c r="BE142" i="20" s="1"/>
  <c r="BF142" i="20" s="1"/>
  <c r="AV142" i="20"/>
  <c r="AN142" i="20"/>
  <c r="AM142" i="20"/>
  <c r="AK142" i="20"/>
  <c r="AJ142" i="20"/>
  <c r="AF142" i="20"/>
  <c r="AE142" i="20"/>
  <c r="AD142" i="20"/>
  <c r="AB142" i="20"/>
  <c r="U142" i="20"/>
  <c r="M142" i="20"/>
  <c r="L142" i="20"/>
  <c r="S142" i="20" s="1"/>
  <c r="K142" i="20"/>
  <c r="J142" i="20"/>
  <c r="I142" i="20"/>
  <c r="H142" i="20"/>
  <c r="BG141" i="20"/>
  <c r="AZ141" i="20"/>
  <c r="AX141" i="20"/>
  <c r="BE141" i="20" s="1"/>
  <c r="BF141" i="20" s="1"/>
  <c r="AV141" i="20"/>
  <c r="AN141" i="20"/>
  <c r="AM141" i="20"/>
  <c r="AK141" i="20"/>
  <c r="AJ141" i="20"/>
  <c r="AF141" i="20"/>
  <c r="AE141" i="20"/>
  <c r="AD141" i="20"/>
  <c r="AB141" i="20"/>
  <c r="U141" i="20"/>
  <c r="M141" i="20"/>
  <c r="L141" i="20"/>
  <c r="S141" i="20" s="1"/>
  <c r="K141" i="20"/>
  <c r="AC141" i="20" s="1"/>
  <c r="J141" i="20"/>
  <c r="I141" i="20"/>
  <c r="H141" i="20"/>
  <c r="BE140" i="20"/>
  <c r="BF140" i="20" s="1"/>
  <c r="BD140" i="20"/>
  <c r="BG140" i="20" s="1"/>
  <c r="AZ140" i="20"/>
  <c r="AX140" i="20"/>
  <c r="AV140" i="20"/>
  <c r="AL140" i="20"/>
  <c r="AN140" i="20" s="1"/>
  <c r="AI140" i="20"/>
  <c r="AK140" i="20" s="1"/>
  <c r="AF140" i="20"/>
  <c r="AE140" i="20"/>
  <c r="AD140" i="20"/>
  <c r="AB140" i="20"/>
  <c r="U140" i="20"/>
  <c r="M140" i="20"/>
  <c r="L140" i="20"/>
  <c r="S140" i="20" s="1"/>
  <c r="K140" i="20"/>
  <c r="AC140" i="20" s="1"/>
  <c r="J140" i="20"/>
  <c r="I140" i="20"/>
  <c r="H140" i="20"/>
  <c r="BG139" i="20"/>
  <c r="AZ139" i="20"/>
  <c r="AX139" i="20"/>
  <c r="BE139" i="20" s="1"/>
  <c r="BF139" i="20" s="1"/>
  <c r="AV139" i="20"/>
  <c r="AN139" i="20"/>
  <c r="AM139" i="20"/>
  <c r="AK139" i="20"/>
  <c r="AJ139" i="20"/>
  <c r="AF139" i="20"/>
  <c r="AE139" i="20"/>
  <c r="AD139" i="20"/>
  <c r="AB139" i="20"/>
  <c r="U139" i="20"/>
  <c r="M139" i="20"/>
  <c r="L139" i="20"/>
  <c r="Q139" i="20" s="1"/>
  <c r="K139" i="20"/>
  <c r="AC139" i="20" s="1"/>
  <c r="J139" i="20"/>
  <c r="I139" i="20"/>
  <c r="H139" i="20"/>
  <c r="BG138" i="20"/>
  <c r="BF138" i="20"/>
  <c r="AZ138" i="20"/>
  <c r="AX138" i="20"/>
  <c r="BE138" i="20" s="1"/>
  <c r="AV138" i="20"/>
  <c r="AN138" i="20"/>
  <c r="AM138" i="20"/>
  <c r="AK138" i="20"/>
  <c r="AJ138" i="20"/>
  <c r="AF138" i="20"/>
  <c r="AE138" i="20"/>
  <c r="AD138" i="20"/>
  <c r="AB138" i="20"/>
  <c r="U138" i="20"/>
  <c r="M138" i="20"/>
  <c r="L138" i="20"/>
  <c r="K138" i="20"/>
  <c r="AC138" i="20" s="1"/>
  <c r="J138" i="20"/>
  <c r="I138" i="20"/>
  <c r="H138" i="20"/>
  <c r="BG137" i="20"/>
  <c r="AZ137" i="20"/>
  <c r="AX137" i="20"/>
  <c r="BE137" i="20" s="1"/>
  <c r="BF137" i="20" s="1"/>
  <c r="AV137" i="20"/>
  <c r="AN137" i="20"/>
  <c r="AM137" i="20"/>
  <c r="AK137" i="20"/>
  <c r="AJ137" i="20"/>
  <c r="AF137" i="20"/>
  <c r="AE137" i="20"/>
  <c r="AD137" i="20"/>
  <c r="AB137" i="20"/>
  <c r="U137" i="20"/>
  <c r="M137" i="20"/>
  <c r="L137" i="20"/>
  <c r="S137" i="20" s="1"/>
  <c r="K137" i="20"/>
  <c r="AC137" i="20" s="1"/>
  <c r="J137" i="20"/>
  <c r="I137" i="20"/>
  <c r="H137" i="20"/>
  <c r="BG136" i="20"/>
  <c r="AZ136" i="20"/>
  <c r="AX136" i="20"/>
  <c r="BE136" i="20" s="1"/>
  <c r="BF136" i="20" s="1"/>
  <c r="AV136" i="20"/>
  <c r="AF136" i="20"/>
  <c r="AE136" i="20"/>
  <c r="AD136" i="20"/>
  <c r="AB136" i="20"/>
  <c r="U136" i="20"/>
  <c r="M136" i="20"/>
  <c r="L136" i="20"/>
  <c r="S136" i="20" s="1"/>
  <c r="K136" i="20"/>
  <c r="AC136" i="20" s="1"/>
  <c r="J136" i="20"/>
  <c r="I136" i="20"/>
  <c r="H136" i="20"/>
  <c r="BG135" i="20"/>
  <c r="AZ135" i="20"/>
  <c r="AX135" i="20"/>
  <c r="BE135" i="20" s="1"/>
  <c r="BF135" i="20" s="1"/>
  <c r="AV135" i="20"/>
  <c r="AF135" i="20"/>
  <c r="AE135" i="20"/>
  <c r="AD135" i="20"/>
  <c r="AB135" i="20"/>
  <c r="U135" i="20"/>
  <c r="M135" i="20"/>
  <c r="L135" i="20"/>
  <c r="S135" i="20" s="1"/>
  <c r="K135" i="20"/>
  <c r="J135" i="20"/>
  <c r="I135" i="20"/>
  <c r="H135" i="20"/>
  <c r="BG134" i="20"/>
  <c r="AZ134" i="20"/>
  <c r="AX134" i="20"/>
  <c r="BE134" i="20" s="1"/>
  <c r="BF134" i="20" s="1"/>
  <c r="AV134" i="20"/>
  <c r="AF134" i="20"/>
  <c r="AE134" i="20"/>
  <c r="AD134" i="20"/>
  <c r="AB134" i="20"/>
  <c r="U134" i="20"/>
  <c r="M134" i="20"/>
  <c r="L134" i="20"/>
  <c r="S134" i="20" s="1"/>
  <c r="K134" i="20"/>
  <c r="AC134" i="20" s="1"/>
  <c r="J134" i="20"/>
  <c r="I134" i="20"/>
  <c r="H134" i="20"/>
  <c r="BG133" i="20"/>
  <c r="AZ133" i="20"/>
  <c r="AX133" i="20"/>
  <c r="BE133" i="20" s="1"/>
  <c r="BF133" i="20" s="1"/>
  <c r="AV133" i="20"/>
  <c r="AF133" i="20"/>
  <c r="AE133" i="20"/>
  <c r="AD133" i="20"/>
  <c r="AB133" i="20"/>
  <c r="U133" i="20"/>
  <c r="M133" i="20"/>
  <c r="L133" i="20"/>
  <c r="Q133" i="20" s="1"/>
  <c r="V133" i="20" s="1"/>
  <c r="K133" i="20"/>
  <c r="AC133" i="20" s="1"/>
  <c r="J133" i="20"/>
  <c r="I133" i="20"/>
  <c r="H133" i="20"/>
  <c r="BG132" i="20"/>
  <c r="AZ132" i="20"/>
  <c r="AX132" i="20"/>
  <c r="BE132" i="20" s="1"/>
  <c r="BF132" i="20" s="1"/>
  <c r="AV132" i="20"/>
  <c r="AF132" i="20"/>
  <c r="AE132" i="20"/>
  <c r="AD132" i="20"/>
  <c r="AB132" i="20"/>
  <c r="U132" i="20"/>
  <c r="M132" i="20"/>
  <c r="L132" i="20"/>
  <c r="S132" i="20" s="1"/>
  <c r="K132" i="20"/>
  <c r="AC132" i="20" s="1"/>
  <c r="J132" i="20"/>
  <c r="I132" i="20"/>
  <c r="H132" i="20"/>
  <c r="BG131" i="20"/>
  <c r="AZ131" i="20"/>
  <c r="AX131" i="20"/>
  <c r="BE131" i="20" s="1"/>
  <c r="BF131" i="20" s="1"/>
  <c r="AV131" i="20"/>
  <c r="AF131" i="20"/>
  <c r="AE131" i="20"/>
  <c r="AD131" i="20"/>
  <c r="AB131" i="20"/>
  <c r="U131" i="20"/>
  <c r="M131" i="20"/>
  <c r="L131" i="20"/>
  <c r="S131" i="20" s="1"/>
  <c r="K131" i="20"/>
  <c r="AC131" i="20" s="1"/>
  <c r="J131" i="20"/>
  <c r="I131" i="20"/>
  <c r="H131" i="20"/>
  <c r="BG130" i="20"/>
  <c r="AZ130" i="20"/>
  <c r="AX130" i="20"/>
  <c r="BE130" i="20" s="1"/>
  <c r="BF130" i="20" s="1"/>
  <c r="AV130" i="20"/>
  <c r="AF130" i="20"/>
  <c r="AE130" i="20"/>
  <c r="AD130" i="20"/>
  <c r="AB130" i="20"/>
  <c r="U130" i="20"/>
  <c r="M130" i="20"/>
  <c r="L130" i="20"/>
  <c r="Q130" i="20" s="1"/>
  <c r="K130" i="20"/>
  <c r="AC130" i="20" s="1"/>
  <c r="J130" i="20"/>
  <c r="I130" i="20"/>
  <c r="H130" i="20"/>
  <c r="BG129" i="20"/>
  <c r="AZ129" i="20"/>
  <c r="AX129" i="20"/>
  <c r="BE129" i="20" s="1"/>
  <c r="BF129" i="20" s="1"/>
  <c r="AV129" i="20"/>
  <c r="AF129" i="20"/>
  <c r="AE129" i="20"/>
  <c r="AD129" i="20"/>
  <c r="AB129" i="20"/>
  <c r="U129" i="20"/>
  <c r="M129" i="20"/>
  <c r="L129" i="20"/>
  <c r="S129" i="20" s="1"/>
  <c r="K129" i="20"/>
  <c r="J129" i="20"/>
  <c r="I129" i="20"/>
  <c r="H129" i="20"/>
  <c r="BG128" i="20"/>
  <c r="AZ128" i="20"/>
  <c r="AX128" i="20"/>
  <c r="BE128" i="20" s="1"/>
  <c r="BF128" i="20" s="1"/>
  <c r="AV128" i="20"/>
  <c r="AF128" i="20"/>
  <c r="AE128" i="20"/>
  <c r="AD128" i="20"/>
  <c r="AB128" i="20"/>
  <c r="U128" i="20"/>
  <c r="M128" i="20"/>
  <c r="L128" i="20"/>
  <c r="K128" i="20"/>
  <c r="AC128" i="20" s="1"/>
  <c r="J128" i="20"/>
  <c r="I128" i="20"/>
  <c r="H128" i="20"/>
  <c r="BG127" i="20"/>
  <c r="AZ127" i="20"/>
  <c r="AX127" i="20"/>
  <c r="BE127" i="20" s="1"/>
  <c r="BF127" i="20" s="1"/>
  <c r="AV127" i="20"/>
  <c r="AF127" i="20"/>
  <c r="AE127" i="20"/>
  <c r="AD127" i="20"/>
  <c r="AB127" i="20"/>
  <c r="U127" i="20"/>
  <c r="S127" i="20"/>
  <c r="M127" i="20"/>
  <c r="L127" i="20"/>
  <c r="Q127" i="20" s="1"/>
  <c r="V127" i="20" s="1"/>
  <c r="K127" i="20"/>
  <c r="AC127" i="20" s="1"/>
  <c r="J127" i="20"/>
  <c r="I127" i="20"/>
  <c r="H127" i="20"/>
  <c r="BG126" i="20"/>
  <c r="AZ126" i="20"/>
  <c r="AX126" i="20"/>
  <c r="BE126" i="20" s="1"/>
  <c r="BF126" i="20" s="1"/>
  <c r="AV126" i="20"/>
  <c r="AF126" i="20"/>
  <c r="AE126" i="20"/>
  <c r="AD126" i="20"/>
  <c r="AB126" i="20"/>
  <c r="U126" i="20"/>
  <c r="M126" i="20"/>
  <c r="L126" i="20"/>
  <c r="S126" i="20" s="1"/>
  <c r="K126" i="20"/>
  <c r="AC126" i="20" s="1"/>
  <c r="J126" i="20"/>
  <c r="I126" i="20"/>
  <c r="H126" i="20"/>
  <c r="BG125" i="20"/>
  <c r="AZ125" i="20"/>
  <c r="AX125" i="20"/>
  <c r="BE125" i="20" s="1"/>
  <c r="BF125" i="20" s="1"/>
  <c r="AV125" i="20"/>
  <c r="AF125" i="20"/>
  <c r="AE125" i="20"/>
  <c r="AD125" i="20"/>
  <c r="AB125" i="20"/>
  <c r="U125" i="20"/>
  <c r="M125" i="20"/>
  <c r="L125" i="20"/>
  <c r="Q125" i="20" s="1"/>
  <c r="K125" i="20"/>
  <c r="AC125" i="20" s="1"/>
  <c r="J125" i="20"/>
  <c r="I125" i="20"/>
  <c r="H125" i="20"/>
  <c r="AZ124" i="20"/>
  <c r="AX124" i="20"/>
  <c r="BD124" i="20" s="1"/>
  <c r="BE124" i="20" s="1"/>
  <c r="BF124" i="20" s="1"/>
  <c r="AV124" i="20"/>
  <c r="AL124" i="20"/>
  <c r="AN124" i="20" s="1"/>
  <c r="AI124" i="20"/>
  <c r="AK124" i="20" s="1"/>
  <c r="AF124" i="20"/>
  <c r="AE124" i="20"/>
  <c r="AD124" i="20"/>
  <c r="AB124" i="20"/>
  <c r="U124" i="20"/>
  <c r="M124" i="20"/>
  <c r="L124" i="20"/>
  <c r="S124" i="20" s="1"/>
  <c r="K124" i="20"/>
  <c r="AC124" i="20" s="1"/>
  <c r="J124" i="20"/>
  <c r="I124" i="20"/>
  <c r="H124" i="20"/>
  <c r="BG123" i="20"/>
  <c r="AZ123" i="20"/>
  <c r="AX123" i="20"/>
  <c r="BE123" i="20" s="1"/>
  <c r="BF123" i="20" s="1"/>
  <c r="AV123" i="20"/>
  <c r="AN123" i="20"/>
  <c r="AM123" i="20"/>
  <c r="AK123" i="20"/>
  <c r="AJ123" i="20"/>
  <c r="AF123" i="20"/>
  <c r="AE123" i="20"/>
  <c r="AD123" i="20"/>
  <c r="AB123" i="20"/>
  <c r="U123" i="20"/>
  <c r="M123" i="20"/>
  <c r="L123" i="20"/>
  <c r="Q123" i="20" s="1"/>
  <c r="V123" i="20" s="1"/>
  <c r="K123" i="20"/>
  <c r="AC123" i="20" s="1"/>
  <c r="J123" i="20"/>
  <c r="I123" i="20"/>
  <c r="H123" i="20"/>
  <c r="BG122" i="20"/>
  <c r="AZ122" i="20"/>
  <c r="AX122" i="20"/>
  <c r="BE122" i="20" s="1"/>
  <c r="BF122" i="20" s="1"/>
  <c r="AV122" i="20"/>
  <c r="AN122" i="20"/>
  <c r="AM122" i="20"/>
  <c r="AK122" i="20"/>
  <c r="AJ122" i="20"/>
  <c r="AF122" i="20"/>
  <c r="AE122" i="20"/>
  <c r="AD122" i="20"/>
  <c r="AB122" i="20"/>
  <c r="U122" i="20"/>
  <c r="M122" i="20"/>
  <c r="L122" i="20"/>
  <c r="S122" i="20" s="1"/>
  <c r="K122" i="20"/>
  <c r="AC122" i="20" s="1"/>
  <c r="J122" i="20"/>
  <c r="I122" i="20"/>
  <c r="H122" i="20"/>
  <c r="BG121" i="20"/>
  <c r="AZ121" i="20"/>
  <c r="AX121" i="20"/>
  <c r="BE121" i="20" s="1"/>
  <c r="BF121" i="20" s="1"/>
  <c r="AV121" i="20"/>
  <c r="AN121" i="20"/>
  <c r="AM121" i="20"/>
  <c r="AK121" i="20"/>
  <c r="AJ121" i="20"/>
  <c r="AF121" i="20"/>
  <c r="AE121" i="20"/>
  <c r="AD121" i="20"/>
  <c r="AB121" i="20"/>
  <c r="U121" i="20"/>
  <c r="M121" i="20"/>
  <c r="L121" i="20"/>
  <c r="Q121" i="20" s="1"/>
  <c r="V121" i="20" s="1"/>
  <c r="K121" i="20"/>
  <c r="AC121" i="20" s="1"/>
  <c r="J121" i="20"/>
  <c r="I121" i="20"/>
  <c r="H121" i="20"/>
  <c r="BG120" i="20"/>
  <c r="AZ120" i="20"/>
  <c r="AX120" i="20"/>
  <c r="BE120" i="20" s="1"/>
  <c r="BF120" i="20" s="1"/>
  <c r="AV120" i="20"/>
  <c r="AN120" i="20"/>
  <c r="AM120" i="20"/>
  <c r="AK120" i="20"/>
  <c r="AJ120" i="20"/>
  <c r="AF120" i="20"/>
  <c r="AE120" i="20"/>
  <c r="AD120" i="20"/>
  <c r="AB120" i="20"/>
  <c r="U120" i="20"/>
  <c r="M120" i="20"/>
  <c r="L120" i="20"/>
  <c r="S120" i="20" s="1"/>
  <c r="K120" i="20"/>
  <c r="AC120" i="20" s="1"/>
  <c r="J120" i="20"/>
  <c r="I120" i="20"/>
  <c r="H120" i="20"/>
  <c r="BG119" i="20"/>
  <c r="AZ119" i="20"/>
  <c r="AX119" i="20"/>
  <c r="BE119" i="20" s="1"/>
  <c r="BF119" i="20" s="1"/>
  <c r="AV119" i="20"/>
  <c r="AN119" i="20"/>
  <c r="AM119" i="20"/>
  <c r="AK119" i="20"/>
  <c r="AJ119" i="20"/>
  <c r="AF119" i="20"/>
  <c r="AE119" i="20"/>
  <c r="AD119" i="20"/>
  <c r="AB119" i="20"/>
  <c r="U119" i="20"/>
  <c r="M119" i="20"/>
  <c r="L119" i="20"/>
  <c r="S119" i="20" s="1"/>
  <c r="K119" i="20"/>
  <c r="AC119" i="20" s="1"/>
  <c r="J119" i="20"/>
  <c r="I119" i="20"/>
  <c r="H119" i="20"/>
  <c r="BG118" i="20"/>
  <c r="AZ118" i="20"/>
  <c r="AX118" i="20"/>
  <c r="BE118" i="20" s="1"/>
  <c r="BF118" i="20" s="1"/>
  <c r="AV118" i="20"/>
  <c r="AN118" i="20"/>
  <c r="AM118" i="20"/>
  <c r="AK118" i="20"/>
  <c r="AJ118" i="20"/>
  <c r="AF118" i="20"/>
  <c r="AE118" i="20"/>
  <c r="AD118" i="20"/>
  <c r="AB118" i="20"/>
  <c r="U118" i="20"/>
  <c r="M118" i="20"/>
  <c r="L118" i="20"/>
  <c r="S118" i="20" s="1"/>
  <c r="K118" i="20"/>
  <c r="AC118" i="20" s="1"/>
  <c r="J118" i="20"/>
  <c r="I118" i="20"/>
  <c r="H118" i="20"/>
  <c r="BG117" i="20"/>
  <c r="AZ117" i="20"/>
  <c r="AX117" i="20"/>
  <c r="BE117" i="20" s="1"/>
  <c r="BF117" i="20" s="1"/>
  <c r="AV117" i="20"/>
  <c r="AN117" i="20"/>
  <c r="AM117" i="20"/>
  <c r="AK117" i="20"/>
  <c r="AJ117" i="20"/>
  <c r="AF117" i="20"/>
  <c r="AE117" i="20"/>
  <c r="AD117" i="20"/>
  <c r="AB117" i="20"/>
  <c r="U117" i="20"/>
  <c r="M117" i="20"/>
  <c r="L117" i="20"/>
  <c r="K117" i="20"/>
  <c r="AC117" i="20" s="1"/>
  <c r="J117" i="20"/>
  <c r="I117" i="20"/>
  <c r="H117" i="20"/>
  <c r="BG116" i="20"/>
  <c r="BE116" i="20"/>
  <c r="BF116" i="20" s="1"/>
  <c r="AZ116" i="20"/>
  <c r="AX116" i="20"/>
  <c r="AV116" i="20"/>
  <c r="AN116" i="20"/>
  <c r="AM116" i="20"/>
  <c r="AK116" i="20"/>
  <c r="AJ116" i="20"/>
  <c r="AF116" i="20"/>
  <c r="AE116" i="20"/>
  <c r="AD116" i="20"/>
  <c r="AB116" i="20"/>
  <c r="U116" i="20"/>
  <c r="M116" i="20"/>
  <c r="L116" i="20"/>
  <c r="S116" i="20" s="1"/>
  <c r="K116" i="20"/>
  <c r="AC116" i="20" s="1"/>
  <c r="J116" i="20"/>
  <c r="I116" i="20"/>
  <c r="H116" i="20"/>
  <c r="BG115" i="20"/>
  <c r="AZ115" i="20"/>
  <c r="AX115" i="20"/>
  <c r="BE115" i="20" s="1"/>
  <c r="BF115" i="20" s="1"/>
  <c r="AV115" i="20"/>
  <c r="AF115" i="20"/>
  <c r="AE115" i="20"/>
  <c r="AD115" i="20"/>
  <c r="AB115" i="20"/>
  <c r="U115" i="20"/>
  <c r="M115" i="20"/>
  <c r="L115" i="20"/>
  <c r="S115" i="20" s="1"/>
  <c r="K115" i="20"/>
  <c r="AC115" i="20" s="1"/>
  <c r="J115" i="20"/>
  <c r="I115" i="20"/>
  <c r="H115" i="20"/>
  <c r="BG114" i="20"/>
  <c r="AZ114" i="20"/>
  <c r="AX114" i="20"/>
  <c r="BE114" i="20" s="1"/>
  <c r="BF114" i="20" s="1"/>
  <c r="AV114" i="20"/>
  <c r="AN114" i="20"/>
  <c r="AM114" i="20"/>
  <c r="AK114" i="20"/>
  <c r="AJ114" i="20"/>
  <c r="AF114" i="20"/>
  <c r="AE114" i="20"/>
  <c r="AD114" i="20"/>
  <c r="AB114" i="20"/>
  <c r="U114" i="20"/>
  <c r="M114" i="20"/>
  <c r="L114" i="20"/>
  <c r="S114" i="20" s="1"/>
  <c r="K114" i="20"/>
  <c r="J114" i="20"/>
  <c r="I114" i="20"/>
  <c r="H114" i="20"/>
  <c r="BG113" i="20"/>
  <c r="AZ113" i="20"/>
  <c r="AX113" i="20"/>
  <c r="BE113" i="20" s="1"/>
  <c r="BF113" i="20" s="1"/>
  <c r="AV113" i="20"/>
  <c r="AN113" i="20"/>
  <c r="AM113" i="20"/>
  <c r="AK113" i="20"/>
  <c r="AJ113" i="20"/>
  <c r="AF113" i="20"/>
  <c r="AE113" i="20"/>
  <c r="AD113" i="20"/>
  <c r="AB113" i="20"/>
  <c r="U113" i="20"/>
  <c r="M113" i="20"/>
  <c r="L113" i="20"/>
  <c r="S113" i="20" s="1"/>
  <c r="K113" i="20"/>
  <c r="AC113" i="20" s="1"/>
  <c r="J113" i="20"/>
  <c r="I113" i="20"/>
  <c r="H113" i="20"/>
  <c r="BG112" i="20"/>
  <c r="BF112" i="20"/>
  <c r="AZ112" i="20"/>
  <c r="AX112" i="20"/>
  <c r="BE112" i="20" s="1"/>
  <c r="AV112" i="20"/>
  <c r="AF112" i="20"/>
  <c r="AE112" i="20"/>
  <c r="AD112" i="20"/>
  <c r="AB112" i="20"/>
  <c r="U112" i="20"/>
  <c r="M112" i="20"/>
  <c r="L112" i="20"/>
  <c r="K112" i="20"/>
  <c r="J112" i="20"/>
  <c r="I112" i="20"/>
  <c r="H112" i="20"/>
  <c r="BG111" i="20"/>
  <c r="BE111" i="20"/>
  <c r="BF111" i="20" s="1"/>
  <c r="AZ111" i="20"/>
  <c r="AX111" i="20"/>
  <c r="AV111" i="20"/>
  <c r="AF111" i="20"/>
  <c r="AE111" i="20"/>
  <c r="AD111" i="20"/>
  <c r="AB111" i="20"/>
  <c r="U111" i="20"/>
  <c r="M111" i="20"/>
  <c r="L111" i="20"/>
  <c r="S111" i="20" s="1"/>
  <c r="K111" i="20"/>
  <c r="AC111" i="20" s="1"/>
  <c r="J111" i="20"/>
  <c r="I111" i="20"/>
  <c r="H111" i="20"/>
  <c r="BG110" i="20"/>
  <c r="BC110" i="20"/>
  <c r="BB110" i="20"/>
  <c r="AZ110" i="20"/>
  <c r="AX110" i="20"/>
  <c r="BE110" i="20" s="1"/>
  <c r="BF110" i="20" s="1"/>
  <c r="AV110" i="20"/>
  <c r="AF110" i="20"/>
  <c r="AE110" i="20"/>
  <c r="AB110" i="20"/>
  <c r="U110" i="20"/>
  <c r="M110" i="20"/>
  <c r="L110" i="20"/>
  <c r="Q110" i="20" s="1"/>
  <c r="V110" i="20" s="1"/>
  <c r="K110" i="20"/>
  <c r="AC110" i="20" s="1"/>
  <c r="J110" i="20"/>
  <c r="BG109" i="20"/>
  <c r="BC109" i="20"/>
  <c r="BB109" i="20"/>
  <c r="AZ109" i="20"/>
  <c r="AX109" i="20"/>
  <c r="BE109" i="20" s="1"/>
  <c r="BF109" i="20" s="1"/>
  <c r="AV109" i="20"/>
  <c r="AF109" i="20"/>
  <c r="AE109" i="20"/>
  <c r="AB109" i="20"/>
  <c r="U109" i="20"/>
  <c r="M109" i="20"/>
  <c r="L109" i="20"/>
  <c r="Q109" i="20" s="1"/>
  <c r="K109" i="20"/>
  <c r="AC109" i="20" s="1"/>
  <c r="J109" i="20"/>
  <c r="BG108" i="20"/>
  <c r="BC108" i="20"/>
  <c r="BB108" i="20"/>
  <c r="AZ108" i="20"/>
  <c r="AX108" i="20"/>
  <c r="BE108" i="20" s="1"/>
  <c r="BF108" i="20" s="1"/>
  <c r="AV108" i="20"/>
  <c r="AF108" i="20"/>
  <c r="AE108" i="20"/>
  <c r="AB108" i="20"/>
  <c r="U108" i="20"/>
  <c r="S108" i="20"/>
  <c r="M108" i="20"/>
  <c r="L108" i="20"/>
  <c r="Q108" i="20" s="1"/>
  <c r="K108" i="20"/>
  <c r="AC108" i="20" s="1"/>
  <c r="J108" i="20"/>
  <c r="BG107" i="20"/>
  <c r="BC107" i="20"/>
  <c r="BB107" i="20"/>
  <c r="AZ107" i="20"/>
  <c r="AX107" i="20"/>
  <c r="BE107" i="20" s="1"/>
  <c r="BF107" i="20" s="1"/>
  <c r="AV107" i="20"/>
  <c r="AF107" i="20"/>
  <c r="AE107" i="20"/>
  <c r="AC107" i="20"/>
  <c r="AB107" i="20"/>
  <c r="U107" i="20"/>
  <c r="M107" i="20"/>
  <c r="L107" i="20"/>
  <c r="Q107" i="20" s="1"/>
  <c r="V107" i="20" s="1"/>
  <c r="K107" i="20"/>
  <c r="J107" i="20"/>
  <c r="BG106" i="20"/>
  <c r="BC106" i="20"/>
  <c r="BB106" i="20"/>
  <c r="AZ106" i="20"/>
  <c r="AX106" i="20"/>
  <c r="BE106" i="20" s="1"/>
  <c r="BF106" i="20" s="1"/>
  <c r="AV106" i="20"/>
  <c r="AF106" i="20"/>
  <c r="AE106" i="20"/>
  <c r="AC106" i="20"/>
  <c r="AB106" i="20"/>
  <c r="U106" i="20"/>
  <c r="M106" i="20"/>
  <c r="L106" i="20"/>
  <c r="Q106" i="20" s="1"/>
  <c r="K106" i="20"/>
  <c r="J106" i="20"/>
  <c r="BG105" i="20"/>
  <c r="BC105" i="20"/>
  <c r="BB105" i="20"/>
  <c r="AZ105" i="20"/>
  <c r="AX105" i="20"/>
  <c r="BE105" i="20" s="1"/>
  <c r="BF105" i="20" s="1"/>
  <c r="AV105" i="20"/>
  <c r="AF105" i="20"/>
  <c r="AE105" i="20"/>
  <c r="AB105" i="20"/>
  <c r="U105" i="20"/>
  <c r="M105" i="20"/>
  <c r="L105" i="20"/>
  <c r="S105" i="20" s="1"/>
  <c r="K105" i="20"/>
  <c r="J105" i="20"/>
  <c r="BG104" i="20"/>
  <c r="BC104" i="20"/>
  <c r="BB104" i="20"/>
  <c r="AZ104" i="20"/>
  <c r="AX104" i="20"/>
  <c r="BE104" i="20" s="1"/>
  <c r="BF104" i="20" s="1"/>
  <c r="AV104" i="20"/>
  <c r="AF104" i="20"/>
  <c r="AE104" i="20"/>
  <c r="AB104" i="20"/>
  <c r="U104" i="20"/>
  <c r="M104" i="20"/>
  <c r="L104" i="20"/>
  <c r="S104" i="20" s="1"/>
  <c r="K104" i="20"/>
  <c r="AC104" i="20" s="1"/>
  <c r="J104" i="20"/>
  <c r="BG103" i="20"/>
  <c r="BC103" i="20"/>
  <c r="BB103" i="20"/>
  <c r="AZ103" i="20"/>
  <c r="AX103" i="20"/>
  <c r="BE103" i="20" s="1"/>
  <c r="BF103" i="20" s="1"/>
  <c r="AV103" i="20"/>
  <c r="AF103" i="20"/>
  <c r="AE103" i="20"/>
  <c r="AB103" i="20"/>
  <c r="U103" i="20"/>
  <c r="M103" i="20"/>
  <c r="L103" i="20"/>
  <c r="K103" i="20"/>
  <c r="J103" i="20"/>
  <c r="BG102" i="20"/>
  <c r="BC102" i="20"/>
  <c r="BB102" i="20"/>
  <c r="AZ102" i="20"/>
  <c r="AX102" i="20"/>
  <c r="BE102" i="20" s="1"/>
  <c r="BF102" i="20" s="1"/>
  <c r="AV102" i="20"/>
  <c r="AF102" i="20"/>
  <c r="AE102" i="20"/>
  <c r="AB102" i="20"/>
  <c r="U102" i="20"/>
  <c r="M102" i="20"/>
  <c r="L102" i="20"/>
  <c r="Q102" i="20" s="1"/>
  <c r="K102" i="20"/>
  <c r="AC102" i="20" s="1"/>
  <c r="J102" i="20"/>
  <c r="BG101" i="20"/>
  <c r="BC101" i="20"/>
  <c r="BB101" i="20"/>
  <c r="AZ101" i="20"/>
  <c r="AX101" i="20"/>
  <c r="BE101" i="20" s="1"/>
  <c r="BF101" i="20" s="1"/>
  <c r="AV101" i="20"/>
  <c r="AF101" i="20"/>
  <c r="AE101" i="20"/>
  <c r="AB101" i="20"/>
  <c r="U101" i="20"/>
  <c r="M101" i="20"/>
  <c r="L101" i="20"/>
  <c r="K101" i="20"/>
  <c r="J101" i="20"/>
  <c r="BG100" i="20"/>
  <c r="BC100" i="20"/>
  <c r="BB100" i="20"/>
  <c r="AZ100" i="20"/>
  <c r="AX100" i="20"/>
  <c r="BE100" i="20" s="1"/>
  <c r="BF100" i="20" s="1"/>
  <c r="AV100" i="20"/>
  <c r="AF100" i="20"/>
  <c r="AE100" i="20"/>
  <c r="AB100" i="20"/>
  <c r="U100" i="20"/>
  <c r="M100" i="20"/>
  <c r="L100" i="20"/>
  <c r="S100" i="20" s="1"/>
  <c r="K100" i="20"/>
  <c r="AC100" i="20" s="1"/>
  <c r="J100" i="20"/>
  <c r="BG99" i="20"/>
  <c r="BC99" i="20"/>
  <c r="BB99" i="20"/>
  <c r="AZ99" i="20"/>
  <c r="AX99" i="20"/>
  <c r="BE99" i="20" s="1"/>
  <c r="BF99" i="20" s="1"/>
  <c r="AV99" i="20"/>
  <c r="AF99" i="20"/>
  <c r="AE99" i="20"/>
  <c r="AB99" i="20"/>
  <c r="U99" i="20"/>
  <c r="M99" i="20"/>
  <c r="L99" i="20"/>
  <c r="K99" i="20"/>
  <c r="AC99" i="20" s="1"/>
  <c r="J99" i="20"/>
  <c r="BG98" i="20"/>
  <c r="BC98" i="20"/>
  <c r="BB98" i="20"/>
  <c r="AZ98" i="20"/>
  <c r="AX98" i="20"/>
  <c r="BE98" i="20" s="1"/>
  <c r="BF98" i="20" s="1"/>
  <c r="AV98" i="20"/>
  <c r="AF98" i="20"/>
  <c r="AE98" i="20"/>
  <c r="AB98" i="20"/>
  <c r="U98" i="20"/>
  <c r="M98" i="20"/>
  <c r="L98" i="20"/>
  <c r="S98" i="20" s="1"/>
  <c r="K98" i="20"/>
  <c r="AC98" i="20" s="1"/>
  <c r="J98" i="20"/>
  <c r="BG97" i="20"/>
  <c r="BC97" i="20"/>
  <c r="BB97" i="20"/>
  <c r="AZ97" i="20"/>
  <c r="AX97" i="20"/>
  <c r="BE97" i="20" s="1"/>
  <c r="BF97" i="20" s="1"/>
  <c r="AV97" i="20"/>
  <c r="AF97" i="20"/>
  <c r="AE97" i="20"/>
  <c r="AB97" i="20"/>
  <c r="U97" i="20"/>
  <c r="M97" i="20"/>
  <c r="L97" i="20"/>
  <c r="S97" i="20" s="1"/>
  <c r="K97" i="20"/>
  <c r="J97" i="20"/>
  <c r="BG96" i="20"/>
  <c r="BC96" i="20"/>
  <c r="BB96" i="20"/>
  <c r="AZ96" i="20"/>
  <c r="AX96" i="20"/>
  <c r="BE96" i="20" s="1"/>
  <c r="BF96" i="20" s="1"/>
  <c r="AV96" i="20"/>
  <c r="AF96" i="20"/>
  <c r="AE96" i="20"/>
  <c r="AB96" i="20"/>
  <c r="U96" i="20"/>
  <c r="M96" i="20"/>
  <c r="L96" i="20"/>
  <c r="K96" i="20"/>
  <c r="AC96" i="20" s="1"/>
  <c r="J96" i="20"/>
  <c r="BG95" i="20"/>
  <c r="BC95" i="20"/>
  <c r="BB95" i="20"/>
  <c r="AZ95" i="20"/>
  <c r="AX95" i="20"/>
  <c r="BE95" i="20" s="1"/>
  <c r="BF95" i="20" s="1"/>
  <c r="AV95" i="20"/>
  <c r="AF95" i="20"/>
  <c r="AE95" i="20"/>
  <c r="AB95" i="20"/>
  <c r="U95" i="20"/>
  <c r="M95" i="20"/>
  <c r="L95" i="20"/>
  <c r="K95" i="20"/>
  <c r="AC95" i="20" s="1"/>
  <c r="J95" i="20"/>
  <c r="BG94" i="20"/>
  <c r="BC94" i="20"/>
  <c r="BB94" i="20"/>
  <c r="AZ94" i="20"/>
  <c r="AX94" i="20"/>
  <c r="BE94" i="20" s="1"/>
  <c r="BF94" i="20" s="1"/>
  <c r="AV94" i="20"/>
  <c r="AF94" i="20"/>
  <c r="AE94" i="20"/>
  <c r="AB94" i="20"/>
  <c r="U94" i="20"/>
  <c r="M94" i="20"/>
  <c r="L94" i="20"/>
  <c r="K94" i="20"/>
  <c r="J94" i="20"/>
  <c r="BG93" i="20"/>
  <c r="BC93" i="20"/>
  <c r="BB93" i="20"/>
  <c r="AZ93" i="20"/>
  <c r="AX93" i="20"/>
  <c r="BE93" i="20" s="1"/>
  <c r="BF93" i="20" s="1"/>
  <c r="AV93" i="20"/>
  <c r="AF93" i="20"/>
  <c r="AE93" i="20"/>
  <c r="AB93" i="20"/>
  <c r="U93" i="20"/>
  <c r="M93" i="20"/>
  <c r="L93" i="20"/>
  <c r="S93" i="20" s="1"/>
  <c r="K93" i="20"/>
  <c r="AC93" i="20" s="1"/>
  <c r="J93" i="20"/>
  <c r="BG92" i="20"/>
  <c r="BC92" i="20"/>
  <c r="BB92" i="20"/>
  <c r="AZ92" i="20"/>
  <c r="AX92" i="20"/>
  <c r="BE92" i="20" s="1"/>
  <c r="BF92" i="20" s="1"/>
  <c r="AV92" i="20"/>
  <c r="AF92" i="20"/>
  <c r="AE92" i="20"/>
  <c r="AB92" i="20"/>
  <c r="U92" i="20"/>
  <c r="M92" i="20"/>
  <c r="L92" i="20"/>
  <c r="S92" i="20" s="1"/>
  <c r="K92" i="20"/>
  <c r="AC92" i="20" s="1"/>
  <c r="J92" i="20"/>
  <c r="BG91" i="20"/>
  <c r="BC91" i="20"/>
  <c r="BB91" i="20"/>
  <c r="AZ91" i="20"/>
  <c r="AX91" i="20"/>
  <c r="BE91" i="20" s="1"/>
  <c r="BF91" i="20" s="1"/>
  <c r="AV91" i="20"/>
  <c r="AF91" i="20"/>
  <c r="AE91" i="20"/>
  <c r="AB91" i="20"/>
  <c r="U91" i="20"/>
  <c r="M91" i="20"/>
  <c r="L91" i="20"/>
  <c r="Q91" i="20" s="1"/>
  <c r="V91" i="20" s="1"/>
  <c r="K91" i="20"/>
  <c r="AC91" i="20" s="1"/>
  <c r="J91" i="20"/>
  <c r="BG90" i="20"/>
  <c r="BE90" i="20"/>
  <c r="BF90" i="20" s="1"/>
  <c r="BA90" i="20"/>
  <c r="AZ90" i="20"/>
  <c r="AV90" i="20"/>
  <c r="AF90" i="20"/>
  <c r="AE90" i="20"/>
  <c r="AD90" i="20"/>
  <c r="AB90" i="20"/>
  <c r="U90" i="20"/>
  <c r="M90" i="20"/>
  <c r="L90" i="20"/>
  <c r="S90" i="20" s="1"/>
  <c r="K90" i="20"/>
  <c r="AC90" i="20" s="1"/>
  <c r="J90" i="20"/>
  <c r="I90" i="20"/>
  <c r="H90" i="20"/>
  <c r="BG89" i="20"/>
  <c r="BE89" i="20"/>
  <c r="BF89" i="20" s="1"/>
  <c r="BA89" i="20"/>
  <c r="AZ89" i="20"/>
  <c r="AV89" i="20"/>
  <c r="AF89" i="20"/>
  <c r="AE89" i="20"/>
  <c r="AD89" i="20"/>
  <c r="AB89" i="20"/>
  <c r="U89" i="20"/>
  <c r="M89" i="20"/>
  <c r="L89" i="20"/>
  <c r="S89" i="20" s="1"/>
  <c r="K89" i="20"/>
  <c r="AC89" i="20" s="1"/>
  <c r="J89" i="20"/>
  <c r="I89" i="20"/>
  <c r="H89" i="20"/>
  <c r="BG88" i="20"/>
  <c r="BE88" i="20"/>
  <c r="BF88" i="20" s="1"/>
  <c r="BA88" i="20"/>
  <c r="AZ88" i="20"/>
  <c r="AV88" i="20"/>
  <c r="AF88" i="20"/>
  <c r="AE88" i="20"/>
  <c r="AD88" i="20"/>
  <c r="AB88" i="20"/>
  <c r="U88" i="20"/>
  <c r="M88" i="20"/>
  <c r="L88" i="20"/>
  <c r="S88" i="20" s="1"/>
  <c r="K88" i="20"/>
  <c r="AC88" i="20" s="1"/>
  <c r="J88" i="20"/>
  <c r="I88" i="20"/>
  <c r="H88" i="20"/>
  <c r="BG87" i="20"/>
  <c r="BA87" i="20"/>
  <c r="AZ87" i="20"/>
  <c r="AX87" i="20"/>
  <c r="BE87" i="20" s="1"/>
  <c r="BF87" i="20" s="1"/>
  <c r="AV87" i="20"/>
  <c r="AF87" i="20"/>
  <c r="AE87" i="20"/>
  <c r="AD87" i="20"/>
  <c r="AB87" i="20"/>
  <c r="U87" i="20"/>
  <c r="M87" i="20"/>
  <c r="L87" i="20"/>
  <c r="S87" i="20" s="1"/>
  <c r="K87" i="20"/>
  <c r="AC87" i="20" s="1"/>
  <c r="J87" i="20"/>
  <c r="I87" i="20"/>
  <c r="H87" i="20"/>
  <c r="BG86" i="20"/>
  <c r="BA86" i="20"/>
  <c r="AZ86" i="20"/>
  <c r="AX86" i="20"/>
  <c r="BE86" i="20" s="1"/>
  <c r="BF86" i="20" s="1"/>
  <c r="AV86" i="20"/>
  <c r="AF86" i="20"/>
  <c r="AE86" i="20"/>
  <c r="AD86" i="20"/>
  <c r="AB86" i="20"/>
  <c r="U86" i="20"/>
  <c r="M86" i="20"/>
  <c r="L86" i="20"/>
  <c r="Q86" i="20" s="1"/>
  <c r="K86" i="20"/>
  <c r="AC86" i="20" s="1"/>
  <c r="J86" i="20"/>
  <c r="I86" i="20"/>
  <c r="H86" i="20"/>
  <c r="BG85" i="20"/>
  <c r="BA85" i="20"/>
  <c r="AZ85" i="20"/>
  <c r="AX85" i="20"/>
  <c r="BE85" i="20" s="1"/>
  <c r="BF85" i="20" s="1"/>
  <c r="AV85" i="20"/>
  <c r="AF85" i="20"/>
  <c r="AE85" i="20"/>
  <c r="AD85" i="20"/>
  <c r="AB85" i="20"/>
  <c r="U85" i="20"/>
  <c r="M85" i="20"/>
  <c r="L85" i="20"/>
  <c r="Q85" i="20" s="1"/>
  <c r="K85" i="20"/>
  <c r="AC85" i="20" s="1"/>
  <c r="J85" i="20"/>
  <c r="I85" i="20"/>
  <c r="H85" i="20"/>
  <c r="BG84" i="20"/>
  <c r="BA84" i="20"/>
  <c r="AZ84" i="20"/>
  <c r="AX84" i="20"/>
  <c r="BE84" i="20" s="1"/>
  <c r="BF84" i="20" s="1"/>
  <c r="AV84" i="20"/>
  <c r="AF84" i="20"/>
  <c r="AE84" i="20"/>
  <c r="AD84" i="20"/>
  <c r="AB84" i="20"/>
  <c r="U84" i="20"/>
  <c r="M84" i="20"/>
  <c r="L84" i="20"/>
  <c r="Q84" i="20" s="1"/>
  <c r="V84" i="20" s="1"/>
  <c r="K84" i="20"/>
  <c r="AC84" i="20" s="1"/>
  <c r="J84" i="20"/>
  <c r="I84" i="20"/>
  <c r="H84" i="20"/>
  <c r="BG83" i="20"/>
  <c r="BA83" i="20"/>
  <c r="AZ83" i="20"/>
  <c r="AX83" i="20"/>
  <c r="BE83" i="20" s="1"/>
  <c r="BF83" i="20" s="1"/>
  <c r="AV83" i="20"/>
  <c r="AF83" i="20"/>
  <c r="AE83" i="20"/>
  <c r="AD83" i="20"/>
  <c r="AB83" i="20"/>
  <c r="U83" i="20"/>
  <c r="M83" i="20"/>
  <c r="L83" i="20"/>
  <c r="K83" i="20"/>
  <c r="AC83" i="20" s="1"/>
  <c r="J83" i="20"/>
  <c r="I83" i="20"/>
  <c r="H83" i="20"/>
  <c r="BG82" i="20"/>
  <c r="BE82" i="20"/>
  <c r="BF82" i="20" s="1"/>
  <c r="BA82" i="20"/>
  <c r="AZ82" i="20"/>
  <c r="AV82" i="20"/>
  <c r="AF82" i="20"/>
  <c r="AE82" i="20"/>
  <c r="AD82" i="20"/>
  <c r="AB82" i="20"/>
  <c r="U82" i="20"/>
  <c r="M82" i="20"/>
  <c r="L82" i="20"/>
  <c r="S82" i="20" s="1"/>
  <c r="K82" i="20"/>
  <c r="AC82" i="20" s="1"/>
  <c r="J82" i="20"/>
  <c r="I82" i="20"/>
  <c r="H82" i="20"/>
  <c r="BG81" i="20"/>
  <c r="BF81" i="20"/>
  <c r="BE81" i="20"/>
  <c r="BA81" i="20"/>
  <c r="AZ81" i="20"/>
  <c r="AV81" i="20"/>
  <c r="AF81" i="20"/>
  <c r="AE81" i="20"/>
  <c r="AD81" i="20"/>
  <c r="AB81" i="20"/>
  <c r="U81" i="20"/>
  <c r="S81" i="20"/>
  <c r="M81" i="20"/>
  <c r="L81" i="20"/>
  <c r="Q81" i="20" s="1"/>
  <c r="V81" i="20" s="1"/>
  <c r="K81" i="20"/>
  <c r="AC81" i="20" s="1"/>
  <c r="J81" i="20"/>
  <c r="I81" i="20"/>
  <c r="H81" i="20"/>
  <c r="BG80" i="20"/>
  <c r="BE80" i="20"/>
  <c r="BF80" i="20" s="1"/>
  <c r="BA80" i="20"/>
  <c r="AZ80" i="20"/>
  <c r="AV80" i="20"/>
  <c r="AF80" i="20"/>
  <c r="AE80" i="20"/>
  <c r="AD80" i="20"/>
  <c r="AB80" i="20"/>
  <c r="U80" i="20"/>
  <c r="M80" i="20"/>
  <c r="L80" i="20"/>
  <c r="S80" i="20" s="1"/>
  <c r="K80" i="20"/>
  <c r="AC80" i="20" s="1"/>
  <c r="J80" i="20"/>
  <c r="I80" i="20"/>
  <c r="H80" i="20"/>
  <c r="BG79" i="20"/>
  <c r="BE79" i="20"/>
  <c r="BF79" i="20" s="1"/>
  <c r="BA79" i="20"/>
  <c r="AZ79" i="20"/>
  <c r="AV79" i="20"/>
  <c r="AF79" i="20"/>
  <c r="AE79" i="20"/>
  <c r="AD79" i="20"/>
  <c r="AB79" i="20"/>
  <c r="U79" i="20"/>
  <c r="M79" i="20"/>
  <c r="L79" i="20"/>
  <c r="S79" i="20" s="1"/>
  <c r="K79" i="20"/>
  <c r="J79" i="20"/>
  <c r="I79" i="20"/>
  <c r="H79" i="20"/>
  <c r="BG78" i="20"/>
  <c r="AX78" i="20"/>
  <c r="BE78" i="20" s="1"/>
  <c r="BF78" i="20" s="1"/>
  <c r="AV78" i="20"/>
  <c r="AF78" i="20"/>
  <c r="AE78" i="20"/>
  <c r="AD78" i="20"/>
  <c r="AB78" i="20"/>
  <c r="M78" i="20"/>
  <c r="L78" i="20"/>
  <c r="Q78" i="20" s="1"/>
  <c r="K78" i="20"/>
  <c r="AC78" i="20" s="1"/>
  <c r="J78" i="20"/>
  <c r="I78" i="20"/>
  <c r="H78" i="20"/>
  <c r="BG77" i="20"/>
  <c r="AX77" i="20"/>
  <c r="BE77" i="20" s="1"/>
  <c r="BF77" i="20" s="1"/>
  <c r="AV77" i="20"/>
  <c r="AF77" i="20"/>
  <c r="AE77" i="20"/>
  <c r="AD77" i="20"/>
  <c r="AB77" i="20"/>
  <c r="M77" i="20"/>
  <c r="L77" i="20"/>
  <c r="Q77" i="20" s="1"/>
  <c r="K77" i="20"/>
  <c r="AC77" i="20" s="1"/>
  <c r="J77" i="20"/>
  <c r="I77" i="20"/>
  <c r="H77" i="20"/>
  <c r="BG76" i="20"/>
  <c r="AX76" i="20"/>
  <c r="BE76" i="20" s="1"/>
  <c r="BF76" i="20" s="1"/>
  <c r="AV76" i="20"/>
  <c r="AF76" i="20"/>
  <c r="AE76" i="20"/>
  <c r="AD76" i="20"/>
  <c r="AB76" i="20"/>
  <c r="M76" i="20"/>
  <c r="L76" i="20"/>
  <c r="O76" i="20" s="1"/>
  <c r="K76" i="20"/>
  <c r="AC76" i="20" s="1"/>
  <c r="J76" i="20"/>
  <c r="I76" i="20"/>
  <c r="H76" i="20"/>
  <c r="BG75" i="20"/>
  <c r="AX75" i="20"/>
  <c r="BE75" i="20" s="1"/>
  <c r="BF75" i="20" s="1"/>
  <c r="AV75" i="20"/>
  <c r="AF75" i="20"/>
  <c r="AE75" i="20"/>
  <c r="AD75" i="20"/>
  <c r="AB75" i="20"/>
  <c r="M75" i="20"/>
  <c r="L75" i="20"/>
  <c r="Q75" i="20" s="1"/>
  <c r="K75" i="20"/>
  <c r="AC75" i="20" s="1"/>
  <c r="J75" i="20"/>
  <c r="I75" i="20"/>
  <c r="H75" i="20"/>
  <c r="BG74" i="20"/>
  <c r="AX74" i="20"/>
  <c r="BE74" i="20" s="1"/>
  <c r="BF74" i="20" s="1"/>
  <c r="AV74" i="20"/>
  <c r="AF74" i="20"/>
  <c r="AE74" i="20"/>
  <c r="AD74" i="20"/>
  <c r="AB74" i="20"/>
  <c r="M74" i="20"/>
  <c r="L74" i="20"/>
  <c r="Q74" i="20" s="1"/>
  <c r="K74" i="20"/>
  <c r="AC74" i="20" s="1"/>
  <c r="J74" i="20"/>
  <c r="I74" i="20"/>
  <c r="H74" i="20"/>
  <c r="BG73" i="20"/>
  <c r="AX73" i="20"/>
  <c r="BE73" i="20" s="1"/>
  <c r="BF73" i="20" s="1"/>
  <c r="AV73" i="20"/>
  <c r="AF73" i="20"/>
  <c r="AE73" i="20"/>
  <c r="AD73" i="20"/>
  <c r="AB73" i="20"/>
  <c r="M73" i="20"/>
  <c r="L73" i="20"/>
  <c r="K73" i="20"/>
  <c r="J73" i="20"/>
  <c r="I73" i="20"/>
  <c r="H73" i="20"/>
  <c r="BG72" i="20"/>
  <c r="AX72" i="20"/>
  <c r="BE72" i="20" s="1"/>
  <c r="BF72" i="20" s="1"/>
  <c r="AV72" i="20"/>
  <c r="AF72" i="20"/>
  <c r="AE72" i="20"/>
  <c r="AD72" i="20"/>
  <c r="AB72" i="20"/>
  <c r="M72" i="20"/>
  <c r="L72" i="20"/>
  <c r="K72" i="20"/>
  <c r="AC72" i="20" s="1"/>
  <c r="J72" i="20"/>
  <c r="I72" i="20"/>
  <c r="H72" i="20"/>
  <c r="BG71" i="20"/>
  <c r="AX71" i="20"/>
  <c r="BE71" i="20" s="1"/>
  <c r="BF71" i="20" s="1"/>
  <c r="AV71" i="20"/>
  <c r="AF71" i="20"/>
  <c r="AE71" i="20"/>
  <c r="AD71" i="20"/>
  <c r="AB71" i="20"/>
  <c r="Q71" i="20"/>
  <c r="M71" i="20"/>
  <c r="L71" i="20"/>
  <c r="O71" i="20" s="1"/>
  <c r="T71" i="20" s="1"/>
  <c r="K71" i="20"/>
  <c r="J71" i="20"/>
  <c r="I71" i="20"/>
  <c r="H71" i="20"/>
  <c r="BG70" i="20"/>
  <c r="AX70" i="20"/>
  <c r="BE70" i="20" s="1"/>
  <c r="BF70" i="20" s="1"/>
  <c r="AV70" i="20"/>
  <c r="AF70" i="20"/>
  <c r="AE70" i="20"/>
  <c r="AD70" i="20"/>
  <c r="AB70" i="20"/>
  <c r="M70" i="20"/>
  <c r="L70" i="20"/>
  <c r="Q70" i="20" s="1"/>
  <c r="K70" i="20"/>
  <c r="AC70" i="20" s="1"/>
  <c r="J70" i="20"/>
  <c r="I70" i="20"/>
  <c r="H70" i="20"/>
  <c r="BG69" i="20"/>
  <c r="AX69" i="20"/>
  <c r="BE69" i="20" s="1"/>
  <c r="BF69" i="20" s="1"/>
  <c r="AV69" i="20"/>
  <c r="AF69" i="20"/>
  <c r="AE69" i="20"/>
  <c r="AD69" i="20"/>
  <c r="AB69" i="20"/>
  <c r="M69" i="20"/>
  <c r="L69" i="20"/>
  <c r="Q69" i="20" s="1"/>
  <c r="K69" i="20"/>
  <c r="AC69" i="20" s="1"/>
  <c r="J69" i="20"/>
  <c r="I69" i="20"/>
  <c r="H69" i="20"/>
  <c r="BG68" i="20"/>
  <c r="BE68" i="20"/>
  <c r="BF68" i="20" s="1"/>
  <c r="AX68" i="20"/>
  <c r="AV68" i="20"/>
  <c r="AF68" i="20"/>
  <c r="AE68" i="20"/>
  <c r="AD68" i="20"/>
  <c r="AB68" i="20"/>
  <c r="M68" i="20"/>
  <c r="Q68" i="20" s="1"/>
  <c r="L68" i="20"/>
  <c r="K68" i="20"/>
  <c r="AC68" i="20" s="1"/>
  <c r="J68" i="20"/>
  <c r="I68" i="20"/>
  <c r="H68" i="20"/>
  <c r="BG67" i="20"/>
  <c r="AX67" i="20"/>
  <c r="BE67" i="20" s="1"/>
  <c r="BF67" i="20" s="1"/>
  <c r="AV67" i="20"/>
  <c r="AF67" i="20"/>
  <c r="AE67" i="20"/>
  <c r="AD67" i="20"/>
  <c r="AB67" i="20"/>
  <c r="M67" i="20"/>
  <c r="L67" i="20"/>
  <c r="K67" i="20"/>
  <c r="AC67" i="20" s="1"/>
  <c r="J67" i="20"/>
  <c r="I67" i="20"/>
  <c r="H67" i="20"/>
  <c r="BG66" i="20"/>
  <c r="AX66" i="20"/>
  <c r="BE66" i="20" s="1"/>
  <c r="BF66" i="20" s="1"/>
  <c r="AV66" i="20"/>
  <c r="AF66" i="20"/>
  <c r="AE66" i="20"/>
  <c r="AD66" i="20"/>
  <c r="AB66" i="20"/>
  <c r="M66" i="20"/>
  <c r="L66" i="20"/>
  <c r="O66" i="20" s="1"/>
  <c r="K66" i="20"/>
  <c r="AC66" i="20" s="1"/>
  <c r="J66" i="20"/>
  <c r="I66" i="20"/>
  <c r="H66" i="20"/>
  <c r="BG65" i="20"/>
  <c r="BE65" i="20"/>
  <c r="BF65" i="20" s="1"/>
  <c r="AX65" i="20"/>
  <c r="AV65" i="20"/>
  <c r="AF65" i="20"/>
  <c r="AE65" i="20"/>
  <c r="AD65" i="20"/>
  <c r="AB65" i="20"/>
  <c r="M65" i="20"/>
  <c r="L65" i="20"/>
  <c r="K65" i="20"/>
  <c r="AC65" i="20" s="1"/>
  <c r="J65" i="20"/>
  <c r="I65" i="20"/>
  <c r="H65" i="20"/>
  <c r="BG64" i="20"/>
  <c r="AX64" i="20"/>
  <c r="BE64" i="20" s="1"/>
  <c r="BF64" i="20" s="1"/>
  <c r="AV64" i="20"/>
  <c r="AF64" i="20"/>
  <c r="AE64" i="20"/>
  <c r="AD64" i="20"/>
  <c r="AB64" i="20"/>
  <c r="M64" i="20"/>
  <c r="L64" i="20"/>
  <c r="N64" i="20" s="1"/>
  <c r="K64" i="20"/>
  <c r="AC64" i="20" s="1"/>
  <c r="J64" i="20"/>
  <c r="I64" i="20"/>
  <c r="H64" i="20"/>
  <c r="BG63" i="20"/>
  <c r="AX63" i="20"/>
  <c r="BE63" i="20" s="1"/>
  <c r="BF63" i="20" s="1"/>
  <c r="AV63" i="20"/>
  <c r="AF63" i="20"/>
  <c r="AE63" i="20"/>
  <c r="AD63" i="20"/>
  <c r="AB63" i="20"/>
  <c r="M63" i="20"/>
  <c r="L63" i="20"/>
  <c r="K63" i="20"/>
  <c r="AC63" i="20" s="1"/>
  <c r="J63" i="20"/>
  <c r="I63" i="20"/>
  <c r="H63" i="20"/>
  <c r="BG62" i="20"/>
  <c r="BF62" i="20"/>
  <c r="AX62" i="20"/>
  <c r="BE62" i="20" s="1"/>
  <c r="AV62" i="20"/>
  <c r="AF62" i="20"/>
  <c r="AE62" i="20"/>
  <c r="AD62" i="20"/>
  <c r="AB62" i="20"/>
  <c r="M62" i="20"/>
  <c r="L62" i="20"/>
  <c r="K62" i="20"/>
  <c r="AC62" i="20" s="1"/>
  <c r="J62" i="20"/>
  <c r="I62" i="20"/>
  <c r="H62" i="20"/>
  <c r="BG61" i="20"/>
  <c r="BF61" i="20"/>
  <c r="AX61" i="20"/>
  <c r="BE61" i="20" s="1"/>
  <c r="AV61" i="20"/>
  <c r="AF61" i="20"/>
  <c r="AE61" i="20"/>
  <c r="AD61" i="20"/>
  <c r="AB61" i="20"/>
  <c r="M61" i="20"/>
  <c r="L61" i="20"/>
  <c r="K61" i="20"/>
  <c r="AC61" i="20" s="1"/>
  <c r="J61" i="20"/>
  <c r="I61" i="20"/>
  <c r="H61" i="20"/>
  <c r="BG60" i="20"/>
  <c r="AX60" i="20"/>
  <c r="BE60" i="20" s="1"/>
  <c r="BF60" i="20" s="1"/>
  <c r="AV60" i="20"/>
  <c r="AF60" i="20"/>
  <c r="AE60" i="20"/>
  <c r="AD60" i="20"/>
  <c r="AB60" i="20"/>
  <c r="M60" i="20"/>
  <c r="L60" i="20"/>
  <c r="K60" i="20"/>
  <c r="AC60" i="20" s="1"/>
  <c r="J60" i="20"/>
  <c r="I60" i="20"/>
  <c r="H60" i="20"/>
  <c r="BG59" i="20"/>
  <c r="AX59" i="20"/>
  <c r="BE59" i="20" s="1"/>
  <c r="BF59" i="20" s="1"/>
  <c r="AV59" i="20"/>
  <c r="AF59" i="20"/>
  <c r="AE59" i="20"/>
  <c r="AD59" i="20"/>
  <c r="AB59" i="20"/>
  <c r="M59" i="20"/>
  <c r="L59" i="20"/>
  <c r="K59" i="20"/>
  <c r="AC59" i="20" s="1"/>
  <c r="J59" i="20"/>
  <c r="I59" i="20"/>
  <c r="H59" i="20"/>
  <c r="BM58" i="20"/>
  <c r="BI58" i="20"/>
  <c r="AX58" i="20"/>
  <c r="AV58" i="20"/>
  <c r="AF58" i="20"/>
  <c r="AE58" i="20"/>
  <c r="AD58" i="20"/>
  <c r="AB58" i="20"/>
  <c r="M58" i="20"/>
  <c r="L58" i="20"/>
  <c r="K58" i="20"/>
  <c r="J58" i="20"/>
  <c r="I58" i="20"/>
  <c r="H58" i="20"/>
  <c r="BM57" i="20"/>
  <c r="BI57" i="20"/>
  <c r="AX57" i="20"/>
  <c r="AV57" i="20"/>
  <c r="AF57" i="20"/>
  <c r="AE57" i="20"/>
  <c r="AD57" i="20"/>
  <c r="AB57" i="20"/>
  <c r="M57" i="20"/>
  <c r="L57" i="20"/>
  <c r="K57" i="20"/>
  <c r="AC57" i="20" s="1"/>
  <c r="J57" i="20"/>
  <c r="I57" i="20"/>
  <c r="H57" i="20"/>
  <c r="BM56" i="20"/>
  <c r="BI56" i="20"/>
  <c r="AX56" i="20"/>
  <c r="AV56" i="20"/>
  <c r="AF56" i="20"/>
  <c r="AE56" i="20"/>
  <c r="AD56" i="20"/>
  <c r="AB56" i="20"/>
  <c r="M56" i="20"/>
  <c r="L56" i="20"/>
  <c r="K56" i="20"/>
  <c r="AC56" i="20" s="1"/>
  <c r="J56" i="20"/>
  <c r="I56" i="20"/>
  <c r="H56" i="20"/>
  <c r="BM55" i="20"/>
  <c r="BI55" i="20"/>
  <c r="AX55" i="20"/>
  <c r="AV55" i="20"/>
  <c r="AF55" i="20"/>
  <c r="AE55" i="20"/>
  <c r="AD55" i="20"/>
  <c r="AB55" i="20"/>
  <c r="M55" i="20"/>
  <c r="L55" i="20"/>
  <c r="K55" i="20"/>
  <c r="AC55" i="20" s="1"/>
  <c r="J55" i="20"/>
  <c r="I55" i="20"/>
  <c r="H55" i="20"/>
  <c r="BM54" i="20"/>
  <c r="BI54" i="20"/>
  <c r="AX54" i="20"/>
  <c r="AV54" i="20"/>
  <c r="AF54" i="20"/>
  <c r="AE54" i="20"/>
  <c r="AD54" i="20"/>
  <c r="AB54" i="20"/>
  <c r="M54" i="20"/>
  <c r="L54" i="20"/>
  <c r="K54" i="20"/>
  <c r="AC54" i="20" s="1"/>
  <c r="J54" i="20"/>
  <c r="I54" i="20"/>
  <c r="H54" i="20"/>
  <c r="BD53" i="20"/>
  <c r="BG53" i="20" s="1"/>
  <c r="AZ53" i="20"/>
  <c r="AX53" i="20"/>
  <c r="AV53" i="20"/>
  <c r="AF53" i="20"/>
  <c r="AE53" i="20"/>
  <c r="AD53" i="20"/>
  <c r="AB53" i="20"/>
  <c r="M53" i="20"/>
  <c r="P53" i="20" s="1"/>
  <c r="L53" i="20"/>
  <c r="K53" i="20"/>
  <c r="BB53" i="20" s="1"/>
  <c r="J53" i="20"/>
  <c r="I53" i="20"/>
  <c r="H53" i="20"/>
  <c r="BG52" i="20"/>
  <c r="AZ52" i="20"/>
  <c r="AX52" i="20"/>
  <c r="BD52" i="20" s="1"/>
  <c r="BE52" i="20" s="1"/>
  <c r="BF52" i="20" s="1"/>
  <c r="AV52" i="20"/>
  <c r="AF52" i="20"/>
  <c r="AE52" i="20"/>
  <c r="AD52" i="20"/>
  <c r="AB52" i="20"/>
  <c r="M52" i="20"/>
  <c r="L52" i="20"/>
  <c r="K52" i="20"/>
  <c r="BC52" i="20" s="1"/>
  <c r="J52" i="20"/>
  <c r="I52" i="20"/>
  <c r="H52" i="20"/>
  <c r="AZ51" i="20"/>
  <c r="AX51" i="20"/>
  <c r="BD51" i="20" s="1"/>
  <c r="BG51" i="20" s="1"/>
  <c r="AV51" i="20"/>
  <c r="AF51" i="20"/>
  <c r="AE51" i="20"/>
  <c r="AD51" i="20"/>
  <c r="AB51" i="20"/>
  <c r="M51" i="20"/>
  <c r="L51" i="20"/>
  <c r="K51" i="20"/>
  <c r="J51" i="20"/>
  <c r="I51" i="20"/>
  <c r="H51" i="20"/>
  <c r="AZ50" i="20"/>
  <c r="AX50" i="20"/>
  <c r="BD50" i="20" s="1"/>
  <c r="BE50" i="20" s="1"/>
  <c r="BF50" i="20" s="1"/>
  <c r="AV50" i="20"/>
  <c r="AF50" i="20"/>
  <c r="AE50" i="20"/>
  <c r="AD50" i="20"/>
  <c r="AB50" i="20"/>
  <c r="M50" i="20"/>
  <c r="L50" i="20"/>
  <c r="K50" i="20"/>
  <c r="J50" i="20"/>
  <c r="I50" i="20"/>
  <c r="H50" i="20"/>
  <c r="AZ49" i="20"/>
  <c r="AX49" i="20"/>
  <c r="BD49" i="20" s="1"/>
  <c r="BG49" i="20" s="1"/>
  <c r="AV49" i="20"/>
  <c r="AF49" i="20"/>
  <c r="AE49" i="20"/>
  <c r="AD49" i="20"/>
  <c r="AB49" i="20"/>
  <c r="M49" i="20"/>
  <c r="L49" i="20"/>
  <c r="K49" i="20"/>
  <c r="BB49" i="20" s="1"/>
  <c r="J49" i="20"/>
  <c r="I49" i="20"/>
  <c r="H49" i="20"/>
  <c r="BD48" i="20"/>
  <c r="BG48" i="20" s="1"/>
  <c r="AZ48" i="20"/>
  <c r="AX48" i="20"/>
  <c r="BE48" i="20" s="1"/>
  <c r="BF48" i="20" s="1"/>
  <c r="AV48" i="20"/>
  <c r="AF48" i="20"/>
  <c r="AE48" i="20"/>
  <c r="AD48" i="20"/>
  <c r="AB48" i="20"/>
  <c r="M48" i="20"/>
  <c r="L48" i="20"/>
  <c r="K48" i="20"/>
  <c r="AC48" i="20" s="1"/>
  <c r="J48" i="20"/>
  <c r="I48" i="20"/>
  <c r="H48" i="20"/>
  <c r="BM47" i="20"/>
  <c r="BI47" i="20"/>
  <c r="AX47" i="20"/>
  <c r="AV47" i="20"/>
  <c r="AF47" i="20"/>
  <c r="AE47" i="20"/>
  <c r="AD47" i="20"/>
  <c r="AC47" i="20"/>
  <c r="AB47" i="20"/>
  <c r="M47" i="20"/>
  <c r="L47" i="20"/>
  <c r="N47" i="20" s="1"/>
  <c r="K47" i="20"/>
  <c r="J47" i="20"/>
  <c r="I47" i="20"/>
  <c r="H47" i="20"/>
  <c r="BM46" i="20"/>
  <c r="BI46" i="20"/>
  <c r="AX46" i="20"/>
  <c r="AV46" i="20"/>
  <c r="AF46" i="20"/>
  <c r="AE46" i="20"/>
  <c r="AD46" i="20"/>
  <c r="AB46" i="20"/>
  <c r="M46" i="20"/>
  <c r="L46" i="20"/>
  <c r="O46" i="20" s="1"/>
  <c r="V46" i="20" s="1"/>
  <c r="K46" i="20"/>
  <c r="J46" i="20"/>
  <c r="I46" i="20"/>
  <c r="H46" i="20"/>
  <c r="BM45" i="20"/>
  <c r="BI45" i="20"/>
  <c r="AX45" i="20"/>
  <c r="AV45" i="20"/>
  <c r="AF45" i="20"/>
  <c r="AE45" i="20"/>
  <c r="AD45" i="20"/>
  <c r="AB45" i="20"/>
  <c r="M45" i="20"/>
  <c r="L45" i="20"/>
  <c r="K45" i="20"/>
  <c r="AC45" i="20" s="1"/>
  <c r="J45" i="20"/>
  <c r="I45" i="20"/>
  <c r="H45" i="20"/>
  <c r="BM44" i="20"/>
  <c r="BI44" i="20"/>
  <c r="AX44" i="20"/>
  <c r="AV44" i="20"/>
  <c r="AF44" i="20"/>
  <c r="AE44" i="20"/>
  <c r="AD44" i="20"/>
  <c r="AB44" i="20"/>
  <c r="M44" i="20"/>
  <c r="L44" i="20"/>
  <c r="O44" i="20" s="1"/>
  <c r="V44" i="20" s="1"/>
  <c r="K44" i="20"/>
  <c r="AC44" i="20" s="1"/>
  <c r="J44" i="20"/>
  <c r="I44" i="20"/>
  <c r="H44" i="20"/>
  <c r="BM43" i="20"/>
  <c r="BI43" i="20"/>
  <c r="AX43" i="20"/>
  <c r="AV43" i="20"/>
  <c r="AF43" i="20"/>
  <c r="AE43" i="20"/>
  <c r="AD43" i="20"/>
  <c r="AB43" i="20"/>
  <c r="M43" i="20"/>
  <c r="L43" i="20"/>
  <c r="O43" i="20" s="1"/>
  <c r="V43" i="20" s="1"/>
  <c r="K43" i="20"/>
  <c r="AC43" i="20" s="1"/>
  <c r="J43" i="20"/>
  <c r="I43" i="20"/>
  <c r="H43" i="20"/>
  <c r="BD42" i="20"/>
  <c r="BG42" i="20" s="1"/>
  <c r="AZ42" i="20"/>
  <c r="AX42" i="20"/>
  <c r="AV42" i="20"/>
  <c r="AF42" i="20"/>
  <c r="AE42" i="20"/>
  <c r="AD42" i="20"/>
  <c r="AB42" i="20"/>
  <c r="M42" i="20"/>
  <c r="L42" i="20"/>
  <c r="N42" i="20" s="1"/>
  <c r="K42" i="20"/>
  <c r="BC42" i="20" s="1"/>
  <c r="J42" i="20"/>
  <c r="I42" i="20"/>
  <c r="H42" i="20"/>
  <c r="AZ41" i="20"/>
  <c r="AX41" i="20"/>
  <c r="BD41" i="20" s="1"/>
  <c r="AV41" i="20"/>
  <c r="AF41" i="20"/>
  <c r="AE41" i="20"/>
  <c r="AD41" i="20"/>
  <c r="AB41" i="20"/>
  <c r="M41" i="20"/>
  <c r="L41" i="20"/>
  <c r="O41" i="20" s="1"/>
  <c r="V41" i="20" s="1"/>
  <c r="K41" i="20"/>
  <c r="AC41" i="20" s="1"/>
  <c r="J41" i="20"/>
  <c r="I41" i="20"/>
  <c r="H41" i="20"/>
  <c r="AZ40" i="20"/>
  <c r="AX40" i="20"/>
  <c r="BD40" i="20" s="1"/>
  <c r="AV40" i="20"/>
  <c r="AF40" i="20"/>
  <c r="AE40" i="20"/>
  <c r="AD40" i="20"/>
  <c r="AB40" i="20"/>
  <c r="M40" i="20"/>
  <c r="L40" i="20"/>
  <c r="K40" i="20"/>
  <c r="BC40" i="20" s="1"/>
  <c r="J40" i="20"/>
  <c r="I40" i="20"/>
  <c r="H40" i="20"/>
  <c r="AZ39" i="20"/>
  <c r="AX39" i="20"/>
  <c r="BD39" i="20" s="1"/>
  <c r="AV39" i="20"/>
  <c r="AF39" i="20"/>
  <c r="AE39" i="20"/>
  <c r="AD39" i="20"/>
  <c r="AB39" i="20"/>
  <c r="M39" i="20"/>
  <c r="L39" i="20"/>
  <c r="O39" i="20" s="1"/>
  <c r="V39" i="20" s="1"/>
  <c r="K39" i="20"/>
  <c r="BC39" i="20" s="1"/>
  <c r="J39" i="20"/>
  <c r="I39" i="20"/>
  <c r="H39" i="20"/>
  <c r="BD38" i="20"/>
  <c r="BG38" i="20" s="1"/>
  <c r="AZ38" i="20"/>
  <c r="AX38" i="20"/>
  <c r="AV38" i="20"/>
  <c r="AF38" i="20"/>
  <c r="AE38" i="20"/>
  <c r="AD38" i="20"/>
  <c r="AB38" i="20"/>
  <c r="M38" i="20"/>
  <c r="L38" i="20"/>
  <c r="K38" i="20"/>
  <c r="AC38" i="20" s="1"/>
  <c r="J38" i="20"/>
  <c r="I38" i="20"/>
  <c r="H38" i="20"/>
  <c r="BD37" i="20"/>
  <c r="BG37" i="20" s="1"/>
  <c r="AZ37" i="20"/>
  <c r="AX37" i="20"/>
  <c r="AV37" i="20"/>
  <c r="AF37" i="20"/>
  <c r="AE37" i="20"/>
  <c r="AD37" i="20"/>
  <c r="AB37" i="20"/>
  <c r="M37" i="20"/>
  <c r="L37" i="20"/>
  <c r="K37" i="20"/>
  <c r="AC37" i="20" s="1"/>
  <c r="J37" i="20"/>
  <c r="I37" i="20"/>
  <c r="H37" i="20"/>
  <c r="AZ36" i="20"/>
  <c r="AX36" i="20"/>
  <c r="BD36" i="20" s="1"/>
  <c r="AV36" i="20"/>
  <c r="AF36" i="20"/>
  <c r="AE36" i="20"/>
  <c r="AD36" i="20"/>
  <c r="AB36" i="20"/>
  <c r="M36" i="20"/>
  <c r="L36" i="20"/>
  <c r="K36" i="20"/>
  <c r="BC36" i="20" s="1"/>
  <c r="J36" i="20"/>
  <c r="I36" i="20"/>
  <c r="H36" i="20"/>
  <c r="BB35" i="20"/>
  <c r="AZ35" i="20"/>
  <c r="AX35" i="20"/>
  <c r="BD35" i="20" s="1"/>
  <c r="BG35" i="20" s="1"/>
  <c r="AV35" i="20"/>
  <c r="AF35" i="20"/>
  <c r="AE35" i="20"/>
  <c r="AD35" i="20"/>
  <c r="AB35" i="20"/>
  <c r="M35" i="20"/>
  <c r="L35" i="20"/>
  <c r="K35" i="20"/>
  <c r="AC35" i="20" s="1"/>
  <c r="J35" i="20"/>
  <c r="I35" i="20"/>
  <c r="H35" i="20"/>
  <c r="AZ34" i="20"/>
  <c r="AX34" i="20"/>
  <c r="BD34" i="20" s="1"/>
  <c r="AV34" i="20"/>
  <c r="AF34" i="20"/>
  <c r="AE34" i="20"/>
  <c r="AD34" i="20"/>
  <c r="AB34" i="20"/>
  <c r="M34" i="20"/>
  <c r="L34" i="20"/>
  <c r="K34" i="20"/>
  <c r="AC34" i="20" s="1"/>
  <c r="J34" i="20"/>
  <c r="I34" i="20"/>
  <c r="H34" i="20"/>
  <c r="AZ33" i="20"/>
  <c r="AX33" i="20"/>
  <c r="BD33" i="20" s="1"/>
  <c r="BG33" i="20" s="1"/>
  <c r="AV33" i="20"/>
  <c r="AF33" i="20"/>
  <c r="AE33" i="20"/>
  <c r="AD33" i="20"/>
  <c r="AB33" i="20"/>
  <c r="M33" i="20"/>
  <c r="L33" i="20"/>
  <c r="K33" i="20"/>
  <c r="J33" i="20"/>
  <c r="I33" i="20"/>
  <c r="H33" i="20"/>
  <c r="AZ32" i="20"/>
  <c r="AX32" i="20"/>
  <c r="BD32" i="20" s="1"/>
  <c r="AV32" i="20"/>
  <c r="AF32" i="20"/>
  <c r="AE32" i="20"/>
  <c r="AD32" i="20"/>
  <c r="AB32" i="20"/>
  <c r="M32" i="20"/>
  <c r="L32" i="20"/>
  <c r="K32" i="20"/>
  <c r="BC32" i="20" s="1"/>
  <c r="J32" i="20"/>
  <c r="I32" i="20"/>
  <c r="H32" i="20"/>
  <c r="BG31" i="20"/>
  <c r="AZ31" i="20"/>
  <c r="AX31" i="20"/>
  <c r="BE31" i="20" s="1"/>
  <c r="BF31" i="20" s="1"/>
  <c r="AV31" i="20"/>
  <c r="AF31" i="20"/>
  <c r="AE31" i="20"/>
  <c r="AD31" i="20"/>
  <c r="AB31" i="20"/>
  <c r="M31" i="20"/>
  <c r="L31" i="20"/>
  <c r="K31" i="20"/>
  <c r="J31" i="20"/>
  <c r="I31" i="20"/>
  <c r="H31" i="20"/>
  <c r="BG30" i="20"/>
  <c r="AZ30" i="20"/>
  <c r="AX30" i="20"/>
  <c r="BE30" i="20" s="1"/>
  <c r="BF30" i="20" s="1"/>
  <c r="AV30" i="20"/>
  <c r="AF30" i="20"/>
  <c r="AE30" i="20"/>
  <c r="AD30" i="20"/>
  <c r="AB30" i="20"/>
  <c r="M30" i="20"/>
  <c r="L30" i="20"/>
  <c r="K30" i="20"/>
  <c r="J30" i="20"/>
  <c r="I30" i="20"/>
  <c r="H30" i="20"/>
  <c r="BG29" i="20"/>
  <c r="AZ29" i="20"/>
  <c r="AX29" i="20"/>
  <c r="BE29" i="20" s="1"/>
  <c r="BF29" i="20" s="1"/>
  <c r="AV29" i="20"/>
  <c r="AF29" i="20"/>
  <c r="AE29" i="20"/>
  <c r="AD29" i="20"/>
  <c r="AB29" i="20"/>
  <c r="M29" i="20"/>
  <c r="L29" i="20"/>
  <c r="K29" i="20"/>
  <c r="J29" i="20"/>
  <c r="I29" i="20"/>
  <c r="H29" i="20"/>
  <c r="BG28" i="20"/>
  <c r="AZ28" i="20"/>
  <c r="AX28" i="20"/>
  <c r="BE28" i="20" s="1"/>
  <c r="BF28" i="20" s="1"/>
  <c r="AV28" i="20"/>
  <c r="AF28" i="20"/>
  <c r="AE28" i="20"/>
  <c r="AD28" i="20"/>
  <c r="AB28" i="20"/>
  <c r="M28" i="20"/>
  <c r="L28" i="20"/>
  <c r="K28" i="20"/>
  <c r="BC28" i="20" s="1"/>
  <c r="J28" i="20"/>
  <c r="I28" i="20"/>
  <c r="H28" i="20"/>
  <c r="BG27" i="20"/>
  <c r="AZ27" i="20"/>
  <c r="AX27" i="20"/>
  <c r="BE27" i="20" s="1"/>
  <c r="BF27" i="20" s="1"/>
  <c r="AV27" i="20"/>
  <c r="AF27" i="20"/>
  <c r="AE27" i="20"/>
  <c r="AD27" i="20"/>
  <c r="AB27" i="20"/>
  <c r="M27" i="20"/>
  <c r="L27" i="20"/>
  <c r="K27" i="20"/>
  <c r="BC27" i="20" s="1"/>
  <c r="J27" i="20"/>
  <c r="I27" i="20"/>
  <c r="H27" i="20"/>
  <c r="BG26" i="20"/>
  <c r="BF26" i="20"/>
  <c r="AZ26" i="20"/>
  <c r="AX26" i="20"/>
  <c r="BE26" i="20" s="1"/>
  <c r="AV26" i="20"/>
  <c r="AF26" i="20"/>
  <c r="AE26" i="20"/>
  <c r="AD26" i="20"/>
  <c r="AB26" i="20"/>
  <c r="M26" i="20"/>
  <c r="L26" i="20"/>
  <c r="K26" i="20"/>
  <c r="BC26" i="20" s="1"/>
  <c r="J26" i="20"/>
  <c r="I26" i="20"/>
  <c r="H26" i="20"/>
  <c r="BG25" i="20"/>
  <c r="AZ25" i="20"/>
  <c r="AX25" i="20"/>
  <c r="BE25" i="20" s="1"/>
  <c r="BF25" i="20" s="1"/>
  <c r="AV25" i="20"/>
  <c r="AF25" i="20"/>
  <c r="AE25" i="20"/>
  <c r="AD25" i="20"/>
  <c r="AB25" i="20"/>
  <c r="M25" i="20"/>
  <c r="L25" i="20"/>
  <c r="K25" i="20"/>
  <c r="AC25" i="20" s="1"/>
  <c r="J25" i="20"/>
  <c r="I25" i="20"/>
  <c r="H25" i="20"/>
  <c r="BG24" i="20"/>
  <c r="AZ24" i="20"/>
  <c r="AX24" i="20"/>
  <c r="BE24" i="20" s="1"/>
  <c r="BF24" i="20" s="1"/>
  <c r="AV24" i="20"/>
  <c r="AF24" i="20"/>
  <c r="AE24" i="20"/>
  <c r="AD24" i="20"/>
  <c r="AB24" i="20"/>
  <c r="M24" i="20"/>
  <c r="L24" i="20"/>
  <c r="K24" i="20"/>
  <c r="BC24" i="20" s="1"/>
  <c r="J24" i="20"/>
  <c r="I24" i="20"/>
  <c r="H24" i="20"/>
  <c r="BG23" i="20"/>
  <c r="AZ23" i="20"/>
  <c r="AX23" i="20"/>
  <c r="BE23" i="20" s="1"/>
  <c r="BF23" i="20" s="1"/>
  <c r="AV23" i="20"/>
  <c r="AF23" i="20"/>
  <c r="AE23" i="20"/>
  <c r="AD23" i="20"/>
  <c r="AB23" i="20"/>
  <c r="M23" i="20"/>
  <c r="P23" i="20" s="1"/>
  <c r="L23" i="20"/>
  <c r="K23" i="20"/>
  <c r="BC23" i="20" s="1"/>
  <c r="J23" i="20"/>
  <c r="I23" i="20"/>
  <c r="H23" i="20"/>
  <c r="BG22" i="20"/>
  <c r="AZ22" i="20"/>
  <c r="AX22" i="20"/>
  <c r="BE22" i="20" s="1"/>
  <c r="BF22" i="20" s="1"/>
  <c r="AV22" i="20"/>
  <c r="AF22" i="20"/>
  <c r="AE22" i="20"/>
  <c r="AD22" i="20"/>
  <c r="AB22" i="20"/>
  <c r="M22" i="20"/>
  <c r="L22" i="20"/>
  <c r="K22" i="20"/>
  <c r="AC22" i="20" s="1"/>
  <c r="J22" i="20"/>
  <c r="I22" i="20"/>
  <c r="H22" i="20"/>
  <c r="BG21" i="20"/>
  <c r="AZ21" i="20"/>
  <c r="AX21" i="20"/>
  <c r="BE21" i="20" s="1"/>
  <c r="BF21" i="20" s="1"/>
  <c r="AV21" i="20"/>
  <c r="AF21" i="20"/>
  <c r="AE21" i="20"/>
  <c r="AD21" i="20"/>
  <c r="AB21" i="20"/>
  <c r="M21" i="20"/>
  <c r="L21" i="20"/>
  <c r="N21" i="20" s="1"/>
  <c r="K21" i="20"/>
  <c r="BB21" i="20" s="1"/>
  <c r="J21" i="20"/>
  <c r="I21" i="20"/>
  <c r="H21" i="20"/>
  <c r="BG20" i="20"/>
  <c r="AZ20" i="20"/>
  <c r="AX20" i="20"/>
  <c r="BE20" i="20" s="1"/>
  <c r="BF20" i="20" s="1"/>
  <c r="AV20" i="20"/>
  <c r="AF20" i="20"/>
  <c r="AE20" i="20"/>
  <c r="AD20" i="20"/>
  <c r="AB20" i="20"/>
  <c r="M20" i="20"/>
  <c r="L20" i="20"/>
  <c r="K20" i="20"/>
  <c r="BB20" i="20" s="1"/>
  <c r="J20" i="20"/>
  <c r="I20" i="20"/>
  <c r="H20" i="20"/>
  <c r="BG19" i="20"/>
  <c r="AZ19" i="20"/>
  <c r="AX19" i="20"/>
  <c r="BE19" i="20" s="1"/>
  <c r="BF19" i="20" s="1"/>
  <c r="AV19" i="20"/>
  <c r="AF19" i="20"/>
  <c r="AE19" i="20"/>
  <c r="AD19" i="20"/>
  <c r="AB19" i="20"/>
  <c r="M19" i="20"/>
  <c r="L19" i="20"/>
  <c r="K19" i="20"/>
  <c r="AC19" i="20" s="1"/>
  <c r="J19" i="20"/>
  <c r="I19" i="20"/>
  <c r="H19" i="20"/>
  <c r="BG18" i="20"/>
  <c r="AX18" i="20"/>
  <c r="BE18" i="20" s="1"/>
  <c r="BF18" i="20" s="1"/>
  <c r="AV18" i="20"/>
  <c r="AF18" i="20"/>
  <c r="AE18" i="20"/>
  <c r="AD18" i="20"/>
  <c r="AB18" i="20"/>
  <c r="M18" i="20"/>
  <c r="L18" i="20"/>
  <c r="K18" i="20"/>
  <c r="AC18" i="20" s="1"/>
  <c r="J18" i="20"/>
  <c r="I18" i="20"/>
  <c r="H18" i="20"/>
  <c r="BG17" i="20"/>
  <c r="AX17" i="20"/>
  <c r="BE17" i="20" s="1"/>
  <c r="BF17" i="20" s="1"/>
  <c r="AV17" i="20"/>
  <c r="AF17" i="20"/>
  <c r="AE17" i="20"/>
  <c r="AD17" i="20"/>
  <c r="AB17" i="20"/>
  <c r="M17" i="20"/>
  <c r="P17" i="20" s="1"/>
  <c r="L17" i="20"/>
  <c r="K17" i="20"/>
  <c r="AC17" i="20" s="1"/>
  <c r="J17" i="20"/>
  <c r="I17" i="20"/>
  <c r="H17" i="20"/>
  <c r="BG16" i="20"/>
  <c r="AX16" i="20"/>
  <c r="BE16" i="20" s="1"/>
  <c r="BF16" i="20" s="1"/>
  <c r="AV16" i="20"/>
  <c r="AF16" i="20"/>
  <c r="AE16" i="20"/>
  <c r="AD16" i="20"/>
  <c r="AB16" i="20"/>
  <c r="M16" i="20"/>
  <c r="L16" i="20"/>
  <c r="K16" i="20"/>
  <c r="AC16" i="20" s="1"/>
  <c r="J16" i="20"/>
  <c r="I16" i="20"/>
  <c r="H16" i="20"/>
  <c r="BG15" i="20"/>
  <c r="AX15" i="20"/>
  <c r="BE15" i="20" s="1"/>
  <c r="BF15" i="20" s="1"/>
  <c r="AV15" i="20"/>
  <c r="AF15" i="20"/>
  <c r="AE15" i="20"/>
  <c r="AD15" i="20"/>
  <c r="AB15" i="20"/>
  <c r="M15" i="20"/>
  <c r="L15" i="20"/>
  <c r="K15" i="20"/>
  <c r="AC15" i="20" s="1"/>
  <c r="J15" i="20"/>
  <c r="I15" i="20"/>
  <c r="H15" i="20"/>
  <c r="BG14" i="20"/>
  <c r="AX14" i="20"/>
  <c r="BE14" i="20" s="1"/>
  <c r="BF14" i="20" s="1"/>
  <c r="AV14" i="20"/>
  <c r="AF14" i="20"/>
  <c r="AE14" i="20"/>
  <c r="AD14" i="20"/>
  <c r="AB14" i="20"/>
  <c r="M14" i="20"/>
  <c r="L14" i="20"/>
  <c r="K14" i="20"/>
  <c r="AC14" i="20" s="1"/>
  <c r="J14" i="20"/>
  <c r="I14" i="20"/>
  <c r="H14" i="20"/>
  <c r="BG13" i="20"/>
  <c r="AX13" i="20"/>
  <c r="BE13" i="20" s="1"/>
  <c r="BF13" i="20" s="1"/>
  <c r="AV13" i="20"/>
  <c r="AF13" i="20"/>
  <c r="AE13" i="20"/>
  <c r="AD13" i="20"/>
  <c r="AB13" i="20"/>
  <c r="M13" i="20"/>
  <c r="L13" i="20"/>
  <c r="K13" i="20"/>
  <c r="AC13" i="20" s="1"/>
  <c r="J13" i="20"/>
  <c r="I13" i="20"/>
  <c r="H13" i="20"/>
  <c r="BG12" i="20"/>
  <c r="AX12" i="20"/>
  <c r="BE12" i="20" s="1"/>
  <c r="BF12" i="20" s="1"/>
  <c r="AV12" i="20"/>
  <c r="AF12" i="20"/>
  <c r="AE12" i="20"/>
  <c r="AD12" i="20"/>
  <c r="AB12" i="20"/>
  <c r="M12" i="20"/>
  <c r="L12" i="20"/>
  <c r="K12" i="20"/>
  <c r="AC12" i="20" s="1"/>
  <c r="J12" i="20"/>
  <c r="I12" i="20"/>
  <c r="H12" i="20"/>
  <c r="BG11" i="20"/>
  <c r="AX11" i="20"/>
  <c r="BE11" i="20" s="1"/>
  <c r="BF11" i="20" s="1"/>
  <c r="AV11" i="20"/>
  <c r="AF11" i="20"/>
  <c r="AE11" i="20"/>
  <c r="AD11" i="20"/>
  <c r="AB11" i="20"/>
  <c r="M11" i="20"/>
  <c r="L11" i="20"/>
  <c r="K11" i="20"/>
  <c r="AC11" i="20" s="1"/>
  <c r="J11" i="20"/>
  <c r="I11" i="20"/>
  <c r="H11" i="20"/>
  <c r="BG10" i="20"/>
  <c r="AX10" i="20"/>
  <c r="BE10" i="20" s="1"/>
  <c r="BF10" i="20" s="1"/>
  <c r="AV10" i="20"/>
  <c r="AF10" i="20"/>
  <c r="AE10" i="20"/>
  <c r="AD10" i="20"/>
  <c r="AB10" i="20"/>
  <c r="M10" i="20"/>
  <c r="L10" i="20"/>
  <c r="K10" i="20"/>
  <c r="AC10" i="20" s="1"/>
  <c r="J10" i="20"/>
  <c r="I10" i="20"/>
  <c r="H10" i="20"/>
  <c r="BG9" i="20"/>
  <c r="AX9" i="20"/>
  <c r="BE9" i="20" s="1"/>
  <c r="BF9" i="20" s="1"/>
  <c r="AV9" i="20"/>
  <c r="AF9" i="20"/>
  <c r="AE9" i="20"/>
  <c r="AD9" i="20"/>
  <c r="AB9" i="20"/>
  <c r="M9" i="20"/>
  <c r="L9" i="20"/>
  <c r="K9" i="20"/>
  <c r="AC9" i="20" s="1"/>
  <c r="J9" i="20"/>
  <c r="I9" i="20"/>
  <c r="H9" i="20"/>
  <c r="BD8" i="20"/>
  <c r="BG8" i="20" s="1"/>
  <c r="AZ8" i="20"/>
  <c r="AX8" i="20"/>
  <c r="AV8" i="20"/>
  <c r="AF8" i="20"/>
  <c r="AE8" i="20"/>
  <c r="AD8" i="20"/>
  <c r="AB8" i="20"/>
  <c r="M8" i="20"/>
  <c r="L8" i="20"/>
  <c r="K8" i="20"/>
  <c r="AC8" i="20" s="1"/>
  <c r="J8" i="20"/>
  <c r="I8" i="20"/>
  <c r="H8" i="20"/>
  <c r="AZ7" i="20"/>
  <c r="AX7" i="20"/>
  <c r="BD7" i="20" s="1"/>
  <c r="AV7" i="20"/>
  <c r="AF7" i="20"/>
  <c r="AE7" i="20"/>
  <c r="AD7" i="20"/>
  <c r="AB7" i="20"/>
  <c r="M7" i="20"/>
  <c r="L7" i="20"/>
  <c r="K7" i="20"/>
  <c r="BC7" i="20" s="1"/>
  <c r="J7" i="20"/>
  <c r="I7" i="20"/>
  <c r="H7" i="20"/>
  <c r="AZ6" i="20"/>
  <c r="AX6" i="20"/>
  <c r="BD6" i="20" s="1"/>
  <c r="BG6" i="20" s="1"/>
  <c r="AV6" i="20"/>
  <c r="AF6" i="20"/>
  <c r="AE6" i="20"/>
  <c r="AD6" i="20"/>
  <c r="AB6" i="20"/>
  <c r="M6" i="20"/>
  <c r="L6" i="20"/>
  <c r="K6" i="20"/>
  <c r="BB6" i="20" s="1"/>
  <c r="J6" i="20"/>
  <c r="I6" i="20"/>
  <c r="H6" i="20"/>
  <c r="AZ5" i="20"/>
  <c r="AX5" i="20"/>
  <c r="BD5" i="20" s="1"/>
  <c r="AV5" i="20"/>
  <c r="AF5" i="20"/>
  <c r="AE5" i="20"/>
  <c r="AD5" i="20"/>
  <c r="AB5" i="20"/>
  <c r="M5" i="20"/>
  <c r="L5" i="20"/>
  <c r="K5" i="20"/>
  <c r="AC5" i="20" s="1"/>
  <c r="J5" i="20"/>
  <c r="I5" i="20"/>
  <c r="H5" i="20"/>
  <c r="AZ4" i="20"/>
  <c r="AX4" i="20"/>
  <c r="BD4" i="20" s="1"/>
  <c r="BG4" i="20" s="1"/>
  <c r="AV4" i="20"/>
  <c r="AF4" i="20"/>
  <c r="AE4" i="20"/>
  <c r="AD4" i="20"/>
  <c r="AB4" i="20"/>
  <c r="M4" i="20"/>
  <c r="L4" i="20"/>
  <c r="K4" i="20"/>
  <c r="BB4" i="20" s="1"/>
  <c r="J4" i="20"/>
  <c r="I4" i="20"/>
  <c r="H4" i="20"/>
  <c r="AZ3" i="20"/>
  <c r="AX3" i="20"/>
  <c r="BD3" i="20" s="1"/>
  <c r="AV3" i="20"/>
  <c r="AF3" i="20"/>
  <c r="AE3" i="20"/>
  <c r="AD3" i="20"/>
  <c r="AB3" i="20"/>
  <c r="M3" i="20"/>
  <c r="L3" i="20"/>
  <c r="K3" i="20"/>
  <c r="BC3" i="20" s="1"/>
  <c r="J3" i="20"/>
  <c r="I3" i="20"/>
  <c r="H3" i="20"/>
  <c r="M1257" i="11"/>
  <c r="M1258" i="11"/>
  <c r="M1259" i="11"/>
  <c r="M1260" i="11"/>
  <c r="M1261" i="11"/>
  <c r="M1262" i="11"/>
  <c r="M1263" i="11"/>
  <c r="M1264" i="11"/>
  <c r="M1265" i="11"/>
  <c r="M1266" i="11"/>
  <c r="M1267" i="11"/>
  <c r="M1268" i="11"/>
  <c r="M1269" i="11"/>
  <c r="M1270" i="11"/>
  <c r="M1271" i="11"/>
  <c r="M1272" i="11"/>
  <c r="M1273" i="11"/>
  <c r="M1274" i="11"/>
  <c r="M1275" i="11"/>
  <c r="M1276" i="11"/>
  <c r="M1256" i="11"/>
  <c r="AZ794" i="11"/>
  <c r="AX794" i="11"/>
  <c r="AV794" i="11"/>
  <c r="AN794" i="11"/>
  <c r="AM794" i="11"/>
  <c r="AK794" i="11"/>
  <c r="AJ794" i="11"/>
  <c r="AZ793" i="11"/>
  <c r="AX793" i="11"/>
  <c r="AV793" i="11"/>
  <c r="AN793" i="11"/>
  <c r="AM793" i="11"/>
  <c r="AK793" i="11"/>
  <c r="AJ793" i="11"/>
  <c r="AZ792" i="11"/>
  <c r="AX792" i="11"/>
  <c r="AV792" i="11"/>
  <c r="AN792" i="11"/>
  <c r="AM792" i="11"/>
  <c r="AK792" i="11"/>
  <c r="AJ792" i="11"/>
  <c r="AZ695" i="11"/>
  <c r="AX695" i="11"/>
  <c r="AV695" i="11"/>
  <c r="AN695" i="11"/>
  <c r="AM695" i="11"/>
  <c r="AK695" i="11"/>
  <c r="AJ695" i="11"/>
  <c r="AZ694" i="11"/>
  <c r="AX694" i="11"/>
  <c r="AV694" i="11"/>
  <c r="AN694" i="11"/>
  <c r="AM694" i="11"/>
  <c r="AK694" i="11"/>
  <c r="AJ694" i="11"/>
  <c r="AZ693" i="11"/>
  <c r="AX693" i="11"/>
  <c r="AV693" i="11"/>
  <c r="AN693" i="11"/>
  <c r="AM693" i="11"/>
  <c r="AK693" i="11"/>
  <c r="AJ693" i="11"/>
  <c r="AZ643" i="11"/>
  <c r="AX643" i="11"/>
  <c r="AV643" i="11"/>
  <c r="AN643" i="11"/>
  <c r="AM643" i="11"/>
  <c r="AK643" i="11"/>
  <c r="AJ643" i="11"/>
  <c r="AZ642" i="11"/>
  <c r="AX642" i="11"/>
  <c r="AV642" i="11"/>
  <c r="AN642" i="11"/>
  <c r="AM642" i="11"/>
  <c r="AK642" i="11"/>
  <c r="AJ642" i="11"/>
  <c r="AZ641" i="11"/>
  <c r="AX641" i="11"/>
  <c r="AV641" i="11"/>
  <c r="AN641" i="11"/>
  <c r="AM641" i="11"/>
  <c r="AK641" i="11"/>
  <c r="AJ641" i="11"/>
  <c r="AZ494" i="11"/>
  <c r="AX494" i="11"/>
  <c r="AV494" i="11"/>
  <c r="AN494" i="11"/>
  <c r="AM494" i="11"/>
  <c r="AK494" i="11"/>
  <c r="AJ494" i="11"/>
  <c r="AZ493" i="11"/>
  <c r="AX493" i="11"/>
  <c r="AV493" i="11"/>
  <c r="AN493" i="11"/>
  <c r="AM493" i="11"/>
  <c r="AK493" i="11"/>
  <c r="AJ493" i="11"/>
  <c r="AZ492" i="11"/>
  <c r="AX492" i="11"/>
  <c r="AV492" i="11"/>
  <c r="AN492" i="11"/>
  <c r="AM492" i="11"/>
  <c r="AK492" i="11"/>
  <c r="AJ492" i="11"/>
  <c r="AZ462" i="11"/>
  <c r="AX462" i="11"/>
  <c r="AV462" i="11"/>
  <c r="AN462" i="11"/>
  <c r="AM462" i="11"/>
  <c r="AK462" i="11"/>
  <c r="AJ462" i="11"/>
  <c r="AZ461" i="11"/>
  <c r="AX461" i="11"/>
  <c r="AV461" i="11"/>
  <c r="AN461" i="11"/>
  <c r="AM461" i="11"/>
  <c r="AK461" i="11"/>
  <c r="AJ461" i="11"/>
  <c r="AZ460" i="11"/>
  <c r="AX460" i="11"/>
  <c r="AV460" i="11"/>
  <c r="AN460" i="11"/>
  <c r="AM460" i="11"/>
  <c r="AK460" i="11"/>
  <c r="AJ460" i="11"/>
  <c r="AZ195" i="11"/>
  <c r="AX195" i="11"/>
  <c r="AV195" i="11"/>
  <c r="AN195" i="11"/>
  <c r="AM195" i="11"/>
  <c r="AK195" i="11"/>
  <c r="AJ195" i="11"/>
  <c r="AZ194" i="11"/>
  <c r="AX194" i="11"/>
  <c r="AV194" i="11"/>
  <c r="AN194" i="11"/>
  <c r="AM194" i="11"/>
  <c r="AK194" i="11"/>
  <c r="AJ194" i="11"/>
  <c r="AZ193" i="11"/>
  <c r="AX193" i="11"/>
  <c r="AV193" i="11"/>
  <c r="AN193" i="11"/>
  <c r="AM193" i="11"/>
  <c r="AK193" i="11"/>
  <c r="AJ193" i="11"/>
  <c r="AZ169" i="11"/>
  <c r="AX169" i="11"/>
  <c r="AV169" i="11"/>
  <c r="AN169" i="11"/>
  <c r="AM169" i="11"/>
  <c r="AK169" i="11"/>
  <c r="AJ169" i="11"/>
  <c r="AZ168" i="11"/>
  <c r="AX168" i="11"/>
  <c r="AV168" i="11"/>
  <c r="AN168" i="11"/>
  <c r="AM168" i="11"/>
  <c r="AK168" i="11"/>
  <c r="AJ168" i="11"/>
  <c r="AZ167" i="11"/>
  <c r="AX167" i="11"/>
  <c r="AV167" i="11"/>
  <c r="AN167" i="11"/>
  <c r="AM167" i="11"/>
  <c r="AK167" i="11"/>
  <c r="AJ167" i="11"/>
  <c r="AZ141" i="11"/>
  <c r="AX141" i="11"/>
  <c r="AV141" i="11"/>
  <c r="AN141" i="11"/>
  <c r="AM141" i="11"/>
  <c r="AK141" i="11"/>
  <c r="AJ141" i="11"/>
  <c r="AZ140" i="11"/>
  <c r="AX140" i="11"/>
  <c r="AV140" i="11"/>
  <c r="AN140" i="11"/>
  <c r="AM140" i="11"/>
  <c r="AK140" i="11"/>
  <c r="AJ140" i="11"/>
  <c r="AZ139" i="11"/>
  <c r="AX139" i="11"/>
  <c r="AV139" i="11"/>
  <c r="AN139" i="11"/>
  <c r="AM139" i="11"/>
  <c r="AK139" i="11"/>
  <c r="AJ139" i="11"/>
  <c r="M1150" i="11"/>
  <c r="M1151" i="11"/>
  <c r="M1152" i="11"/>
  <c r="M1153" i="11"/>
  <c r="M1154" i="11"/>
  <c r="M1155" i="11"/>
  <c r="M1156" i="11"/>
  <c r="M1157" i="11"/>
  <c r="M1158" i="11"/>
  <c r="M1159" i="11"/>
  <c r="M1160" i="11"/>
  <c r="M1161" i="11"/>
  <c r="M1162" i="11"/>
  <c r="M1163" i="11"/>
  <c r="M1164" i="11"/>
  <c r="M1165" i="11"/>
  <c r="M1166" i="11"/>
  <c r="M1167" i="11"/>
  <c r="M1168" i="11"/>
  <c r="M1169" i="11"/>
  <c r="M1170" i="11"/>
  <c r="M1171" i="11"/>
  <c r="M1172" i="11"/>
  <c r="M1173" i="11"/>
  <c r="M1174" i="11"/>
  <c r="M1149" i="11"/>
  <c r="M1148" i="11"/>
  <c r="L1148" i="11"/>
  <c r="M1147" i="11"/>
  <c r="L1147" i="11"/>
  <c r="M1146" i="11"/>
  <c r="L1146" i="11"/>
  <c r="M1145" i="11"/>
  <c r="L1145" i="11"/>
  <c r="M1144" i="11"/>
  <c r="L1144" i="11"/>
  <c r="M1143" i="11"/>
  <c r="L1143" i="11"/>
  <c r="M1142" i="11"/>
  <c r="L1142" i="11"/>
  <c r="M1141" i="11"/>
  <c r="L1141" i="11"/>
  <c r="M1140" i="11"/>
  <c r="L1140" i="11"/>
  <c r="M1139" i="11"/>
  <c r="L1139" i="11"/>
  <c r="M1138" i="11"/>
  <c r="L1138" i="11"/>
  <c r="M1137" i="11"/>
  <c r="L1137" i="11"/>
  <c r="M1136" i="11"/>
  <c r="L1136" i="11"/>
  <c r="M1135" i="11"/>
  <c r="L1135" i="11"/>
  <c r="M1134" i="11"/>
  <c r="L1134" i="11"/>
  <c r="M1133" i="11"/>
  <c r="L1133" i="11"/>
  <c r="M1132" i="11"/>
  <c r="L1132" i="11"/>
  <c r="M1131" i="11"/>
  <c r="L1131" i="11"/>
  <c r="M1130" i="11"/>
  <c r="L1130" i="11"/>
  <c r="M1129" i="11"/>
  <c r="L1129" i="11"/>
  <c r="M1128" i="11"/>
  <c r="L1128" i="11"/>
  <c r="M1127" i="11"/>
  <c r="L1127" i="11"/>
  <c r="M1126" i="11"/>
  <c r="L1126" i="11"/>
  <c r="M1125" i="11"/>
  <c r="L1125" i="11"/>
  <c r="M1124" i="11"/>
  <c r="L1124" i="11"/>
  <c r="M1123" i="11"/>
  <c r="L1123" i="11"/>
  <c r="M1122" i="11"/>
  <c r="M1121" i="11"/>
  <c r="L1121" i="11"/>
  <c r="M1120" i="11"/>
  <c r="L1120" i="11"/>
  <c r="M1119" i="11"/>
  <c r="L1119" i="11"/>
  <c r="M1118" i="11"/>
  <c r="L1118" i="11"/>
  <c r="M1117" i="11"/>
  <c r="L1117" i="11"/>
  <c r="M1116" i="11"/>
  <c r="L1116" i="11"/>
  <c r="M1115" i="11"/>
  <c r="L1115" i="11"/>
  <c r="M1114" i="11"/>
  <c r="L1114" i="11"/>
  <c r="M1113" i="11"/>
  <c r="L1113" i="11"/>
  <c r="M1112" i="11"/>
  <c r="L1097" i="11"/>
  <c r="M1097" i="11"/>
  <c r="L1098" i="11"/>
  <c r="M1098" i="11"/>
  <c r="L1099" i="11"/>
  <c r="M1099" i="11"/>
  <c r="L1100" i="11"/>
  <c r="M1100" i="11"/>
  <c r="L1101" i="11"/>
  <c r="M1101" i="11"/>
  <c r="L1102" i="11"/>
  <c r="M1102" i="11"/>
  <c r="L1103" i="11"/>
  <c r="M1103" i="11"/>
  <c r="L1104" i="11"/>
  <c r="M1104" i="11"/>
  <c r="L1105" i="11"/>
  <c r="M1105" i="11"/>
  <c r="L1106" i="11"/>
  <c r="M1106" i="11"/>
  <c r="L1107" i="11"/>
  <c r="M1107" i="11"/>
  <c r="L1108" i="11"/>
  <c r="M1108" i="11"/>
  <c r="L1109" i="11"/>
  <c r="M1109" i="11"/>
  <c r="L1110" i="11"/>
  <c r="M1110" i="11"/>
  <c r="L1111" i="11"/>
  <c r="M1111" i="11"/>
  <c r="M1096" i="11"/>
  <c r="L1096" i="11"/>
  <c r="M1087" i="11"/>
  <c r="M1088" i="11"/>
  <c r="M1089" i="11"/>
  <c r="M1090" i="11"/>
  <c r="M1091" i="11"/>
  <c r="M1092" i="11"/>
  <c r="M1093" i="11"/>
  <c r="M1094" i="11"/>
  <c r="M1095" i="11"/>
  <c r="M1086" i="11"/>
  <c r="L1087" i="11"/>
  <c r="L1088" i="11"/>
  <c r="L1089" i="11"/>
  <c r="L1090" i="11"/>
  <c r="L1091" i="11"/>
  <c r="L1092" i="11"/>
  <c r="L1093" i="11"/>
  <c r="L1094" i="11"/>
  <c r="L1095" i="11"/>
  <c r="L1086" i="11"/>
  <c r="AC542" i="20" l="1"/>
  <c r="AC543" i="20"/>
  <c r="W442" i="20"/>
  <c r="AC223" i="20"/>
  <c r="AC53" i="20"/>
  <c r="N60" i="20"/>
  <c r="Q574" i="20"/>
  <c r="V574" i="20" s="1"/>
  <c r="S226" i="20"/>
  <c r="S298" i="20"/>
  <c r="S489" i="20"/>
  <c r="S859" i="20"/>
  <c r="Q66" i="20"/>
  <c r="Q338" i="20"/>
  <c r="Q1004" i="20"/>
  <c r="V1004" i="20" s="1"/>
  <c r="O51" i="20"/>
  <c r="N59" i="20"/>
  <c r="BN217" i="20"/>
  <c r="BO217" i="20" s="1"/>
  <c r="BD217" i="20" s="1"/>
  <c r="BE217" i="20" s="1"/>
  <c r="BF217" i="20" s="1"/>
  <c r="Q1097" i="20"/>
  <c r="BC1130" i="20"/>
  <c r="S1190" i="20"/>
  <c r="W1190" i="20" s="1"/>
  <c r="Y1190" i="20" s="1"/>
  <c r="BB1131" i="20"/>
  <c r="Q199" i="20"/>
  <c r="T199" i="20" s="1"/>
  <c r="Q527" i="20"/>
  <c r="BL616" i="20"/>
  <c r="Q916" i="20"/>
  <c r="S949" i="20"/>
  <c r="S969" i="20"/>
  <c r="BB1050" i="20"/>
  <c r="S1183" i="20"/>
  <c r="Q877" i="20"/>
  <c r="T877" i="20" s="1"/>
  <c r="S975" i="20"/>
  <c r="Q1030" i="20"/>
  <c r="V1030" i="20" s="1"/>
  <c r="BB1128" i="20"/>
  <c r="Q1171" i="20"/>
  <c r="V1171" i="20" s="1"/>
  <c r="BL224" i="20"/>
  <c r="BN224" i="20" s="1"/>
  <c r="BO224" i="20" s="1"/>
  <c r="BD224" i="20" s="1"/>
  <c r="BB245" i="20"/>
  <c r="BC1127" i="20"/>
  <c r="BL44" i="20"/>
  <c r="S139" i="20"/>
  <c r="BB148" i="20"/>
  <c r="S308" i="20"/>
  <c r="S381" i="20"/>
  <c r="S405" i="20"/>
  <c r="Q1169" i="20"/>
  <c r="V1169" i="20" s="1"/>
  <c r="AC1206" i="20"/>
  <c r="N49" i="20"/>
  <c r="BL148" i="20"/>
  <c r="BN148" i="20" s="1"/>
  <c r="BO148" i="20" s="1"/>
  <c r="BD148" i="20" s="1"/>
  <c r="BG148" i="20" s="1"/>
  <c r="BN897" i="20"/>
  <c r="BO897" i="20" s="1"/>
  <c r="BD897" i="20" s="1"/>
  <c r="AC1107" i="20"/>
  <c r="S1111" i="20"/>
  <c r="Q1134" i="20"/>
  <c r="T1134" i="20" s="1"/>
  <c r="S1158" i="20"/>
  <c r="T1158" i="20" s="1"/>
  <c r="S1159" i="20"/>
  <c r="O7" i="20"/>
  <c r="S207" i="20"/>
  <c r="Q348" i="20"/>
  <c r="V348" i="20" s="1"/>
  <c r="BC390" i="20"/>
  <c r="S913" i="20"/>
  <c r="Q1032" i="20"/>
  <c r="Q1073" i="20"/>
  <c r="V1073" i="20" s="1"/>
  <c r="Q1199" i="20"/>
  <c r="V1199" i="20" s="1"/>
  <c r="V1092" i="20"/>
  <c r="O47" i="20"/>
  <c r="V47" i="20" s="1"/>
  <c r="Q680" i="20"/>
  <c r="BC876" i="20"/>
  <c r="Q939" i="20"/>
  <c r="S1090" i="20"/>
  <c r="T1090" i="20" s="1"/>
  <c r="N46" i="20"/>
  <c r="U46" i="20" s="1"/>
  <c r="S109" i="20"/>
  <c r="BC144" i="20"/>
  <c r="Q324" i="20"/>
  <c r="S355" i="20"/>
  <c r="Q500" i="20"/>
  <c r="Q662" i="20"/>
  <c r="S772" i="20"/>
  <c r="S890" i="20"/>
  <c r="BN935" i="20"/>
  <c r="BO935" i="20" s="1"/>
  <c r="BD935" i="20" s="1"/>
  <c r="BG935" i="20" s="1"/>
  <c r="BN962" i="20"/>
  <c r="BO962" i="20" s="1"/>
  <c r="BD962" i="20" s="1"/>
  <c r="Q972" i="20"/>
  <c r="S1033" i="20"/>
  <c r="S1113" i="20"/>
  <c r="S157" i="20"/>
  <c r="T157" i="20" s="1"/>
  <c r="Q205" i="20"/>
  <c r="T205" i="20" s="1"/>
  <c r="S451" i="20"/>
  <c r="T451" i="20" s="1"/>
  <c r="S575" i="20"/>
  <c r="Q774" i="20"/>
  <c r="V774" i="20" s="1"/>
  <c r="Q785" i="20"/>
  <c r="V785" i="20" s="1"/>
  <c r="S826" i="20"/>
  <c r="Q858" i="20"/>
  <c r="V858" i="20" s="1"/>
  <c r="S896" i="20"/>
  <c r="BN1034" i="20"/>
  <c r="BO1034" i="20" s="1"/>
  <c r="BD1034" i="20" s="1"/>
  <c r="Q1224" i="20"/>
  <c r="BN44" i="20"/>
  <c r="BO44" i="20" s="1"/>
  <c r="BD44" i="20" s="1"/>
  <c r="BB1106" i="20"/>
  <c r="W1113" i="20"/>
  <c r="S1223" i="20"/>
  <c r="BB1107" i="20"/>
  <c r="AC1134" i="20"/>
  <c r="P26" i="20"/>
  <c r="T26" i="20" s="1"/>
  <c r="S84" i="20"/>
  <c r="W84" i="20" s="1"/>
  <c r="Y84" i="20" s="1"/>
  <c r="AC195" i="20"/>
  <c r="S219" i="20"/>
  <c r="S329" i="20"/>
  <c r="Q330" i="20"/>
  <c r="Q331" i="20"/>
  <c r="T475" i="20"/>
  <c r="BB776" i="20"/>
  <c r="S883" i="20"/>
  <c r="T925" i="20"/>
  <c r="R1213" i="20"/>
  <c r="S85" i="20"/>
  <c r="T85" i="20" s="1"/>
  <c r="Q118" i="20"/>
  <c r="W118" i="20" s="1"/>
  <c r="Q153" i="20"/>
  <c r="S285" i="20"/>
  <c r="Q715" i="20"/>
  <c r="T715" i="20" s="1"/>
  <c r="S723" i="20"/>
  <c r="W723" i="20" s="1"/>
  <c r="Y723" i="20" s="1"/>
  <c r="S764" i="20"/>
  <c r="Q802" i="20"/>
  <c r="BN995" i="20"/>
  <c r="BO995" i="20" s="1"/>
  <c r="BD995" i="20" s="1"/>
  <c r="O6" i="20"/>
  <c r="P25" i="20"/>
  <c r="S110" i="20"/>
  <c r="Q131" i="20"/>
  <c r="V131" i="20" s="1"/>
  <c r="Q135" i="20"/>
  <c r="V135" i="20" s="1"/>
  <c r="BB145" i="20"/>
  <c r="AC148" i="20"/>
  <c r="Q326" i="20"/>
  <c r="W326" i="20" s="1"/>
  <c r="S363" i="20"/>
  <c r="W363" i="20" s="1"/>
  <c r="S585" i="20"/>
  <c r="Q589" i="20"/>
  <c r="V589" i="20" s="1"/>
  <c r="Q590" i="20"/>
  <c r="V590" i="20" s="1"/>
  <c r="S591" i="20"/>
  <c r="W591" i="20" s="1"/>
  <c r="Y591" i="20" s="1"/>
  <c r="BL619" i="20"/>
  <c r="BN619" i="20" s="1"/>
  <c r="BO619" i="20" s="1"/>
  <c r="BD619" i="20" s="1"/>
  <c r="S664" i="20"/>
  <c r="BB748" i="20"/>
  <c r="T910" i="20"/>
  <c r="T1155" i="20"/>
  <c r="S1212" i="20"/>
  <c r="R1221" i="20"/>
  <c r="N24" i="20"/>
  <c r="AC49" i="20"/>
  <c r="S663" i="20"/>
  <c r="T842" i="20"/>
  <c r="BN923" i="20"/>
  <c r="BO923" i="20" s="1"/>
  <c r="BD923" i="20" s="1"/>
  <c r="BG923" i="20" s="1"/>
  <c r="BN933" i="20"/>
  <c r="BO933" i="20" s="1"/>
  <c r="BD933" i="20" s="1"/>
  <c r="BN939" i="20"/>
  <c r="BO939" i="20" s="1"/>
  <c r="BD939" i="20" s="1"/>
  <c r="BN970" i="20"/>
  <c r="BO970" i="20" s="1"/>
  <c r="BD970" i="20" s="1"/>
  <c r="BE970" i="20" s="1"/>
  <c r="BF970" i="20" s="1"/>
  <c r="BN989" i="20"/>
  <c r="BO989" i="20" s="1"/>
  <c r="BD989" i="20" s="1"/>
  <c r="BG989" i="20" s="1"/>
  <c r="BB1200" i="20"/>
  <c r="BB389" i="20"/>
  <c r="Q403" i="20"/>
  <c r="BL500" i="20"/>
  <c r="BN907" i="20"/>
  <c r="BO907" i="20" s="1"/>
  <c r="BD907" i="20" s="1"/>
  <c r="BN952" i="20"/>
  <c r="BO952" i="20" s="1"/>
  <c r="BD952" i="20" s="1"/>
  <c r="BN977" i="20"/>
  <c r="BO977" i="20" s="1"/>
  <c r="BD977" i="20" s="1"/>
  <c r="BN996" i="20"/>
  <c r="BO996" i="20" s="1"/>
  <c r="BD996" i="20" s="1"/>
  <c r="S1220" i="20"/>
  <c r="BB19" i="20"/>
  <c r="N23" i="20"/>
  <c r="P32" i="20"/>
  <c r="BB41" i="20"/>
  <c r="O68" i="20"/>
  <c r="Q124" i="20"/>
  <c r="T124" i="20" s="1"/>
  <c r="S191" i="20"/>
  <c r="T191" i="20" s="1"/>
  <c r="W319" i="20"/>
  <c r="S383" i="20"/>
  <c r="T383" i="20" s="1"/>
  <c r="BN928" i="20"/>
  <c r="BO928" i="20" s="1"/>
  <c r="BD928" i="20" s="1"/>
  <c r="BN965" i="20"/>
  <c r="BO965" i="20" s="1"/>
  <c r="BD965" i="20" s="1"/>
  <c r="BG965" i="20" s="1"/>
  <c r="BN971" i="20"/>
  <c r="BO971" i="20" s="1"/>
  <c r="BD971" i="20" s="1"/>
  <c r="R1228" i="20"/>
  <c r="O31" i="20"/>
  <c r="O53" i="20"/>
  <c r="S215" i="20"/>
  <c r="S316" i="20"/>
  <c r="W316" i="20" s="1"/>
  <c r="BN924" i="20"/>
  <c r="BO924" i="20" s="1"/>
  <c r="BD924" i="20" s="1"/>
  <c r="BG924" i="20" s="1"/>
  <c r="BN940" i="20"/>
  <c r="BO940" i="20" s="1"/>
  <c r="BD940" i="20" s="1"/>
  <c r="BE940" i="20" s="1"/>
  <c r="BF940" i="20" s="1"/>
  <c r="BC1100" i="20"/>
  <c r="BB1134" i="20"/>
  <c r="Q1210" i="20"/>
  <c r="V1210" i="20" s="1"/>
  <c r="S1219" i="20"/>
  <c r="BN978" i="20"/>
  <c r="BO978" i="20" s="1"/>
  <c r="BD978" i="20" s="1"/>
  <c r="N4" i="20"/>
  <c r="O30" i="20"/>
  <c r="S305" i="20"/>
  <c r="W562" i="20"/>
  <c r="BN902" i="20"/>
  <c r="BO902" i="20" s="1"/>
  <c r="BD902" i="20" s="1"/>
  <c r="BG902" i="20" s="1"/>
  <c r="BN918" i="20"/>
  <c r="BO918" i="20" s="1"/>
  <c r="BD918" i="20" s="1"/>
  <c r="BG918" i="20" s="1"/>
  <c r="BN960" i="20"/>
  <c r="BO960" i="20" s="1"/>
  <c r="BD960" i="20" s="1"/>
  <c r="Q1218" i="20"/>
  <c r="Q293" i="20"/>
  <c r="Q300" i="20"/>
  <c r="T300" i="20" s="1"/>
  <c r="S361" i="20"/>
  <c r="S455" i="20"/>
  <c r="Q478" i="20"/>
  <c r="S491" i="20"/>
  <c r="T491" i="20" s="1"/>
  <c r="Q508" i="20"/>
  <c r="W508" i="20" s="1"/>
  <c r="Q521" i="20"/>
  <c r="T521" i="20" s="1"/>
  <c r="W530" i="20"/>
  <c r="S562" i="20"/>
  <c r="Q597" i="20"/>
  <c r="V597" i="20" s="1"/>
  <c r="Q606" i="20"/>
  <c r="V606" i="20" s="1"/>
  <c r="S676" i="20"/>
  <c r="S709" i="20"/>
  <c r="S721" i="20"/>
  <c r="S779" i="20"/>
  <c r="W779" i="20" s="1"/>
  <c r="Y779" i="20" s="1"/>
  <c r="S853" i="20"/>
  <c r="W853" i="20" s="1"/>
  <c r="S928" i="20"/>
  <c r="Q1068" i="20"/>
  <c r="Q1175" i="20"/>
  <c r="V1175" i="20" s="1"/>
  <c r="R1217" i="20"/>
  <c r="T1217" i="20" s="1"/>
  <c r="N29" i="20"/>
  <c r="T29" i="20" s="1"/>
  <c r="Q159" i="20"/>
  <c r="S169" i="20"/>
  <c r="Q173" i="20"/>
  <c r="Q384" i="20"/>
  <c r="S468" i="20"/>
  <c r="Q578" i="20"/>
  <c r="V578" i="20" s="1"/>
  <c r="S596" i="20"/>
  <c r="BL617" i="20"/>
  <c r="BN617" i="20" s="1"/>
  <c r="BO617" i="20" s="1"/>
  <c r="BD617" i="20" s="1"/>
  <c r="S635" i="20"/>
  <c r="T635" i="20" s="1"/>
  <c r="Q642" i="20"/>
  <c r="W642" i="20" s="1"/>
  <c r="S692" i="20"/>
  <c r="S822" i="20"/>
  <c r="Q924" i="20"/>
  <c r="V924" i="20" s="1"/>
  <c r="BN930" i="20"/>
  <c r="BO930" i="20" s="1"/>
  <c r="BD930" i="20" s="1"/>
  <c r="BG930" i="20" s="1"/>
  <c r="Q934" i="20"/>
  <c r="V934" i="20" s="1"/>
  <c r="S940" i="20"/>
  <c r="BN1052" i="20"/>
  <c r="BO1052" i="20" s="1"/>
  <c r="BD1052" i="20" s="1"/>
  <c r="Q1069" i="20"/>
  <c r="S1070" i="20"/>
  <c r="S1110" i="20"/>
  <c r="P35" i="20"/>
  <c r="BL47" i="20"/>
  <c r="BN47" i="20" s="1"/>
  <c r="BO47" i="20" s="1"/>
  <c r="BD47" i="20" s="1"/>
  <c r="BE47" i="20" s="1"/>
  <c r="BF47" i="20" s="1"/>
  <c r="N51" i="20"/>
  <c r="N65" i="20"/>
  <c r="Q80" i="20"/>
  <c r="V80" i="20" s="1"/>
  <c r="S102" i="20"/>
  <c r="W102" i="20" s="1"/>
  <c r="BL225" i="20"/>
  <c r="BN225" i="20" s="1"/>
  <c r="BO225" i="20" s="1"/>
  <c r="BD225" i="20" s="1"/>
  <c r="S467" i="20"/>
  <c r="S576" i="20"/>
  <c r="Q750" i="20"/>
  <c r="W750" i="20" s="1"/>
  <c r="S811" i="20"/>
  <c r="T811" i="20" s="1"/>
  <c r="Q812" i="20"/>
  <c r="V812" i="20" s="1"/>
  <c r="BN955" i="20"/>
  <c r="BO955" i="20" s="1"/>
  <c r="BD955" i="20" s="1"/>
  <c r="BC1051" i="20"/>
  <c r="AC1108" i="20"/>
  <c r="S1161" i="20"/>
  <c r="Q1162" i="20"/>
  <c r="BE40" i="20"/>
  <c r="BF40" i="20" s="1"/>
  <c r="BG40" i="20"/>
  <c r="BL146" i="20"/>
  <c r="BN146" i="20" s="1"/>
  <c r="BO146" i="20" s="1"/>
  <c r="BD146" i="20" s="1"/>
  <c r="Q920" i="20"/>
  <c r="S920" i="20"/>
  <c r="BC35" i="20"/>
  <c r="Q116" i="20"/>
  <c r="S123" i="20"/>
  <c r="W123" i="20" s="1"/>
  <c r="Y123" i="20" s="1"/>
  <c r="S133" i="20"/>
  <c r="W133" i="20" s="1"/>
  <c r="Y133" i="20" s="1"/>
  <c r="AC145" i="20"/>
  <c r="S210" i="20"/>
  <c r="T210" i="20" s="1"/>
  <c r="AJ236" i="20"/>
  <c r="Q881" i="20"/>
  <c r="S881" i="20"/>
  <c r="Q1019" i="20"/>
  <c r="S1019" i="20"/>
  <c r="V53" i="20"/>
  <c r="Q88" i="20"/>
  <c r="W88" i="20" s="1"/>
  <c r="Q134" i="20"/>
  <c r="T134" i="20" s="1"/>
  <c r="Q137" i="20"/>
  <c r="V137" i="20" s="1"/>
  <c r="Q206" i="20"/>
  <c r="V206" i="20" s="1"/>
  <c r="S1156" i="20"/>
  <c r="Q1156" i="20"/>
  <c r="V1156" i="20" s="1"/>
  <c r="N8" i="20"/>
  <c r="O9" i="20"/>
  <c r="V9" i="20" s="1"/>
  <c r="O15" i="20"/>
  <c r="N26" i="20"/>
  <c r="BL226" i="20"/>
  <c r="BN226" i="20" s="1"/>
  <c r="BO226" i="20" s="1"/>
  <c r="BD226" i="20" s="1"/>
  <c r="BG226" i="20" s="1"/>
  <c r="AJ237" i="20"/>
  <c r="AJ246" i="20"/>
  <c r="S582" i="20"/>
  <c r="Q582" i="20"/>
  <c r="V582" i="20" s="1"/>
  <c r="O23" i="20"/>
  <c r="Q111" i="20"/>
  <c r="W111" i="20" s="1"/>
  <c r="Q211" i="20"/>
  <c r="V211" i="20" s="1"/>
  <c r="BG217" i="20"/>
  <c r="AN237" i="20"/>
  <c r="AM237" i="20"/>
  <c r="AM503" i="20"/>
  <c r="AN503" i="20"/>
  <c r="S712" i="20"/>
  <c r="W712" i="20" s="1"/>
  <c r="Y712" i="20" s="1"/>
  <c r="Q712" i="20"/>
  <c r="V712" i="20" s="1"/>
  <c r="S1116" i="20"/>
  <c r="Q1116" i="20"/>
  <c r="AN1175" i="20"/>
  <c r="AM1175" i="20"/>
  <c r="BC4" i="20"/>
  <c r="P22" i="20"/>
  <c r="O26" i="20"/>
  <c r="P28" i="20"/>
  <c r="BB42" i="20"/>
  <c r="Q92" i="20"/>
  <c r="Q93" i="20"/>
  <c r="Q543" i="20"/>
  <c r="S543" i="20"/>
  <c r="S821" i="20"/>
  <c r="Q821" i="20"/>
  <c r="V821" i="20" s="1"/>
  <c r="S957" i="20"/>
  <c r="Q957" i="20"/>
  <c r="V957" i="20" s="1"/>
  <c r="P51" i="20"/>
  <c r="V51" i="20" s="1"/>
  <c r="AC52" i="20"/>
  <c r="N68" i="20"/>
  <c r="O74" i="20"/>
  <c r="W81" i="20"/>
  <c r="BL144" i="20"/>
  <c r="BN144" i="20" s="1"/>
  <c r="BO144" i="20" s="1"/>
  <c r="BD144" i="20" s="1"/>
  <c r="AM246" i="20"/>
  <c r="S1153" i="20"/>
  <c r="Q1153" i="20"/>
  <c r="V1153" i="20" s="1"/>
  <c r="O19" i="20"/>
  <c r="P20" i="20"/>
  <c r="AC21" i="20"/>
  <c r="AC23" i="20"/>
  <c r="AC24" i="20"/>
  <c r="AC26" i="20"/>
  <c r="P36" i="20"/>
  <c r="BC41" i="20"/>
  <c r="P49" i="20"/>
  <c r="O67" i="20"/>
  <c r="O69" i="20"/>
  <c r="Q82" i="20"/>
  <c r="V82" i="20" s="1"/>
  <c r="S125" i="20"/>
  <c r="W125" i="20" s="1"/>
  <c r="Q126" i="20"/>
  <c r="T126" i="20" s="1"/>
  <c r="V199" i="20"/>
  <c r="S1091" i="20"/>
  <c r="Q1091" i="20"/>
  <c r="V1091" i="20" s="1"/>
  <c r="S1152" i="20"/>
  <c r="Q1152" i="20"/>
  <c r="V1152" i="20" s="1"/>
  <c r="O49" i="20"/>
  <c r="T49" i="20" s="1"/>
  <c r="O70" i="20"/>
  <c r="V70" i="20" s="1"/>
  <c r="Q113" i="20"/>
  <c r="V113" i="20" s="1"/>
  <c r="S121" i="20"/>
  <c r="Q147" i="20"/>
  <c r="V147" i="20" s="1"/>
  <c r="Q171" i="20"/>
  <c r="S188" i="20"/>
  <c r="S235" i="20"/>
  <c r="AC621" i="20"/>
  <c r="BB621" i="20"/>
  <c r="P13" i="20"/>
  <c r="P48" i="20"/>
  <c r="S143" i="20"/>
  <c r="AK146" i="20"/>
  <c r="Q179" i="20"/>
  <c r="V179" i="20" s="1"/>
  <c r="AC226" i="20"/>
  <c r="S605" i="20"/>
  <c r="Q605" i="20"/>
  <c r="V605" i="20" s="1"/>
  <c r="AK817" i="20"/>
  <c r="AJ817" i="20"/>
  <c r="R1209" i="20"/>
  <c r="S1209" i="20"/>
  <c r="Q1209" i="20"/>
  <c r="BB38" i="20"/>
  <c r="AC246" i="20"/>
  <c r="BB246" i="20"/>
  <c r="BG513" i="20"/>
  <c r="BE513" i="20"/>
  <c r="BF513" i="20" s="1"/>
  <c r="O5" i="20"/>
  <c r="P34" i="20"/>
  <c r="BC38" i="20"/>
  <c r="N58" i="20"/>
  <c r="AC144" i="20"/>
  <c r="AN146" i="20"/>
  <c r="S563" i="20"/>
  <c r="Q563" i="20"/>
  <c r="V563" i="20" s="1"/>
  <c r="BG1127" i="20"/>
  <c r="N44" i="20"/>
  <c r="W44" i="20" s="1"/>
  <c r="Q377" i="20"/>
  <c r="V377" i="20" s="1"/>
  <c r="S377" i="20"/>
  <c r="T377" i="20" s="1"/>
  <c r="S947" i="20"/>
  <c r="Q947" i="20"/>
  <c r="T947" i="20" s="1"/>
  <c r="BE8" i="20"/>
  <c r="BF8" i="20" s="1"/>
  <c r="Q122" i="20"/>
  <c r="Q129" i="20"/>
  <c r="V129" i="20" s="1"/>
  <c r="S130" i="20"/>
  <c r="T130" i="20" s="1"/>
  <c r="O11" i="20"/>
  <c r="BC21" i="20"/>
  <c r="BB24" i="20"/>
  <c r="BB26" i="20"/>
  <c r="S86" i="20"/>
  <c r="Q97" i="20"/>
  <c r="Q119" i="20"/>
  <c r="V119" i="20" s="1"/>
  <c r="S145" i="20"/>
  <c r="W145" i="20" s="1"/>
  <c r="Q228" i="20"/>
  <c r="V228" i="20" s="1"/>
  <c r="Q791" i="20"/>
  <c r="V791" i="20" s="1"/>
  <c r="S791" i="20"/>
  <c r="O3" i="20"/>
  <c r="BC146" i="20"/>
  <c r="S1177" i="20"/>
  <c r="Q1177" i="20"/>
  <c r="T505" i="20"/>
  <c r="W928" i="20"/>
  <c r="Q1066" i="20"/>
  <c r="T1066" i="20" s="1"/>
  <c r="Q1094" i="20"/>
  <c r="V1094" i="20" s="1"/>
  <c r="AC1100" i="20"/>
  <c r="BC1128" i="20"/>
  <c r="T1187" i="20"/>
  <c r="BB1207" i="20"/>
  <c r="BE1220" i="20"/>
  <c r="BF1220" i="20" s="1"/>
  <c r="BB499" i="20"/>
  <c r="AM619" i="20"/>
  <c r="BN913" i="20"/>
  <c r="BO913" i="20" s="1"/>
  <c r="BD913" i="20" s="1"/>
  <c r="BE913" i="20" s="1"/>
  <c r="BF913" i="20" s="1"/>
  <c r="BN917" i="20"/>
  <c r="BO917" i="20" s="1"/>
  <c r="BD917" i="20" s="1"/>
  <c r="BN921" i="20"/>
  <c r="BO921" i="20" s="1"/>
  <c r="BD921" i="20" s="1"/>
  <c r="BN934" i="20"/>
  <c r="BO934" i="20" s="1"/>
  <c r="BD934" i="20" s="1"/>
  <c r="BG934" i="20" s="1"/>
  <c r="BC1203" i="20"/>
  <c r="BC1207" i="20"/>
  <c r="Q1211" i="20"/>
  <c r="BG1220" i="20"/>
  <c r="BE1221" i="20"/>
  <c r="BF1221" i="20" s="1"/>
  <c r="S397" i="20"/>
  <c r="Q416" i="20"/>
  <c r="V416" i="20" s="1"/>
  <c r="Q426" i="20"/>
  <c r="V426" i="20" s="1"/>
  <c r="Q457" i="20"/>
  <c r="AJ504" i="20"/>
  <c r="W505" i="20"/>
  <c r="Y505" i="20" s="1"/>
  <c r="S522" i="20"/>
  <c r="W522" i="20" s="1"/>
  <c r="Q535" i="20"/>
  <c r="T535" i="20" s="1"/>
  <c r="AK541" i="20"/>
  <c r="T606" i="20"/>
  <c r="S706" i="20"/>
  <c r="T706" i="20" s="1"/>
  <c r="Q741" i="20"/>
  <c r="T741" i="20" s="1"/>
  <c r="S749" i="20"/>
  <c r="AM817" i="20"/>
  <c r="BN910" i="20"/>
  <c r="BO910" i="20" s="1"/>
  <c r="BD910" i="20" s="1"/>
  <c r="BG910" i="20" s="1"/>
  <c r="Q1212" i="20"/>
  <c r="W1212" i="20" s="1"/>
  <c r="BL499" i="20"/>
  <c r="BN499" i="20" s="1"/>
  <c r="BO499" i="20" s="1"/>
  <c r="BD499" i="20" s="1"/>
  <c r="S609" i="20"/>
  <c r="AJ630" i="20"/>
  <c r="S637" i="20"/>
  <c r="S848" i="20"/>
  <c r="Q869" i="20"/>
  <c r="Y925" i="20"/>
  <c r="BN964" i="20"/>
  <c r="BO964" i="20" s="1"/>
  <c r="BD964" i="20" s="1"/>
  <c r="BG964" i="20" s="1"/>
  <c r="BB1049" i="20"/>
  <c r="AJ1074" i="20"/>
  <c r="BE1078" i="20"/>
  <c r="BF1078" i="20" s="1"/>
  <c r="Q1088" i="20"/>
  <c r="V1088" i="20" s="1"/>
  <c r="V1155" i="20"/>
  <c r="BC1200" i="20"/>
  <c r="Q1207" i="20"/>
  <c r="V1207" i="20" s="1"/>
  <c r="AN1208" i="20"/>
  <c r="S1211" i="20"/>
  <c r="S365" i="20"/>
  <c r="T365" i="20" s="1"/>
  <c r="Q400" i="20"/>
  <c r="V400" i="20" s="1"/>
  <c r="W537" i="20"/>
  <c r="AN541" i="20"/>
  <c r="Q602" i="20"/>
  <c r="V602" i="20" s="1"/>
  <c r="Q603" i="20"/>
  <c r="V603" i="20" s="1"/>
  <c r="BN616" i="20"/>
  <c r="BO616" i="20" s="1"/>
  <c r="BD616" i="20" s="1"/>
  <c r="BE616" i="20" s="1"/>
  <c r="BF616" i="20" s="1"/>
  <c r="AJ812" i="20"/>
  <c r="S828" i="20"/>
  <c r="W828" i="20" s="1"/>
  <c r="BE857" i="20"/>
  <c r="BF857" i="20" s="1"/>
  <c r="AN866" i="20"/>
  <c r="Q904" i="20"/>
  <c r="BN914" i="20"/>
  <c r="BO914" i="20" s="1"/>
  <c r="BD914" i="20" s="1"/>
  <c r="Q921" i="20"/>
  <c r="W921" i="20" s="1"/>
  <c r="W940" i="20"/>
  <c r="Y940" i="20" s="1"/>
  <c r="S944" i="20"/>
  <c r="BN945" i="20"/>
  <c r="BO945" i="20" s="1"/>
  <c r="BD945" i="20" s="1"/>
  <c r="BN992" i="20"/>
  <c r="BO992" i="20" s="1"/>
  <c r="BD992" i="20" s="1"/>
  <c r="S1015" i="20"/>
  <c r="T1015" i="20" s="1"/>
  <c r="Q1046" i="20"/>
  <c r="V1046" i="20" s="1"/>
  <c r="Q1087" i="20"/>
  <c r="AM1198" i="20"/>
  <c r="Q1200" i="20"/>
  <c r="V1200" i="20" s="1"/>
  <c r="S1203" i="20"/>
  <c r="W1203" i="20" s="1"/>
  <c r="S1210" i="20"/>
  <c r="S502" i="20"/>
  <c r="T517" i="20"/>
  <c r="S694" i="20"/>
  <c r="BE761" i="20"/>
  <c r="BF761" i="20" s="1"/>
  <c r="BN987" i="20"/>
  <c r="BO987" i="20" s="1"/>
  <c r="BD987" i="20" s="1"/>
  <c r="BG987" i="20" s="1"/>
  <c r="Q1027" i="20"/>
  <c r="W1027" i="20" s="1"/>
  <c r="T1062" i="20"/>
  <c r="S1085" i="20"/>
  <c r="T1085" i="20" s="1"/>
  <c r="BB1098" i="20"/>
  <c r="BB1133" i="20"/>
  <c r="BE1183" i="20"/>
  <c r="BF1183" i="20" s="1"/>
  <c r="AC392" i="20"/>
  <c r="AC393" i="20"/>
  <c r="Q417" i="20"/>
  <c r="W417" i="20" s="1"/>
  <c r="Q453" i="20"/>
  <c r="V453" i="20" s="1"/>
  <c r="AM631" i="20"/>
  <c r="AJ632" i="20"/>
  <c r="Q768" i="20"/>
  <c r="AN812" i="20"/>
  <c r="BN931" i="20"/>
  <c r="BO931" i="20" s="1"/>
  <c r="BD931" i="20" s="1"/>
  <c r="BN941" i="20"/>
  <c r="BO941" i="20" s="1"/>
  <c r="BD941" i="20" s="1"/>
  <c r="BG941" i="20" s="1"/>
  <c r="BN959" i="20"/>
  <c r="BO959" i="20" s="1"/>
  <c r="BD959" i="20" s="1"/>
  <c r="BE959" i="20" s="1"/>
  <c r="BF959" i="20" s="1"/>
  <c r="BG1001" i="20"/>
  <c r="Q1043" i="20"/>
  <c r="Q1044" i="20"/>
  <c r="AC1047" i="20"/>
  <c r="AN1074" i="20"/>
  <c r="S1084" i="20"/>
  <c r="W1084" i="20" s="1"/>
  <c r="Y1084" i="20" s="1"/>
  <c r="BC1098" i="20"/>
  <c r="BE1184" i="20"/>
  <c r="BF1184" i="20" s="1"/>
  <c r="R1229" i="20"/>
  <c r="Q352" i="20"/>
  <c r="V352" i="20" s="1"/>
  <c r="S353" i="20"/>
  <c r="W353" i="20" s="1"/>
  <c r="Q356" i="20"/>
  <c r="V356" i="20" s="1"/>
  <c r="W383" i="20"/>
  <c r="AC390" i="20"/>
  <c r="Q433" i="20"/>
  <c r="W433" i="20" s="1"/>
  <c r="Q485" i="20"/>
  <c r="W485" i="20" s="1"/>
  <c r="BE495" i="20"/>
  <c r="BF495" i="20" s="1"/>
  <c r="W517" i="20"/>
  <c r="BE531" i="20"/>
  <c r="BF531" i="20" s="1"/>
  <c r="AC544" i="20"/>
  <c r="Q600" i="20"/>
  <c r="V600" i="20" s="1"/>
  <c r="S619" i="20"/>
  <c r="S634" i="20"/>
  <c r="W634" i="20" s="1"/>
  <c r="Q659" i="20"/>
  <c r="V659" i="20" s="1"/>
  <c r="AN748" i="20"/>
  <c r="AC1125" i="20"/>
  <c r="S1181" i="20"/>
  <c r="AC1203" i="20"/>
  <c r="Q1223" i="20"/>
  <c r="S1228" i="20"/>
  <c r="S247" i="20"/>
  <c r="W247" i="20" s="1"/>
  <c r="W348" i="20"/>
  <c r="Y348" i="20" s="1"/>
  <c r="Q438" i="20"/>
  <c r="AC458" i="20"/>
  <c r="BL496" i="20"/>
  <c r="BN496" i="20" s="1"/>
  <c r="BO496" i="20" s="1"/>
  <c r="BD496" i="20" s="1"/>
  <c r="BG496" i="20" s="1"/>
  <c r="AJ501" i="20"/>
  <c r="S503" i="20"/>
  <c r="T503" i="20" s="1"/>
  <c r="BB620" i="20"/>
  <c r="BC630" i="20"/>
  <c r="AM632" i="20"/>
  <c r="BE673" i="20"/>
  <c r="BF673" i="20" s="1"/>
  <c r="Q738" i="20"/>
  <c r="BN761" i="20"/>
  <c r="BO761" i="20" s="1"/>
  <c r="Q781" i="20"/>
  <c r="V781" i="20" s="1"/>
  <c r="S803" i="20"/>
  <c r="AJ813" i="20"/>
  <c r="Q829" i="20"/>
  <c r="V829" i="20" s="1"/>
  <c r="Q856" i="20"/>
  <c r="V856" i="20" s="1"/>
  <c r="BE858" i="20"/>
  <c r="BF858" i="20" s="1"/>
  <c r="BG862" i="20"/>
  <c r="AM868" i="20"/>
  <c r="BL872" i="20"/>
  <c r="T896" i="20"/>
  <c r="Q918" i="20"/>
  <c r="V918" i="20" s="1"/>
  <c r="BN937" i="20"/>
  <c r="BO937" i="20" s="1"/>
  <c r="BD937" i="20" s="1"/>
  <c r="BE937" i="20" s="1"/>
  <c r="BF937" i="20" s="1"/>
  <c r="Q955" i="20"/>
  <c r="T970" i="20"/>
  <c r="BN1004" i="20"/>
  <c r="BO1004" i="20" s="1"/>
  <c r="BD1004" i="20" s="1"/>
  <c r="BG1004" i="20" s="1"/>
  <c r="BN1005" i="20"/>
  <c r="BO1005" i="20" s="1"/>
  <c r="BD1005" i="20" s="1"/>
  <c r="BN1006" i="20"/>
  <c r="BO1006" i="20" s="1"/>
  <c r="BD1006" i="20" s="1"/>
  <c r="Q1022" i="20"/>
  <c r="AJ1109" i="20"/>
  <c r="BB1135" i="20"/>
  <c r="BE1185" i="20"/>
  <c r="BF1185" i="20" s="1"/>
  <c r="Q1194" i="20"/>
  <c r="AM1199" i="20"/>
  <c r="AM1202" i="20"/>
  <c r="BC1208" i="20"/>
  <c r="S1221" i="20"/>
  <c r="AV405" i="20"/>
  <c r="W490" i="20"/>
  <c r="BN500" i="20"/>
  <c r="BO500" i="20" s="1"/>
  <c r="BD500" i="20" s="1"/>
  <c r="BC620" i="20"/>
  <c r="S656" i="20"/>
  <c r="Q775" i="20"/>
  <c r="V775" i="20" s="1"/>
  <c r="Q789" i="20"/>
  <c r="V789" i="20" s="1"/>
  <c r="Q804" i="20"/>
  <c r="Q807" i="20"/>
  <c r="T807" i="20" s="1"/>
  <c r="S825" i="20"/>
  <c r="W825" i="20" s="1"/>
  <c r="S833" i="20"/>
  <c r="W833" i="20" s="1"/>
  <c r="Y833" i="20" s="1"/>
  <c r="Q891" i="20"/>
  <c r="T891" i="20" s="1"/>
  <c r="T901" i="20"/>
  <c r="Q1133" i="20"/>
  <c r="T1133" i="20" s="1"/>
  <c r="S1146" i="20"/>
  <c r="Q1197" i="20"/>
  <c r="V1197" i="20" s="1"/>
  <c r="Q1208" i="20"/>
  <c r="V1208" i="20" s="1"/>
  <c r="AM543" i="20"/>
  <c r="AC619" i="20"/>
  <c r="BL620" i="20"/>
  <c r="BN620" i="20" s="1"/>
  <c r="BO620" i="20" s="1"/>
  <c r="BD620" i="20" s="1"/>
  <c r="BN946" i="20"/>
  <c r="BO946" i="20" s="1"/>
  <c r="BD946" i="20" s="1"/>
  <c r="BN956" i="20"/>
  <c r="BO956" i="20" s="1"/>
  <c r="BD956" i="20" s="1"/>
  <c r="AN1109" i="20"/>
  <c r="Q1205" i="20"/>
  <c r="V1205" i="20" s="1"/>
  <c r="BB1206" i="20"/>
  <c r="BE1213" i="20"/>
  <c r="BF1213" i="20" s="1"/>
  <c r="R1219" i="20"/>
  <c r="W1219" i="20" s="1"/>
  <c r="BL394" i="20"/>
  <c r="BN394" i="20" s="1"/>
  <c r="BO394" i="20" s="1"/>
  <c r="BD394" i="20" s="1"/>
  <c r="BL395" i="20"/>
  <c r="BN395" i="20" s="1"/>
  <c r="BO395" i="20" s="1"/>
  <c r="BD395" i="20" s="1"/>
  <c r="Q926" i="20"/>
  <c r="T926" i="20" s="1"/>
  <c r="S999" i="20"/>
  <c r="W999" i="20" s="1"/>
  <c r="Q1103" i="20"/>
  <c r="V1103" i="20" s="1"/>
  <c r="Q1107" i="20"/>
  <c r="Q1176" i="20"/>
  <c r="V1176" i="20" s="1"/>
  <c r="BG1213" i="20"/>
  <c r="R1218" i="20"/>
  <c r="S314" i="20"/>
  <c r="BE404" i="20"/>
  <c r="BF404" i="20" s="1"/>
  <c r="S429" i="20"/>
  <c r="Q434" i="20"/>
  <c r="BN516" i="20"/>
  <c r="BO516" i="20" s="1"/>
  <c r="BD516" i="20" s="1"/>
  <c r="BG516" i="20" s="1"/>
  <c r="AC530" i="20"/>
  <c r="BE536" i="20"/>
  <c r="BF536" i="20" s="1"/>
  <c r="AK544" i="20"/>
  <c r="T597" i="20"/>
  <c r="AC807" i="20"/>
  <c r="Q830" i="20"/>
  <c r="W830" i="20" s="1"/>
  <c r="AC872" i="20"/>
  <c r="BN894" i="20"/>
  <c r="BO894" i="20" s="1"/>
  <c r="BD894" i="20" s="1"/>
  <c r="BN903" i="20"/>
  <c r="BO903" i="20" s="1"/>
  <c r="BD903" i="20" s="1"/>
  <c r="BN908" i="20"/>
  <c r="BO908" i="20" s="1"/>
  <c r="BD908" i="20" s="1"/>
  <c r="BN916" i="20"/>
  <c r="BO916" i="20" s="1"/>
  <c r="BD916" i="20" s="1"/>
  <c r="BG916" i="20" s="1"/>
  <c r="BN920" i="20"/>
  <c r="BO920" i="20" s="1"/>
  <c r="BD920" i="20" s="1"/>
  <c r="Q946" i="20"/>
  <c r="V946" i="20" s="1"/>
  <c r="BN947" i="20"/>
  <c r="BO947" i="20" s="1"/>
  <c r="BD947" i="20" s="1"/>
  <c r="W1100" i="20"/>
  <c r="AJ1111" i="20"/>
  <c r="Q1165" i="20"/>
  <c r="T1165" i="20" s="1"/>
  <c r="Q1206" i="20"/>
  <c r="T1206" i="20" s="1"/>
  <c r="S280" i="20"/>
  <c r="BC393" i="20"/>
  <c r="W415" i="20"/>
  <c r="Y415" i="20" s="1"/>
  <c r="W418" i="20"/>
  <c r="Y418" i="20" s="1"/>
  <c r="AJ458" i="20"/>
  <c r="Q462" i="20"/>
  <c r="AN502" i="20"/>
  <c r="S593" i="20"/>
  <c r="Q611" i="20"/>
  <c r="S624" i="20"/>
  <c r="S684" i="20"/>
  <c r="T684" i="20" s="1"/>
  <c r="Q776" i="20"/>
  <c r="V776" i="20" s="1"/>
  <c r="T812" i="20"/>
  <c r="Q820" i="20"/>
  <c r="V820" i="20" s="1"/>
  <c r="BL877" i="20"/>
  <c r="BN877" i="20" s="1"/>
  <c r="BO877" i="20" s="1"/>
  <c r="BD877" i="20" s="1"/>
  <c r="BG877" i="20" s="1"/>
  <c r="BE1178" i="20"/>
  <c r="BF1178" i="20" s="1"/>
  <c r="AC1208" i="20"/>
  <c r="S281" i="20"/>
  <c r="Q323" i="20"/>
  <c r="S336" i="20"/>
  <c r="T336" i="20" s="1"/>
  <c r="S367" i="20"/>
  <c r="T367" i="20" s="1"/>
  <c r="S463" i="20"/>
  <c r="S464" i="20"/>
  <c r="T464" i="20" s="1"/>
  <c r="BL498" i="20"/>
  <c r="BN498" i="20" s="1"/>
  <c r="BO498" i="20" s="1"/>
  <c r="BD498" i="20" s="1"/>
  <c r="S532" i="20"/>
  <c r="AC617" i="20"/>
  <c r="S673" i="20"/>
  <c r="T673" i="20" s="1"/>
  <c r="S761" i="20"/>
  <c r="S795" i="20"/>
  <c r="AK816" i="20"/>
  <c r="AK875" i="20"/>
  <c r="Q887" i="20"/>
  <c r="BN953" i="20"/>
  <c r="BO953" i="20" s="1"/>
  <c r="BD953" i="20" s="1"/>
  <c r="S956" i="20"/>
  <c r="S960" i="20"/>
  <c r="T960" i="20" s="1"/>
  <c r="BN984" i="20"/>
  <c r="BO984" i="20" s="1"/>
  <c r="BD984" i="20" s="1"/>
  <c r="BE984" i="20" s="1"/>
  <c r="BF984" i="20" s="1"/>
  <c r="AJ1049" i="20"/>
  <c r="T1070" i="20"/>
  <c r="AC1133" i="20"/>
  <c r="BB1137" i="20"/>
  <c r="W1153" i="20"/>
  <c r="AJ1175" i="20"/>
  <c r="AN1196" i="20"/>
  <c r="AC1198" i="20"/>
  <c r="AN1200" i="20"/>
  <c r="BC6" i="20"/>
  <c r="BC29" i="20"/>
  <c r="BB29" i="20"/>
  <c r="BB50" i="20"/>
  <c r="BC50" i="20"/>
  <c r="BL396" i="20"/>
  <c r="BN396" i="20" s="1"/>
  <c r="BO396" i="20" s="1"/>
  <c r="BD396" i="20" s="1"/>
  <c r="AC396" i="20"/>
  <c r="S431" i="20"/>
  <c r="T431" i="20" s="1"/>
  <c r="Q431" i="20"/>
  <c r="P11" i="20"/>
  <c r="V11" i="20" s="1"/>
  <c r="O17" i="20"/>
  <c r="O25" i="20"/>
  <c r="V25" i="20" s="1"/>
  <c r="BB31" i="20"/>
  <c r="AC31" i="20"/>
  <c r="P52" i="20"/>
  <c r="N54" i="20"/>
  <c r="O54" i="20"/>
  <c r="U54" i="20" s="1"/>
  <c r="AC112" i="20"/>
  <c r="BG124" i="20"/>
  <c r="S144" i="20"/>
  <c r="AN149" i="20"/>
  <c r="S395" i="20"/>
  <c r="Q395" i="20"/>
  <c r="Q420" i="20"/>
  <c r="W420" i="20" s="1"/>
  <c r="S420" i="20"/>
  <c r="Q444" i="20"/>
  <c r="S444" i="20"/>
  <c r="S83" i="20"/>
  <c r="Q83" i="20"/>
  <c r="V83" i="20" s="1"/>
  <c r="S112" i="20"/>
  <c r="Q112" i="20"/>
  <c r="V112" i="20" s="1"/>
  <c r="S509" i="20"/>
  <c r="Q509" i="20"/>
  <c r="V509" i="20" s="1"/>
  <c r="BG747" i="20"/>
  <c r="BE747" i="20"/>
  <c r="BF747" i="20" s="1"/>
  <c r="V188" i="20"/>
  <c r="T188" i="20"/>
  <c r="P29" i="20"/>
  <c r="BL56" i="20"/>
  <c r="BN56" i="20" s="1"/>
  <c r="BO56" i="20" s="1"/>
  <c r="BD56" i="20" s="1"/>
  <c r="BE56" i="20" s="1"/>
  <c r="BF56" i="20" s="1"/>
  <c r="AC79" i="20"/>
  <c r="S101" i="20"/>
  <c r="Q101" i="20"/>
  <c r="V101" i="20" s="1"/>
  <c r="S117" i="20"/>
  <c r="Q117" i="20"/>
  <c r="V117" i="20" s="1"/>
  <c r="Q162" i="20"/>
  <c r="S162" i="20"/>
  <c r="S427" i="20"/>
  <c r="Q427" i="20"/>
  <c r="AC497" i="20"/>
  <c r="BC497" i="20"/>
  <c r="BB497" i="20"/>
  <c r="Q704" i="20"/>
  <c r="S704" i="20"/>
  <c r="AJ867" i="20"/>
  <c r="AK867" i="20"/>
  <c r="P10" i="20"/>
  <c r="BC30" i="20"/>
  <c r="BB30" i="20"/>
  <c r="AC101" i="20"/>
  <c r="O38" i="20"/>
  <c r="V38" i="20" s="1"/>
  <c r="N38" i="20"/>
  <c r="O77" i="20"/>
  <c r="U77" i="20" s="1"/>
  <c r="AC97" i="20"/>
  <c r="W97" i="20"/>
  <c r="W135" i="20"/>
  <c r="Y135" i="20" s="1"/>
  <c r="AC135" i="20"/>
  <c r="W182" i="20"/>
  <c r="Y182" i="20" s="1"/>
  <c r="T182" i="20"/>
  <c r="S222" i="20"/>
  <c r="Q222" i="20"/>
  <c r="V222" i="20" s="1"/>
  <c r="Q413" i="20"/>
  <c r="W413" i="20" s="1"/>
  <c r="S413" i="20"/>
  <c r="P31" i="20"/>
  <c r="V102" i="20"/>
  <c r="S378" i="20"/>
  <c r="Q378" i="20"/>
  <c r="P4" i="20"/>
  <c r="O4" i="20"/>
  <c r="P5" i="20"/>
  <c r="V5" i="20" s="1"/>
  <c r="P7" i="20"/>
  <c r="P15" i="20"/>
  <c r="V15" i="20" s="1"/>
  <c r="AC29" i="20"/>
  <c r="O60" i="20"/>
  <c r="Q60" i="20"/>
  <c r="O78" i="20"/>
  <c r="V78" i="20" s="1"/>
  <c r="W153" i="20"/>
  <c r="BG173" i="20"/>
  <c r="Q688" i="20"/>
  <c r="S688" i="20"/>
  <c r="P27" i="20"/>
  <c r="AC6" i="20"/>
  <c r="N37" i="20"/>
  <c r="O37" i="20"/>
  <c r="V37" i="20" s="1"/>
  <c r="BL58" i="20"/>
  <c r="AC58" i="20"/>
  <c r="O75" i="20"/>
  <c r="Q79" i="20"/>
  <c r="V79" i="20" s="1"/>
  <c r="Q100" i="20"/>
  <c r="T100" i="20" s="1"/>
  <c r="V157" i="20"/>
  <c r="S358" i="20"/>
  <c r="Q358" i="20"/>
  <c r="O40" i="20"/>
  <c r="U40" i="20" s="1"/>
  <c r="N40" i="20"/>
  <c r="O29" i="20"/>
  <c r="N6" i="20"/>
  <c r="P9" i="20"/>
  <c r="P3" i="20"/>
  <c r="AC4" i="20"/>
  <c r="P14" i="20"/>
  <c r="BE33" i="20"/>
  <c r="BF33" i="20" s="1"/>
  <c r="O58" i="20"/>
  <c r="Q59" i="20"/>
  <c r="T189" i="20"/>
  <c r="Q313" i="20"/>
  <c r="W313" i="20" s="1"/>
  <c r="S313" i="20"/>
  <c r="Q375" i="20"/>
  <c r="S375" i="20"/>
  <c r="O8" i="20"/>
  <c r="AC71" i="20"/>
  <c r="W71" i="20"/>
  <c r="W210" i="20"/>
  <c r="S301" i="20"/>
  <c r="Q301" i="20"/>
  <c r="BL397" i="20"/>
  <c r="BN397" i="20" s="1"/>
  <c r="BO397" i="20" s="1"/>
  <c r="BD397" i="20" s="1"/>
  <c r="BE397" i="20" s="1"/>
  <c r="BF397" i="20" s="1"/>
  <c r="W139" i="20"/>
  <c r="T139" i="20"/>
  <c r="P6" i="20"/>
  <c r="O13" i="20"/>
  <c r="BC31" i="20"/>
  <c r="O35" i="20"/>
  <c r="V35" i="20" s="1"/>
  <c r="N35" i="20"/>
  <c r="O65" i="20"/>
  <c r="U65" i="20" s="1"/>
  <c r="Q65" i="20"/>
  <c r="AC114" i="20"/>
  <c r="AJ148" i="20"/>
  <c r="AK148" i="20"/>
  <c r="T173" i="20"/>
  <c r="V173" i="20"/>
  <c r="AN616" i="20"/>
  <c r="AM616" i="20"/>
  <c r="BB618" i="20"/>
  <c r="AC618" i="20"/>
  <c r="BC618" i="20"/>
  <c r="AC50" i="20"/>
  <c r="Q231" i="20"/>
  <c r="V231" i="20" s="1"/>
  <c r="S231" i="20"/>
  <c r="T231" i="20" s="1"/>
  <c r="AC94" i="20"/>
  <c r="S198" i="20"/>
  <c r="Q198" i="20"/>
  <c r="V198" i="20" s="1"/>
  <c r="S243" i="20"/>
  <c r="W243" i="20" s="1"/>
  <c r="Q243" i="20"/>
  <c r="Q257" i="20"/>
  <c r="S257" i="20"/>
  <c r="S325" i="20"/>
  <c r="Q325" i="20"/>
  <c r="V325" i="20" s="1"/>
  <c r="BE390" i="20"/>
  <c r="BF390" i="20" s="1"/>
  <c r="BG390" i="20"/>
  <c r="S406" i="20"/>
  <c r="Q406" i="20"/>
  <c r="P8" i="20"/>
  <c r="S192" i="20"/>
  <c r="Q192" i="20"/>
  <c r="V192" i="20" s="1"/>
  <c r="P19" i="20"/>
  <c r="V19" i="20" s="1"/>
  <c r="P21" i="20"/>
  <c r="W21" i="20" s="1"/>
  <c r="O56" i="20"/>
  <c r="N56" i="20"/>
  <c r="U56" i="20" s="1"/>
  <c r="V71" i="20"/>
  <c r="U71" i="20"/>
  <c r="Q94" i="20"/>
  <c r="V94" i="20" s="1"/>
  <c r="S94" i="20"/>
  <c r="S288" i="20"/>
  <c r="Q288" i="20"/>
  <c r="Q337" i="20"/>
  <c r="S337" i="20"/>
  <c r="S410" i="20"/>
  <c r="Q410" i="20"/>
  <c r="V434" i="20"/>
  <c r="W434" i="20"/>
  <c r="BB40" i="20"/>
  <c r="AC40" i="20"/>
  <c r="W23" i="20"/>
  <c r="P12" i="20"/>
  <c r="O21" i="20"/>
  <c r="BB33" i="20"/>
  <c r="BC33" i="20"/>
  <c r="AC33" i="20"/>
  <c r="BE42" i="20"/>
  <c r="BF42" i="20" s="1"/>
  <c r="BE44" i="20"/>
  <c r="BF44" i="20" s="1"/>
  <c r="BB51" i="20"/>
  <c r="BC51" i="20"/>
  <c r="P56" i="20"/>
  <c r="Q64" i="20"/>
  <c r="W119" i="20"/>
  <c r="Y119" i="20" s="1"/>
  <c r="S128" i="20"/>
  <c r="W128" i="20" s="1"/>
  <c r="Q128" i="20"/>
  <c r="T207" i="20"/>
  <c r="AJ227" i="20"/>
  <c r="V23" i="20"/>
  <c r="P24" i="20"/>
  <c r="N33" i="20"/>
  <c r="O33" i="20"/>
  <c r="N53" i="20"/>
  <c r="AN145" i="20"/>
  <c r="AM145" i="20"/>
  <c r="AJ194" i="20"/>
  <c r="AK194" i="20"/>
  <c r="AN241" i="20"/>
  <c r="AM241" i="20"/>
  <c r="AC224" i="20"/>
  <c r="BC225" i="20"/>
  <c r="S510" i="20"/>
  <c r="Q510" i="20"/>
  <c r="W510" i="20" s="1"/>
  <c r="Q717" i="20"/>
  <c r="S717" i="20"/>
  <c r="S488" i="20"/>
  <c r="Q488" i="20"/>
  <c r="W488" i="20" s="1"/>
  <c r="S547" i="20"/>
  <c r="Q547" i="20"/>
  <c r="Q651" i="20"/>
  <c r="S651" i="20"/>
  <c r="BG1219" i="20"/>
  <c r="BE1219" i="20"/>
  <c r="BF1219" i="20" s="1"/>
  <c r="W171" i="20"/>
  <c r="BE516" i="20"/>
  <c r="BF516" i="20" s="1"/>
  <c r="S531" i="20"/>
  <c r="Q531" i="20"/>
  <c r="W602" i="20"/>
  <c r="S739" i="20"/>
  <c r="Q739" i="20"/>
  <c r="W739" i="20" s="1"/>
  <c r="S767" i="20"/>
  <c r="Q767" i="20"/>
  <c r="V767" i="20" s="1"/>
  <c r="V828" i="20"/>
  <c r="BG845" i="20"/>
  <c r="BE845" i="20"/>
  <c r="BF845" i="20" s="1"/>
  <c r="P30" i="20"/>
  <c r="V30" i="20" s="1"/>
  <c r="P33" i="20"/>
  <c r="P54" i="20"/>
  <c r="P55" i="20"/>
  <c r="O61" i="20"/>
  <c r="Q62" i="20"/>
  <c r="Q63" i="20"/>
  <c r="Q177" i="20"/>
  <c r="T177" i="20" s="1"/>
  <c r="Q183" i="20"/>
  <c r="V183" i="20" s="1"/>
  <c r="Q184" i="20"/>
  <c r="T184" i="20" s="1"/>
  <c r="Q190" i="20"/>
  <c r="AK221" i="20"/>
  <c r="S225" i="20"/>
  <c r="W225" i="20" s="1"/>
  <c r="Y225" i="20" s="1"/>
  <c r="AK242" i="20"/>
  <c r="AJ245" i="20"/>
  <c r="Q274" i="20"/>
  <c r="S289" i="20"/>
  <c r="S315" i="20"/>
  <c r="W315" i="20" s="1"/>
  <c r="Q339" i="20"/>
  <c r="Q366" i="20"/>
  <c r="S369" i="20"/>
  <c r="T369" i="20" s="1"/>
  <c r="S385" i="20"/>
  <c r="T385" i="20" s="1"/>
  <c r="BE399" i="20"/>
  <c r="BF399" i="20" s="1"/>
  <c r="S729" i="20"/>
  <c r="Q729" i="20"/>
  <c r="V729" i="20" s="1"/>
  <c r="N20" i="20"/>
  <c r="O34" i="20"/>
  <c r="V34" i="20" s="1"/>
  <c r="Q87" i="20"/>
  <c r="W87" i="20" s="1"/>
  <c r="Q114" i="20"/>
  <c r="T114" i="20" s="1"/>
  <c r="W129" i="20"/>
  <c r="Q132" i="20"/>
  <c r="W179" i="20"/>
  <c r="Y179" i="20" s="1"/>
  <c r="Q186" i="20"/>
  <c r="V186" i="20" s="1"/>
  <c r="Q217" i="20"/>
  <c r="Q220" i="20"/>
  <c r="W220" i="20" s="1"/>
  <c r="BL223" i="20"/>
  <c r="BN223" i="20" s="1"/>
  <c r="BO223" i="20" s="1"/>
  <c r="BD223" i="20" s="1"/>
  <c r="BG223" i="20" s="1"/>
  <c r="AM235" i="20"/>
  <c r="Q237" i="20"/>
  <c r="V237" i="20" s="1"/>
  <c r="S290" i="20"/>
  <c r="T290" i="20" s="1"/>
  <c r="Q327" i="20"/>
  <c r="W327" i="20" s="1"/>
  <c r="S344" i="20"/>
  <c r="T344" i="20" s="1"/>
  <c r="S398" i="20"/>
  <c r="T398" i="20" s="1"/>
  <c r="S414" i="20"/>
  <c r="Q440" i="20"/>
  <c r="W440" i="20" s="1"/>
  <c r="S481" i="20"/>
  <c r="Q481" i="20"/>
  <c r="Q501" i="20"/>
  <c r="AC551" i="20"/>
  <c r="Q570" i="20"/>
  <c r="Q849" i="20"/>
  <c r="O32" i="20"/>
  <c r="O36" i="20"/>
  <c r="N66" i="20"/>
  <c r="W66" i="20" s="1"/>
  <c r="Q105" i="20"/>
  <c r="V105" i="20" s="1"/>
  <c r="Q120" i="20"/>
  <c r="V120" i="20" s="1"/>
  <c r="Q136" i="20"/>
  <c r="Q149" i="20"/>
  <c r="W149" i="20" s="1"/>
  <c r="BC149" i="20"/>
  <c r="Q178" i="20"/>
  <c r="T178" i="20" s="1"/>
  <c r="Q193" i="20"/>
  <c r="W199" i="20"/>
  <c r="Y199" i="20" s="1"/>
  <c r="S229" i="20"/>
  <c r="T229" i="20" s="1"/>
  <c r="S275" i="20"/>
  <c r="Q292" i="20"/>
  <c r="Q304" i="20"/>
  <c r="S328" i="20"/>
  <c r="Q345" i="20"/>
  <c r="W345" i="20" s="1"/>
  <c r="S359" i="20"/>
  <c r="W359" i="20" s="1"/>
  <c r="Y359" i="20" s="1"/>
  <c r="V369" i="20"/>
  <c r="V385" i="20"/>
  <c r="S389" i="20"/>
  <c r="T389" i="20" s="1"/>
  <c r="BB391" i="20"/>
  <c r="S399" i="20"/>
  <c r="S421" i="20"/>
  <c r="Q735" i="20"/>
  <c r="V735" i="20" s="1"/>
  <c r="BN872" i="20"/>
  <c r="BO872" i="20" s="1"/>
  <c r="BD872" i="20" s="1"/>
  <c r="BG944" i="20"/>
  <c r="BE944" i="20"/>
  <c r="BF944" i="20" s="1"/>
  <c r="W235" i="20"/>
  <c r="S251" i="20"/>
  <c r="W251" i="20" s="1"/>
  <c r="S277" i="20"/>
  <c r="AC315" i="20"/>
  <c r="W352" i="20"/>
  <c r="S373" i="20"/>
  <c r="T373" i="20" s="1"/>
  <c r="S379" i="20"/>
  <c r="W379" i="20" s="1"/>
  <c r="BG391" i="20"/>
  <c r="S428" i="20"/>
  <c r="Q432" i="20"/>
  <c r="V432" i="20" s="1"/>
  <c r="Q435" i="20"/>
  <c r="V435" i="20" s="1"/>
  <c r="V506" i="20"/>
  <c r="Q698" i="20"/>
  <c r="S698" i="20"/>
  <c r="S713" i="20"/>
  <c r="Q714" i="20"/>
  <c r="BN763" i="20"/>
  <c r="BO763" i="20" s="1"/>
  <c r="T785" i="20"/>
  <c r="S805" i="20"/>
  <c r="Q805" i="20"/>
  <c r="Q815" i="20"/>
  <c r="V815" i="20" s="1"/>
  <c r="BL46" i="20"/>
  <c r="BN46" i="20" s="1"/>
  <c r="BO46" i="20" s="1"/>
  <c r="BD46" i="20" s="1"/>
  <c r="BG46" i="20" s="1"/>
  <c r="W69" i="20"/>
  <c r="W137" i="20"/>
  <c r="Y137" i="20" s="1"/>
  <c r="W143" i="20"/>
  <c r="BL149" i="20"/>
  <c r="BN149" i="20" s="1"/>
  <c r="BO149" i="20" s="1"/>
  <c r="BD149" i="20" s="1"/>
  <c r="AC225" i="20"/>
  <c r="AN458" i="20"/>
  <c r="AM458" i="20"/>
  <c r="W812" i="20"/>
  <c r="Y812" i="20" s="1"/>
  <c r="AC812" i="20"/>
  <c r="P18" i="20"/>
  <c r="O22" i="20"/>
  <c r="N43" i="20"/>
  <c r="BE49" i="20"/>
  <c r="BF49" i="20" s="1"/>
  <c r="BG50" i="20"/>
  <c r="BL145" i="20"/>
  <c r="BN145" i="20" s="1"/>
  <c r="BO145" i="20" s="1"/>
  <c r="BD145" i="20" s="1"/>
  <c r="BG145" i="20" s="1"/>
  <c r="Q227" i="20"/>
  <c r="V227" i="20" s="1"/>
  <c r="Q241" i="20"/>
  <c r="V241" i="20" s="1"/>
  <c r="S306" i="20"/>
  <c r="S317" i="20"/>
  <c r="T317" i="20" s="1"/>
  <c r="V373" i="20"/>
  <c r="V379" i="20"/>
  <c r="W400" i="20"/>
  <c r="Y400" i="20" s="1"/>
  <c r="BG404" i="20"/>
  <c r="T411" i="20"/>
  <c r="S506" i="20"/>
  <c r="T506" i="20" s="1"/>
  <c r="T826" i="20"/>
  <c r="AC105" i="20"/>
  <c r="AC178" i="20"/>
  <c r="BB224" i="20"/>
  <c r="T235" i="20"/>
  <c r="BG679" i="20"/>
  <c r="BE679" i="20"/>
  <c r="BF679" i="20" s="1"/>
  <c r="AC856" i="20"/>
  <c r="BC877" i="20"/>
  <c r="AC877" i="20"/>
  <c r="AC149" i="20"/>
  <c r="W207" i="20"/>
  <c r="Y207" i="20" s="1"/>
  <c r="BG460" i="20"/>
  <c r="BE460" i="20"/>
  <c r="BF460" i="20" s="1"/>
  <c r="AK505" i="20"/>
  <c r="AJ505" i="20"/>
  <c r="S567" i="20"/>
  <c r="Q567" i="20"/>
  <c r="V567" i="20" s="1"/>
  <c r="S587" i="20"/>
  <c r="Q587" i="20"/>
  <c r="V587" i="20" s="1"/>
  <c r="Q773" i="20"/>
  <c r="S773" i="20"/>
  <c r="T873" i="20"/>
  <c r="V873" i="20"/>
  <c r="BE53" i="20"/>
  <c r="BF53" i="20" s="1"/>
  <c r="BL54" i="20"/>
  <c r="BN54" i="20" s="1"/>
  <c r="BO54" i="20" s="1"/>
  <c r="BD54" i="20" s="1"/>
  <c r="BG54" i="20" s="1"/>
  <c r="BL55" i="20"/>
  <c r="BN55" i="20" s="1"/>
  <c r="BO55" i="20" s="1"/>
  <c r="BD55" i="20" s="1"/>
  <c r="BG55" i="20" s="1"/>
  <c r="BN58" i="20"/>
  <c r="BO58" i="20" s="1"/>
  <c r="BD58" i="20" s="1"/>
  <c r="BE58" i="20" s="1"/>
  <c r="BF58" i="20" s="1"/>
  <c r="T81" i="20"/>
  <c r="Q89" i="20"/>
  <c r="W89" i="20" s="1"/>
  <c r="Q115" i="20"/>
  <c r="W115" i="20" s="1"/>
  <c r="W127" i="20"/>
  <c r="Y127" i="20" s="1"/>
  <c r="AC129" i="20"/>
  <c r="AN144" i="20"/>
  <c r="W157" i="20"/>
  <c r="Y157" i="20" s="1"/>
  <c r="W160" i="20"/>
  <c r="Q180" i="20"/>
  <c r="V180" i="20" s="1"/>
  <c r="Q195" i="20"/>
  <c r="W195" i="20" s="1"/>
  <c r="Q203" i="20"/>
  <c r="AM222" i="20"/>
  <c r="AK234" i="20"/>
  <c r="AM243" i="20"/>
  <c r="S245" i="20"/>
  <c r="W245" i="20" s="1"/>
  <c r="Q284" i="20"/>
  <c r="Q296" i="20"/>
  <c r="Q309" i="20"/>
  <c r="Q320" i="20"/>
  <c r="Q332" i="20"/>
  <c r="T348" i="20"/>
  <c r="T352" i="20"/>
  <c r="S357" i="20"/>
  <c r="T357" i="20" s="1"/>
  <c r="S374" i="20"/>
  <c r="T374" i="20" s="1"/>
  <c r="Y383" i="20"/>
  <c r="Q401" i="20"/>
  <c r="W416" i="20"/>
  <c r="AC513" i="20"/>
  <c r="BB513" i="20"/>
  <c r="Q708" i="20"/>
  <c r="T708" i="20" s="1"/>
  <c r="Q763" i="20"/>
  <c r="W763" i="20" s="1"/>
  <c r="Q834" i="20"/>
  <c r="S834" i="20"/>
  <c r="W159" i="20"/>
  <c r="T206" i="20"/>
  <c r="BB228" i="20"/>
  <c r="V235" i="20"/>
  <c r="Q322" i="20"/>
  <c r="W322" i="20" s="1"/>
  <c r="Q334" i="20"/>
  <c r="W334" i="20" s="1"/>
  <c r="S349" i="20"/>
  <c r="W349" i="20" s="1"/>
  <c r="S371" i="20"/>
  <c r="W371" i="20" s="1"/>
  <c r="Y371" i="20" s="1"/>
  <c r="Q402" i="20"/>
  <c r="V402" i="20" s="1"/>
  <c r="W403" i="20"/>
  <c r="S412" i="20"/>
  <c r="W412" i="20" s="1"/>
  <c r="W419" i="20"/>
  <c r="Y419" i="20" s="1"/>
  <c r="T426" i="20"/>
  <c r="S448" i="20"/>
  <c r="BE548" i="20"/>
  <c r="BF548" i="20" s="1"/>
  <c r="BG548" i="20"/>
  <c r="S671" i="20"/>
  <c r="Q671" i="20"/>
  <c r="AC721" i="20"/>
  <c r="W721" i="20"/>
  <c r="Y721" i="20" s="1"/>
  <c r="W795" i="20"/>
  <c r="Y795" i="20" s="1"/>
  <c r="V881" i="20"/>
  <c r="T881" i="20"/>
  <c r="BE916" i="20"/>
  <c r="BF916" i="20" s="1"/>
  <c r="P16" i="20"/>
  <c r="O28" i="20"/>
  <c r="V28" i="20" s="1"/>
  <c r="O50" i="20"/>
  <c r="Q76" i="20"/>
  <c r="T76" i="20" s="1"/>
  <c r="Q90" i="20"/>
  <c r="T90" i="20" s="1"/>
  <c r="W131" i="20"/>
  <c r="Y131" i="20" s="1"/>
  <c r="AC143" i="20"/>
  <c r="BB146" i="20"/>
  <c r="Q151" i="20"/>
  <c r="W151" i="20" s="1"/>
  <c r="S152" i="20"/>
  <c r="AC205" i="20"/>
  <c r="Q224" i="20"/>
  <c r="V224" i="20" s="1"/>
  <c r="BC226" i="20"/>
  <c r="S239" i="20"/>
  <c r="W239" i="20" s="1"/>
  <c r="Y239" i="20" s="1"/>
  <c r="S297" i="20"/>
  <c r="T297" i="20" s="1"/>
  <c r="T371" i="20"/>
  <c r="S387" i="20"/>
  <c r="BL398" i="20"/>
  <c r="BN398" i="20" s="1"/>
  <c r="BO398" i="20" s="1"/>
  <c r="BD398" i="20" s="1"/>
  <c r="BG398" i="20" s="1"/>
  <c r="S430" i="20"/>
  <c r="W430" i="20" s="1"/>
  <c r="BE439" i="20"/>
  <c r="BF439" i="20" s="1"/>
  <c r="V721" i="20"/>
  <c r="T721" i="20"/>
  <c r="S742" i="20"/>
  <c r="Q742" i="20"/>
  <c r="AJ876" i="20"/>
  <c r="AK876" i="20"/>
  <c r="Q472" i="20"/>
  <c r="V472" i="20" s="1"/>
  <c r="BL501" i="20"/>
  <c r="BN501" i="20" s="1"/>
  <c r="BO501" i="20" s="1"/>
  <c r="BD501" i="20" s="1"/>
  <c r="V503" i="20"/>
  <c r="S539" i="20"/>
  <c r="T539" i="20" s="1"/>
  <c r="AC545" i="20"/>
  <c r="BB570" i="20"/>
  <c r="S586" i="20"/>
  <c r="W597" i="20"/>
  <c r="S599" i="20"/>
  <c r="BC632" i="20"/>
  <c r="S665" i="20"/>
  <c r="T665" i="20" s="1"/>
  <c r="BE764" i="20"/>
  <c r="BF764" i="20" s="1"/>
  <c r="V809" i="20"/>
  <c r="S823" i="20"/>
  <c r="Q854" i="20"/>
  <c r="BN889" i="20"/>
  <c r="BO889" i="20" s="1"/>
  <c r="BD889" i="20" s="1"/>
  <c r="W896" i="20"/>
  <c r="Y896" i="20" s="1"/>
  <c r="BN905" i="20"/>
  <c r="BO905" i="20" s="1"/>
  <c r="BD905" i="20" s="1"/>
  <c r="V1015" i="20"/>
  <c r="AC1042" i="20"/>
  <c r="V1181" i="20"/>
  <c r="T1181" i="20"/>
  <c r="W606" i="20"/>
  <c r="Y606" i="20" s="1"/>
  <c r="BL618" i="20"/>
  <c r="BN618" i="20" s="1"/>
  <c r="BO618" i="20" s="1"/>
  <c r="BD618" i="20" s="1"/>
  <c r="BG618" i="20" s="1"/>
  <c r="S666" i="20"/>
  <c r="T666" i="20" s="1"/>
  <c r="W676" i="20"/>
  <c r="S682" i="20"/>
  <c r="W682" i="20" s="1"/>
  <c r="Y682" i="20" s="1"/>
  <c r="BE856" i="20"/>
  <c r="BF856" i="20" s="1"/>
  <c r="W877" i="20"/>
  <c r="V939" i="20"/>
  <c r="T939" i="20"/>
  <c r="V944" i="20"/>
  <c r="T944" i="20"/>
  <c r="BN967" i="20"/>
  <c r="BO967" i="20" s="1"/>
  <c r="BD967" i="20" s="1"/>
  <c r="BG967" i="20" s="1"/>
  <c r="BE972" i="20"/>
  <c r="BF972" i="20" s="1"/>
  <c r="V999" i="20"/>
  <c r="S1034" i="20"/>
  <c r="Q1034" i="20"/>
  <c r="S1115" i="20"/>
  <c r="Q1115" i="20"/>
  <c r="V1115" i="20" s="1"/>
  <c r="BG1129" i="20"/>
  <c r="BE1129" i="20"/>
  <c r="BF1129" i="20" s="1"/>
  <c r="Q1142" i="20"/>
  <c r="V1142" i="20" s="1"/>
  <c r="S1142" i="20"/>
  <c r="AC1182" i="20"/>
  <c r="BL497" i="20"/>
  <c r="BN497" i="20" s="1"/>
  <c r="BO497" i="20" s="1"/>
  <c r="BD497" i="20" s="1"/>
  <c r="BE497" i="20" s="1"/>
  <c r="BF497" i="20" s="1"/>
  <c r="AK542" i="20"/>
  <c r="BL621" i="20"/>
  <c r="BN621" i="20" s="1"/>
  <c r="BO621" i="20" s="1"/>
  <c r="BD621" i="20" s="1"/>
  <c r="BG621" i="20" s="1"/>
  <c r="BL875" i="20"/>
  <c r="BN875" i="20" s="1"/>
  <c r="BO875" i="20" s="1"/>
  <c r="BD875" i="20" s="1"/>
  <c r="BE875" i="20" s="1"/>
  <c r="BF875" i="20" s="1"/>
  <c r="AK1174" i="20"/>
  <c r="AJ1174" i="20"/>
  <c r="BE489" i="20"/>
  <c r="BF489" i="20" s="1"/>
  <c r="Q497" i="20"/>
  <c r="V497" i="20" s="1"/>
  <c r="AM500" i="20"/>
  <c r="S504" i="20"/>
  <c r="AN505" i="20"/>
  <c r="Q513" i="20"/>
  <c r="V513" i="20" s="1"/>
  <c r="BE532" i="20"/>
  <c r="BF532" i="20" s="1"/>
  <c r="Q550" i="20"/>
  <c r="V550" i="20" s="1"/>
  <c r="S551" i="20"/>
  <c r="T551" i="20" s="1"/>
  <c r="W628" i="20"/>
  <c r="BN764" i="20"/>
  <c r="BO764" i="20" s="1"/>
  <c r="V1162" i="20"/>
  <c r="W1162" i="20"/>
  <c r="T1162" i="20"/>
  <c r="V1194" i="20"/>
  <c r="W1194" i="20"/>
  <c r="AC1205" i="20"/>
  <c r="W1205" i="20"/>
  <c r="Y1205" i="20" s="1"/>
  <c r="BC1205" i="20"/>
  <c r="BB1205" i="20"/>
  <c r="AJ456" i="20"/>
  <c r="Q473" i="20"/>
  <c r="W473" i="20" s="1"/>
  <c r="Q484" i="20"/>
  <c r="W484" i="20" s="1"/>
  <c r="S492" i="20"/>
  <c r="W492" i="20" s="1"/>
  <c r="Y492" i="20" s="1"/>
  <c r="AM542" i="20"/>
  <c r="AK545" i="20"/>
  <c r="Q552" i="20"/>
  <c r="T552" i="20" s="1"/>
  <c r="Q554" i="20"/>
  <c r="W554" i="20" s="1"/>
  <c r="S555" i="20"/>
  <c r="Q558" i="20"/>
  <c r="V558" i="20" s="1"/>
  <c r="S559" i="20"/>
  <c r="W559" i="20" s="1"/>
  <c r="Q588" i="20"/>
  <c r="V588" i="20" s="1"/>
  <c r="Q667" i="20"/>
  <c r="V667" i="20" s="1"/>
  <c r="T676" i="20"/>
  <c r="T736" i="20"/>
  <c r="AN1075" i="20"/>
  <c r="Q486" i="20"/>
  <c r="V486" i="20" s="1"/>
  <c r="AJ496" i="20"/>
  <c r="Q514" i="20"/>
  <c r="V514" i="20" s="1"/>
  <c r="S515" i="20"/>
  <c r="W515" i="20" s="1"/>
  <c r="Y515" i="20" s="1"/>
  <c r="Q536" i="20"/>
  <c r="S541" i="20"/>
  <c r="Q553" i="20"/>
  <c r="Q560" i="20"/>
  <c r="W560" i="20" s="1"/>
  <c r="S607" i="20"/>
  <c r="W607" i="20" s="1"/>
  <c r="AM617" i="20"/>
  <c r="T628" i="20"/>
  <c r="AJ631" i="20"/>
  <c r="Q753" i="20"/>
  <c r="BG765" i="20"/>
  <c r="Q769" i="20"/>
  <c r="W769" i="20" s="1"/>
  <c r="W774" i="20"/>
  <c r="Q862" i="20"/>
  <c r="AJ868" i="20"/>
  <c r="AK874" i="20"/>
  <c r="Q894" i="20"/>
  <c r="T972" i="20"/>
  <c r="V972" i="20"/>
  <c r="Y972" i="20" s="1"/>
  <c r="Q476" i="20"/>
  <c r="W476" i="20" s="1"/>
  <c r="S479" i="20"/>
  <c r="W479" i="20" s="1"/>
  <c r="S507" i="20"/>
  <c r="S544" i="20"/>
  <c r="AC548" i="20"/>
  <c r="Q565" i="20"/>
  <c r="Q571" i="20"/>
  <c r="T639" i="20"/>
  <c r="S686" i="20"/>
  <c r="T686" i="20" s="1"/>
  <c r="S702" i="20"/>
  <c r="W702" i="20" s="1"/>
  <c r="Q755" i="20"/>
  <c r="V755" i="20" s="1"/>
  <c r="Q759" i="20"/>
  <c r="V759" i="20" s="1"/>
  <c r="Q760" i="20"/>
  <c r="Q806" i="20"/>
  <c r="W806" i="20" s="1"/>
  <c r="Q832" i="20"/>
  <c r="V832" i="20" s="1"/>
  <c r="S838" i="20"/>
  <c r="W838" i="20" s="1"/>
  <c r="BE867" i="20"/>
  <c r="BF867" i="20" s="1"/>
  <c r="BG928" i="20"/>
  <c r="BE928" i="20"/>
  <c r="BF928" i="20" s="1"/>
  <c r="Q931" i="20"/>
  <c r="V931" i="20" s="1"/>
  <c r="S1024" i="20"/>
  <c r="Q1024" i="20"/>
  <c r="S1125" i="20"/>
  <c r="Q1125" i="20"/>
  <c r="S1227" i="20"/>
  <c r="T468" i="20"/>
  <c r="Q614" i="20"/>
  <c r="V628" i="20"/>
  <c r="BB630" i="20"/>
  <c r="S633" i="20"/>
  <c r="W690" i="20"/>
  <c r="Y690" i="20" s="1"/>
  <c r="Q734" i="20"/>
  <c r="V736" i="20"/>
  <c r="BB777" i="20"/>
  <c r="Q787" i="20"/>
  <c r="V787" i="20" s="1"/>
  <c r="S790" i="20"/>
  <c r="T790" i="20" s="1"/>
  <c r="Q797" i="20"/>
  <c r="Q864" i="20"/>
  <c r="V864" i="20" s="1"/>
  <c r="AM874" i="20"/>
  <c r="Q879" i="20"/>
  <c r="T879" i="20" s="1"/>
  <c r="BN891" i="20"/>
  <c r="BO891" i="20" s="1"/>
  <c r="BD891" i="20" s="1"/>
  <c r="BN895" i="20"/>
  <c r="BO895" i="20" s="1"/>
  <c r="BD895" i="20" s="1"/>
  <c r="BE895" i="20" s="1"/>
  <c r="BF895" i="20" s="1"/>
  <c r="S1083" i="20"/>
  <c r="Q1083" i="20"/>
  <c r="V1083" i="20" s="1"/>
  <c r="BG1100" i="20"/>
  <c r="BE1100" i="20"/>
  <c r="BF1100" i="20" s="1"/>
  <c r="R1227" i="20"/>
  <c r="Q1227" i="20"/>
  <c r="V1227" i="20" s="1"/>
  <c r="S458" i="20"/>
  <c r="BE490" i="20"/>
  <c r="BF490" i="20" s="1"/>
  <c r="T502" i="20"/>
  <c r="AJ506" i="20"/>
  <c r="W521" i="20"/>
  <c r="BE538" i="20"/>
  <c r="BF538" i="20" s="1"/>
  <c r="AC541" i="20"/>
  <c r="AK543" i="20"/>
  <c r="S696" i="20"/>
  <c r="W696" i="20" s="1"/>
  <c r="S718" i="20"/>
  <c r="T718" i="20" s="1"/>
  <c r="T764" i="20"/>
  <c r="BC777" i="20"/>
  <c r="Q817" i="20"/>
  <c r="Q827" i="20"/>
  <c r="W827" i="20" s="1"/>
  <c r="Q844" i="20"/>
  <c r="V844" i="20" s="1"/>
  <c r="AC862" i="20"/>
  <c r="S865" i="20"/>
  <c r="T865" i="20" s="1"/>
  <c r="Q880" i="20"/>
  <c r="AC891" i="20"/>
  <c r="W891" i="20"/>
  <c r="S941" i="20"/>
  <c r="Q941" i="20"/>
  <c r="S1037" i="20"/>
  <c r="Q1037" i="20"/>
  <c r="Q1074" i="20"/>
  <c r="V1074" i="20" s="1"/>
  <c r="Q1081" i="20"/>
  <c r="V1081" i="20" s="1"/>
  <c r="Q1082" i="20"/>
  <c r="T1082" i="20" s="1"/>
  <c r="S1216" i="20"/>
  <c r="Q1216" i="20"/>
  <c r="W1216" i="20" s="1"/>
  <c r="S1224" i="20"/>
  <c r="S1225" i="20"/>
  <c r="T1225" i="20" s="1"/>
  <c r="Q1226" i="20"/>
  <c r="Q595" i="20"/>
  <c r="W662" i="20"/>
  <c r="Q730" i="20"/>
  <c r="V730" i="20" s="1"/>
  <c r="BN762" i="20"/>
  <c r="BO762" i="20" s="1"/>
  <c r="AN815" i="20"/>
  <c r="W842" i="20"/>
  <c r="Y842" i="20" s="1"/>
  <c r="BL876" i="20"/>
  <c r="BN876" i="20" s="1"/>
  <c r="BO876" i="20" s="1"/>
  <c r="BD876" i="20" s="1"/>
  <c r="Q990" i="20"/>
  <c r="W990" i="20" s="1"/>
  <c r="T1019" i="20"/>
  <c r="S1056" i="20"/>
  <c r="Q1056" i="20"/>
  <c r="Q1188" i="20"/>
  <c r="W1188" i="20" s="1"/>
  <c r="AC1202" i="20"/>
  <c r="BC1202" i="20"/>
  <c r="BB1202" i="20"/>
  <c r="R1216" i="20"/>
  <c r="BB503" i="20"/>
  <c r="W527" i="20"/>
  <c r="Q622" i="20"/>
  <c r="V622" i="20" s="1"/>
  <c r="S630" i="20"/>
  <c r="W630" i="20" s="1"/>
  <c r="Y630" i="20" s="1"/>
  <c r="S653" i="20"/>
  <c r="W761" i="20"/>
  <c r="Y761" i="20" s="1"/>
  <c r="W858" i="20"/>
  <c r="AC864" i="20"/>
  <c r="T883" i="20"/>
  <c r="BN888" i="20"/>
  <c r="BO888" i="20" s="1"/>
  <c r="BD888" i="20" s="1"/>
  <c r="BE918" i="20"/>
  <c r="BF918" i="20" s="1"/>
  <c r="BG921" i="20"/>
  <c r="BE921" i="20"/>
  <c r="BF921" i="20" s="1"/>
  <c r="AK1197" i="20"/>
  <c r="AJ1197" i="20"/>
  <c r="V468" i="20"/>
  <c r="W475" i="20"/>
  <c r="Y475" i="20" s="1"/>
  <c r="Q477" i="20"/>
  <c r="W477" i="20" s="1"/>
  <c r="Q487" i="20"/>
  <c r="Q495" i="20"/>
  <c r="S498" i="20"/>
  <c r="T498" i="20" s="1"/>
  <c r="AM501" i="20"/>
  <c r="BE512" i="20"/>
  <c r="BF512" i="20" s="1"/>
  <c r="Y517" i="20"/>
  <c r="Q519" i="20"/>
  <c r="W519" i="20" s="1"/>
  <c r="Q523" i="20"/>
  <c r="Q525" i="20"/>
  <c r="V525" i="20" s="1"/>
  <c r="S526" i="20"/>
  <c r="T526" i="20" s="1"/>
  <c r="T529" i="20"/>
  <c r="AK548" i="20"/>
  <c r="W563" i="20"/>
  <c r="Y563" i="20" s="1"/>
  <c r="Q569" i="20"/>
  <c r="W569" i="20" s="1"/>
  <c r="AM570" i="20"/>
  <c r="Q572" i="20"/>
  <c r="V572" i="20" s="1"/>
  <c r="W578" i="20"/>
  <c r="S579" i="20"/>
  <c r="T582" i="20"/>
  <c r="Q583" i="20"/>
  <c r="V583" i="20" s="1"/>
  <c r="Q584" i="20"/>
  <c r="V584" i="20" s="1"/>
  <c r="W694" i="20"/>
  <c r="AM747" i="20"/>
  <c r="BG892" i="20"/>
  <c r="BE892" i="20"/>
  <c r="BF892" i="20" s="1"/>
  <c r="S903" i="20"/>
  <c r="W903" i="20" s="1"/>
  <c r="Q903" i="20"/>
  <c r="V903" i="20" s="1"/>
  <c r="AC1020" i="20"/>
  <c r="S1173" i="20"/>
  <c r="Q1173" i="20"/>
  <c r="AN1197" i="20"/>
  <c r="AM1197" i="20"/>
  <c r="AN457" i="20"/>
  <c r="Q483" i="20"/>
  <c r="AN504" i="20"/>
  <c r="V521" i="20"/>
  <c r="Q524" i="20"/>
  <c r="V524" i="20" s="1"/>
  <c r="BE539" i="20"/>
  <c r="BF539" i="20" s="1"/>
  <c r="S545" i="20"/>
  <c r="Q566" i="20"/>
  <c r="W566" i="20" s="1"/>
  <c r="Q573" i="20"/>
  <c r="V573" i="20" s="1"/>
  <c r="BE586" i="20"/>
  <c r="BF586" i="20" s="1"/>
  <c r="T637" i="20"/>
  <c r="W656" i="20"/>
  <c r="W664" i="20"/>
  <c r="W665" i="20"/>
  <c r="Y665" i="20" s="1"/>
  <c r="Q674" i="20"/>
  <c r="Q678" i="20"/>
  <c r="T678" i="20" s="1"/>
  <c r="S700" i="20"/>
  <c r="T803" i="20"/>
  <c r="S809" i="20"/>
  <c r="T809" i="20" s="1"/>
  <c r="T858" i="20"/>
  <c r="BC874" i="20"/>
  <c r="Q888" i="20"/>
  <c r="BN896" i="20"/>
  <c r="BO896" i="20" s="1"/>
  <c r="BD896" i="20" s="1"/>
  <c r="Q1008" i="20"/>
  <c r="S1054" i="20"/>
  <c r="Q1054" i="20"/>
  <c r="V1054" i="20" s="1"/>
  <c r="BC1104" i="20"/>
  <c r="BB1104" i="20"/>
  <c r="AC1104" i="20"/>
  <c r="AN1136" i="20"/>
  <c r="AM1136" i="20"/>
  <c r="R1214" i="20"/>
  <c r="S1214" i="20"/>
  <c r="Q480" i="20"/>
  <c r="V480" i="20" s="1"/>
  <c r="Y490" i="20"/>
  <c r="S644" i="20"/>
  <c r="S660" i="20"/>
  <c r="T660" i="20" s="1"/>
  <c r="BE666" i="20"/>
  <c r="BF666" i="20" s="1"/>
  <c r="AC734" i="20"/>
  <c r="S745" i="20"/>
  <c r="BN751" i="20"/>
  <c r="BO751" i="20" s="1"/>
  <c r="BD751" i="20" s="1"/>
  <c r="AN816" i="20"/>
  <c r="T823" i="20"/>
  <c r="Q836" i="20"/>
  <c r="V836" i="20" s="1"/>
  <c r="Q846" i="20"/>
  <c r="AN875" i="20"/>
  <c r="W887" i="20"/>
  <c r="BE922" i="20"/>
  <c r="BF922" i="20" s="1"/>
  <c r="BE971" i="20"/>
  <c r="BF971" i="20" s="1"/>
  <c r="BG971" i="20"/>
  <c r="Q1053" i="20"/>
  <c r="W1053" i="20" s="1"/>
  <c r="T1076" i="20"/>
  <c r="S1144" i="20"/>
  <c r="Q1144" i="20"/>
  <c r="V1144" i="20" s="1"/>
  <c r="Q1172" i="20"/>
  <c r="Y1203" i="20"/>
  <c r="S1213" i="20"/>
  <c r="Q1213" i="20"/>
  <c r="V910" i="20"/>
  <c r="BN911" i="20"/>
  <c r="BO911" i="20" s="1"/>
  <c r="BD911" i="20" s="1"/>
  <c r="S935" i="20"/>
  <c r="BN936" i="20"/>
  <c r="BO936" i="20" s="1"/>
  <c r="BD936" i="20" s="1"/>
  <c r="AC940" i="20"/>
  <c r="BN949" i="20"/>
  <c r="BO949" i="20" s="1"/>
  <c r="BD949" i="20" s="1"/>
  <c r="BN958" i="20"/>
  <c r="BO958" i="20" s="1"/>
  <c r="BD958" i="20" s="1"/>
  <c r="BN976" i="20"/>
  <c r="BO976" i="20" s="1"/>
  <c r="BD976" i="20" s="1"/>
  <c r="BN983" i="20"/>
  <c r="BO983" i="20" s="1"/>
  <c r="BD983" i="20" s="1"/>
  <c r="S1012" i="20"/>
  <c r="W1012" i="20" s="1"/>
  <c r="V1070" i="20"/>
  <c r="W1091" i="20"/>
  <c r="Y1091" i="20" s="1"/>
  <c r="BC1135" i="20"/>
  <c r="W1137" i="20"/>
  <c r="T1161" i="20"/>
  <c r="BE1217" i="20"/>
  <c r="BF1217" i="20" s="1"/>
  <c r="BE1218" i="20"/>
  <c r="BF1218" i="20" s="1"/>
  <c r="R1224" i="20"/>
  <c r="R1225" i="20"/>
  <c r="R1226" i="20"/>
  <c r="T1226" i="20" s="1"/>
  <c r="BN929" i="20"/>
  <c r="BO929" i="20" s="1"/>
  <c r="BD929" i="20" s="1"/>
  <c r="BG929" i="20" s="1"/>
  <c r="BN993" i="20"/>
  <c r="BO993" i="20" s="1"/>
  <c r="BD993" i="20" s="1"/>
  <c r="BN997" i="20"/>
  <c r="BO997" i="20" s="1"/>
  <c r="BD997" i="20" s="1"/>
  <c r="W1030" i="20"/>
  <c r="Y1030" i="20" s="1"/>
  <c r="W1076" i="20"/>
  <c r="Y1076" i="20" s="1"/>
  <c r="W911" i="20"/>
  <c r="Y911" i="20" s="1"/>
  <c r="W972" i="20"/>
  <c r="BB1109" i="20"/>
  <c r="AM1110" i="20"/>
  <c r="AM1204" i="20"/>
  <c r="R1215" i="20"/>
  <c r="BN909" i="20"/>
  <c r="BO909" i="20" s="1"/>
  <c r="BD909" i="20" s="1"/>
  <c r="Q961" i="20"/>
  <c r="T961" i="20" s="1"/>
  <c r="BN968" i="20"/>
  <c r="BO968" i="20" s="1"/>
  <c r="BD968" i="20" s="1"/>
  <c r="Q976" i="20"/>
  <c r="V976" i="20" s="1"/>
  <c r="Q993" i="20"/>
  <c r="V993" i="20" s="1"/>
  <c r="Q1020" i="20"/>
  <c r="Q1042" i="20"/>
  <c r="V1042" i="20" s="1"/>
  <c r="Q1058" i="20"/>
  <c r="W1088" i="20"/>
  <c r="W1152" i="20"/>
  <c r="Y1152" i="20" s="1"/>
  <c r="BE1179" i="20"/>
  <c r="BF1179" i="20" s="1"/>
  <c r="S1182" i="20"/>
  <c r="W1182" i="20" s="1"/>
  <c r="Q1202" i="20"/>
  <c r="V1202" i="20" s="1"/>
  <c r="Q964" i="20"/>
  <c r="Q971" i="20"/>
  <c r="V971" i="20" s="1"/>
  <c r="BN988" i="20"/>
  <c r="BO988" i="20" s="1"/>
  <c r="BD988" i="20" s="1"/>
  <c r="BG988" i="20" s="1"/>
  <c r="BN994" i="20"/>
  <c r="BO994" i="20" s="1"/>
  <c r="BD994" i="20" s="1"/>
  <c r="BG994" i="20" s="1"/>
  <c r="Q1002" i="20"/>
  <c r="V1002" i="20" s="1"/>
  <c r="Q1013" i="20"/>
  <c r="V1013" i="20" s="1"/>
  <c r="Q1028" i="20"/>
  <c r="S1040" i="20"/>
  <c r="T1040" i="20" s="1"/>
  <c r="Q1060" i="20"/>
  <c r="V1060" i="20" s="1"/>
  <c r="Q1061" i="20"/>
  <c r="V1061" i="20" s="1"/>
  <c r="S1106" i="20"/>
  <c r="T1106" i="20" s="1"/>
  <c r="S1109" i="20"/>
  <c r="S1112" i="20"/>
  <c r="W1112" i="20" s="1"/>
  <c r="Y1112" i="20" s="1"/>
  <c r="Q1131" i="20"/>
  <c r="V1131" i="20" s="1"/>
  <c r="S1164" i="20"/>
  <c r="T1164" i="20" s="1"/>
  <c r="AN1174" i="20"/>
  <c r="AC1196" i="20"/>
  <c r="T916" i="20"/>
  <c r="BN942" i="20"/>
  <c r="BO942" i="20" s="1"/>
  <c r="BD942" i="20" s="1"/>
  <c r="BG942" i="20" s="1"/>
  <c r="BN973" i="20"/>
  <c r="BO973" i="20" s="1"/>
  <c r="BD973" i="20" s="1"/>
  <c r="BG973" i="20" s="1"/>
  <c r="BN998" i="20"/>
  <c r="BO998" i="20" s="1"/>
  <c r="BD998" i="20" s="1"/>
  <c r="BG998" i="20" s="1"/>
  <c r="AV1033" i="20"/>
  <c r="BB1047" i="20"/>
  <c r="BB1199" i="20"/>
  <c r="BG1221" i="20"/>
  <c r="T1032" i="20"/>
  <c r="AM1137" i="20"/>
  <c r="AJ1198" i="20"/>
  <c r="BC1199" i="20"/>
  <c r="AM1206" i="20"/>
  <c r="BE1210" i="20"/>
  <c r="BF1210" i="20" s="1"/>
  <c r="BE1211" i="20"/>
  <c r="BF1211" i="20" s="1"/>
  <c r="Q912" i="20"/>
  <c r="W912" i="20" s="1"/>
  <c r="V926" i="20"/>
  <c r="BN932" i="20"/>
  <c r="BO932" i="20" s="1"/>
  <c r="BD932" i="20" s="1"/>
  <c r="BG932" i="20" s="1"/>
  <c r="S954" i="20"/>
  <c r="T954" i="20" s="1"/>
  <c r="BE965" i="20"/>
  <c r="BF965" i="20" s="1"/>
  <c r="W969" i="20"/>
  <c r="Y969" i="20" s="1"/>
  <c r="Q977" i="20"/>
  <c r="BN981" i="20"/>
  <c r="BO981" i="20" s="1"/>
  <c r="BD981" i="20" s="1"/>
  <c r="Q1029" i="20"/>
  <c r="Q1067" i="20"/>
  <c r="T1067" i="20" s="1"/>
  <c r="BB1110" i="20"/>
  <c r="AC1126" i="20"/>
  <c r="BE1128" i="20"/>
  <c r="BF1128" i="20" s="1"/>
  <c r="AC1131" i="20"/>
  <c r="W1146" i="20"/>
  <c r="Y1146" i="20" s="1"/>
  <c r="Q1147" i="20"/>
  <c r="W1147" i="20" s="1"/>
  <c r="Q1166" i="20"/>
  <c r="T1166" i="20" s="1"/>
  <c r="T1176" i="20"/>
  <c r="Q1204" i="20"/>
  <c r="V1204" i="20" s="1"/>
  <c r="BB1204" i="20"/>
  <c r="BG1210" i="20"/>
  <c r="BG1211" i="20"/>
  <c r="S1217" i="20"/>
  <c r="S1218" i="20"/>
  <c r="Q1219" i="20"/>
  <c r="W926" i="20"/>
  <c r="BN927" i="20"/>
  <c r="BO927" i="20" s="1"/>
  <c r="BD927" i="20" s="1"/>
  <c r="BG927" i="20" s="1"/>
  <c r="Q932" i="20"/>
  <c r="BN951" i="20"/>
  <c r="BO951" i="20" s="1"/>
  <c r="BD951" i="20" s="1"/>
  <c r="BN974" i="20"/>
  <c r="BO974" i="20" s="1"/>
  <c r="BD974" i="20" s="1"/>
  <c r="T984" i="20"/>
  <c r="Q991" i="20"/>
  <c r="W991" i="20" s="1"/>
  <c r="S998" i="20"/>
  <c r="W998" i="20" s="1"/>
  <c r="Y998" i="20" s="1"/>
  <c r="AC1084" i="20"/>
  <c r="Q1089" i="20"/>
  <c r="BB1101" i="20"/>
  <c r="BE1102" i="20"/>
  <c r="BF1102" i="20" s="1"/>
  <c r="AM1111" i="20"/>
  <c r="S1118" i="20"/>
  <c r="T1118" i="20" s="1"/>
  <c r="Q1119" i="20"/>
  <c r="T1119" i="20" s="1"/>
  <c r="Q1139" i="20"/>
  <c r="V1139" i="20" s="1"/>
  <c r="Q1150" i="20"/>
  <c r="T1150" i="20" s="1"/>
  <c r="W1155" i="20"/>
  <c r="Y1155" i="20" s="1"/>
  <c r="Q1168" i="20"/>
  <c r="W1168" i="20" s="1"/>
  <c r="S1174" i="20"/>
  <c r="T1174" i="20" s="1"/>
  <c r="BE1174" i="20"/>
  <c r="BF1174" i="20" s="1"/>
  <c r="W1199" i="20"/>
  <c r="Y1199" i="20" s="1"/>
  <c r="BC1204" i="20"/>
  <c r="BE1212" i="20"/>
  <c r="BF1212" i="20" s="1"/>
  <c r="Q1220" i="20"/>
  <c r="BE1224" i="20"/>
  <c r="BF1224" i="20" s="1"/>
  <c r="BE1225" i="20"/>
  <c r="BF1225" i="20" s="1"/>
  <c r="W955" i="20"/>
  <c r="BN982" i="20"/>
  <c r="BO982" i="20" s="1"/>
  <c r="BD982" i="20" s="1"/>
  <c r="BG982" i="20" s="1"/>
  <c r="BN985" i="20"/>
  <c r="BO985" i="20" s="1"/>
  <c r="BD985" i="20" s="1"/>
  <c r="V1032" i="20"/>
  <c r="Q1063" i="20"/>
  <c r="V1063" i="20" s="1"/>
  <c r="Y1153" i="20"/>
  <c r="AK1196" i="20"/>
  <c r="Q1201" i="20"/>
  <c r="V1201" i="20" s="1"/>
  <c r="BB1201" i="20"/>
  <c r="T1209" i="20"/>
  <c r="R1220" i="20"/>
  <c r="AC934" i="20"/>
  <c r="BN948" i="20"/>
  <c r="BO948" i="20" s="1"/>
  <c r="BD948" i="20" s="1"/>
  <c r="BG948" i="20" s="1"/>
  <c r="BN966" i="20"/>
  <c r="BO966" i="20" s="1"/>
  <c r="BD966" i="20" s="1"/>
  <c r="W984" i="20"/>
  <c r="Y984" i="20" s="1"/>
  <c r="W1018" i="20"/>
  <c r="W1032" i="20"/>
  <c r="W1062" i="20"/>
  <c r="Y1062" i="20" s="1"/>
  <c r="AC1066" i="20"/>
  <c r="T1068" i="20"/>
  <c r="BB1108" i="20"/>
  <c r="AC1132" i="20"/>
  <c r="AC1152" i="20"/>
  <c r="W1181" i="20"/>
  <c r="AC1197" i="20"/>
  <c r="BC1201" i="20"/>
  <c r="BE1226" i="20"/>
  <c r="BF1226" i="20" s="1"/>
  <c r="W970" i="20"/>
  <c r="Y970" i="20" s="1"/>
  <c r="BE990" i="20"/>
  <c r="BF990" i="20" s="1"/>
  <c r="W1073" i="20"/>
  <c r="BE1173" i="20"/>
  <c r="BF1173" i="20" s="1"/>
  <c r="BE1177" i="20"/>
  <c r="BF1177" i="20" s="1"/>
  <c r="AM1205" i="20"/>
  <c r="BG1214" i="20"/>
  <c r="BE1227" i="20"/>
  <c r="BF1227" i="20" s="1"/>
  <c r="BN893" i="20"/>
  <c r="BO893" i="20" s="1"/>
  <c r="BD893" i="20" s="1"/>
  <c r="BN904" i="20"/>
  <c r="BO904" i="20" s="1"/>
  <c r="BD904" i="20" s="1"/>
  <c r="BE904" i="20" s="1"/>
  <c r="BF904" i="20" s="1"/>
  <c r="W938" i="20"/>
  <c r="Y938" i="20" s="1"/>
  <c r="W939" i="20"/>
  <c r="BN979" i="20"/>
  <c r="BO979" i="20" s="1"/>
  <c r="BD979" i="20" s="1"/>
  <c r="BG979" i="20" s="1"/>
  <c r="BN986" i="20"/>
  <c r="BO986" i="20" s="1"/>
  <c r="BD986" i="20" s="1"/>
  <c r="S992" i="20"/>
  <c r="BC1049" i="20"/>
  <c r="AK1075" i="20"/>
  <c r="T1091" i="20"/>
  <c r="T1111" i="20"/>
  <c r="BB1125" i="20"/>
  <c r="Q1140" i="20"/>
  <c r="V1140" i="20" s="1"/>
  <c r="AC1168" i="20"/>
  <c r="Q1170" i="20"/>
  <c r="BG1173" i="20"/>
  <c r="BC1198" i="20"/>
  <c r="V1209" i="20"/>
  <c r="R1210" i="20"/>
  <c r="R1211" i="20"/>
  <c r="R1212" i="20"/>
  <c r="BE1228" i="20"/>
  <c r="BF1228" i="20" s="1"/>
  <c r="V3" i="20"/>
  <c r="W37" i="20"/>
  <c r="U37" i="20"/>
  <c r="T37" i="20"/>
  <c r="W54" i="20"/>
  <c r="V31" i="20"/>
  <c r="W40" i="20"/>
  <c r="U21" i="20"/>
  <c r="T21" i="20"/>
  <c r="BG5" i="20"/>
  <c r="BE5" i="20"/>
  <c r="BF5" i="20" s="1"/>
  <c r="BG7" i="20"/>
  <c r="BE7" i="20"/>
  <c r="BF7" i="20" s="1"/>
  <c r="BG3" i="20"/>
  <c r="BE3" i="20"/>
  <c r="BF3" i="20" s="1"/>
  <c r="V22" i="20"/>
  <c r="V17" i="20"/>
  <c r="BG34" i="20"/>
  <c r="BE34" i="20"/>
  <c r="BF34" i="20" s="1"/>
  <c r="BG58" i="20"/>
  <c r="BG32" i="20"/>
  <c r="BE32" i="20"/>
  <c r="BF32" i="20" s="1"/>
  <c r="BG36" i="20"/>
  <c r="BE36" i="20"/>
  <c r="BF36" i="20" s="1"/>
  <c r="BG39" i="20"/>
  <c r="BE39" i="20"/>
  <c r="BF39" i="20" s="1"/>
  <c r="BG41" i="20"/>
  <c r="BE41" i="20"/>
  <c r="BF41" i="20" s="1"/>
  <c r="U4" i="20"/>
  <c r="T4" i="20"/>
  <c r="W4" i="20"/>
  <c r="W6" i="20"/>
  <c r="V6" i="20"/>
  <c r="V7" i="20"/>
  <c r="O20" i="20"/>
  <c r="V20" i="20" s="1"/>
  <c r="BC20" i="20"/>
  <c r="BB23" i="20"/>
  <c r="AC28" i="20"/>
  <c r="O42" i="20"/>
  <c r="V42" i="20" s="1"/>
  <c r="BG44" i="20"/>
  <c r="W53" i="20"/>
  <c r="Q61" i="20"/>
  <c r="V61" i="20" s="1"/>
  <c r="W68" i="20"/>
  <c r="U68" i="20"/>
  <c r="AC73" i="20"/>
  <c r="T94" i="20"/>
  <c r="S96" i="20"/>
  <c r="Q96" i="20"/>
  <c r="W96" i="20" s="1"/>
  <c r="W109" i="20"/>
  <c r="T112" i="20"/>
  <c r="V128" i="20"/>
  <c r="BL57" i="20"/>
  <c r="BN57" i="20" s="1"/>
  <c r="BO57" i="20" s="1"/>
  <c r="BD57" i="20" s="1"/>
  <c r="V68" i="20"/>
  <c r="Y71" i="20"/>
  <c r="Q73" i="20"/>
  <c r="O73" i="20"/>
  <c r="V87" i="20"/>
  <c r="T87" i="20"/>
  <c r="V108" i="20"/>
  <c r="T108" i="20"/>
  <c r="W113" i="20"/>
  <c r="Y113" i="20" s="1"/>
  <c r="T123" i="20"/>
  <c r="BC49" i="20"/>
  <c r="O57" i="20"/>
  <c r="N57" i="20"/>
  <c r="W132" i="20"/>
  <c r="V132" i="20"/>
  <c r="BG193" i="20"/>
  <c r="BE193" i="20"/>
  <c r="BF193" i="20" s="1"/>
  <c r="W51" i="20"/>
  <c r="BE51" i="20"/>
  <c r="BF51" i="20" s="1"/>
  <c r="N55" i="20"/>
  <c r="P57" i="20"/>
  <c r="N62" i="20"/>
  <c r="T68" i="20"/>
  <c r="Y81" i="20"/>
  <c r="AC103" i="20"/>
  <c r="T109" i="20"/>
  <c r="W121" i="20"/>
  <c r="Y121" i="20" s="1"/>
  <c r="V125" i="20"/>
  <c r="AC142" i="20"/>
  <c r="BG194" i="20"/>
  <c r="BE194" i="20"/>
  <c r="BF194" i="20" s="1"/>
  <c r="N17" i="20"/>
  <c r="N19" i="20"/>
  <c r="N41" i="20"/>
  <c r="T44" i="20"/>
  <c r="T53" i="20"/>
  <c r="O55" i="20"/>
  <c r="V55" i="20" s="1"/>
  <c r="O62" i="20"/>
  <c r="V90" i="20"/>
  <c r="Q98" i="20"/>
  <c r="S103" i="20"/>
  <c r="Q103" i="20"/>
  <c r="T113" i="20"/>
  <c r="T132" i="20"/>
  <c r="V163" i="20"/>
  <c r="V212" i="20"/>
  <c r="BC19" i="20"/>
  <c r="N22" i="20"/>
  <c r="BB22" i="20"/>
  <c r="AC27" i="20"/>
  <c r="T35" i="20"/>
  <c r="BE35" i="20"/>
  <c r="BF35" i="20" s="1"/>
  <c r="T38" i="20"/>
  <c r="BE38" i="20"/>
  <c r="BF38" i="20" s="1"/>
  <c r="U44" i="20"/>
  <c r="Y44" i="20" s="1"/>
  <c r="U53" i="20"/>
  <c r="O59" i="20"/>
  <c r="V59" i="20" s="1"/>
  <c r="T65" i="20"/>
  <c r="T74" i="20"/>
  <c r="U74" i="20"/>
  <c r="W90" i="20"/>
  <c r="S91" i="20"/>
  <c r="W91" i="20" s="1"/>
  <c r="Y91" i="20" s="1"/>
  <c r="Y129" i="20"/>
  <c r="BG195" i="20"/>
  <c r="BE195" i="20"/>
  <c r="BF195" i="20" s="1"/>
  <c r="N9" i="20"/>
  <c r="N11" i="20"/>
  <c r="N13" i="20"/>
  <c r="N15" i="20"/>
  <c r="T6" i="20"/>
  <c r="BE6" i="20"/>
  <c r="BF6" i="20" s="1"/>
  <c r="N5" i="20"/>
  <c r="BB5" i="20"/>
  <c r="U6" i="20"/>
  <c r="BC22" i="20"/>
  <c r="N25" i="20"/>
  <c r="BB25" i="20"/>
  <c r="AC30" i="20"/>
  <c r="N34" i="20"/>
  <c r="BB34" i="20"/>
  <c r="U38" i="20"/>
  <c r="AC39" i="20"/>
  <c r="AC42" i="20"/>
  <c r="AC46" i="20"/>
  <c r="T51" i="20"/>
  <c r="V74" i="20"/>
  <c r="V85" i="20"/>
  <c r="W92" i="20"/>
  <c r="S99" i="20"/>
  <c r="Q99" i="20"/>
  <c r="V109" i="20"/>
  <c r="W169" i="20"/>
  <c r="AC3" i="20"/>
  <c r="BC5" i="20"/>
  <c r="AC7" i="20"/>
  <c r="BC25" i="20"/>
  <c r="N28" i="20"/>
  <c r="BB28" i="20"/>
  <c r="AC32" i="20"/>
  <c r="BC34" i="20"/>
  <c r="AC36" i="20"/>
  <c r="BL45" i="20"/>
  <c r="BN45" i="20" s="1"/>
  <c r="BO45" i="20" s="1"/>
  <c r="BD45" i="20" s="1"/>
  <c r="BG47" i="20"/>
  <c r="U51" i="20"/>
  <c r="W74" i="20"/>
  <c r="V75" i="20"/>
  <c r="U75" i="20"/>
  <c r="T75" i="20"/>
  <c r="V106" i="20"/>
  <c r="W117" i="20"/>
  <c r="Y117" i="20" s="1"/>
  <c r="BG149" i="20"/>
  <c r="BE149" i="20"/>
  <c r="BF149" i="20" s="1"/>
  <c r="V169" i="20"/>
  <c r="T169" i="20"/>
  <c r="AC20" i="20"/>
  <c r="N31" i="20"/>
  <c r="BL43" i="20"/>
  <c r="BN43" i="20" s="1"/>
  <c r="BO43" i="20" s="1"/>
  <c r="BD43" i="20" s="1"/>
  <c r="O45" i="20"/>
  <c r="V45" i="20" s="1"/>
  <c r="N45" i="20"/>
  <c r="N63" i="20"/>
  <c r="V66" i="20"/>
  <c r="U69" i="20"/>
  <c r="V76" i="20"/>
  <c r="U76" i="20"/>
  <c r="W76" i="20"/>
  <c r="T110" i="20"/>
  <c r="V114" i="20"/>
  <c r="V143" i="20"/>
  <c r="T143" i="20"/>
  <c r="BE145" i="20"/>
  <c r="BF145" i="20" s="1"/>
  <c r="V215" i="20"/>
  <c r="T215" i="20"/>
  <c r="BB52" i="20"/>
  <c r="W60" i="20"/>
  <c r="U60" i="20"/>
  <c r="O63" i="20"/>
  <c r="W75" i="20"/>
  <c r="V86" i="20"/>
  <c r="W86" i="20"/>
  <c r="V92" i="20"/>
  <c r="T92" i="20"/>
  <c r="S106" i="20"/>
  <c r="W106" i="20" s="1"/>
  <c r="V130" i="20"/>
  <c r="V202" i="20"/>
  <c r="BE37" i="20"/>
  <c r="BF37" i="20" s="1"/>
  <c r="W47" i="20"/>
  <c r="AC51" i="20"/>
  <c r="P58" i="20"/>
  <c r="W82" i="20"/>
  <c r="Y82" i="20" s="1"/>
  <c r="W110" i="20"/>
  <c r="Y110" i="20" s="1"/>
  <c r="W152" i="20"/>
  <c r="W93" i="20"/>
  <c r="T93" i="20"/>
  <c r="V152" i="20"/>
  <c r="T152" i="20"/>
  <c r="V166" i="20"/>
  <c r="N10" i="20"/>
  <c r="N12" i="20"/>
  <c r="N14" i="20"/>
  <c r="N16" i="20"/>
  <c r="N18" i="20"/>
  <c r="O24" i="20"/>
  <c r="V24" i="20" s="1"/>
  <c r="N27" i="20"/>
  <c r="BB27" i="20"/>
  <c r="T47" i="20"/>
  <c r="P50" i="20"/>
  <c r="N52" i="20"/>
  <c r="T60" i="20"/>
  <c r="N67" i="20"/>
  <c r="T86" i="20"/>
  <c r="V122" i="20"/>
  <c r="T122" i="20"/>
  <c r="W124" i="20"/>
  <c r="V160" i="20"/>
  <c r="T160" i="20"/>
  <c r="V170" i="20"/>
  <c r="O10" i="20"/>
  <c r="V10" i="20" s="1"/>
  <c r="O27" i="20"/>
  <c r="V27" i="20" s="1"/>
  <c r="N30" i="20"/>
  <c r="BB39" i="20"/>
  <c r="U47" i="20"/>
  <c r="N50" i="20"/>
  <c r="O52" i="20"/>
  <c r="V52" i="20" s="1"/>
  <c r="Q67" i="20"/>
  <c r="V67" i="20" s="1"/>
  <c r="W77" i="20"/>
  <c r="V77" i="20"/>
  <c r="T89" i="20"/>
  <c r="S107" i="20"/>
  <c r="W107" i="20" s="1"/>
  <c r="Y107" i="20" s="1"/>
  <c r="T115" i="20"/>
  <c r="T151" i="20"/>
  <c r="O12" i="20"/>
  <c r="O14" i="20"/>
  <c r="V14" i="20" s="1"/>
  <c r="O16" i="20"/>
  <c r="O18" i="20"/>
  <c r="V18" i="20" s="1"/>
  <c r="N3" i="20"/>
  <c r="BB3" i="20"/>
  <c r="N7" i="20"/>
  <c r="BB7" i="20"/>
  <c r="N32" i="20"/>
  <c r="BB32" i="20"/>
  <c r="N36" i="20"/>
  <c r="BB36" i="20"/>
  <c r="N39" i="20"/>
  <c r="N61" i="20"/>
  <c r="O64" i="20"/>
  <c r="V64" i="20" s="1"/>
  <c r="O72" i="20"/>
  <c r="Q72" i="20"/>
  <c r="V93" i="20"/>
  <c r="T101" i="20"/>
  <c r="W108" i="20"/>
  <c r="W122" i="20"/>
  <c r="S138" i="20"/>
  <c r="Q138" i="20"/>
  <c r="V144" i="20"/>
  <c r="T144" i="20"/>
  <c r="V146" i="20"/>
  <c r="V154" i="20"/>
  <c r="T159" i="20"/>
  <c r="W162" i="20"/>
  <c r="BE4" i="20"/>
  <c r="BF4" i="20" s="1"/>
  <c r="O48" i="20"/>
  <c r="V48" i="20" s="1"/>
  <c r="N48" i="20"/>
  <c r="BC53" i="20"/>
  <c r="T77" i="20"/>
  <c r="W83" i="20"/>
  <c r="Y83" i="20" s="1"/>
  <c r="V89" i="20"/>
  <c r="Q95" i="20"/>
  <c r="S95" i="20"/>
  <c r="V115" i="20"/>
  <c r="BG146" i="20"/>
  <c r="BE146" i="20"/>
  <c r="BF146" i="20" s="1"/>
  <c r="V162" i="20"/>
  <c r="T162" i="20"/>
  <c r="S146" i="20"/>
  <c r="W146" i="20" s="1"/>
  <c r="S154" i="20"/>
  <c r="W154" i="20" s="1"/>
  <c r="S163" i="20"/>
  <c r="W163" i="20" s="1"/>
  <c r="S166" i="20"/>
  <c r="W166" i="20" s="1"/>
  <c r="S170" i="20"/>
  <c r="W170" i="20" s="1"/>
  <c r="W189" i="20"/>
  <c r="Y189" i="20" s="1"/>
  <c r="S202" i="20"/>
  <c r="W202" i="20" s="1"/>
  <c r="S212" i="20"/>
  <c r="W212" i="20" s="1"/>
  <c r="W215" i="20"/>
  <c r="BE223" i="20"/>
  <c r="BF223" i="20" s="1"/>
  <c r="V245" i="20"/>
  <c r="T245" i="20"/>
  <c r="AC296" i="20"/>
  <c r="W296" i="20"/>
  <c r="V317" i="20"/>
  <c r="V116" i="20"/>
  <c r="BL147" i="20"/>
  <c r="BN147" i="20" s="1"/>
  <c r="BO147" i="20" s="1"/>
  <c r="BD147" i="20" s="1"/>
  <c r="V151" i="20"/>
  <c r="V159" i="20"/>
  <c r="Y159" i="20" s="1"/>
  <c r="W175" i="20"/>
  <c r="Y175" i="20" s="1"/>
  <c r="AK235" i="20"/>
  <c r="AJ235" i="20"/>
  <c r="V274" i="20"/>
  <c r="T274" i="20"/>
  <c r="W222" i="20"/>
  <c r="AK226" i="20"/>
  <c r="AJ226" i="20"/>
  <c r="V275" i="20"/>
  <c r="T275" i="20"/>
  <c r="W275" i="20"/>
  <c r="S287" i="20"/>
  <c r="Q287" i="20"/>
  <c r="V398" i="20"/>
  <c r="T119" i="20"/>
  <c r="BE148" i="20"/>
  <c r="BF148" i="20" s="1"/>
  <c r="AC194" i="20"/>
  <c r="AK225" i="20"/>
  <c r="T228" i="20"/>
  <c r="T243" i="20"/>
  <c r="V247" i="20"/>
  <c r="V297" i="20"/>
  <c r="AC248" i="20"/>
  <c r="V277" i="20"/>
  <c r="T277" i="20"/>
  <c r="W277" i="20"/>
  <c r="AC288" i="20"/>
  <c r="T298" i="20"/>
  <c r="V298" i="20"/>
  <c r="W298" i="20"/>
  <c r="AM147" i="20"/>
  <c r="T190" i="20"/>
  <c r="AJ195" i="20"/>
  <c r="W203" i="20"/>
  <c r="W217" i="20"/>
  <c r="AN225" i="20"/>
  <c r="BG245" i="20"/>
  <c r="S248" i="20"/>
  <c r="Q248" i="20"/>
  <c r="V249" i="20"/>
  <c r="T320" i="20"/>
  <c r="V320" i="20"/>
  <c r="W320" i="20"/>
  <c r="V355" i="20"/>
  <c r="T355" i="20"/>
  <c r="W355" i="20"/>
  <c r="V136" i="20"/>
  <c r="V139" i="20"/>
  <c r="Y139" i="20" s="1"/>
  <c r="AJ145" i="20"/>
  <c r="Q172" i="20"/>
  <c r="T175" i="20"/>
  <c r="AC179" i="20"/>
  <c r="T186" i="20"/>
  <c r="W188" i="20"/>
  <c r="Y188" i="20" s="1"/>
  <c r="V193" i="20"/>
  <c r="Q196" i="20"/>
  <c r="Q200" i="20"/>
  <c r="W200" i="20" s="1"/>
  <c r="V210" i="20"/>
  <c r="Y210" i="20" s="1"/>
  <c r="Q213" i="20"/>
  <c r="W219" i="20"/>
  <c r="Y219" i="20" s="1"/>
  <c r="AJ224" i="20"/>
  <c r="W228" i="20"/>
  <c r="Y228" i="20" s="1"/>
  <c r="S232" i="20"/>
  <c r="W232" i="20" s="1"/>
  <c r="AN242" i="20"/>
  <c r="AM242" i="20"/>
  <c r="V243" i="20"/>
  <c r="AC250" i="20"/>
  <c r="S278" i="20"/>
  <c r="Q278" i="20"/>
  <c r="W278" i="20" s="1"/>
  <c r="AC312" i="20"/>
  <c r="W312" i="20"/>
  <c r="T332" i="20"/>
  <c r="V332" i="20"/>
  <c r="W332" i="20"/>
  <c r="Q142" i="20"/>
  <c r="T147" i="20"/>
  <c r="Q150" i="20"/>
  <c r="W150" i="20" s="1"/>
  <c r="T155" i="20"/>
  <c r="Q158" i="20"/>
  <c r="W158" i="20" s="1"/>
  <c r="Q165" i="20"/>
  <c r="Q168" i="20"/>
  <c r="W168" i="20" s="1"/>
  <c r="V177" i="20"/>
  <c r="T180" i="20"/>
  <c r="T183" i="20"/>
  <c r="T203" i="20"/>
  <c r="S204" i="20"/>
  <c r="Q204" i="20"/>
  <c r="T217" i="20"/>
  <c r="BB227" i="20"/>
  <c r="S249" i="20"/>
  <c r="T249" i="20" s="1"/>
  <c r="S250" i="20"/>
  <c r="Q250" i="20"/>
  <c r="V251" i="20"/>
  <c r="T251" i="20"/>
  <c r="V280" i="20"/>
  <c r="W280" i="20"/>
  <c r="T280" i="20"/>
  <c r="V289" i="20"/>
  <c r="T289" i="20"/>
  <c r="V335" i="20"/>
  <c r="T335" i="20"/>
  <c r="W335" i="20"/>
  <c r="V349" i="20"/>
  <c r="V367" i="20"/>
  <c r="BG394" i="20"/>
  <c r="BE394" i="20"/>
  <c r="BF394" i="20" s="1"/>
  <c r="W144" i="20"/>
  <c r="W177" i="20"/>
  <c r="W186" i="20"/>
  <c r="Y186" i="20" s="1"/>
  <c r="V190" i="20"/>
  <c r="AM195" i="20"/>
  <c r="AN221" i="20"/>
  <c r="AM224" i="20"/>
  <c r="T226" i="20"/>
  <c r="BC227" i="20"/>
  <c r="AC228" i="20"/>
  <c r="BL228" i="20"/>
  <c r="BN228" i="20" s="1"/>
  <c r="BO228" i="20" s="1"/>
  <c r="BD228" i="20" s="1"/>
  <c r="S230" i="20"/>
  <c r="Q230" i="20"/>
  <c r="AK238" i="20"/>
  <c r="AC252" i="20"/>
  <c r="V290" i="20"/>
  <c r="V323" i="20"/>
  <c r="T323" i="20"/>
  <c r="W323" i="20"/>
  <c r="V336" i="20"/>
  <c r="V374" i="20"/>
  <c r="W180" i="20"/>
  <c r="Y180" i="20" s="1"/>
  <c r="W190" i="20"/>
  <c r="V203" i="20"/>
  <c r="V217" i="20"/>
  <c r="Y217" i="20" s="1"/>
  <c r="V232" i="20"/>
  <c r="AN238" i="20"/>
  <c r="AM238" i="20"/>
  <c r="S252" i="20"/>
  <c r="Q252" i="20"/>
  <c r="V253" i="20"/>
  <c r="V281" i="20"/>
  <c r="T281" i="20"/>
  <c r="BG396" i="20"/>
  <c r="BE396" i="20"/>
  <c r="BF396" i="20" s="1"/>
  <c r="BE498" i="20"/>
  <c r="BF498" i="20" s="1"/>
  <c r="BG498" i="20"/>
  <c r="W147" i="20"/>
  <c r="Y147" i="20" s="1"/>
  <c r="BB147" i="20"/>
  <c r="W155" i="20"/>
  <c r="Y155" i="20" s="1"/>
  <c r="W183" i="20"/>
  <c r="Y183" i="20" s="1"/>
  <c r="BL227" i="20"/>
  <c r="BN227" i="20" s="1"/>
  <c r="BO227" i="20" s="1"/>
  <c r="BD227" i="20" s="1"/>
  <c r="AN234" i="20"/>
  <c r="AM234" i="20"/>
  <c r="S242" i="20"/>
  <c r="Q242" i="20"/>
  <c r="S244" i="20"/>
  <c r="Q244" i="20"/>
  <c r="V246" i="20"/>
  <c r="S254" i="20"/>
  <c r="Q254" i="20"/>
  <c r="W254" i="20" s="1"/>
  <c r="V255" i="20"/>
  <c r="T282" i="20"/>
  <c r="V282" i="20"/>
  <c r="W282" i="20"/>
  <c r="T314" i="20"/>
  <c r="V314" i="20"/>
  <c r="W314" i="20"/>
  <c r="V337" i="20"/>
  <c r="AC365" i="20"/>
  <c r="W365" i="20"/>
  <c r="Y365" i="20" s="1"/>
  <c r="Q392" i="20"/>
  <c r="W392" i="20" s="1"/>
  <c r="S392" i="20"/>
  <c r="T117" i="20"/>
  <c r="T121" i="20"/>
  <c r="W138" i="20"/>
  <c r="Q141" i="20"/>
  <c r="T145" i="20"/>
  <c r="BC147" i="20"/>
  <c r="Q148" i="20"/>
  <c r="AM148" i="20"/>
  <c r="T153" i="20"/>
  <c r="Q156" i="20"/>
  <c r="Q161" i="20"/>
  <c r="Q164" i="20"/>
  <c r="Q167" i="20"/>
  <c r="Q174" i="20"/>
  <c r="Q181" i="20"/>
  <c r="Q187" i="20"/>
  <c r="AM194" i="20"/>
  <c r="Q201" i="20"/>
  <c r="T208" i="20"/>
  <c r="Q216" i="20"/>
  <c r="W216" i="20" s="1"/>
  <c r="T219" i="20"/>
  <c r="S221" i="20"/>
  <c r="W221" i="20" s="1"/>
  <c r="S233" i="20"/>
  <c r="T233" i="20" s="1"/>
  <c r="BG244" i="20"/>
  <c r="S253" i="20"/>
  <c r="W253" i="20" s="1"/>
  <c r="S256" i="20"/>
  <c r="Q256" i="20"/>
  <c r="W257" i="20"/>
  <c r="V257" i="20"/>
  <c r="T257" i="20"/>
  <c r="AC304" i="20"/>
  <c r="W304" i="20"/>
  <c r="V315" i="20"/>
  <c r="T315" i="20"/>
  <c r="AC339" i="20"/>
  <c r="W339" i="20"/>
  <c r="V430" i="20"/>
  <c r="T127" i="20"/>
  <c r="T129" i="20"/>
  <c r="T131" i="20"/>
  <c r="T135" i="20"/>
  <c r="T137" i="20"/>
  <c r="W165" i="20"/>
  <c r="T171" i="20"/>
  <c r="V184" i="20"/>
  <c r="Q194" i="20"/>
  <c r="W194" i="20" s="1"/>
  <c r="S197" i="20"/>
  <c r="Q197" i="20"/>
  <c r="Q214" i="20"/>
  <c r="S223" i="20"/>
  <c r="Q223" i="20"/>
  <c r="Q240" i="20"/>
  <c r="S246" i="20"/>
  <c r="T246" i="20" s="1"/>
  <c r="S255" i="20"/>
  <c r="W255" i="20" s="1"/>
  <c r="S258" i="20"/>
  <c r="Q258" i="20"/>
  <c r="V259" i="20"/>
  <c r="S283" i="20"/>
  <c r="Q283" i="20"/>
  <c r="V145" i="20"/>
  <c r="V153" i="20"/>
  <c r="V178" i="20"/>
  <c r="S218" i="20"/>
  <c r="Q218" i="20"/>
  <c r="S234" i="20"/>
  <c r="Q234" i="20"/>
  <c r="S238" i="20"/>
  <c r="Q238" i="20"/>
  <c r="AK243" i="20"/>
  <c r="AJ243" i="20"/>
  <c r="S260" i="20"/>
  <c r="Q260" i="20"/>
  <c r="V261" i="20"/>
  <c r="T328" i="20"/>
  <c r="V328" i="20"/>
  <c r="W328" i="20"/>
  <c r="T405" i="20"/>
  <c r="V405" i="20"/>
  <c r="Q104" i="20"/>
  <c r="Q140" i="20"/>
  <c r="AJ149" i="20"/>
  <c r="V171" i="20"/>
  <c r="W173" i="20"/>
  <c r="Y173" i="20" s="1"/>
  <c r="S176" i="20"/>
  <c r="W176" i="20" s="1"/>
  <c r="Y176" i="20" s="1"/>
  <c r="Q185" i="20"/>
  <c r="W208" i="20"/>
  <c r="Y208" i="20" s="1"/>
  <c r="Q209" i="20"/>
  <c r="V221" i="20"/>
  <c r="BB223" i="20"/>
  <c r="S236" i="20"/>
  <c r="Q236" i="20"/>
  <c r="W236" i="20" s="1"/>
  <c r="AK239" i="20"/>
  <c r="AJ241" i="20"/>
  <c r="BG246" i="20"/>
  <c r="BE246" i="20"/>
  <c r="BF246" i="20" s="1"/>
  <c r="S259" i="20"/>
  <c r="T259" i="20" s="1"/>
  <c r="S262" i="20"/>
  <c r="Q262" i="20"/>
  <c r="S263" i="20"/>
  <c r="Q263" i="20"/>
  <c r="S264" i="20"/>
  <c r="Q264" i="20"/>
  <c r="S265" i="20"/>
  <c r="Q265" i="20"/>
  <c r="S266" i="20"/>
  <c r="Q266" i="20"/>
  <c r="S267" i="20"/>
  <c r="Q267" i="20"/>
  <c r="S268" i="20"/>
  <c r="Q268" i="20"/>
  <c r="S269" i="20"/>
  <c r="Q269" i="20"/>
  <c r="S270" i="20"/>
  <c r="Q270" i="20"/>
  <c r="S271" i="20"/>
  <c r="Q271" i="20"/>
  <c r="S272" i="20"/>
  <c r="Q272" i="20"/>
  <c r="W272" i="20" s="1"/>
  <c r="S273" i="20"/>
  <c r="Q273" i="20"/>
  <c r="W274" i="20"/>
  <c r="V305" i="20"/>
  <c r="T305" i="20"/>
  <c r="V344" i="20"/>
  <c r="T362" i="20"/>
  <c r="V362" i="20"/>
  <c r="W362" i="20"/>
  <c r="S388" i="20"/>
  <c r="Q388" i="20"/>
  <c r="W206" i="20"/>
  <c r="Y206" i="20" s="1"/>
  <c r="AK222" i="20"/>
  <c r="AJ222" i="20"/>
  <c r="AM228" i="20"/>
  <c r="W229" i="20"/>
  <c r="Y229" i="20" s="1"/>
  <c r="S261" i="20"/>
  <c r="W261" i="20" s="1"/>
  <c r="T284" i="20"/>
  <c r="V284" i="20"/>
  <c r="W284" i="20"/>
  <c r="T306" i="20"/>
  <c r="V306" i="20"/>
  <c r="W306" i="20"/>
  <c r="S342" i="20"/>
  <c r="Q342" i="20"/>
  <c r="BE1033" i="20"/>
  <c r="BF1033" i="20" s="1"/>
  <c r="BG1033" i="20"/>
  <c r="AC1072" i="20"/>
  <c r="W1072" i="20"/>
  <c r="V285" i="20"/>
  <c r="T285" i="20"/>
  <c r="V293" i="20"/>
  <c r="T293" i="20"/>
  <c r="V301" i="20"/>
  <c r="T301" i="20"/>
  <c r="V309" i="20"/>
  <c r="T309" i="20"/>
  <c r="V329" i="20"/>
  <c r="T329" i="20"/>
  <c r="W338" i="20"/>
  <c r="T378" i="20"/>
  <c r="W378" i="20"/>
  <c r="V378" i="20"/>
  <c r="S423" i="20"/>
  <c r="Q423" i="20"/>
  <c r="W463" i="20"/>
  <c r="Y463" i="20" s="1"/>
  <c r="T463" i="20"/>
  <c r="S548" i="20"/>
  <c r="Q548" i="20"/>
  <c r="S350" i="20"/>
  <c r="Q350" i="20"/>
  <c r="AC361" i="20"/>
  <c r="W361" i="20"/>
  <c r="Y361" i="20" s="1"/>
  <c r="S493" i="20"/>
  <c r="Q493" i="20"/>
  <c r="W493" i="20" s="1"/>
  <c r="T296" i="20"/>
  <c r="V296" i="20"/>
  <c r="T304" i="20"/>
  <c r="V304" i="20"/>
  <c r="T312" i="20"/>
  <c r="V312" i="20"/>
  <c r="V339" i="20"/>
  <c r="T339" i="20"/>
  <c r="S393" i="20"/>
  <c r="Q393" i="20"/>
  <c r="W399" i="20"/>
  <c r="V399" i="20"/>
  <c r="AC410" i="20"/>
  <c r="W410" i="20"/>
  <c r="Y416" i="20"/>
  <c r="AC480" i="20"/>
  <c r="W285" i="20"/>
  <c r="W293" i="20"/>
  <c r="W301" i="20"/>
  <c r="W309" i="20"/>
  <c r="W329" i="20"/>
  <c r="Q376" i="20"/>
  <c r="W438" i="20"/>
  <c r="V438" i="20"/>
  <c r="T438" i="20"/>
  <c r="V443" i="20"/>
  <c r="T443" i="20"/>
  <c r="AC472" i="20"/>
  <c r="Q291" i="20"/>
  <c r="W291" i="20" s="1"/>
  <c r="Q299" i="20"/>
  <c r="Q307" i="20"/>
  <c r="W307" i="20" s="1"/>
  <c r="Q318" i="20"/>
  <c r="Q321" i="20"/>
  <c r="Q333" i="20"/>
  <c r="Q351" i="20"/>
  <c r="W351" i="20" s="1"/>
  <c r="T356" i="20"/>
  <c r="S386" i="20"/>
  <c r="Q386" i="20"/>
  <c r="S449" i="20"/>
  <c r="Q449" i="20"/>
  <c r="S459" i="20"/>
  <c r="Q459" i="20"/>
  <c r="T324" i="20"/>
  <c r="V324" i="20"/>
  <c r="V327" i="20"/>
  <c r="T327" i="20"/>
  <c r="T330" i="20"/>
  <c r="V330" i="20"/>
  <c r="T346" i="20"/>
  <c r="V346" i="20"/>
  <c r="T361" i="20"/>
  <c r="T381" i="20"/>
  <c r="T399" i="20"/>
  <c r="S407" i="20"/>
  <c r="Q407" i="20"/>
  <c r="W495" i="20"/>
  <c r="V495" i="20"/>
  <c r="T495" i="20"/>
  <c r="BG500" i="20"/>
  <c r="BE500" i="20"/>
  <c r="BF500" i="20" s="1"/>
  <c r="Q286" i="20"/>
  <c r="Q294" i="20"/>
  <c r="Q302" i="20"/>
  <c r="Q310" i="20"/>
  <c r="Q343" i="20"/>
  <c r="W356" i="20"/>
  <c r="Y356" i="20" s="1"/>
  <c r="W368" i="20"/>
  <c r="Q370" i="20"/>
  <c r="Q372" i="20"/>
  <c r="W372" i="20" s="1"/>
  <c r="W384" i="20"/>
  <c r="BG397" i="20"/>
  <c r="W414" i="20"/>
  <c r="V414" i="20"/>
  <c r="T414" i="20"/>
  <c r="AC491" i="20"/>
  <c r="BE511" i="20"/>
  <c r="BF511" i="20" s="1"/>
  <c r="BG511" i="20"/>
  <c r="AM223" i="20"/>
  <c r="AM236" i="20"/>
  <c r="Q276" i="20"/>
  <c r="Q340" i="20"/>
  <c r="T359" i="20"/>
  <c r="V363" i="20"/>
  <c r="T395" i="20"/>
  <c r="T421" i="20"/>
  <c r="W421" i="20"/>
  <c r="W324" i="20"/>
  <c r="W330" i="20"/>
  <c r="W346" i="20"/>
  <c r="Y352" i="20"/>
  <c r="AC394" i="20"/>
  <c r="W428" i="20"/>
  <c r="V428" i="20"/>
  <c r="T428" i="20"/>
  <c r="AC538" i="20"/>
  <c r="W538" i="20"/>
  <c r="T316" i="20"/>
  <c r="V316" i="20"/>
  <c r="V319" i="20"/>
  <c r="Y319" i="20" s="1"/>
  <c r="T319" i="20"/>
  <c r="T366" i="20"/>
  <c r="W366" i="20"/>
  <c r="V366" i="20"/>
  <c r="V368" i="20"/>
  <c r="T368" i="20"/>
  <c r="AC373" i="20"/>
  <c r="V384" i="20"/>
  <c r="T384" i="20"/>
  <c r="T390" i="20"/>
  <c r="W390" i="20"/>
  <c r="Y390" i="20" s="1"/>
  <c r="S396" i="20"/>
  <c r="Q396" i="20"/>
  <c r="T478" i="20"/>
  <c r="W478" i="20"/>
  <c r="V478" i="20"/>
  <c r="T292" i="20"/>
  <c r="V292" i="20"/>
  <c r="T308" i="20"/>
  <c r="V308" i="20"/>
  <c r="V331" i="20"/>
  <c r="T331" i="20"/>
  <c r="V347" i="20"/>
  <c r="T347" i="20"/>
  <c r="W387" i="20"/>
  <c r="V387" i="20"/>
  <c r="BG549" i="20"/>
  <c r="BE549" i="20"/>
  <c r="BF549" i="20" s="1"/>
  <c r="Q279" i="20"/>
  <c r="W281" i="20"/>
  <c r="W289" i="20"/>
  <c r="W305" i="20"/>
  <c r="T353" i="20"/>
  <c r="Q382" i="20"/>
  <c r="W397" i="20"/>
  <c r="V397" i="20"/>
  <c r="T397" i="20"/>
  <c r="Y421" i="20"/>
  <c r="AC426" i="20"/>
  <c r="W426" i="20"/>
  <c r="Y426" i="20" s="1"/>
  <c r="V458" i="20"/>
  <c r="T458" i="20"/>
  <c r="BG501" i="20"/>
  <c r="BE501" i="20"/>
  <c r="BF501" i="20" s="1"/>
  <c r="AC510" i="20"/>
  <c r="Q295" i="20"/>
  <c r="Q303" i="20"/>
  <c r="Q311" i="20"/>
  <c r="Q341" i="20"/>
  <c r="S354" i="20"/>
  <c r="W354" i="20" s="1"/>
  <c r="Q364" i="20"/>
  <c r="AC369" i="20"/>
  <c r="W369" i="20"/>
  <c r="V429" i="20"/>
  <c r="T429" i="20"/>
  <c r="V479" i="20"/>
  <c r="T479" i="20"/>
  <c r="BG497" i="20"/>
  <c r="BE499" i="20"/>
  <c r="BF499" i="20" s="1"/>
  <c r="BG499" i="20"/>
  <c r="W292" i="20"/>
  <c r="W308" i="20"/>
  <c r="W331" i="20"/>
  <c r="T338" i="20"/>
  <c r="V338" i="20"/>
  <c r="W347" i="20"/>
  <c r="AC352" i="20"/>
  <c r="Y353" i="20"/>
  <c r="V358" i="20"/>
  <c r="T387" i="20"/>
  <c r="S470" i="20"/>
  <c r="Q470" i="20"/>
  <c r="AC489" i="20"/>
  <c r="W489" i="20"/>
  <c r="W226" i="20"/>
  <c r="Y226" i="20" s="1"/>
  <c r="V354" i="20"/>
  <c r="Q360" i="20"/>
  <c r="W360" i="20" s="1"/>
  <c r="Q380" i="20"/>
  <c r="W380" i="20" s="1"/>
  <c r="S391" i="20"/>
  <c r="Q391" i="20"/>
  <c r="V403" i="20"/>
  <c r="T403" i="20"/>
  <c r="V412" i="20"/>
  <c r="T412" i="20"/>
  <c r="V455" i="20"/>
  <c r="W455" i="20"/>
  <c r="T455" i="20"/>
  <c r="AC464" i="20"/>
  <c r="W464" i="20"/>
  <c r="Y464" i="20" s="1"/>
  <c r="BC389" i="20"/>
  <c r="BB392" i="20"/>
  <c r="BG393" i="20"/>
  <c r="Q436" i="20"/>
  <c r="W448" i="20"/>
  <c r="Y448" i="20" s="1"/>
  <c r="W468" i="20"/>
  <c r="Y468" i="20" s="1"/>
  <c r="V469" i="20"/>
  <c r="V473" i="20"/>
  <c r="Y473" i="20" s="1"/>
  <c r="V481" i="20"/>
  <c r="BE493" i="20"/>
  <c r="BF493" i="20" s="1"/>
  <c r="BC502" i="20"/>
  <c r="AC502" i="20"/>
  <c r="W509" i="20"/>
  <c r="V544" i="20"/>
  <c r="T544" i="20"/>
  <c r="V551" i="20"/>
  <c r="BG619" i="20"/>
  <c r="BE619" i="20"/>
  <c r="BF619" i="20" s="1"/>
  <c r="BG631" i="20"/>
  <c r="BE631" i="20"/>
  <c r="BF631" i="20" s="1"/>
  <c r="AN499" i="20"/>
  <c r="AM499" i="20"/>
  <c r="T563" i="20"/>
  <c r="W585" i="20"/>
  <c r="V585" i="20"/>
  <c r="T585" i="20"/>
  <c r="W401" i="20"/>
  <c r="W411" i="20"/>
  <c r="Y411" i="20" s="1"/>
  <c r="W427" i="20"/>
  <c r="T450" i="20"/>
  <c r="S465" i="20"/>
  <c r="Q465" i="20"/>
  <c r="V489" i="20"/>
  <c r="T489" i="20"/>
  <c r="V491" i="20"/>
  <c r="BC504" i="20"/>
  <c r="AC504" i="20"/>
  <c r="V510" i="20"/>
  <c r="S520" i="20"/>
  <c r="Q520" i="20"/>
  <c r="W520" i="20" s="1"/>
  <c r="V527" i="20"/>
  <c r="T527" i="20"/>
  <c r="V538" i="20"/>
  <c r="T538" i="20"/>
  <c r="T555" i="20"/>
  <c r="W555" i="20"/>
  <c r="BG570" i="20"/>
  <c r="BE570" i="20"/>
  <c r="BF570" i="20" s="1"/>
  <c r="T586" i="20"/>
  <c r="W586" i="20"/>
  <c r="V586" i="20"/>
  <c r="V644" i="20"/>
  <c r="T644" i="20"/>
  <c r="W644" i="20"/>
  <c r="BE392" i="20"/>
  <c r="BF392" i="20" s="1"/>
  <c r="Y442" i="20"/>
  <c r="AJ498" i="20"/>
  <c r="BC501" i="20"/>
  <c r="BB501" i="20"/>
  <c r="W501" i="20"/>
  <c r="T513" i="20"/>
  <c r="S516" i="20"/>
  <c r="T516" i="20" s="1"/>
  <c r="T532" i="20"/>
  <c r="AK616" i="20"/>
  <c r="AJ616" i="20"/>
  <c r="AC634" i="20"/>
  <c r="S452" i="20"/>
  <c r="Q452" i="20"/>
  <c r="S499" i="20"/>
  <c r="Q499" i="20"/>
  <c r="T500" i="20"/>
  <c r="V500" i="20"/>
  <c r="BC506" i="20"/>
  <c r="AC506" i="20"/>
  <c r="BC511" i="20"/>
  <c r="BB514" i="20"/>
  <c r="V542" i="20"/>
  <c r="S556" i="20"/>
  <c r="Q556" i="20"/>
  <c r="V559" i="20"/>
  <c r="S564" i="20"/>
  <c r="W564" i="20" s="1"/>
  <c r="Q564" i="20"/>
  <c r="AC600" i="20"/>
  <c r="W600" i="20"/>
  <c r="Y600" i="20" s="1"/>
  <c r="BG620" i="20"/>
  <c r="BE620" i="20"/>
  <c r="BF620" i="20" s="1"/>
  <c r="S623" i="20"/>
  <c r="Q623" i="20"/>
  <c r="V626" i="20"/>
  <c r="T626" i="20"/>
  <c r="S645" i="20"/>
  <c r="Q645" i="20"/>
  <c r="W377" i="20"/>
  <c r="Y377" i="20" s="1"/>
  <c r="W381" i="20"/>
  <c r="Y381" i="20" s="1"/>
  <c r="W389" i="20"/>
  <c r="Y389" i="20" s="1"/>
  <c r="W405" i="20"/>
  <c r="AC440" i="20"/>
  <c r="AM456" i="20"/>
  <c r="V457" i="20"/>
  <c r="T457" i="20"/>
  <c r="AM496" i="20"/>
  <c r="AM497" i="20"/>
  <c r="AN498" i="20"/>
  <c r="BB504" i="20"/>
  <c r="BC514" i="20"/>
  <c r="V530" i="20"/>
  <c r="Y530" i="20" s="1"/>
  <c r="T530" i="20"/>
  <c r="W532" i="20"/>
  <c r="Y532" i="20" s="1"/>
  <c r="V553" i="20"/>
  <c r="T553" i="20"/>
  <c r="S648" i="20"/>
  <c r="Q648" i="20"/>
  <c r="BC391" i="20"/>
  <c r="T416" i="20"/>
  <c r="Q422" i="20"/>
  <c r="S439" i="20"/>
  <c r="Q439" i="20"/>
  <c r="Q447" i="20"/>
  <c r="BE447" i="20"/>
  <c r="BF447" i="20" s="1"/>
  <c r="V450" i="20"/>
  <c r="S454" i="20"/>
  <c r="T454" i="20" s="1"/>
  <c r="W458" i="20"/>
  <c r="BB458" i="20"/>
  <c r="Q466" i="20"/>
  <c r="T477" i="20"/>
  <c r="W486" i="20"/>
  <c r="Y486" i="20" s="1"/>
  <c r="AC498" i="20"/>
  <c r="BC498" i="20"/>
  <c r="BC499" i="20"/>
  <c r="AJ503" i="20"/>
  <c r="T504" i="20"/>
  <c r="BE514" i="20"/>
  <c r="BF514" i="20" s="1"/>
  <c r="V522" i="20"/>
  <c r="S533" i="20"/>
  <c r="Q533" i="20"/>
  <c r="W533" i="20" s="1"/>
  <c r="S542" i="20"/>
  <c r="T542" i="20" s="1"/>
  <c r="V545" i="20"/>
  <c r="T545" i="20"/>
  <c r="V555" i="20"/>
  <c r="S681" i="20"/>
  <c r="Q681" i="20"/>
  <c r="Q394" i="20"/>
  <c r="T400" i="20"/>
  <c r="T402" i="20"/>
  <c r="Q404" i="20"/>
  <c r="W404" i="20" s="1"/>
  <c r="Q409" i="20"/>
  <c r="W409" i="20" s="1"/>
  <c r="T419" i="20"/>
  <c r="Q425" i="20"/>
  <c r="W425" i="20" s="1"/>
  <c r="T435" i="20"/>
  <c r="S437" i="20"/>
  <c r="T437" i="20" s="1"/>
  <c r="Q441" i="20"/>
  <c r="W441" i="20" s="1"/>
  <c r="Q445" i="20"/>
  <c r="BE445" i="20"/>
  <c r="BF445" i="20" s="1"/>
  <c r="W450" i="20"/>
  <c r="Q456" i="20"/>
  <c r="Q460" i="20"/>
  <c r="W467" i="20"/>
  <c r="Y467" i="20" s="1"/>
  <c r="T471" i="20"/>
  <c r="Q474" i="20"/>
  <c r="W474" i="20" s="1"/>
  <c r="Q482" i="20"/>
  <c r="W482" i="20" s="1"/>
  <c r="S494" i="20"/>
  <c r="W494" i="20" s="1"/>
  <c r="Q496" i="20"/>
  <c r="W496" i="20" s="1"/>
  <c r="W500" i="20"/>
  <c r="BB500" i="20"/>
  <c r="W502" i="20"/>
  <c r="Y502" i="20" s="1"/>
  <c r="BB506" i="20"/>
  <c r="Q511" i="20"/>
  <c r="W536" i="20"/>
  <c r="V536" i="20"/>
  <c r="T536" i="20"/>
  <c r="T567" i="20"/>
  <c r="W429" i="20"/>
  <c r="V454" i="20"/>
  <c r="W457" i="20"/>
  <c r="BB457" i="20"/>
  <c r="V477" i="20"/>
  <c r="Y477" i="20" s="1"/>
  <c r="V539" i="20"/>
  <c r="S561" i="20"/>
  <c r="Q561" i="20"/>
  <c r="W624" i="20"/>
  <c r="Y624" i="20" s="1"/>
  <c r="T624" i="20"/>
  <c r="AC670" i="20"/>
  <c r="BC457" i="20"/>
  <c r="W471" i="20"/>
  <c r="Y471" i="20" s="1"/>
  <c r="V494" i="20"/>
  <c r="BC503" i="20"/>
  <c r="AC503" i="20"/>
  <c r="W504" i="20"/>
  <c r="Y504" i="20" s="1"/>
  <c r="Y521" i="20"/>
  <c r="W529" i="20"/>
  <c r="Y529" i="20" s="1"/>
  <c r="V607" i="20"/>
  <c r="BB456" i="20"/>
  <c r="V462" i="20"/>
  <c r="T462" i="20"/>
  <c r="BB496" i="20"/>
  <c r="BC512" i="20"/>
  <c r="BB512" i="20"/>
  <c r="W523" i="20"/>
  <c r="T523" i="20"/>
  <c r="V534" i="20"/>
  <c r="V543" i="20"/>
  <c r="T543" i="20"/>
  <c r="S568" i="20"/>
  <c r="Q568" i="20"/>
  <c r="W350" i="20"/>
  <c r="T415" i="20"/>
  <c r="W443" i="20"/>
  <c r="T448" i="20"/>
  <c r="BC456" i="20"/>
  <c r="T484" i="20"/>
  <c r="T486" i="20"/>
  <c r="T492" i="20"/>
  <c r="BC496" i="20"/>
  <c r="AC501" i="20"/>
  <c r="BC505" i="20"/>
  <c r="AC505" i="20"/>
  <c r="W506" i="20"/>
  <c r="Y506" i="20" s="1"/>
  <c r="S512" i="20"/>
  <c r="Q512" i="20"/>
  <c r="W514" i="20"/>
  <c r="Y514" i="20" s="1"/>
  <c r="BC515" i="20"/>
  <c r="BB515" i="20"/>
  <c r="AC515" i="20"/>
  <c r="BE515" i="20"/>
  <c r="BF515" i="20" s="1"/>
  <c r="S518" i="20"/>
  <c r="Q518" i="20"/>
  <c r="AC574" i="20"/>
  <c r="W574" i="20"/>
  <c r="Y574" i="20" s="1"/>
  <c r="W575" i="20"/>
  <c r="W576" i="20"/>
  <c r="V576" i="20"/>
  <c r="T576" i="20"/>
  <c r="BG630" i="20"/>
  <c r="BE630" i="20"/>
  <c r="BF630" i="20" s="1"/>
  <c r="Q408" i="20"/>
  <c r="T418" i="20"/>
  <c r="Q424" i="20"/>
  <c r="T434" i="20"/>
  <c r="T467" i="20"/>
  <c r="T488" i="20"/>
  <c r="S534" i="20"/>
  <c r="W534" i="20" s="1"/>
  <c r="S546" i="20"/>
  <c r="Q546" i="20"/>
  <c r="W546" i="20" s="1"/>
  <c r="V575" i="20"/>
  <c r="T575" i="20"/>
  <c r="S446" i="20"/>
  <c r="Q446" i="20"/>
  <c r="S461" i="20"/>
  <c r="Q461" i="20"/>
  <c r="W462" i="20"/>
  <c r="V484" i="20"/>
  <c r="Y484" i="20" s="1"/>
  <c r="AJ502" i="20"/>
  <c r="T509" i="20"/>
  <c r="AC511" i="20"/>
  <c r="V523" i="20"/>
  <c r="V537" i="20"/>
  <c r="Y537" i="20" s="1"/>
  <c r="T537" i="20"/>
  <c r="BG569" i="20"/>
  <c r="BE569" i="20"/>
  <c r="BF569" i="20" s="1"/>
  <c r="AC572" i="20"/>
  <c r="W572" i="20"/>
  <c r="Y572" i="20" s="1"/>
  <c r="Y578" i="20"/>
  <c r="S615" i="20"/>
  <c r="Q615" i="20"/>
  <c r="S469" i="20"/>
  <c r="W469" i="20" s="1"/>
  <c r="T473" i="20"/>
  <c r="T481" i="20"/>
  <c r="V488" i="20"/>
  <c r="Y488" i="20" s="1"/>
  <c r="W513" i="20"/>
  <c r="Y513" i="20" s="1"/>
  <c r="BC513" i="20"/>
  <c r="T525" i="20"/>
  <c r="V541" i="20"/>
  <c r="T541" i="20"/>
  <c r="S549" i="20"/>
  <c r="Q549" i="20"/>
  <c r="AC550" i="20"/>
  <c r="W579" i="20"/>
  <c r="V579" i="20"/>
  <c r="T579" i="20"/>
  <c r="T593" i="20"/>
  <c r="V593" i="20"/>
  <c r="V596" i="20"/>
  <c r="T596" i="20"/>
  <c r="V609" i="20"/>
  <c r="T609" i="20"/>
  <c r="AC575" i="20"/>
  <c r="W596" i="20"/>
  <c r="W611" i="20"/>
  <c r="W614" i="20"/>
  <c r="BB632" i="20"/>
  <c r="W637" i="20"/>
  <c r="Y637" i="20" s="1"/>
  <c r="V639" i="20"/>
  <c r="V662" i="20"/>
  <c r="Y662" i="20" s="1"/>
  <c r="T662" i="20"/>
  <c r="T667" i="20"/>
  <c r="W673" i="20"/>
  <c r="V673" i="20"/>
  <c r="Y676" i="20"/>
  <c r="V702" i="20"/>
  <c r="T738" i="20"/>
  <c r="W738" i="20"/>
  <c r="V738" i="20"/>
  <c r="V797" i="20"/>
  <c r="T797" i="20"/>
  <c r="W595" i="20"/>
  <c r="W684" i="20"/>
  <c r="V684" i="20"/>
  <c r="BG751" i="20"/>
  <c r="BE751" i="20"/>
  <c r="BF751" i="20" s="1"/>
  <c r="T772" i="20"/>
  <c r="W772" i="20"/>
  <c r="V772" i="20"/>
  <c r="AN779" i="20"/>
  <c r="AM779" i="20"/>
  <c r="BG915" i="20"/>
  <c r="BE915" i="20"/>
  <c r="BF915" i="20" s="1"/>
  <c r="BE920" i="20"/>
  <c r="BF920" i="20" s="1"/>
  <c r="BG920" i="20"/>
  <c r="W565" i="20"/>
  <c r="S608" i="20"/>
  <c r="Q608" i="20"/>
  <c r="V634" i="20"/>
  <c r="W653" i="20"/>
  <c r="Y653" i="20" s="1"/>
  <c r="AC653" i="20"/>
  <c r="V696" i="20"/>
  <c r="T589" i="20"/>
  <c r="T600" i="20"/>
  <c r="AJ620" i="20"/>
  <c r="AJ621" i="20"/>
  <c r="S625" i="20"/>
  <c r="Q625" i="20"/>
  <c r="Q629" i="20"/>
  <c r="W629" i="20" s="1"/>
  <c r="BE629" i="20"/>
  <c r="BF629" i="20" s="1"/>
  <c r="T655" i="20"/>
  <c r="S657" i="20"/>
  <c r="Q657" i="20"/>
  <c r="T775" i="20"/>
  <c r="S800" i="20"/>
  <c r="Q800" i="20"/>
  <c r="AC908" i="20"/>
  <c r="BG908" i="20"/>
  <c r="BE908" i="20"/>
  <c r="BF908" i="20" s="1"/>
  <c r="W553" i="20"/>
  <c r="T572" i="20"/>
  <c r="T574" i="20"/>
  <c r="Q577" i="20"/>
  <c r="S601" i="20"/>
  <c r="Q601" i="20"/>
  <c r="Q604" i="20"/>
  <c r="Q613" i="20"/>
  <c r="Q617" i="20"/>
  <c r="Q631" i="20"/>
  <c r="W631" i="20" s="1"/>
  <c r="Q636" i="20"/>
  <c r="T663" i="20"/>
  <c r="S687" i="20"/>
  <c r="Q687" i="20"/>
  <c r="V706" i="20"/>
  <c r="BE905" i="20"/>
  <c r="BF905" i="20" s="1"/>
  <c r="BG905" i="20"/>
  <c r="Q616" i="20"/>
  <c r="W616" i="20" s="1"/>
  <c r="AM618" i="20"/>
  <c r="Q638" i="20"/>
  <c r="Q640" i="20"/>
  <c r="W640" i="20" s="1"/>
  <c r="T651" i="20"/>
  <c r="W655" i="20"/>
  <c r="Y655" i="20" s="1"/>
  <c r="T656" i="20"/>
  <c r="BE674" i="20"/>
  <c r="BF674" i="20" s="1"/>
  <c r="BG748" i="20"/>
  <c r="BE748" i="20"/>
  <c r="BF748" i="20" s="1"/>
  <c r="W773" i="20"/>
  <c r="V773" i="20"/>
  <c r="T773" i="20"/>
  <c r="Q899" i="20"/>
  <c r="S899" i="20"/>
  <c r="BE900" i="20"/>
  <c r="BF900" i="20" s="1"/>
  <c r="BG900" i="20"/>
  <c r="Q540" i="20"/>
  <c r="W540" i="20" s="1"/>
  <c r="W541" i="20"/>
  <c r="BB541" i="20"/>
  <c r="W542" i="20"/>
  <c r="BB542" i="20"/>
  <c r="W543" i="20"/>
  <c r="BB543" i="20"/>
  <c r="W544" i="20"/>
  <c r="BB544" i="20"/>
  <c r="W545" i="20"/>
  <c r="BB545" i="20"/>
  <c r="W548" i="20"/>
  <c r="Q580" i="20"/>
  <c r="T583" i="20"/>
  <c r="T587" i="20"/>
  <c r="Q610" i="20"/>
  <c r="BB617" i="20"/>
  <c r="Q618" i="20"/>
  <c r="S620" i="20"/>
  <c r="Q620" i="20"/>
  <c r="AM621" i="20"/>
  <c r="BB631" i="20"/>
  <c r="Q643" i="20"/>
  <c r="W643" i="20" s="1"/>
  <c r="Q646" i="20"/>
  <c r="T653" i="20"/>
  <c r="W663" i="20"/>
  <c r="Y663" i="20" s="1"/>
  <c r="T664" i="20"/>
  <c r="T690" i="20"/>
  <c r="W700" i="20"/>
  <c r="V700" i="20"/>
  <c r="T700" i="20"/>
  <c r="AC730" i="20"/>
  <c r="W730" i="20"/>
  <c r="Y730" i="20" s="1"/>
  <c r="AC779" i="20"/>
  <c r="BC779" i="20"/>
  <c r="BB779" i="20"/>
  <c r="BG894" i="20"/>
  <c r="BE894" i="20"/>
  <c r="BF894" i="20" s="1"/>
  <c r="AJ497" i="20"/>
  <c r="Q528" i="20"/>
  <c r="Q557" i="20"/>
  <c r="AJ570" i="20"/>
  <c r="W593" i="20"/>
  <c r="BB616" i="20"/>
  <c r="Q621" i="20"/>
  <c r="W621" i="20" s="1"/>
  <c r="Q627" i="20"/>
  <c r="W627" i="20" s="1"/>
  <c r="AN630" i="20"/>
  <c r="Q649" i="20"/>
  <c r="V651" i="20"/>
  <c r="V656" i="20"/>
  <c r="Q658" i="20"/>
  <c r="S685" i="20"/>
  <c r="Q685" i="20"/>
  <c r="W759" i="20"/>
  <c r="Y759" i="20" s="1"/>
  <c r="AC759" i="20"/>
  <c r="Q594" i="20"/>
  <c r="W594" i="20" s="1"/>
  <c r="Y597" i="20"/>
  <c r="S612" i="20"/>
  <c r="Q612" i="20"/>
  <c r="BC616" i="20"/>
  <c r="W625" i="20"/>
  <c r="T630" i="20"/>
  <c r="V664" i="20"/>
  <c r="Y664" i="20" s="1"/>
  <c r="W666" i="20"/>
  <c r="Y666" i="20" s="1"/>
  <c r="W671" i="20"/>
  <c r="T682" i="20"/>
  <c r="V694" i="20"/>
  <c r="T694" i="20"/>
  <c r="W768" i="20"/>
  <c r="V768" i="20"/>
  <c r="T768" i="20"/>
  <c r="W583" i="20"/>
  <c r="Y583" i="20" s="1"/>
  <c r="T584" i="20"/>
  <c r="W660" i="20"/>
  <c r="Y660" i="20" s="1"/>
  <c r="W669" i="20"/>
  <c r="Y669" i="20" s="1"/>
  <c r="W680" i="20"/>
  <c r="W688" i="20"/>
  <c r="V688" i="20"/>
  <c r="T688" i="20"/>
  <c r="AC712" i="20"/>
  <c r="S748" i="20"/>
  <c r="Q748" i="20"/>
  <c r="BG861" i="20"/>
  <c r="BE861" i="20"/>
  <c r="BF861" i="20" s="1"/>
  <c r="BG903" i="20"/>
  <c r="BE903" i="20"/>
  <c r="BF903" i="20" s="1"/>
  <c r="W639" i="20"/>
  <c r="AC639" i="20"/>
  <c r="AC675" i="20"/>
  <c r="W704" i="20"/>
  <c r="V704" i="20"/>
  <c r="T704" i="20"/>
  <c r="V713" i="20"/>
  <c r="W713" i="20"/>
  <c r="T713" i="20"/>
  <c r="AC723" i="20"/>
  <c r="S740" i="20"/>
  <c r="Q740" i="20"/>
  <c r="T562" i="20"/>
  <c r="W609" i="20"/>
  <c r="T619" i="20"/>
  <c r="BC621" i="20"/>
  <c r="Q641" i="20"/>
  <c r="BE669" i="20"/>
  <c r="BF669" i="20" s="1"/>
  <c r="W698" i="20"/>
  <c r="BN765" i="20"/>
  <c r="BO765" i="20" s="1"/>
  <c r="AK778" i="20"/>
  <c r="AJ778" i="20"/>
  <c r="T570" i="20"/>
  <c r="T571" i="20"/>
  <c r="T578" i="20"/>
  <c r="Q581" i="20"/>
  <c r="W581" i="20" s="1"/>
  <c r="T588" i="20"/>
  <c r="Q598" i="20"/>
  <c r="W598" i="20" s="1"/>
  <c r="W626" i="20"/>
  <c r="Q647" i="20"/>
  <c r="Q650" i="20"/>
  <c r="V680" i="20"/>
  <c r="T680" i="20"/>
  <c r="S683" i="20"/>
  <c r="Q683" i="20"/>
  <c r="V698" i="20"/>
  <c r="T698" i="20"/>
  <c r="AK747" i="20"/>
  <c r="AJ747" i="20"/>
  <c r="W749" i="20"/>
  <c r="V749" i="20"/>
  <c r="T749" i="20"/>
  <c r="BG766" i="20"/>
  <c r="BE766" i="20"/>
  <c r="BF766" i="20" s="1"/>
  <c r="AC781" i="20"/>
  <c r="W781" i="20"/>
  <c r="Y781" i="20" s="1"/>
  <c r="AC790" i="20"/>
  <c r="W790" i="20"/>
  <c r="Y790" i="20" s="1"/>
  <c r="V562" i="20"/>
  <c r="Y562" i="20" s="1"/>
  <c r="W584" i="20"/>
  <c r="Y584" i="20" s="1"/>
  <c r="S592" i="20"/>
  <c r="Q592" i="20"/>
  <c r="Q652" i="20"/>
  <c r="Q654" i="20"/>
  <c r="S661" i="20"/>
  <c r="W661" i="20" s="1"/>
  <c r="Y661" i="20" s="1"/>
  <c r="S672" i="20"/>
  <c r="Q672" i="20"/>
  <c r="W709" i="20"/>
  <c r="V709" i="20"/>
  <c r="T709" i="20"/>
  <c r="BG745" i="20"/>
  <c r="BE745" i="20"/>
  <c r="BF745" i="20" s="1"/>
  <c r="Y774" i="20"/>
  <c r="W589" i="20"/>
  <c r="Y589" i="20" s="1"/>
  <c r="Q632" i="20"/>
  <c r="T669" i="20"/>
  <c r="W678" i="20"/>
  <c r="S689" i="20"/>
  <c r="Q689" i="20"/>
  <c r="W692" i="20"/>
  <c r="V692" i="20"/>
  <c r="T692" i="20"/>
  <c r="AC735" i="20"/>
  <c r="W735" i="20"/>
  <c r="Y735" i="20" s="1"/>
  <c r="V745" i="20"/>
  <c r="T745" i="20"/>
  <c r="S784" i="20"/>
  <c r="Q784" i="20"/>
  <c r="W618" i="20"/>
  <c r="AC660" i="20"/>
  <c r="AC665" i="20"/>
  <c r="W667" i="20"/>
  <c r="Y667" i="20" s="1"/>
  <c r="W674" i="20"/>
  <c r="AC682" i="20"/>
  <c r="AC686" i="20"/>
  <c r="AC690" i="20"/>
  <c r="AC694" i="20"/>
  <c r="AC698" i="20"/>
  <c r="AC702" i="20"/>
  <c r="AC706" i="20"/>
  <c r="W736" i="20"/>
  <c r="Y736" i="20" s="1"/>
  <c r="W771" i="20"/>
  <c r="Y771" i="20" s="1"/>
  <c r="AC776" i="20"/>
  <c r="S786" i="20"/>
  <c r="T795" i="20"/>
  <c r="BE888" i="20"/>
  <c r="BF888" i="20" s="1"/>
  <c r="BG888" i="20"/>
  <c r="BE914" i="20"/>
  <c r="BF914" i="20" s="1"/>
  <c r="BG914" i="20"/>
  <c r="S788" i="20"/>
  <c r="Q788" i="20"/>
  <c r="AC806" i="20"/>
  <c r="AK815" i="20"/>
  <c r="AJ815" i="20"/>
  <c r="S751" i="20"/>
  <c r="Q751" i="20"/>
  <c r="W804" i="20"/>
  <c r="V804" i="20"/>
  <c r="BG896" i="20"/>
  <c r="BE896" i="20"/>
  <c r="BF896" i="20" s="1"/>
  <c r="BG909" i="20"/>
  <c r="BE909" i="20"/>
  <c r="BF909" i="20" s="1"/>
  <c r="T730" i="20"/>
  <c r="S744" i="20"/>
  <c r="Q744" i="20"/>
  <c r="AJ746" i="20"/>
  <c r="BE763" i="20"/>
  <c r="BF763" i="20" s="1"/>
  <c r="AJ777" i="20"/>
  <c r="AN778" i="20"/>
  <c r="T781" i="20"/>
  <c r="S792" i="20"/>
  <c r="Q792" i="20"/>
  <c r="S801" i="20"/>
  <c r="Q801" i="20"/>
  <c r="V817" i="20"/>
  <c r="T817" i="20"/>
  <c r="V838" i="20"/>
  <c r="BE872" i="20"/>
  <c r="BF872" i="20" s="1"/>
  <c r="BG872" i="20"/>
  <c r="Q691" i="20"/>
  <c r="W691" i="20" s="1"/>
  <c r="Q695" i="20"/>
  <c r="Q699" i="20"/>
  <c r="W699" i="20" s="1"/>
  <c r="Q703" i="20"/>
  <c r="Q707" i="20"/>
  <c r="T735" i="20"/>
  <c r="T742" i="20"/>
  <c r="Q747" i="20"/>
  <c r="W747" i="20" s="1"/>
  <c r="Q754" i="20"/>
  <c r="W754" i="20" s="1"/>
  <c r="Q756" i="20"/>
  <c r="T759" i="20"/>
  <c r="T774" i="20"/>
  <c r="S794" i="20"/>
  <c r="T794" i="20" s="1"/>
  <c r="T804" i="20"/>
  <c r="V807" i="20"/>
  <c r="S866" i="20"/>
  <c r="Q866" i="20"/>
  <c r="Q679" i="20"/>
  <c r="W679" i="20" s="1"/>
  <c r="Q716" i="20"/>
  <c r="Q732" i="20"/>
  <c r="W732" i="20" s="1"/>
  <c r="T763" i="20"/>
  <c r="T771" i="20"/>
  <c r="AJ776" i="20"/>
  <c r="S778" i="20"/>
  <c r="T778" i="20" s="1"/>
  <c r="S796" i="20"/>
  <c r="Q796" i="20"/>
  <c r="Q798" i="20"/>
  <c r="S808" i="20"/>
  <c r="Q808" i="20"/>
  <c r="BE818" i="20"/>
  <c r="BF818" i="20" s="1"/>
  <c r="S824" i="20"/>
  <c r="Q824" i="20"/>
  <c r="BC860" i="20"/>
  <c r="BB860" i="20"/>
  <c r="AC860" i="20"/>
  <c r="BE889" i="20"/>
  <c r="BF889" i="20" s="1"/>
  <c r="BG889" i="20"/>
  <c r="BG897" i="20"/>
  <c r="BE897" i="20"/>
  <c r="BF897" i="20" s="1"/>
  <c r="Y928" i="20"/>
  <c r="BG931" i="20"/>
  <c r="BE931" i="20"/>
  <c r="BF931" i="20" s="1"/>
  <c r="W619" i="20"/>
  <c r="Y619" i="20" s="1"/>
  <c r="BB619" i="20"/>
  <c r="Q675" i="20"/>
  <c r="Q710" i="20"/>
  <c r="Q720" i="20"/>
  <c r="W720" i="20" s="1"/>
  <c r="Q725" i="20"/>
  <c r="W725" i="20" s="1"/>
  <c r="W729" i="20"/>
  <c r="Y729" i="20" s="1"/>
  <c r="V742" i="20"/>
  <c r="BE762" i="20"/>
  <c r="BF762" i="20" s="1"/>
  <c r="W767" i="20"/>
  <c r="Y767" i="20" s="1"/>
  <c r="AN777" i="20"/>
  <c r="S782" i="20"/>
  <c r="Q782" i="20"/>
  <c r="W785" i="20"/>
  <c r="Y785" i="20" s="1"/>
  <c r="W817" i="20"/>
  <c r="V869" i="20"/>
  <c r="T869" i="20"/>
  <c r="BE912" i="20"/>
  <c r="BF912" i="20" s="1"/>
  <c r="BG912" i="20"/>
  <c r="AM620" i="20"/>
  <c r="Q668" i="20"/>
  <c r="Q727" i="20"/>
  <c r="W727" i="20" s="1"/>
  <c r="T737" i="20"/>
  <c r="Q746" i="20"/>
  <c r="S757" i="20"/>
  <c r="Q757" i="20"/>
  <c r="Q762" i="20"/>
  <c r="W762" i="20" s="1"/>
  <c r="V763" i="20"/>
  <c r="Q766" i="20"/>
  <c r="V778" i="20"/>
  <c r="BB778" i="20"/>
  <c r="W792" i="20"/>
  <c r="V823" i="20"/>
  <c r="BG895" i="20"/>
  <c r="BG926" i="20"/>
  <c r="BE926" i="20"/>
  <c r="BF926" i="20" s="1"/>
  <c r="BB747" i="20"/>
  <c r="S777" i="20"/>
  <c r="W777" i="20" s="1"/>
  <c r="Y777" i="20" s="1"/>
  <c r="BC778" i="20"/>
  <c r="W789" i="20"/>
  <c r="Y789" i="20" s="1"/>
  <c r="T805" i="20"/>
  <c r="V830" i="20"/>
  <c r="T830" i="20"/>
  <c r="V862" i="20"/>
  <c r="T862" i="20"/>
  <c r="BG901" i="20"/>
  <c r="BE901" i="20"/>
  <c r="BF901" i="20" s="1"/>
  <c r="W737" i="20"/>
  <c r="Y737" i="20" s="1"/>
  <c r="T755" i="20"/>
  <c r="T776" i="20"/>
  <c r="V825" i="20"/>
  <c r="W826" i="20"/>
  <c r="V826" i="20"/>
  <c r="BG893" i="20"/>
  <c r="BE893" i="20"/>
  <c r="BF893" i="20" s="1"/>
  <c r="AC846" i="20"/>
  <c r="W846" i="20"/>
  <c r="BE919" i="20"/>
  <c r="BF919" i="20" s="1"/>
  <c r="BG919" i="20"/>
  <c r="AC732" i="20"/>
  <c r="W745" i="20"/>
  <c r="BB746" i="20"/>
  <c r="W775" i="20"/>
  <c r="Y775" i="20" s="1"/>
  <c r="W881" i="20"/>
  <c r="AC881" i="20"/>
  <c r="BE907" i="20"/>
  <c r="BF907" i="20" s="1"/>
  <c r="BG907" i="20"/>
  <c r="S917" i="20"/>
  <c r="Q917" i="20"/>
  <c r="Q693" i="20"/>
  <c r="Q697" i="20"/>
  <c r="Q701" i="20"/>
  <c r="Q705" i="20"/>
  <c r="Q711" i="20"/>
  <c r="Q724" i="20"/>
  <c r="S731" i="20"/>
  <c r="W731" i="20" s="1"/>
  <c r="Y731" i="20" s="1"/>
  <c r="Q743" i="20"/>
  <c r="W743" i="20" s="1"/>
  <c r="Q752" i="20"/>
  <c r="W752" i="20" s="1"/>
  <c r="T761" i="20"/>
  <c r="S765" i="20"/>
  <c r="Q765" i="20"/>
  <c r="Q770" i="20"/>
  <c r="S780" i="20"/>
  <c r="Q780" i="20"/>
  <c r="Q783" i="20"/>
  <c r="W783" i="20" s="1"/>
  <c r="W797" i="20"/>
  <c r="Q799" i="20"/>
  <c r="V816" i="20"/>
  <c r="AC820" i="20"/>
  <c r="BL820" i="20"/>
  <c r="BN820" i="20" s="1"/>
  <c r="BO820" i="20" s="1"/>
  <c r="BD820" i="20" s="1"/>
  <c r="Q670" i="20"/>
  <c r="W670" i="20" s="1"/>
  <c r="V671" i="20"/>
  <c r="Q677" i="20"/>
  <c r="V678" i="20"/>
  <c r="Q719" i="20"/>
  <c r="V722" i="20"/>
  <c r="Q726" i="20"/>
  <c r="V741" i="20"/>
  <c r="BE746" i="20"/>
  <c r="BF746" i="20" s="1"/>
  <c r="AJ748" i="20"/>
  <c r="W753" i="20"/>
  <c r="W755" i="20"/>
  <c r="Y755" i="20" s="1"/>
  <c r="Q758" i="20"/>
  <c r="W758" i="20" s="1"/>
  <c r="AC760" i="20"/>
  <c r="AC769" i="20"/>
  <c r="W776" i="20"/>
  <c r="Y776" i="20" s="1"/>
  <c r="AJ779" i="20"/>
  <c r="T789" i="20"/>
  <c r="Q793" i="20"/>
  <c r="W802" i="20"/>
  <c r="W803" i="20"/>
  <c r="Y803" i="20" s="1"/>
  <c r="V806" i="20"/>
  <c r="T806" i="20"/>
  <c r="W722" i="20"/>
  <c r="S728" i="20"/>
  <c r="Q728" i="20"/>
  <c r="S733" i="20"/>
  <c r="W741" i="20"/>
  <c r="W764" i="20"/>
  <c r="Y764" i="20" s="1"/>
  <c r="AC785" i="20"/>
  <c r="AN814" i="20"/>
  <c r="AM814" i="20"/>
  <c r="S816" i="20"/>
  <c r="T816" i="20" s="1"/>
  <c r="W822" i="20"/>
  <c r="V822" i="20"/>
  <c r="T822" i="20"/>
  <c r="BG822" i="20"/>
  <c r="BE822" i="20"/>
  <c r="BF822" i="20" s="1"/>
  <c r="W834" i="20"/>
  <c r="V834" i="20"/>
  <c r="T834" i="20"/>
  <c r="BG876" i="20"/>
  <c r="BE876" i="20"/>
  <c r="BF876" i="20" s="1"/>
  <c r="BE911" i="20"/>
  <c r="BF911" i="20" s="1"/>
  <c r="BG911" i="20"/>
  <c r="V845" i="20"/>
  <c r="S860" i="20"/>
  <c r="Q860" i="20"/>
  <c r="W890" i="20"/>
  <c r="W895" i="20"/>
  <c r="Y895" i="20" s="1"/>
  <c r="S908" i="20"/>
  <c r="Q908" i="20"/>
  <c r="V909" i="20"/>
  <c r="BG952" i="20"/>
  <c r="BE952" i="20"/>
  <c r="BF952" i="20" s="1"/>
  <c r="BE955" i="20"/>
  <c r="BF955" i="20" s="1"/>
  <c r="BG955" i="20"/>
  <c r="W836" i="20"/>
  <c r="Y836" i="20" s="1"/>
  <c r="S839" i="20"/>
  <c r="Q839" i="20"/>
  <c r="AC844" i="20"/>
  <c r="BN925" i="20"/>
  <c r="BO925" i="20" s="1"/>
  <c r="BD925" i="20" s="1"/>
  <c r="T930" i="20"/>
  <c r="W930" i="20"/>
  <c r="Y930" i="20" s="1"/>
  <c r="BG946" i="20"/>
  <c r="BE946" i="20"/>
  <c r="BF946" i="20" s="1"/>
  <c r="V949" i="20"/>
  <c r="T949" i="20"/>
  <c r="BG949" i="20"/>
  <c r="BE949" i="20"/>
  <c r="BF949" i="20" s="1"/>
  <c r="S898" i="20"/>
  <c r="Q898" i="20"/>
  <c r="BG917" i="20"/>
  <c r="BE917" i="20"/>
  <c r="BF917" i="20" s="1"/>
  <c r="BG939" i="20"/>
  <c r="BE939" i="20"/>
  <c r="BF939" i="20" s="1"/>
  <c r="BG953" i="20"/>
  <c r="BE953" i="20"/>
  <c r="BF953" i="20" s="1"/>
  <c r="BG958" i="20"/>
  <c r="BE958" i="20"/>
  <c r="BF958" i="20" s="1"/>
  <c r="W823" i="20"/>
  <c r="BC863" i="20"/>
  <c r="BB863" i="20"/>
  <c r="BE863" i="20"/>
  <c r="BF863" i="20" s="1"/>
  <c r="T890" i="20"/>
  <c r="V890" i="20"/>
  <c r="BN890" i="20"/>
  <c r="BO890" i="20" s="1"/>
  <c r="BD890" i="20" s="1"/>
  <c r="BE902" i="20"/>
  <c r="BF902" i="20" s="1"/>
  <c r="T924" i="20"/>
  <c r="Q852" i="20"/>
  <c r="W852" i="20" s="1"/>
  <c r="Y858" i="20"/>
  <c r="BE866" i="20"/>
  <c r="BF866" i="20" s="1"/>
  <c r="BB873" i="20"/>
  <c r="W873" i="20"/>
  <c r="Y873" i="20" s="1"/>
  <c r="T885" i="20"/>
  <c r="S886" i="20"/>
  <c r="Q886" i="20"/>
  <c r="Q902" i="20"/>
  <c r="Q814" i="20"/>
  <c r="W814" i="20" s="1"/>
  <c r="T815" i="20"/>
  <c r="Q870" i="20"/>
  <c r="AK877" i="20"/>
  <c r="S893" i="20"/>
  <c r="T893" i="20" s="1"/>
  <c r="Q905" i="20"/>
  <c r="Q914" i="20"/>
  <c r="AC915" i="20"/>
  <c r="Q919" i="20"/>
  <c r="W919" i="20" s="1"/>
  <c r="T836" i="20"/>
  <c r="Q841" i="20"/>
  <c r="Q847" i="20"/>
  <c r="W847" i="20" s="1"/>
  <c r="Q850" i="20"/>
  <c r="W854" i="20"/>
  <c r="S863" i="20"/>
  <c r="W863" i="20" s="1"/>
  <c r="Y863" i="20" s="1"/>
  <c r="Q868" i="20"/>
  <c r="W868" i="20" s="1"/>
  <c r="Q874" i="20"/>
  <c r="Q875" i="20"/>
  <c r="Q876" i="20"/>
  <c r="AN877" i="20"/>
  <c r="AM877" i="20"/>
  <c r="Q882" i="20"/>
  <c r="W885" i="20"/>
  <c r="Y885" i="20" s="1"/>
  <c r="S889" i="20"/>
  <c r="Q889" i="20"/>
  <c r="S897" i="20"/>
  <c r="T897" i="20" s="1"/>
  <c r="V916" i="20"/>
  <c r="V923" i="20"/>
  <c r="BE956" i="20"/>
  <c r="BF956" i="20" s="1"/>
  <c r="BG956" i="20"/>
  <c r="BG968" i="20"/>
  <c r="BE968" i="20"/>
  <c r="BF968" i="20" s="1"/>
  <c r="Q810" i="20"/>
  <c r="W810" i="20" s="1"/>
  <c r="Q813" i="20"/>
  <c r="AM813" i="20"/>
  <c r="Q819" i="20"/>
  <c r="BL821" i="20"/>
  <c r="BN821" i="20" s="1"/>
  <c r="BO821" i="20" s="1"/>
  <c r="BD821" i="20" s="1"/>
  <c r="W832" i="20"/>
  <c r="Y832" i="20" s="1"/>
  <c r="Q861" i="20"/>
  <c r="W861" i="20" s="1"/>
  <c r="Q872" i="20"/>
  <c r="S878" i="20"/>
  <c r="Q878" i="20"/>
  <c r="S892" i="20"/>
  <c r="Q892" i="20"/>
  <c r="V893" i="20"/>
  <c r="W904" i="20"/>
  <c r="W916" i="20"/>
  <c r="BE935" i="20"/>
  <c r="BF935" i="20" s="1"/>
  <c r="BG947" i="20"/>
  <c r="BE947" i="20"/>
  <c r="BF947" i="20" s="1"/>
  <c r="BG961" i="20"/>
  <c r="BE961" i="20"/>
  <c r="BF961" i="20" s="1"/>
  <c r="W815" i="20"/>
  <c r="Y815" i="20" s="1"/>
  <c r="S835" i="20"/>
  <c r="Q835" i="20"/>
  <c r="W848" i="20"/>
  <c r="Y848" i="20" s="1"/>
  <c r="S855" i="20"/>
  <c r="Q855" i="20"/>
  <c r="S857" i="20"/>
  <c r="W857" i="20" s="1"/>
  <c r="Y857" i="20" s="1"/>
  <c r="BE868" i="20"/>
  <c r="BF868" i="20" s="1"/>
  <c r="BB875" i="20"/>
  <c r="AC890" i="20"/>
  <c r="V897" i="20"/>
  <c r="S915" i="20"/>
  <c r="T915" i="20" s="1"/>
  <c r="S923" i="20"/>
  <c r="W923" i="20" s="1"/>
  <c r="S929" i="20"/>
  <c r="Q929" i="20"/>
  <c r="BN938" i="20"/>
  <c r="BO938" i="20" s="1"/>
  <c r="BD938" i="20" s="1"/>
  <c r="S843" i="20"/>
  <c r="Q843" i="20"/>
  <c r="T859" i="20"/>
  <c r="W864" i="20"/>
  <c r="Y864" i="20" s="1"/>
  <c r="BC864" i="20"/>
  <c r="AC865" i="20"/>
  <c r="BB867" i="20"/>
  <c r="BC873" i="20"/>
  <c r="BB874" i="20"/>
  <c r="BC875" i="20"/>
  <c r="W886" i="20"/>
  <c r="BN898" i="20"/>
  <c r="BO898" i="20" s="1"/>
  <c r="BD898" i="20" s="1"/>
  <c r="T907" i="20"/>
  <c r="V907" i="20"/>
  <c r="Y907" i="20" s="1"/>
  <c r="T931" i="20"/>
  <c r="W931" i="20"/>
  <c r="Y931" i="20" s="1"/>
  <c r="T935" i="20"/>
  <c r="W935" i="20"/>
  <c r="V935" i="20"/>
  <c r="S867" i="20"/>
  <c r="Q867" i="20"/>
  <c r="V904" i="20"/>
  <c r="T904" i="20"/>
  <c r="T913" i="20"/>
  <c r="V913" i="20"/>
  <c r="BE933" i="20"/>
  <c r="BF933" i="20" s="1"/>
  <c r="BG933" i="20"/>
  <c r="BE943" i="20"/>
  <c r="BF943" i="20" s="1"/>
  <c r="BG943" i="20"/>
  <c r="BG945" i="20"/>
  <c r="BE945" i="20"/>
  <c r="BF945" i="20" s="1"/>
  <c r="BE864" i="20"/>
  <c r="BF864" i="20" s="1"/>
  <c r="T832" i="20"/>
  <c r="W862" i="20"/>
  <c r="BC862" i="20"/>
  <c r="W869" i="20"/>
  <c r="S871" i="20"/>
  <c r="Q871" i="20"/>
  <c r="AC903" i="20"/>
  <c r="S922" i="20"/>
  <c r="Q922" i="20"/>
  <c r="BG962" i="20"/>
  <c r="BE962" i="20"/>
  <c r="BF962" i="20" s="1"/>
  <c r="BG974" i="20"/>
  <c r="BE974" i="20"/>
  <c r="BF974" i="20" s="1"/>
  <c r="Q818" i="20"/>
  <c r="Q837" i="20"/>
  <c r="Q840" i="20"/>
  <c r="W840" i="20" s="1"/>
  <c r="S845" i="20"/>
  <c r="T845" i="20" s="1"/>
  <c r="T848" i="20"/>
  <c r="Q851" i="20"/>
  <c r="W851" i="20" s="1"/>
  <c r="W859" i="20"/>
  <c r="Y859" i="20" s="1"/>
  <c r="AC873" i="20"/>
  <c r="BL874" i="20"/>
  <c r="BN874" i="20" s="1"/>
  <c r="BO874" i="20" s="1"/>
  <c r="BD874" i="20" s="1"/>
  <c r="V877" i="20"/>
  <c r="W880" i="20"/>
  <c r="V883" i="20"/>
  <c r="Q900" i="20"/>
  <c r="S906" i="20"/>
  <c r="W906" i="20" s="1"/>
  <c r="Y906" i="20" s="1"/>
  <c r="S909" i="20"/>
  <c r="T909" i="20" s="1"/>
  <c r="W913" i="20"/>
  <c r="BG922" i="20"/>
  <c r="AC936" i="20"/>
  <c r="BE966" i="20"/>
  <c r="BF966" i="20" s="1"/>
  <c r="BG966" i="20"/>
  <c r="S831" i="20"/>
  <c r="Q831" i="20"/>
  <c r="BE849" i="20"/>
  <c r="BF849" i="20" s="1"/>
  <c r="V853" i="20"/>
  <c r="T864" i="20"/>
  <c r="BL873" i="20"/>
  <c r="BN873" i="20" s="1"/>
  <c r="BO873" i="20" s="1"/>
  <c r="BD873" i="20" s="1"/>
  <c r="V879" i="20"/>
  <c r="W883" i="20"/>
  <c r="Q884" i="20"/>
  <c r="V891" i="20"/>
  <c r="Y891" i="20" s="1"/>
  <c r="T895" i="20"/>
  <c r="AC918" i="20"/>
  <c r="T928" i="20"/>
  <c r="BG960" i="20"/>
  <c r="BE960" i="20"/>
  <c r="BF960" i="20" s="1"/>
  <c r="BE854" i="20"/>
  <c r="BF854" i="20" s="1"/>
  <c r="BB868" i="20"/>
  <c r="T911" i="20"/>
  <c r="W924" i="20"/>
  <c r="Y924" i="20" s="1"/>
  <c r="Q927" i="20"/>
  <c r="Q942" i="20"/>
  <c r="BN957" i="20"/>
  <c r="BO957" i="20" s="1"/>
  <c r="BD957" i="20" s="1"/>
  <c r="W964" i="20"/>
  <c r="BG975" i="20"/>
  <c r="BE975" i="20"/>
  <c r="BF975" i="20" s="1"/>
  <c r="BG991" i="20"/>
  <c r="BE991" i="20"/>
  <c r="BF991" i="20" s="1"/>
  <c r="BE1005" i="20"/>
  <c r="BF1005" i="20" s="1"/>
  <c r="BG1005" i="20"/>
  <c r="W946" i="20"/>
  <c r="Y946" i="20" s="1"/>
  <c r="S959" i="20"/>
  <c r="Q959" i="20"/>
  <c r="S978" i="20"/>
  <c r="Q978" i="20"/>
  <c r="BG978" i="20"/>
  <c r="BE978" i="20"/>
  <c r="BF978" i="20" s="1"/>
  <c r="BG995" i="20"/>
  <c r="BE995" i="20"/>
  <c r="BF995" i="20" s="1"/>
  <c r="T941" i="20"/>
  <c r="V964" i="20"/>
  <c r="Y964" i="20" s="1"/>
  <c r="T964" i="20"/>
  <c r="BG985" i="20"/>
  <c r="BE985" i="20"/>
  <c r="BF985" i="20" s="1"/>
  <c r="AC989" i="20"/>
  <c r="BG992" i="20"/>
  <c r="BE992" i="20"/>
  <c r="BF992" i="20" s="1"/>
  <c r="BG1006" i="20"/>
  <c r="BE1006" i="20"/>
  <c r="BF1006" i="20" s="1"/>
  <c r="BG1034" i="20"/>
  <c r="BE1034" i="20"/>
  <c r="BF1034" i="20" s="1"/>
  <c r="T956" i="20"/>
  <c r="S962" i="20"/>
  <c r="Q962" i="20"/>
  <c r="BG969" i="20"/>
  <c r="BE969" i="20"/>
  <c r="BF969" i="20" s="1"/>
  <c r="BG976" i="20"/>
  <c r="BE976" i="20"/>
  <c r="BF976" i="20" s="1"/>
  <c r="BG1000" i="20"/>
  <c r="BE1000" i="20"/>
  <c r="BF1000" i="20" s="1"/>
  <c r="V1017" i="20"/>
  <c r="T1017" i="20"/>
  <c r="T975" i="20"/>
  <c r="V992" i="20"/>
  <c r="T992" i="20"/>
  <c r="Q933" i="20"/>
  <c r="V941" i="20"/>
  <c r="Q948" i="20"/>
  <c r="W956" i="20"/>
  <c r="Y956" i="20" s="1"/>
  <c r="S979" i="20"/>
  <c r="Q979" i="20"/>
  <c r="W888" i="20"/>
  <c r="W941" i="20"/>
  <c r="T945" i="20"/>
  <c r="S952" i="20"/>
  <c r="Q952" i="20"/>
  <c r="AC964" i="20"/>
  <c r="BG986" i="20"/>
  <c r="BE986" i="20"/>
  <c r="BF986" i="20" s="1"/>
  <c r="AC1014" i="20"/>
  <c r="AC1026" i="20"/>
  <c r="T1058" i="20"/>
  <c r="W1058" i="20"/>
  <c r="V1058" i="20"/>
  <c r="BB861" i="20"/>
  <c r="BB866" i="20"/>
  <c r="W866" i="20"/>
  <c r="BB872" i="20"/>
  <c r="W901" i="20"/>
  <c r="Y901" i="20" s="1"/>
  <c r="T940" i="20"/>
  <c r="Q950" i="20"/>
  <c r="BN950" i="20"/>
  <c r="BO950" i="20" s="1"/>
  <c r="BD950" i="20" s="1"/>
  <c r="Q958" i="20"/>
  <c r="T969" i="20"/>
  <c r="BG983" i="20"/>
  <c r="BE983" i="20"/>
  <c r="BF983" i="20" s="1"/>
  <c r="S1007" i="20"/>
  <c r="Q1007" i="20"/>
  <c r="Y1018" i="20"/>
  <c r="T1043" i="20"/>
  <c r="W1043" i="20"/>
  <c r="V1043" i="20"/>
  <c r="V960" i="20"/>
  <c r="BG980" i="20"/>
  <c r="BE980" i="20"/>
  <c r="BF980" i="20" s="1"/>
  <c r="BG996" i="20"/>
  <c r="BE996" i="20"/>
  <c r="BF996" i="20" s="1"/>
  <c r="S937" i="20"/>
  <c r="Q937" i="20"/>
  <c r="W945" i="20"/>
  <c r="Y945" i="20" s="1"/>
  <c r="BG1002" i="20"/>
  <c r="BE1002" i="20"/>
  <c r="BF1002" i="20" s="1"/>
  <c r="BG1003" i="20"/>
  <c r="BE1003" i="20"/>
  <c r="BF1003" i="20" s="1"/>
  <c r="S943" i="20"/>
  <c r="Q943" i="20"/>
  <c r="V963" i="20"/>
  <c r="T1022" i="20"/>
  <c r="W1022" i="20"/>
  <c r="V1022" i="20"/>
  <c r="BG1052" i="20"/>
  <c r="BE1052" i="20"/>
  <c r="BF1052" i="20" s="1"/>
  <c r="BG963" i="20"/>
  <c r="BE963" i="20"/>
  <c r="BF963" i="20" s="1"/>
  <c r="W977" i="20"/>
  <c r="V977" i="20"/>
  <c r="T977" i="20"/>
  <c r="BG977" i="20"/>
  <c r="BE977" i="20"/>
  <c r="BF977" i="20" s="1"/>
  <c r="BG981" i="20"/>
  <c r="BE981" i="20"/>
  <c r="BF981" i="20" s="1"/>
  <c r="BE993" i="20"/>
  <c r="BF993" i="20" s="1"/>
  <c r="BG993" i="20"/>
  <c r="BG997" i="20"/>
  <c r="BE997" i="20"/>
  <c r="BF997" i="20" s="1"/>
  <c r="V1001" i="20"/>
  <c r="T1001" i="20"/>
  <c r="BN899" i="20"/>
  <c r="BO899" i="20" s="1"/>
  <c r="BD899" i="20" s="1"/>
  <c r="BN906" i="20"/>
  <c r="BO906" i="20" s="1"/>
  <c r="BD906" i="20" s="1"/>
  <c r="W910" i="20"/>
  <c r="Y910" i="20" s="1"/>
  <c r="W944" i="20"/>
  <c r="Y944" i="20" s="1"/>
  <c r="W949" i="20"/>
  <c r="S963" i="20"/>
  <c r="W963" i="20" s="1"/>
  <c r="BE1004" i="20"/>
  <c r="BF1004" i="20" s="1"/>
  <c r="Q936" i="20"/>
  <c r="W936" i="20" s="1"/>
  <c r="S951" i="20"/>
  <c r="Q951" i="20"/>
  <c r="BN954" i="20"/>
  <c r="BO954" i="20" s="1"/>
  <c r="BD954" i="20" s="1"/>
  <c r="S966" i="20"/>
  <c r="Q966" i="20"/>
  <c r="S997" i="20"/>
  <c r="Q997" i="20"/>
  <c r="T1033" i="20"/>
  <c r="V1033" i="20"/>
  <c r="AC1077" i="20"/>
  <c r="T1012" i="20"/>
  <c r="AC1065" i="20"/>
  <c r="T1109" i="20"/>
  <c r="W1109" i="20"/>
  <c r="V1109" i="20"/>
  <c r="V980" i="20"/>
  <c r="Q989" i="20"/>
  <c r="W989" i="20" s="1"/>
  <c r="T991" i="20"/>
  <c r="T1004" i="20"/>
  <c r="S1009" i="20"/>
  <c r="Q1009" i="20"/>
  <c r="S1014" i="20"/>
  <c r="W1014" i="20" s="1"/>
  <c r="Y1014" i="20" s="1"/>
  <c r="S1026" i="20"/>
  <c r="W1026" i="20" s="1"/>
  <c r="Y1026" i="20" s="1"/>
  <c r="T1044" i="20"/>
  <c r="AK1048" i="20"/>
  <c r="AJ1048" i="20"/>
  <c r="S1065" i="20"/>
  <c r="Q1065" i="20"/>
  <c r="T1072" i="20"/>
  <c r="V1072" i="20"/>
  <c r="Y1072" i="20" s="1"/>
  <c r="T1087" i="20"/>
  <c r="V1087" i="20"/>
  <c r="W975" i="20"/>
  <c r="Y975" i="20" s="1"/>
  <c r="W980" i="20"/>
  <c r="Y1012" i="20"/>
  <c r="T1028" i="20"/>
  <c r="V1028" i="20"/>
  <c r="W1033" i="20"/>
  <c r="AN1048" i="20"/>
  <c r="AM1048" i="20"/>
  <c r="V1053" i="20"/>
  <c r="T1053" i="20"/>
  <c r="W960" i="20"/>
  <c r="Q965" i="20"/>
  <c r="W965" i="20" s="1"/>
  <c r="S988" i="20"/>
  <c r="W988" i="20" s="1"/>
  <c r="Y988" i="20" s="1"/>
  <c r="V991" i="20"/>
  <c r="Y991" i="20" s="1"/>
  <c r="AC999" i="20"/>
  <c r="W1004" i="20"/>
  <c r="Y1004" i="20" s="1"/>
  <c r="W1017" i="20"/>
  <c r="T1089" i="20"/>
  <c r="V1089" i="20"/>
  <c r="Q986" i="20"/>
  <c r="W986" i="20" s="1"/>
  <c r="Q987" i="20"/>
  <c r="W987" i="20" s="1"/>
  <c r="Q995" i="20"/>
  <c r="V996" i="20"/>
  <c r="Q1003" i="20"/>
  <c r="W1003" i="20" s="1"/>
  <c r="Q1006" i="20"/>
  <c r="Q1021" i="20"/>
  <c r="V1044" i="20"/>
  <c r="AN1050" i="20"/>
  <c r="AM1050" i="20"/>
  <c r="BG1074" i="20"/>
  <c r="BE1074" i="20"/>
  <c r="BF1074" i="20" s="1"/>
  <c r="Y1088" i="20"/>
  <c r="Q967" i="20"/>
  <c r="Q985" i="20"/>
  <c r="W996" i="20"/>
  <c r="Q1011" i="20"/>
  <c r="Q1016" i="20"/>
  <c r="V1019" i="20"/>
  <c r="Q1023" i="20"/>
  <c r="W1028" i="20"/>
  <c r="W1044" i="20"/>
  <c r="Q1045" i="20"/>
  <c r="BC1048" i="20"/>
  <c r="BB1048" i="20"/>
  <c r="S1055" i="20"/>
  <c r="Q1055" i="20"/>
  <c r="Y1073" i="20"/>
  <c r="Q953" i="20"/>
  <c r="Q968" i="20"/>
  <c r="W983" i="20"/>
  <c r="Y983" i="20" s="1"/>
  <c r="Q1000" i="20"/>
  <c r="W1019" i="20"/>
  <c r="S1025" i="20"/>
  <c r="Q1025" i="20"/>
  <c r="Q1035" i="20"/>
  <c r="W1035" i="20" s="1"/>
  <c r="W1040" i="20"/>
  <c r="Y1040" i="20" s="1"/>
  <c r="S1048" i="20"/>
  <c r="Q1048" i="20"/>
  <c r="W1067" i="20"/>
  <c r="V1097" i="20"/>
  <c r="W1097" i="20"/>
  <c r="T1097" i="20"/>
  <c r="W993" i="20"/>
  <c r="Y993" i="20" s="1"/>
  <c r="Q994" i="20"/>
  <c r="T1030" i="20"/>
  <c r="Q1041" i="20"/>
  <c r="S1050" i="20"/>
  <c r="Q1050" i="20"/>
  <c r="W1015" i="20"/>
  <c r="T1046" i="20"/>
  <c r="W1060" i="20"/>
  <c r="S1005" i="20"/>
  <c r="Q1005" i="20"/>
  <c r="Q1093" i="20"/>
  <c r="S1093" i="20"/>
  <c r="W992" i="20"/>
  <c r="T1018" i="20"/>
  <c r="V1027" i="20"/>
  <c r="AN1049" i="20"/>
  <c r="AM1049" i="20"/>
  <c r="AC1054" i="20"/>
  <c r="S1057" i="20"/>
  <c r="Q1057" i="20"/>
  <c r="T971" i="20"/>
  <c r="Q973" i="20"/>
  <c r="S981" i="20"/>
  <c r="Q981" i="20"/>
  <c r="T983" i="20"/>
  <c r="W1001" i="20"/>
  <c r="Q1038" i="20"/>
  <c r="S1052" i="20"/>
  <c r="Q1052" i="20"/>
  <c r="BB1103" i="20"/>
  <c r="BC1103" i="20"/>
  <c r="AC1103" i="20"/>
  <c r="BG1114" i="20"/>
  <c r="BE1114" i="20"/>
  <c r="BF1114" i="20" s="1"/>
  <c r="Q974" i="20"/>
  <c r="S982" i="20"/>
  <c r="W982" i="20" s="1"/>
  <c r="Y982" i="20" s="1"/>
  <c r="T993" i="20"/>
  <c r="Q1010" i="20"/>
  <c r="W1010" i="20" s="1"/>
  <c r="W1046" i="20"/>
  <c r="Y1046" i="20" s="1"/>
  <c r="AJ1051" i="20"/>
  <c r="V1056" i="20"/>
  <c r="AC1063" i="20"/>
  <c r="BN999" i="20"/>
  <c r="BO999" i="20" s="1"/>
  <c r="BD999" i="20" s="1"/>
  <c r="W1002" i="20"/>
  <c r="Y1002" i="20" s="1"/>
  <c r="V1008" i="20"/>
  <c r="Q1031" i="20"/>
  <c r="Q1036" i="20"/>
  <c r="AC1048" i="20"/>
  <c r="S1049" i="20"/>
  <c r="Q1049" i="20"/>
  <c r="AC1050" i="20"/>
  <c r="W1056" i="20"/>
  <c r="V1068" i="20"/>
  <c r="W1069" i="20"/>
  <c r="V1069" i="20"/>
  <c r="T1069" i="20"/>
  <c r="S1071" i="20"/>
  <c r="Q1071" i="20"/>
  <c r="S1126" i="20"/>
  <c r="Q1126" i="20"/>
  <c r="W1089" i="20"/>
  <c r="W1092" i="20"/>
  <c r="Y1092" i="20" s="1"/>
  <c r="T1142" i="20"/>
  <c r="V1170" i="20"/>
  <c r="T1170" i="20"/>
  <c r="BG1175" i="20"/>
  <c r="BE1175" i="20"/>
  <c r="BF1175" i="20" s="1"/>
  <c r="S1077" i="20"/>
  <c r="T1077" i="20" s="1"/>
  <c r="T1100" i="20"/>
  <c r="BE1101" i="20"/>
  <c r="BF1101" i="20" s="1"/>
  <c r="BG1101" i="20"/>
  <c r="V1226" i="20"/>
  <c r="V1100" i="20"/>
  <c r="Y1100" i="20" s="1"/>
  <c r="BE1109" i="20"/>
  <c r="BF1109" i="20" s="1"/>
  <c r="AK1076" i="20"/>
  <c r="AJ1076" i="20"/>
  <c r="BE1077" i="20"/>
  <c r="BF1077" i="20" s="1"/>
  <c r="Q1098" i="20"/>
  <c r="BG1098" i="20"/>
  <c r="BC1101" i="20"/>
  <c r="V1107" i="20"/>
  <c r="T1107" i="20"/>
  <c r="AJ1110" i="20"/>
  <c r="BG1136" i="20"/>
  <c r="BE1136" i="20"/>
  <c r="BF1136" i="20" s="1"/>
  <c r="S1145" i="20"/>
  <c r="Q1145" i="20"/>
  <c r="Q1095" i="20"/>
  <c r="W1095" i="20" s="1"/>
  <c r="BB1111" i="20"/>
  <c r="V1173" i="20"/>
  <c r="T1173" i="20"/>
  <c r="AM1076" i="20"/>
  <c r="W1087" i="20"/>
  <c r="V1111" i="20"/>
  <c r="V1113" i="20"/>
  <c r="T1113" i="20"/>
  <c r="S1039" i="20"/>
  <c r="Q1039" i="20"/>
  <c r="Q1064" i="20"/>
  <c r="Q1079" i="20"/>
  <c r="S1096" i="20"/>
  <c r="Q1096" i="20"/>
  <c r="Q1101" i="20"/>
  <c r="W1101" i="20" s="1"/>
  <c r="Q1104" i="20"/>
  <c r="W1107" i="20"/>
  <c r="W1111" i="20"/>
  <c r="BE1111" i="20"/>
  <c r="BF1111" i="20" s="1"/>
  <c r="S1117" i="20"/>
  <c r="Q1117" i="20"/>
  <c r="W1118" i="20"/>
  <c r="Y1118" i="20" s="1"/>
  <c r="BE1125" i="20"/>
  <c r="BF1125" i="20" s="1"/>
  <c r="BG1125" i="20"/>
  <c r="S1128" i="20"/>
  <c r="Q1128" i="20"/>
  <c r="T1073" i="20"/>
  <c r="T1088" i="20"/>
  <c r="AC1099" i="20"/>
  <c r="BC1099" i="20"/>
  <c r="BG1099" i="20"/>
  <c r="AC1105" i="20"/>
  <c r="BC1105" i="20"/>
  <c r="T1110" i="20"/>
  <c r="S1179" i="20"/>
  <c r="Q1179" i="20"/>
  <c r="AN1078" i="20"/>
  <c r="AM1078" i="20"/>
  <c r="S1099" i="20"/>
  <c r="Q1099" i="20"/>
  <c r="BC1102" i="20"/>
  <c r="BB1102" i="20"/>
  <c r="S1105" i="20"/>
  <c r="Q1105" i="20"/>
  <c r="S1120" i="20"/>
  <c r="Q1120" i="20"/>
  <c r="AC1121" i="20"/>
  <c r="Q1148" i="20"/>
  <c r="S1148" i="20"/>
  <c r="S1078" i="20"/>
  <c r="Q1078" i="20"/>
  <c r="S1102" i="20"/>
  <c r="Q1102" i="20"/>
  <c r="W1108" i="20"/>
  <c r="V1108" i="20"/>
  <c r="T1108" i="20"/>
  <c r="S1121" i="20"/>
  <c r="Q1121" i="20"/>
  <c r="AC1122" i="20"/>
  <c r="S1086" i="20"/>
  <c r="Q1086" i="20"/>
  <c r="S1114" i="20"/>
  <c r="Q1114" i="20"/>
  <c r="AC1123" i="20"/>
  <c r="W1123" i="20"/>
  <c r="Y1123" i="20" s="1"/>
  <c r="AN1047" i="20"/>
  <c r="AM1047" i="20"/>
  <c r="AN1051" i="20"/>
  <c r="AM1051" i="20"/>
  <c r="W1068" i="20"/>
  <c r="W1070" i="20"/>
  <c r="Q1075" i="20"/>
  <c r="AJ1077" i="20"/>
  <c r="Q1080" i="20"/>
  <c r="W1080" i="20" s="1"/>
  <c r="W1085" i="20"/>
  <c r="Y1085" i="20" s="1"/>
  <c r="V1110" i="20"/>
  <c r="T1112" i="20"/>
  <c r="V1119" i="20"/>
  <c r="Y1137" i="20"/>
  <c r="BG1137" i="20"/>
  <c r="BE1137" i="20"/>
  <c r="BF1137" i="20" s="1"/>
  <c r="S1154" i="20"/>
  <c r="Q1154" i="20"/>
  <c r="S1047" i="20"/>
  <c r="Q1047" i="20"/>
  <c r="S1051" i="20"/>
  <c r="Q1051" i="20"/>
  <c r="S1059" i="20"/>
  <c r="Q1059" i="20"/>
  <c r="V1067" i="20"/>
  <c r="BG1076" i="20"/>
  <c r="AC1093" i="20"/>
  <c r="W1110" i="20"/>
  <c r="BE1110" i="20"/>
  <c r="BF1110" i="20" s="1"/>
  <c r="W1119" i="20"/>
  <c r="BC1106" i="20"/>
  <c r="AC1118" i="20"/>
  <c r="S1122" i="20"/>
  <c r="Q1122" i="20"/>
  <c r="W1127" i="20"/>
  <c r="Y1127" i="20" s="1"/>
  <c r="BB1127" i="20"/>
  <c r="W1161" i="20"/>
  <c r="Y1161" i="20" s="1"/>
  <c r="W1164" i="20"/>
  <c r="Y1164" i="20" s="1"/>
  <c r="BE1171" i="20"/>
  <c r="BF1171" i="20" s="1"/>
  <c r="S1215" i="20"/>
  <c r="Q1215" i="20"/>
  <c r="BB1136" i="20"/>
  <c r="W1171" i="20"/>
  <c r="Y1171" i="20" s="1"/>
  <c r="V1182" i="20"/>
  <c r="T1182" i="20"/>
  <c r="S1186" i="20"/>
  <c r="Q1186" i="20"/>
  <c r="W1187" i="20"/>
  <c r="Y1187" i="20" s="1"/>
  <c r="BC1129" i="20"/>
  <c r="BB1129" i="20"/>
  <c r="AC1180" i="20"/>
  <c r="BG1197" i="20"/>
  <c r="BE1197" i="20"/>
  <c r="BF1197" i="20" s="1"/>
  <c r="S1180" i="20"/>
  <c r="Q1180" i="20"/>
  <c r="V1218" i="20"/>
  <c r="T1218" i="20"/>
  <c r="S1229" i="20"/>
  <c r="Q1229" i="20"/>
  <c r="T1127" i="20"/>
  <c r="S1129" i="20"/>
  <c r="Q1135" i="20"/>
  <c r="Q1143" i="20"/>
  <c r="W1143" i="20" s="1"/>
  <c r="Q1149" i="20"/>
  <c r="AC1176" i="20"/>
  <c r="BC1176" i="20"/>
  <c r="BB1176" i="20"/>
  <c r="W1176" i="20"/>
  <c r="Y1176" i="20" s="1"/>
  <c r="V1191" i="20"/>
  <c r="T1191" i="20"/>
  <c r="V1125" i="20"/>
  <c r="T1129" i="20"/>
  <c r="AJ1137" i="20"/>
  <c r="T1139" i="20"/>
  <c r="T1152" i="20"/>
  <c r="T1171" i="20"/>
  <c r="BE1172" i="20"/>
  <c r="BF1172" i="20" s="1"/>
  <c r="V1177" i="20"/>
  <c r="W1183" i="20"/>
  <c r="V1183" i="20"/>
  <c r="T1183" i="20"/>
  <c r="S1123" i="20"/>
  <c r="T1123" i="20" s="1"/>
  <c r="Q1138" i="20"/>
  <c r="BC1174" i="20"/>
  <c r="BB1174" i="20"/>
  <c r="W1174" i="20"/>
  <c r="Y1174" i="20" s="1"/>
  <c r="S1192" i="20"/>
  <c r="Q1192" i="20"/>
  <c r="V1220" i="20"/>
  <c r="T1220" i="20"/>
  <c r="S1141" i="20"/>
  <c r="Q1141" i="20"/>
  <c r="T1146" i="20"/>
  <c r="AC1164" i="20"/>
  <c r="BG1176" i="20"/>
  <c r="BE1176" i="20"/>
  <c r="BF1176" i="20" s="1"/>
  <c r="AC1193" i="20"/>
  <c r="BB1126" i="20"/>
  <c r="W1129" i="20"/>
  <c r="Y1129" i="20" s="1"/>
  <c r="BB1130" i="20"/>
  <c r="BB1132" i="20"/>
  <c r="W1139" i="20"/>
  <c r="Y1139" i="20" s="1"/>
  <c r="T1159" i="20"/>
  <c r="T1169" i="20"/>
  <c r="S1184" i="20"/>
  <c r="Q1184" i="20"/>
  <c r="W1191" i="20"/>
  <c r="S1193" i="20"/>
  <c r="Q1193" i="20"/>
  <c r="W1193" i="20" s="1"/>
  <c r="S1132" i="20"/>
  <c r="Q1132" i="20"/>
  <c r="V1211" i="20"/>
  <c r="T1211" i="20"/>
  <c r="S1222" i="20"/>
  <c r="Q1222" i="20"/>
  <c r="BB1138" i="20"/>
  <c r="S1195" i="20"/>
  <c r="Q1195" i="20"/>
  <c r="BG1196" i="20"/>
  <c r="BE1196" i="20"/>
  <c r="BF1196" i="20" s="1"/>
  <c r="R1222" i="20"/>
  <c r="Q1130" i="20"/>
  <c r="W1130" i="20" s="1"/>
  <c r="T1137" i="20"/>
  <c r="T1153" i="20"/>
  <c r="T1156" i="20"/>
  <c r="V1166" i="20"/>
  <c r="S1167" i="20"/>
  <c r="Q1167" i="20"/>
  <c r="W1167" i="20" s="1"/>
  <c r="W1170" i="20"/>
  <c r="W1173" i="20"/>
  <c r="Q1124" i="20"/>
  <c r="W1124" i="20" s="1"/>
  <c r="Q1136" i="20"/>
  <c r="BE1138" i="20"/>
  <c r="BF1138" i="20" s="1"/>
  <c r="AC1155" i="20"/>
  <c r="S1157" i="20"/>
  <c r="Q1157" i="20"/>
  <c r="W1159" i="20"/>
  <c r="Y1159" i="20" s="1"/>
  <c r="Q1163" i="20"/>
  <c r="W1166" i="20"/>
  <c r="W1169" i="20"/>
  <c r="Y1169" i="20" s="1"/>
  <c r="W1172" i="20"/>
  <c r="V1213" i="20"/>
  <c r="Y1213" i="20" s="1"/>
  <c r="T1213" i="20"/>
  <c r="Q1151" i="20"/>
  <c r="Q1160" i="20"/>
  <c r="W1160" i="20" s="1"/>
  <c r="AC1175" i="20"/>
  <c r="BB1175" i="20"/>
  <c r="W1175" i="20"/>
  <c r="Y1175" i="20" s="1"/>
  <c r="V1224" i="20"/>
  <c r="T1224" i="20"/>
  <c r="V1225" i="20"/>
  <c r="BE1198" i="20"/>
  <c r="BF1198" i="20" s="1"/>
  <c r="BE1215" i="20"/>
  <c r="BF1215" i="20" s="1"/>
  <c r="BE1222" i="20"/>
  <c r="BF1222" i="20" s="1"/>
  <c r="W1211" i="20"/>
  <c r="W1218" i="20"/>
  <c r="W1213" i="20"/>
  <c r="W1220" i="20"/>
  <c r="Q1178" i="20"/>
  <c r="Q1185" i="20"/>
  <c r="Q1189" i="20"/>
  <c r="AJ1199" i="20"/>
  <c r="AJ1200" i="20"/>
  <c r="AJ1201" i="20"/>
  <c r="AJ1202" i="20"/>
  <c r="AJ1203" i="20"/>
  <c r="AJ1204" i="20"/>
  <c r="AJ1205" i="20"/>
  <c r="AJ1206" i="20"/>
  <c r="AJ1207" i="20"/>
  <c r="AJ1208" i="20"/>
  <c r="Q1196" i="20"/>
  <c r="W1196" i="20" s="1"/>
  <c r="Q1214" i="20"/>
  <c r="W1214" i="20" s="1"/>
  <c r="Q1221" i="20"/>
  <c r="W1221" i="20" s="1"/>
  <c r="Q1228" i="20"/>
  <c r="W1228" i="20" s="1"/>
  <c r="W1224" i="20"/>
  <c r="BE1209" i="20"/>
  <c r="BF1209" i="20" s="1"/>
  <c r="BE1216" i="20"/>
  <c r="BF1216" i="20" s="1"/>
  <c r="BE1223" i="20"/>
  <c r="BF1223" i="20" s="1"/>
  <c r="T1194" i="20"/>
  <c r="T1199" i="20"/>
  <c r="T1202" i="20"/>
  <c r="T1203" i="20"/>
  <c r="T1205" i="20"/>
  <c r="BB1196" i="20"/>
  <c r="W1197" i="20"/>
  <c r="Y1197" i="20" s="1"/>
  <c r="W1198" i="20"/>
  <c r="Y1198" i="20" s="1"/>
  <c r="BG885" i="11"/>
  <c r="Y713" i="20" l="1"/>
  <c r="Y1043" i="20"/>
  <c r="Y877" i="20"/>
  <c r="Y763" i="20"/>
  <c r="Y722" i="20"/>
  <c r="Y656" i="20"/>
  <c r="Y89" i="20"/>
  <c r="BE225" i="20"/>
  <c r="BF225" i="20" s="1"/>
  <c r="BG225" i="20"/>
  <c r="U35" i="20"/>
  <c r="W192" i="20"/>
  <c r="W227" i="20"/>
  <c r="Y227" i="20" s="1"/>
  <c r="T54" i="20"/>
  <c r="V1066" i="20"/>
  <c r="BE930" i="20"/>
  <c r="BF930" i="20" s="1"/>
  <c r="T607" i="20"/>
  <c r="T241" i="20"/>
  <c r="T247" i="20"/>
  <c r="U26" i="20"/>
  <c r="W1066" i="20"/>
  <c r="T558" i="20"/>
  <c r="W1090" i="20"/>
  <c r="Y1090" i="20" s="1"/>
  <c r="W1063" i="20"/>
  <c r="Y1063" i="20" s="1"/>
  <c r="W1134" i="20"/>
  <c r="T833" i="20"/>
  <c r="T723" i="20"/>
  <c r="T591" i="20"/>
  <c r="W687" i="20"/>
  <c r="Y607" i="20"/>
  <c r="T508" i="20"/>
  <c r="T433" i="20"/>
  <c r="Y247" i="20"/>
  <c r="W590" i="20"/>
  <c r="W1227" i="20"/>
  <c r="V715" i="20"/>
  <c r="V508" i="20"/>
  <c r="W491" i="20"/>
  <c r="V433" i="20"/>
  <c r="Y433" i="20" s="1"/>
  <c r="U29" i="20"/>
  <c r="T84" i="20"/>
  <c r="T825" i="20"/>
  <c r="W920" i="20"/>
  <c r="Y102" i="20"/>
  <c r="T23" i="20"/>
  <c r="T1212" i="20"/>
  <c r="V1212" i="20"/>
  <c r="T1190" i="20"/>
  <c r="T1131" i="20"/>
  <c r="BG959" i="20"/>
  <c r="V750" i="20"/>
  <c r="Y750" i="20" s="1"/>
  <c r="T712" i="20"/>
  <c r="T1227" i="20"/>
  <c r="Y1070" i="20"/>
  <c r="V485" i="20"/>
  <c r="Y485" i="20" s="1"/>
  <c r="V322" i="20"/>
  <c r="T239" i="20"/>
  <c r="W49" i="20"/>
  <c r="Y49" i="20" s="1"/>
  <c r="W1106" i="20"/>
  <c r="Y1106" i="20" s="1"/>
  <c r="W1217" i="20"/>
  <c r="W844" i="20"/>
  <c r="Y844" i="20" s="1"/>
  <c r="BE989" i="20"/>
  <c r="BF989" i="20" s="1"/>
  <c r="W821" i="20"/>
  <c r="Y821" i="20" s="1"/>
  <c r="W1122" i="20"/>
  <c r="BE987" i="20"/>
  <c r="BF987" i="20" s="1"/>
  <c r="T573" i="20"/>
  <c r="W657" i="20"/>
  <c r="W451" i="20"/>
  <c r="Y451" i="20" s="1"/>
  <c r="T322" i="20"/>
  <c r="W266" i="20"/>
  <c r="T313" i="20"/>
  <c r="U49" i="20"/>
  <c r="W46" i="20"/>
  <c r="T856" i="20"/>
  <c r="T750" i="20"/>
  <c r="T1094" i="20"/>
  <c r="T1063" i="20"/>
  <c r="W811" i="20"/>
  <c r="Y811" i="20" s="1"/>
  <c r="W587" i="20"/>
  <c r="Y587" i="20" s="1"/>
  <c r="T559" i="20"/>
  <c r="BG875" i="20"/>
  <c r="V313" i="20"/>
  <c r="Y51" i="20"/>
  <c r="T821" i="20"/>
  <c r="V26" i="20"/>
  <c r="W1225" i="20"/>
  <c r="W1186" i="20"/>
  <c r="W1179" i="20"/>
  <c r="BG970" i="20"/>
  <c r="T844" i="20"/>
  <c r="W820" i="20"/>
  <c r="W558" i="20"/>
  <c r="Y558" i="20" s="1"/>
  <c r="W231" i="20"/>
  <c r="Y231" i="20" s="1"/>
  <c r="W259" i="20"/>
  <c r="W256" i="20"/>
  <c r="T227" i="20"/>
  <c r="V205" i="20"/>
  <c r="W1207" i="20"/>
  <c r="Y1207" i="20" s="1"/>
  <c r="W481" i="20"/>
  <c r="Y481" i="20" s="1"/>
  <c r="V1219" i="20"/>
  <c r="W1094" i="20"/>
  <c r="Y1094" i="20" s="1"/>
  <c r="T820" i="20"/>
  <c r="T485" i="20"/>
  <c r="BE941" i="20"/>
  <c r="BF941" i="20" s="1"/>
  <c r="T934" i="20"/>
  <c r="Y602" i="20"/>
  <c r="T1207" i="20"/>
  <c r="T1219" i="20"/>
  <c r="T1140" i="20"/>
  <c r="W829" i="20"/>
  <c r="Y829" i="20" s="1"/>
  <c r="Y698" i="20"/>
  <c r="W620" i="20"/>
  <c r="W526" i="20"/>
  <c r="Y526" i="20" s="1"/>
  <c r="W357" i="20"/>
  <c r="Y357" i="20" s="1"/>
  <c r="T133" i="20"/>
  <c r="T46" i="20"/>
  <c r="V1134" i="20"/>
  <c r="W395" i="20"/>
  <c r="Y999" i="20"/>
  <c r="BE910" i="20"/>
  <c r="BF910" i="20" s="1"/>
  <c r="W241" i="20"/>
  <c r="Y241" i="20" s="1"/>
  <c r="W1165" i="20"/>
  <c r="Y926" i="20"/>
  <c r="W715" i="20"/>
  <c r="V8" i="20"/>
  <c r="BE927" i="20"/>
  <c r="BF927" i="20" s="1"/>
  <c r="V1188" i="20"/>
  <c r="V1217" i="20"/>
  <c r="T192" i="20"/>
  <c r="W1158" i="20"/>
  <c r="Y1158" i="20" s="1"/>
  <c r="T590" i="20"/>
  <c r="T1034" i="20"/>
  <c r="W205" i="20"/>
  <c r="T717" i="20"/>
  <c r="V56" i="20"/>
  <c r="Y56" i="20" s="1"/>
  <c r="W65" i="20"/>
  <c r="W358" i="20"/>
  <c r="Y358" i="20" s="1"/>
  <c r="W1116" i="20"/>
  <c r="W934" i="20"/>
  <c r="Y934" i="20" s="1"/>
  <c r="V1150" i="20"/>
  <c r="W1140" i="20"/>
  <c r="T827" i="20"/>
  <c r="V124" i="20"/>
  <c r="Y160" i="20"/>
  <c r="W191" i="20"/>
  <c r="Y191" i="20" s="1"/>
  <c r="T1188" i="20"/>
  <c r="T1027" i="20"/>
  <c r="V827" i="20"/>
  <c r="V1165" i="20"/>
  <c r="W856" i="20"/>
  <c r="Y856" i="20" s="1"/>
  <c r="W531" i="20"/>
  <c r="BE617" i="20"/>
  <c r="BF617" i="20" s="1"/>
  <c r="BG617" i="20"/>
  <c r="BG144" i="20"/>
  <c r="BE144" i="20"/>
  <c r="BF144" i="20" s="1"/>
  <c r="W1099" i="20"/>
  <c r="Y904" i="20"/>
  <c r="W1103" i="20"/>
  <c r="Y1103" i="20" s="1"/>
  <c r="T634" i="20"/>
  <c r="T522" i="20"/>
  <c r="T358" i="20"/>
  <c r="Y316" i="20"/>
  <c r="V395" i="20"/>
  <c r="W480" i="20"/>
  <c r="Y480" i="20" s="1"/>
  <c r="Y203" i="20"/>
  <c r="V134" i="20"/>
  <c r="Y115" i="20"/>
  <c r="W85" i="20"/>
  <c r="T125" i="20"/>
  <c r="W8" i="20"/>
  <c r="Y8" i="20" s="1"/>
  <c r="T999" i="20"/>
  <c r="V535" i="20"/>
  <c r="U23" i="20"/>
  <c r="T80" i="20"/>
  <c r="W1082" i="20"/>
  <c r="Y1082" i="20" s="1"/>
  <c r="BE973" i="20"/>
  <c r="BF973" i="20" s="1"/>
  <c r="T920" i="20"/>
  <c r="T791" i="20"/>
  <c r="W961" i="20"/>
  <c r="BG940" i="20"/>
  <c r="BG904" i="20"/>
  <c r="W791" i="20"/>
  <c r="Y791" i="20" s="1"/>
  <c r="T642" i="20"/>
  <c r="Y522" i="20"/>
  <c r="Y363" i="20"/>
  <c r="W423" i="20"/>
  <c r="W367" i="20"/>
  <c r="Y367" i="20" s="1"/>
  <c r="T237" i="20"/>
  <c r="Y92" i="20"/>
  <c r="Y53" i="20"/>
  <c r="T78" i="20"/>
  <c r="W120" i="20"/>
  <c r="Y120" i="20" s="1"/>
  <c r="T8" i="20"/>
  <c r="W535" i="20"/>
  <c r="W35" i="20"/>
  <c r="Y35" i="20" s="1"/>
  <c r="W860" i="20"/>
  <c r="V920" i="20"/>
  <c r="Y920" i="20" s="1"/>
  <c r="BE923" i="20"/>
  <c r="BF923" i="20" s="1"/>
  <c r="W1009" i="20"/>
  <c r="V642" i="20"/>
  <c r="Y642" i="20" s="1"/>
  <c r="T476" i="20"/>
  <c r="Y403" i="20"/>
  <c r="Y369" i="20"/>
  <c r="BE398" i="20"/>
  <c r="BF398" i="20" s="1"/>
  <c r="W211" i="20"/>
  <c r="Y211" i="20" s="1"/>
  <c r="W78" i="20"/>
  <c r="T118" i="20"/>
  <c r="U8" i="20"/>
  <c r="W1200" i="20"/>
  <c r="Y1200" i="20" s="1"/>
  <c r="W588" i="20"/>
  <c r="Y588" i="20" s="1"/>
  <c r="BE924" i="20"/>
  <c r="BF924" i="20" s="1"/>
  <c r="V32" i="20"/>
  <c r="W1209" i="20"/>
  <c r="Y1209" i="20" s="1"/>
  <c r="Y293" i="20"/>
  <c r="Y1113" i="20"/>
  <c r="T1026" i="20"/>
  <c r="BE964" i="20"/>
  <c r="BF964" i="20" s="1"/>
  <c r="W918" i="20"/>
  <c r="Y918" i="20" s="1"/>
  <c r="BG913" i="20"/>
  <c r="T779" i="20"/>
  <c r="T659" i="20"/>
  <c r="Y694" i="20"/>
  <c r="W603" i="20"/>
  <c r="Y603" i="20" s="1"/>
  <c r="T413" i="20"/>
  <c r="V126" i="20"/>
  <c r="V118" i="20"/>
  <c r="Y118" i="20" s="1"/>
  <c r="T40" i="20"/>
  <c r="Y1162" i="20"/>
  <c r="W336" i="20"/>
  <c r="BE988" i="20"/>
  <c r="BF988" i="20" s="1"/>
  <c r="BG984" i="20"/>
  <c r="Y916" i="20"/>
  <c r="W659" i="20"/>
  <c r="Y659" i="20" s="1"/>
  <c r="Y397" i="20"/>
  <c r="V413" i="20"/>
  <c r="W56" i="20"/>
  <c r="W126" i="20"/>
  <c r="V40" i="20"/>
  <c r="V13" i="20"/>
  <c r="T1201" i="20"/>
  <c r="Y634" i="20"/>
  <c r="V476" i="20"/>
  <c r="Y476" i="20" s="1"/>
  <c r="BE618" i="20"/>
  <c r="BF618" i="20" s="1"/>
  <c r="W80" i="20"/>
  <c r="Y80" i="20" s="1"/>
  <c r="V63" i="20"/>
  <c r="V62" i="20"/>
  <c r="Y62" i="20" s="1"/>
  <c r="BG56" i="20"/>
  <c r="BE994" i="20"/>
  <c r="BF994" i="20" s="1"/>
  <c r="BG937" i="20"/>
  <c r="W454" i="20"/>
  <c r="W373" i="20"/>
  <c r="W237" i="20"/>
  <c r="Y237" i="20" s="1"/>
  <c r="T120" i="20"/>
  <c r="V50" i="20"/>
  <c r="T337" i="20"/>
  <c r="T406" i="20"/>
  <c r="W26" i="20"/>
  <c r="Y26" i="20" s="1"/>
  <c r="T1200" i="20"/>
  <c r="W1226" i="20"/>
  <c r="T990" i="20"/>
  <c r="V947" i="20"/>
  <c r="Y1183" i="20"/>
  <c r="V990" i="20"/>
  <c r="Y990" i="20" s="1"/>
  <c r="W947" i="20"/>
  <c r="BE942" i="20"/>
  <c r="BF942" i="20" s="1"/>
  <c r="W499" i="20"/>
  <c r="T420" i="20"/>
  <c r="T430" i="20"/>
  <c r="U78" i="20"/>
  <c r="T918" i="20"/>
  <c r="W1125" i="20"/>
  <c r="Y1125" i="20" s="1"/>
  <c r="V961" i="20"/>
  <c r="Y961" i="20" s="1"/>
  <c r="W1120" i="20"/>
  <c r="Y980" i="20"/>
  <c r="BE929" i="20"/>
  <c r="BF929" i="20" s="1"/>
  <c r="W809" i="20"/>
  <c r="W808" i="20"/>
  <c r="W672" i="20"/>
  <c r="Y688" i="20"/>
  <c r="BG616" i="20"/>
  <c r="T603" i="20"/>
  <c r="T480" i="20"/>
  <c r="T379" i="20"/>
  <c r="T363" i="20"/>
  <c r="V420" i="20"/>
  <c r="V326" i="20"/>
  <c r="T107" i="20"/>
  <c r="T1054" i="20"/>
  <c r="T1024" i="20"/>
  <c r="W547" i="20"/>
  <c r="T288" i="20"/>
  <c r="W112" i="20"/>
  <c r="Y112" i="20" s="1"/>
  <c r="W58" i="20"/>
  <c r="V49" i="20"/>
  <c r="V802" i="20"/>
  <c r="T802" i="20"/>
  <c r="T1208" i="20"/>
  <c r="T524" i="20"/>
  <c r="W300" i="20"/>
  <c r="V300" i="20"/>
  <c r="T326" i="20"/>
  <c r="W290" i="20"/>
  <c r="Y190" i="20"/>
  <c r="V16" i="20"/>
  <c r="Y109" i="20"/>
  <c r="Y853" i="20"/>
  <c r="T531" i="20"/>
  <c r="T105" i="20"/>
  <c r="Y46" i="20"/>
  <c r="W1204" i="20"/>
  <c r="T853" i="20"/>
  <c r="W134" i="20"/>
  <c r="T102" i="20"/>
  <c r="T1197" i="20"/>
  <c r="V1082" i="20"/>
  <c r="BE932" i="20"/>
  <c r="BF932" i="20" s="1"/>
  <c r="T838" i="20"/>
  <c r="V531" i="20"/>
  <c r="W524" i="20"/>
  <c r="Y524" i="20" s="1"/>
  <c r="T417" i="20"/>
  <c r="Y153" i="20"/>
  <c r="T211" i="20"/>
  <c r="W249" i="20"/>
  <c r="V12" i="20"/>
  <c r="V33" i="20"/>
  <c r="W1177" i="20"/>
  <c r="Y827" i="20"/>
  <c r="T1204" i="20"/>
  <c r="T1081" i="20"/>
  <c r="T1103" i="20"/>
  <c r="W1081" i="20"/>
  <c r="Y1081" i="20" s="1"/>
  <c r="Y802" i="20"/>
  <c r="W385" i="20"/>
  <c r="Y385" i="20" s="1"/>
  <c r="V417" i="20"/>
  <c r="Y339" i="20"/>
  <c r="W72" i="20"/>
  <c r="BE46" i="20"/>
  <c r="BF46" i="20" s="1"/>
  <c r="T602" i="20"/>
  <c r="Y1053" i="20"/>
  <c r="T497" i="20"/>
  <c r="T510" i="20"/>
  <c r="T255" i="20"/>
  <c r="W250" i="20"/>
  <c r="Y162" i="20"/>
  <c r="W635" i="20"/>
  <c r="Y635" i="20" s="1"/>
  <c r="T1115" i="20"/>
  <c r="T729" i="20"/>
  <c r="V21" i="20"/>
  <c r="W79" i="20"/>
  <c r="Y79" i="20" s="1"/>
  <c r="T1175" i="20"/>
  <c r="BG395" i="20"/>
  <c r="BE395" i="20"/>
  <c r="BF395" i="20" s="1"/>
  <c r="Y1224" i="20"/>
  <c r="W1093" i="20"/>
  <c r="T906" i="20"/>
  <c r="W867" i="20"/>
  <c r="T857" i="20"/>
  <c r="W765" i="20"/>
  <c r="T605" i="20"/>
  <c r="Y673" i="20"/>
  <c r="W539" i="20"/>
  <c r="W337" i="20"/>
  <c r="Y428" i="20"/>
  <c r="Y290" i="20"/>
  <c r="Y881" i="20"/>
  <c r="V4" i="20"/>
  <c r="W787" i="20"/>
  <c r="Y787" i="20" s="1"/>
  <c r="Y820" i="20"/>
  <c r="Y644" i="20"/>
  <c r="Y130" i="20"/>
  <c r="W1133" i="20"/>
  <c r="V1116" i="20"/>
  <c r="Y1116" i="20" s="1"/>
  <c r="Y1028" i="20"/>
  <c r="T998" i="20"/>
  <c r="BE967" i="20"/>
  <c r="BF967" i="20" s="1"/>
  <c r="Y883" i="20"/>
  <c r="W552" i="20"/>
  <c r="Y378" i="20"/>
  <c r="W258" i="20"/>
  <c r="Y280" i="20"/>
  <c r="W248" i="20"/>
  <c r="W130" i="20"/>
  <c r="Y143" i="20"/>
  <c r="Y37" i="20"/>
  <c r="W957" i="20"/>
  <c r="Y957" i="20" s="1"/>
  <c r="W38" i="20"/>
  <c r="Y38" i="20" s="1"/>
  <c r="W297" i="20"/>
  <c r="Y297" i="20" s="1"/>
  <c r="W398" i="20"/>
  <c r="T1056" i="20"/>
  <c r="W1054" i="20"/>
  <c r="Y1054" i="20" s="1"/>
  <c r="BE934" i="20"/>
  <c r="BF934" i="20" s="1"/>
  <c r="W592" i="20"/>
  <c r="W706" i="20"/>
  <c r="T432" i="20"/>
  <c r="Y586" i="20"/>
  <c r="U33" i="20"/>
  <c r="U58" i="20"/>
  <c r="T515" i="20"/>
  <c r="V36" i="20"/>
  <c r="W101" i="20"/>
  <c r="Y101" i="20" s="1"/>
  <c r="T611" i="20"/>
  <c r="V611" i="20"/>
  <c r="Y611" i="20" s="1"/>
  <c r="T1223" i="20"/>
  <c r="V1223" i="20"/>
  <c r="W1156" i="20"/>
  <c r="Y1156" i="20" s="1"/>
  <c r="T116" i="20"/>
  <c r="W116" i="20"/>
  <c r="Y116" i="20" s="1"/>
  <c r="T1014" i="20"/>
  <c r="W794" i="20"/>
  <c r="Y794" i="20" s="1"/>
  <c r="BE877" i="20"/>
  <c r="BF877" i="20" s="1"/>
  <c r="BE621" i="20"/>
  <c r="BF621" i="20" s="1"/>
  <c r="Y491" i="20"/>
  <c r="T58" i="20"/>
  <c r="T91" i="20"/>
  <c r="Y23" i="20"/>
  <c r="T1084" i="20"/>
  <c r="Y1220" i="20"/>
  <c r="Y509" i="20"/>
  <c r="W244" i="20"/>
  <c r="W70" i="20"/>
  <c r="W567" i="20"/>
  <c r="Y567" i="20" s="1"/>
  <c r="T179" i="20"/>
  <c r="Y1015" i="20"/>
  <c r="W1154" i="20"/>
  <c r="V552" i="20"/>
  <c r="W561" i="20"/>
  <c r="T349" i="20"/>
  <c r="T1210" i="20"/>
  <c r="Y628" i="20"/>
  <c r="W178" i="20"/>
  <c r="T829" i="20"/>
  <c r="T97" i="20"/>
  <c r="V97" i="20"/>
  <c r="Y97" i="20" s="1"/>
  <c r="V1206" i="20"/>
  <c r="W1206" i="20"/>
  <c r="V547" i="20"/>
  <c r="Y547" i="20" s="1"/>
  <c r="T547" i="20"/>
  <c r="W549" i="20"/>
  <c r="Y536" i="20"/>
  <c r="W391" i="20"/>
  <c r="Y128" i="20"/>
  <c r="T453" i="20"/>
  <c r="T128" i="20"/>
  <c r="T222" i="20"/>
  <c r="T111" i="20"/>
  <c r="V111" i="20"/>
  <c r="Y111" i="20" s="1"/>
  <c r="T88" i="20"/>
  <c r="V88" i="20"/>
  <c r="Y88" i="20" s="1"/>
  <c r="T1116" i="20"/>
  <c r="W976" i="20"/>
  <c r="Y976" i="20" s="1"/>
  <c r="Y539" i="20"/>
  <c r="W465" i="20"/>
  <c r="Y338" i="20"/>
  <c r="W184" i="20"/>
  <c r="Y184" i="20" s="1"/>
  <c r="T221" i="20"/>
  <c r="T232" i="20"/>
  <c r="W105" i="20"/>
  <c r="Y105" i="20" s="1"/>
  <c r="V955" i="20"/>
  <c r="Y955" i="20" s="1"/>
  <c r="T955" i="20"/>
  <c r="W807" i="20"/>
  <c r="Y807" i="20" s="1"/>
  <c r="T921" i="20"/>
  <c r="V921" i="20"/>
  <c r="Y921" i="20" s="1"/>
  <c r="T1177" i="20"/>
  <c r="T787" i="20"/>
  <c r="BE496" i="20"/>
  <c r="BF496" i="20" s="1"/>
  <c r="W971" i="20"/>
  <c r="Y971" i="20" s="1"/>
  <c r="T828" i="20"/>
  <c r="W1208" i="20"/>
  <c r="Y1208" i="20" s="1"/>
  <c r="V69" i="20"/>
  <c r="Y69" i="20" s="1"/>
  <c r="T69" i="20"/>
  <c r="T1125" i="20"/>
  <c r="Y941" i="20"/>
  <c r="W909" i="20"/>
  <c r="Y909" i="20" s="1"/>
  <c r="W751" i="20"/>
  <c r="V58" i="20"/>
  <c r="Y1060" i="20"/>
  <c r="W402" i="20"/>
  <c r="Y402" i="20" s="1"/>
  <c r="BE226" i="20"/>
  <c r="BF226" i="20" s="1"/>
  <c r="T946" i="20"/>
  <c r="W582" i="20"/>
  <c r="Y582" i="20" s="1"/>
  <c r="T976" i="20"/>
  <c r="W453" i="20"/>
  <c r="Y453" i="20" s="1"/>
  <c r="Y145" i="20"/>
  <c r="Y335" i="20"/>
  <c r="W503" i="20"/>
  <c r="Y503" i="20" s="1"/>
  <c r="T70" i="20"/>
  <c r="U70" i="20"/>
  <c r="T957" i="20"/>
  <c r="V1133" i="20"/>
  <c r="W1086" i="20"/>
  <c r="Y1056" i="20"/>
  <c r="W1013" i="20"/>
  <c r="Y1013" i="20" s="1"/>
  <c r="T988" i="20"/>
  <c r="Y678" i="20"/>
  <c r="W605" i="20"/>
  <c r="Y605" i="20" s="1"/>
  <c r="W432" i="20"/>
  <c r="Y432" i="20" s="1"/>
  <c r="Y495" i="20"/>
  <c r="Y304" i="20"/>
  <c r="W283" i="20"/>
  <c r="Y298" i="20"/>
  <c r="V887" i="20"/>
  <c r="Y887" i="20" s="1"/>
  <c r="T887" i="20"/>
  <c r="W1223" i="20"/>
  <c r="T82" i="20"/>
  <c r="BE951" i="20"/>
  <c r="BF951" i="20" s="1"/>
  <c r="BG951" i="20"/>
  <c r="Y510" i="20"/>
  <c r="Y1108" i="20"/>
  <c r="W1057" i="20"/>
  <c r="T1060" i="20"/>
  <c r="Y1058" i="20"/>
  <c r="W871" i="20"/>
  <c r="W608" i="20"/>
  <c r="W325" i="20"/>
  <c r="Y478" i="20"/>
  <c r="Y171" i="20"/>
  <c r="Y315" i="20"/>
  <c r="Y93" i="20"/>
  <c r="Y76" i="20"/>
  <c r="V1034" i="20"/>
  <c r="W1034" i="20"/>
  <c r="V932" i="20"/>
  <c r="T932" i="20"/>
  <c r="T1061" i="20"/>
  <c r="T1083" i="20"/>
  <c r="Y828" i="20"/>
  <c r="W622" i="20"/>
  <c r="Y622" i="20" s="1"/>
  <c r="V334" i="20"/>
  <c r="Y334" i="20" s="1"/>
  <c r="W472" i="20"/>
  <c r="Y472" i="20" s="1"/>
  <c r="Y314" i="20"/>
  <c r="W374" i="20"/>
  <c r="Y374" i="20" s="1"/>
  <c r="Y245" i="20"/>
  <c r="Y47" i="20"/>
  <c r="T1013" i="20"/>
  <c r="W633" i="20"/>
  <c r="Y633" i="20" s="1"/>
  <c r="T633" i="20"/>
  <c r="V571" i="20"/>
  <c r="W571" i="20"/>
  <c r="W865" i="20"/>
  <c r="Y865" i="20" s="1"/>
  <c r="W742" i="20"/>
  <c r="Y742" i="20" s="1"/>
  <c r="Y235" i="20"/>
  <c r="W849" i="20"/>
  <c r="V849" i="20"/>
  <c r="Y849" i="20" s="1"/>
  <c r="T849" i="20"/>
  <c r="T767" i="20"/>
  <c r="W431" i="20"/>
  <c r="V431" i="20"/>
  <c r="Y671" i="20"/>
  <c r="Y543" i="20"/>
  <c r="T494" i="20"/>
  <c r="Y455" i="20"/>
  <c r="T334" i="20"/>
  <c r="V100" i="20"/>
  <c r="T1020" i="20"/>
  <c r="V1020" i="20"/>
  <c r="T846" i="20"/>
  <c r="V846" i="20"/>
  <c r="Y846" i="20" s="1"/>
  <c r="V595" i="20"/>
  <c r="Y595" i="20" s="1"/>
  <c r="T595" i="20"/>
  <c r="V565" i="20"/>
  <c r="T565" i="20"/>
  <c r="T514" i="20"/>
  <c r="T550" i="20"/>
  <c r="V570" i="20"/>
  <c r="W570" i="20"/>
  <c r="V739" i="20"/>
  <c r="Y739" i="20" s="1"/>
  <c r="T739" i="20"/>
  <c r="BG936" i="20"/>
  <c r="BE936" i="20"/>
  <c r="BF936" i="20" s="1"/>
  <c r="V894" i="20"/>
  <c r="T894" i="20"/>
  <c r="T444" i="20"/>
  <c r="V444" i="20"/>
  <c r="W1065" i="20"/>
  <c r="Y913" i="20"/>
  <c r="T863" i="20"/>
  <c r="Y890" i="20"/>
  <c r="T534" i="20"/>
  <c r="T472" i="20"/>
  <c r="W344" i="20"/>
  <c r="Y344" i="20" s="1"/>
  <c r="Y336" i="20"/>
  <c r="W100" i="20"/>
  <c r="Y215" i="20"/>
  <c r="W1131" i="20"/>
  <c r="Y1131" i="20" s="1"/>
  <c r="BE891" i="20"/>
  <c r="BF891" i="20" s="1"/>
  <c r="BG891" i="20"/>
  <c r="W599" i="20"/>
  <c r="Y599" i="20" s="1"/>
  <c r="T599" i="20"/>
  <c r="T671" i="20"/>
  <c r="T225" i="20"/>
  <c r="W1150" i="20"/>
  <c r="Y1150" i="20" s="1"/>
  <c r="Y680" i="20"/>
  <c r="Y593" i="20"/>
  <c r="Y534" i="20"/>
  <c r="Y555" i="20"/>
  <c r="W444" i="20"/>
  <c r="Y296" i="20"/>
  <c r="W246" i="20"/>
  <c r="Y257" i="20"/>
  <c r="Y282" i="20"/>
  <c r="T195" i="20"/>
  <c r="W252" i="20"/>
  <c r="T202" i="20"/>
  <c r="Y125" i="20"/>
  <c r="W1115" i="20"/>
  <c r="Y1115" i="20" s="1"/>
  <c r="W1202" i="20"/>
  <c r="Y1202" i="20" s="1"/>
  <c r="W525" i="20"/>
  <c r="Y525" i="20" s="1"/>
  <c r="T614" i="20"/>
  <c r="V614" i="20"/>
  <c r="Y614" i="20" s="1"/>
  <c r="Y1194" i="20"/>
  <c r="Y1181" i="20"/>
  <c r="W551" i="20"/>
  <c r="Y551" i="20" s="1"/>
  <c r="W651" i="20"/>
  <c r="Y651" i="20" s="1"/>
  <c r="T79" i="20"/>
  <c r="W879" i="20"/>
  <c r="Y879" i="20" s="1"/>
  <c r="W1210" i="20"/>
  <c r="T66" i="20"/>
  <c r="Y1218" i="20"/>
  <c r="W1071" i="20"/>
  <c r="T1074" i="20"/>
  <c r="W1024" i="20"/>
  <c r="Y1022" i="20"/>
  <c r="W932" i="20"/>
  <c r="BE998" i="20"/>
  <c r="BF998" i="20" s="1"/>
  <c r="W894" i="20"/>
  <c r="Y715" i="20"/>
  <c r="W801" i="20"/>
  <c r="Y565" i="20"/>
  <c r="Y412" i="20"/>
  <c r="W1029" i="20"/>
  <c r="V1029" i="20"/>
  <c r="V1172" i="20"/>
  <c r="Y1172" i="20" s="1"/>
  <c r="T1172" i="20"/>
  <c r="T674" i="20"/>
  <c r="V674" i="20"/>
  <c r="Y674" i="20" s="1"/>
  <c r="V483" i="20"/>
  <c r="T483" i="20"/>
  <c r="V880" i="20"/>
  <c r="Y880" i="20" s="1"/>
  <c r="T880" i="20"/>
  <c r="V501" i="20"/>
  <c r="Y501" i="20" s="1"/>
  <c r="T501" i="20"/>
  <c r="V220" i="20"/>
  <c r="Y220" i="20" s="1"/>
  <c r="T220" i="20"/>
  <c r="T56" i="20"/>
  <c r="V427" i="20"/>
  <c r="Y427" i="20" s="1"/>
  <c r="T427" i="20"/>
  <c r="W1074" i="20"/>
  <c r="Y1074" i="20" s="1"/>
  <c r="Y639" i="20"/>
  <c r="T325" i="20"/>
  <c r="Y151" i="20"/>
  <c r="T1144" i="20"/>
  <c r="W1144" i="20"/>
  <c r="Y1144" i="20" s="1"/>
  <c r="V519" i="20"/>
  <c r="Y519" i="20" s="1"/>
  <c r="T519" i="20"/>
  <c r="W483" i="20"/>
  <c r="W507" i="20"/>
  <c r="Y507" i="20" s="1"/>
  <c r="T507" i="20"/>
  <c r="T769" i="20"/>
  <c r="V769" i="20"/>
  <c r="Y769" i="20" s="1"/>
  <c r="W1042" i="20"/>
  <c r="Y1042" i="20" s="1"/>
  <c r="W573" i="20"/>
  <c r="Y573" i="20" s="1"/>
  <c r="W193" i="20"/>
  <c r="Y193" i="20" s="1"/>
  <c r="T193" i="20"/>
  <c r="W198" i="20"/>
  <c r="Y198" i="20" s="1"/>
  <c r="T198" i="20"/>
  <c r="W744" i="20"/>
  <c r="W1145" i="20"/>
  <c r="BE948" i="20"/>
  <c r="BF948" i="20" s="1"/>
  <c r="Y323" i="20"/>
  <c r="Y332" i="20"/>
  <c r="W59" i="20"/>
  <c r="W33" i="20"/>
  <c r="T554" i="20"/>
  <c r="V554" i="20"/>
  <c r="Y554" i="20" s="1"/>
  <c r="W498" i="20"/>
  <c r="Y498" i="20" s="1"/>
  <c r="W288" i="20"/>
  <c r="W1180" i="20"/>
  <c r="Y1226" i="20"/>
  <c r="Y1170" i="20"/>
  <c r="Y1069" i="20"/>
  <c r="V1024" i="20"/>
  <c r="BE982" i="20"/>
  <c r="BF982" i="20" s="1"/>
  <c r="T566" i="20"/>
  <c r="Y700" i="20"/>
  <c r="Y579" i="20"/>
  <c r="Y500" i="20"/>
  <c r="Y384" i="20"/>
  <c r="W224" i="20"/>
  <c r="Y224" i="20" s="1"/>
  <c r="Y178" i="20"/>
  <c r="U66" i="20"/>
  <c r="Y66" i="20" s="1"/>
  <c r="U59" i="20"/>
  <c r="Y87" i="20"/>
  <c r="Y4" i="20"/>
  <c r="Y21" i="20"/>
  <c r="T33" i="20"/>
  <c r="W954" i="20"/>
  <c r="Y954" i="20" s="1"/>
  <c r="V753" i="20"/>
  <c r="Y753" i="20" s="1"/>
  <c r="T753" i="20"/>
  <c r="W1201" i="20"/>
  <c r="Y1201" i="20" s="1"/>
  <c r="T43" i="20"/>
  <c r="W43" i="20"/>
  <c r="U43" i="20"/>
  <c r="V440" i="20"/>
  <c r="Y440" i="20" s="1"/>
  <c r="T440" i="20"/>
  <c r="W94" i="20"/>
  <c r="Y94" i="20" s="1"/>
  <c r="W114" i="20"/>
  <c r="Y114" i="20" s="1"/>
  <c r="V29" i="20"/>
  <c r="T569" i="20"/>
  <c r="V569" i="20"/>
  <c r="Y569" i="20" s="1"/>
  <c r="V714" i="20"/>
  <c r="W714" i="20"/>
  <c r="T714" i="20"/>
  <c r="Y960" i="20"/>
  <c r="V912" i="20"/>
  <c r="Y912" i="20" s="1"/>
  <c r="Y768" i="20"/>
  <c r="T696" i="20"/>
  <c r="Y576" i="20"/>
  <c r="W437" i="20"/>
  <c r="Y437" i="20" s="1"/>
  <c r="Y373" i="20"/>
  <c r="Y417" i="20"/>
  <c r="Y399" i="20"/>
  <c r="T345" i="20"/>
  <c r="Y232" i="20"/>
  <c r="V288" i="20"/>
  <c r="Y288" i="20" s="1"/>
  <c r="W718" i="20"/>
  <c r="Y718" i="20" s="1"/>
  <c r="W1142" i="20"/>
  <c r="Y1142" i="20" s="1"/>
  <c r="V708" i="20"/>
  <c r="W708" i="20"/>
  <c r="T149" i="20"/>
  <c r="V149" i="20"/>
  <c r="Y149" i="20" s="1"/>
  <c r="W435" i="20"/>
  <c r="Y435" i="20" s="1"/>
  <c r="Y434" i="20"/>
  <c r="W497" i="20"/>
  <c r="Y497" i="20" s="1"/>
  <c r="V54" i="20"/>
  <c r="Y54" i="20" s="1"/>
  <c r="V734" i="20"/>
  <c r="T734" i="20"/>
  <c r="Y306" i="20"/>
  <c r="Y1182" i="20"/>
  <c r="W845" i="20"/>
  <c r="Y845" i="20" s="1"/>
  <c r="T912" i="20"/>
  <c r="Y745" i="20"/>
  <c r="V566" i="20"/>
  <c r="Y566" i="20" s="1"/>
  <c r="T560" i="20"/>
  <c r="Y696" i="20"/>
  <c r="V345" i="20"/>
  <c r="BE55" i="20"/>
  <c r="BF55" i="20" s="1"/>
  <c r="Y1204" i="20"/>
  <c r="T1008" i="20"/>
  <c r="W1008" i="20"/>
  <c r="Y1008" i="20" s="1"/>
  <c r="T1216" i="20"/>
  <c r="V1216" i="20"/>
  <c r="Y1216" i="20" s="1"/>
  <c r="T760" i="20"/>
  <c r="V760" i="20"/>
  <c r="T1002" i="20"/>
  <c r="W760" i="20"/>
  <c r="Y939" i="20"/>
  <c r="W136" i="20"/>
  <c r="Y136" i="20" s="1"/>
  <c r="T136" i="20"/>
  <c r="V410" i="20"/>
  <c r="Y410" i="20" s="1"/>
  <c r="T410" i="20"/>
  <c r="Y1177" i="20"/>
  <c r="Y809" i="20"/>
  <c r="T903" i="20"/>
  <c r="V717" i="20"/>
  <c r="Y717" i="20" s="1"/>
  <c r="T622" i="20"/>
  <c r="T702" i="20"/>
  <c r="W550" i="20"/>
  <c r="Y550" i="20" s="1"/>
  <c r="Y527" i="20"/>
  <c r="W317" i="20"/>
  <c r="Y317" i="20" s="1"/>
  <c r="T24" i="20"/>
  <c r="Y169" i="20"/>
  <c r="Y590" i="20"/>
  <c r="W1020" i="20"/>
  <c r="T224" i="20"/>
  <c r="V805" i="20"/>
  <c r="W805" i="20"/>
  <c r="Y805" i="20" s="1"/>
  <c r="V406" i="20"/>
  <c r="W406" i="20"/>
  <c r="V65" i="20"/>
  <c r="Y65" i="20" s="1"/>
  <c r="V375" i="20"/>
  <c r="W375" i="20"/>
  <c r="T375" i="20"/>
  <c r="T1147" i="20"/>
  <c r="V1147" i="20"/>
  <c r="Y1147" i="20" s="1"/>
  <c r="Y1067" i="20"/>
  <c r="W1083" i="20"/>
  <c r="Y1083" i="20" s="1"/>
  <c r="W1105" i="20"/>
  <c r="W908" i="20"/>
  <c r="V560" i="20"/>
  <c r="Y560" i="20" s="1"/>
  <c r="W717" i="20"/>
  <c r="Y702" i="20"/>
  <c r="Y559" i="20"/>
  <c r="W452" i="20"/>
  <c r="Y300" i="20"/>
  <c r="Y414" i="20"/>
  <c r="W264" i="20"/>
  <c r="W260" i="20"/>
  <c r="V195" i="20"/>
  <c r="Y195" i="20" s="1"/>
  <c r="Y275" i="20"/>
  <c r="Y78" i="20"/>
  <c r="BE54" i="20"/>
  <c r="BF54" i="20" s="1"/>
  <c r="BE979" i="20"/>
  <c r="BF979" i="20" s="1"/>
  <c r="Y1032" i="20"/>
  <c r="V1168" i="20"/>
  <c r="Y1168" i="20" s="1"/>
  <c r="T1168" i="20"/>
  <c r="V888" i="20"/>
  <c r="Y888" i="20" s="1"/>
  <c r="T888" i="20"/>
  <c r="T487" i="20"/>
  <c r="V487" i="20"/>
  <c r="W686" i="20"/>
  <c r="Y686" i="20" s="1"/>
  <c r="T1029" i="20"/>
  <c r="V854" i="20"/>
  <c r="Y854" i="20" s="1"/>
  <c r="T854" i="20"/>
  <c r="W487" i="20"/>
  <c r="T83" i="20"/>
  <c r="W1037" i="20"/>
  <c r="V1037" i="20"/>
  <c r="T1037" i="20"/>
  <c r="W1061" i="20"/>
  <c r="Y1061" i="20" s="1"/>
  <c r="Y977" i="20"/>
  <c r="Y806" i="20"/>
  <c r="Y450" i="20"/>
  <c r="Y585" i="20"/>
  <c r="Y366" i="20"/>
  <c r="Y1165" i="20"/>
  <c r="W734" i="20"/>
  <c r="V401" i="20"/>
  <c r="Y401" i="20" s="1"/>
  <c r="T401" i="20"/>
  <c r="Y379" i="20"/>
  <c r="V60" i="20"/>
  <c r="Y60" i="20" s="1"/>
  <c r="T1042" i="20"/>
  <c r="W29" i="20"/>
  <c r="V974" i="20"/>
  <c r="T974" i="20"/>
  <c r="V1132" i="20"/>
  <c r="T1132" i="20"/>
  <c r="W1132" i="20"/>
  <c r="W1215" i="20"/>
  <c r="V1215" i="20"/>
  <c r="T1215" i="20"/>
  <c r="V1080" i="20"/>
  <c r="Y1080" i="20" s="1"/>
  <c r="T1080" i="20"/>
  <c r="V1151" i="20"/>
  <c r="T1151" i="20"/>
  <c r="V1130" i="20"/>
  <c r="Y1130" i="20" s="1"/>
  <c r="T1130" i="20"/>
  <c r="Y1188" i="20"/>
  <c r="Y1140" i="20"/>
  <c r="T1120" i="20"/>
  <c r="V1120" i="20"/>
  <c r="Y1089" i="20"/>
  <c r="W974" i="20"/>
  <c r="Y1033" i="20"/>
  <c r="T963" i="20"/>
  <c r="T900" i="20"/>
  <c r="V900" i="20"/>
  <c r="W855" i="20"/>
  <c r="V855" i="20"/>
  <c r="T855" i="20"/>
  <c r="T892" i="20"/>
  <c r="W892" i="20"/>
  <c r="V892" i="20"/>
  <c r="V868" i="20"/>
  <c r="Y868" i="20" s="1"/>
  <c r="T868" i="20"/>
  <c r="W915" i="20"/>
  <c r="Y915" i="20" s="1"/>
  <c r="W902" i="20"/>
  <c r="V902" i="20"/>
  <c r="T902" i="20"/>
  <c r="Y822" i="20"/>
  <c r="Y741" i="20"/>
  <c r="W816" i="20"/>
  <c r="T724" i="20"/>
  <c r="W724" i="20"/>
  <c r="V724" i="20"/>
  <c r="Y830" i="20"/>
  <c r="W897" i="20"/>
  <c r="Y897" i="20" s="1"/>
  <c r="V720" i="20"/>
  <c r="Y720" i="20" s="1"/>
  <c r="T720" i="20"/>
  <c r="T685" i="20"/>
  <c r="W685" i="20"/>
  <c r="V685" i="20"/>
  <c r="W557" i="20"/>
  <c r="V557" i="20"/>
  <c r="T557" i="20"/>
  <c r="Y772" i="20"/>
  <c r="Y797" i="20"/>
  <c r="T469" i="20"/>
  <c r="Y508" i="20"/>
  <c r="T474" i="20"/>
  <c r="V474" i="20"/>
  <c r="Y474" i="20" s="1"/>
  <c r="Y553" i="20"/>
  <c r="Y538" i="20"/>
  <c r="Y354" i="20"/>
  <c r="Y458" i="20"/>
  <c r="Y347" i="20"/>
  <c r="V396" i="20"/>
  <c r="T396" i="20"/>
  <c r="T340" i="20"/>
  <c r="V340" i="20"/>
  <c r="W340" i="20"/>
  <c r="V333" i="20"/>
  <c r="T333" i="20"/>
  <c r="V376" i="20"/>
  <c r="T376" i="20"/>
  <c r="T342" i="20"/>
  <c r="V342" i="20"/>
  <c r="W342" i="20"/>
  <c r="T272" i="20"/>
  <c r="V272" i="20"/>
  <c r="Y272" i="20" s="1"/>
  <c r="T264" i="20"/>
  <c r="V264" i="20"/>
  <c r="T209" i="20"/>
  <c r="W209" i="20"/>
  <c r="V209" i="20"/>
  <c r="T261" i="20"/>
  <c r="V142" i="20"/>
  <c r="T142" i="20"/>
  <c r="T146" i="20"/>
  <c r="U3" i="20"/>
  <c r="W3" i="20"/>
  <c r="T3" i="20"/>
  <c r="T16" i="20"/>
  <c r="W16" i="20"/>
  <c r="U16" i="20"/>
  <c r="V1121" i="20"/>
  <c r="T1121" i="20"/>
  <c r="V1221" i="20"/>
  <c r="Y1221" i="20" s="1"/>
  <c r="T1221" i="20"/>
  <c r="Y1191" i="20"/>
  <c r="Y1217" i="20"/>
  <c r="T1047" i="20"/>
  <c r="W1047" i="20"/>
  <c r="V1047" i="20"/>
  <c r="W1075" i="20"/>
  <c r="V1075" i="20"/>
  <c r="T1075" i="20"/>
  <c r="W1117" i="20"/>
  <c r="V1117" i="20"/>
  <c r="T1117" i="20"/>
  <c r="W1151" i="20"/>
  <c r="V1010" i="20"/>
  <c r="Y1010" i="20" s="1"/>
  <c r="T1010" i="20"/>
  <c r="T981" i="20"/>
  <c r="V981" i="20"/>
  <c r="V1093" i="20"/>
  <c r="Y1093" i="20" s="1"/>
  <c r="T1093" i="20"/>
  <c r="V1035" i="20"/>
  <c r="Y1035" i="20" s="1"/>
  <c r="T1035" i="20"/>
  <c r="Y1109" i="20"/>
  <c r="Y963" i="20"/>
  <c r="V948" i="20"/>
  <c r="T948" i="20"/>
  <c r="T923" i="20"/>
  <c r="V898" i="20"/>
  <c r="T898" i="20"/>
  <c r="W726" i="20"/>
  <c r="V726" i="20"/>
  <c r="T726" i="20"/>
  <c r="T711" i="20"/>
  <c r="W711" i="20"/>
  <c r="V711" i="20"/>
  <c r="V710" i="20"/>
  <c r="T710" i="20"/>
  <c r="T784" i="20"/>
  <c r="W784" i="20"/>
  <c r="V784" i="20"/>
  <c r="Y704" i="20"/>
  <c r="V528" i="20"/>
  <c r="T528" i="20"/>
  <c r="V636" i="20"/>
  <c r="T636" i="20"/>
  <c r="Y738" i="20"/>
  <c r="Y596" i="20"/>
  <c r="V518" i="20"/>
  <c r="T518" i="20"/>
  <c r="W518" i="20"/>
  <c r="V394" i="20"/>
  <c r="T394" i="20"/>
  <c r="W528" i="20"/>
  <c r="V276" i="20"/>
  <c r="T276" i="20"/>
  <c r="V321" i="20"/>
  <c r="T321" i="20"/>
  <c r="Y329" i="20"/>
  <c r="Y261" i="20"/>
  <c r="V223" i="20"/>
  <c r="T223" i="20"/>
  <c r="V141" i="20"/>
  <c r="T141" i="20"/>
  <c r="W141" i="20"/>
  <c r="Y313" i="20"/>
  <c r="V95" i="20"/>
  <c r="W95" i="20"/>
  <c r="T95" i="20"/>
  <c r="Y146" i="20"/>
  <c r="T14" i="20"/>
  <c r="W14" i="20"/>
  <c r="U14" i="20"/>
  <c r="W34" i="20"/>
  <c r="U34" i="20"/>
  <c r="T34" i="20"/>
  <c r="Y132" i="20"/>
  <c r="T42" i="20"/>
  <c r="V1005" i="20"/>
  <c r="T1005" i="20"/>
  <c r="W1005" i="20"/>
  <c r="V1136" i="20"/>
  <c r="T1136" i="20"/>
  <c r="Y1227" i="20"/>
  <c r="T1105" i="20"/>
  <c r="V1105" i="20"/>
  <c r="Y1105" i="20" s="1"/>
  <c r="Y1111" i="20"/>
  <c r="V1145" i="20"/>
  <c r="T1145" i="20"/>
  <c r="T1049" i="20"/>
  <c r="W1049" i="20"/>
  <c r="V1049" i="20"/>
  <c r="V1050" i="20"/>
  <c r="T1050" i="20"/>
  <c r="W1025" i="20"/>
  <c r="V1025" i="20"/>
  <c r="T1025" i="20"/>
  <c r="W1045" i="20"/>
  <c r="T1045" i="20"/>
  <c r="V1045" i="20"/>
  <c r="V1065" i="20"/>
  <c r="T1065" i="20"/>
  <c r="T943" i="20"/>
  <c r="V943" i="20"/>
  <c r="T958" i="20"/>
  <c r="W958" i="20"/>
  <c r="V958" i="20"/>
  <c r="W878" i="20"/>
  <c r="V878" i="20"/>
  <c r="T878" i="20"/>
  <c r="Y923" i="20"/>
  <c r="V914" i="20"/>
  <c r="W914" i="20"/>
  <c r="T914" i="20"/>
  <c r="V886" i="20"/>
  <c r="Y886" i="20" s="1"/>
  <c r="T886" i="20"/>
  <c r="V860" i="20"/>
  <c r="Y860" i="20" s="1"/>
  <c r="T860" i="20"/>
  <c r="V799" i="20"/>
  <c r="T799" i="20"/>
  <c r="W898" i="20"/>
  <c r="Y869" i="20"/>
  <c r="T675" i="20"/>
  <c r="V675" i="20"/>
  <c r="Y838" i="20"/>
  <c r="V744" i="20"/>
  <c r="T744" i="20"/>
  <c r="V683" i="20"/>
  <c r="T683" i="20"/>
  <c r="V631" i="20"/>
  <c r="Y631" i="20" s="1"/>
  <c r="T631" i="20"/>
  <c r="W800" i="20"/>
  <c r="V800" i="20"/>
  <c r="T800" i="20"/>
  <c r="V568" i="20"/>
  <c r="T568" i="20"/>
  <c r="Y331" i="20"/>
  <c r="Y327" i="20"/>
  <c r="T318" i="20"/>
  <c r="V318" i="20"/>
  <c r="V493" i="20"/>
  <c r="Y493" i="20" s="1"/>
  <c r="T493" i="20"/>
  <c r="Y326" i="20"/>
  <c r="V388" i="20"/>
  <c r="T388" i="20"/>
  <c r="W271" i="20"/>
  <c r="V271" i="20"/>
  <c r="T271" i="20"/>
  <c r="W263" i="20"/>
  <c r="V263" i="20"/>
  <c r="T263" i="20"/>
  <c r="T185" i="20"/>
  <c r="W185" i="20"/>
  <c r="V185" i="20"/>
  <c r="V213" i="20"/>
  <c r="T213" i="20"/>
  <c r="W213" i="20"/>
  <c r="U64" i="20"/>
  <c r="T12" i="20"/>
  <c r="W12" i="20"/>
  <c r="U12" i="20"/>
  <c r="Y202" i="20"/>
  <c r="V103" i="20"/>
  <c r="T103" i="20"/>
  <c r="W62" i="20"/>
  <c r="U62" i="20"/>
  <c r="T62" i="20"/>
  <c r="U42" i="20"/>
  <c r="Y40" i="20"/>
  <c r="T973" i="20"/>
  <c r="W973" i="20"/>
  <c r="V973" i="20"/>
  <c r="Y973" i="20" s="1"/>
  <c r="W997" i="20"/>
  <c r="V997" i="20"/>
  <c r="T997" i="20"/>
  <c r="BE950" i="20"/>
  <c r="BF950" i="20" s="1"/>
  <c r="BG950" i="20"/>
  <c r="V933" i="20"/>
  <c r="T933" i="20"/>
  <c r="W831" i="20"/>
  <c r="V831" i="20"/>
  <c r="T831" i="20"/>
  <c r="BG898" i="20"/>
  <c r="BE898" i="20"/>
  <c r="BF898" i="20" s="1"/>
  <c r="W835" i="20"/>
  <c r="V835" i="20"/>
  <c r="T835" i="20"/>
  <c r="V905" i="20"/>
  <c r="T905" i="20"/>
  <c r="W905" i="20"/>
  <c r="V839" i="20"/>
  <c r="T839" i="20"/>
  <c r="V719" i="20"/>
  <c r="T719" i="20"/>
  <c r="T705" i="20"/>
  <c r="W705" i="20"/>
  <c r="V705" i="20"/>
  <c r="V732" i="20"/>
  <c r="Y732" i="20" s="1"/>
  <c r="T732" i="20"/>
  <c r="W756" i="20"/>
  <c r="V756" i="20"/>
  <c r="T756" i="20"/>
  <c r="V654" i="20"/>
  <c r="T654" i="20"/>
  <c r="W675" i="20"/>
  <c r="T658" i="20"/>
  <c r="V658" i="20"/>
  <c r="T540" i="20"/>
  <c r="V540" i="20"/>
  <c r="Y540" i="20" s="1"/>
  <c r="T617" i="20"/>
  <c r="V617" i="20"/>
  <c r="T424" i="20"/>
  <c r="W424" i="20"/>
  <c r="V424" i="20"/>
  <c r="W568" i="20"/>
  <c r="T460" i="20"/>
  <c r="V460" i="20"/>
  <c r="T681" i="20"/>
  <c r="W681" i="20"/>
  <c r="V681" i="20"/>
  <c r="Y681" i="20" s="1"/>
  <c r="V564" i="20"/>
  <c r="Y564" i="20" s="1"/>
  <c r="T564" i="20"/>
  <c r="V520" i="20"/>
  <c r="Y520" i="20" s="1"/>
  <c r="T520" i="20"/>
  <c r="V372" i="20"/>
  <c r="Y372" i="20" s="1"/>
  <c r="T372" i="20"/>
  <c r="Y324" i="20"/>
  <c r="V307" i="20"/>
  <c r="Y307" i="20" s="1"/>
  <c r="T307" i="20"/>
  <c r="V548" i="20"/>
  <c r="Y548" i="20" s="1"/>
  <c r="T548" i="20"/>
  <c r="T260" i="20"/>
  <c r="V260" i="20"/>
  <c r="Y260" i="20" s="1"/>
  <c r="T187" i="20"/>
  <c r="V187" i="20"/>
  <c r="Y289" i="20"/>
  <c r="Y277" i="20"/>
  <c r="Y274" i="20"/>
  <c r="V72" i="20"/>
  <c r="U72" i="20"/>
  <c r="T72" i="20"/>
  <c r="W64" i="20"/>
  <c r="Y122" i="20"/>
  <c r="T10" i="20"/>
  <c r="W10" i="20"/>
  <c r="U10" i="20"/>
  <c r="Y126" i="20"/>
  <c r="BG45" i="20"/>
  <c r="BE45" i="20"/>
  <c r="BF45" i="20" s="1"/>
  <c r="V99" i="20"/>
  <c r="W99" i="20"/>
  <c r="T99" i="20"/>
  <c r="W142" i="20"/>
  <c r="W42" i="20"/>
  <c r="V1041" i="20"/>
  <c r="T1041" i="20"/>
  <c r="V950" i="20"/>
  <c r="T950" i="20"/>
  <c r="T982" i="20"/>
  <c r="BG938" i="20"/>
  <c r="BE938" i="20"/>
  <c r="BF938" i="20" s="1"/>
  <c r="V872" i="20"/>
  <c r="T872" i="20"/>
  <c r="T850" i="20"/>
  <c r="W850" i="20"/>
  <c r="V850" i="20"/>
  <c r="V793" i="20"/>
  <c r="T793" i="20"/>
  <c r="T701" i="20"/>
  <c r="W701" i="20"/>
  <c r="V701" i="20"/>
  <c r="T766" i="20"/>
  <c r="V766" i="20"/>
  <c r="T716" i="20"/>
  <c r="V716" i="20"/>
  <c r="V754" i="20"/>
  <c r="Y754" i="20" s="1"/>
  <c r="T754" i="20"/>
  <c r="T788" i="20"/>
  <c r="W788" i="20"/>
  <c r="V788" i="20"/>
  <c r="T652" i="20"/>
  <c r="V652" i="20"/>
  <c r="W652" i="20"/>
  <c r="V613" i="20"/>
  <c r="T613" i="20"/>
  <c r="W461" i="20"/>
  <c r="V461" i="20"/>
  <c r="T461" i="20"/>
  <c r="V456" i="20"/>
  <c r="T456" i="20"/>
  <c r="V364" i="20"/>
  <c r="T364" i="20"/>
  <c r="Y325" i="20"/>
  <c r="T370" i="20"/>
  <c r="W370" i="20"/>
  <c r="V370" i="20"/>
  <c r="V299" i="20"/>
  <c r="T299" i="20"/>
  <c r="T393" i="20"/>
  <c r="W393" i="20"/>
  <c r="V393" i="20"/>
  <c r="T270" i="20"/>
  <c r="V270" i="20"/>
  <c r="T262" i="20"/>
  <c r="V262" i="20"/>
  <c r="V283" i="20"/>
  <c r="Y283" i="20" s="1"/>
  <c r="T283" i="20"/>
  <c r="W214" i="20"/>
  <c r="T214" i="20"/>
  <c r="V214" i="20"/>
  <c r="T256" i="20"/>
  <c r="V256" i="20"/>
  <c r="V181" i="20"/>
  <c r="T181" i="20"/>
  <c r="W181" i="20"/>
  <c r="BE227" i="20"/>
  <c r="BF227" i="20" s="1"/>
  <c r="BG227" i="20"/>
  <c r="Y281" i="20"/>
  <c r="W204" i="20"/>
  <c r="V204" i="20"/>
  <c r="T204" i="20"/>
  <c r="Y144" i="20"/>
  <c r="V98" i="20"/>
  <c r="T98" i="20"/>
  <c r="W98" i="20"/>
  <c r="W55" i="20"/>
  <c r="Y55" i="20" s="1"/>
  <c r="U55" i="20"/>
  <c r="T55" i="20"/>
  <c r="T1036" i="20"/>
  <c r="V1036" i="20"/>
  <c r="T1000" i="20"/>
  <c r="W1000" i="20"/>
  <c r="V1000" i="20"/>
  <c r="W962" i="20"/>
  <c r="V962" i="20"/>
  <c r="T962" i="20"/>
  <c r="W978" i="20"/>
  <c r="V978" i="20"/>
  <c r="T978" i="20"/>
  <c r="BE874" i="20"/>
  <c r="BF874" i="20" s="1"/>
  <c r="BG874" i="20"/>
  <c r="T847" i="20"/>
  <c r="V847" i="20"/>
  <c r="Y847" i="20" s="1"/>
  <c r="V677" i="20"/>
  <c r="W677" i="20"/>
  <c r="T677" i="20"/>
  <c r="T783" i="20"/>
  <c r="V783" i="20"/>
  <c r="Y783" i="20" s="1"/>
  <c r="T697" i="20"/>
  <c r="W697" i="20"/>
  <c r="V697" i="20"/>
  <c r="V747" i="20"/>
  <c r="Y747" i="20" s="1"/>
  <c r="T747" i="20"/>
  <c r="V592" i="20"/>
  <c r="Y592" i="20" s="1"/>
  <c r="T592" i="20"/>
  <c r="W748" i="20"/>
  <c r="V748" i="20"/>
  <c r="T748" i="20"/>
  <c r="V580" i="20"/>
  <c r="T580" i="20"/>
  <c r="V640" i="20"/>
  <c r="Y640" i="20" s="1"/>
  <c r="T640" i="20"/>
  <c r="V604" i="20"/>
  <c r="T604" i="20"/>
  <c r="T408" i="20"/>
  <c r="W408" i="20"/>
  <c r="V408" i="20"/>
  <c r="Y469" i="20"/>
  <c r="Y322" i="20"/>
  <c r="V459" i="20"/>
  <c r="T459" i="20"/>
  <c r="W459" i="20"/>
  <c r="V291" i="20"/>
  <c r="Y291" i="20" s="1"/>
  <c r="T291" i="20"/>
  <c r="Y309" i="20"/>
  <c r="Y362" i="20"/>
  <c r="T174" i="20"/>
  <c r="W174" i="20"/>
  <c r="V174" i="20"/>
  <c r="T253" i="20"/>
  <c r="W233" i="20"/>
  <c r="Y233" i="20" s="1"/>
  <c r="V200" i="20"/>
  <c r="Y200" i="20" s="1"/>
  <c r="T200" i="20"/>
  <c r="V138" i="20"/>
  <c r="Y138" i="20" s="1"/>
  <c r="T138" i="20"/>
  <c r="U61" i="20"/>
  <c r="W61" i="20"/>
  <c r="T61" i="20"/>
  <c r="U50" i="20"/>
  <c r="T50" i="20"/>
  <c r="W50" i="20"/>
  <c r="U67" i="20"/>
  <c r="W67" i="20"/>
  <c r="T67" i="20"/>
  <c r="T166" i="20"/>
  <c r="U63" i="20"/>
  <c r="Y63" i="20" s="1"/>
  <c r="W63" i="20"/>
  <c r="T63" i="20"/>
  <c r="W25" i="20"/>
  <c r="U25" i="20"/>
  <c r="T25" i="20"/>
  <c r="Y90" i="20"/>
  <c r="T73" i="20"/>
  <c r="V73" i="20"/>
  <c r="U73" i="20"/>
  <c r="V1126" i="20"/>
  <c r="T1126" i="20"/>
  <c r="W1126" i="20"/>
  <c r="W1195" i="20"/>
  <c r="V1195" i="20"/>
  <c r="T1195" i="20"/>
  <c r="W1149" i="20"/>
  <c r="V1149" i="20"/>
  <c r="T1149" i="20"/>
  <c r="W1023" i="20"/>
  <c r="V1023" i="20"/>
  <c r="T1023" i="20"/>
  <c r="Y992" i="20"/>
  <c r="V867" i="20"/>
  <c r="Y867" i="20" s="1"/>
  <c r="T867" i="20"/>
  <c r="V929" i="20"/>
  <c r="W929" i="20"/>
  <c r="T929" i="20"/>
  <c r="V861" i="20"/>
  <c r="Y861" i="20" s="1"/>
  <c r="T861" i="20"/>
  <c r="T870" i="20"/>
  <c r="W870" i="20"/>
  <c r="V870" i="20"/>
  <c r="Y870" i="20" s="1"/>
  <c r="T780" i="20"/>
  <c r="V780" i="20"/>
  <c r="T693" i="20"/>
  <c r="W693" i="20"/>
  <c r="V693" i="20"/>
  <c r="V762" i="20"/>
  <c r="Y762" i="20" s="1"/>
  <c r="T762" i="20"/>
  <c r="T782" i="20"/>
  <c r="W782" i="20"/>
  <c r="V782" i="20"/>
  <c r="W824" i="20"/>
  <c r="T824" i="20"/>
  <c r="V824" i="20"/>
  <c r="V679" i="20"/>
  <c r="Y679" i="20" s="1"/>
  <c r="T679" i="20"/>
  <c r="W780" i="20"/>
  <c r="V646" i="20"/>
  <c r="T646" i="20"/>
  <c r="T638" i="20"/>
  <c r="V638" i="20"/>
  <c r="T601" i="20"/>
  <c r="V601" i="20"/>
  <c r="Y462" i="20"/>
  <c r="Y454" i="20"/>
  <c r="V447" i="20"/>
  <c r="T447" i="20"/>
  <c r="T499" i="20"/>
  <c r="V499" i="20"/>
  <c r="Y499" i="20" s="1"/>
  <c r="V470" i="20"/>
  <c r="T470" i="20"/>
  <c r="W470" i="20"/>
  <c r="V341" i="20"/>
  <c r="T341" i="20"/>
  <c r="W341" i="20"/>
  <c r="V279" i="20"/>
  <c r="T279" i="20"/>
  <c r="V407" i="20"/>
  <c r="T407" i="20"/>
  <c r="W269" i="20"/>
  <c r="V269" i="20"/>
  <c r="T269" i="20"/>
  <c r="T197" i="20"/>
  <c r="W197" i="20"/>
  <c r="V197" i="20"/>
  <c r="V167" i="20"/>
  <c r="T167" i="20"/>
  <c r="W167" i="20"/>
  <c r="Y253" i="20"/>
  <c r="V230" i="20"/>
  <c r="W230" i="20"/>
  <c r="T230" i="20"/>
  <c r="V278" i="20"/>
  <c r="Y278" i="20" s="1"/>
  <c r="T278" i="20"/>
  <c r="Y166" i="20"/>
  <c r="W22" i="20"/>
  <c r="U22" i="20"/>
  <c r="T22" i="20"/>
  <c r="W57" i="20"/>
  <c r="U57" i="20"/>
  <c r="T57" i="20"/>
  <c r="U20" i="20"/>
  <c r="T1104" i="20"/>
  <c r="V1104" i="20"/>
  <c r="W1031" i="20"/>
  <c r="V1031" i="20"/>
  <c r="T1031" i="20"/>
  <c r="Y1044" i="20"/>
  <c r="Y1225" i="20"/>
  <c r="T1184" i="20"/>
  <c r="W1184" i="20"/>
  <c r="V1184" i="20"/>
  <c r="T1143" i="20"/>
  <c r="V1143" i="20"/>
  <c r="Y1143" i="20" s="1"/>
  <c r="T1099" i="20"/>
  <c r="V1099" i="20"/>
  <c r="Y1099" i="20" s="1"/>
  <c r="T1101" i="20"/>
  <c r="V1101" i="20"/>
  <c r="Y1101" i="20" s="1"/>
  <c r="T1057" i="20"/>
  <c r="V1057" i="20"/>
  <c r="Y1057" i="20" s="1"/>
  <c r="V994" i="20"/>
  <c r="W994" i="20"/>
  <c r="T994" i="20"/>
  <c r="W968" i="20"/>
  <c r="T968" i="20"/>
  <c r="V968" i="20"/>
  <c r="Y1019" i="20"/>
  <c r="W1041" i="20"/>
  <c r="Y1024" i="20"/>
  <c r="V966" i="20"/>
  <c r="T966" i="20"/>
  <c r="W966" i="20"/>
  <c r="W872" i="20"/>
  <c r="W948" i="20"/>
  <c r="V922" i="20"/>
  <c r="T922" i="20"/>
  <c r="W922" i="20"/>
  <c r="V889" i="20"/>
  <c r="W889" i="20"/>
  <c r="T889" i="20"/>
  <c r="W841" i="20"/>
  <c r="V841" i="20"/>
  <c r="T841" i="20"/>
  <c r="Y949" i="20"/>
  <c r="V670" i="20"/>
  <c r="Y670" i="20" s="1"/>
  <c r="T670" i="20"/>
  <c r="W766" i="20"/>
  <c r="W793" i="20"/>
  <c r="W778" i="20"/>
  <c r="Y778" i="20" s="1"/>
  <c r="W757" i="20"/>
  <c r="V757" i="20"/>
  <c r="T757" i="20"/>
  <c r="Y817" i="20"/>
  <c r="W719" i="20"/>
  <c r="Y749" i="20"/>
  <c r="T649" i="20"/>
  <c r="V649" i="20"/>
  <c r="T643" i="20"/>
  <c r="V643" i="20"/>
  <c r="Y643" i="20" s="1"/>
  <c r="T899" i="20"/>
  <c r="W899" i="20"/>
  <c r="V899" i="20"/>
  <c r="Y684" i="20"/>
  <c r="T446" i="20"/>
  <c r="V446" i="20"/>
  <c r="W460" i="20"/>
  <c r="W445" i="20"/>
  <c r="V445" i="20"/>
  <c r="T445" i="20"/>
  <c r="T439" i="20"/>
  <c r="W439" i="20"/>
  <c r="V439" i="20"/>
  <c r="W658" i="20"/>
  <c r="V556" i="20"/>
  <c r="T556" i="20"/>
  <c r="V311" i="20"/>
  <c r="T311" i="20"/>
  <c r="W311" i="20"/>
  <c r="W276" i="20"/>
  <c r="Y308" i="20"/>
  <c r="T449" i="20"/>
  <c r="W449" i="20"/>
  <c r="V449" i="20"/>
  <c r="T350" i="20"/>
  <c r="V350" i="20"/>
  <c r="Y350" i="20" s="1"/>
  <c r="V423" i="20"/>
  <c r="Y423" i="20" s="1"/>
  <c r="T423" i="20"/>
  <c r="Y301" i="20"/>
  <c r="Y284" i="20"/>
  <c r="W140" i="20"/>
  <c r="V140" i="20"/>
  <c r="T140" i="20"/>
  <c r="V238" i="20"/>
  <c r="T238" i="20"/>
  <c r="Y259" i="20"/>
  <c r="Y430" i="20"/>
  <c r="V164" i="20"/>
  <c r="T164" i="20"/>
  <c r="W164" i="20"/>
  <c r="Y255" i="20"/>
  <c r="Y192" i="20"/>
  <c r="Y355" i="20"/>
  <c r="Y398" i="20"/>
  <c r="BG224" i="20"/>
  <c r="BE224" i="20"/>
  <c r="BF224" i="20" s="1"/>
  <c r="W48" i="20"/>
  <c r="Y48" i="20" s="1"/>
  <c r="U48" i="20"/>
  <c r="T48" i="20"/>
  <c r="W39" i="20"/>
  <c r="U39" i="20"/>
  <c r="T39" i="20"/>
  <c r="W45" i="20"/>
  <c r="U45" i="20"/>
  <c r="T45" i="20"/>
  <c r="Y106" i="20"/>
  <c r="Y85" i="20"/>
  <c r="V57" i="20"/>
  <c r="W20" i="20"/>
  <c r="T1102" i="20"/>
  <c r="W1102" i="20"/>
  <c r="V1102" i="20"/>
  <c r="W1096" i="20"/>
  <c r="V1096" i="20"/>
  <c r="T1096" i="20"/>
  <c r="Y1107" i="20"/>
  <c r="T953" i="20"/>
  <c r="W953" i="20"/>
  <c r="V953" i="20"/>
  <c r="V1016" i="20"/>
  <c r="W1016" i="20"/>
  <c r="T1016" i="20"/>
  <c r="W1021" i="20"/>
  <c r="V1021" i="20"/>
  <c r="T1021" i="20"/>
  <c r="W1036" i="20"/>
  <c r="BE906" i="20"/>
  <c r="BF906" i="20" s="1"/>
  <c r="BG906" i="20"/>
  <c r="T952" i="20"/>
  <c r="W952" i="20"/>
  <c r="V952" i="20"/>
  <c r="BG957" i="20"/>
  <c r="BE957" i="20"/>
  <c r="BF957" i="20" s="1"/>
  <c r="V851" i="20"/>
  <c r="Y851" i="20" s="1"/>
  <c r="T851" i="20"/>
  <c r="BG821" i="20"/>
  <c r="BE821" i="20"/>
  <c r="BF821" i="20" s="1"/>
  <c r="W839" i="20"/>
  <c r="T770" i="20"/>
  <c r="W770" i="20"/>
  <c r="V770" i="20"/>
  <c r="T801" i="20"/>
  <c r="V801" i="20"/>
  <c r="Y801" i="20" s="1"/>
  <c r="V650" i="20"/>
  <c r="T650" i="20"/>
  <c r="W650" i="20"/>
  <c r="W740" i="20"/>
  <c r="V740" i="20"/>
  <c r="T740" i="20"/>
  <c r="W612" i="20"/>
  <c r="V612" i="20"/>
  <c r="T612" i="20"/>
  <c r="V616" i="20"/>
  <c r="Y616" i="20" s="1"/>
  <c r="T616" i="20"/>
  <c r="W577" i="20"/>
  <c r="V577" i="20"/>
  <c r="T577" i="20"/>
  <c r="T657" i="20"/>
  <c r="V657" i="20"/>
  <c r="Y657" i="20" s="1"/>
  <c r="V512" i="20"/>
  <c r="T512" i="20"/>
  <c r="W512" i="20"/>
  <c r="T511" i="20"/>
  <c r="V511" i="20"/>
  <c r="V441" i="20"/>
  <c r="Y441" i="20" s="1"/>
  <c r="T441" i="20"/>
  <c r="W649" i="20"/>
  <c r="V303" i="20"/>
  <c r="T303" i="20"/>
  <c r="W303" i="20"/>
  <c r="V343" i="20"/>
  <c r="T343" i="20"/>
  <c r="W343" i="20"/>
  <c r="T268" i="20"/>
  <c r="V268" i="20"/>
  <c r="W104" i="20"/>
  <c r="T104" i="20"/>
  <c r="V104" i="20"/>
  <c r="V161" i="20"/>
  <c r="T161" i="20"/>
  <c r="W161" i="20"/>
  <c r="T252" i="20"/>
  <c r="V252" i="20"/>
  <c r="Y252" i="20" s="1"/>
  <c r="BG228" i="20"/>
  <c r="BE228" i="20"/>
  <c r="BF228" i="20" s="1"/>
  <c r="W321" i="20"/>
  <c r="W30" i="20"/>
  <c r="U30" i="20"/>
  <c r="T30" i="20"/>
  <c r="T52" i="20"/>
  <c r="U52" i="20"/>
  <c r="W52" i="20"/>
  <c r="T106" i="20"/>
  <c r="W28" i="20"/>
  <c r="U28" i="20"/>
  <c r="T28" i="20"/>
  <c r="T212" i="20"/>
  <c r="Y68" i="20"/>
  <c r="T20" i="20"/>
  <c r="V1193" i="20"/>
  <c r="Y1193" i="20" s="1"/>
  <c r="T1193" i="20"/>
  <c r="V1154" i="20"/>
  <c r="Y1154" i="20" s="1"/>
  <c r="T1154" i="20"/>
  <c r="W1189" i="20"/>
  <c r="V1189" i="20"/>
  <c r="Y1189" i="20" s="1"/>
  <c r="T1189" i="20"/>
  <c r="W1222" i="20"/>
  <c r="V1222" i="20"/>
  <c r="T1222" i="20"/>
  <c r="T1122" i="20"/>
  <c r="V1122" i="20"/>
  <c r="Y1173" i="20"/>
  <c r="W1104" i="20"/>
  <c r="BG999" i="20"/>
  <c r="BE999" i="20"/>
  <c r="BF999" i="20" s="1"/>
  <c r="V1006" i="20"/>
  <c r="T1006" i="20"/>
  <c r="V1009" i="20"/>
  <c r="Y1009" i="20" s="1"/>
  <c r="T1009" i="20"/>
  <c r="BG899" i="20"/>
  <c r="BE899" i="20"/>
  <c r="BF899" i="20" s="1"/>
  <c r="Y947" i="20"/>
  <c r="W933" i="20"/>
  <c r="V959" i="20"/>
  <c r="W959" i="20"/>
  <c r="T959" i="20"/>
  <c r="W943" i="20"/>
  <c r="V819" i="20"/>
  <c r="T819" i="20"/>
  <c r="W819" i="20"/>
  <c r="T765" i="20"/>
  <c r="V765" i="20"/>
  <c r="Y765" i="20" s="1"/>
  <c r="T917" i="20"/>
  <c r="W917" i="20"/>
  <c r="V917" i="20"/>
  <c r="V746" i="20"/>
  <c r="T746" i="20"/>
  <c r="T777" i="20"/>
  <c r="Y903" i="20"/>
  <c r="V808" i="20"/>
  <c r="T808" i="20"/>
  <c r="V866" i="20"/>
  <c r="Y866" i="20" s="1"/>
  <c r="T866" i="20"/>
  <c r="Y692" i="20"/>
  <c r="T647" i="20"/>
  <c r="V647" i="20"/>
  <c r="T731" i="20"/>
  <c r="V627" i="20"/>
  <c r="Y627" i="20" s="1"/>
  <c r="T627" i="20"/>
  <c r="W456" i="20"/>
  <c r="W638" i="20"/>
  <c r="T645" i="20"/>
  <c r="V645" i="20"/>
  <c r="W645" i="20"/>
  <c r="T452" i="20"/>
  <c r="V452" i="20"/>
  <c r="Y452" i="20" s="1"/>
  <c r="W447" i="20"/>
  <c r="T436" i="20"/>
  <c r="V436" i="20"/>
  <c r="V295" i="20"/>
  <c r="T295" i="20"/>
  <c r="W295" i="20"/>
  <c r="Y368" i="20"/>
  <c r="T310" i="20"/>
  <c r="V310" i="20"/>
  <c r="W310" i="20"/>
  <c r="Y443" i="20"/>
  <c r="Y405" i="20"/>
  <c r="T258" i="20"/>
  <c r="V258" i="20"/>
  <c r="Y258" i="20" s="1"/>
  <c r="V194" i="20"/>
  <c r="Y194" i="20" s="1"/>
  <c r="T194" i="20"/>
  <c r="V156" i="20"/>
  <c r="T156" i="20"/>
  <c r="W156" i="20"/>
  <c r="T254" i="20"/>
  <c r="V254" i="20"/>
  <c r="Y254" i="20" s="1"/>
  <c r="Y177" i="20"/>
  <c r="W196" i="20"/>
  <c r="V196" i="20"/>
  <c r="T196" i="20"/>
  <c r="Y320" i="20"/>
  <c r="W223" i="20"/>
  <c r="T176" i="20"/>
  <c r="W36" i="20"/>
  <c r="U36" i="20"/>
  <c r="T36" i="20"/>
  <c r="Y152" i="20"/>
  <c r="BG43" i="20"/>
  <c r="BE43" i="20"/>
  <c r="BF43" i="20" s="1"/>
  <c r="Y74" i="20"/>
  <c r="W5" i="20"/>
  <c r="U5" i="20"/>
  <c r="T5" i="20"/>
  <c r="Y212" i="20"/>
  <c r="BE57" i="20"/>
  <c r="BF57" i="20" s="1"/>
  <c r="BG57" i="20"/>
  <c r="T96" i="20"/>
  <c r="V96" i="20"/>
  <c r="Y96" i="20" s="1"/>
  <c r="T64" i="20"/>
  <c r="T1135" i="20"/>
  <c r="V1135" i="20"/>
  <c r="Y1166" i="20"/>
  <c r="W1011" i="20"/>
  <c r="V1011" i="20"/>
  <c r="T1011" i="20"/>
  <c r="V1003" i="20"/>
  <c r="Y1003" i="20" s="1"/>
  <c r="T1003" i="20"/>
  <c r="BG954" i="20"/>
  <c r="BE954" i="20"/>
  <c r="BF954" i="20" s="1"/>
  <c r="W950" i="20"/>
  <c r="T942" i="20"/>
  <c r="W942" i="20"/>
  <c r="V942" i="20"/>
  <c r="V882" i="20"/>
  <c r="W882" i="20"/>
  <c r="T882" i="20"/>
  <c r="V814" i="20"/>
  <c r="Y814" i="20" s="1"/>
  <c r="T814" i="20"/>
  <c r="V852" i="20"/>
  <c r="Y852" i="20" s="1"/>
  <c r="T852" i="20"/>
  <c r="W733" i="20"/>
  <c r="Y733" i="20" s="1"/>
  <c r="T733" i="20"/>
  <c r="T758" i="20"/>
  <c r="V758" i="20"/>
  <c r="Y758" i="20" s="1"/>
  <c r="V707" i="20"/>
  <c r="Y707" i="20" s="1"/>
  <c r="T707" i="20"/>
  <c r="T792" i="20"/>
  <c r="V792" i="20"/>
  <c r="Y792" i="20" s="1"/>
  <c r="W707" i="20"/>
  <c r="W601" i="20"/>
  <c r="V621" i="20"/>
  <c r="Y621" i="20" s="1"/>
  <c r="T621" i="20"/>
  <c r="W613" i="20"/>
  <c r="V561" i="20"/>
  <c r="Y561" i="20" s="1"/>
  <c r="T561" i="20"/>
  <c r="V422" i="20"/>
  <c r="T422" i="20"/>
  <c r="T302" i="20"/>
  <c r="V302" i="20"/>
  <c r="W302" i="20"/>
  <c r="W407" i="20"/>
  <c r="W270" i="20"/>
  <c r="W267" i="20"/>
  <c r="V267" i="20"/>
  <c r="T267" i="20"/>
  <c r="W234" i="20"/>
  <c r="T234" i="20"/>
  <c r="V234" i="20"/>
  <c r="V392" i="20"/>
  <c r="Y392" i="20" s="1"/>
  <c r="T392" i="20"/>
  <c r="Y251" i="20"/>
  <c r="V168" i="20"/>
  <c r="Y168" i="20" s="1"/>
  <c r="T168" i="20"/>
  <c r="Y243" i="20"/>
  <c r="W333" i="20"/>
  <c r="V287" i="20"/>
  <c r="T287" i="20"/>
  <c r="W287" i="20"/>
  <c r="BG147" i="20"/>
  <c r="BE147" i="20"/>
  <c r="BF147" i="20" s="1"/>
  <c r="Y10" i="20"/>
  <c r="Y86" i="20"/>
  <c r="W31" i="20"/>
  <c r="T31" i="20"/>
  <c r="U31" i="20"/>
  <c r="W103" i="20"/>
  <c r="Y3" i="20"/>
  <c r="T1124" i="20"/>
  <c r="V1124" i="20"/>
  <c r="Y1124" i="20" s="1"/>
  <c r="Y1212" i="20"/>
  <c r="W1185" i="20"/>
  <c r="V1185" i="20"/>
  <c r="T1185" i="20"/>
  <c r="Y1119" i="20"/>
  <c r="T1078" i="20"/>
  <c r="W1078" i="20"/>
  <c r="V1078" i="20"/>
  <c r="T1071" i="20"/>
  <c r="V1071" i="20"/>
  <c r="Y1071" i="20" s="1"/>
  <c r="V1228" i="20"/>
  <c r="Y1228" i="20" s="1"/>
  <c r="T1228" i="20"/>
  <c r="T1178" i="20"/>
  <c r="W1178" i="20"/>
  <c r="V1178" i="20"/>
  <c r="W1163" i="20"/>
  <c r="V1163" i="20"/>
  <c r="T1163" i="20"/>
  <c r="T1079" i="20"/>
  <c r="W1079" i="20"/>
  <c r="V1079" i="20"/>
  <c r="V1052" i="20"/>
  <c r="T1052" i="20"/>
  <c r="W1052" i="20"/>
  <c r="W1006" i="20"/>
  <c r="Y1097" i="20"/>
  <c r="Y996" i="20"/>
  <c r="V951" i="20"/>
  <c r="T951" i="20"/>
  <c r="W951" i="20"/>
  <c r="Y1001" i="20"/>
  <c r="W1007" i="20"/>
  <c r="V1007" i="20"/>
  <c r="T1007" i="20"/>
  <c r="T927" i="20"/>
  <c r="W927" i="20"/>
  <c r="V927" i="20"/>
  <c r="V840" i="20"/>
  <c r="Y840" i="20" s="1"/>
  <c r="T840" i="20"/>
  <c r="T871" i="20"/>
  <c r="V871" i="20"/>
  <c r="Y935" i="20"/>
  <c r="W893" i="20"/>
  <c r="Y893" i="20" s="1"/>
  <c r="V813" i="20"/>
  <c r="T813" i="20"/>
  <c r="W813" i="20"/>
  <c r="Y834" i="20"/>
  <c r="W728" i="20"/>
  <c r="V728" i="20"/>
  <c r="T728" i="20"/>
  <c r="Y826" i="20"/>
  <c r="W716" i="20"/>
  <c r="T727" i="20"/>
  <c r="V727" i="20"/>
  <c r="Y727" i="20" s="1"/>
  <c r="T798" i="20"/>
  <c r="W798" i="20"/>
  <c r="V798" i="20"/>
  <c r="V703" i="20"/>
  <c r="T703" i="20"/>
  <c r="Y804" i="20"/>
  <c r="T689" i="20"/>
  <c r="W689" i="20"/>
  <c r="V689" i="20"/>
  <c r="Y709" i="20"/>
  <c r="W683" i="20"/>
  <c r="W617" i="20"/>
  <c r="V620" i="20"/>
  <c r="T620" i="20"/>
  <c r="Y773" i="20"/>
  <c r="W604" i="20"/>
  <c r="V549" i="20"/>
  <c r="Y549" i="20" s="1"/>
  <c r="T549" i="20"/>
  <c r="W615" i="20"/>
  <c r="V615" i="20"/>
  <c r="T615" i="20"/>
  <c r="Y523" i="20"/>
  <c r="Y575" i="20"/>
  <c r="V425" i="20"/>
  <c r="Y425" i="20" s="1"/>
  <c r="T425" i="20"/>
  <c r="W556" i="20"/>
  <c r="Y544" i="20"/>
  <c r="T391" i="20"/>
  <c r="V391" i="20"/>
  <c r="Y391" i="20" s="1"/>
  <c r="Y387" i="20"/>
  <c r="Y292" i="20"/>
  <c r="T294" i="20"/>
  <c r="V294" i="20"/>
  <c r="W294" i="20"/>
  <c r="Y438" i="20"/>
  <c r="Y312" i="20"/>
  <c r="W268" i="20"/>
  <c r="Y285" i="20"/>
  <c r="T250" i="20"/>
  <c r="V250" i="20"/>
  <c r="Y250" i="20" s="1"/>
  <c r="V165" i="20"/>
  <c r="Y165" i="20" s="1"/>
  <c r="T165" i="20"/>
  <c r="W279" i="20"/>
  <c r="W299" i="20"/>
  <c r="Y124" i="20"/>
  <c r="W32" i="20"/>
  <c r="U32" i="20"/>
  <c r="T32" i="20"/>
  <c r="T170" i="20"/>
  <c r="Y75" i="20"/>
  <c r="Y59" i="20"/>
  <c r="V1138" i="20"/>
  <c r="T1138" i="20"/>
  <c r="Y1110" i="20"/>
  <c r="T1179" i="20"/>
  <c r="V1179" i="20"/>
  <c r="Y1179" i="20" s="1"/>
  <c r="T1128" i="20"/>
  <c r="V1128" i="20"/>
  <c r="T1064" i="20"/>
  <c r="W1064" i="20"/>
  <c r="V1064" i="20"/>
  <c r="T1098" i="20"/>
  <c r="W1098" i="20"/>
  <c r="V1098" i="20"/>
  <c r="W985" i="20"/>
  <c r="V985" i="20"/>
  <c r="T985" i="20"/>
  <c r="T995" i="20"/>
  <c r="V995" i="20"/>
  <c r="W981" i="20"/>
  <c r="T884" i="20"/>
  <c r="W884" i="20"/>
  <c r="V884" i="20"/>
  <c r="W837" i="20"/>
  <c r="V837" i="20"/>
  <c r="T837" i="20"/>
  <c r="T810" i="20"/>
  <c r="V810" i="20"/>
  <c r="Y810" i="20" s="1"/>
  <c r="BE925" i="20"/>
  <c r="BF925" i="20" s="1"/>
  <c r="BG925" i="20"/>
  <c r="BG820" i="20"/>
  <c r="BE820" i="20"/>
  <c r="BF820" i="20" s="1"/>
  <c r="V752" i="20"/>
  <c r="Y752" i="20" s="1"/>
  <c r="T752" i="20"/>
  <c r="V668" i="20"/>
  <c r="T668" i="20"/>
  <c r="W668" i="20"/>
  <c r="T796" i="20"/>
  <c r="V796" i="20"/>
  <c r="V699" i="20"/>
  <c r="Y699" i="20" s="1"/>
  <c r="T699" i="20"/>
  <c r="T594" i="20"/>
  <c r="V594" i="20"/>
  <c r="Y594" i="20" s="1"/>
  <c r="V629" i="20"/>
  <c r="Y629" i="20" s="1"/>
  <c r="T629" i="20"/>
  <c r="W636" i="20"/>
  <c r="V546" i="20"/>
  <c r="Y546" i="20" s="1"/>
  <c r="T546" i="20"/>
  <c r="W422" i="20"/>
  <c r="Y626" i="20"/>
  <c r="W647" i="20"/>
  <c r="W436" i="20"/>
  <c r="Y489" i="20"/>
  <c r="T382" i="20"/>
  <c r="W382" i="20"/>
  <c r="V382" i="20"/>
  <c r="T286" i="20"/>
  <c r="V286" i="20"/>
  <c r="W286" i="20"/>
  <c r="T386" i="20"/>
  <c r="W386" i="20"/>
  <c r="V386" i="20"/>
  <c r="W376" i="20"/>
  <c r="Y305" i="20"/>
  <c r="T266" i="20"/>
  <c r="V266" i="20"/>
  <c r="Y266" i="20" s="1"/>
  <c r="V236" i="20"/>
  <c r="Y236" i="20" s="1"/>
  <c r="T236" i="20"/>
  <c r="T218" i="20"/>
  <c r="W218" i="20"/>
  <c r="V218" i="20"/>
  <c r="V216" i="20"/>
  <c r="Y216" i="20" s="1"/>
  <c r="T216" i="20"/>
  <c r="V148" i="20"/>
  <c r="T148" i="20"/>
  <c r="W148" i="20"/>
  <c r="Y246" i="20"/>
  <c r="V158" i="20"/>
  <c r="Y158" i="20" s="1"/>
  <c r="T158" i="20"/>
  <c r="Y170" i="20"/>
  <c r="Y100" i="20"/>
  <c r="W15" i="20"/>
  <c r="U15" i="20"/>
  <c r="T15" i="20"/>
  <c r="T163" i="20"/>
  <c r="W41" i="20"/>
  <c r="U41" i="20"/>
  <c r="T41" i="20"/>
  <c r="T1167" i="20"/>
  <c r="V1167" i="20"/>
  <c r="Y1167" i="20" s="1"/>
  <c r="W1229" i="20"/>
  <c r="V1229" i="20"/>
  <c r="T1229" i="20"/>
  <c r="T1114" i="20"/>
  <c r="W1114" i="20"/>
  <c r="V1114" i="20"/>
  <c r="W1157" i="20"/>
  <c r="V1157" i="20"/>
  <c r="T1157" i="20"/>
  <c r="W1141" i="20"/>
  <c r="V1141" i="20"/>
  <c r="T1141" i="20"/>
  <c r="W1136" i="20"/>
  <c r="W1148" i="20"/>
  <c r="V1148" i="20"/>
  <c r="T1148" i="20"/>
  <c r="W1039" i="20"/>
  <c r="V1039" i="20"/>
  <c r="T1039" i="20"/>
  <c r="Y1027" i="20"/>
  <c r="W995" i="20"/>
  <c r="W1050" i="20"/>
  <c r="T967" i="20"/>
  <c r="W967" i="20"/>
  <c r="V967" i="20"/>
  <c r="V965" i="20"/>
  <c r="Y965" i="20" s="1"/>
  <c r="T965" i="20"/>
  <c r="Y1087" i="20"/>
  <c r="W1077" i="20"/>
  <c r="Y1077" i="20" s="1"/>
  <c r="V937" i="20"/>
  <c r="T937" i="20"/>
  <c r="W937" i="20"/>
  <c r="W979" i="20"/>
  <c r="V979" i="20"/>
  <c r="T979" i="20"/>
  <c r="T876" i="20"/>
  <c r="W876" i="20"/>
  <c r="V876" i="20"/>
  <c r="V908" i="20"/>
  <c r="Y908" i="20" s="1"/>
  <c r="T908" i="20"/>
  <c r="W746" i="20"/>
  <c r="Y825" i="20"/>
  <c r="Y862" i="20"/>
  <c r="V695" i="20"/>
  <c r="T695" i="20"/>
  <c r="W695" i="20"/>
  <c r="T598" i="20"/>
  <c r="V598" i="20"/>
  <c r="Y598" i="20" s="1"/>
  <c r="V618" i="20"/>
  <c r="Y618" i="20" s="1"/>
  <c r="T618" i="20"/>
  <c r="Y706" i="20"/>
  <c r="V625" i="20"/>
  <c r="Y625" i="20" s="1"/>
  <c r="T625" i="20"/>
  <c r="W511" i="20"/>
  <c r="V496" i="20"/>
  <c r="Y496" i="20" s="1"/>
  <c r="T496" i="20"/>
  <c r="V409" i="20"/>
  <c r="Y409" i="20" s="1"/>
  <c r="T409" i="20"/>
  <c r="Y545" i="20"/>
  <c r="V648" i="20"/>
  <c r="T648" i="20"/>
  <c r="W648" i="20"/>
  <c r="W623" i="20"/>
  <c r="V623" i="20"/>
  <c r="T623" i="20"/>
  <c r="Y542" i="20"/>
  <c r="W646" i="20"/>
  <c r="T465" i="20"/>
  <c r="V465" i="20"/>
  <c r="Y465" i="20" s="1"/>
  <c r="W388" i="20"/>
  <c r="Y479" i="20"/>
  <c r="T354" i="20"/>
  <c r="W364" i="20"/>
  <c r="Y346" i="20"/>
  <c r="Y328" i="20"/>
  <c r="W240" i="20"/>
  <c r="V240" i="20"/>
  <c r="T240" i="20"/>
  <c r="V244" i="20"/>
  <c r="Y244" i="20" s="1"/>
  <c r="T244" i="20"/>
  <c r="Y349" i="20"/>
  <c r="Y249" i="20"/>
  <c r="T154" i="20"/>
  <c r="T27" i="20"/>
  <c r="W27" i="20"/>
  <c r="U27" i="20"/>
  <c r="W13" i="20"/>
  <c r="U13" i="20"/>
  <c r="T13" i="20"/>
  <c r="Y163" i="20"/>
  <c r="W24" i="20"/>
  <c r="Y6" i="20"/>
  <c r="V1180" i="20"/>
  <c r="Y1180" i="20" s="1"/>
  <c r="T1180" i="20"/>
  <c r="V1186" i="20"/>
  <c r="T1186" i="20"/>
  <c r="Y1211" i="20"/>
  <c r="V1214" i="20"/>
  <c r="Y1214" i="20" s="1"/>
  <c r="T1214" i="20"/>
  <c r="V1059" i="20"/>
  <c r="W1059" i="20"/>
  <c r="T1059" i="20"/>
  <c r="V1196" i="20"/>
  <c r="Y1196" i="20" s="1"/>
  <c r="T1196" i="20"/>
  <c r="T1160" i="20"/>
  <c r="V1160" i="20"/>
  <c r="Y1160" i="20" s="1"/>
  <c r="W1138" i="20"/>
  <c r="Y1210" i="20"/>
  <c r="W1135" i="20"/>
  <c r="Y1219" i="20"/>
  <c r="T1086" i="20"/>
  <c r="V1086" i="20"/>
  <c r="Y1086" i="20" s="1"/>
  <c r="W1121" i="20"/>
  <c r="T1095" i="20"/>
  <c r="V1095" i="20"/>
  <c r="Y1095" i="20" s="1"/>
  <c r="T1038" i="20"/>
  <c r="W1038" i="20"/>
  <c r="V1038" i="20"/>
  <c r="V1048" i="20"/>
  <c r="W1048" i="20"/>
  <c r="T1048" i="20"/>
  <c r="T1055" i="20"/>
  <c r="W1055" i="20"/>
  <c r="V1055" i="20"/>
  <c r="V987" i="20"/>
  <c r="Y987" i="20" s="1"/>
  <c r="T987" i="20"/>
  <c r="V989" i="20"/>
  <c r="Y989" i="20" s="1"/>
  <c r="T989" i="20"/>
  <c r="T936" i="20"/>
  <c r="V936" i="20"/>
  <c r="Y936" i="20" s="1"/>
  <c r="Y1017" i="20"/>
  <c r="V818" i="20"/>
  <c r="W818" i="20"/>
  <c r="T818" i="20"/>
  <c r="T875" i="20"/>
  <c r="W875" i="20"/>
  <c r="V875" i="20"/>
  <c r="BG890" i="20"/>
  <c r="BE890" i="20"/>
  <c r="BF890" i="20" s="1"/>
  <c r="W900" i="20"/>
  <c r="T743" i="20"/>
  <c r="V743" i="20"/>
  <c r="Y743" i="20" s="1"/>
  <c r="W710" i="20"/>
  <c r="W796" i="20"/>
  <c r="V691" i="20"/>
  <c r="Y691" i="20" s="1"/>
  <c r="T691" i="20"/>
  <c r="V751" i="20"/>
  <c r="Y751" i="20" s="1"/>
  <c r="T751" i="20"/>
  <c r="T661" i="20"/>
  <c r="W580" i="20"/>
  <c r="V687" i="20"/>
  <c r="Y687" i="20" s="1"/>
  <c r="T687" i="20"/>
  <c r="W799" i="20"/>
  <c r="Y494" i="20"/>
  <c r="V404" i="20"/>
  <c r="Y404" i="20" s="1"/>
  <c r="T404" i="20"/>
  <c r="Y457" i="20"/>
  <c r="W446" i="20"/>
  <c r="W516" i="20"/>
  <c r="Y516" i="20" s="1"/>
  <c r="V380" i="20"/>
  <c r="Y380" i="20" s="1"/>
  <c r="T380" i="20"/>
  <c r="W396" i="20"/>
  <c r="Y420" i="20"/>
  <c r="W262" i="20"/>
  <c r="Y345" i="20"/>
  <c r="V273" i="20"/>
  <c r="T273" i="20"/>
  <c r="W265" i="20"/>
  <c r="V265" i="20"/>
  <c r="T265" i="20"/>
  <c r="W238" i="20"/>
  <c r="Y222" i="20"/>
  <c r="V150" i="20"/>
  <c r="Y150" i="20" s="1"/>
  <c r="T150" i="20"/>
  <c r="T248" i="20"/>
  <c r="V248" i="20"/>
  <c r="W318" i="20"/>
  <c r="Y154" i="20"/>
  <c r="W7" i="20"/>
  <c r="U7" i="20"/>
  <c r="T7" i="20"/>
  <c r="W11" i="20"/>
  <c r="U11" i="20"/>
  <c r="T11" i="20"/>
  <c r="W19" i="20"/>
  <c r="U19" i="20"/>
  <c r="T19" i="20"/>
  <c r="W187" i="20"/>
  <c r="W73" i="20"/>
  <c r="T1192" i="20"/>
  <c r="W1192" i="20"/>
  <c r="V1192" i="20"/>
  <c r="W1051" i="20"/>
  <c r="V1051" i="20"/>
  <c r="T1051" i="20"/>
  <c r="W1128" i="20"/>
  <c r="Y1068" i="20"/>
  <c r="T986" i="20"/>
  <c r="V986" i="20"/>
  <c r="Y986" i="20" s="1"/>
  <c r="BG873" i="20"/>
  <c r="BE873" i="20"/>
  <c r="BF873" i="20" s="1"/>
  <c r="T843" i="20"/>
  <c r="W843" i="20"/>
  <c r="V843" i="20"/>
  <c r="W874" i="20"/>
  <c r="V874" i="20"/>
  <c r="T874" i="20"/>
  <c r="V919" i="20"/>
  <c r="Y919" i="20" s="1"/>
  <c r="T919" i="20"/>
  <c r="Y816" i="20"/>
  <c r="Y823" i="20"/>
  <c r="T725" i="20"/>
  <c r="V725" i="20"/>
  <c r="Y725" i="20" s="1"/>
  <c r="W786" i="20"/>
  <c r="Y786" i="20" s="1"/>
  <c r="T786" i="20"/>
  <c r="W632" i="20"/>
  <c r="V632" i="20"/>
  <c r="T632" i="20"/>
  <c r="V672" i="20"/>
  <c r="Y672" i="20" s="1"/>
  <c r="T672" i="20"/>
  <c r="V581" i="20"/>
  <c r="Y581" i="20" s="1"/>
  <c r="T581" i="20"/>
  <c r="T641" i="20"/>
  <c r="V641" i="20"/>
  <c r="W641" i="20"/>
  <c r="W610" i="20"/>
  <c r="V610" i="20"/>
  <c r="T610" i="20"/>
  <c r="W703" i="20"/>
  <c r="V608" i="20"/>
  <c r="Y608" i="20" s="1"/>
  <c r="T608" i="20"/>
  <c r="W654" i="20"/>
  <c r="Y609" i="20"/>
  <c r="Y541" i="20"/>
  <c r="T482" i="20"/>
  <c r="V482" i="20"/>
  <c r="Y482" i="20" s="1"/>
  <c r="T533" i="20"/>
  <c r="V533" i="20"/>
  <c r="Y533" i="20" s="1"/>
  <c r="T466" i="20"/>
  <c r="V466" i="20"/>
  <c r="W466" i="20"/>
  <c r="V360" i="20"/>
  <c r="Y360" i="20" s="1"/>
  <c r="T360" i="20"/>
  <c r="Y429" i="20"/>
  <c r="Y330" i="20"/>
  <c r="T351" i="20"/>
  <c r="V351" i="20"/>
  <c r="Y351" i="20" s="1"/>
  <c r="W394" i="20"/>
  <c r="Y413" i="20"/>
  <c r="Y221" i="20"/>
  <c r="W273" i="20"/>
  <c r="T201" i="20"/>
  <c r="W201" i="20"/>
  <c r="V201" i="20"/>
  <c r="Y337" i="20"/>
  <c r="W242" i="20"/>
  <c r="V242" i="20"/>
  <c r="T242" i="20"/>
  <c r="W172" i="20"/>
  <c r="V172" i="20"/>
  <c r="T172" i="20"/>
  <c r="Y77" i="20"/>
  <c r="T18" i="20"/>
  <c r="W18" i="20"/>
  <c r="U18" i="20"/>
  <c r="T59" i="20"/>
  <c r="W9" i="20"/>
  <c r="U9" i="20"/>
  <c r="T9" i="20"/>
  <c r="W17" i="20"/>
  <c r="U17" i="20"/>
  <c r="T17" i="20"/>
  <c r="Y108" i="20"/>
  <c r="U24" i="20"/>
  <c r="L616" i="11"/>
  <c r="L617" i="11"/>
  <c r="L618" i="11"/>
  <c r="L619" i="11"/>
  <c r="L620" i="11"/>
  <c r="L621" i="11"/>
  <c r="L622" i="11"/>
  <c r="L623" i="11"/>
  <c r="L624" i="11"/>
  <c r="L615" i="11"/>
  <c r="L607" i="11"/>
  <c r="L608" i="11"/>
  <c r="L609" i="11"/>
  <c r="L610" i="11"/>
  <c r="L611" i="11"/>
  <c r="L612" i="11"/>
  <c r="L613" i="11"/>
  <c r="L614" i="11"/>
  <c r="L606" i="11"/>
  <c r="AB3" i="11"/>
  <c r="AB4" i="11"/>
  <c r="AB5" i="11"/>
  <c r="AB6" i="11"/>
  <c r="AB7" i="11"/>
  <c r="AB8" i="11"/>
  <c r="AB9" i="11"/>
  <c r="AB10" i="11"/>
  <c r="AB11" i="11"/>
  <c r="AB12" i="11"/>
  <c r="AB13" i="11"/>
  <c r="AB14" i="11"/>
  <c r="AB15" i="11"/>
  <c r="AB16" i="11"/>
  <c r="AB17" i="11"/>
  <c r="AB18" i="11"/>
  <c r="AB19" i="11"/>
  <c r="AB20" i="11"/>
  <c r="AB21" i="11"/>
  <c r="AB22" i="11"/>
  <c r="AB23" i="11"/>
  <c r="AB24" i="11"/>
  <c r="AB25" i="11"/>
  <c r="AB26" i="11"/>
  <c r="AB27" i="11"/>
  <c r="AB28" i="11"/>
  <c r="AB29" i="11"/>
  <c r="AB30" i="11"/>
  <c r="AB31" i="11"/>
  <c r="AB32" i="11"/>
  <c r="AB33" i="11"/>
  <c r="AB34" i="11"/>
  <c r="AB35" i="11"/>
  <c r="AB36" i="11"/>
  <c r="AB37" i="11"/>
  <c r="AB38" i="11"/>
  <c r="AB39" i="11"/>
  <c r="AB40" i="11"/>
  <c r="AB41" i="11"/>
  <c r="AB42" i="11"/>
  <c r="AB43" i="11"/>
  <c r="AB44" i="11"/>
  <c r="AB45" i="11"/>
  <c r="AB46" i="11"/>
  <c r="AB47" i="11"/>
  <c r="AB48" i="11"/>
  <c r="AB49" i="11"/>
  <c r="AB50" i="11"/>
  <c r="AB51" i="11"/>
  <c r="AB52" i="11"/>
  <c r="AB53" i="11"/>
  <c r="AB54" i="11"/>
  <c r="AB55" i="11"/>
  <c r="AB56" i="11"/>
  <c r="AB57" i="11"/>
  <c r="AB58" i="11"/>
  <c r="AB59" i="11"/>
  <c r="AB60" i="11"/>
  <c r="AB61" i="11"/>
  <c r="AB62" i="11"/>
  <c r="AB63" i="11"/>
  <c r="AB64" i="11"/>
  <c r="AB65" i="11"/>
  <c r="AB66" i="11"/>
  <c r="AB67" i="11"/>
  <c r="AB68" i="11"/>
  <c r="AB69" i="11"/>
  <c r="AB70" i="11"/>
  <c r="AB71" i="11"/>
  <c r="AB72" i="11"/>
  <c r="AB73" i="11"/>
  <c r="AB74" i="11"/>
  <c r="AB75" i="11"/>
  <c r="AB76" i="11"/>
  <c r="AB77" i="11"/>
  <c r="AB78" i="11"/>
  <c r="AB79" i="11"/>
  <c r="AB92" i="11"/>
  <c r="AB93" i="11"/>
  <c r="AB94" i="11"/>
  <c r="AB95" i="11"/>
  <c r="AB96" i="11"/>
  <c r="AB97" i="11"/>
  <c r="AB98" i="11"/>
  <c r="AB99" i="11"/>
  <c r="AB100" i="11"/>
  <c r="AB101" i="11"/>
  <c r="AB102" i="11"/>
  <c r="AB103" i="11"/>
  <c r="AB104" i="11"/>
  <c r="AB105" i="11"/>
  <c r="AB106" i="11"/>
  <c r="AB107" i="11"/>
  <c r="AB108" i="11"/>
  <c r="AB109" i="11"/>
  <c r="AB110" i="11"/>
  <c r="AB111" i="11"/>
  <c r="AB112" i="11"/>
  <c r="AB113" i="11"/>
  <c r="AB114" i="11"/>
  <c r="AB115" i="11"/>
  <c r="AB116" i="11"/>
  <c r="AB117" i="11"/>
  <c r="AB118" i="11"/>
  <c r="AB119" i="11"/>
  <c r="AB120" i="11"/>
  <c r="AB121" i="11"/>
  <c r="AB122" i="11"/>
  <c r="AB123" i="11"/>
  <c r="AB124" i="11"/>
  <c r="AB125" i="11"/>
  <c r="AB126" i="11"/>
  <c r="AB127" i="11"/>
  <c r="AB128" i="11"/>
  <c r="AB129" i="11"/>
  <c r="AB130" i="11"/>
  <c r="AB131" i="11"/>
  <c r="AB132" i="11"/>
  <c r="AB133" i="11"/>
  <c r="AB134" i="11"/>
  <c r="AB135" i="11"/>
  <c r="AB136" i="11"/>
  <c r="AB137" i="11"/>
  <c r="AB138" i="11"/>
  <c r="AB139" i="11"/>
  <c r="AB140" i="11"/>
  <c r="AB141" i="11"/>
  <c r="AB142" i="11"/>
  <c r="AB143" i="11"/>
  <c r="AB144" i="11"/>
  <c r="AB145" i="11"/>
  <c r="AB146" i="11"/>
  <c r="AB147" i="11"/>
  <c r="AB148" i="11"/>
  <c r="AB149" i="11"/>
  <c r="AB150" i="11"/>
  <c r="AB151" i="11"/>
  <c r="AB152" i="11"/>
  <c r="AB153" i="11"/>
  <c r="AB154" i="11"/>
  <c r="AB155" i="11"/>
  <c r="AB156" i="11"/>
  <c r="AB157" i="11"/>
  <c r="AB158" i="11"/>
  <c r="AB159" i="11"/>
  <c r="AB160" i="11"/>
  <c r="AB161" i="11"/>
  <c r="AB162" i="11"/>
  <c r="AB163" i="11"/>
  <c r="AB164" i="11"/>
  <c r="AB165" i="11"/>
  <c r="AB166" i="11"/>
  <c r="AB167" i="11"/>
  <c r="AB168" i="11"/>
  <c r="AB169" i="11"/>
  <c r="AB170" i="11"/>
  <c r="AB171" i="11"/>
  <c r="AB172" i="11"/>
  <c r="AB173" i="11"/>
  <c r="AB174" i="11"/>
  <c r="AB175" i="11"/>
  <c r="AB176" i="11"/>
  <c r="AB177" i="11"/>
  <c r="AB178" i="11"/>
  <c r="AB179" i="11"/>
  <c r="AB180" i="11"/>
  <c r="AB181" i="11"/>
  <c r="AB182" i="11"/>
  <c r="AB183" i="11"/>
  <c r="AB184" i="11"/>
  <c r="AB185" i="11"/>
  <c r="AB186" i="11"/>
  <c r="AB187" i="11"/>
  <c r="AB188" i="11"/>
  <c r="AB189" i="11"/>
  <c r="AB190" i="11"/>
  <c r="AB191" i="11"/>
  <c r="AB192" i="11"/>
  <c r="AB193" i="11"/>
  <c r="AB194" i="11"/>
  <c r="AB195" i="11"/>
  <c r="AB196" i="11"/>
  <c r="AB197" i="11"/>
  <c r="AB198" i="11"/>
  <c r="AB199" i="11"/>
  <c r="AB200" i="11"/>
  <c r="AB201" i="11"/>
  <c r="AB202" i="11"/>
  <c r="AB203" i="11"/>
  <c r="AB204" i="11"/>
  <c r="AB205" i="11"/>
  <c r="AB206" i="11"/>
  <c r="AB207" i="11"/>
  <c r="AB208" i="11"/>
  <c r="AB209" i="11"/>
  <c r="AB210" i="11"/>
  <c r="AB211" i="11"/>
  <c r="AB212" i="11"/>
  <c r="AB213" i="11"/>
  <c r="AB214" i="11"/>
  <c r="AB215" i="11"/>
  <c r="AB216" i="11"/>
  <c r="AB217" i="11"/>
  <c r="AB218" i="11"/>
  <c r="AB219" i="11"/>
  <c r="AB220" i="11"/>
  <c r="AB221" i="11"/>
  <c r="AB222" i="11"/>
  <c r="AB223" i="11"/>
  <c r="AB224" i="11"/>
  <c r="AB225" i="11"/>
  <c r="AB226" i="11"/>
  <c r="AB227" i="11"/>
  <c r="AB228" i="11"/>
  <c r="AB229" i="11"/>
  <c r="AB230" i="11"/>
  <c r="AB231" i="11"/>
  <c r="AB232" i="11"/>
  <c r="AB233" i="11"/>
  <c r="AB234" i="11"/>
  <c r="AB235" i="11"/>
  <c r="AB236" i="11"/>
  <c r="AB237" i="11"/>
  <c r="AB238" i="11"/>
  <c r="AB239" i="11"/>
  <c r="AB240" i="11"/>
  <c r="AB241" i="11"/>
  <c r="AB242" i="11"/>
  <c r="AB243" i="11"/>
  <c r="AB244" i="11"/>
  <c r="AB245" i="11"/>
  <c r="AB246" i="11"/>
  <c r="AB247" i="11"/>
  <c r="AB248" i="11"/>
  <c r="AB249" i="11"/>
  <c r="AB250" i="11"/>
  <c r="AB251" i="11"/>
  <c r="AB252" i="11"/>
  <c r="AB253" i="11"/>
  <c r="AB254" i="11"/>
  <c r="AB255" i="11"/>
  <c r="AB256" i="11"/>
  <c r="AB257" i="11"/>
  <c r="AB258" i="11"/>
  <c r="AB259" i="11"/>
  <c r="AB260" i="11"/>
  <c r="AB261" i="11"/>
  <c r="AB262" i="11"/>
  <c r="AB263" i="11"/>
  <c r="AB264" i="11"/>
  <c r="AB265" i="11"/>
  <c r="AB266" i="11"/>
  <c r="AB267" i="11"/>
  <c r="AB268" i="11"/>
  <c r="AB269" i="11"/>
  <c r="AB270" i="11"/>
  <c r="AB271" i="11"/>
  <c r="AB272" i="11"/>
  <c r="AB273" i="11"/>
  <c r="AB274" i="11"/>
  <c r="AB275" i="11"/>
  <c r="AB276" i="11"/>
  <c r="AB277" i="11"/>
  <c r="AB278" i="11"/>
  <c r="AB279" i="11"/>
  <c r="AB280" i="11"/>
  <c r="AB281" i="11"/>
  <c r="AB282" i="11"/>
  <c r="AB283" i="11"/>
  <c r="AB284" i="11"/>
  <c r="AB285" i="11"/>
  <c r="AB286" i="11"/>
  <c r="AB287" i="11"/>
  <c r="AB288" i="11"/>
  <c r="AB289" i="11"/>
  <c r="AB290" i="11"/>
  <c r="AB291" i="11"/>
  <c r="AB292" i="11"/>
  <c r="AB293" i="11"/>
  <c r="AB294" i="11"/>
  <c r="AB295" i="11"/>
  <c r="AB296" i="11"/>
  <c r="AB297" i="11"/>
  <c r="AB298" i="11"/>
  <c r="AB299" i="11"/>
  <c r="AB300" i="11"/>
  <c r="AB301" i="11"/>
  <c r="AB302" i="11"/>
  <c r="AB303" i="11"/>
  <c r="AB304" i="11"/>
  <c r="AB305" i="11"/>
  <c r="AB306" i="11"/>
  <c r="AB307" i="11"/>
  <c r="AB308" i="11"/>
  <c r="AB309" i="11"/>
  <c r="AB310" i="11"/>
  <c r="AB311" i="11"/>
  <c r="AB312" i="11"/>
  <c r="AB313" i="11"/>
  <c r="AB314" i="11"/>
  <c r="AB315" i="11"/>
  <c r="AB316" i="11"/>
  <c r="AB317" i="11"/>
  <c r="AB318" i="11"/>
  <c r="AB319" i="11"/>
  <c r="AB320" i="11"/>
  <c r="AB321" i="11"/>
  <c r="AB322" i="11"/>
  <c r="AB323" i="11"/>
  <c r="AB324" i="11"/>
  <c r="AB325" i="11"/>
  <c r="AB326" i="11"/>
  <c r="AB327" i="11"/>
  <c r="AB328" i="11"/>
  <c r="AB329" i="11"/>
  <c r="AB330" i="11"/>
  <c r="AB331" i="11"/>
  <c r="AB332" i="11"/>
  <c r="AB333" i="11"/>
  <c r="AB334" i="11"/>
  <c r="AB335" i="11"/>
  <c r="AB336" i="11"/>
  <c r="AB337" i="11"/>
  <c r="AB338" i="11"/>
  <c r="AB339" i="11"/>
  <c r="AB340" i="11"/>
  <c r="AB341" i="11"/>
  <c r="AB342" i="11"/>
  <c r="AB343" i="11"/>
  <c r="AB344" i="11"/>
  <c r="AB345" i="11"/>
  <c r="AB346" i="11"/>
  <c r="AB347" i="11"/>
  <c r="AB348" i="11"/>
  <c r="AB349" i="11"/>
  <c r="AB350" i="11"/>
  <c r="AB351" i="11"/>
  <c r="AB352" i="11"/>
  <c r="AB353" i="11"/>
  <c r="AB354" i="11"/>
  <c r="AB355" i="11"/>
  <c r="AB356" i="11"/>
  <c r="AB357" i="11"/>
  <c r="AB358" i="11"/>
  <c r="AB359" i="11"/>
  <c r="AB360" i="11"/>
  <c r="AB361" i="11"/>
  <c r="AB362" i="11"/>
  <c r="AB363" i="11"/>
  <c r="AB364" i="11"/>
  <c r="AB365" i="11"/>
  <c r="AB366" i="11"/>
  <c r="AB367" i="11"/>
  <c r="AB368" i="11"/>
  <c r="AB369" i="11"/>
  <c r="AB370" i="11"/>
  <c r="AB371" i="11"/>
  <c r="AB372" i="11"/>
  <c r="AB373" i="11"/>
  <c r="AB374" i="11"/>
  <c r="AB375" i="11"/>
  <c r="AB376" i="11"/>
  <c r="AB377" i="11"/>
  <c r="AB378" i="11"/>
  <c r="AB379" i="11"/>
  <c r="AB380" i="11"/>
  <c r="AB381" i="11"/>
  <c r="AB382" i="11"/>
  <c r="AB383" i="11"/>
  <c r="AB384" i="11"/>
  <c r="AB385" i="11"/>
  <c r="AB386" i="11"/>
  <c r="AB387" i="11"/>
  <c r="AB388" i="11"/>
  <c r="AB389" i="11"/>
  <c r="AB390" i="11"/>
  <c r="AB391" i="11"/>
  <c r="AB392" i="11"/>
  <c r="AB393" i="11"/>
  <c r="AB394" i="11"/>
  <c r="AB395" i="11"/>
  <c r="AB396" i="11"/>
  <c r="AB397" i="11"/>
  <c r="AB398" i="11"/>
  <c r="AB399" i="11"/>
  <c r="AB400" i="11"/>
  <c r="AB401" i="11"/>
  <c r="AB402" i="11"/>
  <c r="AB403" i="11"/>
  <c r="AB404" i="11"/>
  <c r="AB405" i="11"/>
  <c r="AB406" i="11"/>
  <c r="AB407" i="11"/>
  <c r="AB408" i="11"/>
  <c r="AB409" i="11"/>
  <c r="AB410" i="11"/>
  <c r="AB411" i="11"/>
  <c r="AB412" i="11"/>
  <c r="AB413" i="11"/>
  <c r="AB414" i="11"/>
  <c r="AB415" i="11"/>
  <c r="AB416" i="11"/>
  <c r="AB417" i="11"/>
  <c r="AB418" i="11"/>
  <c r="AB419" i="11"/>
  <c r="AB420" i="11"/>
  <c r="AB421" i="11"/>
  <c r="AB422" i="11"/>
  <c r="AB423" i="11"/>
  <c r="AB424" i="11"/>
  <c r="AB425" i="11"/>
  <c r="AB426" i="11"/>
  <c r="AB427" i="11"/>
  <c r="AB428" i="11"/>
  <c r="AB429" i="11"/>
  <c r="AB430" i="11"/>
  <c r="AB431" i="11"/>
  <c r="AB432" i="11"/>
  <c r="AB433" i="11"/>
  <c r="AB434" i="11"/>
  <c r="AB435" i="11"/>
  <c r="AB436" i="11"/>
  <c r="AB437" i="11"/>
  <c r="AB438" i="11"/>
  <c r="AB439" i="11"/>
  <c r="AB440" i="11"/>
  <c r="AB441" i="11"/>
  <c r="AB442" i="11"/>
  <c r="AB443" i="11"/>
  <c r="AB444" i="11"/>
  <c r="AB445" i="11"/>
  <c r="AB446" i="11"/>
  <c r="AB447" i="11"/>
  <c r="AB448" i="11"/>
  <c r="AB449" i="11"/>
  <c r="AB450" i="11"/>
  <c r="AB451" i="11"/>
  <c r="AB452" i="11"/>
  <c r="AB453" i="11"/>
  <c r="AB454" i="11"/>
  <c r="AB455" i="11"/>
  <c r="AB456" i="11"/>
  <c r="AB457" i="11"/>
  <c r="AB458" i="11"/>
  <c r="AB459" i="11"/>
  <c r="AB460" i="11"/>
  <c r="AB461" i="11"/>
  <c r="AB462" i="11"/>
  <c r="AB463" i="11"/>
  <c r="AB464" i="11"/>
  <c r="AB465" i="11"/>
  <c r="AB466" i="11"/>
  <c r="AB467" i="11"/>
  <c r="AB468" i="11"/>
  <c r="AB469" i="11"/>
  <c r="AB470" i="11"/>
  <c r="AB471" i="11"/>
  <c r="AB472" i="11"/>
  <c r="AB473" i="11"/>
  <c r="AB474" i="11"/>
  <c r="AB475" i="11"/>
  <c r="AB476" i="11"/>
  <c r="AB477" i="11"/>
  <c r="AB478" i="11"/>
  <c r="AB479" i="11"/>
  <c r="AB480" i="11"/>
  <c r="AB481" i="11"/>
  <c r="AB482" i="11"/>
  <c r="AB483" i="11"/>
  <c r="AB484" i="11"/>
  <c r="AB485" i="11"/>
  <c r="AB486" i="11"/>
  <c r="AB487" i="11"/>
  <c r="AB488" i="11"/>
  <c r="AB489" i="11"/>
  <c r="AB490" i="11"/>
  <c r="AB491" i="11"/>
  <c r="AB492" i="11"/>
  <c r="AB493" i="11"/>
  <c r="AB494" i="11"/>
  <c r="AB495" i="11"/>
  <c r="AB496" i="11"/>
  <c r="AB497" i="11"/>
  <c r="AB498" i="11"/>
  <c r="AB499" i="11"/>
  <c r="AB500" i="11"/>
  <c r="AB501" i="11"/>
  <c r="AB502" i="11"/>
  <c r="AB503" i="11"/>
  <c r="AB504" i="11"/>
  <c r="AB505" i="11"/>
  <c r="AB506" i="11"/>
  <c r="AB507" i="11"/>
  <c r="AB508" i="11"/>
  <c r="AB509" i="11"/>
  <c r="AB510" i="11"/>
  <c r="AB511" i="11"/>
  <c r="AB512" i="11"/>
  <c r="AB513" i="11"/>
  <c r="AB514" i="11"/>
  <c r="AB515" i="11"/>
  <c r="AB516" i="11"/>
  <c r="AB517" i="11"/>
  <c r="AB518" i="11"/>
  <c r="AB519" i="11"/>
  <c r="AB520" i="11"/>
  <c r="AB521" i="11"/>
  <c r="AB522" i="11"/>
  <c r="AB523" i="11"/>
  <c r="AB524" i="11"/>
  <c r="AB525" i="11"/>
  <c r="AB526" i="11"/>
  <c r="AB527" i="11"/>
  <c r="AB528" i="11"/>
  <c r="AB529" i="11"/>
  <c r="AB530" i="11"/>
  <c r="AB531" i="11"/>
  <c r="AB532" i="11"/>
  <c r="AB533" i="11"/>
  <c r="AB534" i="11"/>
  <c r="AB535" i="11"/>
  <c r="AB536" i="11"/>
  <c r="AB537" i="11"/>
  <c r="AB538" i="11"/>
  <c r="AB539" i="11"/>
  <c r="AB540" i="11"/>
  <c r="AB541" i="11"/>
  <c r="AB542" i="11"/>
  <c r="AB543" i="11"/>
  <c r="AB544" i="11"/>
  <c r="AB545" i="11"/>
  <c r="AB546" i="11"/>
  <c r="AB547" i="11"/>
  <c r="AB548" i="11"/>
  <c r="AB549" i="11"/>
  <c r="AB550" i="11"/>
  <c r="AB551" i="11"/>
  <c r="AB552" i="11"/>
  <c r="AB553" i="11"/>
  <c r="AB554" i="11"/>
  <c r="AB555" i="11"/>
  <c r="AB556" i="11"/>
  <c r="AB557" i="11"/>
  <c r="AB558" i="11"/>
  <c r="AB559" i="11"/>
  <c r="AB560" i="11"/>
  <c r="AB561" i="11"/>
  <c r="AB562" i="11"/>
  <c r="AB563" i="11"/>
  <c r="AB564" i="11"/>
  <c r="AB565" i="11"/>
  <c r="AB566" i="11"/>
  <c r="AB567" i="11"/>
  <c r="AB568" i="11"/>
  <c r="AB569" i="11"/>
  <c r="AB570" i="11"/>
  <c r="AB571" i="11"/>
  <c r="AB572" i="11"/>
  <c r="AB573" i="11"/>
  <c r="AB574" i="11"/>
  <c r="AB575" i="11"/>
  <c r="AB576" i="11"/>
  <c r="AB577" i="11"/>
  <c r="AB578" i="11"/>
  <c r="AB579" i="11"/>
  <c r="AB580" i="11"/>
  <c r="AB581" i="11"/>
  <c r="AB582" i="11"/>
  <c r="AB583" i="11"/>
  <c r="AB584" i="11"/>
  <c r="AB585" i="11"/>
  <c r="AB586" i="11"/>
  <c r="AB587" i="11"/>
  <c r="AB588" i="11"/>
  <c r="AB589" i="11"/>
  <c r="AB590" i="11"/>
  <c r="AB591" i="11"/>
  <c r="AB592" i="11"/>
  <c r="AB593" i="11"/>
  <c r="AB594" i="11"/>
  <c r="AB595" i="11"/>
  <c r="AB596" i="11"/>
  <c r="AB597" i="11"/>
  <c r="AB598" i="11"/>
  <c r="AB599" i="11"/>
  <c r="AB600" i="11"/>
  <c r="AB601" i="11"/>
  <c r="AB602" i="11"/>
  <c r="AB603" i="11"/>
  <c r="AB604" i="11"/>
  <c r="AB605" i="11"/>
  <c r="AB625" i="11"/>
  <c r="AB626" i="11"/>
  <c r="AB627" i="11"/>
  <c r="AB628" i="11"/>
  <c r="AB629" i="11"/>
  <c r="AB630" i="11"/>
  <c r="AB631" i="11"/>
  <c r="AB632" i="11"/>
  <c r="AB633" i="11"/>
  <c r="AB634" i="11"/>
  <c r="AB635" i="11"/>
  <c r="AB636" i="11"/>
  <c r="AB637" i="11"/>
  <c r="AB638" i="11"/>
  <c r="AB639" i="11"/>
  <c r="AB640" i="11"/>
  <c r="AB641" i="11"/>
  <c r="AB642" i="11"/>
  <c r="AB643" i="11"/>
  <c r="AB644" i="11"/>
  <c r="AB645" i="11"/>
  <c r="AB646" i="11"/>
  <c r="AB647" i="11"/>
  <c r="AB648" i="11"/>
  <c r="AB649" i="11"/>
  <c r="AB650" i="11"/>
  <c r="AB651" i="11"/>
  <c r="AB652" i="11"/>
  <c r="AB653" i="11"/>
  <c r="AB654" i="11"/>
  <c r="AB655" i="11"/>
  <c r="AB656" i="11"/>
  <c r="AB657" i="11"/>
  <c r="AB658" i="11"/>
  <c r="AB659" i="11"/>
  <c r="AB660" i="11"/>
  <c r="AB661" i="11"/>
  <c r="AB662" i="11"/>
  <c r="AB663" i="11"/>
  <c r="AB664" i="11"/>
  <c r="AB665" i="11"/>
  <c r="AB666" i="11"/>
  <c r="AB667" i="11"/>
  <c r="AB668" i="11"/>
  <c r="AB669" i="11"/>
  <c r="AB670" i="11"/>
  <c r="AB671" i="11"/>
  <c r="AB672" i="11"/>
  <c r="AB673" i="11"/>
  <c r="AB674" i="11"/>
  <c r="AB675" i="11"/>
  <c r="AB676" i="11"/>
  <c r="AB677" i="11"/>
  <c r="AB678" i="11"/>
  <c r="AB679" i="11"/>
  <c r="AB680" i="11"/>
  <c r="AB681" i="11"/>
  <c r="AB682" i="11"/>
  <c r="AB683" i="11"/>
  <c r="AB684" i="11"/>
  <c r="AB685" i="11"/>
  <c r="AB686" i="11"/>
  <c r="AB687" i="11"/>
  <c r="AB688" i="11"/>
  <c r="AB689" i="11"/>
  <c r="AB690" i="11"/>
  <c r="AB691" i="11"/>
  <c r="AB692" i="11"/>
  <c r="AB693" i="11"/>
  <c r="AB694" i="11"/>
  <c r="AB695" i="11"/>
  <c r="AB696" i="11"/>
  <c r="AB697" i="11"/>
  <c r="AB698" i="11"/>
  <c r="AB699" i="11"/>
  <c r="AB700" i="11"/>
  <c r="AB701" i="11"/>
  <c r="AB702" i="11"/>
  <c r="AB703" i="11"/>
  <c r="AB704" i="11"/>
  <c r="AB705" i="11"/>
  <c r="AB706" i="11"/>
  <c r="AB707" i="11"/>
  <c r="AB708" i="11"/>
  <c r="AB709" i="11"/>
  <c r="AB710" i="11"/>
  <c r="AB711" i="11"/>
  <c r="AB712" i="11"/>
  <c r="AB713" i="11"/>
  <c r="AB714" i="11"/>
  <c r="AB715" i="11"/>
  <c r="AB716" i="11"/>
  <c r="AB717" i="11"/>
  <c r="AB718" i="11"/>
  <c r="AB719" i="11"/>
  <c r="AB720" i="11"/>
  <c r="AB721" i="11"/>
  <c r="AB722" i="11"/>
  <c r="AB723" i="11"/>
  <c r="AB724" i="11"/>
  <c r="AB725" i="11"/>
  <c r="AB726" i="11"/>
  <c r="AB727" i="11"/>
  <c r="AB728" i="11"/>
  <c r="AB729" i="11"/>
  <c r="AB730" i="11"/>
  <c r="AB731" i="11"/>
  <c r="AB732" i="11"/>
  <c r="AB733" i="11"/>
  <c r="AB734" i="11"/>
  <c r="AB735" i="11"/>
  <c r="AB736" i="11"/>
  <c r="AB737" i="11"/>
  <c r="AB738" i="11"/>
  <c r="AB739" i="11"/>
  <c r="AB740" i="11"/>
  <c r="AB741" i="11"/>
  <c r="AB742" i="11"/>
  <c r="AB743" i="11"/>
  <c r="AB744" i="11"/>
  <c r="AB745" i="11"/>
  <c r="AB746" i="11"/>
  <c r="AB747" i="11"/>
  <c r="AB748" i="11"/>
  <c r="AB749" i="11"/>
  <c r="AB750" i="11"/>
  <c r="AB751" i="11"/>
  <c r="AB752" i="11"/>
  <c r="AB753" i="11"/>
  <c r="AB754" i="11"/>
  <c r="AB755" i="11"/>
  <c r="AB756" i="11"/>
  <c r="AB757" i="11"/>
  <c r="AB758" i="11"/>
  <c r="AB759" i="11"/>
  <c r="AB760" i="11"/>
  <c r="AB761" i="11"/>
  <c r="AB762" i="11"/>
  <c r="AB763" i="11"/>
  <c r="AB764" i="11"/>
  <c r="AB765" i="11"/>
  <c r="AB766" i="11"/>
  <c r="AB767" i="11"/>
  <c r="AB768" i="11"/>
  <c r="AB769" i="11"/>
  <c r="AB770" i="11"/>
  <c r="AB771" i="11"/>
  <c r="AB772" i="11"/>
  <c r="AB773" i="11"/>
  <c r="AB774" i="11"/>
  <c r="AB775" i="11"/>
  <c r="AB776" i="11"/>
  <c r="AB777" i="11"/>
  <c r="AB778" i="11"/>
  <c r="AB779" i="11"/>
  <c r="AB780" i="11"/>
  <c r="AB781" i="11"/>
  <c r="AB782" i="11"/>
  <c r="AB783" i="11"/>
  <c r="AB784" i="11"/>
  <c r="AB785" i="11"/>
  <c r="AB786" i="11"/>
  <c r="AB787" i="11"/>
  <c r="AB788" i="11"/>
  <c r="AB789" i="11"/>
  <c r="AB790" i="11"/>
  <c r="AB791" i="11"/>
  <c r="AB792" i="11"/>
  <c r="AB793" i="11"/>
  <c r="AB794" i="11"/>
  <c r="AB795" i="11"/>
  <c r="AB796" i="11"/>
  <c r="AB797" i="11"/>
  <c r="AB798" i="11"/>
  <c r="AB799" i="11"/>
  <c r="AB800" i="11"/>
  <c r="AB801" i="11"/>
  <c r="AB802" i="11"/>
  <c r="AB803" i="11"/>
  <c r="AB804" i="11"/>
  <c r="AB805" i="11"/>
  <c r="AB806" i="11"/>
  <c r="AB807" i="11"/>
  <c r="AB808" i="11"/>
  <c r="AB809" i="11"/>
  <c r="AB810" i="11"/>
  <c r="AB811" i="11"/>
  <c r="AB812" i="11"/>
  <c r="AB813" i="11"/>
  <c r="AB814" i="11"/>
  <c r="AB815" i="11"/>
  <c r="AB816" i="11"/>
  <c r="AB817" i="11"/>
  <c r="AB818" i="11"/>
  <c r="AB819" i="11"/>
  <c r="AB820" i="11"/>
  <c r="AB821" i="11"/>
  <c r="AB822" i="11"/>
  <c r="AB823" i="11"/>
  <c r="AB824" i="11"/>
  <c r="AB825" i="11"/>
  <c r="AB826" i="11"/>
  <c r="AB827" i="11"/>
  <c r="AB828" i="11"/>
  <c r="AB829" i="11"/>
  <c r="AB830" i="11"/>
  <c r="AB831" i="11"/>
  <c r="AB832" i="11"/>
  <c r="AB833" i="11"/>
  <c r="AB834" i="11"/>
  <c r="AB835" i="11"/>
  <c r="AB836" i="11"/>
  <c r="AB837" i="11"/>
  <c r="AB838" i="11"/>
  <c r="AB839" i="11"/>
  <c r="AB840" i="11"/>
  <c r="AB841" i="11"/>
  <c r="AB842" i="11"/>
  <c r="AB843" i="11"/>
  <c r="AB844" i="11"/>
  <c r="AB845" i="11"/>
  <c r="AB846" i="11"/>
  <c r="AB847" i="11"/>
  <c r="AB848" i="11"/>
  <c r="AB849" i="11"/>
  <c r="AB850" i="11"/>
  <c r="AB851" i="11"/>
  <c r="AB852" i="11"/>
  <c r="AB853" i="11"/>
  <c r="AB854" i="11"/>
  <c r="AB855" i="11"/>
  <c r="AB856" i="11"/>
  <c r="AB857" i="11"/>
  <c r="AB858" i="11"/>
  <c r="AB859" i="11"/>
  <c r="AB860" i="11"/>
  <c r="AB861" i="11"/>
  <c r="AB862" i="11"/>
  <c r="AB863" i="11"/>
  <c r="AB864" i="11"/>
  <c r="AB865" i="11"/>
  <c r="AB866" i="11"/>
  <c r="AB867" i="11"/>
  <c r="AB868" i="11"/>
  <c r="AB869" i="11"/>
  <c r="AB870" i="11"/>
  <c r="AB871" i="11"/>
  <c r="AB872" i="11"/>
  <c r="AB873" i="11"/>
  <c r="AB874" i="11"/>
  <c r="AB875" i="11"/>
  <c r="AB876" i="11"/>
  <c r="AB877" i="11"/>
  <c r="AB878" i="11"/>
  <c r="AB879" i="11"/>
  <c r="AB880" i="11"/>
  <c r="AB881" i="11"/>
  <c r="AB882" i="11"/>
  <c r="AB883" i="11"/>
  <c r="AB884" i="11"/>
  <c r="AB885" i="11"/>
  <c r="AB886" i="11"/>
  <c r="AB887" i="11"/>
  <c r="AB888" i="11"/>
  <c r="AB889" i="11"/>
  <c r="AB890" i="11"/>
  <c r="AB891" i="11"/>
  <c r="AB892" i="11"/>
  <c r="AB893" i="11"/>
  <c r="AB894" i="11"/>
  <c r="AB895" i="11"/>
  <c r="AB896" i="11"/>
  <c r="AB897" i="11"/>
  <c r="AB898" i="11"/>
  <c r="AB899" i="11"/>
  <c r="AB900" i="11"/>
  <c r="AB901" i="11"/>
  <c r="AB902" i="11"/>
  <c r="AB903" i="11"/>
  <c r="AB904" i="11"/>
  <c r="AB905" i="11"/>
  <c r="AB906" i="11"/>
  <c r="AB907" i="11"/>
  <c r="AB908" i="11"/>
  <c r="AB909" i="11"/>
  <c r="AB910" i="11"/>
  <c r="AB911" i="11"/>
  <c r="AB912" i="11"/>
  <c r="AB913" i="11"/>
  <c r="AB914" i="11"/>
  <c r="AB915" i="11"/>
  <c r="AB916" i="11"/>
  <c r="AB917" i="11"/>
  <c r="AB918" i="11"/>
  <c r="AB919" i="11"/>
  <c r="AB920" i="11"/>
  <c r="AB921" i="11"/>
  <c r="AB922" i="11"/>
  <c r="AB923" i="11"/>
  <c r="AB924" i="11"/>
  <c r="AB925" i="11"/>
  <c r="AB926" i="11"/>
  <c r="AB927" i="11"/>
  <c r="AB928" i="11"/>
  <c r="AB929" i="11"/>
  <c r="AB930" i="11"/>
  <c r="AB931" i="11"/>
  <c r="AB932" i="11"/>
  <c r="AB933" i="11"/>
  <c r="AB934" i="11"/>
  <c r="AB935" i="11"/>
  <c r="AB936" i="11"/>
  <c r="AB937" i="11"/>
  <c r="AB938" i="11"/>
  <c r="AB939" i="11"/>
  <c r="AB940" i="11"/>
  <c r="AB941" i="11"/>
  <c r="AB942" i="11"/>
  <c r="AB943" i="11"/>
  <c r="AB944" i="11"/>
  <c r="AB945" i="11"/>
  <c r="AB946" i="11"/>
  <c r="AB947" i="11"/>
  <c r="AB948" i="11"/>
  <c r="AB949" i="11"/>
  <c r="AB950" i="11"/>
  <c r="AB951" i="11"/>
  <c r="AB952" i="11"/>
  <c r="AB953" i="11"/>
  <c r="AB954" i="11"/>
  <c r="AB955" i="11"/>
  <c r="AB956" i="11"/>
  <c r="AB957" i="11"/>
  <c r="AB958" i="11"/>
  <c r="AB959" i="11"/>
  <c r="AB960" i="11"/>
  <c r="AB961" i="11"/>
  <c r="AB962" i="11"/>
  <c r="AB963" i="11"/>
  <c r="AB964" i="11"/>
  <c r="AB965" i="11"/>
  <c r="AB966" i="11"/>
  <c r="AB967" i="11"/>
  <c r="AB968" i="11"/>
  <c r="AB969" i="11"/>
  <c r="AB970" i="11"/>
  <c r="AB971" i="11"/>
  <c r="AB972" i="11"/>
  <c r="AB973" i="11"/>
  <c r="AB974" i="11"/>
  <c r="AB975" i="11"/>
  <c r="AB976" i="11"/>
  <c r="AB977" i="11"/>
  <c r="AB978" i="11"/>
  <c r="AB979" i="11"/>
  <c r="AB980" i="11"/>
  <c r="AB981" i="11"/>
  <c r="AB982" i="11"/>
  <c r="AB983" i="11"/>
  <c r="AB984" i="11"/>
  <c r="AB985" i="11"/>
  <c r="AB986" i="11"/>
  <c r="AB987" i="11"/>
  <c r="AB988" i="11"/>
  <c r="AB989" i="11"/>
  <c r="AB990" i="11"/>
  <c r="AB991" i="11"/>
  <c r="AB992" i="11"/>
  <c r="AB993" i="11"/>
  <c r="AB994" i="11"/>
  <c r="AB995" i="11"/>
  <c r="AB996" i="11"/>
  <c r="AB997" i="11"/>
  <c r="AB998" i="11"/>
  <c r="AB999" i="11"/>
  <c r="AB1000" i="11"/>
  <c r="AB1001" i="11"/>
  <c r="AB1002" i="11"/>
  <c r="AB1003" i="11"/>
  <c r="AB1004" i="11"/>
  <c r="AB1005" i="11"/>
  <c r="AB1006" i="11"/>
  <c r="AB1007" i="11"/>
  <c r="AB1008" i="11"/>
  <c r="AB1009" i="11"/>
  <c r="AB1010" i="11"/>
  <c r="AB1011" i="11"/>
  <c r="AB1012" i="11"/>
  <c r="AB1013" i="11"/>
  <c r="AB1014" i="11"/>
  <c r="AB1015" i="11"/>
  <c r="AB1016" i="11"/>
  <c r="AB1017" i="11"/>
  <c r="AB1018" i="11"/>
  <c r="AB1019" i="11"/>
  <c r="AB1020" i="11"/>
  <c r="AB1021" i="11"/>
  <c r="AB1022" i="11"/>
  <c r="AB1023" i="11"/>
  <c r="AB1024" i="11"/>
  <c r="AB1025" i="11"/>
  <c r="AB1026" i="11"/>
  <c r="AB1027" i="11"/>
  <c r="AB1028" i="11"/>
  <c r="AB1029" i="11"/>
  <c r="AB1030" i="11"/>
  <c r="AB1031" i="11"/>
  <c r="AB1032" i="11"/>
  <c r="AB1033" i="11"/>
  <c r="AB1034" i="11"/>
  <c r="AB1035" i="11"/>
  <c r="AB1036" i="11"/>
  <c r="AB1037" i="11"/>
  <c r="AB1038" i="11"/>
  <c r="AB1039" i="11"/>
  <c r="AB1040" i="11"/>
  <c r="AB1041" i="11"/>
  <c r="AB1042" i="11"/>
  <c r="AB1043" i="11"/>
  <c r="AB1044" i="11"/>
  <c r="AB1045" i="11"/>
  <c r="AB1046" i="11"/>
  <c r="AB1047" i="11"/>
  <c r="AB1048" i="11"/>
  <c r="AB1049" i="11"/>
  <c r="AB1050" i="11"/>
  <c r="AB1051" i="11"/>
  <c r="AB1052" i="11"/>
  <c r="AB1053" i="11"/>
  <c r="AB1054" i="11"/>
  <c r="AB1055" i="11"/>
  <c r="AB1056" i="11"/>
  <c r="AB1057" i="11"/>
  <c r="AB1058" i="11"/>
  <c r="AB1059" i="11"/>
  <c r="AB1060" i="11"/>
  <c r="AB1061" i="11"/>
  <c r="AB1062" i="11"/>
  <c r="AB1063" i="11"/>
  <c r="AB1064" i="11"/>
  <c r="AB1065" i="11"/>
  <c r="AB1066" i="11"/>
  <c r="AB1067" i="11"/>
  <c r="AB1068" i="11"/>
  <c r="AB1069" i="11"/>
  <c r="AB1070" i="11"/>
  <c r="AB1071" i="11"/>
  <c r="AB1072" i="11"/>
  <c r="AB1073" i="11"/>
  <c r="AB1074" i="11"/>
  <c r="AB1075" i="11"/>
  <c r="AB1076" i="11"/>
  <c r="AB1077" i="11"/>
  <c r="AB1078" i="11"/>
  <c r="AB1079" i="11"/>
  <c r="AB1080" i="11"/>
  <c r="AB1081" i="11"/>
  <c r="AB1082" i="11"/>
  <c r="AB1083" i="11"/>
  <c r="AB1084" i="11"/>
  <c r="AB1085" i="11"/>
  <c r="AB606" i="11"/>
  <c r="AB607" i="11"/>
  <c r="AB608" i="11"/>
  <c r="AB609" i="11"/>
  <c r="AB610" i="11"/>
  <c r="AB611" i="11"/>
  <c r="AB612" i="11"/>
  <c r="AB613" i="11"/>
  <c r="AB614" i="11"/>
  <c r="AB615" i="11"/>
  <c r="AB616" i="11"/>
  <c r="AB617" i="11"/>
  <c r="AB618" i="11"/>
  <c r="AB619" i="11"/>
  <c r="AB620" i="11"/>
  <c r="AB621" i="11"/>
  <c r="AB622" i="11"/>
  <c r="AB623" i="11"/>
  <c r="AB624" i="11"/>
  <c r="AB1086" i="11"/>
  <c r="AB1087" i="11"/>
  <c r="AB1088" i="11"/>
  <c r="AB1089" i="11"/>
  <c r="AB1090" i="11"/>
  <c r="AB1091" i="11"/>
  <c r="AB1092" i="11"/>
  <c r="AB1093" i="11"/>
  <c r="AB1094" i="11"/>
  <c r="AB1095" i="11"/>
  <c r="AB1096" i="11"/>
  <c r="AB1097" i="11"/>
  <c r="AB1098" i="11"/>
  <c r="AB1099" i="11"/>
  <c r="AB1100" i="11"/>
  <c r="AB1101" i="11"/>
  <c r="AB1102" i="11"/>
  <c r="AB1103" i="11"/>
  <c r="AB1104" i="11"/>
  <c r="AB1105" i="11"/>
  <c r="AB1106" i="11"/>
  <c r="AB1107" i="11"/>
  <c r="AB1108" i="11"/>
  <c r="AB1109" i="11"/>
  <c r="AB1110" i="11"/>
  <c r="AB1111" i="11"/>
  <c r="AB80" i="11"/>
  <c r="AB81" i="11"/>
  <c r="AB82" i="11"/>
  <c r="AB83" i="11"/>
  <c r="AB84" i="11"/>
  <c r="AB85" i="11"/>
  <c r="AB86" i="11"/>
  <c r="AB87" i="11"/>
  <c r="AB88" i="11"/>
  <c r="AB89" i="11"/>
  <c r="AB90" i="11"/>
  <c r="AB91" i="11"/>
  <c r="AB1112" i="11"/>
  <c r="AB1113" i="11"/>
  <c r="AB1114" i="11"/>
  <c r="AB1115" i="11"/>
  <c r="AB1116" i="11"/>
  <c r="AB1117" i="11"/>
  <c r="AB1118" i="11"/>
  <c r="AB1119" i="11"/>
  <c r="AB1120" i="11"/>
  <c r="AB1121" i="11"/>
  <c r="AB1122" i="11"/>
  <c r="AB1123" i="11"/>
  <c r="AB1124" i="11"/>
  <c r="AB1125" i="11"/>
  <c r="AB1126" i="11"/>
  <c r="AB1127" i="11"/>
  <c r="AB1128" i="11"/>
  <c r="AB1129" i="11"/>
  <c r="AB1130" i="11"/>
  <c r="AB1131" i="11"/>
  <c r="AB1132" i="11"/>
  <c r="AB1133" i="11"/>
  <c r="AB1134" i="11"/>
  <c r="AB1135" i="11"/>
  <c r="AB1136" i="11"/>
  <c r="AB1137" i="11"/>
  <c r="AB1138" i="11"/>
  <c r="AB1139" i="11"/>
  <c r="AB1140" i="11"/>
  <c r="AB1141" i="11"/>
  <c r="AB1142" i="11"/>
  <c r="AB1143" i="11"/>
  <c r="AB1144" i="11"/>
  <c r="AB1145" i="11"/>
  <c r="AB1146" i="11"/>
  <c r="AB1147" i="11"/>
  <c r="AB1148" i="11"/>
  <c r="AB1149" i="11"/>
  <c r="AB1150" i="11"/>
  <c r="AB1151" i="11"/>
  <c r="AB1152" i="11"/>
  <c r="AB1153" i="11"/>
  <c r="AB1154" i="11"/>
  <c r="AB1155" i="11"/>
  <c r="AB1156" i="11"/>
  <c r="AB1157" i="11"/>
  <c r="AB1158" i="11"/>
  <c r="AB1159" i="11"/>
  <c r="AB1160" i="11"/>
  <c r="AB1161" i="11"/>
  <c r="AB1162" i="11"/>
  <c r="AB1163" i="11"/>
  <c r="AB1164" i="11"/>
  <c r="AB1165" i="11"/>
  <c r="AB1166" i="11"/>
  <c r="AB1167" i="11"/>
  <c r="AB1168" i="11"/>
  <c r="AB1169" i="11"/>
  <c r="AB1170" i="11"/>
  <c r="AB1171" i="11"/>
  <c r="AB1172" i="11"/>
  <c r="AB1173" i="11"/>
  <c r="AB1174" i="11"/>
  <c r="AB1235" i="11"/>
  <c r="AB1236" i="11"/>
  <c r="AB1237" i="11"/>
  <c r="AB1238" i="11"/>
  <c r="AB1239" i="11"/>
  <c r="AB1240" i="11"/>
  <c r="AB1241" i="11"/>
  <c r="AB1242" i="11"/>
  <c r="AB1243" i="11"/>
  <c r="AB1244" i="11"/>
  <c r="AB1245" i="11"/>
  <c r="AB1246" i="11"/>
  <c r="AB1247" i="11"/>
  <c r="AB1248" i="11"/>
  <c r="AB1249" i="11"/>
  <c r="AB1250" i="11"/>
  <c r="AB1251" i="11"/>
  <c r="AB1252" i="11"/>
  <c r="AB1253" i="11"/>
  <c r="AB1254" i="11"/>
  <c r="AB1255" i="11"/>
  <c r="AB1175" i="11"/>
  <c r="AB1176" i="11"/>
  <c r="AB1177" i="11"/>
  <c r="AB1178" i="11"/>
  <c r="AB1179" i="11"/>
  <c r="AB1180" i="11"/>
  <c r="AB1181" i="11"/>
  <c r="AB1182" i="11"/>
  <c r="AB1183" i="11"/>
  <c r="AB1184" i="11"/>
  <c r="AB1185" i="11"/>
  <c r="AB1186" i="11"/>
  <c r="AB1187" i="11"/>
  <c r="AB1188" i="11"/>
  <c r="AB1189" i="11"/>
  <c r="AB1190" i="11"/>
  <c r="AB1191" i="11"/>
  <c r="AB1192" i="11"/>
  <c r="AB1193" i="11"/>
  <c r="AB1194" i="11"/>
  <c r="AB1195" i="11"/>
  <c r="AB1196" i="11"/>
  <c r="AB1197" i="11"/>
  <c r="AB1198" i="11"/>
  <c r="AB1199" i="11"/>
  <c r="AB1200" i="11"/>
  <c r="AB1201" i="11"/>
  <c r="AB1202" i="11"/>
  <c r="AB1203" i="11"/>
  <c r="AB1204" i="11"/>
  <c r="AB1205" i="11"/>
  <c r="AB1206" i="11"/>
  <c r="AB1207" i="11"/>
  <c r="AB1208" i="11"/>
  <c r="AB1209" i="11"/>
  <c r="AB1210" i="11"/>
  <c r="AB1211" i="11"/>
  <c r="AB1212" i="11"/>
  <c r="AB1213" i="11"/>
  <c r="AB1214" i="11"/>
  <c r="AB1215" i="11"/>
  <c r="AB1216" i="11"/>
  <c r="AB1217" i="11"/>
  <c r="AB1218" i="11"/>
  <c r="AB1219" i="11"/>
  <c r="AB1220" i="11"/>
  <c r="AB1221" i="11"/>
  <c r="AB1222" i="11"/>
  <c r="AB1223" i="11"/>
  <c r="AB1224" i="11"/>
  <c r="AB1225" i="11"/>
  <c r="AB1226" i="11"/>
  <c r="AB1227" i="11"/>
  <c r="AB1228" i="11"/>
  <c r="AB1229" i="11"/>
  <c r="AB1230" i="11"/>
  <c r="AB1231" i="11"/>
  <c r="AB1232" i="11"/>
  <c r="AB1233" i="11"/>
  <c r="AB1234" i="11"/>
  <c r="AB1256" i="11"/>
  <c r="AB1257" i="11"/>
  <c r="AB1258" i="11"/>
  <c r="AB1259" i="11"/>
  <c r="AB1260" i="11"/>
  <c r="AB1261" i="11"/>
  <c r="AB1262" i="11"/>
  <c r="AB1263" i="11"/>
  <c r="AB1264" i="11"/>
  <c r="AB1265" i="11"/>
  <c r="AB1266" i="11"/>
  <c r="AB1267" i="11"/>
  <c r="AB1268" i="11"/>
  <c r="AB1269" i="11"/>
  <c r="AB1270" i="11"/>
  <c r="AB1271" i="11"/>
  <c r="AB1272" i="11"/>
  <c r="AB1273" i="11"/>
  <c r="AB1274" i="11"/>
  <c r="AB1275" i="11"/>
  <c r="AB1276" i="11"/>
  <c r="M71" i="11"/>
  <c r="M72" i="11"/>
  <c r="M73" i="11"/>
  <c r="M74" i="11"/>
  <c r="M75" i="11"/>
  <c r="M76" i="11"/>
  <c r="M77" i="11"/>
  <c r="M78" i="11"/>
  <c r="M79" i="11"/>
  <c r="M70" i="11"/>
  <c r="M39" i="11"/>
  <c r="M40" i="11"/>
  <c r="M41" i="11"/>
  <c r="M42" i="11"/>
  <c r="M43" i="11"/>
  <c r="M44" i="11"/>
  <c r="M45" i="11"/>
  <c r="M46" i="11"/>
  <c r="M47" i="11"/>
  <c r="M48" i="11"/>
  <c r="M38" i="11"/>
  <c r="S16" i="7"/>
  <c r="T61" i="7"/>
  <c r="T62" i="7"/>
  <c r="T63" i="7"/>
  <c r="T64" i="7"/>
  <c r="T65" i="7"/>
  <c r="T54" i="7"/>
  <c r="T55" i="7"/>
  <c r="T56" i="7"/>
  <c r="T57" i="7"/>
  <c r="T58" i="7"/>
  <c r="T59" i="7"/>
  <c r="T28" i="7"/>
  <c r="T29" i="7"/>
  <c r="T30" i="7"/>
  <c r="T31" i="7"/>
  <c r="T32" i="7"/>
  <c r="T33" i="7"/>
  <c r="T34" i="7"/>
  <c r="T35" i="7"/>
  <c r="T36" i="7"/>
  <c r="T37" i="7"/>
  <c r="T38" i="7"/>
  <c r="T39" i="7"/>
  <c r="T42" i="7"/>
  <c r="T43" i="7"/>
  <c r="T44" i="7"/>
  <c r="T45" i="7"/>
  <c r="T46" i="7"/>
  <c r="T47" i="7"/>
  <c r="T48" i="7"/>
  <c r="T40" i="7"/>
  <c r="T41" i="7"/>
  <c r="T49" i="7"/>
  <c r="T50" i="7"/>
  <c r="T24" i="7"/>
  <c r="T25" i="7"/>
  <c r="T26" i="7"/>
  <c r="T27" i="7"/>
  <c r="T51" i="7"/>
  <c r="T52" i="7"/>
  <c r="T53" i="7"/>
  <c r="T15" i="7"/>
  <c r="T16" i="7"/>
  <c r="T17" i="7"/>
  <c r="T18" i="7"/>
  <c r="T19" i="7"/>
  <c r="T20" i="7"/>
  <c r="T21" i="7"/>
  <c r="T22" i="7"/>
  <c r="T23" i="7"/>
  <c r="T60" i="7"/>
  <c r="E60" i="7"/>
  <c r="Y813" i="20" l="1"/>
  <c r="Y951" i="20"/>
  <c r="Y994" i="20"/>
  <c r="Y528" i="20"/>
  <c r="Y1098" i="20"/>
  <c r="Y256" i="20"/>
  <c r="Y1047" i="20"/>
  <c r="Y620" i="20"/>
  <c r="Y1065" i="20"/>
  <c r="Y1122" i="20"/>
  <c r="Y5" i="20"/>
  <c r="Y29" i="20"/>
  <c r="Y20" i="20"/>
  <c r="Y1186" i="20"/>
  <c r="Y196" i="20"/>
  <c r="Y45" i="20"/>
  <c r="Y406" i="20"/>
  <c r="Y395" i="20"/>
  <c r="Y1141" i="20"/>
  <c r="Y740" i="20"/>
  <c r="Y16" i="20"/>
  <c r="Y58" i="20"/>
  <c r="Y205" i="20"/>
  <c r="Y269" i="20"/>
  <c r="Y748" i="20"/>
  <c r="Y714" i="20"/>
  <c r="Y531" i="20"/>
  <c r="Y808" i="20"/>
  <c r="Y685" i="20"/>
  <c r="Y1133" i="20"/>
  <c r="Y1066" i="20"/>
  <c r="Y52" i="20"/>
  <c r="Y439" i="20"/>
  <c r="Y12" i="20"/>
  <c r="Y760" i="20"/>
  <c r="Y33" i="20"/>
  <c r="Y878" i="20"/>
  <c r="Y1134" i="20"/>
  <c r="Y342" i="20"/>
  <c r="Y43" i="20"/>
  <c r="Y782" i="20"/>
  <c r="Y535" i="20"/>
  <c r="Y311" i="20"/>
  <c r="Y70" i="20"/>
  <c r="Y248" i="20"/>
  <c r="Y61" i="20"/>
  <c r="Y978" i="20"/>
  <c r="Y1120" i="20"/>
  <c r="Y9" i="20"/>
  <c r="Y577" i="20"/>
  <c r="Y134" i="20"/>
  <c r="Y632" i="20"/>
  <c r="Y382" i="20"/>
  <c r="Y837" i="20"/>
  <c r="Y780" i="20"/>
  <c r="Y42" i="20"/>
  <c r="Y726" i="20"/>
  <c r="Y1206" i="20"/>
  <c r="Y164" i="20"/>
  <c r="Y167" i="20"/>
  <c r="Y470" i="20"/>
  <c r="Y1195" i="20"/>
  <c r="Y850" i="20"/>
  <c r="Y1223" i="20"/>
  <c r="Y39" i="20"/>
  <c r="Y185" i="20"/>
  <c r="Y375" i="20"/>
  <c r="Y610" i="20"/>
  <c r="Y952" i="20"/>
  <c r="Y14" i="20"/>
  <c r="Y7" i="20"/>
  <c r="Y1114" i="20"/>
  <c r="Y1011" i="20"/>
  <c r="Y1184" i="20"/>
  <c r="Y705" i="20"/>
  <c r="Y831" i="20"/>
  <c r="Y263" i="20"/>
  <c r="Y1222" i="20"/>
  <c r="Y17" i="20"/>
  <c r="Y968" i="20"/>
  <c r="Y483" i="20"/>
  <c r="Y552" i="20"/>
  <c r="Y708" i="20"/>
  <c r="Y148" i="20"/>
  <c r="Y57" i="20"/>
  <c r="Y843" i="20"/>
  <c r="Y1185" i="20"/>
  <c r="Y267" i="20"/>
  <c r="Y461" i="20"/>
  <c r="Y701" i="20"/>
  <c r="Y264" i="20"/>
  <c r="Y1037" i="20"/>
  <c r="Y27" i="20"/>
  <c r="Y15" i="20"/>
  <c r="Y302" i="20"/>
  <c r="Y22" i="20"/>
  <c r="Y67" i="20"/>
  <c r="Y393" i="20"/>
  <c r="Y914" i="20"/>
  <c r="Y557" i="20"/>
  <c r="Y902" i="20"/>
  <c r="Y570" i="20"/>
  <c r="Y18" i="20"/>
  <c r="Y876" i="20"/>
  <c r="Y1157" i="20"/>
  <c r="Y917" i="20"/>
  <c r="Y1025" i="20"/>
  <c r="Y1034" i="20"/>
  <c r="Y744" i="20"/>
  <c r="Y734" i="20"/>
  <c r="Y343" i="20"/>
  <c r="Y50" i="20"/>
  <c r="Y652" i="20"/>
  <c r="Y905" i="20"/>
  <c r="Y1005" i="20"/>
  <c r="Y645" i="20"/>
  <c r="Y31" i="20"/>
  <c r="Y181" i="20"/>
  <c r="Y1029" i="20"/>
  <c r="Y798" i="20"/>
  <c r="Y871" i="20"/>
  <c r="Y892" i="20"/>
  <c r="Y431" i="20"/>
  <c r="Y571" i="20"/>
  <c r="Y234" i="20"/>
  <c r="Y612" i="20"/>
  <c r="Y214" i="20"/>
  <c r="Y24" i="20"/>
  <c r="Y295" i="20"/>
  <c r="Y819" i="20"/>
  <c r="Y757" i="20"/>
  <c r="Y922" i="20"/>
  <c r="Y1023" i="20"/>
  <c r="Y25" i="20"/>
  <c r="Y1055" i="20"/>
  <c r="Y240" i="20"/>
  <c r="Y1064" i="20"/>
  <c r="Y568" i="20"/>
  <c r="Y784" i="20"/>
  <c r="Y855" i="20"/>
  <c r="Y1151" i="20"/>
  <c r="Y1020" i="20"/>
  <c r="Y95" i="20"/>
  <c r="Y1145" i="20"/>
  <c r="Y487" i="20"/>
  <c r="Y818" i="20"/>
  <c r="Y648" i="20"/>
  <c r="Y695" i="20"/>
  <c r="Y937" i="20"/>
  <c r="Y882" i="20"/>
  <c r="Y161" i="20"/>
  <c r="Y64" i="20"/>
  <c r="Y800" i="20"/>
  <c r="Y894" i="20"/>
  <c r="Y444" i="20"/>
  <c r="Y959" i="20"/>
  <c r="Y104" i="20"/>
  <c r="Y1051" i="20"/>
  <c r="Y728" i="20"/>
  <c r="Y1007" i="20"/>
  <c r="Y1163" i="20"/>
  <c r="Y287" i="20"/>
  <c r="Y942" i="20"/>
  <c r="Y1096" i="20"/>
  <c r="Y204" i="20"/>
  <c r="Y271" i="20"/>
  <c r="Y1045" i="20"/>
  <c r="Y932" i="20"/>
  <c r="Y943" i="20"/>
  <c r="Y1148" i="20"/>
  <c r="Y615" i="20"/>
  <c r="Y1135" i="20"/>
  <c r="Y1021" i="20"/>
  <c r="Y556" i="20"/>
  <c r="Y841" i="20"/>
  <c r="Y197" i="20"/>
  <c r="Y824" i="20"/>
  <c r="Y1000" i="20"/>
  <c r="Y262" i="20"/>
  <c r="Y456" i="20"/>
  <c r="Y766" i="20"/>
  <c r="Y950" i="20"/>
  <c r="Y799" i="20"/>
  <c r="Y948" i="20"/>
  <c r="Y1075" i="20"/>
  <c r="Y703" i="20"/>
  <c r="Y436" i="20"/>
  <c r="Y649" i="20"/>
  <c r="Y617" i="20"/>
  <c r="Y321" i="20"/>
  <c r="Y724" i="20"/>
  <c r="Y1059" i="20"/>
  <c r="Y286" i="20"/>
  <c r="Y156" i="20"/>
  <c r="Y604" i="20"/>
  <c r="Y270" i="20"/>
  <c r="Y1041" i="20"/>
  <c r="Y172" i="20"/>
  <c r="Y19" i="20"/>
  <c r="Y13" i="20"/>
  <c r="Y294" i="20"/>
  <c r="Y303" i="20"/>
  <c r="Y447" i="20"/>
  <c r="Y1126" i="20"/>
  <c r="Y1036" i="20"/>
  <c r="Y103" i="20"/>
  <c r="Y276" i="20"/>
  <c r="Y900" i="20"/>
  <c r="Y1016" i="20"/>
  <c r="Y889" i="20"/>
  <c r="Y929" i="20"/>
  <c r="Y933" i="20"/>
  <c r="Y142" i="20"/>
  <c r="Y376" i="20"/>
  <c r="Y41" i="20"/>
  <c r="Y218" i="20"/>
  <c r="Y796" i="20"/>
  <c r="Y1128" i="20"/>
  <c r="Y32" i="20"/>
  <c r="Y1052" i="20"/>
  <c r="Y36" i="20"/>
  <c r="Y953" i="20"/>
  <c r="Y1031" i="20"/>
  <c r="Y73" i="20"/>
  <c r="Y677" i="20"/>
  <c r="Y613" i="20"/>
  <c r="Y72" i="20"/>
  <c r="Y658" i="20"/>
  <c r="Y719" i="20"/>
  <c r="Y710" i="20"/>
  <c r="Y1215" i="20"/>
  <c r="Y242" i="20"/>
  <c r="Y11" i="20"/>
  <c r="Y967" i="20"/>
  <c r="Y884" i="20"/>
  <c r="Y927" i="20"/>
  <c r="Y1079" i="20"/>
  <c r="Y28" i="20"/>
  <c r="Y449" i="20"/>
  <c r="Y445" i="20"/>
  <c r="Y580" i="20"/>
  <c r="Y793" i="20"/>
  <c r="Y394" i="20"/>
  <c r="Y711" i="20"/>
  <c r="Y333" i="20"/>
  <c r="Y511" i="20"/>
  <c r="Y1104" i="20"/>
  <c r="Y407" i="20"/>
  <c r="Y601" i="20"/>
  <c r="Y839" i="20"/>
  <c r="Y388" i="20"/>
  <c r="Y683" i="20"/>
  <c r="Y1136" i="20"/>
  <c r="Y981" i="20"/>
  <c r="Y265" i="20"/>
  <c r="Y875" i="20"/>
  <c r="Y1078" i="20"/>
  <c r="Y746" i="20"/>
  <c r="Y693" i="20"/>
  <c r="Y299" i="20"/>
  <c r="Y997" i="20"/>
  <c r="Y340" i="20"/>
  <c r="Y668" i="20"/>
  <c r="Y422" i="20"/>
  <c r="Y446" i="20"/>
  <c r="Y279" i="20"/>
  <c r="Y638" i="20"/>
  <c r="Y459" i="20"/>
  <c r="Y370" i="20"/>
  <c r="Y788" i="20"/>
  <c r="Y99" i="20"/>
  <c r="Y187" i="20"/>
  <c r="Y518" i="20"/>
  <c r="Y209" i="20"/>
  <c r="Y1132" i="20"/>
  <c r="Y466" i="20"/>
  <c r="Y641" i="20"/>
  <c r="Y995" i="20"/>
  <c r="Y654" i="20"/>
  <c r="Y1121" i="20"/>
  <c r="Y273" i="20"/>
  <c r="Y1138" i="20"/>
  <c r="Y310" i="20"/>
  <c r="Y512" i="20"/>
  <c r="Y650" i="20"/>
  <c r="Y230" i="20"/>
  <c r="Y98" i="20"/>
  <c r="Y872" i="20"/>
  <c r="Y460" i="20"/>
  <c r="Y318" i="20"/>
  <c r="Y675" i="20"/>
  <c r="Y1050" i="20"/>
  <c r="Y141" i="20"/>
  <c r="Y396" i="20"/>
  <c r="Y974" i="20"/>
  <c r="Y201" i="20"/>
  <c r="Y874" i="20"/>
  <c r="Y1192" i="20"/>
  <c r="Y1048" i="20"/>
  <c r="Y689" i="20"/>
  <c r="Y1006" i="20"/>
  <c r="Y268" i="20"/>
  <c r="Y1102" i="20"/>
  <c r="Y238" i="20"/>
  <c r="Y899" i="20"/>
  <c r="Y341" i="20"/>
  <c r="Y646" i="20"/>
  <c r="Y1149" i="20"/>
  <c r="Y756" i="20"/>
  <c r="Y835" i="20"/>
  <c r="Y213" i="20"/>
  <c r="Y958" i="20"/>
  <c r="Y1049" i="20"/>
  <c r="Y1038" i="20"/>
  <c r="Y623" i="20"/>
  <c r="Y979" i="20"/>
  <c r="Y1039" i="20"/>
  <c r="Y1229" i="20"/>
  <c r="Y985" i="20"/>
  <c r="Y966" i="20"/>
  <c r="Y223" i="20"/>
  <c r="Y636" i="20"/>
  <c r="Y898" i="20"/>
  <c r="Y1117" i="20"/>
  <c r="Y386" i="20"/>
  <c r="Y1178" i="20"/>
  <c r="Y647" i="20"/>
  <c r="Y30" i="20"/>
  <c r="Y770" i="20"/>
  <c r="Y140" i="20"/>
  <c r="Y174" i="20"/>
  <c r="Y408" i="20"/>
  <c r="Y697" i="20"/>
  <c r="Y962" i="20"/>
  <c r="Y364" i="20"/>
  <c r="Y716" i="20"/>
  <c r="Y424" i="20"/>
  <c r="Y34" i="20"/>
  <c r="AV1224" i="11"/>
  <c r="AV1223" i="11"/>
  <c r="AV1222" i="11"/>
  <c r="AV1201" i="11"/>
  <c r="AV1200" i="11"/>
  <c r="AV1199" i="11"/>
  <c r="AZ1162" i="11"/>
  <c r="AZ1161" i="11"/>
  <c r="AZ1160" i="11"/>
  <c r="AZ1135" i="11"/>
  <c r="AZ1134" i="11"/>
  <c r="AZ1133" i="11"/>
  <c r="AV1162" i="11"/>
  <c r="AV1161" i="11"/>
  <c r="AV1160" i="11"/>
  <c r="AV1135" i="11"/>
  <c r="AV1134" i="11"/>
  <c r="AV1133" i="11"/>
  <c r="AL897" i="11"/>
  <c r="AN897" i="11" s="1"/>
  <c r="AI897" i="11"/>
  <c r="AJ897" i="11" s="1"/>
  <c r="AL896" i="11"/>
  <c r="AM896" i="11" s="1"/>
  <c r="AI896" i="11"/>
  <c r="AK896" i="11" s="1"/>
  <c r="AL895" i="11"/>
  <c r="AM895" i="11" s="1"/>
  <c r="AI895" i="11"/>
  <c r="AJ895" i="11" s="1"/>
  <c r="AL894" i="11"/>
  <c r="AM894" i="11" s="1"/>
  <c r="AI894" i="11"/>
  <c r="AJ894" i="11" s="1"/>
  <c r="AL893" i="11"/>
  <c r="AM893" i="11" s="1"/>
  <c r="AI893" i="11"/>
  <c r="AL892" i="11"/>
  <c r="AN892" i="11" s="1"/>
  <c r="AI892" i="11"/>
  <c r="AJ892" i="11" s="1"/>
  <c r="AZ888" i="11"/>
  <c r="AZ887" i="11"/>
  <c r="AZ886" i="11"/>
  <c r="AV888" i="11"/>
  <c r="AV887" i="11"/>
  <c r="AV886" i="11"/>
  <c r="AZ765" i="11"/>
  <c r="AZ764" i="11"/>
  <c r="AZ763" i="11"/>
  <c r="AV765" i="11"/>
  <c r="AV764" i="11"/>
  <c r="AV763" i="11"/>
  <c r="AV649" i="11"/>
  <c r="AV648" i="11"/>
  <c r="AV647" i="11"/>
  <c r="AL638" i="11"/>
  <c r="AN638" i="11" s="1"/>
  <c r="AI638" i="11"/>
  <c r="AK638" i="11" s="1"/>
  <c r="AL637" i="11"/>
  <c r="AN637" i="11" s="1"/>
  <c r="AI637" i="11"/>
  <c r="AJ637" i="11" s="1"/>
  <c r="AL636" i="11"/>
  <c r="AM636" i="11" s="1"/>
  <c r="AI636" i="11"/>
  <c r="AK636" i="11" s="1"/>
  <c r="AL635" i="11"/>
  <c r="AM635" i="11" s="1"/>
  <c r="AI635" i="11"/>
  <c r="AJ635" i="11" s="1"/>
  <c r="AL634" i="11"/>
  <c r="AN634" i="11" s="1"/>
  <c r="AI634" i="11"/>
  <c r="AK634" i="11" s="1"/>
  <c r="AL633" i="11"/>
  <c r="AN633" i="11" s="1"/>
  <c r="AI633" i="11"/>
  <c r="AK633" i="11" s="1"/>
  <c r="AZ603" i="11"/>
  <c r="AZ602" i="11"/>
  <c r="AZ601" i="11"/>
  <c r="AV601" i="11"/>
  <c r="AV603" i="11"/>
  <c r="AV602" i="11"/>
  <c r="AZ582" i="11"/>
  <c r="AZ587" i="11"/>
  <c r="AZ586" i="11"/>
  <c r="AV582" i="11"/>
  <c r="AV587" i="11"/>
  <c r="AV586" i="11"/>
  <c r="AZ560" i="11"/>
  <c r="AZ559" i="11"/>
  <c r="AZ558" i="11"/>
  <c r="AV560" i="11"/>
  <c r="AV559" i="11"/>
  <c r="AV558" i="11"/>
  <c r="AL511" i="11"/>
  <c r="AN511" i="11" s="1"/>
  <c r="AI511" i="11"/>
  <c r="AJ511" i="11" s="1"/>
  <c r="AL510" i="11"/>
  <c r="AN510" i="11" s="1"/>
  <c r="AI510" i="11"/>
  <c r="AK510" i="11" s="1"/>
  <c r="AL509" i="11"/>
  <c r="AM509" i="11" s="1"/>
  <c r="AI509" i="11"/>
  <c r="AK509" i="11" s="1"/>
  <c r="AL508" i="11"/>
  <c r="AM508" i="11" s="1"/>
  <c r="AI508" i="11"/>
  <c r="AJ508" i="11" s="1"/>
  <c r="AL507" i="11"/>
  <c r="AN507" i="11" s="1"/>
  <c r="AI507" i="11"/>
  <c r="AK507" i="11" s="1"/>
  <c r="AL506" i="11"/>
  <c r="AM506" i="11" s="1"/>
  <c r="AI506" i="11"/>
  <c r="AK506" i="11" s="1"/>
  <c r="AZ254" i="11"/>
  <c r="AZ253" i="11"/>
  <c r="AL236" i="11"/>
  <c r="AN236" i="11" s="1"/>
  <c r="AI236" i="11"/>
  <c r="AJ236" i="11" s="1"/>
  <c r="AL235" i="11"/>
  <c r="AN235" i="11" s="1"/>
  <c r="AI235" i="11"/>
  <c r="AK235" i="11" s="1"/>
  <c r="AL234" i="11"/>
  <c r="AN234" i="11" s="1"/>
  <c r="AI234" i="11"/>
  <c r="AK234" i="11" s="1"/>
  <c r="AL233" i="11"/>
  <c r="AN233" i="11" s="1"/>
  <c r="AI233" i="11"/>
  <c r="AK233" i="11" s="1"/>
  <c r="AL232" i="11"/>
  <c r="AN232" i="11" s="1"/>
  <c r="AI232" i="11"/>
  <c r="AJ232" i="11" s="1"/>
  <c r="AL231" i="11"/>
  <c r="AN231" i="11" s="1"/>
  <c r="AI231" i="11"/>
  <c r="AK231" i="11" s="1"/>
  <c r="AL154" i="11"/>
  <c r="AN154" i="11" s="1"/>
  <c r="AL153" i="11"/>
  <c r="AM153" i="11" s="1"/>
  <c r="AL152" i="11"/>
  <c r="AM152" i="11" s="1"/>
  <c r="AL151" i="11"/>
  <c r="AM151" i="11" s="1"/>
  <c r="AL150" i="11"/>
  <c r="AM150" i="11" s="1"/>
  <c r="AL149" i="11"/>
  <c r="AN149" i="11" s="1"/>
  <c r="AI154" i="11"/>
  <c r="AJ154" i="11" s="1"/>
  <c r="AI153" i="11"/>
  <c r="AI152" i="11"/>
  <c r="AI151" i="11"/>
  <c r="AI150" i="11"/>
  <c r="AI149" i="11"/>
  <c r="AK149" i="11" s="1"/>
  <c r="AV92" i="11"/>
  <c r="AJ636" i="11" l="1"/>
  <c r="AM233" i="11"/>
  <c r="AK897" i="11"/>
  <c r="AJ634" i="11"/>
  <c r="AM511" i="11"/>
  <c r="AJ149" i="11"/>
  <c r="AK154" i="11"/>
  <c r="AK236" i="11"/>
  <c r="AN635" i="11"/>
  <c r="AM234" i="11"/>
  <c r="AN636" i="11"/>
  <c r="AN509" i="11"/>
  <c r="AJ231" i="11"/>
  <c r="AK150" i="11"/>
  <c r="AJ150" i="11"/>
  <c r="AM510" i="11"/>
  <c r="AK151" i="11"/>
  <c r="AJ151" i="11"/>
  <c r="AK232" i="11"/>
  <c r="AK153" i="11"/>
  <c r="AJ153" i="11"/>
  <c r="AK893" i="11"/>
  <c r="AJ893" i="11"/>
  <c r="AJ152" i="11"/>
  <c r="AK152" i="11"/>
  <c r="AM149" i="11"/>
  <c r="AN895" i="11"/>
  <c r="AK508" i="11"/>
  <c r="AJ896" i="11"/>
  <c r="AN896" i="11"/>
  <c r="AN893" i="11"/>
  <c r="AK894" i="11"/>
  <c r="AN894" i="11"/>
  <c r="AM892" i="11"/>
  <c r="AK895" i="11"/>
  <c r="AM897" i="11"/>
  <c r="AK892" i="11"/>
  <c r="AK635" i="11"/>
  <c r="AM637" i="11"/>
  <c r="AM634" i="11"/>
  <c r="AJ633" i="11"/>
  <c r="AK637" i="11"/>
  <c r="AM633" i="11"/>
  <c r="AJ638" i="11"/>
  <c r="AM638" i="11"/>
  <c r="AJ510" i="11"/>
  <c r="AM507" i="11"/>
  <c r="AN508" i="11"/>
  <c r="AK511" i="11"/>
  <c r="AJ506" i="11"/>
  <c r="AN506" i="11"/>
  <c r="AJ509" i="11"/>
  <c r="AJ507" i="11"/>
  <c r="AJ235" i="11"/>
  <c r="AJ233" i="11"/>
  <c r="AM235" i="11"/>
  <c r="AM232" i="11"/>
  <c r="AM231" i="11"/>
  <c r="AJ234" i="11"/>
  <c r="AM236" i="11"/>
  <c r="AM154" i="11"/>
  <c r="AN152" i="11"/>
  <c r="AN150" i="11"/>
  <c r="AN151" i="11"/>
  <c r="AN153" i="11"/>
  <c r="AZ897" i="11"/>
  <c r="AZ896" i="11"/>
  <c r="AZ895" i="11"/>
  <c r="AZ894" i="11"/>
  <c r="AZ893" i="11"/>
  <c r="AZ892" i="11"/>
  <c r="AZ638" i="11"/>
  <c r="AZ637" i="11"/>
  <c r="AZ636" i="11"/>
  <c r="AZ635" i="11"/>
  <c r="AZ634" i="11"/>
  <c r="AZ633" i="11"/>
  <c r="AZ511" i="11"/>
  <c r="AZ510" i="11"/>
  <c r="AZ509" i="11"/>
  <c r="AZ508" i="11"/>
  <c r="AZ507" i="11"/>
  <c r="AZ506" i="11"/>
  <c r="AZ236" i="11"/>
  <c r="AZ235" i="11"/>
  <c r="AZ234" i="11"/>
  <c r="AZ233" i="11"/>
  <c r="AZ232" i="11"/>
  <c r="AZ231" i="11"/>
  <c r="AZ150" i="11"/>
  <c r="AZ151" i="11"/>
  <c r="AZ152" i="11"/>
  <c r="AZ153" i="11"/>
  <c r="AZ154" i="11"/>
  <c r="AZ149" i="11"/>
  <c r="AX228" i="11"/>
  <c r="AV228" i="11"/>
  <c r="AN228" i="11"/>
  <c r="AM228" i="11"/>
  <c r="AK228" i="11"/>
  <c r="AJ228" i="11"/>
  <c r="AX227" i="11"/>
  <c r="AV227" i="11"/>
  <c r="AN227" i="11"/>
  <c r="AM227" i="11"/>
  <c r="AK227" i="11"/>
  <c r="AJ227" i="11"/>
  <c r="AX226" i="11"/>
  <c r="AV226" i="11"/>
  <c r="AN226" i="11"/>
  <c r="AM226" i="11"/>
  <c r="AK226" i="11"/>
  <c r="AJ226" i="11"/>
  <c r="U23" i="7" l="1"/>
  <c r="S23" i="7"/>
  <c r="U22" i="7"/>
  <c r="S22" i="7"/>
  <c r="U16" i="7"/>
  <c r="U19" i="7"/>
  <c r="S19" i="7"/>
  <c r="U53" i="7"/>
  <c r="S53" i="7"/>
  <c r="U50" i="7"/>
  <c r="S50" i="7"/>
  <c r="U49" i="7"/>
  <c r="S49" i="7"/>
  <c r="U28" i="7"/>
  <c r="S28" i="7"/>
  <c r="U59" i="7"/>
  <c r="S59" i="7"/>
  <c r="U58" i="7"/>
  <c r="S58" i="7"/>
  <c r="U62" i="7" l="1"/>
  <c r="S62" i="7"/>
  <c r="U61" i="7"/>
  <c r="S61" i="7"/>
  <c r="U60" i="7"/>
  <c r="S60" i="7"/>
  <c r="AZ1102" i="11" l="1"/>
  <c r="AZ1101" i="11"/>
  <c r="AZ1100" i="11"/>
  <c r="AZ1099" i="11"/>
  <c r="AZ1098" i="11"/>
  <c r="AZ1097" i="11"/>
  <c r="AL1102" i="11"/>
  <c r="AN1102" i="11" s="1"/>
  <c r="AL1101" i="11"/>
  <c r="AN1101" i="11" s="1"/>
  <c r="AL1100" i="11"/>
  <c r="AM1100" i="11" s="1"/>
  <c r="AL1099" i="11"/>
  <c r="AM1099" i="11" s="1"/>
  <c r="AL1098" i="11"/>
  <c r="AM1098" i="11" s="1"/>
  <c r="AL1097" i="11"/>
  <c r="AN1097" i="11" s="1"/>
  <c r="AI1102" i="11"/>
  <c r="AK1102" i="11" s="1"/>
  <c r="AI1101" i="11"/>
  <c r="AK1101" i="11" s="1"/>
  <c r="AI1100" i="11"/>
  <c r="AJ1100" i="11" s="1"/>
  <c r="AI1099" i="11"/>
  <c r="AK1099" i="11" s="1"/>
  <c r="AI1098" i="11"/>
  <c r="AK1098" i="11" s="1"/>
  <c r="AI1097" i="11"/>
  <c r="AJ1097" i="11" s="1"/>
  <c r="AX1102" i="11"/>
  <c r="AX1101" i="11"/>
  <c r="AX1100" i="11"/>
  <c r="AX1099" i="11"/>
  <c r="AX1098" i="11"/>
  <c r="AX1097" i="11"/>
  <c r="AV1102" i="11"/>
  <c r="AV1101" i="11"/>
  <c r="AV1100" i="11"/>
  <c r="AV1099" i="11"/>
  <c r="AV1098" i="11"/>
  <c r="AV1097" i="11"/>
  <c r="AF1102" i="11"/>
  <c r="AE1102" i="11"/>
  <c r="AD1102" i="11"/>
  <c r="U1102" i="11"/>
  <c r="S1102" i="11"/>
  <c r="K1102" i="11"/>
  <c r="AC1102" i="11" s="1"/>
  <c r="J1102" i="11"/>
  <c r="I1102" i="11"/>
  <c r="H1102" i="11"/>
  <c r="AF1101" i="11"/>
  <c r="AE1101" i="11"/>
  <c r="AD1101" i="11"/>
  <c r="U1101" i="11"/>
  <c r="S1101" i="11"/>
  <c r="K1101" i="11"/>
  <c r="AC1101" i="11" s="1"/>
  <c r="J1101" i="11"/>
  <c r="I1101" i="11"/>
  <c r="H1101" i="11"/>
  <c r="AF1100" i="11"/>
  <c r="AE1100" i="11"/>
  <c r="AD1100" i="11"/>
  <c r="U1100" i="11"/>
  <c r="S1100" i="11"/>
  <c r="K1100" i="11"/>
  <c r="AC1100" i="11" s="1"/>
  <c r="J1100" i="11"/>
  <c r="I1100" i="11"/>
  <c r="H1100" i="11"/>
  <c r="AF1099" i="11"/>
  <c r="AE1099" i="11"/>
  <c r="AD1099" i="11"/>
  <c r="U1099" i="11"/>
  <c r="S1099" i="11"/>
  <c r="K1099" i="11"/>
  <c r="AC1099" i="11" s="1"/>
  <c r="J1099" i="11"/>
  <c r="I1099" i="11"/>
  <c r="H1099" i="11"/>
  <c r="AF1098" i="11"/>
  <c r="AE1098" i="11"/>
  <c r="AD1098" i="11"/>
  <c r="U1098" i="11"/>
  <c r="S1098" i="11"/>
  <c r="K1098" i="11"/>
  <c r="AC1098" i="11" s="1"/>
  <c r="J1098" i="11"/>
  <c r="I1098" i="11"/>
  <c r="H1098" i="11"/>
  <c r="AF1097" i="11"/>
  <c r="AE1097" i="11"/>
  <c r="AD1097" i="11"/>
  <c r="U1097" i="11"/>
  <c r="Q1097" i="11"/>
  <c r="K1097" i="11"/>
  <c r="AC1097" i="11" s="1"/>
  <c r="J1097" i="11"/>
  <c r="I1097" i="11"/>
  <c r="H1097" i="11"/>
  <c r="BD1102" i="11"/>
  <c r="BG1102" i="11" s="1"/>
  <c r="BD1101" i="11"/>
  <c r="BG1101" i="11" s="1"/>
  <c r="BD1100" i="11"/>
  <c r="BG1100" i="11" s="1"/>
  <c r="BD1099" i="11"/>
  <c r="BG1099" i="11" s="1"/>
  <c r="BD1098" i="11"/>
  <c r="BG1098" i="11" s="1"/>
  <c r="BD1097" i="11"/>
  <c r="BG1097" i="11" s="1"/>
  <c r="BI897" i="11"/>
  <c r="BI896" i="11"/>
  <c r="BI895" i="11"/>
  <c r="BI894" i="11"/>
  <c r="BI893" i="11"/>
  <c r="BI892" i="11"/>
  <c r="AF897" i="11"/>
  <c r="AD897" i="11"/>
  <c r="U897" i="11"/>
  <c r="M897" i="11"/>
  <c r="L897" i="11"/>
  <c r="S897" i="11" s="1"/>
  <c r="K897" i="11"/>
  <c r="J897" i="11"/>
  <c r="I897" i="11"/>
  <c r="H897" i="11"/>
  <c r="AF896" i="11"/>
  <c r="AD896" i="11"/>
  <c r="U896" i="11"/>
  <c r="M896" i="11"/>
  <c r="L896" i="11"/>
  <c r="S896" i="11" s="1"/>
  <c r="K896" i="11"/>
  <c r="J896" i="11"/>
  <c r="I896" i="11"/>
  <c r="H896" i="11"/>
  <c r="AF895" i="11"/>
  <c r="AD895" i="11"/>
  <c r="U895" i="11"/>
  <c r="M895" i="11"/>
  <c r="L895" i="11"/>
  <c r="S895" i="11" s="1"/>
  <c r="K895" i="11"/>
  <c r="J895" i="11"/>
  <c r="I895" i="11"/>
  <c r="H895" i="11"/>
  <c r="AF894" i="11"/>
  <c r="AD894" i="11"/>
  <c r="U894" i="11"/>
  <c r="M894" i="11"/>
  <c r="L894" i="11"/>
  <c r="S894" i="11" s="1"/>
  <c r="K894" i="11"/>
  <c r="J894" i="11"/>
  <c r="I894" i="11"/>
  <c r="H894" i="11"/>
  <c r="AF893" i="11"/>
  <c r="AD893" i="11"/>
  <c r="U893" i="11"/>
  <c r="M893" i="11"/>
  <c r="L893" i="11"/>
  <c r="S893" i="11" s="1"/>
  <c r="K893" i="11"/>
  <c r="J893" i="11"/>
  <c r="I893" i="11"/>
  <c r="H893" i="11"/>
  <c r="AF892" i="11"/>
  <c r="AD892" i="11"/>
  <c r="U892" i="11"/>
  <c r="M892" i="11"/>
  <c r="L892" i="11"/>
  <c r="S892" i="11" s="1"/>
  <c r="K892" i="11"/>
  <c r="J892" i="11"/>
  <c r="I892" i="11"/>
  <c r="H892" i="11"/>
  <c r="AX897" i="11"/>
  <c r="AV897" i="11"/>
  <c r="AX896" i="11"/>
  <c r="AV896" i="11"/>
  <c r="AX895" i="11"/>
  <c r="AV895" i="11"/>
  <c r="AX894" i="11"/>
  <c r="AV894" i="11"/>
  <c r="AX893" i="11"/>
  <c r="AV893" i="11"/>
  <c r="AX892" i="11"/>
  <c r="AV892" i="11"/>
  <c r="BI638" i="11"/>
  <c r="BI637" i="11"/>
  <c r="BI636" i="11"/>
  <c r="BI635" i="11"/>
  <c r="BI634" i="11"/>
  <c r="BI633" i="11"/>
  <c r="AF638" i="11"/>
  <c r="AD638" i="11"/>
  <c r="U638" i="11"/>
  <c r="M638" i="11"/>
  <c r="L638" i="11"/>
  <c r="S638" i="11" s="1"/>
  <c r="K638" i="11"/>
  <c r="J638" i="11"/>
  <c r="I638" i="11"/>
  <c r="H638" i="11"/>
  <c r="AF637" i="11"/>
  <c r="AD637" i="11"/>
  <c r="U637" i="11"/>
  <c r="M637" i="11"/>
  <c r="L637" i="11"/>
  <c r="S637" i="11" s="1"/>
  <c r="K637" i="11"/>
  <c r="J637" i="11"/>
  <c r="I637" i="11"/>
  <c r="H637" i="11"/>
  <c r="AF636" i="11"/>
  <c r="AD636" i="11"/>
  <c r="U636" i="11"/>
  <c r="M636" i="11"/>
  <c r="L636" i="11"/>
  <c r="S636" i="11" s="1"/>
  <c r="K636" i="11"/>
  <c r="J636" i="11"/>
  <c r="I636" i="11"/>
  <c r="H636" i="11"/>
  <c r="AF635" i="11"/>
  <c r="AD635" i="11"/>
  <c r="U635" i="11"/>
  <c r="M635" i="11"/>
  <c r="L635" i="11"/>
  <c r="S635" i="11" s="1"/>
  <c r="K635" i="11"/>
  <c r="J635" i="11"/>
  <c r="I635" i="11"/>
  <c r="H635" i="11"/>
  <c r="AF634" i="11"/>
  <c r="AD634" i="11"/>
  <c r="U634" i="11"/>
  <c r="M634" i="11"/>
  <c r="L634" i="11"/>
  <c r="S634" i="11" s="1"/>
  <c r="K634" i="11"/>
  <c r="J634" i="11"/>
  <c r="I634" i="11"/>
  <c r="H634" i="11"/>
  <c r="AF633" i="11"/>
  <c r="AD633" i="11"/>
  <c r="U633" i="11"/>
  <c r="M633" i="11"/>
  <c r="L633" i="11"/>
  <c r="Q633" i="11" s="1"/>
  <c r="K633" i="11"/>
  <c r="J633" i="11"/>
  <c r="I633" i="11"/>
  <c r="H633" i="11"/>
  <c r="AX638" i="11"/>
  <c r="AV638" i="11"/>
  <c r="AX637" i="11"/>
  <c r="AV637" i="11"/>
  <c r="AX636" i="11"/>
  <c r="AV636" i="11"/>
  <c r="AX635" i="11"/>
  <c r="AV635" i="11"/>
  <c r="AX634" i="11"/>
  <c r="AV634" i="11"/>
  <c r="AX633" i="11"/>
  <c r="AV633" i="11"/>
  <c r="BI511" i="11"/>
  <c r="BI510" i="11"/>
  <c r="BI509" i="11"/>
  <c r="BI508" i="11"/>
  <c r="BI507" i="11"/>
  <c r="BI506" i="11"/>
  <c r="AF511" i="11"/>
  <c r="AD511" i="11"/>
  <c r="U511" i="11"/>
  <c r="M511" i="11"/>
  <c r="L511" i="11"/>
  <c r="S511" i="11" s="1"/>
  <c r="K511" i="11"/>
  <c r="J511" i="11"/>
  <c r="I511" i="11"/>
  <c r="H511" i="11"/>
  <c r="AF510" i="11"/>
  <c r="AD510" i="11"/>
  <c r="U510" i="11"/>
  <c r="M510" i="11"/>
  <c r="L510" i="11"/>
  <c r="Q510" i="11" s="1"/>
  <c r="K510" i="11"/>
  <c r="J510" i="11"/>
  <c r="I510" i="11"/>
  <c r="H510" i="11"/>
  <c r="AF509" i="11"/>
  <c r="AD509" i="11"/>
  <c r="U509" i="11"/>
  <c r="M509" i="11"/>
  <c r="L509" i="11"/>
  <c r="S509" i="11" s="1"/>
  <c r="K509" i="11"/>
  <c r="J509" i="11"/>
  <c r="I509" i="11"/>
  <c r="H509" i="11"/>
  <c r="AF508" i="11"/>
  <c r="AD508" i="11"/>
  <c r="U508" i="11"/>
  <c r="M508" i="11"/>
  <c r="L508" i="11"/>
  <c r="Q508" i="11" s="1"/>
  <c r="K508" i="11"/>
  <c r="J508" i="11"/>
  <c r="I508" i="11"/>
  <c r="H508" i="11"/>
  <c r="AF507" i="11"/>
  <c r="AD507" i="11"/>
  <c r="U507" i="11"/>
  <c r="M507" i="11"/>
  <c r="L507" i="11"/>
  <c r="Q507" i="11" s="1"/>
  <c r="K507" i="11"/>
  <c r="J507" i="11"/>
  <c r="I507" i="11"/>
  <c r="H507" i="11"/>
  <c r="AF506" i="11"/>
  <c r="AD506" i="11"/>
  <c r="U506" i="11"/>
  <c r="M506" i="11"/>
  <c r="L506" i="11"/>
  <c r="S506" i="11" s="1"/>
  <c r="K506" i="11"/>
  <c r="J506" i="11"/>
  <c r="I506" i="11"/>
  <c r="H506" i="11"/>
  <c r="AX511" i="11"/>
  <c r="AV511" i="11"/>
  <c r="AX510" i="11"/>
  <c r="AV510" i="11"/>
  <c r="AX509" i="11"/>
  <c r="AV509" i="11"/>
  <c r="AX508" i="11"/>
  <c r="AV508" i="11"/>
  <c r="AX507" i="11"/>
  <c r="AV507" i="11"/>
  <c r="AX506" i="11"/>
  <c r="AV506" i="11"/>
  <c r="BI236" i="11"/>
  <c r="BI235" i="11"/>
  <c r="BI234" i="11"/>
  <c r="BI233" i="11"/>
  <c r="BI232" i="11"/>
  <c r="BI231" i="11"/>
  <c r="AF236" i="11"/>
  <c r="AD236" i="11"/>
  <c r="U236" i="11"/>
  <c r="M236" i="11"/>
  <c r="L236" i="11"/>
  <c r="S236" i="11" s="1"/>
  <c r="K236" i="11"/>
  <c r="J236" i="11"/>
  <c r="I236" i="11"/>
  <c r="H236" i="11"/>
  <c r="AF235" i="11"/>
  <c r="AD235" i="11"/>
  <c r="U235" i="11"/>
  <c r="M235" i="11"/>
  <c r="L235" i="11"/>
  <c r="S235" i="11" s="1"/>
  <c r="K235" i="11"/>
  <c r="J235" i="11"/>
  <c r="I235" i="11"/>
  <c r="H235" i="11"/>
  <c r="AF234" i="11"/>
  <c r="AD234" i="11"/>
  <c r="U234" i="11"/>
  <c r="M234" i="11"/>
  <c r="L234" i="11"/>
  <c r="S234" i="11" s="1"/>
  <c r="K234" i="11"/>
  <c r="J234" i="11"/>
  <c r="I234" i="11"/>
  <c r="H234" i="11"/>
  <c r="AF233" i="11"/>
  <c r="AD233" i="11"/>
  <c r="U233" i="11"/>
  <c r="M233" i="11"/>
  <c r="L233" i="11"/>
  <c r="S233" i="11" s="1"/>
  <c r="K233" i="11"/>
  <c r="J233" i="11"/>
  <c r="I233" i="11"/>
  <c r="H233" i="11"/>
  <c r="AF232" i="11"/>
  <c r="AD232" i="11"/>
  <c r="U232" i="11"/>
  <c r="M232" i="11"/>
  <c r="L232" i="11"/>
  <c r="S232" i="11" s="1"/>
  <c r="K232" i="11"/>
  <c r="J232" i="11"/>
  <c r="I232" i="11"/>
  <c r="H232" i="11"/>
  <c r="AF231" i="11"/>
  <c r="AD231" i="11"/>
  <c r="U231" i="11"/>
  <c r="M231" i="11"/>
  <c r="L231" i="11"/>
  <c r="S231" i="11" s="1"/>
  <c r="K231" i="11"/>
  <c r="J231" i="11"/>
  <c r="I231" i="11"/>
  <c r="H231" i="11"/>
  <c r="AX236" i="11"/>
  <c r="AV236" i="11"/>
  <c r="AX235" i="11"/>
  <c r="AV235" i="11"/>
  <c r="AX234" i="11"/>
  <c r="AV234" i="11"/>
  <c r="AX233" i="11"/>
  <c r="AV233" i="11"/>
  <c r="AX232" i="11"/>
  <c r="AV232" i="11"/>
  <c r="AX231" i="11"/>
  <c r="AV231" i="11"/>
  <c r="BI154" i="11"/>
  <c r="BI153" i="11"/>
  <c r="BI152" i="11"/>
  <c r="BI151" i="11"/>
  <c r="BI150" i="11"/>
  <c r="BI149" i="11"/>
  <c r="AX154" i="11"/>
  <c r="AX153" i="11"/>
  <c r="AX152" i="11"/>
  <c r="AX151" i="11"/>
  <c r="AX150" i="11"/>
  <c r="AX149" i="11"/>
  <c r="AV154" i="11"/>
  <c r="AV153" i="11"/>
  <c r="AV152" i="11"/>
  <c r="AV151" i="11"/>
  <c r="AV150" i="11"/>
  <c r="AV149" i="11"/>
  <c r="AF154" i="11"/>
  <c r="AD154" i="11"/>
  <c r="U154" i="11"/>
  <c r="M154" i="11"/>
  <c r="L154" i="11"/>
  <c r="S154" i="11" s="1"/>
  <c r="K154" i="11"/>
  <c r="J154" i="11"/>
  <c r="I154" i="11"/>
  <c r="H154" i="11"/>
  <c r="AF153" i="11"/>
  <c r="AD153" i="11"/>
  <c r="U153" i="11"/>
  <c r="M153" i="11"/>
  <c r="L153" i="11"/>
  <c r="S153" i="11" s="1"/>
  <c r="K153" i="11"/>
  <c r="J153" i="11"/>
  <c r="I153" i="11"/>
  <c r="H153" i="11"/>
  <c r="AF152" i="11"/>
  <c r="AD152" i="11"/>
  <c r="U152" i="11"/>
  <c r="M152" i="11"/>
  <c r="L152" i="11"/>
  <c r="S152" i="11" s="1"/>
  <c r="K152" i="11"/>
  <c r="J152" i="11"/>
  <c r="I152" i="11"/>
  <c r="H152" i="11"/>
  <c r="AF151" i="11"/>
  <c r="AD151" i="11"/>
  <c r="U151" i="11"/>
  <c r="M151" i="11"/>
  <c r="L151" i="11"/>
  <c r="S151" i="11" s="1"/>
  <c r="K151" i="11"/>
  <c r="J151" i="11"/>
  <c r="I151" i="11"/>
  <c r="H151" i="11"/>
  <c r="AF150" i="11"/>
  <c r="AD150" i="11"/>
  <c r="U150" i="11"/>
  <c r="M150" i="11"/>
  <c r="L150" i="11"/>
  <c r="S150" i="11" s="1"/>
  <c r="K150" i="11"/>
  <c r="J150" i="11"/>
  <c r="I150" i="11"/>
  <c r="H150" i="11"/>
  <c r="AF149" i="11"/>
  <c r="AD149" i="11"/>
  <c r="U149" i="11"/>
  <c r="M149" i="11"/>
  <c r="L149" i="11"/>
  <c r="S149" i="11" s="1"/>
  <c r="K149" i="11"/>
  <c r="J149" i="11"/>
  <c r="I149" i="11"/>
  <c r="H149" i="11"/>
  <c r="BG585" i="11"/>
  <c r="AZ585" i="11"/>
  <c r="AX585" i="11"/>
  <c r="BE585" i="11" s="1"/>
  <c r="BF585" i="11" s="1"/>
  <c r="AV585" i="11"/>
  <c r="AF585" i="11"/>
  <c r="AD585" i="11"/>
  <c r="U585" i="11"/>
  <c r="M585" i="11"/>
  <c r="L585" i="11"/>
  <c r="S585" i="11" s="1"/>
  <c r="K585" i="11"/>
  <c r="AC585" i="11" s="1"/>
  <c r="J585" i="11"/>
  <c r="I585" i="11"/>
  <c r="H585" i="11"/>
  <c r="BG584" i="11"/>
  <c r="AZ584" i="11"/>
  <c r="AX584" i="11"/>
  <c r="BE584" i="11" s="1"/>
  <c r="BF584" i="11" s="1"/>
  <c r="AV584" i="11"/>
  <c r="AF584" i="11"/>
  <c r="AD584" i="11"/>
  <c r="U584" i="11"/>
  <c r="M584" i="11"/>
  <c r="L584" i="11"/>
  <c r="S584" i="11" s="1"/>
  <c r="K584" i="11"/>
  <c r="AC584" i="11" s="1"/>
  <c r="J584" i="11"/>
  <c r="I584" i="11"/>
  <c r="H584" i="11"/>
  <c r="BG583" i="11"/>
  <c r="AZ583" i="11"/>
  <c r="AX583" i="11"/>
  <c r="BE583" i="11" s="1"/>
  <c r="BF583" i="11" s="1"/>
  <c r="AV583" i="11"/>
  <c r="AF583" i="11"/>
  <c r="AD583" i="11"/>
  <c r="U583" i="11"/>
  <c r="M583" i="11"/>
  <c r="L583" i="11"/>
  <c r="Q583" i="11" s="1"/>
  <c r="K583" i="11"/>
  <c r="AC583" i="11" s="1"/>
  <c r="J583" i="11"/>
  <c r="I583" i="11"/>
  <c r="H583" i="11"/>
  <c r="BG529" i="11"/>
  <c r="AZ529" i="11"/>
  <c r="AX529" i="11"/>
  <c r="BE529" i="11" s="1"/>
  <c r="BF529" i="11" s="1"/>
  <c r="AV529" i="11"/>
  <c r="AF529" i="11"/>
  <c r="AD529" i="11"/>
  <c r="U529" i="11"/>
  <c r="M529" i="11"/>
  <c r="L529" i="11"/>
  <c r="S529" i="11" s="1"/>
  <c r="K529" i="11"/>
  <c r="AC529" i="11" s="1"/>
  <c r="J529" i="11"/>
  <c r="I529" i="11"/>
  <c r="H529" i="11"/>
  <c r="BG528" i="11"/>
  <c r="AZ528" i="11"/>
  <c r="AX528" i="11"/>
  <c r="BE528" i="11" s="1"/>
  <c r="BF528" i="11" s="1"/>
  <c r="AV528" i="11"/>
  <c r="AF528" i="11"/>
  <c r="AD528" i="11"/>
  <c r="U528" i="11"/>
  <c r="M528" i="11"/>
  <c r="L528" i="11"/>
  <c r="S528" i="11" s="1"/>
  <c r="K528" i="11"/>
  <c r="AC528" i="11" s="1"/>
  <c r="J528" i="11"/>
  <c r="I528" i="11"/>
  <c r="H528" i="11"/>
  <c r="BG527" i="11"/>
  <c r="AZ527" i="11"/>
  <c r="AX527" i="11"/>
  <c r="BE527" i="11" s="1"/>
  <c r="BF527" i="11" s="1"/>
  <c r="AV527" i="11"/>
  <c r="AF527" i="11"/>
  <c r="AD527" i="11"/>
  <c r="U527" i="11"/>
  <c r="M527" i="11"/>
  <c r="L527" i="11"/>
  <c r="Q527" i="11" s="1"/>
  <c r="K527" i="11"/>
  <c r="AC527" i="11" s="1"/>
  <c r="J527" i="11"/>
  <c r="I527" i="11"/>
  <c r="H527" i="11"/>
  <c r="BG207" i="11"/>
  <c r="AZ207" i="11"/>
  <c r="AX207" i="11"/>
  <c r="BE207" i="11" s="1"/>
  <c r="BF207" i="11" s="1"/>
  <c r="AV207" i="11"/>
  <c r="AF207" i="11"/>
  <c r="AD207" i="11"/>
  <c r="U207" i="11"/>
  <c r="M207" i="11"/>
  <c r="L207" i="11"/>
  <c r="Q207" i="11" s="1"/>
  <c r="K207" i="11"/>
  <c r="AC207" i="11" s="1"/>
  <c r="J207" i="11"/>
  <c r="I207" i="11"/>
  <c r="H207" i="11"/>
  <c r="BG206" i="11"/>
  <c r="AZ206" i="11"/>
  <c r="AX206" i="11"/>
  <c r="BE206" i="11" s="1"/>
  <c r="BF206" i="11" s="1"/>
  <c r="AV206" i="11"/>
  <c r="AF206" i="11"/>
  <c r="AD206" i="11"/>
  <c r="U206" i="11"/>
  <c r="M206" i="11"/>
  <c r="L206" i="11"/>
  <c r="S206" i="11" s="1"/>
  <c r="K206" i="11"/>
  <c r="AC206" i="11" s="1"/>
  <c r="J206" i="11"/>
  <c r="I206" i="11"/>
  <c r="H206" i="11"/>
  <c r="BG205" i="11"/>
  <c r="AZ205" i="11"/>
  <c r="AX205" i="11"/>
  <c r="BE205" i="11" s="1"/>
  <c r="BF205" i="11" s="1"/>
  <c r="AV205" i="11"/>
  <c r="AF205" i="11"/>
  <c r="AD205" i="11"/>
  <c r="U205" i="11"/>
  <c r="M205" i="11"/>
  <c r="L205" i="11"/>
  <c r="Q205" i="11" s="1"/>
  <c r="K205" i="11"/>
  <c r="AC205" i="11" s="1"/>
  <c r="J205" i="11"/>
  <c r="I205" i="11"/>
  <c r="H205" i="11"/>
  <c r="BG148" i="11"/>
  <c r="AZ148" i="11"/>
  <c r="AX148" i="11"/>
  <c r="BE148" i="11" s="1"/>
  <c r="BF148" i="11" s="1"/>
  <c r="AV148" i="11"/>
  <c r="AF148" i="11"/>
  <c r="AD148" i="11"/>
  <c r="U148" i="11"/>
  <c r="M148" i="11"/>
  <c r="L148" i="11"/>
  <c r="Q148" i="11" s="1"/>
  <c r="K148" i="11"/>
  <c r="AC148" i="11" s="1"/>
  <c r="J148" i="11"/>
  <c r="I148" i="11"/>
  <c r="H148" i="11"/>
  <c r="BG147" i="11"/>
  <c r="AZ147" i="11"/>
  <c r="AX147" i="11"/>
  <c r="BE147" i="11" s="1"/>
  <c r="BF147" i="11" s="1"/>
  <c r="AV147" i="11"/>
  <c r="AF147" i="11"/>
  <c r="AD147" i="11"/>
  <c r="U147" i="11"/>
  <c r="M147" i="11"/>
  <c r="L147" i="11"/>
  <c r="S147" i="11" s="1"/>
  <c r="K147" i="11"/>
  <c r="AC147" i="11" s="1"/>
  <c r="J147" i="11"/>
  <c r="I147" i="11"/>
  <c r="H147" i="11"/>
  <c r="BG146" i="11"/>
  <c r="AZ146" i="11"/>
  <c r="AX146" i="11"/>
  <c r="BE146" i="11" s="1"/>
  <c r="BF146" i="11" s="1"/>
  <c r="AV146" i="11"/>
  <c r="AF146" i="11"/>
  <c r="AD146" i="11"/>
  <c r="U146" i="11"/>
  <c r="M146" i="11"/>
  <c r="L146" i="11"/>
  <c r="Q146" i="11" s="1"/>
  <c r="K146" i="11"/>
  <c r="AC146" i="11" s="1"/>
  <c r="J146" i="11"/>
  <c r="I146" i="11"/>
  <c r="H146" i="11"/>
  <c r="BD1211" i="11"/>
  <c r="AX1211" i="11"/>
  <c r="AV1211" i="11"/>
  <c r="AL1211" i="11"/>
  <c r="AN1211" i="11" s="1"/>
  <c r="AI1211" i="11"/>
  <c r="AK1211" i="11" s="1"/>
  <c r="AF1211" i="11"/>
  <c r="AD1211" i="11"/>
  <c r="U1211" i="11"/>
  <c r="M1211" i="11"/>
  <c r="L1211" i="11"/>
  <c r="S1211" i="11" s="1"/>
  <c r="K1211" i="11"/>
  <c r="AC1211" i="11" s="1"/>
  <c r="J1211" i="11"/>
  <c r="I1211" i="11"/>
  <c r="H1211" i="11"/>
  <c r="BD1210" i="11"/>
  <c r="AX1210" i="11"/>
  <c r="AV1210" i="11"/>
  <c r="AL1210" i="11"/>
  <c r="AN1210" i="11" s="1"/>
  <c r="AI1210" i="11"/>
  <c r="AK1210" i="11" s="1"/>
  <c r="AF1210" i="11"/>
  <c r="AD1210" i="11"/>
  <c r="U1210" i="11"/>
  <c r="M1210" i="11"/>
  <c r="L1210" i="11"/>
  <c r="S1210" i="11" s="1"/>
  <c r="K1210" i="11"/>
  <c r="AC1210" i="11" s="1"/>
  <c r="J1210" i="11"/>
  <c r="I1210" i="11"/>
  <c r="H1210" i="11"/>
  <c r="BG1209" i="11"/>
  <c r="BD1209" i="11" s="1"/>
  <c r="AX1209" i="11"/>
  <c r="AV1209" i="11"/>
  <c r="AL1209" i="11"/>
  <c r="AN1209" i="11" s="1"/>
  <c r="AI1209" i="11"/>
  <c r="AK1209" i="11" s="1"/>
  <c r="AF1209" i="11"/>
  <c r="AD1209" i="11"/>
  <c r="U1209" i="11"/>
  <c r="M1209" i="11"/>
  <c r="L1209" i="11"/>
  <c r="S1209" i="11" s="1"/>
  <c r="K1209" i="11"/>
  <c r="AC1209" i="11" s="1"/>
  <c r="J1209" i="11"/>
  <c r="I1209" i="11"/>
  <c r="H1209" i="11"/>
  <c r="BD1208" i="11"/>
  <c r="AX1208" i="11"/>
  <c r="AV1208" i="11"/>
  <c r="AL1208" i="11"/>
  <c r="AN1208" i="11" s="1"/>
  <c r="AI1208" i="11"/>
  <c r="AK1208" i="11" s="1"/>
  <c r="AF1208" i="11"/>
  <c r="AD1208" i="11"/>
  <c r="U1208" i="11"/>
  <c r="M1208" i="11"/>
  <c r="L1208" i="11"/>
  <c r="S1208" i="11" s="1"/>
  <c r="K1208" i="11"/>
  <c r="AC1208" i="11" s="1"/>
  <c r="J1208" i="11"/>
  <c r="I1208" i="11"/>
  <c r="H1208" i="11"/>
  <c r="BG1207" i="11"/>
  <c r="BD1207" i="11" s="1"/>
  <c r="AX1207" i="11"/>
  <c r="AV1207" i="11"/>
  <c r="AL1207" i="11"/>
  <c r="AN1207" i="11" s="1"/>
  <c r="AI1207" i="11"/>
  <c r="AK1207" i="11" s="1"/>
  <c r="AF1207" i="11"/>
  <c r="AD1207" i="11"/>
  <c r="U1207" i="11"/>
  <c r="M1207" i="11"/>
  <c r="L1207" i="11"/>
  <c r="S1207" i="11" s="1"/>
  <c r="K1207" i="11"/>
  <c r="AC1207" i="11" s="1"/>
  <c r="J1207" i="11"/>
  <c r="I1207" i="11"/>
  <c r="H1207" i="11"/>
  <c r="BG1206" i="11"/>
  <c r="BD1206" i="11" s="1"/>
  <c r="AX1206" i="11"/>
  <c r="AV1206" i="11"/>
  <c r="AL1206" i="11"/>
  <c r="AN1206" i="11" s="1"/>
  <c r="AI1206" i="11"/>
  <c r="AK1206" i="11" s="1"/>
  <c r="AF1206" i="11"/>
  <c r="AD1206" i="11"/>
  <c r="U1206" i="11"/>
  <c r="M1206" i="11"/>
  <c r="L1206" i="11"/>
  <c r="S1206" i="11" s="1"/>
  <c r="K1206" i="11"/>
  <c r="AC1206" i="11" s="1"/>
  <c r="J1206" i="11"/>
  <c r="I1206" i="11"/>
  <c r="H1206" i="11"/>
  <c r="BD1205" i="11"/>
  <c r="AX1205" i="11"/>
  <c r="AV1205" i="11"/>
  <c r="AL1205" i="11"/>
  <c r="AN1205" i="11" s="1"/>
  <c r="AI1205" i="11"/>
  <c r="AK1205" i="11" s="1"/>
  <c r="AF1205" i="11"/>
  <c r="AD1205" i="11"/>
  <c r="U1205" i="11"/>
  <c r="M1205" i="11"/>
  <c r="L1205" i="11"/>
  <c r="S1205" i="11" s="1"/>
  <c r="K1205" i="11"/>
  <c r="AC1205" i="11" s="1"/>
  <c r="J1205" i="11"/>
  <c r="I1205" i="11"/>
  <c r="H1205" i="11"/>
  <c r="BD1204" i="11"/>
  <c r="AX1204" i="11"/>
  <c r="AV1204" i="11"/>
  <c r="AL1204" i="11"/>
  <c r="AN1204" i="11" s="1"/>
  <c r="AI1204" i="11"/>
  <c r="AK1204" i="11" s="1"/>
  <c r="AF1204" i="11"/>
  <c r="AD1204" i="11"/>
  <c r="U1204" i="11"/>
  <c r="M1204" i="11"/>
  <c r="L1204" i="11"/>
  <c r="S1204" i="11" s="1"/>
  <c r="K1204" i="11"/>
  <c r="AC1204" i="11" s="1"/>
  <c r="J1204" i="11"/>
  <c r="I1204" i="11"/>
  <c r="H1204" i="11"/>
  <c r="BG1203" i="11"/>
  <c r="BD1203" i="11" s="1"/>
  <c r="AX1203" i="11"/>
  <c r="AV1203" i="11"/>
  <c r="AL1203" i="11"/>
  <c r="AN1203" i="11" s="1"/>
  <c r="AI1203" i="11"/>
  <c r="AK1203" i="11" s="1"/>
  <c r="AF1203" i="11"/>
  <c r="AD1203" i="11"/>
  <c r="U1203" i="11"/>
  <c r="M1203" i="11"/>
  <c r="L1203" i="11"/>
  <c r="S1203" i="11" s="1"/>
  <c r="K1203" i="11"/>
  <c r="AC1203" i="11" s="1"/>
  <c r="J1203" i="11"/>
  <c r="I1203" i="11"/>
  <c r="H1203" i="11"/>
  <c r="BD1202" i="11"/>
  <c r="AX1202" i="11"/>
  <c r="AV1202" i="11"/>
  <c r="AL1202" i="11"/>
  <c r="AN1202" i="11" s="1"/>
  <c r="AI1202" i="11"/>
  <c r="AK1202" i="11" s="1"/>
  <c r="AF1202" i="11"/>
  <c r="AD1202" i="11"/>
  <c r="U1202" i="11"/>
  <c r="M1202" i="11"/>
  <c r="L1202" i="11"/>
  <c r="Q1202" i="11" s="1"/>
  <c r="K1202" i="11"/>
  <c r="AC1202" i="11" s="1"/>
  <c r="J1202" i="11"/>
  <c r="I1202" i="11"/>
  <c r="H1202" i="11"/>
  <c r="BD878" i="11"/>
  <c r="AX878" i="11"/>
  <c r="AV878" i="11"/>
  <c r="AL878" i="11"/>
  <c r="AN878" i="11" s="1"/>
  <c r="AI878" i="11"/>
  <c r="AK878" i="11" s="1"/>
  <c r="AF878" i="11"/>
  <c r="AD878" i="11"/>
  <c r="U878" i="11"/>
  <c r="M878" i="11"/>
  <c r="L878" i="11"/>
  <c r="S878" i="11" s="1"/>
  <c r="K878" i="11"/>
  <c r="AC878" i="11" s="1"/>
  <c r="J878" i="11"/>
  <c r="I878" i="11"/>
  <c r="H878" i="11"/>
  <c r="BD877" i="11"/>
  <c r="AX877" i="11"/>
  <c r="AV877" i="11"/>
  <c r="AL877" i="11"/>
  <c r="AN877" i="11" s="1"/>
  <c r="AI877" i="11"/>
  <c r="AK877" i="11" s="1"/>
  <c r="AF877" i="11"/>
  <c r="AD877" i="11"/>
  <c r="U877" i="11"/>
  <c r="M877" i="11"/>
  <c r="L877" i="11"/>
  <c r="S877" i="11" s="1"/>
  <c r="K877" i="11"/>
  <c r="AC877" i="11" s="1"/>
  <c r="J877" i="11"/>
  <c r="I877" i="11"/>
  <c r="H877" i="11"/>
  <c r="BG876" i="11"/>
  <c r="BD876" i="11" s="1"/>
  <c r="AX876" i="11"/>
  <c r="AV876" i="11"/>
  <c r="AL876" i="11"/>
  <c r="AN876" i="11" s="1"/>
  <c r="AI876" i="11"/>
  <c r="AK876" i="11" s="1"/>
  <c r="AF876" i="11"/>
  <c r="AD876" i="11"/>
  <c r="U876" i="11"/>
  <c r="M876" i="11"/>
  <c r="L876" i="11"/>
  <c r="S876" i="11" s="1"/>
  <c r="K876" i="11"/>
  <c r="AC876" i="11" s="1"/>
  <c r="J876" i="11"/>
  <c r="I876" i="11"/>
  <c r="H876" i="11"/>
  <c r="BD875" i="11"/>
  <c r="AX875" i="11"/>
  <c r="AV875" i="11"/>
  <c r="AL875" i="11"/>
  <c r="AN875" i="11" s="1"/>
  <c r="AI875" i="11"/>
  <c r="AK875" i="11" s="1"/>
  <c r="AF875" i="11"/>
  <c r="AD875" i="11"/>
  <c r="U875" i="11"/>
  <c r="M875" i="11"/>
  <c r="L875" i="11"/>
  <c r="S875" i="11" s="1"/>
  <c r="K875" i="11"/>
  <c r="AC875" i="11" s="1"/>
  <c r="J875" i="11"/>
  <c r="I875" i="11"/>
  <c r="H875" i="11"/>
  <c r="BD874" i="11"/>
  <c r="AX874" i="11"/>
  <c r="AV874" i="11"/>
  <c r="AL874" i="11"/>
  <c r="AN874" i="11" s="1"/>
  <c r="AI874" i="11"/>
  <c r="AK874" i="11" s="1"/>
  <c r="AF874" i="11"/>
  <c r="AD874" i="11"/>
  <c r="U874" i="11"/>
  <c r="M874" i="11"/>
  <c r="L874" i="11"/>
  <c r="S874" i="11" s="1"/>
  <c r="K874" i="11"/>
  <c r="AC874" i="11" s="1"/>
  <c r="J874" i="11"/>
  <c r="I874" i="11"/>
  <c r="H874" i="11"/>
  <c r="BD873" i="11"/>
  <c r="AX873" i="11"/>
  <c r="AV873" i="11"/>
  <c r="AL873" i="11"/>
  <c r="AN873" i="11" s="1"/>
  <c r="AI873" i="11"/>
  <c r="AK873" i="11" s="1"/>
  <c r="AF873" i="11"/>
  <c r="AD873" i="11"/>
  <c r="U873" i="11"/>
  <c r="M873" i="11"/>
  <c r="L873" i="11"/>
  <c r="S873" i="11" s="1"/>
  <c r="K873" i="11"/>
  <c r="J873" i="11"/>
  <c r="I873" i="11"/>
  <c r="H873" i="11"/>
  <c r="BG872" i="11"/>
  <c r="BD872" i="11" s="1"/>
  <c r="AX872" i="11"/>
  <c r="AV872" i="11"/>
  <c r="AL872" i="11"/>
  <c r="AN872" i="11" s="1"/>
  <c r="AI872" i="11"/>
  <c r="AK872" i="11" s="1"/>
  <c r="AF872" i="11"/>
  <c r="AD872" i="11"/>
  <c r="U872" i="11"/>
  <c r="M872" i="11"/>
  <c r="L872" i="11"/>
  <c r="S872" i="11" s="1"/>
  <c r="K872" i="11"/>
  <c r="AC872" i="11" s="1"/>
  <c r="J872" i="11"/>
  <c r="I872" i="11"/>
  <c r="H872" i="11"/>
  <c r="BD871" i="11"/>
  <c r="AX871" i="11"/>
  <c r="AV871" i="11"/>
  <c r="AL871" i="11"/>
  <c r="AN871" i="11" s="1"/>
  <c r="AI871" i="11"/>
  <c r="AK871" i="11" s="1"/>
  <c r="AF871" i="11"/>
  <c r="AD871" i="11"/>
  <c r="U871" i="11"/>
  <c r="M871" i="11"/>
  <c r="L871" i="11"/>
  <c r="S871" i="11" s="1"/>
  <c r="K871" i="11"/>
  <c r="AC871" i="11" s="1"/>
  <c r="J871" i="11"/>
  <c r="I871" i="11"/>
  <c r="H871" i="11"/>
  <c r="BD870" i="11"/>
  <c r="AX870" i="11"/>
  <c r="AV870" i="11"/>
  <c r="AL870" i="11"/>
  <c r="AN870" i="11" s="1"/>
  <c r="AI870" i="11"/>
  <c r="AK870" i="11" s="1"/>
  <c r="AF870" i="11"/>
  <c r="AD870" i="11"/>
  <c r="U870" i="11"/>
  <c r="M870" i="11"/>
  <c r="L870" i="11"/>
  <c r="S870" i="11" s="1"/>
  <c r="K870" i="11"/>
  <c r="AC870" i="11" s="1"/>
  <c r="J870" i="11"/>
  <c r="I870" i="11"/>
  <c r="H870" i="11"/>
  <c r="BG869" i="11"/>
  <c r="BD869" i="11" s="1"/>
  <c r="AX869" i="11"/>
  <c r="AV869" i="11"/>
  <c r="AL869" i="11"/>
  <c r="AN869" i="11" s="1"/>
  <c r="AI869" i="11"/>
  <c r="AK869" i="11" s="1"/>
  <c r="AF869" i="11"/>
  <c r="AD869" i="11"/>
  <c r="U869" i="11"/>
  <c r="M869" i="11"/>
  <c r="L869" i="11"/>
  <c r="S869" i="11" s="1"/>
  <c r="K869" i="11"/>
  <c r="AC869" i="11" s="1"/>
  <c r="J869" i="11"/>
  <c r="I869" i="11"/>
  <c r="H869" i="11"/>
  <c r="BD868" i="11"/>
  <c r="AX868" i="11"/>
  <c r="AV868" i="11"/>
  <c r="AL868" i="11"/>
  <c r="AN868" i="11" s="1"/>
  <c r="AI868" i="11"/>
  <c r="AK868" i="11" s="1"/>
  <c r="AF868" i="11"/>
  <c r="AD868" i="11"/>
  <c r="U868" i="11"/>
  <c r="M868" i="11"/>
  <c r="L868" i="11"/>
  <c r="Q868" i="11" s="1"/>
  <c r="K868" i="11"/>
  <c r="AC868" i="11" s="1"/>
  <c r="J868" i="11"/>
  <c r="I868" i="11"/>
  <c r="H868" i="11"/>
  <c r="BD692" i="11"/>
  <c r="AX692" i="11"/>
  <c r="AV692" i="11"/>
  <c r="AL692" i="11"/>
  <c r="AN692" i="11" s="1"/>
  <c r="AI692" i="11"/>
  <c r="AK692" i="11" s="1"/>
  <c r="AF692" i="11"/>
  <c r="AD692" i="11"/>
  <c r="U692" i="11"/>
  <c r="M692" i="11"/>
  <c r="L692" i="11"/>
  <c r="S692" i="11" s="1"/>
  <c r="K692" i="11"/>
  <c r="AC692" i="11" s="1"/>
  <c r="J692" i="11"/>
  <c r="I692" i="11"/>
  <c r="H692" i="11"/>
  <c r="BD691" i="11"/>
  <c r="AX691" i="11"/>
  <c r="AV691" i="11"/>
  <c r="AL691" i="11"/>
  <c r="AN691" i="11" s="1"/>
  <c r="AI691" i="11"/>
  <c r="AK691" i="11" s="1"/>
  <c r="AF691" i="11"/>
  <c r="AD691" i="11"/>
  <c r="U691" i="11"/>
  <c r="M691" i="11"/>
  <c r="L691" i="11"/>
  <c r="S691" i="11" s="1"/>
  <c r="K691" i="11"/>
  <c r="AC691" i="11" s="1"/>
  <c r="J691" i="11"/>
  <c r="I691" i="11"/>
  <c r="H691" i="11"/>
  <c r="BD690" i="11"/>
  <c r="AX690" i="11"/>
  <c r="AV690" i="11"/>
  <c r="AL690" i="11"/>
  <c r="AN690" i="11" s="1"/>
  <c r="AI690" i="11"/>
  <c r="AK690" i="11" s="1"/>
  <c r="AF690" i="11"/>
  <c r="AD690" i="11"/>
  <c r="U690" i="11"/>
  <c r="M690" i="11"/>
  <c r="L690" i="11"/>
  <c r="Q690" i="11" s="1"/>
  <c r="K690" i="11"/>
  <c r="AC690" i="11" s="1"/>
  <c r="J690" i="11"/>
  <c r="I690" i="11"/>
  <c r="H690" i="11"/>
  <c r="BD689" i="11"/>
  <c r="AX689" i="11"/>
  <c r="AV689" i="11"/>
  <c r="AL689" i="11"/>
  <c r="AN689" i="11" s="1"/>
  <c r="AI689" i="11"/>
  <c r="AK689" i="11" s="1"/>
  <c r="AF689" i="11"/>
  <c r="AD689" i="11"/>
  <c r="U689" i="11"/>
  <c r="M689" i="11"/>
  <c r="L689" i="11"/>
  <c r="Q689" i="11" s="1"/>
  <c r="K689" i="11"/>
  <c r="AC689" i="11" s="1"/>
  <c r="J689" i="11"/>
  <c r="I689" i="11"/>
  <c r="H689" i="11"/>
  <c r="BG688" i="11"/>
  <c r="AX688" i="11"/>
  <c r="AV688" i="11"/>
  <c r="AL688" i="11"/>
  <c r="AN688" i="11" s="1"/>
  <c r="AI688" i="11"/>
  <c r="AK688" i="11" s="1"/>
  <c r="AF688" i="11"/>
  <c r="AD688" i="11"/>
  <c r="U688" i="11"/>
  <c r="M688" i="11"/>
  <c r="L688" i="11"/>
  <c r="S688" i="11" s="1"/>
  <c r="K688" i="11"/>
  <c r="AC688" i="11" s="1"/>
  <c r="J688" i="11"/>
  <c r="I688" i="11"/>
  <c r="H688" i="11"/>
  <c r="BG687" i="11"/>
  <c r="AX687" i="11"/>
  <c r="AV687" i="11"/>
  <c r="AL687" i="11"/>
  <c r="AN687" i="11" s="1"/>
  <c r="AI687" i="11"/>
  <c r="AK687" i="11" s="1"/>
  <c r="AF687" i="11"/>
  <c r="AD687" i="11"/>
  <c r="U687" i="11"/>
  <c r="M687" i="11"/>
  <c r="L687" i="11"/>
  <c r="S687" i="11" s="1"/>
  <c r="K687" i="11"/>
  <c r="AC687" i="11" s="1"/>
  <c r="J687" i="11"/>
  <c r="I687" i="11"/>
  <c r="H687" i="11"/>
  <c r="BD686" i="11"/>
  <c r="AX686" i="11"/>
  <c r="AV686" i="11"/>
  <c r="AL686" i="11"/>
  <c r="AN686" i="11" s="1"/>
  <c r="AI686" i="11"/>
  <c r="AK686" i="11" s="1"/>
  <c r="AF686" i="11"/>
  <c r="AD686" i="11"/>
  <c r="U686" i="11"/>
  <c r="M686" i="11"/>
  <c r="L686" i="11"/>
  <c r="S686" i="11" s="1"/>
  <c r="K686" i="11"/>
  <c r="AC686" i="11" s="1"/>
  <c r="J686" i="11"/>
  <c r="I686" i="11"/>
  <c r="H686" i="11"/>
  <c r="BD685" i="11"/>
  <c r="AX685" i="11"/>
  <c r="AV685" i="11"/>
  <c r="AL685" i="11"/>
  <c r="AN685" i="11" s="1"/>
  <c r="AI685" i="11"/>
  <c r="AK685" i="11" s="1"/>
  <c r="AF685" i="11"/>
  <c r="AD685" i="11"/>
  <c r="U685" i="11"/>
  <c r="M685" i="11"/>
  <c r="L685" i="11"/>
  <c r="S685" i="11" s="1"/>
  <c r="K685" i="11"/>
  <c r="AC685" i="11" s="1"/>
  <c r="J685" i="11"/>
  <c r="I685" i="11"/>
  <c r="H685" i="11"/>
  <c r="BG684" i="11"/>
  <c r="BD684" i="11" s="1"/>
  <c r="AX684" i="11"/>
  <c r="AV684" i="11"/>
  <c r="AL684" i="11"/>
  <c r="AN684" i="11" s="1"/>
  <c r="AI684" i="11"/>
  <c r="AK684" i="11" s="1"/>
  <c r="AF684" i="11"/>
  <c r="AD684" i="11"/>
  <c r="U684" i="11"/>
  <c r="M684" i="11"/>
  <c r="L684" i="11"/>
  <c r="S684" i="11" s="1"/>
  <c r="K684" i="11"/>
  <c r="AC684" i="11" s="1"/>
  <c r="J684" i="11"/>
  <c r="I684" i="11"/>
  <c r="H684" i="11"/>
  <c r="BD683" i="11"/>
  <c r="AX683" i="11"/>
  <c r="AV683" i="11"/>
  <c r="AL683" i="11"/>
  <c r="AN683" i="11" s="1"/>
  <c r="AI683" i="11"/>
  <c r="AK683" i="11" s="1"/>
  <c r="AF683" i="11"/>
  <c r="AD683" i="11"/>
  <c r="U683" i="11"/>
  <c r="M683" i="11"/>
  <c r="L683" i="11"/>
  <c r="S683" i="11" s="1"/>
  <c r="K683" i="11"/>
  <c r="AC683" i="11" s="1"/>
  <c r="J683" i="11"/>
  <c r="I683" i="11"/>
  <c r="H683" i="11"/>
  <c r="BD550" i="11"/>
  <c r="AX550" i="11"/>
  <c r="AV550" i="11"/>
  <c r="AL550" i="11"/>
  <c r="AN550" i="11" s="1"/>
  <c r="AI550" i="11"/>
  <c r="AK550" i="11" s="1"/>
  <c r="AF550" i="11"/>
  <c r="AD550" i="11"/>
  <c r="U550" i="11"/>
  <c r="M550" i="11"/>
  <c r="L550" i="11"/>
  <c r="S550" i="11" s="1"/>
  <c r="K550" i="11"/>
  <c r="AC550" i="11" s="1"/>
  <c r="J550" i="11"/>
  <c r="I550" i="11"/>
  <c r="H550" i="11"/>
  <c r="BD549" i="11"/>
  <c r="AX549" i="11"/>
  <c r="AV549" i="11"/>
  <c r="AL549" i="11"/>
  <c r="AN549" i="11" s="1"/>
  <c r="AI549" i="11"/>
  <c r="AK549" i="11" s="1"/>
  <c r="AF549" i="11"/>
  <c r="AD549" i="11"/>
  <c r="U549" i="11"/>
  <c r="M549" i="11"/>
  <c r="L549" i="11"/>
  <c r="S549" i="11" s="1"/>
  <c r="K549" i="11"/>
  <c r="AC549" i="11" s="1"/>
  <c r="J549" i="11"/>
  <c r="I549" i="11"/>
  <c r="H549" i="11"/>
  <c r="BG548" i="11"/>
  <c r="AX548" i="11"/>
  <c r="AV548" i="11"/>
  <c r="AL548" i="11"/>
  <c r="AN548" i="11" s="1"/>
  <c r="AI548" i="11"/>
  <c r="AK548" i="11" s="1"/>
  <c r="AF548" i="11"/>
  <c r="AD548" i="11"/>
  <c r="U548" i="11"/>
  <c r="M548" i="11"/>
  <c r="L548" i="11"/>
  <c r="Q548" i="11" s="1"/>
  <c r="V548" i="11" s="1"/>
  <c r="K548" i="11"/>
  <c r="AC548" i="11" s="1"/>
  <c r="J548" i="11"/>
  <c r="I548" i="11"/>
  <c r="H548" i="11"/>
  <c r="BD547" i="11"/>
  <c r="AX547" i="11"/>
  <c r="AV547" i="11"/>
  <c r="AL547" i="11"/>
  <c r="AN547" i="11" s="1"/>
  <c r="AI547" i="11"/>
  <c r="AK547" i="11" s="1"/>
  <c r="AF547" i="11"/>
  <c r="AD547" i="11"/>
  <c r="U547" i="11"/>
  <c r="M547" i="11"/>
  <c r="L547" i="11"/>
  <c r="S547" i="11" s="1"/>
  <c r="K547" i="11"/>
  <c r="AC547" i="11" s="1"/>
  <c r="J547" i="11"/>
  <c r="I547" i="11"/>
  <c r="H547" i="11"/>
  <c r="BD546" i="11"/>
  <c r="AX546" i="11"/>
  <c r="AV546" i="11"/>
  <c r="AL546" i="11"/>
  <c r="AN546" i="11" s="1"/>
  <c r="AI546" i="11"/>
  <c r="AK546" i="11" s="1"/>
  <c r="AF546" i="11"/>
  <c r="AD546" i="11"/>
  <c r="U546" i="11"/>
  <c r="M546" i="11"/>
  <c r="L546" i="11"/>
  <c r="Q546" i="11" s="1"/>
  <c r="K546" i="11"/>
  <c r="AC546" i="11" s="1"/>
  <c r="J546" i="11"/>
  <c r="I546" i="11"/>
  <c r="H546" i="11"/>
  <c r="BG545" i="11"/>
  <c r="BD545" i="11" s="1"/>
  <c r="AX545" i="11"/>
  <c r="AV545" i="11"/>
  <c r="AL545" i="11"/>
  <c r="AN545" i="11" s="1"/>
  <c r="AI545" i="11"/>
  <c r="AK545" i="11" s="1"/>
  <c r="AF545" i="11"/>
  <c r="AD545" i="11"/>
  <c r="U545" i="11"/>
  <c r="M545" i="11"/>
  <c r="L545" i="11"/>
  <c r="Q545" i="11" s="1"/>
  <c r="K545" i="11"/>
  <c r="AC545" i="11" s="1"/>
  <c r="J545" i="11"/>
  <c r="I545" i="11"/>
  <c r="H545" i="11"/>
  <c r="BG544" i="11"/>
  <c r="BD544" i="11" s="1"/>
  <c r="AX544" i="11"/>
  <c r="AV544" i="11"/>
  <c r="AL544" i="11"/>
  <c r="AN544" i="11" s="1"/>
  <c r="AI544" i="11"/>
  <c r="AK544" i="11" s="1"/>
  <c r="AF544" i="11"/>
  <c r="AD544" i="11"/>
  <c r="U544" i="11"/>
  <c r="M544" i="11"/>
  <c r="L544" i="11"/>
  <c r="S544" i="11" s="1"/>
  <c r="K544" i="11"/>
  <c r="AC544" i="11" s="1"/>
  <c r="J544" i="11"/>
  <c r="I544" i="11"/>
  <c r="H544" i="11"/>
  <c r="BD543" i="11"/>
  <c r="AX543" i="11"/>
  <c r="AV543" i="11"/>
  <c r="AL543" i="11"/>
  <c r="AN543" i="11" s="1"/>
  <c r="AI543" i="11"/>
  <c r="AK543" i="11" s="1"/>
  <c r="AF543" i="11"/>
  <c r="AD543" i="11"/>
  <c r="U543" i="11"/>
  <c r="M543" i="11"/>
  <c r="L543" i="11"/>
  <c r="S543" i="11" s="1"/>
  <c r="K543" i="11"/>
  <c r="AC543" i="11" s="1"/>
  <c r="J543" i="11"/>
  <c r="I543" i="11"/>
  <c r="H543" i="11"/>
  <c r="BG542" i="11"/>
  <c r="BD542" i="11" s="1"/>
  <c r="AX542" i="11"/>
  <c r="AV542" i="11"/>
  <c r="AL542" i="11"/>
  <c r="AN542" i="11" s="1"/>
  <c r="AI542" i="11"/>
  <c r="AK542" i="11" s="1"/>
  <c r="AF542" i="11"/>
  <c r="AD542" i="11"/>
  <c r="U542" i="11"/>
  <c r="M542" i="11"/>
  <c r="L542" i="11"/>
  <c r="S542" i="11" s="1"/>
  <c r="K542" i="11"/>
  <c r="AC542" i="11" s="1"/>
  <c r="J542" i="11"/>
  <c r="I542" i="11"/>
  <c r="H542" i="11"/>
  <c r="BD541" i="11"/>
  <c r="AX541" i="11"/>
  <c r="AV541" i="11"/>
  <c r="AL541" i="11"/>
  <c r="AN541" i="11" s="1"/>
  <c r="AI541" i="11"/>
  <c r="AK541" i="11" s="1"/>
  <c r="AF541" i="11"/>
  <c r="AD541" i="11"/>
  <c r="U541" i="11"/>
  <c r="M541" i="11"/>
  <c r="L541" i="11"/>
  <c r="Q541" i="11" s="1"/>
  <c r="K541" i="11"/>
  <c r="AC541" i="11" s="1"/>
  <c r="J541" i="11"/>
  <c r="I541" i="11"/>
  <c r="H541" i="11"/>
  <c r="AV1276" i="11"/>
  <c r="AV1275" i="11"/>
  <c r="AV1274" i="11"/>
  <c r="AV1273" i="11"/>
  <c r="AV1272" i="11"/>
  <c r="AV1271" i="11"/>
  <c r="AV1270" i="11"/>
  <c r="AV1269" i="11"/>
  <c r="AV1268" i="11"/>
  <c r="AV1267" i="11"/>
  <c r="AV1266" i="11"/>
  <c r="AV1265" i="11"/>
  <c r="AV1264" i="11"/>
  <c r="AV1263" i="11"/>
  <c r="AV1262" i="11"/>
  <c r="AV1261" i="11"/>
  <c r="AV1260" i="11"/>
  <c r="AV1259" i="11"/>
  <c r="AV1258" i="11"/>
  <c r="AV1257" i="11"/>
  <c r="AV1256" i="11"/>
  <c r="AV1255" i="11"/>
  <c r="AV1248" i="11"/>
  <c r="AV1241" i="11"/>
  <c r="AV1221" i="11"/>
  <c r="AV1220" i="11"/>
  <c r="AV1219" i="11"/>
  <c r="AV1218" i="11"/>
  <c r="AV1217" i="11"/>
  <c r="AV1216" i="11"/>
  <c r="AV1215" i="11"/>
  <c r="AV1214" i="11"/>
  <c r="AV1213" i="11"/>
  <c r="AV1212" i="11"/>
  <c r="AV1198" i="11"/>
  <c r="AL1198" i="11"/>
  <c r="AN1198" i="11" s="1"/>
  <c r="AI1198" i="11"/>
  <c r="AK1198" i="11" s="1"/>
  <c r="AV1197" i="11"/>
  <c r="AV1196" i="11"/>
  <c r="AV1195" i="11"/>
  <c r="AV1194" i="11"/>
  <c r="AV1193" i="11"/>
  <c r="AV1192" i="11"/>
  <c r="AV1191" i="11"/>
  <c r="AV1190" i="11"/>
  <c r="AV1189" i="11"/>
  <c r="AV1188" i="11"/>
  <c r="AV1187" i="11"/>
  <c r="AV1186" i="11"/>
  <c r="AV1185" i="11"/>
  <c r="AV1184" i="11"/>
  <c r="AV1183" i="11"/>
  <c r="AV1182" i="11"/>
  <c r="AV1181" i="11"/>
  <c r="AV1180" i="11"/>
  <c r="AV1179" i="11"/>
  <c r="AV1178" i="11"/>
  <c r="AV1177" i="11"/>
  <c r="AV1176" i="11"/>
  <c r="AV1175" i="11"/>
  <c r="AV79" i="11"/>
  <c r="AV78" i="11"/>
  <c r="AV77" i="11"/>
  <c r="AV76" i="11"/>
  <c r="AV75" i="11"/>
  <c r="AV74" i="11"/>
  <c r="AV73" i="11"/>
  <c r="AV72" i="11"/>
  <c r="AV71" i="11"/>
  <c r="AV70" i="11"/>
  <c r="AV69" i="11"/>
  <c r="AV68" i="11"/>
  <c r="AV67" i="11"/>
  <c r="AV66" i="11"/>
  <c r="AV65" i="11"/>
  <c r="AV64" i="11"/>
  <c r="AV63" i="11"/>
  <c r="AV62" i="11"/>
  <c r="AV61" i="11"/>
  <c r="AV60" i="11"/>
  <c r="AV59" i="11"/>
  <c r="AV58" i="11"/>
  <c r="AV57" i="11"/>
  <c r="AV56" i="11"/>
  <c r="AV55" i="11"/>
  <c r="AV54" i="11"/>
  <c r="AV53" i="11"/>
  <c r="AV52" i="11"/>
  <c r="AV51" i="11"/>
  <c r="AV50" i="11"/>
  <c r="AV49" i="11"/>
  <c r="AV48" i="11"/>
  <c r="AV47" i="11"/>
  <c r="AV46" i="11"/>
  <c r="AV45" i="11"/>
  <c r="AV44" i="11"/>
  <c r="AV43" i="11"/>
  <c r="AV42" i="11"/>
  <c r="AV41" i="11"/>
  <c r="AV40" i="11"/>
  <c r="AV39" i="11"/>
  <c r="AV38" i="11"/>
  <c r="AV37" i="11"/>
  <c r="AV36" i="11"/>
  <c r="AV35" i="11"/>
  <c r="AV34" i="11"/>
  <c r="AV33" i="11"/>
  <c r="AV32" i="11"/>
  <c r="AV31" i="11"/>
  <c r="AV30" i="11"/>
  <c r="AV29" i="11"/>
  <c r="AV28" i="11"/>
  <c r="AV27" i="11"/>
  <c r="AV26" i="11"/>
  <c r="AV25" i="11"/>
  <c r="AV24" i="11"/>
  <c r="AV23" i="11"/>
  <c r="AV22" i="11"/>
  <c r="AV21" i="11"/>
  <c r="AV20" i="11"/>
  <c r="AV19" i="11"/>
  <c r="AV18" i="11"/>
  <c r="AV17" i="11"/>
  <c r="AV16" i="11"/>
  <c r="AV15" i="11"/>
  <c r="AV14" i="11"/>
  <c r="AV13" i="11"/>
  <c r="AV12" i="11"/>
  <c r="AV11" i="11"/>
  <c r="AV10" i="11"/>
  <c r="AV9" i="11"/>
  <c r="AV8" i="11"/>
  <c r="AV7" i="11"/>
  <c r="AV6" i="11"/>
  <c r="AV5" i="11"/>
  <c r="AV4" i="11"/>
  <c r="AV3" i="11"/>
  <c r="AV1174" i="11"/>
  <c r="AV1173" i="11"/>
  <c r="AV1172" i="11"/>
  <c r="AV1171" i="11"/>
  <c r="AV1170" i="11"/>
  <c r="AV1169" i="11"/>
  <c r="AV1168" i="11"/>
  <c r="AV1167" i="11"/>
  <c r="AV1166" i="11"/>
  <c r="AV1165" i="11"/>
  <c r="AV1164" i="11"/>
  <c r="AN1164" i="11"/>
  <c r="AM1164" i="11"/>
  <c r="AK1164" i="11"/>
  <c r="AJ1164" i="11"/>
  <c r="AV1163" i="11"/>
  <c r="AN1163" i="11"/>
  <c r="AM1163" i="11"/>
  <c r="AK1163" i="11"/>
  <c r="AJ1163" i="11"/>
  <c r="AV1159" i="11"/>
  <c r="AV1158" i="11"/>
  <c r="AV1157" i="11"/>
  <c r="AV1156" i="11"/>
  <c r="AV1155" i="11"/>
  <c r="AV1154" i="11"/>
  <c r="AV1153" i="11"/>
  <c r="AV1152" i="11"/>
  <c r="AV1151" i="11"/>
  <c r="AV1150" i="11"/>
  <c r="AV1149" i="11"/>
  <c r="AV1148" i="11"/>
  <c r="AV1147" i="11"/>
  <c r="AV1146" i="11"/>
  <c r="AV1145" i="11"/>
  <c r="AV1144" i="11"/>
  <c r="AV1143" i="11"/>
  <c r="AV1142" i="11"/>
  <c r="AV1141" i="11"/>
  <c r="AV1140" i="11"/>
  <c r="AV1139" i="11"/>
  <c r="AV1138" i="11"/>
  <c r="AV1137" i="11"/>
  <c r="AN1137" i="11"/>
  <c r="AM1137" i="11"/>
  <c r="AK1137" i="11"/>
  <c r="AJ1137" i="11"/>
  <c r="AV1136" i="11"/>
  <c r="AN1136" i="11"/>
  <c r="AM1136" i="11"/>
  <c r="AK1136" i="11"/>
  <c r="AJ1136" i="11"/>
  <c r="AV1126" i="11"/>
  <c r="AV1125" i="11"/>
  <c r="AV1124" i="11"/>
  <c r="AV1123" i="11"/>
  <c r="AV1122" i="11"/>
  <c r="AV1121" i="11"/>
  <c r="AV1120" i="11"/>
  <c r="AV1119" i="11"/>
  <c r="AV1118" i="11"/>
  <c r="AV1117" i="11"/>
  <c r="AV1116" i="11"/>
  <c r="AV1115" i="11"/>
  <c r="AV1114" i="11"/>
  <c r="AV1113" i="11"/>
  <c r="AV1112" i="11"/>
  <c r="AV1111" i="11"/>
  <c r="AV1110" i="11"/>
  <c r="AV1109" i="11"/>
  <c r="AV1108" i="11"/>
  <c r="AV1107" i="11"/>
  <c r="AV1106" i="11"/>
  <c r="AV1105" i="11"/>
  <c r="AV1104" i="11"/>
  <c r="AV1103" i="11"/>
  <c r="AV1096" i="11"/>
  <c r="AV1095" i="11"/>
  <c r="AV1094" i="11"/>
  <c r="AV1093" i="11"/>
  <c r="AV1092" i="11"/>
  <c r="AV1091" i="11"/>
  <c r="AV1090" i="11"/>
  <c r="AV1089" i="11"/>
  <c r="AV1088" i="11"/>
  <c r="AV1087" i="11"/>
  <c r="AV1086" i="11"/>
  <c r="AV624" i="11"/>
  <c r="AV623" i="11"/>
  <c r="AV622" i="11"/>
  <c r="AV621" i="11"/>
  <c r="AV620" i="11"/>
  <c r="AV619" i="11"/>
  <c r="AV618" i="11"/>
  <c r="AV617" i="11"/>
  <c r="AV616" i="11"/>
  <c r="AV615" i="11"/>
  <c r="AV614" i="11"/>
  <c r="AV613" i="11"/>
  <c r="AV612" i="11"/>
  <c r="AV611" i="11"/>
  <c r="AV610" i="11"/>
  <c r="AV609" i="11"/>
  <c r="AV608" i="11"/>
  <c r="AV607" i="11"/>
  <c r="AV606" i="11"/>
  <c r="AV1085" i="11"/>
  <c r="AV1084" i="11"/>
  <c r="AV1083" i="11"/>
  <c r="AV1082" i="11"/>
  <c r="AV1081" i="11"/>
  <c r="AV1080" i="11"/>
  <c r="AV1079" i="11"/>
  <c r="AV1078" i="11"/>
  <c r="AV1077" i="11"/>
  <c r="AV1076" i="11"/>
  <c r="AV1069" i="11"/>
  <c r="AV1068" i="11"/>
  <c r="AV1067" i="11"/>
  <c r="AV1066" i="11"/>
  <c r="AV1065" i="11"/>
  <c r="AV1064" i="11"/>
  <c r="AV1063" i="11"/>
  <c r="AV1062" i="11"/>
  <c r="AV1061" i="11"/>
  <c r="AV1060" i="11"/>
  <c r="AV1059" i="11"/>
  <c r="AN1059" i="11"/>
  <c r="AM1059" i="11"/>
  <c r="AK1059" i="11"/>
  <c r="AJ1059" i="11"/>
  <c r="AV1058" i="11"/>
  <c r="AN1058" i="11"/>
  <c r="AM1058" i="11"/>
  <c r="AK1058" i="11"/>
  <c r="AJ1058" i="11"/>
  <c r="AV1057" i="11"/>
  <c r="AV961" i="11"/>
  <c r="AV945" i="11"/>
  <c r="AV929" i="11"/>
  <c r="AV907" i="11"/>
  <c r="AV906" i="11"/>
  <c r="AV905" i="11"/>
  <c r="AV904" i="11"/>
  <c r="AV903" i="11"/>
  <c r="AV902" i="11"/>
  <c r="AV901" i="11"/>
  <c r="AV900" i="11"/>
  <c r="AV899" i="11"/>
  <c r="AV898" i="11"/>
  <c r="AV891" i="11"/>
  <c r="AN891" i="11"/>
  <c r="AM891" i="11"/>
  <c r="AK891" i="11"/>
  <c r="AJ891" i="11"/>
  <c r="AV890" i="11"/>
  <c r="AN890" i="11"/>
  <c r="AM890" i="11"/>
  <c r="AK890" i="11"/>
  <c r="AJ890" i="11"/>
  <c r="AV889" i="11"/>
  <c r="AV885" i="11"/>
  <c r="AL885" i="11"/>
  <c r="AN885" i="11" s="1"/>
  <c r="AI885" i="11"/>
  <c r="AK885" i="11" s="1"/>
  <c r="AV884" i="11"/>
  <c r="AV883" i="11"/>
  <c r="AV882" i="11"/>
  <c r="AV881" i="11"/>
  <c r="AV880" i="11"/>
  <c r="AV879" i="11"/>
  <c r="AV864" i="11"/>
  <c r="AV863" i="11"/>
  <c r="AN863" i="11"/>
  <c r="AM863" i="11"/>
  <c r="AK863" i="11"/>
  <c r="AJ863" i="11"/>
  <c r="AV862" i="11"/>
  <c r="AN862" i="11"/>
  <c r="AM862" i="11"/>
  <c r="AK862" i="11"/>
  <c r="AJ862" i="11"/>
  <c r="AV861" i="11"/>
  <c r="AN861" i="11"/>
  <c r="AM861" i="11"/>
  <c r="AK861" i="11"/>
  <c r="AJ861" i="11"/>
  <c r="AV860" i="11"/>
  <c r="AN860" i="11"/>
  <c r="AM860" i="11"/>
  <c r="AK860" i="11"/>
  <c r="AJ860" i="11"/>
  <c r="AV859" i="11"/>
  <c r="AN859" i="11"/>
  <c r="AM859" i="11"/>
  <c r="AK859" i="11"/>
  <c r="AJ859" i="11"/>
  <c r="AV858" i="11"/>
  <c r="AN858" i="11"/>
  <c r="AM858" i="11"/>
  <c r="AK858" i="11"/>
  <c r="AJ858" i="11"/>
  <c r="AV857" i="11"/>
  <c r="AN857" i="11"/>
  <c r="AM857" i="11"/>
  <c r="AK857" i="11"/>
  <c r="AJ857" i="11"/>
  <c r="AV856" i="11"/>
  <c r="AN856" i="11"/>
  <c r="AM856" i="11"/>
  <c r="AK856" i="11"/>
  <c r="AJ856" i="11"/>
  <c r="AV855" i="11"/>
  <c r="AN855" i="11"/>
  <c r="AM855" i="11"/>
  <c r="AK855" i="11"/>
  <c r="AJ855" i="11"/>
  <c r="AV854" i="11"/>
  <c r="AN854" i="11"/>
  <c r="AM854" i="11"/>
  <c r="AK854" i="11"/>
  <c r="AJ854" i="11"/>
  <c r="AV853" i="11"/>
  <c r="AN853" i="11"/>
  <c r="AM853" i="11"/>
  <c r="AK853" i="11"/>
  <c r="AJ853" i="11"/>
  <c r="AV852" i="11"/>
  <c r="AN852" i="11"/>
  <c r="AM852" i="11"/>
  <c r="AK852" i="11"/>
  <c r="AJ852" i="11"/>
  <c r="AV851" i="11"/>
  <c r="AN851" i="11"/>
  <c r="AM851" i="11"/>
  <c r="AK851" i="11"/>
  <c r="AJ851" i="11"/>
  <c r="AV850" i="11"/>
  <c r="AN850" i="11"/>
  <c r="AM850" i="11"/>
  <c r="AK850" i="11"/>
  <c r="AJ850" i="11"/>
  <c r="AV849" i="11"/>
  <c r="AN849" i="11"/>
  <c r="AM849" i="11"/>
  <c r="AK849" i="11"/>
  <c r="AJ849" i="11"/>
  <c r="AV848" i="11"/>
  <c r="AN848" i="11"/>
  <c r="AM848" i="11"/>
  <c r="AK848" i="11"/>
  <c r="AJ848" i="11"/>
  <c r="AV847" i="11"/>
  <c r="AN847" i="11"/>
  <c r="AM847" i="11"/>
  <c r="AK847" i="11"/>
  <c r="AJ847" i="11"/>
  <c r="AV846" i="11"/>
  <c r="AN846" i="11"/>
  <c r="AM846" i="11"/>
  <c r="AK846" i="11"/>
  <c r="AJ846" i="11"/>
  <c r="AV845" i="11"/>
  <c r="AN845" i="11"/>
  <c r="AM845" i="11"/>
  <c r="AK845" i="11"/>
  <c r="AJ845" i="11"/>
  <c r="AV844" i="11"/>
  <c r="AP844" i="11"/>
  <c r="AV843" i="11"/>
  <c r="AV842" i="11"/>
  <c r="AV841" i="11"/>
  <c r="AN841" i="11"/>
  <c r="AM841" i="11"/>
  <c r="AK841" i="11"/>
  <c r="AJ841" i="11"/>
  <c r="AV838" i="11"/>
  <c r="AV837" i="11"/>
  <c r="AV802" i="11"/>
  <c r="AV801" i="11"/>
  <c r="AV800" i="11"/>
  <c r="AV799" i="11"/>
  <c r="AV791" i="11"/>
  <c r="AN791" i="11"/>
  <c r="AM791" i="11"/>
  <c r="AK791" i="11"/>
  <c r="AJ791" i="11"/>
  <c r="AV790" i="11"/>
  <c r="AN790" i="11"/>
  <c r="AM790" i="11"/>
  <c r="AK790" i="11"/>
  <c r="AJ790" i="11"/>
  <c r="AV789" i="11"/>
  <c r="AV788" i="11"/>
  <c r="AV787" i="11"/>
  <c r="AV786" i="11"/>
  <c r="AV785" i="11"/>
  <c r="AV784" i="11"/>
  <c r="AV778" i="11"/>
  <c r="AV777" i="11"/>
  <c r="AV776" i="11"/>
  <c r="AV775" i="11"/>
  <c r="AV774" i="11"/>
  <c r="AV773" i="11"/>
  <c r="AV772" i="11"/>
  <c r="AV771" i="11"/>
  <c r="AV770" i="11"/>
  <c r="AV769" i="11"/>
  <c r="AV768" i="11"/>
  <c r="AV767" i="11"/>
  <c r="AN767" i="11"/>
  <c r="AM767" i="11"/>
  <c r="AK767" i="11"/>
  <c r="AJ767" i="11"/>
  <c r="AV766" i="11"/>
  <c r="AN766" i="11"/>
  <c r="AM766" i="11"/>
  <c r="AK766" i="11"/>
  <c r="AJ766" i="11"/>
  <c r="AV762" i="11"/>
  <c r="AL762" i="11"/>
  <c r="AN762" i="11" s="1"/>
  <c r="AI762" i="11"/>
  <c r="AK762" i="11" s="1"/>
  <c r="AV735" i="11"/>
  <c r="AN735" i="11"/>
  <c r="AM735" i="11"/>
  <c r="AK735" i="11"/>
  <c r="AJ735" i="11"/>
  <c r="AV734" i="11"/>
  <c r="AN734" i="11"/>
  <c r="AM734" i="11"/>
  <c r="AK734" i="11"/>
  <c r="AJ734" i="11"/>
  <c r="AV732" i="11"/>
  <c r="AV731" i="11"/>
  <c r="AV730" i="11"/>
  <c r="AV729" i="11"/>
  <c r="AV728" i="11"/>
  <c r="AV727" i="11"/>
  <c r="AV726" i="11"/>
  <c r="AV725" i="11"/>
  <c r="AV724" i="11"/>
  <c r="AN1099" i="11" l="1"/>
  <c r="BL150" i="11"/>
  <c r="AC153" i="11"/>
  <c r="BC153" i="11"/>
  <c r="BB153" i="11"/>
  <c r="AC232" i="11"/>
  <c r="BB232" i="11"/>
  <c r="BC232" i="11"/>
  <c r="AC150" i="11"/>
  <c r="BB150" i="11"/>
  <c r="BC150" i="11"/>
  <c r="AC507" i="11"/>
  <c r="BB507" i="11"/>
  <c r="BC507" i="11"/>
  <c r="AC234" i="11"/>
  <c r="BC234" i="11"/>
  <c r="BB234" i="11"/>
  <c r="AC509" i="11"/>
  <c r="BC509" i="11"/>
  <c r="BB509" i="11"/>
  <c r="AC636" i="11"/>
  <c r="BC636" i="11"/>
  <c r="BB636" i="11"/>
  <c r="AC895" i="11"/>
  <c r="BB895" i="11"/>
  <c r="BC895" i="11"/>
  <c r="AC634" i="11"/>
  <c r="BB634" i="11"/>
  <c r="BC634" i="11"/>
  <c r="AC152" i="11"/>
  <c r="BC152" i="11"/>
  <c r="BB152" i="11"/>
  <c r="BC231" i="11"/>
  <c r="BB231" i="11"/>
  <c r="AC506" i="11"/>
  <c r="BC506" i="11"/>
  <c r="BB506" i="11"/>
  <c r="AC633" i="11"/>
  <c r="BC633" i="11"/>
  <c r="BB633" i="11"/>
  <c r="AC892" i="11"/>
  <c r="BC892" i="11"/>
  <c r="BB892" i="11"/>
  <c r="AC893" i="11"/>
  <c r="BC893" i="11"/>
  <c r="BB893" i="11"/>
  <c r="AC149" i="11"/>
  <c r="BB149" i="11"/>
  <c r="BC149" i="11"/>
  <c r="AC236" i="11"/>
  <c r="BB236" i="11"/>
  <c r="BC236" i="11"/>
  <c r="AC511" i="11"/>
  <c r="BC511" i="11"/>
  <c r="BB511" i="11"/>
  <c r="AC638" i="11"/>
  <c r="BC638" i="11"/>
  <c r="BB638" i="11"/>
  <c r="AC897" i="11"/>
  <c r="BC897" i="11"/>
  <c r="BB897" i="11"/>
  <c r="AC154" i="11"/>
  <c r="BC154" i="11"/>
  <c r="BB154" i="11"/>
  <c r="AC233" i="11"/>
  <c r="BC233" i="11"/>
  <c r="BB233" i="11"/>
  <c r="AC508" i="11"/>
  <c r="BC508" i="11"/>
  <c r="BB508" i="11"/>
  <c r="AC635" i="11"/>
  <c r="BC635" i="11"/>
  <c r="BB635" i="11"/>
  <c r="AC894" i="11"/>
  <c r="BB894" i="11"/>
  <c r="BC894" i="11"/>
  <c r="AC151" i="11"/>
  <c r="BC151" i="11"/>
  <c r="BB151" i="11"/>
  <c r="AC235" i="11"/>
  <c r="BB235" i="11"/>
  <c r="BC235" i="11"/>
  <c r="AC510" i="11"/>
  <c r="BB510" i="11"/>
  <c r="BC510" i="11"/>
  <c r="AC637" i="11"/>
  <c r="BC637" i="11"/>
  <c r="BB637" i="11"/>
  <c r="AC896" i="11"/>
  <c r="BC896" i="11"/>
  <c r="BB896" i="11"/>
  <c r="AK1100" i="11"/>
  <c r="Q1100" i="11"/>
  <c r="W1100" i="11" s="1"/>
  <c r="BL511" i="11"/>
  <c r="BL895" i="11"/>
  <c r="AN1098" i="11"/>
  <c r="BL154" i="11"/>
  <c r="BL897" i="11"/>
  <c r="BL509" i="11"/>
  <c r="BL232" i="11"/>
  <c r="BL636" i="11"/>
  <c r="AM1101" i="11"/>
  <c r="BL236" i="11"/>
  <c r="BL233" i="11"/>
  <c r="BL637" i="11"/>
  <c r="BL234" i="11"/>
  <c r="BL638" i="11"/>
  <c r="BL149" i="11"/>
  <c r="BL235" i="11"/>
  <c r="BL892" i="11"/>
  <c r="BL893" i="11"/>
  <c r="BL151" i="11"/>
  <c r="BL894" i="11"/>
  <c r="AN1100" i="11"/>
  <c r="BL152" i="11"/>
  <c r="BL153" i="11"/>
  <c r="BL896" i="11"/>
  <c r="BL506" i="11"/>
  <c r="AJ1101" i="11"/>
  <c r="BL507" i="11"/>
  <c r="BL508" i="11"/>
  <c r="BL633" i="11"/>
  <c r="BL634" i="11"/>
  <c r="BL231" i="11"/>
  <c r="BL510" i="11"/>
  <c r="BL635" i="11"/>
  <c r="BE1097" i="11"/>
  <c r="BF1097" i="11" s="1"/>
  <c r="BD548" i="11"/>
  <c r="BE548" i="11" s="1"/>
  <c r="BF548" i="11" s="1"/>
  <c r="BD687" i="11"/>
  <c r="BE687" i="11" s="1"/>
  <c r="BF687" i="11" s="1"/>
  <c r="BD688" i="11"/>
  <c r="BE688" i="11" s="1"/>
  <c r="BF688" i="11" s="1"/>
  <c r="AM1097" i="11"/>
  <c r="Q1098" i="11"/>
  <c r="V1098" i="11" s="1"/>
  <c r="S1097" i="11"/>
  <c r="T1097" i="11" s="1"/>
  <c r="AM1102" i="11"/>
  <c r="AK1097" i="11"/>
  <c r="AJ1098" i="11"/>
  <c r="AJ1102" i="11"/>
  <c r="AJ1099" i="11"/>
  <c r="V1097" i="11"/>
  <c r="Q1101" i="11"/>
  <c r="Q1102" i="11"/>
  <c r="W1102" i="11" s="1"/>
  <c r="Q1099" i="11"/>
  <c r="BE1102" i="11"/>
  <c r="BF1102" i="11" s="1"/>
  <c r="BE1101" i="11"/>
  <c r="BF1101" i="11" s="1"/>
  <c r="BE1100" i="11"/>
  <c r="BF1100" i="11" s="1"/>
  <c r="BE1099" i="11"/>
  <c r="BF1099" i="11" s="1"/>
  <c r="BE1098" i="11"/>
  <c r="BF1098" i="11" s="1"/>
  <c r="Q892" i="11"/>
  <c r="V892" i="11" s="1"/>
  <c r="BE542" i="11"/>
  <c r="BF542" i="11" s="1"/>
  <c r="Q509" i="11"/>
  <c r="T509" i="11" s="1"/>
  <c r="Q152" i="11"/>
  <c r="T152" i="11" s="1"/>
  <c r="BE550" i="11"/>
  <c r="BF550" i="11" s="1"/>
  <c r="S508" i="11"/>
  <c r="T508" i="11" s="1"/>
  <c r="S633" i="11"/>
  <c r="T633" i="11" s="1"/>
  <c r="Q231" i="11"/>
  <c r="V231" i="11" s="1"/>
  <c r="S583" i="11"/>
  <c r="W583" i="11" s="1"/>
  <c r="Q234" i="11"/>
  <c r="W234" i="11" s="1"/>
  <c r="Q636" i="11"/>
  <c r="W636" i="11" s="1"/>
  <c r="BE1203" i="11"/>
  <c r="BF1203" i="11" s="1"/>
  <c r="Q895" i="11"/>
  <c r="W895" i="11" s="1"/>
  <c r="AC231" i="11"/>
  <c r="Q635" i="11"/>
  <c r="V635" i="11" s="1"/>
  <c r="S527" i="11"/>
  <c r="T527" i="11" s="1"/>
  <c r="Q233" i="11"/>
  <c r="V233" i="11" s="1"/>
  <c r="S507" i="11"/>
  <c r="T507" i="11" s="1"/>
  <c r="Q896" i="11"/>
  <c r="Q897" i="11"/>
  <c r="W897" i="11" s="1"/>
  <c r="Q893" i="11"/>
  <c r="Q894" i="11"/>
  <c r="V633" i="11"/>
  <c r="Q637" i="11"/>
  <c r="Q638" i="11"/>
  <c r="W638" i="11" s="1"/>
  <c r="Q634" i="11"/>
  <c r="V508" i="11"/>
  <c r="V507" i="11"/>
  <c r="V510" i="11"/>
  <c r="S510" i="11"/>
  <c r="W510" i="11" s="1"/>
  <c r="Q511" i="11"/>
  <c r="W511" i="11" s="1"/>
  <c r="Q506" i="11"/>
  <c r="Q235" i="11"/>
  <c r="Q236" i="11"/>
  <c r="Q232" i="11"/>
  <c r="Q153" i="11"/>
  <c r="W153" i="11" s="1"/>
  <c r="Q154" i="11"/>
  <c r="W154" i="11" s="1"/>
  <c r="Q149" i="11"/>
  <c r="Q150" i="11"/>
  <c r="Q151" i="11"/>
  <c r="Q529" i="11"/>
  <c r="V529" i="11" s="1"/>
  <c r="BE1205" i="11"/>
  <c r="BF1205" i="11" s="1"/>
  <c r="V583" i="11"/>
  <c r="BE876" i="11"/>
  <c r="BF876" i="11" s="1"/>
  <c r="Q1203" i="11"/>
  <c r="V1203" i="11" s="1"/>
  <c r="Q1207" i="11"/>
  <c r="W1207" i="11" s="1"/>
  <c r="Q528" i="11"/>
  <c r="V528" i="11" s="1"/>
  <c r="S148" i="11"/>
  <c r="T148" i="11" s="1"/>
  <c r="BE545" i="11"/>
  <c r="BF545" i="11" s="1"/>
  <c r="Q585" i="11"/>
  <c r="Q584" i="11"/>
  <c r="S207" i="11"/>
  <c r="W207" i="11" s="1"/>
  <c r="BE1207" i="11"/>
  <c r="BF1207" i="11" s="1"/>
  <c r="V527" i="11"/>
  <c r="BE1206" i="11"/>
  <c r="BF1206" i="11" s="1"/>
  <c r="S205" i="11"/>
  <c r="W205" i="11" s="1"/>
  <c r="BE870" i="11"/>
  <c r="BF870" i="11" s="1"/>
  <c r="BE872" i="11"/>
  <c r="BF872" i="11" s="1"/>
  <c r="Q872" i="11"/>
  <c r="V872" i="11" s="1"/>
  <c r="V207" i="11"/>
  <c r="V205" i="11"/>
  <c r="BE1204" i="11"/>
  <c r="BF1204" i="11" s="1"/>
  <c r="S689" i="11"/>
  <c r="W689" i="11" s="1"/>
  <c r="BE869" i="11"/>
  <c r="BF869" i="11" s="1"/>
  <c r="S146" i="11"/>
  <c r="T146" i="11" s="1"/>
  <c r="S548" i="11"/>
  <c r="T548" i="11" s="1"/>
  <c r="Q869" i="11"/>
  <c r="W869" i="11" s="1"/>
  <c r="BE1209" i="11"/>
  <c r="BF1209" i="11" s="1"/>
  <c r="S1202" i="11"/>
  <c r="W1202" i="11" s="1"/>
  <c r="BE1211" i="11"/>
  <c r="BF1211" i="11" s="1"/>
  <c r="Q206" i="11"/>
  <c r="BE873" i="11"/>
  <c r="BF873" i="11" s="1"/>
  <c r="V148" i="11"/>
  <c r="V146" i="11"/>
  <c r="BE686" i="11"/>
  <c r="BF686" i="11" s="1"/>
  <c r="S690" i="11"/>
  <c r="W690" i="11" s="1"/>
  <c r="BE874" i="11"/>
  <c r="BF874" i="11" s="1"/>
  <c r="BE878" i="11"/>
  <c r="BF878" i="11" s="1"/>
  <c r="BE1210" i="11"/>
  <c r="BF1210" i="11" s="1"/>
  <c r="Q1208" i="11"/>
  <c r="BE1208" i="11"/>
  <c r="BF1208" i="11" s="1"/>
  <c r="BE875" i="11"/>
  <c r="BF875" i="11" s="1"/>
  <c r="BE1202" i="11"/>
  <c r="BF1202" i="11" s="1"/>
  <c r="BE868" i="11"/>
  <c r="BF868" i="11" s="1"/>
  <c r="Q147" i="11"/>
  <c r="Q1209" i="11"/>
  <c r="V1209" i="11" s="1"/>
  <c r="V1202" i="11"/>
  <c r="BE684" i="11"/>
  <c r="BF684" i="11" s="1"/>
  <c r="Q688" i="11"/>
  <c r="T688" i="11" s="1"/>
  <c r="Q875" i="11"/>
  <c r="Q1210" i="11"/>
  <c r="BE877" i="11"/>
  <c r="BF877" i="11" s="1"/>
  <c r="Q1204" i="11"/>
  <c r="BE685" i="11"/>
  <c r="BF685" i="11" s="1"/>
  <c r="BE689" i="11"/>
  <c r="BF689" i="11" s="1"/>
  <c r="Q873" i="11"/>
  <c r="V873" i="11" s="1"/>
  <c r="Q1211" i="11"/>
  <c r="W1211" i="11" s="1"/>
  <c r="Q1205" i="11"/>
  <c r="W1205" i="11" s="1"/>
  <c r="AC873" i="11"/>
  <c r="Q1206" i="11"/>
  <c r="W1206" i="11" s="1"/>
  <c r="S868" i="11"/>
  <c r="T868" i="11" s="1"/>
  <c r="BE871" i="11"/>
  <c r="BF871" i="11" s="1"/>
  <c r="BE541" i="11"/>
  <c r="BF541" i="11" s="1"/>
  <c r="BE690" i="11"/>
  <c r="BF690" i="11" s="1"/>
  <c r="BE683" i="11"/>
  <c r="BF683" i="11" s="1"/>
  <c r="Q876" i="11"/>
  <c r="W876" i="11" s="1"/>
  <c r="V868" i="11"/>
  <c r="BE543" i="11"/>
  <c r="BF543" i="11" s="1"/>
  <c r="S546" i="11"/>
  <c r="T546" i="11" s="1"/>
  <c r="BE547" i="11"/>
  <c r="BF547" i="11" s="1"/>
  <c r="BE691" i="11"/>
  <c r="BF691" i="11" s="1"/>
  <c r="Q870" i="11"/>
  <c r="W870" i="11" s="1"/>
  <c r="Q877" i="11"/>
  <c r="W877" i="11" s="1"/>
  <c r="Q683" i="11"/>
  <c r="W683" i="11" s="1"/>
  <c r="Q871" i="11"/>
  <c r="W871" i="11" s="1"/>
  <c r="Q878" i="11"/>
  <c r="W878" i="11" s="1"/>
  <c r="BE692" i="11"/>
  <c r="BF692" i="11" s="1"/>
  <c r="Q687" i="11"/>
  <c r="V687" i="11" s="1"/>
  <c r="S541" i="11"/>
  <c r="W541" i="11" s="1"/>
  <c r="S545" i="11"/>
  <c r="W545" i="11" s="1"/>
  <c r="Q874" i="11"/>
  <c r="V689" i="11"/>
  <c r="BE544" i="11"/>
  <c r="BF544" i="11" s="1"/>
  <c r="Q684" i="11"/>
  <c r="W684" i="11" s="1"/>
  <c r="Q691" i="11"/>
  <c r="Q547" i="11"/>
  <c r="W547" i="11" s="1"/>
  <c r="BE549" i="11"/>
  <c r="BF549" i="11" s="1"/>
  <c r="Q685" i="11"/>
  <c r="W685" i="11" s="1"/>
  <c r="V690" i="11"/>
  <c r="Q692" i="11"/>
  <c r="W692" i="11" s="1"/>
  <c r="Q542" i="11"/>
  <c r="V542" i="11" s="1"/>
  <c r="Q686" i="11"/>
  <c r="BE546" i="11"/>
  <c r="BF546" i="11" s="1"/>
  <c r="V546" i="11"/>
  <c r="V541" i="11"/>
  <c r="V545" i="11"/>
  <c r="Q549" i="11"/>
  <c r="W549" i="11" s="1"/>
  <c r="Q543" i="11"/>
  <c r="W543" i="11" s="1"/>
  <c r="Q550" i="11"/>
  <c r="W550" i="11" s="1"/>
  <c r="Q544" i="11"/>
  <c r="W544" i="11" s="1"/>
  <c r="W633" i="11" l="1"/>
  <c r="V1100" i="11"/>
  <c r="T1100" i="11"/>
  <c r="V152" i="11"/>
  <c r="T231" i="11"/>
  <c r="V234" i="11"/>
  <c r="Y234" i="11" s="1"/>
  <c r="T234" i="11"/>
  <c r="T636" i="11"/>
  <c r="W152" i="11"/>
  <c r="W548" i="11"/>
  <c r="Y548" i="11" s="1"/>
  <c r="W509" i="11"/>
  <c r="Y1100" i="11"/>
  <c r="W508" i="11"/>
  <c r="Y508" i="11" s="1"/>
  <c r="W507" i="11"/>
  <c r="Y507" i="11" s="1"/>
  <c r="W1097" i="11"/>
  <c r="Y1097" i="11" s="1"/>
  <c r="T583" i="11"/>
  <c r="W527" i="11"/>
  <c r="Y527" i="11" s="1"/>
  <c r="T690" i="11"/>
  <c r="W1203" i="11"/>
  <c r="Y1203" i="11" s="1"/>
  <c r="W233" i="11"/>
  <c r="Y233" i="11" s="1"/>
  <c r="T233" i="11"/>
  <c r="W872" i="11"/>
  <c r="Y872" i="11" s="1"/>
  <c r="V1207" i="11"/>
  <c r="Y1207" i="11" s="1"/>
  <c r="T689" i="11"/>
  <c r="T892" i="11"/>
  <c r="W529" i="11"/>
  <c r="Y529" i="11" s="1"/>
  <c r="W1098" i="11"/>
  <c r="Y1098" i="11" s="1"/>
  <c r="T1098" i="11"/>
  <c r="T1099" i="11"/>
  <c r="W1099" i="11"/>
  <c r="V1099" i="11"/>
  <c r="V1102" i="11"/>
  <c r="Y1102" i="11" s="1"/>
  <c r="T1102" i="11"/>
  <c r="W1101" i="11"/>
  <c r="V1101" i="11"/>
  <c r="T1101" i="11"/>
  <c r="T207" i="11"/>
  <c r="W231" i="11"/>
  <c r="Y231" i="11" s="1"/>
  <c r="T872" i="11"/>
  <c r="T529" i="11"/>
  <c r="W635" i="11"/>
  <c r="Y635" i="11" s="1"/>
  <c r="T635" i="11"/>
  <c r="V509" i="11"/>
  <c r="Y583" i="11"/>
  <c r="W892" i="11"/>
  <c r="Y892" i="11" s="1"/>
  <c r="W148" i="11"/>
  <c r="Y148" i="11" s="1"/>
  <c r="V636" i="11"/>
  <c r="Y636" i="11" s="1"/>
  <c r="W688" i="11"/>
  <c r="V895" i="11"/>
  <c r="Y895" i="11" s="1"/>
  <c r="T541" i="11"/>
  <c r="T895" i="11"/>
  <c r="W146" i="11"/>
  <c r="Y146" i="11" s="1"/>
  <c r="T894" i="11"/>
  <c r="W894" i="11"/>
  <c r="V894" i="11"/>
  <c r="T893" i="11"/>
  <c r="V893" i="11"/>
  <c r="W893" i="11"/>
  <c r="V897" i="11"/>
  <c r="Y897" i="11" s="1"/>
  <c r="T897" i="11"/>
  <c r="V896" i="11"/>
  <c r="T896" i="11"/>
  <c r="W896" i="11"/>
  <c r="T634" i="11"/>
  <c r="V634" i="11"/>
  <c r="W634" i="11"/>
  <c r="V638" i="11"/>
  <c r="Y638" i="11" s="1"/>
  <c r="T638" i="11"/>
  <c r="W637" i="11"/>
  <c r="V637" i="11"/>
  <c r="T637" i="11"/>
  <c r="Y633" i="11"/>
  <c r="V506" i="11"/>
  <c r="T506" i="11"/>
  <c r="V511" i="11"/>
  <c r="Y511" i="11" s="1"/>
  <c r="T511" i="11"/>
  <c r="T510" i="11"/>
  <c r="Y510" i="11"/>
  <c r="W506" i="11"/>
  <c r="T232" i="11"/>
  <c r="V232" i="11"/>
  <c r="W236" i="11"/>
  <c r="V236" i="11"/>
  <c r="T236" i="11"/>
  <c r="W235" i="11"/>
  <c r="V235" i="11"/>
  <c r="T235" i="11"/>
  <c r="W232" i="11"/>
  <c r="T151" i="11"/>
  <c r="W151" i="11"/>
  <c r="V151" i="11"/>
  <c r="T150" i="11"/>
  <c r="V150" i="11"/>
  <c r="W150" i="11"/>
  <c r="V149" i="11"/>
  <c r="T149" i="11"/>
  <c r="V154" i="11"/>
  <c r="Y154" i="11" s="1"/>
  <c r="T154" i="11"/>
  <c r="V153" i="11"/>
  <c r="Y153" i="11" s="1"/>
  <c r="T153" i="11"/>
  <c r="W149" i="11"/>
  <c r="T1207" i="11"/>
  <c r="T1203" i="11"/>
  <c r="T1202" i="11"/>
  <c r="W546" i="11"/>
  <c r="Y546" i="11" s="1"/>
  <c r="W528" i="11"/>
  <c r="Y528" i="11" s="1"/>
  <c r="V688" i="11"/>
  <c r="T584" i="11"/>
  <c r="V584" i="11"/>
  <c r="W584" i="11"/>
  <c r="T873" i="11"/>
  <c r="T528" i="11"/>
  <c r="V585" i="11"/>
  <c r="T585" i="11"/>
  <c r="W585" i="11"/>
  <c r="V869" i="11"/>
  <c r="Y869" i="11" s="1"/>
  <c r="T869" i="11"/>
  <c r="T205" i="11"/>
  <c r="T1209" i="11"/>
  <c r="Y205" i="11"/>
  <c r="T206" i="11"/>
  <c r="V206" i="11"/>
  <c r="W206" i="11"/>
  <c r="T545" i="11"/>
  <c r="Y207" i="11"/>
  <c r="T147" i="11"/>
  <c r="V147" i="11"/>
  <c r="W147" i="11"/>
  <c r="W687" i="11"/>
  <c r="Y687" i="11" s="1"/>
  <c r="Y690" i="11"/>
  <c r="V1208" i="11"/>
  <c r="T1208" i="11"/>
  <c r="W1209" i="11"/>
  <c r="Y1209" i="11" s="1"/>
  <c r="V876" i="11"/>
  <c r="Y876" i="11" s="1"/>
  <c r="W1208" i="11"/>
  <c r="Y1202" i="11"/>
  <c r="V683" i="11"/>
  <c r="Y683" i="11" s="1"/>
  <c r="V1204" i="11"/>
  <c r="T1204" i="11"/>
  <c r="V1205" i="11"/>
  <c r="Y1205" i="11" s="1"/>
  <c r="T1205" i="11"/>
  <c r="V1210" i="11"/>
  <c r="T1210" i="11"/>
  <c r="W1204" i="11"/>
  <c r="V1211" i="11"/>
  <c r="Y1211" i="11" s="1"/>
  <c r="T1211" i="11"/>
  <c r="W875" i="11"/>
  <c r="V875" i="11"/>
  <c r="T875" i="11"/>
  <c r="W873" i="11"/>
  <c r="Y873" i="11" s="1"/>
  <c r="W1210" i="11"/>
  <c r="W868" i="11"/>
  <c r="Y868" i="11" s="1"/>
  <c r="V1206" i="11"/>
  <c r="Y1206" i="11" s="1"/>
  <c r="T1206" i="11"/>
  <c r="T876" i="11"/>
  <c r="T874" i="11"/>
  <c r="W874" i="11"/>
  <c r="V874" i="11"/>
  <c r="T687" i="11"/>
  <c r="V877" i="11"/>
  <c r="Y877" i="11" s="1"/>
  <c r="T877" i="11"/>
  <c r="V878" i="11"/>
  <c r="Y878" i="11" s="1"/>
  <c r="T878" i="11"/>
  <c r="V870" i="11"/>
  <c r="Y870" i="11" s="1"/>
  <c r="T870" i="11"/>
  <c r="T683" i="11"/>
  <c r="V871" i="11"/>
  <c r="Y871" i="11" s="1"/>
  <c r="T871" i="11"/>
  <c r="V686" i="11"/>
  <c r="T686" i="11"/>
  <c r="Y541" i="11"/>
  <c r="V691" i="11"/>
  <c r="T691" i="11"/>
  <c r="T542" i="11"/>
  <c r="V692" i="11"/>
  <c r="Y692" i="11" s="1"/>
  <c r="T692" i="11"/>
  <c r="V684" i="11"/>
  <c r="Y684" i="11" s="1"/>
  <c r="T684" i="11"/>
  <c r="V685" i="11"/>
  <c r="Y685" i="11" s="1"/>
  <c r="T685" i="11"/>
  <c r="W686" i="11"/>
  <c r="W691" i="11"/>
  <c r="V547" i="11"/>
  <c r="Y547" i="11" s="1"/>
  <c r="T547" i="11"/>
  <c r="Y545" i="11"/>
  <c r="Y689" i="11"/>
  <c r="W542" i="11"/>
  <c r="Y542" i="11" s="1"/>
  <c r="V544" i="11"/>
  <c r="Y544" i="11" s="1"/>
  <c r="T544" i="11"/>
  <c r="V550" i="11"/>
  <c r="Y550" i="11" s="1"/>
  <c r="T550" i="11"/>
  <c r="V543" i="11"/>
  <c r="Y543" i="11" s="1"/>
  <c r="T543" i="11"/>
  <c r="V549" i="11"/>
  <c r="Y549" i="11" s="1"/>
  <c r="T549" i="11"/>
  <c r="Y152" i="11" l="1"/>
  <c r="Y1099" i="11"/>
  <c r="Y509" i="11"/>
  <c r="Y1101" i="11"/>
  <c r="Y232" i="11"/>
  <c r="Y894" i="11"/>
  <c r="Y688" i="11"/>
  <c r="Y235" i="11"/>
  <c r="Y634" i="11"/>
  <c r="Y896" i="11"/>
  <c r="Y893" i="11"/>
  <c r="Y637" i="11"/>
  <c r="Y506" i="11"/>
  <c r="Y236" i="11"/>
  <c r="Y149" i="11"/>
  <c r="Y150" i="11"/>
  <c r="Y151" i="11"/>
  <c r="Y585" i="11"/>
  <c r="Y584" i="11"/>
  <c r="Y206" i="11"/>
  <c r="Y875" i="11"/>
  <c r="Y1208" i="11"/>
  <c r="Y147" i="11"/>
  <c r="Y1210" i="11"/>
  <c r="Y874" i="11"/>
  <c r="Y1204" i="11"/>
  <c r="Y691" i="11"/>
  <c r="Y686" i="11"/>
  <c r="AV704" i="11" l="1"/>
  <c r="AN704" i="11"/>
  <c r="AM704" i="11"/>
  <c r="AK704" i="11"/>
  <c r="AJ704" i="11"/>
  <c r="AV703" i="11"/>
  <c r="AN703" i="11"/>
  <c r="AM703" i="11"/>
  <c r="AK703" i="11"/>
  <c r="AJ703" i="11"/>
  <c r="AV702" i="11"/>
  <c r="AN702" i="11"/>
  <c r="AM702" i="11"/>
  <c r="AK702" i="11"/>
  <c r="AJ702" i="11"/>
  <c r="AV701" i="11"/>
  <c r="AN701" i="11"/>
  <c r="AM701" i="11"/>
  <c r="AK701" i="11"/>
  <c r="AJ701" i="11"/>
  <c r="AV700" i="11"/>
  <c r="AN700" i="11"/>
  <c r="AM700" i="11"/>
  <c r="AK700" i="11"/>
  <c r="AJ700" i="11"/>
  <c r="AV699" i="11"/>
  <c r="AN699" i="11"/>
  <c r="AM699" i="11"/>
  <c r="AK699" i="11"/>
  <c r="AJ699" i="11"/>
  <c r="AV698" i="11"/>
  <c r="AN698" i="11"/>
  <c r="AM698" i="11"/>
  <c r="AK698" i="11"/>
  <c r="AJ698" i="11"/>
  <c r="AV697" i="11"/>
  <c r="AP697" i="11"/>
  <c r="AV696" i="11"/>
  <c r="AN696" i="11"/>
  <c r="AM696" i="11"/>
  <c r="AK696" i="11"/>
  <c r="AJ696" i="11"/>
  <c r="AV682" i="11"/>
  <c r="AV681" i="11"/>
  <c r="AV680" i="11"/>
  <c r="AV679" i="11"/>
  <c r="AV678" i="11"/>
  <c r="AV677" i="11"/>
  <c r="AV676" i="11"/>
  <c r="AV675" i="11"/>
  <c r="AV674" i="11"/>
  <c r="AV673" i="11"/>
  <c r="AV672" i="11"/>
  <c r="AV671" i="11"/>
  <c r="AV670" i="11"/>
  <c r="AN670" i="11"/>
  <c r="AM670" i="11"/>
  <c r="AK670" i="11"/>
  <c r="AJ670" i="11"/>
  <c r="AV669" i="11"/>
  <c r="AN669" i="11"/>
  <c r="AM669" i="11"/>
  <c r="AK669" i="11"/>
  <c r="AJ669" i="11"/>
  <c r="AV668" i="11"/>
  <c r="AN668" i="11"/>
  <c r="AM668" i="11"/>
  <c r="AK668" i="11"/>
  <c r="AJ668" i="11"/>
  <c r="AV667" i="11"/>
  <c r="AN667" i="11"/>
  <c r="AM667" i="11"/>
  <c r="AK667" i="11"/>
  <c r="AJ667" i="11"/>
  <c r="AV666" i="11"/>
  <c r="AV665" i="11"/>
  <c r="AV664" i="11"/>
  <c r="AV663" i="11"/>
  <c r="AV662" i="11"/>
  <c r="AV661" i="11"/>
  <c r="AV660" i="11"/>
  <c r="AV659" i="11"/>
  <c r="AV658" i="11"/>
  <c r="AV657" i="11"/>
  <c r="AX656" i="11"/>
  <c r="AV656" i="11"/>
  <c r="AN656" i="11"/>
  <c r="AM656" i="11"/>
  <c r="AK656" i="11"/>
  <c r="AJ656" i="11"/>
  <c r="AX655" i="11"/>
  <c r="AV655" i="11"/>
  <c r="AN655" i="11"/>
  <c r="AM655" i="11"/>
  <c r="AK655" i="11"/>
  <c r="AJ655" i="11"/>
  <c r="AX654" i="11"/>
  <c r="AV654" i="11"/>
  <c r="AN654" i="11"/>
  <c r="AM654" i="11"/>
  <c r="AK654" i="11"/>
  <c r="AJ654" i="11"/>
  <c r="AX653" i="11"/>
  <c r="AV653" i="11"/>
  <c r="AN653" i="11"/>
  <c r="AM653" i="11"/>
  <c r="AK653" i="11"/>
  <c r="AJ653" i="11"/>
  <c r="AX652" i="11"/>
  <c r="AV652" i="11"/>
  <c r="AN652" i="11"/>
  <c r="AM652" i="11"/>
  <c r="AK652" i="11"/>
  <c r="AJ652" i="11"/>
  <c r="AX651" i="11"/>
  <c r="AV651" i="11"/>
  <c r="AN651" i="11"/>
  <c r="AM651" i="11"/>
  <c r="AK651" i="11"/>
  <c r="AJ651" i="11"/>
  <c r="AX650" i="11"/>
  <c r="AV650" i="11"/>
  <c r="AN650" i="11"/>
  <c r="AM650" i="11"/>
  <c r="AK650" i="11"/>
  <c r="AJ650" i="11"/>
  <c r="AV646" i="11"/>
  <c r="AL646" i="11"/>
  <c r="AN646" i="11" s="1"/>
  <c r="AI646" i="11"/>
  <c r="AK646" i="11" s="1"/>
  <c r="AV645" i="11"/>
  <c r="AV644" i="11"/>
  <c r="AP644" i="11"/>
  <c r="AV640" i="11"/>
  <c r="AN640" i="11"/>
  <c r="AM640" i="11"/>
  <c r="AK640" i="11"/>
  <c r="AJ640" i="11"/>
  <c r="AV639" i="11"/>
  <c r="AN639" i="11"/>
  <c r="AM639" i="11"/>
  <c r="AK639" i="11"/>
  <c r="AJ639" i="11"/>
  <c r="AV632" i="11"/>
  <c r="AV631" i="11"/>
  <c r="AV605" i="11"/>
  <c r="AV604" i="11"/>
  <c r="AV600" i="11"/>
  <c r="AL600" i="11"/>
  <c r="AN600" i="11" s="1"/>
  <c r="AI600" i="11"/>
  <c r="AK600" i="11" s="1"/>
  <c r="AV599" i="11"/>
  <c r="AV598" i="11"/>
  <c r="AV597" i="11"/>
  <c r="AV596" i="11"/>
  <c r="AV595" i="11"/>
  <c r="AV594" i="11"/>
  <c r="AV593" i="11"/>
  <c r="AV592" i="11"/>
  <c r="AV591" i="11"/>
  <c r="AV590" i="11"/>
  <c r="AV589" i="11"/>
  <c r="AV588" i="11"/>
  <c r="AV581" i="11"/>
  <c r="AL581" i="11"/>
  <c r="AN581" i="11" s="1"/>
  <c r="AI581" i="11"/>
  <c r="AK581" i="11" s="1"/>
  <c r="AV580" i="11"/>
  <c r="AN580" i="11"/>
  <c r="AM580" i="11"/>
  <c r="AK580" i="11"/>
  <c r="AJ580" i="11"/>
  <c r="AV579" i="11"/>
  <c r="AN579" i="11"/>
  <c r="AM579" i="11"/>
  <c r="AK579" i="11"/>
  <c r="AJ579" i="11"/>
  <c r="AV578" i="11"/>
  <c r="AN578" i="11"/>
  <c r="AM578" i="11"/>
  <c r="AK578" i="11"/>
  <c r="AJ578" i="11"/>
  <c r="AV577" i="11"/>
  <c r="AN577" i="11"/>
  <c r="AM577" i="11"/>
  <c r="AK577" i="11"/>
  <c r="AJ577" i="11"/>
  <c r="AV576" i="11"/>
  <c r="AN576" i="11"/>
  <c r="AM576" i="11"/>
  <c r="AK576" i="11"/>
  <c r="AJ576" i="11"/>
  <c r="AV575" i="11"/>
  <c r="AN575" i="11"/>
  <c r="AM575" i="11"/>
  <c r="AK575" i="11"/>
  <c r="AJ575" i="11"/>
  <c r="AV574" i="11"/>
  <c r="AN574" i="11"/>
  <c r="AM574" i="11"/>
  <c r="AK574" i="11"/>
  <c r="AJ574" i="11"/>
  <c r="AV573" i="11"/>
  <c r="AV572" i="11"/>
  <c r="AV571" i="11"/>
  <c r="AV570" i="11"/>
  <c r="AV569" i="11"/>
  <c r="AV568" i="11"/>
  <c r="AV567" i="11"/>
  <c r="AV566" i="11"/>
  <c r="AV565" i="11"/>
  <c r="AV564" i="11"/>
  <c r="AV563" i="11"/>
  <c r="AV562" i="11"/>
  <c r="AV561" i="11"/>
  <c r="AX557" i="11"/>
  <c r="AV557" i="11"/>
  <c r="AX556" i="11"/>
  <c r="AV556" i="11"/>
  <c r="AX540" i="11"/>
  <c r="AV540" i="11"/>
  <c r="AN540" i="11"/>
  <c r="AM540" i="11"/>
  <c r="AK540" i="11"/>
  <c r="AJ540" i="11"/>
  <c r="AV538" i="11"/>
  <c r="AV537" i="11"/>
  <c r="AV536" i="11"/>
  <c r="AV535" i="11"/>
  <c r="AV534" i="11"/>
  <c r="AV533" i="11"/>
  <c r="AV532" i="11"/>
  <c r="AV531" i="11"/>
  <c r="AV530" i="11"/>
  <c r="AV526" i="11"/>
  <c r="AV525" i="11"/>
  <c r="AV524" i="11"/>
  <c r="AV523" i="11"/>
  <c r="AV522" i="11"/>
  <c r="AV521" i="11"/>
  <c r="AV520" i="11"/>
  <c r="AV519" i="11"/>
  <c r="AV518" i="11"/>
  <c r="AV517" i="11"/>
  <c r="AN517" i="11"/>
  <c r="AM517" i="11"/>
  <c r="AK517" i="11"/>
  <c r="AJ517" i="11"/>
  <c r="BD505" i="11"/>
  <c r="AX505" i="11"/>
  <c r="AV505" i="11"/>
  <c r="AL505" i="11"/>
  <c r="AN505" i="11" s="1"/>
  <c r="AI505" i="11"/>
  <c r="AK505" i="11" s="1"/>
  <c r="AF505" i="11"/>
  <c r="AD505" i="11"/>
  <c r="U505" i="11"/>
  <c r="M505" i="11"/>
  <c r="L505" i="11"/>
  <c r="S505" i="11" s="1"/>
  <c r="K505" i="11"/>
  <c r="AC505" i="11" s="1"/>
  <c r="J505" i="11"/>
  <c r="I505" i="11"/>
  <c r="H505" i="11"/>
  <c r="BD504" i="11"/>
  <c r="AX504" i="11"/>
  <c r="AV504" i="11"/>
  <c r="AL504" i="11"/>
  <c r="AN504" i="11" s="1"/>
  <c r="AI504" i="11"/>
  <c r="AK504" i="11" s="1"/>
  <c r="AF504" i="11"/>
  <c r="AD504" i="11"/>
  <c r="U504" i="11"/>
  <c r="M504" i="11"/>
  <c r="L504" i="11"/>
  <c r="S504" i="11" s="1"/>
  <c r="K504" i="11"/>
  <c r="AC504" i="11" s="1"/>
  <c r="J504" i="11"/>
  <c r="I504" i="11"/>
  <c r="H504" i="11"/>
  <c r="BD503" i="11"/>
  <c r="AX503" i="11"/>
  <c r="AV503" i="11"/>
  <c r="AL503" i="11"/>
  <c r="AN503" i="11" s="1"/>
  <c r="AI503" i="11"/>
  <c r="AK503" i="11" s="1"/>
  <c r="AF503" i="11"/>
  <c r="AD503" i="11"/>
  <c r="U503" i="11"/>
  <c r="M503" i="11"/>
  <c r="L503" i="11"/>
  <c r="S503" i="11" s="1"/>
  <c r="K503" i="11"/>
  <c r="AC503" i="11" s="1"/>
  <c r="J503" i="11"/>
  <c r="I503" i="11"/>
  <c r="H503" i="11"/>
  <c r="BD502" i="11"/>
  <c r="AX502" i="11"/>
  <c r="AV502" i="11"/>
  <c r="AL502" i="11"/>
  <c r="AN502" i="11" s="1"/>
  <c r="AI502" i="11"/>
  <c r="AK502" i="11" s="1"/>
  <c r="AF502" i="11"/>
  <c r="AD502" i="11"/>
  <c r="U502" i="11"/>
  <c r="M502" i="11"/>
  <c r="L502" i="11"/>
  <c r="Q502" i="11" s="1"/>
  <c r="K502" i="11"/>
  <c r="AC502" i="11" s="1"/>
  <c r="J502" i="11"/>
  <c r="I502" i="11"/>
  <c r="H502" i="11"/>
  <c r="BG501" i="11"/>
  <c r="BD501" i="11" s="1"/>
  <c r="AX501" i="11"/>
  <c r="AV501" i="11"/>
  <c r="AL501" i="11"/>
  <c r="AN501" i="11" s="1"/>
  <c r="AI501" i="11"/>
  <c r="AK501" i="11" s="1"/>
  <c r="AF501" i="11"/>
  <c r="AD501" i="11"/>
  <c r="U501" i="11"/>
  <c r="M501" i="11"/>
  <c r="L501" i="11"/>
  <c r="S501" i="11" s="1"/>
  <c r="K501" i="11"/>
  <c r="AC501" i="11" s="1"/>
  <c r="J501" i="11"/>
  <c r="I501" i="11"/>
  <c r="H501" i="11"/>
  <c r="BG500" i="11"/>
  <c r="AX500" i="11"/>
  <c r="AV500" i="11"/>
  <c r="AL500" i="11"/>
  <c r="AN500" i="11" s="1"/>
  <c r="AI500" i="11"/>
  <c r="AK500" i="11" s="1"/>
  <c r="AF500" i="11"/>
  <c r="AD500" i="11"/>
  <c r="U500" i="11"/>
  <c r="M500" i="11"/>
  <c r="L500" i="11"/>
  <c r="S500" i="11" s="1"/>
  <c r="K500" i="11"/>
  <c r="AC500" i="11" s="1"/>
  <c r="J500" i="11"/>
  <c r="I500" i="11"/>
  <c r="H500" i="11"/>
  <c r="BG499" i="11"/>
  <c r="BD499" i="11" s="1"/>
  <c r="AX499" i="11"/>
  <c r="AV499" i="11"/>
  <c r="AL499" i="11"/>
  <c r="AN499" i="11" s="1"/>
  <c r="AI499" i="11"/>
  <c r="AK499" i="11" s="1"/>
  <c r="AF499" i="11"/>
  <c r="AD499" i="11"/>
  <c r="U499" i="11"/>
  <c r="M499" i="11"/>
  <c r="L499" i="11"/>
  <c r="S499" i="11" s="1"/>
  <c r="K499" i="11"/>
  <c r="AC499" i="11" s="1"/>
  <c r="J499" i="11"/>
  <c r="I499" i="11"/>
  <c r="H499" i="11"/>
  <c r="BD498" i="11"/>
  <c r="AX498" i="11"/>
  <c r="AV498" i="11"/>
  <c r="AL498" i="11"/>
  <c r="AN498" i="11" s="1"/>
  <c r="AI498" i="11"/>
  <c r="AK498" i="11" s="1"/>
  <c r="AF498" i="11"/>
  <c r="AD498" i="11"/>
  <c r="U498" i="11"/>
  <c r="M498" i="11"/>
  <c r="L498" i="11"/>
  <c r="S498" i="11" s="1"/>
  <c r="K498" i="11"/>
  <c r="AC498" i="11" s="1"/>
  <c r="J498" i="11"/>
  <c r="I498" i="11"/>
  <c r="H498" i="11"/>
  <c r="BG497" i="11"/>
  <c r="BD497" i="11" s="1"/>
  <c r="AX497" i="11"/>
  <c r="AV497" i="11"/>
  <c r="AL497" i="11"/>
  <c r="AN497" i="11" s="1"/>
  <c r="AI497" i="11"/>
  <c r="AK497" i="11" s="1"/>
  <c r="AF497" i="11"/>
  <c r="AD497" i="11"/>
  <c r="U497" i="11"/>
  <c r="M497" i="11"/>
  <c r="L497" i="11"/>
  <c r="S497" i="11" s="1"/>
  <c r="K497" i="11"/>
  <c r="AC497" i="11" s="1"/>
  <c r="J497" i="11"/>
  <c r="I497" i="11"/>
  <c r="H497" i="11"/>
  <c r="BD496" i="11"/>
  <c r="AX496" i="11"/>
  <c r="AV496" i="11"/>
  <c r="AL496" i="11"/>
  <c r="AN496" i="11" s="1"/>
  <c r="AI496" i="11"/>
  <c r="AK496" i="11" s="1"/>
  <c r="AF496" i="11"/>
  <c r="AD496" i="11"/>
  <c r="U496" i="11"/>
  <c r="M496" i="11"/>
  <c r="L496" i="11"/>
  <c r="Q496" i="11" s="1"/>
  <c r="K496" i="11"/>
  <c r="AC496" i="11" s="1"/>
  <c r="J496" i="11"/>
  <c r="I496" i="11"/>
  <c r="H496" i="11"/>
  <c r="AV495" i="11"/>
  <c r="AL495" i="11"/>
  <c r="AN495" i="11" s="1"/>
  <c r="AI495" i="11"/>
  <c r="AK495" i="11" s="1"/>
  <c r="AV491" i="11"/>
  <c r="AN491" i="11"/>
  <c r="AM491" i="11"/>
  <c r="AK491" i="11"/>
  <c r="AJ491" i="11"/>
  <c r="AV490" i="11"/>
  <c r="AN490" i="11"/>
  <c r="AM490" i="11"/>
  <c r="AK490" i="11"/>
  <c r="AJ490" i="11"/>
  <c r="AV489" i="11"/>
  <c r="AN489" i="11"/>
  <c r="AM489" i="11"/>
  <c r="AK489" i="11"/>
  <c r="AJ489" i="11"/>
  <c r="AV488" i="11"/>
  <c r="AN488" i="11"/>
  <c r="AM488" i="11"/>
  <c r="AK488" i="11"/>
  <c r="AJ488" i="11"/>
  <c r="AV487" i="11"/>
  <c r="AN487" i="11"/>
  <c r="AM487" i="11"/>
  <c r="AK487" i="11"/>
  <c r="AJ487" i="11"/>
  <c r="AV486" i="11"/>
  <c r="AN486" i="11"/>
  <c r="AM486" i="11"/>
  <c r="AK486" i="11"/>
  <c r="AJ486" i="11"/>
  <c r="AV485" i="11"/>
  <c r="AN485" i="11"/>
  <c r="AM485" i="11"/>
  <c r="AK485" i="11"/>
  <c r="AJ485" i="11"/>
  <c r="AV484" i="11"/>
  <c r="AN484" i="11"/>
  <c r="AM484" i="11"/>
  <c r="AK484" i="11"/>
  <c r="AJ484" i="11"/>
  <c r="AV483" i="11"/>
  <c r="AN483" i="11"/>
  <c r="AM483" i="11"/>
  <c r="AK483" i="11"/>
  <c r="AJ483" i="11"/>
  <c r="AV482" i="11"/>
  <c r="AN482" i="11"/>
  <c r="AM482" i="11"/>
  <c r="AK482" i="11"/>
  <c r="AJ482" i="11"/>
  <c r="AV481" i="11"/>
  <c r="AN481" i="11"/>
  <c r="AM481" i="11"/>
  <c r="AK481" i="11"/>
  <c r="AJ481" i="11"/>
  <c r="AV480" i="11"/>
  <c r="AL480" i="11"/>
  <c r="AN480" i="11" s="1"/>
  <c r="AI480" i="11"/>
  <c r="AK480" i="11" s="1"/>
  <c r="AV479" i="11"/>
  <c r="AV478" i="11"/>
  <c r="AV477" i="11"/>
  <c r="AV476" i="11"/>
  <c r="AV475" i="11"/>
  <c r="AV474" i="11"/>
  <c r="AV473" i="11"/>
  <c r="AV472" i="11"/>
  <c r="AV471" i="11"/>
  <c r="AV470" i="11"/>
  <c r="AX469" i="11"/>
  <c r="AV469" i="11"/>
  <c r="AN469" i="11"/>
  <c r="AM469" i="11"/>
  <c r="AK469" i="11"/>
  <c r="AJ469" i="11"/>
  <c r="AV468" i="11"/>
  <c r="AX467" i="11"/>
  <c r="AV467" i="11"/>
  <c r="AW463" i="11"/>
  <c r="AX463" i="11" s="1"/>
  <c r="AV463" i="11"/>
  <c r="AP463" i="11"/>
  <c r="AX459" i="11"/>
  <c r="AV459" i="11"/>
  <c r="AN459" i="11"/>
  <c r="AM459" i="11"/>
  <c r="AK459" i="11"/>
  <c r="AJ459" i="11"/>
  <c r="AX458" i="11"/>
  <c r="AV458" i="11"/>
  <c r="AN458" i="11"/>
  <c r="AM458" i="11"/>
  <c r="AK458" i="11"/>
  <c r="AJ458" i="11"/>
  <c r="BD454" i="11"/>
  <c r="AX454" i="11"/>
  <c r="AV454" i="11"/>
  <c r="AL454" i="11"/>
  <c r="AN454" i="11" s="1"/>
  <c r="AI454" i="11"/>
  <c r="AK454" i="11" s="1"/>
  <c r="AF454" i="11"/>
  <c r="AD454" i="11"/>
  <c r="U454" i="11"/>
  <c r="M454" i="11"/>
  <c r="L454" i="11"/>
  <c r="S454" i="11" s="1"/>
  <c r="K454" i="11"/>
  <c r="AC454" i="11" s="1"/>
  <c r="J454" i="11"/>
  <c r="I454" i="11"/>
  <c r="H454" i="11"/>
  <c r="BD453" i="11"/>
  <c r="AX453" i="11"/>
  <c r="AV453" i="11"/>
  <c r="AL453" i="11"/>
  <c r="AN453" i="11" s="1"/>
  <c r="AI453" i="11"/>
  <c r="AK453" i="11" s="1"/>
  <c r="AF453" i="11"/>
  <c r="AD453" i="11"/>
  <c r="U453" i="11"/>
  <c r="M453" i="11"/>
  <c r="L453" i="11"/>
  <c r="S453" i="11" s="1"/>
  <c r="K453" i="11"/>
  <c r="AC453" i="11" s="1"/>
  <c r="J453" i="11"/>
  <c r="I453" i="11"/>
  <c r="H453" i="11"/>
  <c r="BD452" i="11"/>
  <c r="AX452" i="11"/>
  <c r="AV452" i="11"/>
  <c r="AL452" i="11"/>
  <c r="AN452" i="11" s="1"/>
  <c r="AI452" i="11"/>
  <c r="AK452" i="11" s="1"/>
  <c r="AF452" i="11"/>
  <c r="AD452" i="11"/>
  <c r="U452" i="11"/>
  <c r="M452" i="11"/>
  <c r="L452" i="11"/>
  <c r="S452" i="11" s="1"/>
  <c r="K452" i="11"/>
  <c r="AC452" i="11" s="1"/>
  <c r="J452" i="11"/>
  <c r="I452" i="11"/>
  <c r="H452" i="11"/>
  <c r="BG451" i="11"/>
  <c r="BD451" i="11" s="1"/>
  <c r="AX451" i="11"/>
  <c r="AV451" i="11"/>
  <c r="AL451" i="11"/>
  <c r="AN451" i="11" s="1"/>
  <c r="AI451" i="11"/>
  <c r="AK451" i="11" s="1"/>
  <c r="AF451" i="11"/>
  <c r="AD451" i="11"/>
  <c r="U451" i="11"/>
  <c r="M451" i="11"/>
  <c r="L451" i="11"/>
  <c r="S451" i="11" s="1"/>
  <c r="K451" i="11"/>
  <c r="AC451" i="11" s="1"/>
  <c r="J451" i="11"/>
  <c r="I451" i="11"/>
  <c r="H451" i="11"/>
  <c r="BG450" i="11"/>
  <c r="BD450" i="11" s="1"/>
  <c r="AX450" i="11"/>
  <c r="AV450" i="11"/>
  <c r="AL450" i="11"/>
  <c r="AN450" i="11" s="1"/>
  <c r="AI450" i="11"/>
  <c r="AK450" i="11" s="1"/>
  <c r="AF450" i="11"/>
  <c r="AD450" i="11"/>
  <c r="U450" i="11"/>
  <c r="M450" i="11"/>
  <c r="L450" i="11"/>
  <c r="S450" i="11" s="1"/>
  <c r="K450" i="11"/>
  <c r="AC450" i="11" s="1"/>
  <c r="J450" i="11"/>
  <c r="I450" i="11"/>
  <c r="H450" i="11"/>
  <c r="BD449" i="11"/>
  <c r="AX449" i="11"/>
  <c r="AV449" i="11"/>
  <c r="AL449" i="11"/>
  <c r="AN449" i="11" s="1"/>
  <c r="AI449" i="11"/>
  <c r="AK449" i="11" s="1"/>
  <c r="AF449" i="11"/>
  <c r="AD449" i="11"/>
  <c r="U449" i="11"/>
  <c r="M449" i="11"/>
  <c r="L449" i="11"/>
  <c r="S449" i="11" s="1"/>
  <c r="K449" i="11"/>
  <c r="AC449" i="11" s="1"/>
  <c r="J449" i="11"/>
  <c r="I449" i="11"/>
  <c r="H449" i="11"/>
  <c r="BD448" i="11"/>
  <c r="AX448" i="11"/>
  <c r="AV448" i="11"/>
  <c r="AL448" i="11"/>
  <c r="AN448" i="11" s="1"/>
  <c r="AI448" i="11"/>
  <c r="AK448" i="11" s="1"/>
  <c r="AF448" i="11"/>
  <c r="AD448" i="11"/>
  <c r="U448" i="11"/>
  <c r="M448" i="11"/>
  <c r="L448" i="11"/>
  <c r="S448" i="11" s="1"/>
  <c r="K448" i="11"/>
  <c r="AC448" i="11" s="1"/>
  <c r="J448" i="11"/>
  <c r="I448" i="11"/>
  <c r="H448" i="11"/>
  <c r="BG447" i="11"/>
  <c r="BD447" i="11" s="1"/>
  <c r="AX447" i="11"/>
  <c r="AV447" i="11"/>
  <c r="AL447" i="11"/>
  <c r="AN447" i="11" s="1"/>
  <c r="AI447" i="11"/>
  <c r="AK447" i="11" s="1"/>
  <c r="AF447" i="11"/>
  <c r="AD447" i="11"/>
  <c r="U447" i="11"/>
  <c r="M447" i="11"/>
  <c r="L447" i="11"/>
  <c r="S447" i="11" s="1"/>
  <c r="K447" i="11"/>
  <c r="AC447" i="11" s="1"/>
  <c r="J447" i="11"/>
  <c r="I447" i="11"/>
  <c r="H447" i="11"/>
  <c r="BD446" i="11"/>
  <c r="AX446" i="11"/>
  <c r="AV446" i="11"/>
  <c r="AL446" i="11"/>
  <c r="AN446" i="11" s="1"/>
  <c r="AI446" i="11"/>
  <c r="AK446" i="11" s="1"/>
  <c r="AF446" i="11"/>
  <c r="AD446" i="11"/>
  <c r="U446" i="11"/>
  <c r="M446" i="11"/>
  <c r="L446" i="11"/>
  <c r="Q446" i="11" s="1"/>
  <c r="K446" i="11"/>
  <c r="AC446" i="11" s="1"/>
  <c r="J446" i="11"/>
  <c r="I446" i="11"/>
  <c r="H446" i="11"/>
  <c r="BE451" i="11" l="1"/>
  <c r="BF451" i="11" s="1"/>
  <c r="BE504" i="11"/>
  <c r="BF504" i="11" s="1"/>
  <c r="BD500" i="11"/>
  <c r="BE500" i="11" s="1"/>
  <c r="BF500" i="11" s="1"/>
  <c r="BE496" i="11"/>
  <c r="BF496" i="11" s="1"/>
  <c r="Q503" i="11"/>
  <c r="W503" i="11" s="1"/>
  <c r="BE502" i="11"/>
  <c r="BF502" i="11" s="1"/>
  <c r="BE503" i="11"/>
  <c r="BF503" i="11" s="1"/>
  <c r="BE505" i="11"/>
  <c r="BF505" i="11" s="1"/>
  <c r="BE499" i="11"/>
  <c r="BF499" i="11" s="1"/>
  <c r="BE501" i="11"/>
  <c r="BF501" i="11" s="1"/>
  <c r="BE497" i="11"/>
  <c r="BF497" i="11" s="1"/>
  <c r="Q497" i="11"/>
  <c r="V497" i="11" s="1"/>
  <c r="BE498" i="11"/>
  <c r="BF498" i="11" s="1"/>
  <c r="Q501" i="11"/>
  <c r="W501" i="11" s="1"/>
  <c r="S496" i="11"/>
  <c r="T496" i="11" s="1"/>
  <c r="S502" i="11"/>
  <c r="W502" i="11" s="1"/>
  <c r="V496" i="11"/>
  <c r="V502" i="11"/>
  <c r="Q504" i="11"/>
  <c r="W504" i="11" s="1"/>
  <c r="Q498" i="11"/>
  <c r="W498" i="11" s="1"/>
  <c r="Q505" i="11"/>
  <c r="Q499" i="11"/>
  <c r="W499" i="11" s="1"/>
  <c r="BE452" i="11"/>
  <c r="BF452" i="11" s="1"/>
  <c r="Q500" i="11"/>
  <c r="BE448" i="11"/>
  <c r="BF448" i="11" s="1"/>
  <c r="BE454" i="11"/>
  <c r="BF454" i="11" s="1"/>
  <c r="BE446" i="11"/>
  <c r="BF446" i="11" s="1"/>
  <c r="BE447" i="11"/>
  <c r="BF447" i="11" s="1"/>
  <c r="Q450" i="11"/>
  <c r="V450" i="11" s="1"/>
  <c r="Q452" i="11"/>
  <c r="W452" i="11" s="1"/>
  <c r="BE450" i="11"/>
  <c r="BF450" i="11" s="1"/>
  <c r="BE453" i="11"/>
  <c r="BF453" i="11" s="1"/>
  <c r="BE449" i="11"/>
  <c r="BF449" i="11" s="1"/>
  <c r="V446" i="11"/>
  <c r="S446" i="11"/>
  <c r="W446" i="11" s="1"/>
  <c r="Q453" i="11"/>
  <c r="W453" i="11" s="1"/>
  <c r="Q454" i="11"/>
  <c r="Q447" i="11"/>
  <c r="Q448" i="11"/>
  <c r="Q449" i="11"/>
  <c r="W449" i="11" s="1"/>
  <c r="Q451" i="11"/>
  <c r="V503" i="11" l="1"/>
  <c r="Y503" i="11" s="1"/>
  <c r="T503" i="11"/>
  <c r="T452" i="11"/>
  <c r="T502" i="11"/>
  <c r="T501" i="11"/>
  <c r="W496" i="11"/>
  <c r="Y496" i="11" s="1"/>
  <c r="W497" i="11"/>
  <c r="Y497" i="11" s="1"/>
  <c r="T497" i="11"/>
  <c r="V501" i="11"/>
  <c r="Y501" i="11" s="1"/>
  <c r="W450" i="11"/>
  <c r="Y450" i="11" s="1"/>
  <c r="V500" i="11"/>
  <c r="T500" i="11"/>
  <c r="V499" i="11"/>
  <c r="Y499" i="11" s="1"/>
  <c r="T499" i="11"/>
  <c r="Y502" i="11"/>
  <c r="V505" i="11"/>
  <c r="T505" i="11"/>
  <c r="W500" i="11"/>
  <c r="W505" i="11"/>
  <c r="V498" i="11"/>
  <c r="Y498" i="11" s="1"/>
  <c r="T498" i="11"/>
  <c r="V504" i="11"/>
  <c r="Y504" i="11" s="1"/>
  <c r="T504" i="11"/>
  <c r="V452" i="11"/>
  <c r="Y452" i="11" s="1"/>
  <c r="T450" i="11"/>
  <c r="V448" i="11"/>
  <c r="T448" i="11"/>
  <c r="V447" i="11"/>
  <c r="T447" i="11"/>
  <c r="V454" i="11"/>
  <c r="T454" i="11"/>
  <c r="V453" i="11"/>
  <c r="Y453" i="11" s="1"/>
  <c r="T453" i="11"/>
  <c r="T446" i="11"/>
  <c r="W451" i="11"/>
  <c r="T451" i="11"/>
  <c r="V451" i="11"/>
  <c r="Y446" i="11"/>
  <c r="W448" i="11"/>
  <c r="W454" i="11"/>
  <c r="T449" i="11"/>
  <c r="V449" i="11"/>
  <c r="Y449" i="11" s="1"/>
  <c r="W447" i="11"/>
  <c r="Y505" i="11" l="1"/>
  <c r="Y500" i="11"/>
  <c r="Y447" i="11"/>
  <c r="Y451" i="11"/>
  <c r="Y448" i="11"/>
  <c r="Y454" i="11"/>
  <c r="AV457" i="11"/>
  <c r="AV456" i="11"/>
  <c r="AV455" i="11"/>
  <c r="AL455" i="11"/>
  <c r="AN455" i="11" s="1"/>
  <c r="AI455" i="11"/>
  <c r="AK455" i="11" s="1"/>
  <c r="AV412" i="11"/>
  <c r="AV411" i="11"/>
  <c r="AV410" i="11"/>
  <c r="AP410" i="11"/>
  <c r="AV409" i="11"/>
  <c r="AV408" i="11"/>
  <c r="AV406" i="11"/>
  <c r="AV405" i="11"/>
  <c r="AV404" i="11"/>
  <c r="AV403" i="11"/>
  <c r="AV402" i="11"/>
  <c r="AV312" i="11"/>
  <c r="AV254" i="11"/>
  <c r="AV253" i="11"/>
  <c r="AV252" i="11"/>
  <c r="AL252" i="11"/>
  <c r="AN252" i="11" s="1"/>
  <c r="AI252" i="11"/>
  <c r="AK252" i="11" s="1"/>
  <c r="AV241" i="11"/>
  <c r="AV240" i="11"/>
  <c r="AV239" i="11"/>
  <c r="AV238" i="11"/>
  <c r="AN238" i="11"/>
  <c r="AM238" i="11"/>
  <c r="AK238" i="11"/>
  <c r="AJ238" i="11"/>
  <c r="AV237" i="11"/>
  <c r="AN237" i="11"/>
  <c r="AM237" i="11"/>
  <c r="AK237" i="11"/>
  <c r="AJ237" i="11"/>
  <c r="AV222" i="11"/>
  <c r="AV221" i="11"/>
  <c r="AV220" i="11"/>
  <c r="AV219" i="11"/>
  <c r="AV218" i="11"/>
  <c r="AV217" i="11"/>
  <c r="AV216" i="11"/>
  <c r="AV215" i="11"/>
  <c r="AV214" i="11"/>
  <c r="AV213" i="11"/>
  <c r="AV212" i="11"/>
  <c r="AV211" i="11"/>
  <c r="AV210" i="11"/>
  <c r="AV209" i="11"/>
  <c r="AV208" i="11"/>
  <c r="AV204" i="11"/>
  <c r="AN204" i="11"/>
  <c r="AM204" i="11"/>
  <c r="AK204" i="11"/>
  <c r="AJ204" i="11"/>
  <c r="AV203" i="11"/>
  <c r="AN203" i="11"/>
  <c r="AM203" i="11"/>
  <c r="AK203" i="11"/>
  <c r="AJ203" i="11"/>
  <c r="AV202" i="11"/>
  <c r="AV201" i="11"/>
  <c r="AV200" i="11"/>
  <c r="AV199" i="11"/>
  <c r="AV198" i="11"/>
  <c r="AL198" i="11"/>
  <c r="AN198" i="11" s="1"/>
  <c r="AI198" i="11"/>
  <c r="AK198" i="11" s="1"/>
  <c r="AV192" i="11"/>
  <c r="AV191" i="11"/>
  <c r="AV190" i="11"/>
  <c r="AV189" i="11"/>
  <c r="AV188" i="11"/>
  <c r="AV187" i="11"/>
  <c r="AV186" i="11"/>
  <c r="AV185" i="11"/>
  <c r="AV184" i="11"/>
  <c r="AV183" i="11"/>
  <c r="AV182" i="11"/>
  <c r="AV181" i="11"/>
  <c r="AV180" i="11"/>
  <c r="AN180" i="11"/>
  <c r="AM180" i="11"/>
  <c r="AK180" i="11"/>
  <c r="AJ180" i="11"/>
  <c r="AV179" i="11"/>
  <c r="AN179" i="11"/>
  <c r="AM179" i="11"/>
  <c r="AK179" i="11"/>
  <c r="AJ179" i="11"/>
  <c r="AV178" i="11"/>
  <c r="AL178" i="11"/>
  <c r="AN178" i="11" s="1"/>
  <c r="AI178" i="11"/>
  <c r="AK178" i="11" s="1"/>
  <c r="AV177" i="11"/>
  <c r="AN177" i="11"/>
  <c r="AM177" i="11"/>
  <c r="AK177" i="11"/>
  <c r="AJ177" i="11"/>
  <c r="AV176" i="11"/>
  <c r="AN176" i="11"/>
  <c r="AM176" i="11"/>
  <c r="AK176" i="11"/>
  <c r="AJ176" i="11"/>
  <c r="AV175" i="11"/>
  <c r="AN175" i="11"/>
  <c r="AM175" i="11"/>
  <c r="AK175" i="11"/>
  <c r="AJ175" i="11"/>
  <c r="AV174" i="11"/>
  <c r="AN174" i="11"/>
  <c r="AM174" i="11"/>
  <c r="AK174" i="11"/>
  <c r="AJ174" i="11"/>
  <c r="AV173" i="11"/>
  <c r="AN173" i="11"/>
  <c r="AM173" i="11"/>
  <c r="AK173" i="11"/>
  <c r="AJ173" i="11"/>
  <c r="AV172" i="11"/>
  <c r="AN172" i="11"/>
  <c r="AM172" i="11"/>
  <c r="AK172" i="11"/>
  <c r="AJ172" i="11"/>
  <c r="AV171" i="11"/>
  <c r="AN171" i="11"/>
  <c r="AM171" i="11"/>
  <c r="AK171" i="11"/>
  <c r="AJ171" i="11"/>
  <c r="AV170" i="11"/>
  <c r="AV166" i="11"/>
  <c r="AV165" i="11"/>
  <c r="AV164" i="11"/>
  <c r="AV163" i="11"/>
  <c r="AV162" i="11"/>
  <c r="AV161" i="11"/>
  <c r="AV160" i="11"/>
  <c r="AV159" i="11"/>
  <c r="AV158" i="11"/>
  <c r="AV157" i="11"/>
  <c r="AV156" i="11"/>
  <c r="AV155" i="11"/>
  <c r="AX145" i="11"/>
  <c r="AV145" i="11"/>
  <c r="AZ142" i="11"/>
  <c r="AX142" i="11"/>
  <c r="AV142" i="11"/>
  <c r="AL142" i="11"/>
  <c r="AN142" i="11" s="1"/>
  <c r="AI142" i="11"/>
  <c r="AK142" i="11" s="1"/>
  <c r="AX138" i="11"/>
  <c r="AV138" i="11"/>
  <c r="AX137" i="11"/>
  <c r="AV137" i="11"/>
  <c r="AV126" i="11"/>
  <c r="U99" i="11" l="1"/>
  <c r="M92" i="11"/>
  <c r="M93" i="11"/>
  <c r="M94" i="11"/>
  <c r="M95" i="11"/>
  <c r="M96" i="11"/>
  <c r="M97" i="11"/>
  <c r="M98" i="11"/>
  <c r="M99" i="11"/>
  <c r="M100" i="11"/>
  <c r="M101" i="11"/>
  <c r="M102" i="11"/>
  <c r="M103" i="11"/>
  <c r="M104" i="11"/>
  <c r="M105" i="11"/>
  <c r="M106" i="11"/>
  <c r="M107" i="11"/>
  <c r="M108" i="11"/>
  <c r="M109" i="11"/>
  <c r="M110" i="11"/>
  <c r="M111" i="11"/>
  <c r="U112" i="11" l="1"/>
  <c r="BG111" i="11" l="1"/>
  <c r="BG110" i="11"/>
  <c r="BG109" i="11"/>
  <c r="BG108" i="11"/>
  <c r="BG107" i="11"/>
  <c r="BG106" i="11"/>
  <c r="BG105" i="11"/>
  <c r="BG104" i="11"/>
  <c r="BG103" i="11"/>
  <c r="BG102" i="11"/>
  <c r="BG101" i="11"/>
  <c r="BG100" i="11"/>
  <c r="BG99" i="11"/>
  <c r="BG98" i="11"/>
  <c r="BG97" i="11"/>
  <c r="BG96" i="11"/>
  <c r="BG95" i="11"/>
  <c r="BG94" i="11"/>
  <c r="BG93" i="11"/>
  <c r="BG92" i="11"/>
  <c r="BG1174" i="11"/>
  <c r="U111" i="11" l="1"/>
  <c r="U110" i="11"/>
  <c r="U109" i="11"/>
  <c r="U108" i="11"/>
  <c r="U107" i="11"/>
  <c r="U106" i="11"/>
  <c r="U105" i="11"/>
  <c r="U104" i="11"/>
  <c r="U103" i="11"/>
  <c r="U102" i="11"/>
  <c r="U101" i="11"/>
  <c r="U100" i="11"/>
  <c r="U98" i="11"/>
  <c r="U97" i="11"/>
  <c r="U96" i="11"/>
  <c r="U95" i="11"/>
  <c r="U94" i="11"/>
  <c r="U93" i="11"/>
  <c r="U92" i="11"/>
  <c r="U1276" i="11"/>
  <c r="U1275" i="11"/>
  <c r="U1274" i="11"/>
  <c r="U1273" i="11"/>
  <c r="U1272" i="11"/>
  <c r="U1271" i="11"/>
  <c r="U1270" i="11"/>
  <c r="U1269" i="11"/>
  <c r="U1268" i="11"/>
  <c r="U1267" i="11"/>
  <c r="U1266" i="11"/>
  <c r="U1265" i="11"/>
  <c r="U1264" i="11"/>
  <c r="U1263" i="11"/>
  <c r="U1262" i="11"/>
  <c r="U1261" i="11"/>
  <c r="U1260" i="11"/>
  <c r="U1259" i="11"/>
  <c r="U1258" i="11"/>
  <c r="U1257" i="11"/>
  <c r="U1256" i="11"/>
  <c r="U1174" i="11"/>
  <c r="U1173" i="11"/>
  <c r="U1172" i="11"/>
  <c r="U1171" i="11"/>
  <c r="U1170" i="11"/>
  <c r="U1169" i="11"/>
  <c r="U1168" i="11"/>
  <c r="U1167" i="11"/>
  <c r="U1166" i="11"/>
  <c r="U1165" i="11"/>
  <c r="U1164" i="11"/>
  <c r="U1163" i="11"/>
  <c r="U1162" i="11"/>
  <c r="U1161" i="11"/>
  <c r="U1160" i="11"/>
  <c r="U1159" i="11"/>
  <c r="U1158" i="11"/>
  <c r="U1157" i="11"/>
  <c r="U1156" i="11"/>
  <c r="U1155" i="11"/>
  <c r="U1154" i="11"/>
  <c r="U1153" i="11"/>
  <c r="U1152" i="11"/>
  <c r="U1151" i="11"/>
  <c r="U1150" i="11"/>
  <c r="U1149" i="11"/>
  <c r="U1148" i="11"/>
  <c r="U1147" i="11"/>
  <c r="U1146" i="11"/>
  <c r="U1145" i="11"/>
  <c r="U1144" i="11"/>
  <c r="U1143" i="11"/>
  <c r="U1142" i="11"/>
  <c r="U1141" i="11"/>
  <c r="U1140" i="11"/>
  <c r="U1139" i="11"/>
  <c r="U1138" i="11"/>
  <c r="U1137" i="11"/>
  <c r="U1136" i="11"/>
  <c r="U1135" i="11"/>
  <c r="U1134" i="11"/>
  <c r="U1133" i="11"/>
  <c r="U1132" i="11"/>
  <c r="U1131" i="11"/>
  <c r="U1130" i="11"/>
  <c r="U1129" i="11"/>
  <c r="U1128" i="11"/>
  <c r="U1127" i="11"/>
  <c r="U1126" i="11"/>
  <c r="U1125" i="11"/>
  <c r="U1124" i="11"/>
  <c r="U1123" i="11"/>
  <c r="U1122" i="11"/>
  <c r="U1121" i="11"/>
  <c r="U1120" i="11"/>
  <c r="U1119" i="11"/>
  <c r="U1118" i="11"/>
  <c r="U1117" i="11"/>
  <c r="U1116" i="11"/>
  <c r="U1115" i="11"/>
  <c r="U1114" i="11"/>
  <c r="U1113" i="11"/>
  <c r="U1112" i="11"/>
  <c r="U91" i="11"/>
  <c r="U90" i="11"/>
  <c r="U89" i="11"/>
  <c r="U88" i="11"/>
  <c r="U87" i="11"/>
  <c r="U86" i="11"/>
  <c r="U85" i="11"/>
  <c r="U84" i="11"/>
  <c r="U83" i="11"/>
  <c r="U82" i="11"/>
  <c r="U81" i="11"/>
  <c r="U80" i="11"/>
  <c r="U1234" i="11"/>
  <c r="U1233" i="11"/>
  <c r="U1232" i="11"/>
  <c r="U1231" i="11"/>
  <c r="U1230" i="11"/>
  <c r="U1229" i="11"/>
  <c r="U1228" i="11"/>
  <c r="U1227" i="11"/>
  <c r="U1226" i="11"/>
  <c r="U1225" i="11"/>
  <c r="U1224" i="11"/>
  <c r="U1223" i="11"/>
  <c r="U1222" i="11"/>
  <c r="U1221" i="11"/>
  <c r="U1220" i="11"/>
  <c r="U1219" i="11"/>
  <c r="U1218" i="11"/>
  <c r="U1217" i="11"/>
  <c r="U1216" i="11"/>
  <c r="U1215" i="11"/>
  <c r="U1214" i="11"/>
  <c r="U1213" i="11"/>
  <c r="U1212" i="11"/>
  <c r="U1201" i="11"/>
  <c r="U1200" i="11"/>
  <c r="U1199" i="11"/>
  <c r="U1198" i="11"/>
  <c r="U1197" i="11"/>
  <c r="U1196" i="11"/>
  <c r="U1195" i="11"/>
  <c r="U1194" i="11"/>
  <c r="U1193" i="11"/>
  <c r="U1192" i="11"/>
  <c r="U1191" i="11"/>
  <c r="U1190" i="11"/>
  <c r="U1189" i="11"/>
  <c r="U1188" i="11"/>
  <c r="U1187" i="11"/>
  <c r="U1186" i="11"/>
  <c r="U1185" i="11"/>
  <c r="U1184" i="11"/>
  <c r="U1183" i="11"/>
  <c r="U1182" i="11"/>
  <c r="U1181" i="11"/>
  <c r="U1180" i="11"/>
  <c r="U1179" i="11"/>
  <c r="U1178" i="11"/>
  <c r="U1177" i="11"/>
  <c r="U1176" i="11"/>
  <c r="U1175" i="11"/>
  <c r="U1111" i="11"/>
  <c r="U1110" i="11"/>
  <c r="U1109" i="11"/>
  <c r="U1108" i="11"/>
  <c r="U1107" i="11"/>
  <c r="U1106" i="11"/>
  <c r="U1105" i="11"/>
  <c r="U1104" i="11"/>
  <c r="U1103" i="11"/>
  <c r="U1096" i="11"/>
  <c r="U1095" i="11"/>
  <c r="U1094" i="11"/>
  <c r="U1093" i="11"/>
  <c r="U1092" i="11"/>
  <c r="U1091" i="11"/>
  <c r="U1090" i="11"/>
  <c r="U1089" i="11"/>
  <c r="U1088" i="11"/>
  <c r="U1087" i="11"/>
  <c r="U1086" i="11"/>
  <c r="U624" i="11"/>
  <c r="U623" i="11"/>
  <c r="U622" i="11"/>
  <c r="U621" i="11"/>
  <c r="U620" i="11"/>
  <c r="U619" i="11"/>
  <c r="U618" i="11"/>
  <c r="U617" i="11"/>
  <c r="U616" i="11"/>
  <c r="U615" i="11"/>
  <c r="U614" i="11"/>
  <c r="U613" i="11"/>
  <c r="U612" i="11"/>
  <c r="U611" i="11"/>
  <c r="U610" i="11"/>
  <c r="U609" i="11"/>
  <c r="U608" i="11"/>
  <c r="U607" i="11"/>
  <c r="U606" i="11"/>
  <c r="U1255" i="11"/>
  <c r="U1254" i="11"/>
  <c r="U1253" i="11"/>
  <c r="U1252" i="11"/>
  <c r="U1251" i="11"/>
  <c r="U1250" i="11"/>
  <c r="U1249" i="11"/>
  <c r="U1248" i="11"/>
  <c r="U1247" i="11"/>
  <c r="U1246" i="11"/>
  <c r="U1245" i="11"/>
  <c r="U1244" i="11"/>
  <c r="U1243" i="11"/>
  <c r="U1242" i="11"/>
  <c r="U1241" i="11"/>
  <c r="U1240" i="11"/>
  <c r="U1239" i="11"/>
  <c r="U1238" i="11"/>
  <c r="U1237" i="11"/>
  <c r="U1236" i="11"/>
  <c r="U1235" i="11"/>
  <c r="U605" i="11"/>
  <c r="U604" i="11"/>
  <c r="U603" i="11"/>
  <c r="U602" i="11"/>
  <c r="U601" i="11"/>
  <c r="U600" i="11"/>
  <c r="U599" i="11"/>
  <c r="U598" i="11"/>
  <c r="U597" i="11"/>
  <c r="U596" i="11"/>
  <c r="U595" i="11"/>
  <c r="U594" i="11"/>
  <c r="U593" i="11"/>
  <c r="U592" i="11"/>
  <c r="U591" i="11"/>
  <c r="U590" i="11"/>
  <c r="U589" i="11"/>
  <c r="U588" i="11"/>
  <c r="U587" i="11"/>
  <c r="U586" i="11"/>
  <c r="U582" i="11"/>
  <c r="U581" i="11"/>
  <c r="U580" i="11"/>
  <c r="U579" i="11"/>
  <c r="U578" i="11"/>
  <c r="U577" i="11"/>
  <c r="U576" i="11"/>
  <c r="U575" i="11"/>
  <c r="U574" i="11"/>
  <c r="U573" i="11"/>
  <c r="U572" i="11"/>
  <c r="U1085" i="11"/>
  <c r="U1084" i="11"/>
  <c r="U1083" i="11"/>
  <c r="U1082" i="11"/>
  <c r="U1081" i="11"/>
  <c r="U1080" i="11"/>
  <c r="U1079" i="11"/>
  <c r="U1078" i="11"/>
  <c r="U1077" i="11"/>
  <c r="U1076" i="11"/>
  <c r="U1075" i="11"/>
  <c r="U1074" i="11"/>
  <c r="U1073" i="11"/>
  <c r="U1072" i="11"/>
  <c r="U1071" i="11"/>
  <c r="U1070" i="11"/>
  <c r="U571" i="11"/>
  <c r="U570" i="11"/>
  <c r="U569" i="11"/>
  <c r="U568" i="11"/>
  <c r="U567" i="11"/>
  <c r="U566" i="11"/>
  <c r="U565" i="11"/>
  <c r="U564" i="11"/>
  <c r="U563" i="11"/>
  <c r="U562" i="11"/>
  <c r="U561" i="11"/>
  <c r="U560" i="11"/>
  <c r="U559" i="11"/>
  <c r="U558" i="11"/>
  <c r="U557" i="11"/>
  <c r="U556" i="11"/>
  <c r="U555" i="11"/>
  <c r="U554" i="11"/>
  <c r="U553" i="11"/>
  <c r="U552" i="11"/>
  <c r="U551" i="11"/>
  <c r="U540" i="11"/>
  <c r="U539" i="11"/>
  <c r="U538" i="11"/>
  <c r="U537" i="11"/>
  <c r="U536" i="11"/>
  <c r="U535" i="11"/>
  <c r="U534" i="11"/>
  <c r="U533" i="11"/>
  <c r="U532" i="11"/>
  <c r="U531" i="11"/>
  <c r="U530" i="11"/>
  <c r="U526" i="11"/>
  <c r="U525" i="11"/>
  <c r="U524" i="11"/>
  <c r="U523" i="11"/>
  <c r="U522" i="11"/>
  <c r="U521" i="11"/>
  <c r="U520" i="11"/>
  <c r="U519" i="11"/>
  <c r="U518" i="11"/>
  <c r="U517" i="11"/>
  <c r="U516" i="11"/>
  <c r="U515" i="11"/>
  <c r="U514" i="11"/>
  <c r="U513" i="11"/>
  <c r="U512" i="11"/>
  <c r="U495" i="11"/>
  <c r="U494" i="11"/>
  <c r="U493" i="11"/>
  <c r="U492" i="11"/>
  <c r="U491" i="11"/>
  <c r="U490" i="11"/>
  <c r="U1069" i="11"/>
  <c r="U1068" i="11"/>
  <c r="U1067" i="11"/>
  <c r="U1066" i="11"/>
  <c r="U1065" i="11"/>
  <c r="U1064" i="11"/>
  <c r="U1063" i="11"/>
  <c r="U1062" i="11"/>
  <c r="U1061" i="11"/>
  <c r="U1060" i="11"/>
  <c r="U1059" i="11"/>
  <c r="U1058" i="11"/>
  <c r="U1057" i="11"/>
  <c r="U1056" i="11"/>
  <c r="U1055" i="11"/>
  <c r="U1054" i="11"/>
  <c r="U1053" i="11"/>
  <c r="U1052" i="11"/>
  <c r="U1051" i="11"/>
  <c r="U1050" i="11"/>
  <c r="U1049" i="11"/>
  <c r="U1048" i="11"/>
  <c r="U1047" i="11"/>
  <c r="U1046" i="11"/>
  <c r="U1045" i="11"/>
  <c r="U1044" i="11"/>
  <c r="U1043" i="11"/>
  <c r="U1042" i="11"/>
  <c r="U1041" i="11"/>
  <c r="U1040" i="11"/>
  <c r="U1039" i="11"/>
  <c r="U1038" i="11"/>
  <c r="U1037" i="11"/>
  <c r="U1036" i="11"/>
  <c r="U1035" i="11"/>
  <c r="U1034" i="11"/>
  <c r="U1033" i="11"/>
  <c r="U1032" i="11"/>
  <c r="U1031" i="11"/>
  <c r="U1030" i="11"/>
  <c r="U1029" i="11"/>
  <c r="U1028" i="11"/>
  <c r="U1027" i="11"/>
  <c r="U1026" i="11"/>
  <c r="U1025" i="11"/>
  <c r="U1024" i="11"/>
  <c r="U1023" i="11"/>
  <c r="U1022" i="11"/>
  <c r="U1021" i="11"/>
  <c r="U1020" i="11"/>
  <c r="U1019" i="11"/>
  <c r="U1018" i="11"/>
  <c r="U1017" i="11"/>
  <c r="U1016" i="11"/>
  <c r="U1015" i="11"/>
  <c r="U1014" i="11"/>
  <c r="U1013" i="11"/>
  <c r="U1012" i="11"/>
  <c r="U1011" i="11"/>
  <c r="U1010" i="11"/>
  <c r="U1009" i="11"/>
  <c r="U1008" i="11"/>
  <c r="U1007" i="11"/>
  <c r="U1006" i="11"/>
  <c r="U1005" i="11"/>
  <c r="U1004" i="11"/>
  <c r="U1003" i="11"/>
  <c r="U1002" i="11"/>
  <c r="U1001" i="11"/>
  <c r="U1000" i="11"/>
  <c r="U999" i="11"/>
  <c r="U998" i="11"/>
  <c r="U997" i="11"/>
  <c r="U996" i="11"/>
  <c r="U995" i="11"/>
  <c r="U994" i="11"/>
  <c r="U993" i="11"/>
  <c r="U992" i="11"/>
  <c r="U991" i="11"/>
  <c r="U990" i="11"/>
  <c r="U989" i="11"/>
  <c r="U988" i="11"/>
  <c r="U987" i="11"/>
  <c r="U986" i="11"/>
  <c r="U985" i="11"/>
  <c r="U984" i="11"/>
  <c r="U983" i="11"/>
  <c r="U982" i="11"/>
  <c r="U981" i="11"/>
  <c r="U980" i="11"/>
  <c r="U979" i="11"/>
  <c r="U978" i="11"/>
  <c r="U977" i="11"/>
  <c r="U976" i="11"/>
  <c r="U975" i="11"/>
  <c r="U974" i="11"/>
  <c r="U973" i="11"/>
  <c r="U972" i="11"/>
  <c r="U971" i="11"/>
  <c r="U970" i="11"/>
  <c r="U969" i="11"/>
  <c r="U968" i="11"/>
  <c r="U967" i="11"/>
  <c r="U966" i="11"/>
  <c r="U965" i="11"/>
  <c r="U964" i="11"/>
  <c r="U963" i="11"/>
  <c r="U962" i="11"/>
  <c r="U961" i="11"/>
  <c r="U960" i="11"/>
  <c r="U959" i="11"/>
  <c r="U958" i="11"/>
  <c r="U957" i="11"/>
  <c r="U956" i="11"/>
  <c r="U955" i="11"/>
  <c r="U954" i="11"/>
  <c r="U953" i="11"/>
  <c r="U952" i="11"/>
  <c r="U951" i="11"/>
  <c r="U950" i="11"/>
  <c r="U949" i="11"/>
  <c r="U948" i="11"/>
  <c r="U947" i="11"/>
  <c r="U946" i="11"/>
  <c r="U945" i="11"/>
  <c r="U944" i="11"/>
  <c r="U943" i="11"/>
  <c r="U942" i="11"/>
  <c r="U941" i="11"/>
  <c r="U940" i="11"/>
  <c r="U939" i="11"/>
  <c r="U938" i="11"/>
  <c r="U937" i="11"/>
  <c r="U936" i="11"/>
  <c r="U935" i="11"/>
  <c r="U934" i="11"/>
  <c r="U933" i="11"/>
  <c r="U932" i="11"/>
  <c r="U931" i="11"/>
  <c r="U930" i="11"/>
  <c r="U929" i="11"/>
  <c r="U928" i="11"/>
  <c r="U927" i="11"/>
  <c r="U926" i="11"/>
  <c r="U925" i="11"/>
  <c r="U924" i="11"/>
  <c r="U923" i="11"/>
  <c r="U922" i="11"/>
  <c r="U921" i="11"/>
  <c r="U920" i="11"/>
  <c r="U919" i="11"/>
  <c r="U918" i="11"/>
  <c r="U917" i="11"/>
  <c r="U916" i="11"/>
  <c r="U915" i="11"/>
  <c r="U914" i="11"/>
  <c r="U913" i="11"/>
  <c r="U912" i="11"/>
  <c r="U911" i="11"/>
  <c r="U910" i="11"/>
  <c r="U909" i="11"/>
  <c r="U908" i="11"/>
  <c r="U907" i="11"/>
  <c r="U906" i="11"/>
  <c r="U905" i="11"/>
  <c r="U904" i="11"/>
  <c r="U903" i="11"/>
  <c r="U902" i="11"/>
  <c r="U901" i="11"/>
  <c r="U900" i="11"/>
  <c r="U899" i="11"/>
  <c r="U898" i="11"/>
  <c r="U891" i="11"/>
  <c r="U890" i="11"/>
  <c r="U889" i="11"/>
  <c r="U888" i="11"/>
  <c r="U887" i="11"/>
  <c r="U886" i="11"/>
  <c r="U885" i="11"/>
  <c r="U884" i="11"/>
  <c r="U883" i="11"/>
  <c r="U882" i="11"/>
  <c r="U881" i="11"/>
  <c r="U880" i="11"/>
  <c r="U879" i="11"/>
  <c r="U867" i="11"/>
  <c r="U866" i="11"/>
  <c r="U865" i="11"/>
  <c r="U864" i="11"/>
  <c r="U863" i="11"/>
  <c r="U862" i="11"/>
  <c r="U861" i="11"/>
  <c r="U860" i="11"/>
  <c r="U859" i="11"/>
  <c r="U858" i="11"/>
  <c r="U857" i="11"/>
  <c r="U856" i="11"/>
  <c r="U855" i="11"/>
  <c r="U854" i="11"/>
  <c r="U853" i="11"/>
  <c r="U852" i="11"/>
  <c r="U851" i="11"/>
  <c r="U850" i="11"/>
  <c r="U849" i="11"/>
  <c r="U848" i="11"/>
  <c r="U847" i="11"/>
  <c r="U846" i="11"/>
  <c r="U845" i="11"/>
  <c r="U844" i="11"/>
  <c r="U843" i="11"/>
  <c r="U842" i="11"/>
  <c r="U841" i="11"/>
  <c r="U840" i="11"/>
  <c r="U839" i="11"/>
  <c r="U838" i="11"/>
  <c r="U837" i="11"/>
  <c r="U836" i="11"/>
  <c r="U835" i="11"/>
  <c r="U834" i="11"/>
  <c r="U833" i="11"/>
  <c r="U832" i="11"/>
  <c r="U831" i="11"/>
  <c r="U830" i="11"/>
  <c r="U829" i="11"/>
  <c r="U828" i="11"/>
  <c r="U827" i="11"/>
  <c r="U826" i="11"/>
  <c r="U825" i="11"/>
  <c r="U824" i="11"/>
  <c r="U823" i="11"/>
  <c r="U822" i="11"/>
  <c r="U821" i="11"/>
  <c r="U820" i="11"/>
  <c r="U819" i="11"/>
  <c r="U818" i="11"/>
  <c r="U817" i="11"/>
  <c r="U816" i="11"/>
  <c r="U815" i="11"/>
  <c r="U814" i="11"/>
  <c r="U813" i="11"/>
  <c r="U812" i="11"/>
  <c r="U811" i="11"/>
  <c r="U810" i="11"/>
  <c r="U809" i="11"/>
  <c r="U808" i="11"/>
  <c r="U807" i="11"/>
  <c r="U806" i="11"/>
  <c r="U805" i="11"/>
  <c r="U804" i="11"/>
  <c r="U803" i="11"/>
  <c r="U802" i="11"/>
  <c r="U801" i="11"/>
  <c r="U800" i="11"/>
  <c r="U799" i="11"/>
  <c r="U798" i="11"/>
  <c r="U797" i="11"/>
  <c r="U796" i="11"/>
  <c r="U795" i="11"/>
  <c r="U794" i="11"/>
  <c r="U793" i="11"/>
  <c r="U792" i="11"/>
  <c r="U791" i="11"/>
  <c r="U790" i="11"/>
  <c r="U789" i="11"/>
  <c r="U788" i="11"/>
  <c r="U787" i="11"/>
  <c r="U786" i="11"/>
  <c r="U785" i="11"/>
  <c r="U784" i="11"/>
  <c r="U783" i="11"/>
  <c r="U782" i="11"/>
  <c r="U781" i="11"/>
  <c r="U780" i="11"/>
  <c r="U779" i="11"/>
  <c r="U489" i="11"/>
  <c r="U488" i="11"/>
  <c r="U487" i="11"/>
  <c r="U486" i="11"/>
  <c r="U485" i="11"/>
  <c r="U484" i="11"/>
  <c r="U483" i="11"/>
  <c r="U482" i="11"/>
  <c r="U481" i="11"/>
  <c r="U480" i="11"/>
  <c r="U479" i="11"/>
  <c r="U478" i="11"/>
  <c r="U477" i="11"/>
  <c r="U476" i="11"/>
  <c r="U475" i="11"/>
  <c r="U474" i="11"/>
  <c r="U473" i="11"/>
  <c r="U472" i="11"/>
  <c r="U471" i="11"/>
  <c r="U470" i="11"/>
  <c r="U469" i="11"/>
  <c r="U468" i="11"/>
  <c r="U467" i="11"/>
  <c r="U466" i="11"/>
  <c r="U465" i="11"/>
  <c r="U464" i="11"/>
  <c r="U463" i="11"/>
  <c r="U462" i="11"/>
  <c r="U461" i="11"/>
  <c r="U460" i="11"/>
  <c r="U459" i="11"/>
  <c r="U458" i="11"/>
  <c r="U457" i="11"/>
  <c r="U456" i="11"/>
  <c r="U455" i="11"/>
  <c r="U445" i="11"/>
  <c r="U444" i="11"/>
  <c r="U443" i="11"/>
  <c r="U442" i="11"/>
  <c r="U441" i="11"/>
  <c r="U440" i="11"/>
  <c r="U439" i="11"/>
  <c r="U438" i="11"/>
  <c r="U437" i="11"/>
  <c r="U436" i="11"/>
  <c r="U435" i="11"/>
  <c r="U434" i="11"/>
  <c r="U433" i="11"/>
  <c r="U432" i="11"/>
  <c r="U431" i="11"/>
  <c r="U430" i="11"/>
  <c r="U429" i="11"/>
  <c r="U428" i="11"/>
  <c r="U427" i="11"/>
  <c r="U426" i="11"/>
  <c r="U425" i="11"/>
  <c r="U424" i="11"/>
  <c r="U423" i="11"/>
  <c r="U422" i="11"/>
  <c r="U421" i="11"/>
  <c r="U420" i="11"/>
  <c r="U419" i="11"/>
  <c r="U418" i="11"/>
  <c r="U417" i="11"/>
  <c r="U416" i="11"/>
  <c r="U415" i="11"/>
  <c r="U414" i="11"/>
  <c r="U413" i="11"/>
  <c r="U412" i="11"/>
  <c r="U411" i="11"/>
  <c r="U410" i="11"/>
  <c r="U409" i="11"/>
  <c r="U408" i="11"/>
  <c r="U407" i="11"/>
  <c r="U406" i="11"/>
  <c r="U405" i="11"/>
  <c r="U404" i="11"/>
  <c r="U403" i="11"/>
  <c r="U402" i="11"/>
  <c r="U401" i="11"/>
  <c r="U400" i="11"/>
  <c r="U399" i="11"/>
  <c r="U398" i="11"/>
  <c r="U397" i="11"/>
  <c r="U396" i="11"/>
  <c r="U395" i="11"/>
  <c r="U394" i="11"/>
  <c r="U393" i="11"/>
  <c r="U392" i="11"/>
  <c r="U391" i="11"/>
  <c r="U390" i="11"/>
  <c r="U389" i="11"/>
  <c r="U388" i="11"/>
  <c r="U387" i="11"/>
  <c r="U386" i="11"/>
  <c r="U385" i="11"/>
  <c r="U384" i="11"/>
  <c r="U383" i="11"/>
  <c r="U382" i="11"/>
  <c r="U381" i="11"/>
  <c r="U380" i="11"/>
  <c r="U379" i="11"/>
  <c r="U378" i="11"/>
  <c r="U377" i="11"/>
  <c r="U376" i="11"/>
  <c r="U375" i="11"/>
  <c r="U374" i="11"/>
  <c r="U373" i="11"/>
  <c r="U372" i="11"/>
  <c r="U371" i="11"/>
  <c r="U370" i="11"/>
  <c r="U369" i="11"/>
  <c r="U368" i="11"/>
  <c r="U367" i="11"/>
  <c r="U366" i="11"/>
  <c r="U365" i="11"/>
  <c r="U364" i="11"/>
  <c r="U363" i="11"/>
  <c r="U362" i="11"/>
  <c r="U361" i="11"/>
  <c r="U360" i="11"/>
  <c r="U359" i="11"/>
  <c r="U358" i="11"/>
  <c r="U357" i="11"/>
  <c r="U356" i="11"/>
  <c r="U355" i="11"/>
  <c r="U354" i="11"/>
  <c r="U353" i="11"/>
  <c r="U352" i="11"/>
  <c r="U351" i="11"/>
  <c r="U350" i="11"/>
  <c r="U349" i="11"/>
  <c r="U348" i="11"/>
  <c r="U347" i="11"/>
  <c r="U346" i="11"/>
  <c r="U345" i="11"/>
  <c r="U344" i="11"/>
  <c r="U343" i="11"/>
  <c r="U342" i="11"/>
  <c r="U341" i="11"/>
  <c r="U340" i="11"/>
  <c r="U339" i="11"/>
  <c r="U338" i="11"/>
  <c r="U337" i="11"/>
  <c r="U336" i="11"/>
  <c r="U335" i="11"/>
  <c r="U334" i="11"/>
  <c r="U333" i="11"/>
  <c r="U332" i="11"/>
  <c r="U331" i="11"/>
  <c r="U330" i="11"/>
  <c r="U329" i="11"/>
  <c r="U328" i="11"/>
  <c r="U327" i="11"/>
  <c r="U326" i="11"/>
  <c r="U325" i="11"/>
  <c r="U324" i="11"/>
  <c r="U323" i="11"/>
  <c r="U322" i="11"/>
  <c r="U321" i="11"/>
  <c r="U320" i="11"/>
  <c r="U319" i="11"/>
  <c r="U318" i="11"/>
  <c r="U317" i="11"/>
  <c r="U316" i="11"/>
  <c r="U315" i="11"/>
  <c r="U314" i="11"/>
  <c r="U313" i="11"/>
  <c r="U312" i="11"/>
  <c r="U311" i="11"/>
  <c r="U310" i="11"/>
  <c r="U309" i="11"/>
  <c r="U308" i="11"/>
  <c r="U307" i="11"/>
  <c r="U306" i="11"/>
  <c r="U305" i="11"/>
  <c r="U304" i="11"/>
  <c r="U303" i="11"/>
  <c r="U302" i="11"/>
  <c r="U301" i="11"/>
  <c r="U300" i="11"/>
  <c r="U299" i="11"/>
  <c r="U298" i="11"/>
  <c r="U297" i="11"/>
  <c r="U296" i="11"/>
  <c r="U295" i="11"/>
  <c r="U294" i="11"/>
  <c r="U293" i="11"/>
  <c r="U292" i="11"/>
  <c r="U291" i="11"/>
  <c r="U290" i="11"/>
  <c r="U289" i="11"/>
  <c r="U288" i="11"/>
  <c r="U287" i="11"/>
  <c r="U286" i="11"/>
  <c r="U285" i="11"/>
  <c r="U284" i="11"/>
  <c r="U283" i="11"/>
  <c r="U282" i="11"/>
  <c r="U281" i="11"/>
  <c r="U280" i="11"/>
  <c r="U279" i="11"/>
  <c r="U278" i="11"/>
  <c r="U277" i="11"/>
  <c r="U276" i="11"/>
  <c r="U275" i="11"/>
  <c r="U274" i="11"/>
  <c r="U273" i="11"/>
  <c r="U272" i="11"/>
  <c r="U271" i="11"/>
  <c r="U270" i="11"/>
  <c r="U269" i="11"/>
  <c r="U268" i="11"/>
  <c r="U267" i="11"/>
  <c r="U266" i="11"/>
  <c r="U265" i="11"/>
  <c r="U264" i="11"/>
  <c r="U263" i="11"/>
  <c r="U262" i="11"/>
  <c r="U261" i="11"/>
  <c r="U260" i="11"/>
  <c r="U259" i="11"/>
  <c r="U258" i="11"/>
  <c r="U257" i="11"/>
  <c r="U256" i="11"/>
  <c r="U255" i="11"/>
  <c r="U254" i="11"/>
  <c r="U253" i="11"/>
  <c r="U252" i="11"/>
  <c r="U251" i="11"/>
  <c r="U250" i="11"/>
  <c r="U249" i="11"/>
  <c r="U248" i="11"/>
  <c r="U247" i="11"/>
  <c r="U246" i="11"/>
  <c r="U245" i="11"/>
  <c r="U244" i="11"/>
  <c r="U243" i="11"/>
  <c r="U242" i="11"/>
  <c r="U241" i="11"/>
  <c r="U240" i="11"/>
  <c r="U239" i="11"/>
  <c r="U238" i="11"/>
  <c r="U237" i="11"/>
  <c r="U230" i="11"/>
  <c r="U229" i="11"/>
  <c r="U228" i="11"/>
  <c r="U227" i="11"/>
  <c r="U226" i="11"/>
  <c r="U225" i="11"/>
  <c r="U224" i="11"/>
  <c r="U223" i="11"/>
  <c r="U222" i="11"/>
  <c r="U221" i="11"/>
  <c r="U220" i="11"/>
  <c r="U219" i="11"/>
  <c r="U218" i="11"/>
  <c r="U778" i="11"/>
  <c r="U777" i="11"/>
  <c r="U776" i="11"/>
  <c r="U775" i="11"/>
  <c r="U774" i="11"/>
  <c r="U773" i="11"/>
  <c r="U772" i="11"/>
  <c r="U771" i="11"/>
  <c r="U770" i="11"/>
  <c r="U769" i="11"/>
  <c r="U768" i="11"/>
  <c r="U767" i="11"/>
  <c r="U766" i="11"/>
  <c r="U217" i="11"/>
  <c r="U216" i="11"/>
  <c r="U215" i="11"/>
  <c r="U214" i="11"/>
  <c r="U213" i="11"/>
  <c r="U212" i="11"/>
  <c r="U211" i="11"/>
  <c r="U210" i="11"/>
  <c r="U209" i="11"/>
  <c r="U208" i="11"/>
  <c r="U204" i="11"/>
  <c r="U203" i="11"/>
  <c r="U202" i="11"/>
  <c r="U201" i="11"/>
  <c r="U200" i="11"/>
  <c r="U199" i="11"/>
  <c r="U198" i="11"/>
  <c r="U197" i="11"/>
  <c r="U196" i="11"/>
  <c r="U195" i="11"/>
  <c r="U194" i="11"/>
  <c r="U193" i="11"/>
  <c r="U192" i="11"/>
  <c r="U191" i="11"/>
  <c r="U765" i="11"/>
  <c r="U764" i="11"/>
  <c r="U763" i="11"/>
  <c r="U762" i="11"/>
  <c r="U761" i="11"/>
  <c r="U760" i="11"/>
  <c r="U759" i="11"/>
  <c r="U758" i="11"/>
  <c r="U757" i="11"/>
  <c r="U756" i="11"/>
  <c r="U755" i="11"/>
  <c r="U754" i="11"/>
  <c r="U753" i="11"/>
  <c r="U752" i="11"/>
  <c r="U751" i="11"/>
  <c r="U750" i="11"/>
  <c r="U749" i="11"/>
  <c r="U748" i="11"/>
  <c r="U747" i="11"/>
  <c r="U746" i="11"/>
  <c r="U745" i="11"/>
  <c r="U744" i="11"/>
  <c r="U743" i="11"/>
  <c r="U742" i="11"/>
  <c r="U741" i="11"/>
  <c r="U740" i="11"/>
  <c r="U739" i="11"/>
  <c r="U738" i="11"/>
  <c r="U737" i="11"/>
  <c r="U736" i="11"/>
  <c r="U735" i="11"/>
  <c r="U734" i="11"/>
  <c r="U733" i="11"/>
  <c r="U732" i="11"/>
  <c r="U731" i="11"/>
  <c r="U730" i="11"/>
  <c r="U729" i="11"/>
  <c r="U728" i="11"/>
  <c r="U727" i="11"/>
  <c r="U726" i="11"/>
  <c r="U725" i="11"/>
  <c r="U724" i="11"/>
  <c r="U723" i="11"/>
  <c r="U722" i="11"/>
  <c r="U721" i="11"/>
  <c r="U720" i="11"/>
  <c r="U719" i="11"/>
  <c r="U718" i="11"/>
  <c r="U717" i="11"/>
  <c r="U716" i="11"/>
  <c r="U715" i="11"/>
  <c r="U714" i="11"/>
  <c r="U713" i="11"/>
  <c r="U712" i="11"/>
  <c r="U711" i="11"/>
  <c r="U710" i="11"/>
  <c r="U709" i="11"/>
  <c r="U708" i="11"/>
  <c r="U707" i="11"/>
  <c r="U706" i="11"/>
  <c r="U705" i="11"/>
  <c r="U704" i="11"/>
  <c r="U703" i="11"/>
  <c r="U702" i="11"/>
  <c r="U701" i="11"/>
  <c r="U700" i="11"/>
  <c r="U699" i="11"/>
  <c r="U698" i="11"/>
  <c r="U697" i="11"/>
  <c r="U696" i="11"/>
  <c r="U695" i="11"/>
  <c r="U694" i="11"/>
  <c r="U693" i="11"/>
  <c r="U682" i="11"/>
  <c r="U681" i="11"/>
  <c r="U190" i="11"/>
  <c r="U189" i="11"/>
  <c r="U188" i="11"/>
  <c r="U187" i="11"/>
  <c r="U186" i="11"/>
  <c r="U185" i="11"/>
  <c r="U184" i="11"/>
  <c r="U183" i="11"/>
  <c r="U182" i="11"/>
  <c r="U181" i="11"/>
  <c r="U180" i="11"/>
  <c r="U179" i="11"/>
  <c r="U178" i="11"/>
  <c r="U177" i="11"/>
  <c r="U176" i="11"/>
  <c r="U175" i="11"/>
  <c r="U174" i="11"/>
  <c r="U173" i="11"/>
  <c r="U172" i="11"/>
  <c r="U171" i="11"/>
  <c r="U170" i="11"/>
  <c r="U169" i="11"/>
  <c r="U168" i="11"/>
  <c r="U167" i="11"/>
  <c r="U166" i="11"/>
  <c r="U165" i="11"/>
  <c r="U680" i="11"/>
  <c r="U679" i="11"/>
  <c r="U678" i="11"/>
  <c r="U677" i="11"/>
  <c r="U676" i="11"/>
  <c r="U675" i="11"/>
  <c r="U674" i="11"/>
  <c r="U673" i="11"/>
  <c r="U672" i="11"/>
  <c r="U671" i="11"/>
  <c r="U670" i="11"/>
  <c r="U669" i="11"/>
  <c r="U164" i="11"/>
  <c r="U163" i="11"/>
  <c r="U162" i="11"/>
  <c r="U161" i="11"/>
  <c r="U160" i="11"/>
  <c r="U159" i="11"/>
  <c r="U158" i="11"/>
  <c r="U157" i="11"/>
  <c r="U156" i="11"/>
  <c r="U155" i="11"/>
  <c r="U145" i="11"/>
  <c r="U144" i="11"/>
  <c r="U143" i="11"/>
  <c r="U142" i="11"/>
  <c r="U141" i="11"/>
  <c r="U140" i="11"/>
  <c r="U139" i="11"/>
  <c r="U138" i="11"/>
  <c r="U137" i="11"/>
  <c r="U668" i="11"/>
  <c r="U667" i="11"/>
  <c r="U666" i="11"/>
  <c r="U665" i="11"/>
  <c r="U664" i="11"/>
  <c r="U663" i="11"/>
  <c r="U662" i="11"/>
  <c r="U661" i="11"/>
  <c r="U660" i="11"/>
  <c r="U659" i="11"/>
  <c r="U658" i="11"/>
  <c r="U657" i="11"/>
  <c r="U656" i="11"/>
  <c r="U655" i="11"/>
  <c r="U654" i="11"/>
  <c r="U653" i="11"/>
  <c r="U652" i="11"/>
  <c r="U651" i="11"/>
  <c r="U650" i="11"/>
  <c r="U649" i="11"/>
  <c r="U648" i="11"/>
  <c r="U647" i="11"/>
  <c r="U646" i="11"/>
  <c r="U645" i="11"/>
  <c r="U644" i="11"/>
  <c r="U643" i="11"/>
  <c r="U642" i="11"/>
  <c r="U641" i="11"/>
  <c r="U640" i="11"/>
  <c r="U639" i="11"/>
  <c r="U632" i="11"/>
  <c r="U631" i="11"/>
  <c r="U630" i="11"/>
  <c r="U629" i="11"/>
  <c r="U628" i="11"/>
  <c r="U627" i="11"/>
  <c r="U626" i="11"/>
  <c r="U625" i="11"/>
  <c r="U136" i="11"/>
  <c r="U135" i="11"/>
  <c r="U134" i="11"/>
  <c r="U133" i="11"/>
  <c r="U132" i="11"/>
  <c r="U131" i="11"/>
  <c r="U130" i="11"/>
  <c r="U129" i="11"/>
  <c r="U128" i="11"/>
  <c r="U127" i="11"/>
  <c r="U126" i="11"/>
  <c r="U125" i="11"/>
  <c r="U124" i="11"/>
  <c r="U123" i="11"/>
  <c r="U122" i="11"/>
  <c r="U121" i="11"/>
  <c r="U120" i="11"/>
  <c r="U119" i="11"/>
  <c r="U118" i="11"/>
  <c r="U117" i="11"/>
  <c r="U116" i="11"/>
  <c r="U114" i="11"/>
  <c r="U115" i="11"/>
  <c r="U113" i="11"/>
  <c r="AF111" i="11" l="1"/>
  <c r="AE111" i="11"/>
  <c r="L111" i="11"/>
  <c r="S111" i="11" s="1"/>
  <c r="K111" i="11"/>
  <c r="J111" i="11"/>
  <c r="AF110" i="11"/>
  <c r="AE110" i="11"/>
  <c r="L110" i="11"/>
  <c r="S110" i="11" s="1"/>
  <c r="K110" i="11"/>
  <c r="J110" i="11"/>
  <c r="AF109" i="11"/>
  <c r="AE109" i="11"/>
  <c r="L109" i="11"/>
  <c r="S109" i="11" s="1"/>
  <c r="K109" i="11"/>
  <c r="J109" i="11"/>
  <c r="AF108" i="11"/>
  <c r="AE108" i="11"/>
  <c r="L108" i="11"/>
  <c r="S108" i="11" s="1"/>
  <c r="K108" i="11"/>
  <c r="J108" i="11"/>
  <c r="AF107" i="11"/>
  <c r="AE107" i="11"/>
  <c r="L107" i="11"/>
  <c r="S107" i="11" s="1"/>
  <c r="K107" i="11"/>
  <c r="J107" i="11"/>
  <c r="AF106" i="11"/>
  <c r="AE106" i="11"/>
  <c r="L106" i="11"/>
  <c r="S106" i="11" s="1"/>
  <c r="K106" i="11"/>
  <c r="J106" i="11"/>
  <c r="AF105" i="11"/>
  <c r="AE105" i="11"/>
  <c r="L105" i="11"/>
  <c r="Q105" i="11" s="1"/>
  <c r="V105" i="11" s="1"/>
  <c r="K105" i="11"/>
  <c r="J105" i="11"/>
  <c r="AF104" i="11"/>
  <c r="AE104" i="11"/>
  <c r="L104" i="11"/>
  <c r="Q104" i="11" s="1"/>
  <c r="V104" i="11" s="1"/>
  <c r="K104" i="11"/>
  <c r="J104" i="11"/>
  <c r="AF103" i="11"/>
  <c r="AE103" i="11"/>
  <c r="L103" i="11"/>
  <c r="S103" i="11" s="1"/>
  <c r="K103" i="11"/>
  <c r="J103" i="11"/>
  <c r="AF102" i="11"/>
  <c r="AE102" i="11"/>
  <c r="L102" i="11"/>
  <c r="S102" i="11" s="1"/>
  <c r="K102" i="11"/>
  <c r="J102" i="11"/>
  <c r="AF101" i="11"/>
  <c r="AE101" i="11"/>
  <c r="L101" i="11"/>
  <c r="Q101" i="11" s="1"/>
  <c r="V101" i="11" s="1"/>
  <c r="K101" i="11"/>
  <c r="J101" i="11"/>
  <c r="AF100" i="11"/>
  <c r="AE100" i="11"/>
  <c r="L100" i="11"/>
  <c r="Q100" i="11" s="1"/>
  <c r="V100" i="11" s="1"/>
  <c r="K100" i="11"/>
  <c r="J100" i="11"/>
  <c r="AF99" i="11"/>
  <c r="AE99" i="11"/>
  <c r="L99" i="11"/>
  <c r="Q99" i="11" s="1"/>
  <c r="V99" i="11" s="1"/>
  <c r="K99" i="11"/>
  <c r="J99" i="11"/>
  <c r="AF98" i="11"/>
  <c r="AE98" i="11"/>
  <c r="L98" i="11"/>
  <c r="S98" i="11" s="1"/>
  <c r="K98" i="11"/>
  <c r="J98" i="11"/>
  <c r="AF97" i="11"/>
  <c r="AE97" i="11"/>
  <c r="L97" i="11"/>
  <c r="Q97" i="11" s="1"/>
  <c r="V97" i="11" s="1"/>
  <c r="K97" i="11"/>
  <c r="J97" i="11"/>
  <c r="AF96" i="11"/>
  <c r="AE96" i="11"/>
  <c r="L96" i="11"/>
  <c r="S96" i="11" s="1"/>
  <c r="K96" i="11"/>
  <c r="J96" i="11"/>
  <c r="AF95" i="11"/>
  <c r="AE95" i="11"/>
  <c r="L95" i="11"/>
  <c r="Q95" i="11" s="1"/>
  <c r="V95" i="11" s="1"/>
  <c r="K95" i="11"/>
  <c r="J95" i="11"/>
  <c r="AF94" i="11"/>
  <c r="AE94" i="11"/>
  <c r="L94" i="11"/>
  <c r="Q94" i="11" s="1"/>
  <c r="V94" i="11" s="1"/>
  <c r="K94" i="11"/>
  <c r="J94" i="11"/>
  <c r="AF93" i="11"/>
  <c r="AE93" i="11"/>
  <c r="L93" i="11"/>
  <c r="S93" i="11" s="1"/>
  <c r="K93" i="11"/>
  <c r="J93" i="11"/>
  <c r="AE92" i="11"/>
  <c r="AF92" i="11"/>
  <c r="L92" i="11"/>
  <c r="S92" i="11" s="1"/>
  <c r="K92" i="11"/>
  <c r="AC92" i="11" s="1"/>
  <c r="J92" i="11"/>
  <c r="BC111" i="11"/>
  <c r="BB111" i="11"/>
  <c r="BC110" i="11"/>
  <c r="BB110" i="11"/>
  <c r="BC109" i="11"/>
  <c r="BB109" i="11"/>
  <c r="BC108" i="11"/>
  <c r="BB108" i="11"/>
  <c r="BC107" i="11"/>
  <c r="BB107" i="11"/>
  <c r="BC106" i="11"/>
  <c r="BB106" i="11"/>
  <c r="BC105" i="11"/>
  <c r="BB105" i="11"/>
  <c r="BC104" i="11"/>
  <c r="BB104" i="11"/>
  <c r="BC103" i="11"/>
  <c r="BB103" i="11"/>
  <c r="BC102" i="11"/>
  <c r="BB102" i="11"/>
  <c r="BC101" i="11"/>
  <c r="BB101" i="11"/>
  <c r="BC100" i="11"/>
  <c r="BB100" i="11"/>
  <c r="BC99" i="11"/>
  <c r="BB99" i="11"/>
  <c r="BC98" i="11"/>
  <c r="BB98" i="11"/>
  <c r="BC97" i="11"/>
  <c r="BB97" i="11"/>
  <c r="BC96" i="11"/>
  <c r="BB96" i="11"/>
  <c r="BC95" i="11"/>
  <c r="BB95" i="11"/>
  <c r="BC94" i="11"/>
  <c r="BB94" i="11"/>
  <c r="BC93" i="11"/>
  <c r="BB93" i="11"/>
  <c r="BC92" i="11"/>
  <c r="BB92" i="11"/>
  <c r="AZ104" i="11"/>
  <c r="AZ111" i="11"/>
  <c r="AZ109" i="11"/>
  <c r="AZ106" i="11"/>
  <c r="AZ105" i="11"/>
  <c r="AZ103" i="11"/>
  <c r="AZ101" i="11"/>
  <c r="AZ100" i="11"/>
  <c r="AZ99" i="11"/>
  <c r="AZ98" i="11"/>
  <c r="AZ95" i="11"/>
  <c r="AZ94" i="11"/>
  <c r="AZ110" i="11"/>
  <c r="AZ108" i="11"/>
  <c r="AZ107" i="11"/>
  <c r="AZ102" i="11"/>
  <c r="AZ97" i="11"/>
  <c r="AZ96" i="11"/>
  <c r="AZ93" i="11"/>
  <c r="AZ92" i="11"/>
  <c r="E28" i="7"/>
  <c r="AX93" i="11"/>
  <c r="AX94" i="11"/>
  <c r="AX95" i="11"/>
  <c r="AX96" i="11"/>
  <c r="AX97" i="11"/>
  <c r="AX98" i="11"/>
  <c r="AX99" i="11"/>
  <c r="AX100" i="11"/>
  <c r="AX101" i="11"/>
  <c r="AX102" i="11"/>
  <c r="AX103" i="11"/>
  <c r="AX104" i="11"/>
  <c r="AX105" i="11"/>
  <c r="AX106" i="11"/>
  <c r="AX107" i="11"/>
  <c r="AX108" i="11"/>
  <c r="AX109" i="11"/>
  <c r="AX110" i="11"/>
  <c r="AX111" i="11"/>
  <c r="AX92" i="11"/>
  <c r="AV111" i="11"/>
  <c r="AV110" i="11"/>
  <c r="AV109" i="11"/>
  <c r="AV108" i="11"/>
  <c r="AV107" i="11"/>
  <c r="AV106" i="11"/>
  <c r="AV105" i="11"/>
  <c r="AV104" i="11"/>
  <c r="AV103" i="11"/>
  <c r="AV102" i="11"/>
  <c r="AV101" i="11"/>
  <c r="AV100" i="11"/>
  <c r="AV99" i="11"/>
  <c r="AV98" i="11"/>
  <c r="AV97" i="11"/>
  <c r="AV96" i="11"/>
  <c r="AV95" i="11"/>
  <c r="AV94" i="11"/>
  <c r="AV93" i="11"/>
  <c r="BE100" i="11" l="1"/>
  <c r="BF100" i="11" s="1"/>
  <c r="BE99" i="11"/>
  <c r="BF99" i="11" s="1"/>
  <c r="BE97" i="11"/>
  <c r="BF97" i="11" s="1"/>
  <c r="BE96" i="11"/>
  <c r="BF96" i="11" s="1"/>
  <c r="BE111" i="11"/>
  <c r="BF111" i="11" s="1"/>
  <c r="BE95" i="11"/>
  <c r="BF95" i="11" s="1"/>
  <c r="BE110" i="11"/>
  <c r="BF110" i="11" s="1"/>
  <c r="BE94" i="11"/>
  <c r="BF94" i="11" s="1"/>
  <c r="BE93" i="11"/>
  <c r="BF93" i="11" s="1"/>
  <c r="BE108" i="11"/>
  <c r="BF108" i="11" s="1"/>
  <c r="BE107" i="11"/>
  <c r="BF107" i="11" s="1"/>
  <c r="BE92" i="11"/>
  <c r="BF92" i="11" s="1"/>
  <c r="BE106" i="11"/>
  <c r="BF106" i="11" s="1"/>
  <c r="BE98" i="11"/>
  <c r="BF98" i="11" s="1"/>
  <c r="BE105" i="11"/>
  <c r="BF105" i="11" s="1"/>
  <c r="BE104" i="11"/>
  <c r="BF104" i="11" s="1"/>
  <c r="BE109" i="11"/>
  <c r="BF109" i="11" s="1"/>
  <c r="BE103" i="11"/>
  <c r="BF103" i="11" s="1"/>
  <c r="BE102" i="11"/>
  <c r="BF102" i="11" s="1"/>
  <c r="BE101" i="11"/>
  <c r="BF101" i="11" s="1"/>
  <c r="Q92" i="11"/>
  <c r="Q111" i="11"/>
  <c r="V111" i="11" s="1"/>
  <c r="Q109" i="11"/>
  <c r="V109" i="11" s="1"/>
  <c r="AC108" i="11"/>
  <c r="Q107" i="11"/>
  <c r="V107" i="11" s="1"/>
  <c r="AC97" i="11"/>
  <c r="AC104" i="11"/>
  <c r="Q108" i="11"/>
  <c r="V108" i="11" s="1"/>
  <c r="Q110" i="11"/>
  <c r="V110" i="11" s="1"/>
  <c r="AC96" i="11"/>
  <c r="AC105" i="11"/>
  <c r="AC93" i="11"/>
  <c r="AC100" i="11"/>
  <c r="AC111" i="11"/>
  <c r="S99" i="11"/>
  <c r="W99" i="11" s="1"/>
  <c r="Y99" i="11" s="1"/>
  <c r="S105" i="11"/>
  <c r="W105" i="11" s="1"/>
  <c r="Y105" i="11" s="1"/>
  <c r="Q93" i="11"/>
  <c r="V93" i="11" s="1"/>
  <c r="Q106" i="11"/>
  <c r="V106" i="11" s="1"/>
  <c r="S100" i="11"/>
  <c r="W100" i="11" s="1"/>
  <c r="Y100" i="11" s="1"/>
  <c r="S97" i="11"/>
  <c r="W97" i="11" s="1"/>
  <c r="Y97" i="11" s="1"/>
  <c r="S101" i="11"/>
  <c r="T101" i="11" s="1"/>
  <c r="Q96" i="11"/>
  <c r="V96" i="11" s="1"/>
  <c r="Q102" i="11"/>
  <c r="V102" i="11" s="1"/>
  <c r="S95" i="11"/>
  <c r="W95" i="11" s="1"/>
  <c r="Y95" i="11" s="1"/>
  <c r="S104" i="11"/>
  <c r="W104" i="11" s="1"/>
  <c r="Y104" i="11" s="1"/>
  <c r="Q98" i="11"/>
  <c r="V98" i="11" s="1"/>
  <c r="Q103" i="11"/>
  <c r="V103" i="11" s="1"/>
  <c r="AC94" i="11"/>
  <c r="AC95" i="11"/>
  <c r="AC98" i="11"/>
  <c r="AC99" i="11"/>
  <c r="AC101" i="11"/>
  <c r="AC102" i="11"/>
  <c r="AC103" i="11"/>
  <c r="AC106" i="11"/>
  <c r="AC107" i="11"/>
  <c r="AC109" i="11"/>
  <c r="AC110" i="11"/>
  <c r="S94" i="11"/>
  <c r="W94" i="11" s="1"/>
  <c r="Y94" i="11" s="1"/>
  <c r="H785" i="11"/>
  <c r="I785" i="11"/>
  <c r="J785" i="11"/>
  <c r="K785" i="11"/>
  <c r="AC785" i="11" s="1"/>
  <c r="L785" i="11"/>
  <c r="S785" i="11" s="1"/>
  <c r="M785" i="11"/>
  <c r="AD785" i="11"/>
  <c r="AF785" i="11"/>
  <c r="AX785" i="11"/>
  <c r="AZ785" i="11"/>
  <c r="BG785" i="11"/>
  <c r="AX1276" i="11"/>
  <c r="AX1275" i="11"/>
  <c r="AX1274" i="11"/>
  <c r="AX1273" i="11"/>
  <c r="AX1272" i="11"/>
  <c r="AX1271" i="11"/>
  <c r="AZ1270" i="11"/>
  <c r="AX1270" i="11"/>
  <c r="AX1269" i="11"/>
  <c r="AX1268" i="11"/>
  <c r="AX1267" i="11"/>
  <c r="AX1266" i="11"/>
  <c r="AX1265" i="11"/>
  <c r="AX1264" i="11"/>
  <c r="AZ1263" i="11"/>
  <c r="AX1263" i="11"/>
  <c r="AX1262" i="11"/>
  <c r="AX1261" i="11"/>
  <c r="AX1260" i="11"/>
  <c r="AX1259" i="11"/>
  <c r="AX1258" i="11"/>
  <c r="AX1257" i="11"/>
  <c r="AZ1256" i="11"/>
  <c r="AX1256" i="11"/>
  <c r="BE785" i="11" l="1"/>
  <c r="BF785" i="11" s="1"/>
  <c r="W101" i="11"/>
  <c r="Y101" i="11" s="1"/>
  <c r="T108" i="11"/>
  <c r="T92" i="11"/>
  <c r="V92" i="11"/>
  <c r="W92" i="11"/>
  <c r="W93" i="11"/>
  <c r="Y93" i="11" s="1"/>
  <c r="T109" i="11"/>
  <c r="W111" i="11"/>
  <c r="Y111" i="11" s="1"/>
  <c r="T111" i="11"/>
  <c r="W102" i="11"/>
  <c r="Y102" i="11" s="1"/>
  <c r="Q785" i="11"/>
  <c r="V785" i="11" s="1"/>
  <c r="W96" i="11"/>
  <c r="Y96" i="11" s="1"/>
  <c r="T107" i="11"/>
  <c r="W108" i="11"/>
  <c r="Y108" i="11" s="1"/>
  <c r="W98" i="11"/>
  <c r="Y98" i="11" s="1"/>
  <c r="W109" i="11"/>
  <c r="Y109" i="11" s="1"/>
  <c r="W106" i="11"/>
  <c r="Y106" i="11" s="1"/>
  <c r="W103" i="11"/>
  <c r="Y103" i="11" s="1"/>
  <c r="W107" i="11"/>
  <c r="Y107" i="11" s="1"/>
  <c r="T110" i="11"/>
  <c r="W110" i="11"/>
  <c r="Y110" i="11" s="1"/>
  <c r="T100" i="11"/>
  <c r="T106" i="11"/>
  <c r="T93" i="11"/>
  <c r="T97" i="11"/>
  <c r="T103" i="11"/>
  <c r="T98" i="11"/>
  <c r="T105" i="11"/>
  <c r="T104" i="11"/>
  <c r="T95" i="11"/>
  <c r="T102" i="11"/>
  <c r="T96" i="11"/>
  <c r="T99" i="11"/>
  <c r="T94" i="11"/>
  <c r="AD1276" i="11"/>
  <c r="AD1275" i="11"/>
  <c r="AD1274" i="11"/>
  <c r="AD1273" i="11"/>
  <c r="AD1272" i="11"/>
  <c r="AD1271" i="11"/>
  <c r="AD1270" i="11"/>
  <c r="AD1269" i="11"/>
  <c r="AD1268" i="11"/>
  <c r="AD1267" i="11"/>
  <c r="AD1266" i="11"/>
  <c r="AD1265" i="11"/>
  <c r="AD1264" i="11"/>
  <c r="AD1263" i="11"/>
  <c r="AD1262" i="11"/>
  <c r="AD1261" i="11"/>
  <c r="AD1260" i="11"/>
  <c r="AD1259" i="11"/>
  <c r="AD1258" i="11"/>
  <c r="AD1257" i="11"/>
  <c r="L1276" i="11"/>
  <c r="S1276" i="11" s="1"/>
  <c r="L1275" i="11"/>
  <c r="Q1275" i="11" s="1"/>
  <c r="V1275" i="11" s="1"/>
  <c r="L1274" i="11"/>
  <c r="S1274" i="11" s="1"/>
  <c r="L1273" i="11"/>
  <c r="S1273" i="11" s="1"/>
  <c r="L1272" i="11"/>
  <c r="S1272" i="11" s="1"/>
  <c r="L1271" i="11"/>
  <c r="Q1271" i="11" s="1"/>
  <c r="V1271" i="11" s="1"/>
  <c r="L1270" i="11"/>
  <c r="S1270" i="11" s="1"/>
  <c r="L1269" i="11"/>
  <c r="S1269" i="11" s="1"/>
  <c r="L1268" i="11"/>
  <c r="S1268" i="11" s="1"/>
  <c r="L1267" i="11"/>
  <c r="S1267" i="11" s="1"/>
  <c r="L1266" i="11"/>
  <c r="S1266" i="11" s="1"/>
  <c r="L1265" i="11"/>
  <c r="S1265" i="11" s="1"/>
  <c r="L1264" i="11"/>
  <c r="S1264" i="11" s="1"/>
  <c r="L1263" i="11"/>
  <c r="S1263" i="11" s="1"/>
  <c r="L1262" i="11"/>
  <c r="Q1262" i="11" s="1"/>
  <c r="V1262" i="11" s="1"/>
  <c r="L1261" i="11"/>
  <c r="S1261" i="11" s="1"/>
  <c r="L1260" i="11"/>
  <c r="S1260" i="11" s="1"/>
  <c r="L1259" i="11"/>
  <c r="S1259" i="11" s="1"/>
  <c r="L1258" i="11"/>
  <c r="Q1258" i="11" s="1"/>
  <c r="V1258" i="11" s="1"/>
  <c r="L1257" i="11"/>
  <c r="S1257" i="11" s="1"/>
  <c r="L1256" i="11"/>
  <c r="S1256" i="11" s="1"/>
  <c r="L1174" i="11"/>
  <c r="Q1174" i="11" s="1"/>
  <c r="V1174" i="11" s="1"/>
  <c r="L1173" i="11"/>
  <c r="S1173" i="11" s="1"/>
  <c r="L1172" i="11"/>
  <c r="Q1172" i="11" s="1"/>
  <c r="V1172" i="11" s="1"/>
  <c r="L1171" i="11"/>
  <c r="S1171" i="11" s="1"/>
  <c r="L1170" i="11"/>
  <c r="Q1170" i="11" s="1"/>
  <c r="V1170" i="11" s="1"/>
  <c r="L1169" i="11"/>
  <c r="S1169" i="11" s="1"/>
  <c r="L1168" i="11"/>
  <c r="Q1168" i="11" s="1"/>
  <c r="V1168" i="11" s="1"/>
  <c r="L1167" i="11"/>
  <c r="S1167" i="11" s="1"/>
  <c r="L1166" i="11"/>
  <c r="Q1166" i="11" s="1"/>
  <c r="V1166" i="11" s="1"/>
  <c r="L1165" i="11"/>
  <c r="S1165" i="11" s="1"/>
  <c r="L1164" i="11"/>
  <c r="Q1164" i="11" s="1"/>
  <c r="V1164" i="11" s="1"/>
  <c r="L1163" i="11"/>
  <c r="S1163" i="11" s="1"/>
  <c r="L1162" i="11"/>
  <c r="Q1162" i="11" s="1"/>
  <c r="V1162" i="11" s="1"/>
  <c r="L1161" i="11"/>
  <c r="S1161" i="11" s="1"/>
  <c r="L1160" i="11"/>
  <c r="Q1160" i="11" s="1"/>
  <c r="V1160" i="11" s="1"/>
  <c r="L1159" i="11"/>
  <c r="S1159" i="11" s="1"/>
  <c r="L1158" i="11"/>
  <c r="Q1158" i="11" s="1"/>
  <c r="V1158" i="11" s="1"/>
  <c r="L1157" i="11"/>
  <c r="S1157" i="11" s="1"/>
  <c r="L1156" i="11"/>
  <c r="Q1156" i="11" s="1"/>
  <c r="V1156" i="11" s="1"/>
  <c r="L1155" i="11"/>
  <c r="S1155" i="11" s="1"/>
  <c r="L1154" i="11"/>
  <c r="Q1154" i="11" s="1"/>
  <c r="V1154" i="11" s="1"/>
  <c r="L1153" i="11"/>
  <c r="S1153" i="11" s="1"/>
  <c r="L1152" i="11"/>
  <c r="Q1152" i="11" s="1"/>
  <c r="V1152" i="11" s="1"/>
  <c r="L1151" i="11"/>
  <c r="S1151" i="11" s="1"/>
  <c r="L1150" i="11"/>
  <c r="Q1150" i="11" s="1"/>
  <c r="V1150" i="11" s="1"/>
  <c r="L1149" i="11"/>
  <c r="S1149" i="11" s="1"/>
  <c r="S1148" i="11"/>
  <c r="Q1147" i="11"/>
  <c r="V1147" i="11" s="1"/>
  <c r="S1146" i="11"/>
  <c r="S1145" i="11"/>
  <c r="S1144" i="11"/>
  <c r="Q1143" i="11"/>
  <c r="V1143" i="11" s="1"/>
  <c r="S1142" i="11"/>
  <c r="S1141" i="11"/>
  <c r="S1140" i="11"/>
  <c r="Q1139" i="11"/>
  <c r="V1139" i="11" s="1"/>
  <c r="S1138" i="11"/>
  <c r="S1137" i="11"/>
  <c r="S1136" i="11"/>
  <c r="Q1135" i="11"/>
  <c r="V1135" i="11" s="1"/>
  <c r="S1134" i="11"/>
  <c r="S1133" i="11"/>
  <c r="S1132" i="11"/>
  <c r="Q1131" i="11"/>
  <c r="V1131" i="11" s="1"/>
  <c r="S1130" i="11"/>
  <c r="S1129" i="11"/>
  <c r="S1128" i="11"/>
  <c r="Q1127" i="11"/>
  <c r="V1127" i="11" s="1"/>
  <c r="S1126" i="11"/>
  <c r="S1125" i="11"/>
  <c r="S1124" i="11"/>
  <c r="Q1123" i="11"/>
  <c r="V1123" i="11" s="1"/>
  <c r="L1122" i="11"/>
  <c r="S1122" i="11" s="1"/>
  <c r="Q1121" i="11"/>
  <c r="V1121" i="11" s="1"/>
  <c r="S1120" i="11"/>
  <c r="S1119" i="11"/>
  <c r="S1118" i="11"/>
  <c r="Q1117" i="11"/>
  <c r="V1117" i="11" s="1"/>
  <c r="S1116" i="11"/>
  <c r="S1115" i="11"/>
  <c r="S1114" i="11"/>
  <c r="Q1113" i="11"/>
  <c r="V1113" i="11" s="1"/>
  <c r="L1112" i="11"/>
  <c r="S1112" i="11" s="1"/>
  <c r="M91" i="11"/>
  <c r="L91" i="11"/>
  <c r="S91" i="11" s="1"/>
  <c r="M90" i="11"/>
  <c r="L90" i="11"/>
  <c r="Q90" i="11" s="1"/>
  <c r="V90" i="11" s="1"/>
  <c r="M89" i="11"/>
  <c r="L89" i="11"/>
  <c r="S89" i="11" s="1"/>
  <c r="M88" i="11"/>
  <c r="L88" i="11"/>
  <c r="Q88" i="11" s="1"/>
  <c r="V88" i="11" s="1"/>
  <c r="M87" i="11"/>
  <c r="L87" i="11"/>
  <c r="S87" i="11" s="1"/>
  <c r="M86" i="11"/>
  <c r="L86" i="11"/>
  <c r="Q86" i="11" s="1"/>
  <c r="V86" i="11" s="1"/>
  <c r="M85" i="11"/>
  <c r="L85" i="11"/>
  <c r="S85" i="11" s="1"/>
  <c r="M84" i="11"/>
  <c r="L84" i="11"/>
  <c r="S84" i="11" s="1"/>
  <c r="M83" i="11"/>
  <c r="L83" i="11"/>
  <c r="Q83" i="11" s="1"/>
  <c r="V83" i="11" s="1"/>
  <c r="M82" i="11"/>
  <c r="L82" i="11"/>
  <c r="S82" i="11" s="1"/>
  <c r="M81" i="11"/>
  <c r="L81" i="11"/>
  <c r="S81" i="11" s="1"/>
  <c r="M80" i="11"/>
  <c r="L80" i="11"/>
  <c r="S80" i="11" s="1"/>
  <c r="M1234" i="11"/>
  <c r="L1234" i="11"/>
  <c r="S1234" i="11" s="1"/>
  <c r="M1233" i="11"/>
  <c r="L1233" i="11"/>
  <c r="S1233" i="11" s="1"/>
  <c r="M1232" i="11"/>
  <c r="L1232" i="11"/>
  <c r="Q1232" i="11" s="1"/>
  <c r="V1232" i="11" s="1"/>
  <c r="M1231" i="11"/>
  <c r="L1231" i="11"/>
  <c r="Q1231" i="11" s="1"/>
  <c r="V1231" i="11" s="1"/>
  <c r="M1230" i="11"/>
  <c r="L1230" i="11"/>
  <c r="S1230" i="11" s="1"/>
  <c r="M1229" i="11"/>
  <c r="L1229" i="11"/>
  <c r="Q1229" i="11" s="1"/>
  <c r="V1229" i="11" s="1"/>
  <c r="M1228" i="11"/>
  <c r="L1228" i="11"/>
  <c r="S1228" i="11" s="1"/>
  <c r="M1227" i="11"/>
  <c r="L1227" i="11"/>
  <c r="Q1227" i="11" s="1"/>
  <c r="V1227" i="11" s="1"/>
  <c r="M1226" i="11"/>
  <c r="L1226" i="11"/>
  <c r="S1226" i="11" s="1"/>
  <c r="M1225" i="11"/>
  <c r="L1225" i="11"/>
  <c r="S1225" i="11" s="1"/>
  <c r="M1224" i="11"/>
  <c r="L1224" i="11"/>
  <c r="S1224" i="11" s="1"/>
  <c r="M1223" i="11"/>
  <c r="L1223" i="11"/>
  <c r="Q1223" i="11" s="1"/>
  <c r="V1223" i="11" s="1"/>
  <c r="M1222" i="11"/>
  <c r="L1222" i="11"/>
  <c r="Q1222" i="11" s="1"/>
  <c r="V1222" i="11" s="1"/>
  <c r="M1221" i="11"/>
  <c r="L1221" i="11"/>
  <c r="Q1221" i="11" s="1"/>
  <c r="V1221" i="11" s="1"/>
  <c r="M1220" i="11"/>
  <c r="L1220" i="11"/>
  <c r="S1220" i="11" s="1"/>
  <c r="M1219" i="11"/>
  <c r="L1219" i="11"/>
  <c r="S1219" i="11" s="1"/>
  <c r="M1218" i="11"/>
  <c r="L1218" i="11"/>
  <c r="S1218" i="11" s="1"/>
  <c r="M1217" i="11"/>
  <c r="L1217" i="11"/>
  <c r="Q1217" i="11" s="1"/>
  <c r="V1217" i="11" s="1"/>
  <c r="M1216" i="11"/>
  <c r="L1216" i="11"/>
  <c r="S1216" i="11" s="1"/>
  <c r="M1215" i="11"/>
  <c r="L1215" i="11"/>
  <c r="Q1215" i="11" s="1"/>
  <c r="M1214" i="11"/>
  <c r="L1214" i="11"/>
  <c r="Q1214" i="11" s="1"/>
  <c r="V1214" i="11" s="1"/>
  <c r="M1213" i="11"/>
  <c r="L1213" i="11"/>
  <c r="Q1213" i="11" s="1"/>
  <c r="V1213" i="11" s="1"/>
  <c r="M1212" i="11"/>
  <c r="L1212" i="11"/>
  <c r="S1212" i="11" s="1"/>
  <c r="M1201" i="11"/>
  <c r="L1201" i="11"/>
  <c r="S1201" i="11" s="1"/>
  <c r="M1200" i="11"/>
  <c r="L1200" i="11"/>
  <c r="S1200" i="11" s="1"/>
  <c r="M1199" i="11"/>
  <c r="L1199" i="11"/>
  <c r="S1199" i="11" s="1"/>
  <c r="M1198" i="11"/>
  <c r="L1198" i="11"/>
  <c r="S1198" i="11" s="1"/>
  <c r="M1197" i="11"/>
  <c r="L1197" i="11"/>
  <c r="S1197" i="11" s="1"/>
  <c r="M1196" i="11"/>
  <c r="L1196" i="11"/>
  <c r="Q1196" i="11" s="1"/>
  <c r="V1196" i="11" s="1"/>
  <c r="M1195" i="11"/>
  <c r="L1195" i="11"/>
  <c r="S1195" i="11" s="1"/>
  <c r="L1186" i="11"/>
  <c r="Q1186" i="11" s="1"/>
  <c r="V1186" i="11" s="1"/>
  <c r="M1186" i="11"/>
  <c r="L1187" i="11"/>
  <c r="S1187" i="11" s="1"/>
  <c r="M1187" i="11"/>
  <c r="L1188" i="11"/>
  <c r="S1188" i="11" s="1"/>
  <c r="M1188" i="11"/>
  <c r="L1189" i="11"/>
  <c r="S1189" i="11" s="1"/>
  <c r="M1189" i="11"/>
  <c r="L1190" i="11"/>
  <c r="S1190" i="11" s="1"/>
  <c r="M1190" i="11"/>
  <c r="L1191" i="11"/>
  <c r="S1191" i="11" s="1"/>
  <c r="M1191" i="11"/>
  <c r="L1192" i="11"/>
  <c r="S1192" i="11" s="1"/>
  <c r="M1192" i="11"/>
  <c r="L1193" i="11"/>
  <c r="S1193" i="11" s="1"/>
  <c r="M1193" i="11"/>
  <c r="L1194" i="11"/>
  <c r="Q1194" i="11" s="1"/>
  <c r="V1194" i="11" s="1"/>
  <c r="M1194" i="11"/>
  <c r="M1185" i="11"/>
  <c r="L1185" i="11"/>
  <c r="S1185" i="11" s="1"/>
  <c r="M1184" i="11"/>
  <c r="L1184" i="11"/>
  <c r="S1184" i="11" s="1"/>
  <c r="M1183" i="11"/>
  <c r="L1183" i="11"/>
  <c r="S1183" i="11" s="1"/>
  <c r="M1182" i="11"/>
  <c r="L1182" i="11"/>
  <c r="S1182" i="11" s="1"/>
  <c r="M1181" i="11"/>
  <c r="L1181" i="11"/>
  <c r="S1181" i="11" s="1"/>
  <c r="M1180" i="11"/>
  <c r="L1180" i="11"/>
  <c r="Q1180" i="11" s="1"/>
  <c r="V1180" i="11" s="1"/>
  <c r="M1179" i="11"/>
  <c r="L1179" i="11"/>
  <c r="Q1179" i="11" s="1"/>
  <c r="V1179" i="11" s="1"/>
  <c r="M1178" i="11"/>
  <c r="L1178" i="11"/>
  <c r="S1178" i="11" s="1"/>
  <c r="M1177" i="11"/>
  <c r="L1177" i="11"/>
  <c r="S1177" i="11" s="1"/>
  <c r="M1176" i="11"/>
  <c r="L1176" i="11"/>
  <c r="S1176" i="11" s="1"/>
  <c r="M1175" i="11"/>
  <c r="L1175" i="11"/>
  <c r="Q1175" i="11" s="1"/>
  <c r="V1175" i="11" s="1"/>
  <c r="S606" i="11"/>
  <c r="M606" i="11"/>
  <c r="S607" i="11"/>
  <c r="M607" i="11"/>
  <c r="Q608" i="11"/>
  <c r="V608" i="11" s="1"/>
  <c r="M608" i="11"/>
  <c r="S609" i="11"/>
  <c r="M609" i="11"/>
  <c r="S610" i="11"/>
  <c r="M610" i="11"/>
  <c r="Q611" i="11"/>
  <c r="V611" i="11" s="1"/>
  <c r="M611" i="11"/>
  <c r="S612" i="11"/>
  <c r="M612" i="11"/>
  <c r="S613" i="11"/>
  <c r="M613" i="11"/>
  <c r="S614" i="11"/>
  <c r="M614" i="11"/>
  <c r="S615" i="11"/>
  <c r="M615" i="11"/>
  <c r="S616" i="11"/>
  <c r="M616" i="11"/>
  <c r="S617" i="11"/>
  <c r="M617" i="11"/>
  <c r="S618" i="11"/>
  <c r="M618" i="11"/>
  <c r="S619" i="11"/>
  <c r="M619" i="11"/>
  <c r="S620" i="11"/>
  <c r="M620" i="11"/>
  <c r="S621" i="11"/>
  <c r="M621" i="11"/>
  <c r="S622" i="11"/>
  <c r="M622" i="11"/>
  <c r="S623" i="11"/>
  <c r="M623" i="11"/>
  <c r="S624" i="11"/>
  <c r="M624" i="11"/>
  <c r="Q1086" i="11"/>
  <c r="V1086" i="11" s="1"/>
  <c r="Q1087" i="11"/>
  <c r="V1087" i="11" s="1"/>
  <c r="S1088" i="11"/>
  <c r="Q1089" i="11"/>
  <c r="V1089" i="11" s="1"/>
  <c r="Q1090" i="11"/>
  <c r="V1090" i="11" s="1"/>
  <c r="Q1091" i="11"/>
  <c r="V1091" i="11" s="1"/>
  <c r="S1092" i="11"/>
  <c r="S1093" i="11"/>
  <c r="S1094" i="11"/>
  <c r="Q1095" i="11"/>
  <c r="V1095" i="11" s="1"/>
  <c r="S1096" i="11"/>
  <c r="S1103" i="11"/>
  <c r="Q1104" i="11"/>
  <c r="V1104" i="11" s="1"/>
  <c r="S1105" i="11"/>
  <c r="S1106" i="11"/>
  <c r="S1107" i="11"/>
  <c r="S1108" i="11"/>
  <c r="S1109" i="11"/>
  <c r="S1110" i="11"/>
  <c r="S1111" i="11"/>
  <c r="Y92" i="11" l="1"/>
  <c r="S611" i="11"/>
  <c r="T611" i="11" s="1"/>
  <c r="Q610" i="11"/>
  <c r="V610" i="11" s="1"/>
  <c r="Q618" i="11"/>
  <c r="V618" i="11" s="1"/>
  <c r="S1095" i="11"/>
  <c r="Q1093" i="11"/>
  <c r="V1093" i="11" s="1"/>
  <c r="S608" i="11"/>
  <c r="T608" i="11" s="1"/>
  <c r="Q1107" i="11"/>
  <c r="V1107" i="11" s="1"/>
  <c r="Q614" i="11"/>
  <c r="V614" i="11" s="1"/>
  <c r="Q616" i="11"/>
  <c r="V616" i="11" s="1"/>
  <c r="Q624" i="11"/>
  <c r="V624" i="11" s="1"/>
  <c r="Q606" i="11"/>
  <c r="V606" i="11" s="1"/>
  <c r="S1087" i="11"/>
  <c r="T1087" i="11" s="1"/>
  <c r="Q81" i="11"/>
  <c r="V81" i="11" s="1"/>
  <c r="S1091" i="11"/>
  <c r="T1091" i="11" s="1"/>
  <c r="S1215" i="11"/>
  <c r="T1215" i="11" s="1"/>
  <c r="S1156" i="11"/>
  <c r="T1156" i="11" s="1"/>
  <c r="Q1092" i="11"/>
  <c r="V1092" i="11" s="1"/>
  <c r="S1090" i="11"/>
  <c r="S1258" i="11"/>
  <c r="T1258" i="11" s="1"/>
  <c r="Q619" i="11"/>
  <c r="V619" i="11" s="1"/>
  <c r="S1104" i="11"/>
  <c r="Q622" i="11"/>
  <c r="V622" i="11" s="1"/>
  <c r="Q1105" i="11"/>
  <c r="V1105" i="11" s="1"/>
  <c r="T785" i="11"/>
  <c r="S1222" i="11"/>
  <c r="Q1256" i="11"/>
  <c r="V1256" i="11" s="1"/>
  <c r="Q80" i="11"/>
  <c r="V80" i="11" s="1"/>
  <c r="S1168" i="11"/>
  <c r="T1168" i="11" s="1"/>
  <c r="Q623" i="11"/>
  <c r="V623" i="11" s="1"/>
  <c r="Q607" i="11"/>
  <c r="V607" i="11" s="1"/>
  <c r="Q1088" i="11"/>
  <c r="V1088" i="11" s="1"/>
  <c r="Q1109" i="11"/>
  <c r="V1109" i="11" s="1"/>
  <c r="S1150" i="11"/>
  <c r="W785" i="11"/>
  <c r="Y785" i="11" s="1"/>
  <c r="Q615" i="11"/>
  <c r="V615" i="11" s="1"/>
  <c r="S83" i="11"/>
  <c r="S1166" i="11"/>
  <c r="T1166" i="11" s="1"/>
  <c r="Q1225" i="11"/>
  <c r="V1225" i="11" s="1"/>
  <c r="Q1212" i="11"/>
  <c r="V1212" i="11" s="1"/>
  <c r="S1135" i="11"/>
  <c r="S1113" i="11"/>
  <c r="S1158" i="11"/>
  <c r="T1158" i="11" s="1"/>
  <c r="S1221" i="11"/>
  <c r="T1221" i="11" s="1"/>
  <c r="V1215" i="11"/>
  <c r="S1175" i="11"/>
  <c r="S88" i="11"/>
  <c r="S1223" i="11"/>
  <c r="S1121" i="11"/>
  <c r="S1123" i="11"/>
  <c r="S1262" i="11"/>
  <c r="T1262" i="11" s="1"/>
  <c r="Q612" i="11"/>
  <c r="V612" i="11" s="1"/>
  <c r="S1131" i="11"/>
  <c r="S1194" i="11"/>
  <c r="T1194" i="11" s="1"/>
  <c r="Q1112" i="11"/>
  <c r="V1112" i="11" s="1"/>
  <c r="S1139" i="11"/>
  <c r="S1271" i="11"/>
  <c r="T1271" i="11" s="1"/>
  <c r="S1089" i="11"/>
  <c r="T1089" i="11" s="1"/>
  <c r="S1186" i="11"/>
  <c r="T1186" i="11" s="1"/>
  <c r="Q1103" i="11"/>
  <c r="V1103" i="11" s="1"/>
  <c r="S1231" i="11"/>
  <c r="T1231" i="11" s="1"/>
  <c r="Q1189" i="11"/>
  <c r="V1189" i="11" s="1"/>
  <c r="S1117" i="11"/>
  <c r="S1232" i="11"/>
  <c r="T1232" i="11" s="1"/>
  <c r="S1143" i="11"/>
  <c r="S1170" i="11"/>
  <c r="T1170" i="11" s="1"/>
  <c r="Q1195" i="11"/>
  <c r="V1195" i="11" s="1"/>
  <c r="S1214" i="11"/>
  <c r="T1214" i="11" s="1"/>
  <c r="S1127" i="11"/>
  <c r="S1162" i="11"/>
  <c r="T1162" i="11" s="1"/>
  <c r="S1275" i="11"/>
  <c r="T1275" i="11" s="1"/>
  <c r="Q1190" i="11"/>
  <c r="Q617" i="11"/>
  <c r="V617" i="11" s="1"/>
  <c r="Q1111" i="11"/>
  <c r="V1111" i="11" s="1"/>
  <c r="S1179" i="11"/>
  <c r="T1179" i="11" s="1"/>
  <c r="S1172" i="11"/>
  <c r="T1172" i="11" s="1"/>
  <c r="Q1191" i="11"/>
  <c r="S90" i="11"/>
  <c r="S1154" i="11"/>
  <c r="T1154" i="11" s="1"/>
  <c r="S1086" i="11"/>
  <c r="T1086" i="11" s="1"/>
  <c r="Q1192" i="11"/>
  <c r="S1164" i="11"/>
  <c r="T1164" i="11" s="1"/>
  <c r="Q1187" i="11"/>
  <c r="V1187" i="11" s="1"/>
  <c r="Q1094" i="11"/>
  <c r="V1094" i="11" s="1"/>
  <c r="S1160" i="11"/>
  <c r="T1160" i="11" s="1"/>
  <c r="Q1193" i="11"/>
  <c r="V1193" i="11" s="1"/>
  <c r="S1174" i="11"/>
  <c r="T1174" i="11" s="1"/>
  <c r="Q1176" i="11"/>
  <c r="Q1188" i="11"/>
  <c r="Q1198" i="11"/>
  <c r="V1198" i="11" s="1"/>
  <c r="Q1108" i="11"/>
  <c r="V1108" i="11" s="1"/>
  <c r="S1217" i="11"/>
  <c r="T1217" i="11" s="1"/>
  <c r="Q609" i="11"/>
  <c r="V609" i="11" s="1"/>
  <c r="S1147" i="11"/>
  <c r="S1152" i="11"/>
  <c r="T1152" i="11" s="1"/>
  <c r="Q1273" i="11"/>
  <c r="V1273" i="11" s="1"/>
  <c r="Q1274" i="11"/>
  <c r="V1274" i="11" s="1"/>
  <c r="Q1272" i="11"/>
  <c r="V1272" i="11" s="1"/>
  <c r="Q1276" i="11"/>
  <c r="V1276" i="11" s="1"/>
  <c r="Q1270" i="11"/>
  <c r="V1270" i="11" s="1"/>
  <c r="Q1269" i="11"/>
  <c r="V1269" i="11" s="1"/>
  <c r="Q1268" i="11"/>
  <c r="V1268" i="11" s="1"/>
  <c r="Q1267" i="11"/>
  <c r="V1267" i="11" s="1"/>
  <c r="Q1266" i="11"/>
  <c r="V1266" i="11" s="1"/>
  <c r="Q1265" i="11"/>
  <c r="V1265" i="11" s="1"/>
  <c r="Q1264" i="11"/>
  <c r="V1264" i="11" s="1"/>
  <c r="Q1260" i="11"/>
  <c r="V1260" i="11" s="1"/>
  <c r="Q1257" i="11"/>
  <c r="V1257" i="11" s="1"/>
  <c r="Q1261" i="11"/>
  <c r="V1261" i="11" s="1"/>
  <c r="Q1259" i="11"/>
  <c r="V1259" i="11" s="1"/>
  <c r="Q1263" i="11"/>
  <c r="V1263" i="11" s="1"/>
  <c r="T1150" i="11"/>
  <c r="Q1151" i="11"/>
  <c r="V1151" i="11" s="1"/>
  <c r="Q1153" i="11"/>
  <c r="V1153" i="11" s="1"/>
  <c r="Q1155" i="11"/>
  <c r="V1155" i="11" s="1"/>
  <c r="Q1157" i="11"/>
  <c r="V1157" i="11" s="1"/>
  <c r="Q1159" i="11"/>
  <c r="V1159" i="11" s="1"/>
  <c r="Q1161" i="11"/>
  <c r="V1161" i="11" s="1"/>
  <c r="Q1163" i="11"/>
  <c r="V1163" i="11" s="1"/>
  <c r="Q1165" i="11"/>
  <c r="V1165" i="11" s="1"/>
  <c r="Q1167" i="11"/>
  <c r="V1167" i="11" s="1"/>
  <c r="Q1169" i="11"/>
  <c r="V1169" i="11" s="1"/>
  <c r="Q1171" i="11"/>
  <c r="V1171" i="11" s="1"/>
  <c r="Q1173" i="11"/>
  <c r="V1173" i="11" s="1"/>
  <c r="Q1149" i="11"/>
  <c r="V1149" i="11" s="1"/>
  <c r="Q1125" i="11"/>
  <c r="V1125" i="11" s="1"/>
  <c r="Q1129" i="11"/>
  <c r="V1129" i="11" s="1"/>
  <c r="Q1133" i="11"/>
  <c r="V1133" i="11" s="1"/>
  <c r="Q1137" i="11"/>
  <c r="V1137" i="11" s="1"/>
  <c r="Q1141" i="11"/>
  <c r="V1141" i="11" s="1"/>
  <c r="Q1145" i="11"/>
  <c r="V1145" i="11" s="1"/>
  <c r="Q1126" i="11"/>
  <c r="V1126" i="11" s="1"/>
  <c r="Q1130" i="11"/>
  <c r="V1130" i="11" s="1"/>
  <c r="Q1134" i="11"/>
  <c r="V1134" i="11" s="1"/>
  <c r="Q1138" i="11"/>
  <c r="V1138" i="11" s="1"/>
  <c r="Q1142" i="11"/>
  <c r="V1142" i="11" s="1"/>
  <c r="Q1146" i="11"/>
  <c r="V1146" i="11" s="1"/>
  <c r="Q1124" i="11"/>
  <c r="V1124" i="11" s="1"/>
  <c r="Q1128" i="11"/>
  <c r="V1128" i="11" s="1"/>
  <c r="Q1132" i="11"/>
  <c r="V1132" i="11" s="1"/>
  <c r="Q1136" i="11"/>
  <c r="V1136" i="11" s="1"/>
  <c r="Q1140" i="11"/>
  <c r="V1140" i="11" s="1"/>
  <c r="Q1144" i="11"/>
  <c r="V1144" i="11" s="1"/>
  <c r="Q1148" i="11"/>
  <c r="V1148" i="11" s="1"/>
  <c r="Q1115" i="11"/>
  <c r="V1115" i="11" s="1"/>
  <c r="Q1119" i="11"/>
  <c r="V1119" i="11" s="1"/>
  <c r="Q1116" i="11"/>
  <c r="V1116" i="11" s="1"/>
  <c r="Q1120" i="11"/>
  <c r="V1120" i="11" s="1"/>
  <c r="Q1114" i="11"/>
  <c r="V1114" i="11" s="1"/>
  <c r="Q1118" i="11"/>
  <c r="V1118" i="11" s="1"/>
  <c r="Q1122" i="11"/>
  <c r="V1122" i="11" s="1"/>
  <c r="Q91" i="11"/>
  <c r="V91" i="11" s="1"/>
  <c r="S86" i="11"/>
  <c r="Q87" i="11"/>
  <c r="V87" i="11" s="1"/>
  <c r="Q85" i="11"/>
  <c r="V85" i="11" s="1"/>
  <c r="Q89" i="11"/>
  <c r="V89" i="11" s="1"/>
  <c r="Q82" i="11"/>
  <c r="V82" i="11" s="1"/>
  <c r="Q84" i="11"/>
  <c r="V84" i="11" s="1"/>
  <c r="T1107" i="11"/>
  <c r="Q1234" i="11"/>
  <c r="V1234" i="11" s="1"/>
  <c r="Q1233" i="11"/>
  <c r="V1233" i="11" s="1"/>
  <c r="S1227" i="11"/>
  <c r="S1229" i="11"/>
  <c r="Q1226" i="11"/>
  <c r="V1226" i="11" s="1"/>
  <c r="Q1228" i="11"/>
  <c r="V1228" i="11" s="1"/>
  <c r="Q1230" i="11"/>
  <c r="V1230" i="11" s="1"/>
  <c r="Q1224" i="11"/>
  <c r="V1224" i="11" s="1"/>
  <c r="T619" i="11"/>
  <c r="S1213" i="11"/>
  <c r="Q1220" i="11"/>
  <c r="V1220" i="11" s="1"/>
  <c r="Q1201" i="11"/>
  <c r="V1201" i="11" s="1"/>
  <c r="Q1218" i="11"/>
  <c r="V1218" i="11" s="1"/>
  <c r="S1196" i="11"/>
  <c r="Q1199" i="11"/>
  <c r="V1199" i="11" s="1"/>
  <c r="Q1216" i="11"/>
  <c r="V1216" i="11" s="1"/>
  <c r="Q1197" i="11"/>
  <c r="V1197" i="11" s="1"/>
  <c r="Q1219" i="11"/>
  <c r="V1219" i="11" s="1"/>
  <c r="Q1200" i="11"/>
  <c r="V1200" i="11" s="1"/>
  <c r="Q1183" i="11"/>
  <c r="V1183" i="11" s="1"/>
  <c r="Q1177" i="11"/>
  <c r="Q1184" i="11"/>
  <c r="V1184" i="11" s="1"/>
  <c r="Q1181" i="11"/>
  <c r="Q1178" i="11"/>
  <c r="S1180" i="11"/>
  <c r="Q1185" i="11"/>
  <c r="Q1182" i="11"/>
  <c r="T1104" i="11"/>
  <c r="T606" i="11"/>
  <c r="T615" i="11"/>
  <c r="T1105" i="11"/>
  <c r="Q620" i="11"/>
  <c r="Q1110" i="11"/>
  <c r="V1110" i="11" s="1"/>
  <c r="Q1096" i="11"/>
  <c r="Q1106" i="11"/>
  <c r="V1106" i="11" s="1"/>
  <c r="Q613" i="11"/>
  <c r="V613" i="11" s="1"/>
  <c r="Q621" i="11"/>
  <c r="V621" i="11" s="1"/>
  <c r="T1090" i="11"/>
  <c r="T1095" i="11"/>
  <c r="T616" i="11"/>
  <c r="T1093" i="11"/>
  <c r="T614" i="11" l="1"/>
  <c r="T1256" i="11"/>
  <c r="T610" i="11"/>
  <c r="T1088" i="11"/>
  <c r="T612" i="11"/>
  <c r="T624" i="11"/>
  <c r="T618" i="11"/>
  <c r="T607" i="11"/>
  <c r="T617" i="11"/>
  <c r="T1092" i="11"/>
  <c r="T1189" i="11"/>
  <c r="T1193" i="11"/>
  <c r="T609" i="11"/>
  <c r="T623" i="11"/>
  <c r="T622" i="11"/>
  <c r="T1103" i="11"/>
  <c r="T1111" i="11"/>
  <c r="T1198" i="11"/>
  <c r="T1109" i="11"/>
  <c r="T1094" i="11"/>
  <c r="T1212" i="11"/>
  <c r="T1192" i="11"/>
  <c r="V1192" i="11"/>
  <c r="T1177" i="11"/>
  <c r="V1177" i="11"/>
  <c r="T1181" i="11"/>
  <c r="V1181" i="11"/>
  <c r="T620" i="11"/>
  <c r="V620" i="11"/>
  <c r="T1096" i="11"/>
  <c r="V1096" i="11"/>
  <c r="T1187" i="11"/>
  <c r="T1191" i="11"/>
  <c r="V1191" i="11"/>
  <c r="T1188" i="11"/>
  <c r="V1188" i="11"/>
  <c r="T1176" i="11"/>
  <c r="V1176" i="11"/>
  <c r="T1190" i="11"/>
  <c r="V1190" i="11"/>
  <c r="T1178" i="11"/>
  <c r="V1178" i="11"/>
  <c r="T1195" i="11"/>
  <c r="T1182" i="11"/>
  <c r="V1182" i="11"/>
  <c r="T1185" i="11"/>
  <c r="V1185" i="11"/>
  <c r="T1108" i="11"/>
  <c r="T1276" i="11"/>
  <c r="T1272" i="11"/>
  <c r="T1274" i="11"/>
  <c r="T1273" i="11"/>
  <c r="T1270" i="11"/>
  <c r="T1269" i="11"/>
  <c r="T1268" i="11"/>
  <c r="T1267" i="11"/>
  <c r="T1266" i="11"/>
  <c r="T1265" i="11"/>
  <c r="T1264" i="11"/>
  <c r="T1259" i="11"/>
  <c r="T1261" i="11"/>
  <c r="T1257" i="11"/>
  <c r="T1260" i="11"/>
  <c r="T1263" i="11"/>
  <c r="T1173" i="11"/>
  <c r="T1171" i="11"/>
  <c r="T1169" i="11"/>
  <c r="T1151" i="11"/>
  <c r="T1167" i="11"/>
  <c r="T1165" i="11"/>
  <c r="T1163" i="11"/>
  <c r="T1161" i="11"/>
  <c r="T1159" i="11"/>
  <c r="T1157" i="11"/>
  <c r="T1155" i="11"/>
  <c r="T1153" i="11"/>
  <c r="T1234" i="11"/>
  <c r="T1233" i="11"/>
  <c r="T1230" i="11"/>
  <c r="T1228" i="11"/>
  <c r="T1226" i="11"/>
  <c r="T1229" i="11"/>
  <c r="T1227" i="11"/>
  <c r="T1213" i="11"/>
  <c r="T1180" i="11"/>
  <c r="T1184" i="11"/>
  <c r="T1196" i="11"/>
  <c r="T1183" i="11"/>
  <c r="T1199" i="11"/>
  <c r="T1218" i="11"/>
  <c r="T1201" i="11"/>
  <c r="T1220" i="11"/>
  <c r="T1200" i="11"/>
  <c r="T1219" i="11"/>
  <c r="T1197" i="11"/>
  <c r="T1216" i="11"/>
  <c r="T1110" i="11"/>
  <c r="T1106" i="11"/>
  <c r="T613" i="11"/>
  <c r="T621" i="11"/>
  <c r="L1250" i="11" l="1"/>
  <c r="M1250" i="11"/>
  <c r="R1250" i="11" s="1"/>
  <c r="L1251" i="11"/>
  <c r="M1251" i="11"/>
  <c r="R1251" i="11" s="1"/>
  <c r="L1252" i="11"/>
  <c r="M1252" i="11"/>
  <c r="L1253" i="11"/>
  <c r="M1253" i="11"/>
  <c r="R1253" i="11" s="1"/>
  <c r="L1254" i="11"/>
  <c r="M1254" i="11"/>
  <c r="R1254" i="11" s="1"/>
  <c r="L1255" i="11"/>
  <c r="M1255" i="11"/>
  <c r="M1249" i="11"/>
  <c r="L1249" i="11"/>
  <c r="L1243" i="11"/>
  <c r="M1243" i="11"/>
  <c r="R1243" i="11" s="1"/>
  <c r="L1244" i="11"/>
  <c r="M1244" i="11"/>
  <c r="R1244" i="11" s="1"/>
  <c r="L1245" i="11"/>
  <c r="M1245" i="11"/>
  <c r="L1246" i="11"/>
  <c r="M1246" i="11"/>
  <c r="L1247" i="11"/>
  <c r="M1247" i="11"/>
  <c r="R1247" i="11" s="1"/>
  <c r="L1248" i="11"/>
  <c r="M1248" i="11"/>
  <c r="R1248" i="11" s="1"/>
  <c r="M1242" i="11"/>
  <c r="L1242" i="11"/>
  <c r="L1236" i="11"/>
  <c r="M1236" i="11"/>
  <c r="R1236" i="11" s="1"/>
  <c r="L1237" i="11"/>
  <c r="M1237" i="11"/>
  <c r="L1238" i="11"/>
  <c r="M1238" i="11"/>
  <c r="R1238" i="11" s="1"/>
  <c r="L1239" i="11"/>
  <c r="M1239" i="11"/>
  <c r="R1239" i="11" s="1"/>
  <c r="L1240" i="11"/>
  <c r="M1240" i="11"/>
  <c r="L1241" i="11"/>
  <c r="M1241" i="11"/>
  <c r="M1235" i="11"/>
  <c r="L1235" i="11"/>
  <c r="R1245" i="11" l="1"/>
  <c r="R1237" i="11"/>
  <c r="R1241" i="11"/>
  <c r="R1255" i="11"/>
  <c r="R1249" i="11"/>
  <c r="R1240" i="11"/>
  <c r="R1246" i="11"/>
  <c r="R1252" i="11"/>
  <c r="S1243" i="11"/>
  <c r="Q1243" i="11"/>
  <c r="V1243" i="11" s="1"/>
  <c r="S1236" i="11"/>
  <c r="Q1236" i="11"/>
  <c r="V1236" i="11" s="1"/>
  <c r="R1242" i="11"/>
  <c r="S1255" i="11"/>
  <c r="Q1255" i="11"/>
  <c r="Q1254" i="11"/>
  <c r="V1254" i="11" s="1"/>
  <c r="S1254" i="11"/>
  <c r="S1241" i="11"/>
  <c r="Q1241" i="11"/>
  <c r="Q1247" i="11"/>
  <c r="V1247" i="11" s="1"/>
  <c r="S1247" i="11"/>
  <c r="S1253" i="11"/>
  <c r="Q1253" i="11"/>
  <c r="V1253" i="11" s="1"/>
  <c r="S1249" i="11"/>
  <c r="Q1249" i="11"/>
  <c r="Q1242" i="11"/>
  <c r="S1242" i="11"/>
  <c r="S1235" i="11"/>
  <c r="Q1235" i="11"/>
  <c r="S1240" i="11"/>
  <c r="Q1240" i="11"/>
  <c r="Q1246" i="11"/>
  <c r="S1246" i="11"/>
  <c r="S1252" i="11"/>
  <c r="Q1252" i="11"/>
  <c r="S1237" i="11"/>
  <c r="Q1237" i="11"/>
  <c r="V1237" i="11" s="1"/>
  <c r="R1235" i="11"/>
  <c r="S1239" i="11"/>
  <c r="Q1239" i="11"/>
  <c r="V1239" i="11" s="1"/>
  <c r="S1245" i="11"/>
  <c r="Q1245" i="11"/>
  <c r="V1245" i="11" s="1"/>
  <c r="S1251" i="11"/>
  <c r="Q1251" i="11"/>
  <c r="V1251" i="11" s="1"/>
  <c r="S1248" i="11"/>
  <c r="Q1248" i="11"/>
  <c r="V1248" i="11" s="1"/>
  <c r="Q1238" i="11"/>
  <c r="V1238" i="11" s="1"/>
  <c r="S1238" i="11"/>
  <c r="S1244" i="11"/>
  <c r="Q1244" i="11"/>
  <c r="V1244" i="11" s="1"/>
  <c r="S1250" i="11"/>
  <c r="Q1250" i="11"/>
  <c r="V1250" i="11" s="1"/>
  <c r="AF112" i="11"/>
  <c r="V1235" i="11" l="1"/>
  <c r="V1249" i="11"/>
  <c r="V1241" i="11"/>
  <c r="V1240" i="11"/>
  <c r="V1255" i="11"/>
  <c r="V1246" i="11"/>
  <c r="V1252" i="11"/>
  <c r="V1242" i="11"/>
  <c r="T1252" i="11"/>
  <c r="T1237" i="11"/>
  <c r="T1241" i="11"/>
  <c r="T1247" i="11"/>
  <c r="T1246" i="11"/>
  <c r="T1238" i="11"/>
  <c r="T1253" i="11"/>
  <c r="T1240" i="11"/>
  <c r="T1236" i="11"/>
  <c r="T1245" i="11"/>
  <c r="T1243" i="11"/>
  <c r="T1248" i="11"/>
  <c r="T1251" i="11"/>
  <c r="T1249" i="11"/>
  <c r="T1250" i="11"/>
  <c r="T1244" i="11"/>
  <c r="T1254" i="11"/>
  <c r="T1242" i="11"/>
  <c r="T1239" i="11"/>
  <c r="T1255" i="11"/>
  <c r="U41" i="7" l="1"/>
  <c r="S41" i="7"/>
  <c r="U40" i="7" l="1"/>
  <c r="S40" i="7"/>
  <c r="U39" i="7"/>
  <c r="S39" i="7"/>
  <c r="U38" i="7"/>
  <c r="S38" i="7"/>
  <c r="K1198" i="11" l="1"/>
  <c r="W1198" i="11" s="1"/>
  <c r="Y1198" i="11" s="1"/>
  <c r="J1198" i="11"/>
  <c r="I1198" i="11"/>
  <c r="H1198" i="11"/>
  <c r="AZ1198" i="11"/>
  <c r="AX1198" i="11"/>
  <c r="AF1198" i="11"/>
  <c r="AD1198" i="11"/>
  <c r="AF495" i="11"/>
  <c r="AD495" i="11"/>
  <c r="M495" i="11"/>
  <c r="L495" i="11"/>
  <c r="S495" i="11" s="1"/>
  <c r="K495" i="11"/>
  <c r="J495" i="11"/>
  <c r="I495" i="11"/>
  <c r="H495" i="11"/>
  <c r="AZ495" i="11"/>
  <c r="AX495" i="11"/>
  <c r="BG605" i="11"/>
  <c r="BG604" i="11"/>
  <c r="BG599" i="11"/>
  <c r="BG598" i="11"/>
  <c r="L605" i="11"/>
  <c r="Q605" i="11" s="1"/>
  <c r="V605" i="11" s="1"/>
  <c r="M605" i="11"/>
  <c r="M604" i="11"/>
  <c r="L604" i="11"/>
  <c r="S604" i="11" s="1"/>
  <c r="L599" i="11"/>
  <c r="S599" i="11" s="1"/>
  <c r="M599" i="11"/>
  <c r="L600" i="11"/>
  <c r="S600" i="11" s="1"/>
  <c r="M600" i="11"/>
  <c r="L601" i="11"/>
  <c r="Q601" i="11" s="1"/>
  <c r="V601" i="11" s="1"/>
  <c r="M601" i="11"/>
  <c r="L602" i="11"/>
  <c r="Q602" i="11" s="1"/>
  <c r="V602" i="11" s="1"/>
  <c r="M602" i="11"/>
  <c r="L603" i="11"/>
  <c r="S603" i="11" s="1"/>
  <c r="M603" i="11"/>
  <c r="M598" i="11"/>
  <c r="L598" i="11"/>
  <c r="S598" i="11" s="1"/>
  <c r="H598" i="11"/>
  <c r="I598" i="11"/>
  <c r="J598" i="11"/>
  <c r="K598" i="11"/>
  <c r="AD598" i="11"/>
  <c r="AE598" i="11"/>
  <c r="AF598" i="11"/>
  <c r="AX598" i="11"/>
  <c r="AZ598" i="11"/>
  <c r="H599" i="11"/>
  <c r="I599" i="11"/>
  <c r="J599" i="11"/>
  <c r="K599" i="11"/>
  <c r="AD599" i="11"/>
  <c r="AE599" i="11"/>
  <c r="AF599" i="11"/>
  <c r="AX599" i="11"/>
  <c r="AZ599" i="11"/>
  <c r="H600" i="11"/>
  <c r="I600" i="11"/>
  <c r="J600" i="11"/>
  <c r="K600" i="11"/>
  <c r="AD600" i="11"/>
  <c r="AE600" i="11"/>
  <c r="AF600" i="11"/>
  <c r="AX600" i="11"/>
  <c r="AZ600" i="11"/>
  <c r="H601" i="11"/>
  <c r="I601" i="11"/>
  <c r="J601" i="11"/>
  <c r="K601" i="11"/>
  <c r="BB601" i="11" s="1"/>
  <c r="AD601" i="11"/>
  <c r="AE601" i="11"/>
  <c r="AF601" i="11"/>
  <c r="AI601" i="11"/>
  <c r="AJ601" i="11" s="1"/>
  <c r="AL601" i="11"/>
  <c r="AN601" i="11" s="1"/>
  <c r="AX601" i="11"/>
  <c r="H602" i="11"/>
  <c r="I602" i="11"/>
  <c r="J602" i="11"/>
  <c r="K602" i="11"/>
  <c r="BB602" i="11" s="1"/>
  <c r="AD602" i="11"/>
  <c r="AE602" i="11"/>
  <c r="AF602" i="11"/>
  <c r="AI602" i="11"/>
  <c r="AJ602" i="11" s="1"/>
  <c r="AL602" i="11"/>
  <c r="AM602" i="11" s="1"/>
  <c r="AX602" i="11"/>
  <c r="H603" i="11"/>
  <c r="I603" i="11"/>
  <c r="J603" i="11"/>
  <c r="K603" i="11"/>
  <c r="BB603" i="11" s="1"/>
  <c r="AD603" i="11"/>
  <c r="AE603" i="11"/>
  <c r="AF603" i="11"/>
  <c r="AI603" i="11"/>
  <c r="AJ603" i="11" s="1"/>
  <c r="AL603" i="11"/>
  <c r="AM603" i="11" s="1"/>
  <c r="AX603" i="11"/>
  <c r="H604" i="11"/>
  <c r="I604" i="11"/>
  <c r="J604" i="11"/>
  <c r="K604" i="11"/>
  <c r="AC604" i="11" s="1"/>
  <c r="AD604" i="11"/>
  <c r="AE604" i="11"/>
  <c r="AF604" i="11"/>
  <c r="AX604" i="11"/>
  <c r="AZ604" i="11"/>
  <c r="H605" i="11"/>
  <c r="I605" i="11"/>
  <c r="J605" i="11"/>
  <c r="K605" i="11"/>
  <c r="AD605" i="11"/>
  <c r="AE605" i="11"/>
  <c r="AF605" i="11"/>
  <c r="AX605" i="11"/>
  <c r="AZ605" i="11"/>
  <c r="L573" i="11"/>
  <c r="M573" i="11"/>
  <c r="L574" i="11"/>
  <c r="M574" i="11"/>
  <c r="L575" i="11"/>
  <c r="M575" i="11"/>
  <c r="L576" i="11"/>
  <c r="M576" i="11"/>
  <c r="L577" i="11"/>
  <c r="M577" i="11"/>
  <c r="L578" i="11"/>
  <c r="M578" i="11"/>
  <c r="L579" i="11"/>
  <c r="M579" i="11"/>
  <c r="L580" i="11"/>
  <c r="M580" i="11"/>
  <c r="L581" i="11"/>
  <c r="M581" i="11"/>
  <c r="L582" i="11"/>
  <c r="Q582" i="11" s="1"/>
  <c r="V582" i="11" s="1"/>
  <c r="M582" i="11"/>
  <c r="L586" i="11"/>
  <c r="S586" i="11" s="1"/>
  <c r="M586" i="11"/>
  <c r="L587" i="11"/>
  <c r="S587" i="11" s="1"/>
  <c r="M587" i="11"/>
  <c r="L588" i="11"/>
  <c r="M588" i="11"/>
  <c r="L589" i="11"/>
  <c r="M589" i="11"/>
  <c r="L590" i="11"/>
  <c r="M590" i="11"/>
  <c r="L591" i="11"/>
  <c r="M591" i="11"/>
  <c r="L592" i="11"/>
  <c r="M592" i="11"/>
  <c r="L593" i="11"/>
  <c r="M593" i="11"/>
  <c r="L594" i="11"/>
  <c r="M594" i="11"/>
  <c r="L595" i="11"/>
  <c r="M595" i="11"/>
  <c r="L596" i="11"/>
  <c r="M596" i="11"/>
  <c r="L597" i="11"/>
  <c r="M597" i="11"/>
  <c r="M572" i="11"/>
  <c r="L572" i="11"/>
  <c r="L1071" i="11"/>
  <c r="M1071" i="11"/>
  <c r="L1072" i="11"/>
  <c r="M1072" i="11"/>
  <c r="L1073" i="11"/>
  <c r="M1073" i="11"/>
  <c r="L1074" i="11"/>
  <c r="M1074" i="11"/>
  <c r="L1075" i="11"/>
  <c r="M1075" i="11"/>
  <c r="L1076" i="11"/>
  <c r="M1076" i="11"/>
  <c r="L1077" i="11"/>
  <c r="M1077" i="11"/>
  <c r="L1078" i="11"/>
  <c r="M1078" i="11"/>
  <c r="L1079" i="11"/>
  <c r="M1079" i="11"/>
  <c r="L1080" i="11"/>
  <c r="M1080" i="11"/>
  <c r="L1081" i="11"/>
  <c r="M1081" i="11"/>
  <c r="L1082" i="11"/>
  <c r="M1082" i="11"/>
  <c r="L1083" i="11"/>
  <c r="M1083" i="11"/>
  <c r="L1084" i="11"/>
  <c r="M1084" i="11"/>
  <c r="L1085" i="11"/>
  <c r="M1085" i="11"/>
  <c r="M1070" i="11"/>
  <c r="L1070" i="11"/>
  <c r="L551" i="11"/>
  <c r="M551" i="11"/>
  <c r="L552" i="11"/>
  <c r="M552" i="11"/>
  <c r="L553" i="11"/>
  <c r="M553" i="11"/>
  <c r="L554" i="11"/>
  <c r="M554" i="11"/>
  <c r="L555" i="11"/>
  <c r="M555" i="11"/>
  <c r="L556" i="11"/>
  <c r="M556" i="11"/>
  <c r="L557" i="11"/>
  <c r="M557" i="11"/>
  <c r="L558" i="11"/>
  <c r="M558" i="11"/>
  <c r="L559" i="11"/>
  <c r="S559" i="11" s="1"/>
  <c r="M559" i="11"/>
  <c r="L560" i="11"/>
  <c r="S560" i="11" s="1"/>
  <c r="M560" i="11"/>
  <c r="L561" i="11"/>
  <c r="M561" i="11"/>
  <c r="L562" i="11"/>
  <c r="M562" i="11"/>
  <c r="L563" i="11"/>
  <c r="M563" i="11"/>
  <c r="L564" i="11"/>
  <c r="M564" i="11"/>
  <c r="L565" i="11"/>
  <c r="M565" i="11"/>
  <c r="L566" i="11"/>
  <c r="M566" i="11"/>
  <c r="L567" i="11"/>
  <c r="M567" i="11"/>
  <c r="L568" i="11"/>
  <c r="M568" i="11"/>
  <c r="L569" i="11"/>
  <c r="M569" i="11"/>
  <c r="L570" i="11"/>
  <c r="M570" i="11"/>
  <c r="L571" i="11"/>
  <c r="M571" i="11"/>
  <c r="M540" i="11"/>
  <c r="L540" i="11"/>
  <c r="L491" i="11"/>
  <c r="M491" i="11"/>
  <c r="L492" i="11"/>
  <c r="M492" i="11"/>
  <c r="L493" i="11"/>
  <c r="M493" i="11"/>
  <c r="L494" i="11"/>
  <c r="M494" i="11"/>
  <c r="L512" i="11"/>
  <c r="M512" i="11"/>
  <c r="L513" i="11"/>
  <c r="M513" i="11"/>
  <c r="L514" i="11"/>
  <c r="M514" i="11"/>
  <c r="L515" i="11"/>
  <c r="M515" i="11"/>
  <c r="L516" i="11"/>
  <c r="M516" i="11"/>
  <c r="L517" i="11"/>
  <c r="M517" i="11"/>
  <c r="L518" i="11"/>
  <c r="M518" i="11"/>
  <c r="L519" i="11"/>
  <c r="M519" i="11"/>
  <c r="L520" i="11"/>
  <c r="M520" i="11"/>
  <c r="L521" i="11"/>
  <c r="M521" i="11"/>
  <c r="L522" i="11"/>
  <c r="M522" i="11"/>
  <c r="L523" i="11"/>
  <c r="M523" i="11"/>
  <c r="L524" i="11"/>
  <c r="M524" i="11"/>
  <c r="L525" i="11"/>
  <c r="M525" i="11"/>
  <c r="L526" i="11"/>
  <c r="M526" i="11"/>
  <c r="L530" i="11"/>
  <c r="M530" i="11"/>
  <c r="L531" i="11"/>
  <c r="M531" i="11"/>
  <c r="L532" i="11"/>
  <c r="M532" i="11"/>
  <c r="L533" i="11"/>
  <c r="M533" i="11"/>
  <c r="L534" i="11"/>
  <c r="M534" i="11"/>
  <c r="L535" i="11"/>
  <c r="M535" i="11"/>
  <c r="L536" i="11"/>
  <c r="M536" i="11"/>
  <c r="L537" i="11"/>
  <c r="M537" i="11"/>
  <c r="L538" i="11"/>
  <c r="M538" i="11"/>
  <c r="L539" i="11"/>
  <c r="M539" i="11"/>
  <c r="M490" i="11"/>
  <c r="L490" i="11"/>
  <c r="L1059" i="11"/>
  <c r="M1059" i="11"/>
  <c r="L1060" i="11"/>
  <c r="M1060" i="11"/>
  <c r="L1061" i="11"/>
  <c r="M1061" i="11"/>
  <c r="L1062" i="11"/>
  <c r="M1062" i="11"/>
  <c r="L1063" i="11"/>
  <c r="M1063" i="11"/>
  <c r="L1064" i="11"/>
  <c r="M1064" i="11"/>
  <c r="L1065" i="11"/>
  <c r="M1065" i="11"/>
  <c r="L1066" i="11"/>
  <c r="M1066" i="11"/>
  <c r="L1067" i="11"/>
  <c r="M1067" i="11"/>
  <c r="L1068" i="11"/>
  <c r="M1068" i="11"/>
  <c r="L1069" i="11"/>
  <c r="M1069" i="11"/>
  <c r="M1058" i="11"/>
  <c r="L1058" i="11"/>
  <c r="L780" i="11"/>
  <c r="M780" i="11"/>
  <c r="L781" i="11"/>
  <c r="M781" i="11"/>
  <c r="L782" i="11"/>
  <c r="M782" i="11"/>
  <c r="L783" i="11"/>
  <c r="M783" i="11"/>
  <c r="L784" i="11"/>
  <c r="M784" i="11"/>
  <c r="L786" i="11"/>
  <c r="M786" i="11"/>
  <c r="L787" i="11"/>
  <c r="M787" i="11"/>
  <c r="L788" i="11"/>
  <c r="M788" i="11"/>
  <c r="L789" i="11"/>
  <c r="M789" i="11"/>
  <c r="L790" i="11"/>
  <c r="M790" i="11"/>
  <c r="L791" i="11"/>
  <c r="M791" i="11"/>
  <c r="L792" i="11"/>
  <c r="M792" i="11"/>
  <c r="L793" i="11"/>
  <c r="M793" i="11"/>
  <c r="L794" i="11"/>
  <c r="M794" i="11"/>
  <c r="L795" i="11"/>
  <c r="M795" i="11"/>
  <c r="L796" i="11"/>
  <c r="M796" i="11"/>
  <c r="L797" i="11"/>
  <c r="M797" i="11"/>
  <c r="L798" i="11"/>
  <c r="M798" i="11"/>
  <c r="L799" i="11"/>
  <c r="M799" i="11"/>
  <c r="L800" i="11"/>
  <c r="M800" i="11"/>
  <c r="L801" i="11"/>
  <c r="M801" i="11"/>
  <c r="L802" i="11"/>
  <c r="M802" i="11"/>
  <c r="L803" i="11"/>
  <c r="M803" i="11"/>
  <c r="L804" i="11"/>
  <c r="M804" i="11"/>
  <c r="L805" i="11"/>
  <c r="M805" i="11"/>
  <c r="L806" i="11"/>
  <c r="M806" i="11"/>
  <c r="L807" i="11"/>
  <c r="M807" i="11"/>
  <c r="L808" i="11"/>
  <c r="M808" i="11"/>
  <c r="L809" i="11"/>
  <c r="M809" i="11"/>
  <c r="L810" i="11"/>
  <c r="M810" i="11"/>
  <c r="L811" i="11"/>
  <c r="M811" i="11"/>
  <c r="L812" i="11"/>
  <c r="M812" i="11"/>
  <c r="L813" i="11"/>
  <c r="M813" i="11"/>
  <c r="L814" i="11"/>
  <c r="M814" i="11"/>
  <c r="L815" i="11"/>
  <c r="M815" i="11"/>
  <c r="L816" i="11"/>
  <c r="M816" i="11"/>
  <c r="L817" i="11"/>
  <c r="M817" i="11"/>
  <c r="L818" i="11"/>
  <c r="M818" i="11"/>
  <c r="L819" i="11"/>
  <c r="M819" i="11"/>
  <c r="L820" i="11"/>
  <c r="M820" i="11"/>
  <c r="L821" i="11"/>
  <c r="M821" i="11"/>
  <c r="L822" i="11"/>
  <c r="M822" i="11"/>
  <c r="L823" i="11"/>
  <c r="M823" i="11"/>
  <c r="L824" i="11"/>
  <c r="M824" i="11"/>
  <c r="L825" i="11"/>
  <c r="M825" i="11"/>
  <c r="L826" i="11"/>
  <c r="M826" i="11"/>
  <c r="L827" i="11"/>
  <c r="M827" i="11"/>
  <c r="L828" i="11"/>
  <c r="M828" i="11"/>
  <c r="L829" i="11"/>
  <c r="M829" i="11"/>
  <c r="L830" i="11"/>
  <c r="M830" i="11"/>
  <c r="L831" i="11"/>
  <c r="M831" i="11"/>
  <c r="L832" i="11"/>
  <c r="M832" i="11"/>
  <c r="L833" i="11"/>
  <c r="M833" i="11"/>
  <c r="L834" i="11"/>
  <c r="M834" i="11"/>
  <c r="L835" i="11"/>
  <c r="M835" i="11"/>
  <c r="L836" i="11"/>
  <c r="M836" i="11"/>
  <c r="L837" i="11"/>
  <c r="M837" i="11"/>
  <c r="L838" i="11"/>
  <c r="M838" i="11"/>
  <c r="L839" i="11"/>
  <c r="M839" i="11"/>
  <c r="L840" i="11"/>
  <c r="M840" i="11"/>
  <c r="L841" i="11"/>
  <c r="M841" i="11"/>
  <c r="L842" i="11"/>
  <c r="M842" i="11"/>
  <c r="L843" i="11"/>
  <c r="M843" i="11"/>
  <c r="L844" i="11"/>
  <c r="M844" i="11"/>
  <c r="L845" i="11"/>
  <c r="M845" i="11"/>
  <c r="L846" i="11"/>
  <c r="M846" i="11"/>
  <c r="L847" i="11"/>
  <c r="M847" i="11"/>
  <c r="L848" i="11"/>
  <c r="M848" i="11"/>
  <c r="L849" i="11"/>
  <c r="M849" i="11"/>
  <c r="L850" i="11"/>
  <c r="M850" i="11"/>
  <c r="L851" i="11"/>
  <c r="M851" i="11"/>
  <c r="L852" i="11"/>
  <c r="M852" i="11"/>
  <c r="L853" i="11"/>
  <c r="M853" i="11"/>
  <c r="L854" i="11"/>
  <c r="M854" i="11"/>
  <c r="L855" i="11"/>
  <c r="M855" i="11"/>
  <c r="L856" i="11"/>
  <c r="M856" i="11"/>
  <c r="L857" i="11"/>
  <c r="M857" i="11"/>
  <c r="L858" i="11"/>
  <c r="M858" i="11"/>
  <c r="L859" i="11"/>
  <c r="M859" i="11"/>
  <c r="L860" i="11"/>
  <c r="M860" i="11"/>
  <c r="L861" i="11"/>
  <c r="M861" i="11"/>
  <c r="L862" i="11"/>
  <c r="M862" i="11"/>
  <c r="L863" i="11"/>
  <c r="M863" i="11"/>
  <c r="L864" i="11"/>
  <c r="M864" i="11"/>
  <c r="L865" i="11"/>
  <c r="M865" i="11"/>
  <c r="L866" i="11"/>
  <c r="M866" i="11"/>
  <c r="L867" i="11"/>
  <c r="M867" i="11"/>
  <c r="L879" i="11"/>
  <c r="M879" i="11"/>
  <c r="L880" i="11"/>
  <c r="M880" i="11"/>
  <c r="L881" i="11"/>
  <c r="M881" i="11"/>
  <c r="L882" i="11"/>
  <c r="M882" i="11"/>
  <c r="L883" i="11"/>
  <c r="M883" i="11"/>
  <c r="L884" i="11"/>
  <c r="M884" i="11"/>
  <c r="L885" i="11"/>
  <c r="M885" i="11"/>
  <c r="L886" i="11"/>
  <c r="M886" i="11"/>
  <c r="L887" i="11"/>
  <c r="M887" i="11"/>
  <c r="L888" i="11"/>
  <c r="M888" i="11"/>
  <c r="L889" i="11"/>
  <c r="M889" i="11"/>
  <c r="L890" i="11"/>
  <c r="M890" i="11"/>
  <c r="L891" i="11"/>
  <c r="M891" i="11"/>
  <c r="L898" i="11"/>
  <c r="M898" i="11"/>
  <c r="L899" i="11"/>
  <c r="M899" i="11"/>
  <c r="L900" i="11"/>
  <c r="M900" i="11"/>
  <c r="L901" i="11"/>
  <c r="M901" i="11"/>
  <c r="L902" i="11"/>
  <c r="M902" i="11"/>
  <c r="L903" i="11"/>
  <c r="M903" i="11"/>
  <c r="L904" i="11"/>
  <c r="M904" i="11"/>
  <c r="L905" i="11"/>
  <c r="M905" i="11"/>
  <c r="L906" i="11"/>
  <c r="M906" i="11"/>
  <c r="L907" i="11"/>
  <c r="M907" i="11"/>
  <c r="L908" i="11"/>
  <c r="M908" i="11"/>
  <c r="L909" i="11"/>
  <c r="M909" i="11"/>
  <c r="L910" i="11"/>
  <c r="M910" i="11"/>
  <c r="L911" i="11"/>
  <c r="M911" i="11"/>
  <c r="L912" i="11"/>
  <c r="M912" i="11"/>
  <c r="L913" i="11"/>
  <c r="M913" i="11"/>
  <c r="L914" i="11"/>
  <c r="M914" i="11"/>
  <c r="L915" i="11"/>
  <c r="M915" i="11"/>
  <c r="L916" i="11"/>
  <c r="M916" i="11"/>
  <c r="L917" i="11"/>
  <c r="M917" i="11"/>
  <c r="L918" i="11"/>
  <c r="M918" i="11"/>
  <c r="L919" i="11"/>
  <c r="M919" i="11"/>
  <c r="L920" i="11"/>
  <c r="M920" i="11"/>
  <c r="L921" i="11"/>
  <c r="M921" i="11"/>
  <c r="L922" i="11"/>
  <c r="M922" i="11"/>
  <c r="L923" i="11"/>
  <c r="M923" i="11"/>
  <c r="L924" i="11"/>
  <c r="M924" i="11"/>
  <c r="L925" i="11"/>
  <c r="M925" i="11"/>
  <c r="L926" i="11"/>
  <c r="M926" i="11"/>
  <c r="L927" i="11"/>
  <c r="M927" i="11"/>
  <c r="L928" i="11"/>
  <c r="M928" i="11"/>
  <c r="L929" i="11"/>
  <c r="M929" i="11"/>
  <c r="L930" i="11"/>
  <c r="M930" i="11"/>
  <c r="L931" i="11"/>
  <c r="M931" i="11"/>
  <c r="L932" i="11"/>
  <c r="M932" i="11"/>
  <c r="L933" i="11"/>
  <c r="M933" i="11"/>
  <c r="L934" i="11"/>
  <c r="M934" i="11"/>
  <c r="L935" i="11"/>
  <c r="M935" i="11"/>
  <c r="L936" i="11"/>
  <c r="M936" i="11"/>
  <c r="L937" i="11"/>
  <c r="M937" i="11"/>
  <c r="L938" i="11"/>
  <c r="M938" i="11"/>
  <c r="L939" i="11"/>
  <c r="M939" i="11"/>
  <c r="L940" i="11"/>
  <c r="M940" i="11"/>
  <c r="L941" i="11"/>
  <c r="M941" i="11"/>
  <c r="L942" i="11"/>
  <c r="M942" i="11"/>
  <c r="L943" i="11"/>
  <c r="M943" i="11"/>
  <c r="L944" i="11"/>
  <c r="M944" i="11"/>
  <c r="L945" i="11"/>
  <c r="M945" i="11"/>
  <c r="L946" i="11"/>
  <c r="M946" i="11"/>
  <c r="L947" i="11"/>
  <c r="M947" i="11"/>
  <c r="L948" i="11"/>
  <c r="M948" i="11"/>
  <c r="L949" i="11"/>
  <c r="M949" i="11"/>
  <c r="L950" i="11"/>
  <c r="M950" i="11"/>
  <c r="L951" i="11"/>
  <c r="M951" i="11"/>
  <c r="L952" i="11"/>
  <c r="M952" i="11"/>
  <c r="L953" i="11"/>
  <c r="M953" i="11"/>
  <c r="L954" i="11"/>
  <c r="M954" i="11"/>
  <c r="L955" i="11"/>
  <c r="M955" i="11"/>
  <c r="L956" i="11"/>
  <c r="M956" i="11"/>
  <c r="L957" i="11"/>
  <c r="M957" i="11"/>
  <c r="L958" i="11"/>
  <c r="M958" i="11"/>
  <c r="L959" i="11"/>
  <c r="M959" i="11"/>
  <c r="L960" i="11"/>
  <c r="M960" i="11"/>
  <c r="L961" i="11"/>
  <c r="M961" i="11"/>
  <c r="L962" i="11"/>
  <c r="M962" i="11"/>
  <c r="L963" i="11"/>
  <c r="M963" i="11"/>
  <c r="L964" i="11"/>
  <c r="M964" i="11"/>
  <c r="L965" i="11"/>
  <c r="M965" i="11"/>
  <c r="L966" i="11"/>
  <c r="M966" i="11"/>
  <c r="L967" i="11"/>
  <c r="M967" i="11"/>
  <c r="L968" i="11"/>
  <c r="M968" i="11"/>
  <c r="L969" i="11"/>
  <c r="M969" i="11"/>
  <c r="L970" i="11"/>
  <c r="M970" i="11"/>
  <c r="L971" i="11"/>
  <c r="M971" i="11"/>
  <c r="L972" i="11"/>
  <c r="M972" i="11"/>
  <c r="L973" i="11"/>
  <c r="M973" i="11"/>
  <c r="L974" i="11"/>
  <c r="M974" i="11"/>
  <c r="L975" i="11"/>
  <c r="M975" i="11"/>
  <c r="L976" i="11"/>
  <c r="M976" i="11"/>
  <c r="L977" i="11"/>
  <c r="M977" i="11"/>
  <c r="L978" i="11"/>
  <c r="M978" i="11"/>
  <c r="L979" i="11"/>
  <c r="M979" i="11"/>
  <c r="L980" i="11"/>
  <c r="M980" i="11"/>
  <c r="L981" i="11"/>
  <c r="M981" i="11"/>
  <c r="L982" i="11"/>
  <c r="M982" i="11"/>
  <c r="L983" i="11"/>
  <c r="M983" i="11"/>
  <c r="L984" i="11"/>
  <c r="M984" i="11"/>
  <c r="L985" i="11"/>
  <c r="M985" i="11"/>
  <c r="L986" i="11"/>
  <c r="M986" i="11"/>
  <c r="L987" i="11"/>
  <c r="M987" i="11"/>
  <c r="L988" i="11"/>
  <c r="M988" i="11"/>
  <c r="L989" i="11"/>
  <c r="M989" i="11"/>
  <c r="L990" i="11"/>
  <c r="M990" i="11"/>
  <c r="L991" i="11"/>
  <c r="M991" i="11"/>
  <c r="L992" i="11"/>
  <c r="M992" i="11"/>
  <c r="L993" i="11"/>
  <c r="M993" i="11"/>
  <c r="L994" i="11"/>
  <c r="M994" i="11"/>
  <c r="L995" i="11"/>
  <c r="M995" i="11"/>
  <c r="L996" i="11"/>
  <c r="M996" i="11"/>
  <c r="L997" i="11"/>
  <c r="M997" i="11"/>
  <c r="L998" i="11"/>
  <c r="M998" i="11"/>
  <c r="L999" i="11"/>
  <c r="M999" i="11"/>
  <c r="L1000" i="11"/>
  <c r="M1000" i="11"/>
  <c r="L1001" i="11"/>
  <c r="M1001" i="11"/>
  <c r="L1002" i="11"/>
  <c r="M1002" i="11"/>
  <c r="L1003" i="11"/>
  <c r="M1003" i="11"/>
  <c r="L1004" i="11"/>
  <c r="M1004" i="11"/>
  <c r="L1005" i="11"/>
  <c r="M1005" i="11"/>
  <c r="L1006" i="11"/>
  <c r="M1006" i="11"/>
  <c r="L1007" i="11"/>
  <c r="M1007" i="11"/>
  <c r="L1008" i="11"/>
  <c r="M1008" i="11"/>
  <c r="L1009" i="11"/>
  <c r="M1009" i="11"/>
  <c r="L1010" i="11"/>
  <c r="M1010" i="11"/>
  <c r="L1011" i="11"/>
  <c r="M1011" i="11"/>
  <c r="L1012" i="11"/>
  <c r="M1012" i="11"/>
  <c r="L1013" i="11"/>
  <c r="M1013" i="11"/>
  <c r="L1014" i="11"/>
  <c r="M1014" i="11"/>
  <c r="L1015" i="11"/>
  <c r="M1015" i="11"/>
  <c r="L1016" i="11"/>
  <c r="M1016" i="11"/>
  <c r="L1017" i="11"/>
  <c r="M1017" i="11"/>
  <c r="L1018" i="11"/>
  <c r="M1018" i="11"/>
  <c r="L1019" i="11"/>
  <c r="M1019" i="11"/>
  <c r="L1020" i="11"/>
  <c r="M1020" i="11"/>
  <c r="L1021" i="11"/>
  <c r="M1021" i="11"/>
  <c r="L1022" i="11"/>
  <c r="M1022" i="11"/>
  <c r="L1023" i="11"/>
  <c r="M1023" i="11"/>
  <c r="L1024" i="11"/>
  <c r="M1024" i="11"/>
  <c r="L1025" i="11"/>
  <c r="M1025" i="11"/>
  <c r="L1026" i="11"/>
  <c r="M1026" i="11"/>
  <c r="L1027" i="11"/>
  <c r="M1027" i="11"/>
  <c r="L1028" i="11"/>
  <c r="M1028" i="11"/>
  <c r="L1029" i="11"/>
  <c r="M1029" i="11"/>
  <c r="L1030" i="11"/>
  <c r="M1030" i="11"/>
  <c r="L1031" i="11"/>
  <c r="M1031" i="11"/>
  <c r="L1032" i="11"/>
  <c r="M1032" i="11"/>
  <c r="L1033" i="11"/>
  <c r="M1033" i="11"/>
  <c r="L1034" i="11"/>
  <c r="M1034" i="11"/>
  <c r="L1035" i="11"/>
  <c r="M1035" i="11"/>
  <c r="L1036" i="11"/>
  <c r="M1036" i="11"/>
  <c r="L1037" i="11"/>
  <c r="M1037" i="11"/>
  <c r="L1038" i="11"/>
  <c r="M1038" i="11"/>
  <c r="L1039" i="11"/>
  <c r="M1039" i="11"/>
  <c r="L1040" i="11"/>
  <c r="M1040" i="11"/>
  <c r="L1041" i="11"/>
  <c r="M1041" i="11"/>
  <c r="L1042" i="11"/>
  <c r="M1042" i="11"/>
  <c r="L1043" i="11"/>
  <c r="M1043" i="11"/>
  <c r="L1044" i="11"/>
  <c r="M1044" i="11"/>
  <c r="L1045" i="11"/>
  <c r="M1045" i="11"/>
  <c r="L1046" i="11"/>
  <c r="M1046" i="11"/>
  <c r="L1047" i="11"/>
  <c r="M1047" i="11"/>
  <c r="L1048" i="11"/>
  <c r="M1048" i="11"/>
  <c r="L1049" i="11"/>
  <c r="M1049" i="11"/>
  <c r="L1050" i="11"/>
  <c r="M1050" i="11"/>
  <c r="L1051" i="11"/>
  <c r="M1051" i="11"/>
  <c r="L1052" i="11"/>
  <c r="M1052" i="11"/>
  <c r="L1053" i="11"/>
  <c r="M1053" i="11"/>
  <c r="L1054" i="11"/>
  <c r="M1054" i="11"/>
  <c r="L1055" i="11"/>
  <c r="M1055" i="11"/>
  <c r="L1056" i="11"/>
  <c r="M1056" i="11"/>
  <c r="L1057" i="11"/>
  <c r="M1057" i="11"/>
  <c r="M779" i="11"/>
  <c r="L779" i="11"/>
  <c r="L457" i="11"/>
  <c r="M457" i="11"/>
  <c r="L458" i="11"/>
  <c r="M458" i="11"/>
  <c r="L459" i="11"/>
  <c r="M459" i="11"/>
  <c r="L460" i="11"/>
  <c r="M460" i="11"/>
  <c r="L461" i="11"/>
  <c r="M461" i="11"/>
  <c r="L462" i="11"/>
  <c r="M462" i="11"/>
  <c r="L463" i="11"/>
  <c r="M463" i="11"/>
  <c r="L464" i="11"/>
  <c r="M464" i="11"/>
  <c r="L465" i="11"/>
  <c r="M465" i="11"/>
  <c r="L466" i="11"/>
  <c r="M466" i="11"/>
  <c r="L467" i="11"/>
  <c r="M467" i="11"/>
  <c r="L468" i="11"/>
  <c r="M468" i="11"/>
  <c r="L469" i="11"/>
  <c r="M469" i="11"/>
  <c r="L470" i="11"/>
  <c r="M470" i="11"/>
  <c r="L471" i="11"/>
  <c r="M471" i="11"/>
  <c r="L472" i="11"/>
  <c r="M472" i="11"/>
  <c r="L473" i="11"/>
  <c r="M473" i="11"/>
  <c r="L474" i="11"/>
  <c r="M474" i="11"/>
  <c r="L475" i="11"/>
  <c r="M475" i="11"/>
  <c r="L476" i="11"/>
  <c r="M476" i="11"/>
  <c r="L477" i="11"/>
  <c r="M477" i="11"/>
  <c r="L478" i="11"/>
  <c r="M478" i="11"/>
  <c r="L479" i="11"/>
  <c r="M479" i="11"/>
  <c r="L480" i="11"/>
  <c r="M480" i="11"/>
  <c r="L481" i="11"/>
  <c r="M481" i="11"/>
  <c r="L482" i="11"/>
  <c r="M482" i="11"/>
  <c r="L483" i="11"/>
  <c r="M483" i="11"/>
  <c r="L484" i="11"/>
  <c r="M484" i="11"/>
  <c r="L485" i="11"/>
  <c r="M485" i="11"/>
  <c r="L486" i="11"/>
  <c r="M486" i="11"/>
  <c r="L487" i="11"/>
  <c r="M487" i="11"/>
  <c r="L488" i="11"/>
  <c r="M488" i="11"/>
  <c r="L489" i="11"/>
  <c r="M489" i="11"/>
  <c r="M456" i="11"/>
  <c r="L456" i="11"/>
  <c r="L219" i="11"/>
  <c r="M219" i="11"/>
  <c r="L220" i="11"/>
  <c r="M220" i="11"/>
  <c r="L221" i="11"/>
  <c r="M221" i="11"/>
  <c r="L222" i="11"/>
  <c r="M222" i="11"/>
  <c r="L223" i="11"/>
  <c r="M223" i="11"/>
  <c r="L224" i="11"/>
  <c r="M224" i="11"/>
  <c r="L225" i="11"/>
  <c r="M225" i="11"/>
  <c r="L226" i="11"/>
  <c r="M226" i="11"/>
  <c r="L227" i="11"/>
  <c r="M227" i="11"/>
  <c r="L228" i="11"/>
  <c r="M228" i="11"/>
  <c r="L229" i="11"/>
  <c r="M229" i="11"/>
  <c r="L230" i="11"/>
  <c r="M230" i="11"/>
  <c r="L237" i="11"/>
  <c r="M237" i="11"/>
  <c r="L238" i="11"/>
  <c r="M238" i="11"/>
  <c r="L239" i="11"/>
  <c r="M239" i="11"/>
  <c r="L240" i="11"/>
  <c r="M240" i="11"/>
  <c r="L241" i="11"/>
  <c r="M241" i="11"/>
  <c r="L242" i="11"/>
  <c r="M242" i="11"/>
  <c r="L243" i="11"/>
  <c r="M243" i="11"/>
  <c r="L244" i="11"/>
  <c r="M244" i="11"/>
  <c r="L245" i="11"/>
  <c r="M245" i="11"/>
  <c r="L246" i="11"/>
  <c r="M246" i="11"/>
  <c r="L247" i="11"/>
  <c r="M247" i="11"/>
  <c r="L248" i="11"/>
  <c r="M248" i="11"/>
  <c r="L249" i="11"/>
  <c r="M249" i="11"/>
  <c r="L250" i="11"/>
  <c r="M250" i="11"/>
  <c r="L251" i="11"/>
  <c r="M251" i="11"/>
  <c r="L252" i="11"/>
  <c r="S252" i="11" s="1"/>
  <c r="M252" i="11"/>
  <c r="L253" i="11"/>
  <c r="Q253" i="11" s="1"/>
  <c r="V253" i="11" s="1"/>
  <c r="M253" i="11"/>
  <c r="L254" i="11"/>
  <c r="S254" i="11" s="1"/>
  <c r="M254" i="11"/>
  <c r="L255" i="11"/>
  <c r="M255" i="11"/>
  <c r="L256" i="11"/>
  <c r="M256" i="11"/>
  <c r="L257" i="11"/>
  <c r="M257" i="11"/>
  <c r="L258" i="11"/>
  <c r="M258" i="11"/>
  <c r="L259" i="11"/>
  <c r="M259" i="11"/>
  <c r="L260" i="11"/>
  <c r="M260" i="11"/>
  <c r="L261" i="11"/>
  <c r="M261" i="11"/>
  <c r="L262" i="11"/>
  <c r="M262" i="11"/>
  <c r="L263" i="11"/>
  <c r="M263" i="11"/>
  <c r="L264" i="11"/>
  <c r="M264" i="11"/>
  <c r="L265" i="11"/>
  <c r="M265" i="11"/>
  <c r="L266" i="11"/>
  <c r="M266" i="11"/>
  <c r="L267" i="11"/>
  <c r="M267" i="11"/>
  <c r="L268" i="11"/>
  <c r="M268" i="11"/>
  <c r="L269" i="11"/>
  <c r="M269" i="11"/>
  <c r="L270" i="11"/>
  <c r="M270" i="11"/>
  <c r="L271" i="11"/>
  <c r="M271" i="11"/>
  <c r="L272" i="11"/>
  <c r="M272" i="11"/>
  <c r="L273" i="11"/>
  <c r="M273" i="11"/>
  <c r="L274" i="11"/>
  <c r="M274" i="11"/>
  <c r="L275" i="11"/>
  <c r="M275" i="11"/>
  <c r="L276" i="11"/>
  <c r="M276" i="11"/>
  <c r="L277" i="11"/>
  <c r="M277" i="11"/>
  <c r="L278" i="11"/>
  <c r="M278" i="11"/>
  <c r="L279" i="11"/>
  <c r="M279" i="11"/>
  <c r="L280" i="11"/>
  <c r="M280" i="11"/>
  <c r="L281" i="11"/>
  <c r="M281" i="11"/>
  <c r="L282" i="11"/>
  <c r="M282" i="11"/>
  <c r="L283" i="11"/>
  <c r="M283" i="11"/>
  <c r="L284" i="11"/>
  <c r="M284" i="11"/>
  <c r="L285" i="11"/>
  <c r="M285" i="11"/>
  <c r="L286" i="11"/>
  <c r="M286" i="11"/>
  <c r="L287" i="11"/>
  <c r="M287" i="11"/>
  <c r="L288" i="11"/>
  <c r="M288" i="11"/>
  <c r="L289" i="11"/>
  <c r="M289" i="11"/>
  <c r="L290" i="11"/>
  <c r="M290" i="11"/>
  <c r="L291" i="11"/>
  <c r="M291" i="11"/>
  <c r="L292" i="11"/>
  <c r="M292" i="11"/>
  <c r="L293" i="11"/>
  <c r="M293" i="11"/>
  <c r="L294" i="11"/>
  <c r="M294" i="11"/>
  <c r="L295" i="11"/>
  <c r="M295" i="11"/>
  <c r="L296" i="11"/>
  <c r="M296" i="11"/>
  <c r="L297" i="11"/>
  <c r="M297" i="11"/>
  <c r="L298" i="11"/>
  <c r="M298" i="11"/>
  <c r="L299" i="11"/>
  <c r="M299" i="11"/>
  <c r="L300" i="11"/>
  <c r="M300" i="11"/>
  <c r="L301" i="11"/>
  <c r="M301" i="11"/>
  <c r="L302" i="11"/>
  <c r="M302" i="11"/>
  <c r="L303" i="11"/>
  <c r="M303" i="11"/>
  <c r="L304" i="11"/>
  <c r="M304" i="11"/>
  <c r="L305" i="11"/>
  <c r="M305" i="11"/>
  <c r="L306" i="11"/>
  <c r="M306" i="11"/>
  <c r="L307" i="11"/>
  <c r="M307" i="11"/>
  <c r="L308" i="11"/>
  <c r="M308" i="11"/>
  <c r="L309" i="11"/>
  <c r="M309" i="11"/>
  <c r="L310" i="11"/>
  <c r="M310" i="11"/>
  <c r="L311" i="11"/>
  <c r="M311" i="11"/>
  <c r="L312" i="11"/>
  <c r="M312" i="11"/>
  <c r="L313" i="11"/>
  <c r="M313" i="11"/>
  <c r="L314" i="11"/>
  <c r="M314" i="11"/>
  <c r="L315" i="11"/>
  <c r="M315" i="11"/>
  <c r="L316" i="11"/>
  <c r="M316" i="11"/>
  <c r="L317" i="11"/>
  <c r="M317" i="11"/>
  <c r="L318" i="11"/>
  <c r="M318" i="11"/>
  <c r="L319" i="11"/>
  <c r="M319" i="11"/>
  <c r="L320" i="11"/>
  <c r="M320" i="11"/>
  <c r="L321" i="11"/>
  <c r="M321" i="11"/>
  <c r="L322" i="11"/>
  <c r="M322" i="11"/>
  <c r="L323" i="11"/>
  <c r="M323" i="11"/>
  <c r="L324" i="11"/>
  <c r="M324" i="11"/>
  <c r="L325" i="11"/>
  <c r="M325" i="11"/>
  <c r="L326" i="11"/>
  <c r="M326" i="11"/>
  <c r="L327" i="11"/>
  <c r="M327" i="11"/>
  <c r="L328" i="11"/>
  <c r="M328" i="11"/>
  <c r="L329" i="11"/>
  <c r="M329" i="11"/>
  <c r="L330" i="11"/>
  <c r="M330" i="11"/>
  <c r="L331" i="11"/>
  <c r="M331" i="11"/>
  <c r="L332" i="11"/>
  <c r="M332" i="11"/>
  <c r="L333" i="11"/>
  <c r="M333" i="11"/>
  <c r="L334" i="11"/>
  <c r="M334" i="11"/>
  <c r="L335" i="11"/>
  <c r="M335" i="11"/>
  <c r="L336" i="11"/>
  <c r="M336" i="11"/>
  <c r="L337" i="11"/>
  <c r="M337" i="11"/>
  <c r="L338" i="11"/>
  <c r="M338" i="11"/>
  <c r="L339" i="11"/>
  <c r="M339" i="11"/>
  <c r="L340" i="11"/>
  <c r="M340" i="11"/>
  <c r="L341" i="11"/>
  <c r="M341" i="11"/>
  <c r="L342" i="11"/>
  <c r="M342" i="11"/>
  <c r="L343" i="11"/>
  <c r="M343" i="11"/>
  <c r="L344" i="11"/>
  <c r="M344" i="11"/>
  <c r="L345" i="11"/>
  <c r="M345" i="11"/>
  <c r="L346" i="11"/>
  <c r="M346" i="11"/>
  <c r="L347" i="11"/>
  <c r="M347" i="11"/>
  <c r="L348" i="11"/>
  <c r="M348" i="11"/>
  <c r="L349" i="11"/>
  <c r="M349" i="11"/>
  <c r="L350" i="11"/>
  <c r="M350" i="11"/>
  <c r="L351" i="11"/>
  <c r="M351" i="11"/>
  <c r="L352" i="11"/>
  <c r="M352" i="11"/>
  <c r="L353" i="11"/>
  <c r="M353" i="11"/>
  <c r="L354" i="11"/>
  <c r="M354" i="11"/>
  <c r="L355" i="11"/>
  <c r="M355" i="11"/>
  <c r="L356" i="11"/>
  <c r="M356" i="11"/>
  <c r="L357" i="11"/>
  <c r="M357" i="11"/>
  <c r="L358" i="11"/>
  <c r="M358" i="11"/>
  <c r="L359" i="11"/>
  <c r="M359" i="11"/>
  <c r="L360" i="11"/>
  <c r="M360" i="11"/>
  <c r="L361" i="11"/>
  <c r="M361" i="11"/>
  <c r="L362" i="11"/>
  <c r="M362" i="11"/>
  <c r="L363" i="11"/>
  <c r="M363" i="11"/>
  <c r="L364" i="11"/>
  <c r="M364" i="11"/>
  <c r="L365" i="11"/>
  <c r="M365" i="11"/>
  <c r="L366" i="11"/>
  <c r="M366" i="11"/>
  <c r="L367" i="11"/>
  <c r="M367" i="11"/>
  <c r="L368" i="11"/>
  <c r="M368" i="11"/>
  <c r="L369" i="11"/>
  <c r="M369" i="11"/>
  <c r="L370" i="11"/>
  <c r="M370" i="11"/>
  <c r="L371" i="11"/>
  <c r="M371" i="11"/>
  <c r="L372" i="11"/>
  <c r="M372" i="11"/>
  <c r="L373" i="11"/>
  <c r="M373" i="11"/>
  <c r="L374" i="11"/>
  <c r="M374" i="11"/>
  <c r="L375" i="11"/>
  <c r="M375" i="11"/>
  <c r="L376" i="11"/>
  <c r="M376" i="11"/>
  <c r="L377" i="11"/>
  <c r="M377" i="11"/>
  <c r="L378" i="11"/>
  <c r="M378" i="11"/>
  <c r="L379" i="11"/>
  <c r="M379" i="11"/>
  <c r="L380" i="11"/>
  <c r="M380" i="11"/>
  <c r="L381" i="11"/>
  <c r="M381" i="11"/>
  <c r="L382" i="11"/>
  <c r="M382" i="11"/>
  <c r="L383" i="11"/>
  <c r="M383" i="11"/>
  <c r="L384" i="11"/>
  <c r="M384" i="11"/>
  <c r="L385" i="11"/>
  <c r="M385" i="11"/>
  <c r="L386" i="11"/>
  <c r="M386" i="11"/>
  <c r="L387" i="11"/>
  <c r="M387" i="11"/>
  <c r="L388" i="11"/>
  <c r="M388" i="11"/>
  <c r="L389" i="11"/>
  <c r="M389" i="11"/>
  <c r="L390" i="11"/>
  <c r="M390" i="11"/>
  <c r="L391" i="11"/>
  <c r="M391" i="11"/>
  <c r="L392" i="11"/>
  <c r="M392" i="11"/>
  <c r="L393" i="11"/>
  <c r="M393" i="11"/>
  <c r="L394" i="11"/>
  <c r="M394" i="11"/>
  <c r="L395" i="11"/>
  <c r="M395" i="11"/>
  <c r="L396" i="11"/>
  <c r="M396" i="11"/>
  <c r="L397" i="11"/>
  <c r="M397" i="11"/>
  <c r="L398" i="11"/>
  <c r="M398" i="11"/>
  <c r="L399" i="11"/>
  <c r="M399" i="11"/>
  <c r="L400" i="11"/>
  <c r="M400" i="11"/>
  <c r="L401" i="11"/>
  <c r="M401" i="11"/>
  <c r="L402" i="11"/>
  <c r="M402" i="11"/>
  <c r="L403" i="11"/>
  <c r="M403" i="11"/>
  <c r="L404" i="11"/>
  <c r="M404" i="11"/>
  <c r="L405" i="11"/>
  <c r="M405" i="11"/>
  <c r="L406" i="11"/>
  <c r="M406" i="11"/>
  <c r="L407" i="11"/>
  <c r="M407" i="11"/>
  <c r="L408" i="11"/>
  <c r="M408" i="11"/>
  <c r="L409" i="11"/>
  <c r="M409" i="11"/>
  <c r="L410" i="11"/>
  <c r="M410" i="11"/>
  <c r="L411" i="11"/>
  <c r="M411" i="11"/>
  <c r="L412" i="11"/>
  <c r="M412" i="11"/>
  <c r="L413" i="11"/>
  <c r="M413" i="11"/>
  <c r="L414" i="11"/>
  <c r="M414" i="11"/>
  <c r="L415" i="11"/>
  <c r="M415" i="11"/>
  <c r="L416" i="11"/>
  <c r="M416" i="11"/>
  <c r="L417" i="11"/>
  <c r="M417" i="11"/>
  <c r="L418" i="11"/>
  <c r="M418" i="11"/>
  <c r="L419" i="11"/>
  <c r="M419" i="11"/>
  <c r="L420" i="11"/>
  <c r="M420" i="11"/>
  <c r="L421" i="11"/>
  <c r="M421" i="11"/>
  <c r="L422" i="11"/>
  <c r="M422" i="11"/>
  <c r="L423" i="11"/>
  <c r="M423" i="11"/>
  <c r="L424" i="11"/>
  <c r="M424" i="11"/>
  <c r="L425" i="11"/>
  <c r="M425" i="11"/>
  <c r="L426" i="11"/>
  <c r="M426" i="11"/>
  <c r="L427" i="11"/>
  <c r="M427" i="11"/>
  <c r="L428" i="11"/>
  <c r="M428" i="11"/>
  <c r="L429" i="11"/>
  <c r="M429" i="11"/>
  <c r="L430" i="11"/>
  <c r="M430" i="11"/>
  <c r="L431" i="11"/>
  <c r="M431" i="11"/>
  <c r="L432" i="11"/>
  <c r="M432" i="11"/>
  <c r="L433" i="11"/>
  <c r="M433" i="11"/>
  <c r="L434" i="11"/>
  <c r="M434" i="11"/>
  <c r="L435" i="11"/>
  <c r="M435" i="11"/>
  <c r="L436" i="11"/>
  <c r="M436" i="11"/>
  <c r="L437" i="11"/>
  <c r="M437" i="11"/>
  <c r="L438" i="11"/>
  <c r="M438" i="11"/>
  <c r="L439" i="11"/>
  <c r="M439" i="11"/>
  <c r="L440" i="11"/>
  <c r="M440" i="11"/>
  <c r="L441" i="11"/>
  <c r="M441" i="11"/>
  <c r="L442" i="11"/>
  <c r="M442" i="11"/>
  <c r="L443" i="11"/>
  <c r="M443" i="11"/>
  <c r="L444" i="11"/>
  <c r="M444" i="11"/>
  <c r="L445" i="11"/>
  <c r="M445" i="11"/>
  <c r="L455" i="11"/>
  <c r="M455" i="11"/>
  <c r="M218" i="11"/>
  <c r="L218" i="11"/>
  <c r="L767" i="11"/>
  <c r="M767" i="11"/>
  <c r="L768" i="11"/>
  <c r="M768" i="11"/>
  <c r="L769" i="11"/>
  <c r="M769" i="11"/>
  <c r="L770" i="11"/>
  <c r="M770" i="11"/>
  <c r="L771" i="11"/>
  <c r="M771" i="11"/>
  <c r="L772" i="11"/>
  <c r="M772" i="11"/>
  <c r="L773" i="11"/>
  <c r="M773" i="11"/>
  <c r="L774" i="11"/>
  <c r="M774" i="11"/>
  <c r="L775" i="11"/>
  <c r="M775" i="11"/>
  <c r="L776" i="11"/>
  <c r="M776" i="11"/>
  <c r="L777" i="11"/>
  <c r="M777" i="11"/>
  <c r="L778" i="11"/>
  <c r="M778" i="11"/>
  <c r="M766" i="11"/>
  <c r="L766" i="11"/>
  <c r="L192" i="11"/>
  <c r="M192" i="11"/>
  <c r="L193" i="11"/>
  <c r="M193" i="11"/>
  <c r="L194" i="11"/>
  <c r="M194" i="11"/>
  <c r="L195" i="11"/>
  <c r="M195" i="11"/>
  <c r="L196" i="11"/>
  <c r="M196" i="11"/>
  <c r="L197" i="11"/>
  <c r="M197" i="11"/>
  <c r="L198" i="11"/>
  <c r="M198" i="11"/>
  <c r="L199" i="11"/>
  <c r="M199" i="11"/>
  <c r="L200" i="11"/>
  <c r="M200" i="11"/>
  <c r="L201" i="11"/>
  <c r="M201" i="11"/>
  <c r="L202" i="11"/>
  <c r="M202" i="11"/>
  <c r="L203" i="11"/>
  <c r="M203" i="11"/>
  <c r="L204" i="11"/>
  <c r="M204" i="11"/>
  <c r="L208" i="11"/>
  <c r="M208" i="11"/>
  <c r="L209" i="11"/>
  <c r="M209" i="11"/>
  <c r="L210" i="11"/>
  <c r="M210" i="11"/>
  <c r="L211" i="11"/>
  <c r="M211" i="11"/>
  <c r="L212" i="11"/>
  <c r="M212" i="11"/>
  <c r="L213" i="11"/>
  <c r="M213" i="11"/>
  <c r="L214" i="11"/>
  <c r="M214" i="11"/>
  <c r="L215" i="11"/>
  <c r="M215" i="11"/>
  <c r="L216" i="11"/>
  <c r="M216" i="11"/>
  <c r="L217" i="11"/>
  <c r="M217" i="11"/>
  <c r="M191" i="11"/>
  <c r="L191" i="11"/>
  <c r="L682" i="11"/>
  <c r="M682" i="11"/>
  <c r="L693" i="11"/>
  <c r="M693" i="11"/>
  <c r="L694" i="11"/>
  <c r="M694" i="11"/>
  <c r="L695" i="11"/>
  <c r="M695" i="11"/>
  <c r="L696" i="11"/>
  <c r="M696" i="11"/>
  <c r="L697" i="11"/>
  <c r="M697" i="11"/>
  <c r="L698" i="11"/>
  <c r="M698" i="11"/>
  <c r="L699" i="11"/>
  <c r="M699" i="11"/>
  <c r="L700" i="11"/>
  <c r="M700" i="11"/>
  <c r="L701" i="11"/>
  <c r="M701" i="11"/>
  <c r="L702" i="11"/>
  <c r="M702" i="11"/>
  <c r="L703" i="11"/>
  <c r="M703" i="11"/>
  <c r="L704" i="11"/>
  <c r="M704" i="11"/>
  <c r="L705" i="11"/>
  <c r="M705" i="11"/>
  <c r="L706" i="11"/>
  <c r="M706" i="11"/>
  <c r="L707" i="11"/>
  <c r="M707" i="11"/>
  <c r="L708" i="11"/>
  <c r="M708" i="11"/>
  <c r="L709" i="11"/>
  <c r="M709" i="11"/>
  <c r="L710" i="11"/>
  <c r="M710" i="11"/>
  <c r="L711" i="11"/>
  <c r="M711" i="11"/>
  <c r="L712" i="11"/>
  <c r="M712" i="11"/>
  <c r="L713" i="11"/>
  <c r="M713" i="11"/>
  <c r="L714" i="11"/>
  <c r="M714" i="11"/>
  <c r="L715" i="11"/>
  <c r="M715" i="11"/>
  <c r="L716" i="11"/>
  <c r="M716" i="11"/>
  <c r="L717" i="11"/>
  <c r="M717" i="11"/>
  <c r="L718" i="11"/>
  <c r="M718" i="11"/>
  <c r="L719" i="11"/>
  <c r="M719" i="11"/>
  <c r="L720" i="11"/>
  <c r="M720" i="11"/>
  <c r="L721" i="11"/>
  <c r="M721" i="11"/>
  <c r="L722" i="11"/>
  <c r="M722" i="11"/>
  <c r="L723" i="11"/>
  <c r="M723" i="11"/>
  <c r="L724" i="11"/>
  <c r="M724" i="11"/>
  <c r="L725" i="11"/>
  <c r="M725" i="11"/>
  <c r="L726" i="11"/>
  <c r="M726" i="11"/>
  <c r="L727" i="11"/>
  <c r="M727" i="11"/>
  <c r="L728" i="11"/>
  <c r="M728" i="11"/>
  <c r="L729" i="11"/>
  <c r="M729" i="11"/>
  <c r="L730" i="11"/>
  <c r="M730" i="11"/>
  <c r="L731" i="11"/>
  <c r="M731" i="11"/>
  <c r="L732" i="11"/>
  <c r="M732" i="11"/>
  <c r="L733" i="11"/>
  <c r="M733" i="11"/>
  <c r="L734" i="11"/>
  <c r="M734" i="11"/>
  <c r="L735" i="11"/>
  <c r="M735" i="11"/>
  <c r="L736" i="11"/>
  <c r="M736" i="11"/>
  <c r="L737" i="11"/>
  <c r="M737" i="11"/>
  <c r="L738" i="11"/>
  <c r="M738" i="11"/>
  <c r="L739" i="11"/>
  <c r="M739" i="11"/>
  <c r="L740" i="11"/>
  <c r="M740" i="11"/>
  <c r="L741" i="11"/>
  <c r="M741" i="11"/>
  <c r="L742" i="11"/>
  <c r="M742" i="11"/>
  <c r="L743" i="11"/>
  <c r="M743" i="11"/>
  <c r="L744" i="11"/>
  <c r="M744" i="11"/>
  <c r="L745" i="11"/>
  <c r="M745" i="11"/>
  <c r="L746" i="11"/>
  <c r="M746" i="11"/>
  <c r="L747" i="11"/>
  <c r="M747" i="11"/>
  <c r="L748" i="11"/>
  <c r="M748" i="11"/>
  <c r="L749" i="11"/>
  <c r="M749" i="11"/>
  <c r="L750" i="11"/>
  <c r="M750" i="11"/>
  <c r="L751" i="11"/>
  <c r="M751" i="11"/>
  <c r="L752" i="11"/>
  <c r="M752" i="11"/>
  <c r="L753" i="11"/>
  <c r="M753" i="11"/>
  <c r="L754" i="11"/>
  <c r="M754" i="11"/>
  <c r="L755" i="11"/>
  <c r="M755" i="11"/>
  <c r="L756" i="11"/>
  <c r="M756" i="11"/>
  <c r="L757" i="11"/>
  <c r="M757" i="11"/>
  <c r="L758" i="11"/>
  <c r="M758" i="11"/>
  <c r="L759" i="11"/>
  <c r="M759" i="11"/>
  <c r="L760" i="11"/>
  <c r="M760" i="11"/>
  <c r="L761" i="11"/>
  <c r="M761" i="11"/>
  <c r="L762" i="11"/>
  <c r="M762" i="11"/>
  <c r="L763" i="11"/>
  <c r="M763" i="11"/>
  <c r="L764" i="11"/>
  <c r="M764" i="11"/>
  <c r="L765" i="11"/>
  <c r="M765" i="11"/>
  <c r="M681" i="11"/>
  <c r="L681" i="11"/>
  <c r="L166" i="11"/>
  <c r="M166" i="11"/>
  <c r="L167" i="11"/>
  <c r="M167" i="11"/>
  <c r="L168" i="11"/>
  <c r="M168" i="11"/>
  <c r="L169" i="11"/>
  <c r="M169" i="11"/>
  <c r="L170" i="11"/>
  <c r="M170" i="11"/>
  <c r="L171" i="11"/>
  <c r="M171" i="11"/>
  <c r="L172" i="11"/>
  <c r="M172" i="11"/>
  <c r="L173" i="11"/>
  <c r="M173" i="11"/>
  <c r="L174" i="11"/>
  <c r="M174" i="11"/>
  <c r="L175" i="11"/>
  <c r="M175" i="11"/>
  <c r="L176" i="11"/>
  <c r="M176" i="11"/>
  <c r="L177" i="11"/>
  <c r="M177" i="11"/>
  <c r="L178" i="11"/>
  <c r="M178" i="11"/>
  <c r="L179" i="11"/>
  <c r="M179" i="11"/>
  <c r="L180" i="11"/>
  <c r="M180" i="11"/>
  <c r="L181" i="11"/>
  <c r="M181" i="11"/>
  <c r="L182" i="11"/>
  <c r="M182" i="11"/>
  <c r="L183" i="11"/>
  <c r="M183" i="11"/>
  <c r="L184" i="11"/>
  <c r="M184" i="11"/>
  <c r="L185" i="11"/>
  <c r="M185" i="11"/>
  <c r="L186" i="11"/>
  <c r="M186" i="11"/>
  <c r="L187" i="11"/>
  <c r="M187" i="11"/>
  <c r="L188" i="11"/>
  <c r="M188" i="11"/>
  <c r="L189" i="11"/>
  <c r="M189" i="11"/>
  <c r="L190" i="11"/>
  <c r="M190" i="11"/>
  <c r="M165" i="11"/>
  <c r="L165" i="11"/>
  <c r="L670" i="11"/>
  <c r="M670" i="11"/>
  <c r="L671" i="11"/>
  <c r="M671" i="11"/>
  <c r="L672" i="11"/>
  <c r="M672" i="11"/>
  <c r="L673" i="11"/>
  <c r="M673" i="11"/>
  <c r="L674" i="11"/>
  <c r="M674" i="11"/>
  <c r="L675" i="11"/>
  <c r="M675" i="11"/>
  <c r="L676" i="11"/>
  <c r="M676" i="11"/>
  <c r="L677" i="11"/>
  <c r="M677" i="11"/>
  <c r="L678" i="11"/>
  <c r="M678" i="11"/>
  <c r="L679" i="11"/>
  <c r="M679" i="11"/>
  <c r="L680" i="11"/>
  <c r="M680" i="11"/>
  <c r="M669" i="11"/>
  <c r="L669" i="11"/>
  <c r="L138" i="11"/>
  <c r="M138" i="11"/>
  <c r="L139" i="11"/>
  <c r="M139" i="11"/>
  <c r="L140" i="11"/>
  <c r="M140" i="11"/>
  <c r="L141" i="11"/>
  <c r="M141" i="11"/>
  <c r="L142" i="11"/>
  <c r="M142" i="11"/>
  <c r="L143" i="11"/>
  <c r="M143" i="11"/>
  <c r="L144" i="11"/>
  <c r="M144" i="11"/>
  <c r="L145" i="11"/>
  <c r="M145" i="11"/>
  <c r="L155" i="11"/>
  <c r="M155" i="11"/>
  <c r="L156" i="11"/>
  <c r="M156" i="11"/>
  <c r="L157" i="11"/>
  <c r="M157" i="11"/>
  <c r="L158" i="11"/>
  <c r="M158" i="11"/>
  <c r="L159" i="11"/>
  <c r="M159" i="11"/>
  <c r="L160" i="11"/>
  <c r="M160" i="11"/>
  <c r="L161" i="11"/>
  <c r="M161" i="11"/>
  <c r="L162" i="11"/>
  <c r="M162" i="11"/>
  <c r="L163" i="11"/>
  <c r="M163" i="11"/>
  <c r="L164" i="11"/>
  <c r="M164" i="11"/>
  <c r="M137" i="11"/>
  <c r="L137" i="11"/>
  <c r="L626" i="11"/>
  <c r="M626" i="11"/>
  <c r="L627" i="11"/>
  <c r="M627" i="11"/>
  <c r="L628" i="11"/>
  <c r="M628" i="11"/>
  <c r="L629" i="11"/>
  <c r="M629" i="11"/>
  <c r="L630" i="11"/>
  <c r="M630" i="11"/>
  <c r="L631" i="11"/>
  <c r="M631" i="11"/>
  <c r="L632" i="11"/>
  <c r="M632" i="11"/>
  <c r="L639" i="11"/>
  <c r="Q639" i="11" s="1"/>
  <c r="V639" i="11" s="1"/>
  <c r="M639" i="11"/>
  <c r="L640" i="11"/>
  <c r="M640" i="11"/>
  <c r="L641" i="11"/>
  <c r="M641" i="11"/>
  <c r="L642" i="11"/>
  <c r="M642" i="11"/>
  <c r="L643" i="11"/>
  <c r="M643" i="11"/>
  <c r="L644" i="11"/>
  <c r="M644" i="11"/>
  <c r="L645" i="11"/>
  <c r="M645" i="11"/>
  <c r="L646" i="11"/>
  <c r="M646" i="11"/>
  <c r="L647" i="11"/>
  <c r="M647" i="11"/>
  <c r="L648" i="11"/>
  <c r="M648" i="11"/>
  <c r="L649" i="11"/>
  <c r="M649" i="11"/>
  <c r="L650" i="11"/>
  <c r="M650" i="11"/>
  <c r="L651" i="11"/>
  <c r="M651" i="11"/>
  <c r="L652" i="11"/>
  <c r="M652" i="11"/>
  <c r="L653" i="11"/>
  <c r="M653" i="11"/>
  <c r="L654" i="11"/>
  <c r="M654" i="11"/>
  <c r="L655" i="11"/>
  <c r="M655" i="11"/>
  <c r="L656" i="11"/>
  <c r="M656" i="11"/>
  <c r="L657" i="11"/>
  <c r="M657" i="11"/>
  <c r="L658" i="11"/>
  <c r="M658" i="11"/>
  <c r="L659" i="11"/>
  <c r="M659" i="11"/>
  <c r="L660" i="11"/>
  <c r="M660" i="11"/>
  <c r="L661" i="11"/>
  <c r="M661" i="11"/>
  <c r="L662" i="11"/>
  <c r="M662" i="11"/>
  <c r="L663" i="11"/>
  <c r="M663" i="11"/>
  <c r="L664" i="11"/>
  <c r="M664" i="11"/>
  <c r="L665" i="11"/>
  <c r="M665" i="11"/>
  <c r="L666" i="11"/>
  <c r="M666" i="11"/>
  <c r="L667" i="11"/>
  <c r="M667" i="11"/>
  <c r="L668" i="11"/>
  <c r="M668" i="11"/>
  <c r="M625" i="11"/>
  <c r="L625" i="11"/>
  <c r="L136" i="11"/>
  <c r="M113" i="11"/>
  <c r="M115" i="11"/>
  <c r="M114" i="11"/>
  <c r="M116" i="11"/>
  <c r="M117" i="11"/>
  <c r="M118" i="11"/>
  <c r="M119" i="11"/>
  <c r="M120" i="11"/>
  <c r="M121" i="11"/>
  <c r="M122" i="11"/>
  <c r="M123" i="11"/>
  <c r="M124" i="11"/>
  <c r="M125" i="11"/>
  <c r="M126" i="11"/>
  <c r="M127" i="11"/>
  <c r="M128" i="11"/>
  <c r="M129" i="11"/>
  <c r="M130" i="11"/>
  <c r="M131" i="11"/>
  <c r="M132" i="11"/>
  <c r="M133" i="11"/>
  <c r="M134" i="11"/>
  <c r="M135" i="11"/>
  <c r="M136" i="11"/>
  <c r="M112" i="11"/>
  <c r="L113" i="11"/>
  <c r="Q113" i="11" s="1"/>
  <c r="V113" i="11" s="1"/>
  <c r="L115" i="11"/>
  <c r="L114" i="11"/>
  <c r="L116" i="11"/>
  <c r="L117" i="11"/>
  <c r="L118" i="11"/>
  <c r="L119" i="11"/>
  <c r="L120" i="11"/>
  <c r="L121" i="11"/>
  <c r="L122" i="11"/>
  <c r="L123" i="11"/>
  <c r="L124" i="11"/>
  <c r="L125" i="11"/>
  <c r="L126" i="11"/>
  <c r="L127" i="11"/>
  <c r="L128" i="11"/>
  <c r="L129" i="11"/>
  <c r="L130" i="11"/>
  <c r="L131" i="11"/>
  <c r="L132" i="11"/>
  <c r="L133" i="11"/>
  <c r="L134" i="11"/>
  <c r="L135" i="11"/>
  <c r="L112" i="11"/>
  <c r="L71" i="11"/>
  <c r="L72" i="11"/>
  <c r="L73" i="11"/>
  <c r="L74" i="11"/>
  <c r="L75" i="11"/>
  <c r="L76" i="11"/>
  <c r="L77" i="11"/>
  <c r="L78" i="11"/>
  <c r="L79" i="11"/>
  <c r="L70" i="11"/>
  <c r="L61" i="11"/>
  <c r="M61" i="11"/>
  <c r="L62" i="11"/>
  <c r="M62" i="11"/>
  <c r="L63" i="11"/>
  <c r="M63" i="11"/>
  <c r="L64" i="11"/>
  <c r="M64" i="11"/>
  <c r="L65" i="11"/>
  <c r="M65" i="11"/>
  <c r="L66" i="11"/>
  <c r="M66" i="11"/>
  <c r="L67" i="11"/>
  <c r="M67" i="11"/>
  <c r="L68" i="11"/>
  <c r="M68" i="11"/>
  <c r="L69" i="11"/>
  <c r="M69" i="11"/>
  <c r="M60" i="11"/>
  <c r="L60" i="11"/>
  <c r="AF560" i="11"/>
  <c r="AD560" i="11"/>
  <c r="K560" i="11"/>
  <c r="BB560" i="11" s="1"/>
  <c r="J560" i="11"/>
  <c r="I560" i="11"/>
  <c r="H560" i="11"/>
  <c r="AF559" i="11"/>
  <c r="AD559" i="11"/>
  <c r="K559" i="11"/>
  <c r="BB559" i="11" s="1"/>
  <c r="J559" i="11"/>
  <c r="I559" i="11"/>
  <c r="H559" i="11"/>
  <c r="AX560" i="11"/>
  <c r="AL560" i="11"/>
  <c r="AN560" i="11" s="1"/>
  <c r="AI560" i="11"/>
  <c r="AK560" i="11" s="1"/>
  <c r="AX559" i="11"/>
  <c r="AL559" i="11"/>
  <c r="AN559" i="11" s="1"/>
  <c r="AI559" i="11"/>
  <c r="AK559" i="11" s="1"/>
  <c r="AF587" i="11"/>
  <c r="AD587" i="11"/>
  <c r="K587" i="11"/>
  <c r="BB587" i="11" s="1"/>
  <c r="AF586" i="11"/>
  <c r="AD586" i="11"/>
  <c r="K586" i="11"/>
  <c r="BB586" i="11" s="1"/>
  <c r="AF582" i="11"/>
  <c r="AD582" i="11"/>
  <c r="K582" i="11"/>
  <c r="BB582" i="11" s="1"/>
  <c r="J587" i="11"/>
  <c r="I587" i="11"/>
  <c r="H587" i="11"/>
  <c r="J586" i="11"/>
  <c r="I586" i="11"/>
  <c r="H586" i="11"/>
  <c r="J582" i="11"/>
  <c r="I582" i="11"/>
  <c r="H582" i="11"/>
  <c r="AX587" i="11"/>
  <c r="AL587" i="11"/>
  <c r="AN587" i="11" s="1"/>
  <c r="AI587" i="11"/>
  <c r="AK587" i="11" s="1"/>
  <c r="AX586" i="11"/>
  <c r="AL586" i="11"/>
  <c r="AM586" i="11" s="1"/>
  <c r="AI586" i="11"/>
  <c r="AK586" i="11" s="1"/>
  <c r="AX582" i="11"/>
  <c r="AL582" i="11"/>
  <c r="AN582" i="11" s="1"/>
  <c r="AI582" i="11"/>
  <c r="AK582" i="11" s="1"/>
  <c r="AF254" i="11"/>
  <c r="AD254" i="11"/>
  <c r="K254" i="11"/>
  <c r="BB254" i="11" s="1"/>
  <c r="AF253" i="11"/>
  <c r="AD253" i="11"/>
  <c r="K253" i="11"/>
  <c r="BB253" i="11" s="1"/>
  <c r="AF252" i="11"/>
  <c r="AD252" i="11"/>
  <c r="K252" i="11"/>
  <c r="J254" i="11"/>
  <c r="I254" i="11"/>
  <c r="H254" i="11"/>
  <c r="J253" i="11"/>
  <c r="I253" i="11"/>
  <c r="H253" i="11"/>
  <c r="J252" i="11"/>
  <c r="I252" i="11"/>
  <c r="H252" i="11"/>
  <c r="AX254" i="11"/>
  <c r="AL254" i="11"/>
  <c r="AM254" i="11" s="1"/>
  <c r="AI254" i="11"/>
  <c r="AK254" i="11" s="1"/>
  <c r="AX253" i="11"/>
  <c r="AL253" i="11"/>
  <c r="AN253" i="11" s="1"/>
  <c r="AI253" i="11"/>
  <c r="AK253" i="11" s="1"/>
  <c r="AZ252" i="11"/>
  <c r="AX252" i="11"/>
  <c r="U65" i="7"/>
  <c r="S65" i="7"/>
  <c r="U64" i="7"/>
  <c r="S64" i="7"/>
  <c r="U63" i="7"/>
  <c r="S63" i="7"/>
  <c r="Q62" i="11" l="1"/>
  <c r="BD495" i="11"/>
  <c r="BG495" i="11" s="1"/>
  <c r="BD1198" i="11"/>
  <c r="BG1198" i="11" s="1"/>
  <c r="BD582" i="11"/>
  <c r="BG582" i="11" s="1"/>
  <c r="BD601" i="11"/>
  <c r="BG601" i="11" s="1"/>
  <c r="BD602" i="11"/>
  <c r="BE602" i="11" s="1"/>
  <c r="BF602" i="11" s="1"/>
  <c r="BE598" i="11"/>
  <c r="BF598" i="11" s="1"/>
  <c r="BE599" i="11"/>
  <c r="BF599" i="11" s="1"/>
  <c r="BD603" i="11"/>
  <c r="BG603" i="11" s="1"/>
  <c r="BE604" i="11"/>
  <c r="BF604" i="11" s="1"/>
  <c r="BE605" i="11"/>
  <c r="BF605" i="11" s="1"/>
  <c r="BD600" i="11"/>
  <c r="BG600" i="11" s="1"/>
  <c r="BD559" i="11"/>
  <c r="BD560" i="11"/>
  <c r="BD252" i="11"/>
  <c r="BG252" i="11" s="1"/>
  <c r="AK601" i="11"/>
  <c r="Q67" i="11"/>
  <c r="AC559" i="11"/>
  <c r="AC598" i="11"/>
  <c r="AC253" i="11"/>
  <c r="AC603" i="11"/>
  <c r="AC582" i="11"/>
  <c r="AC600" i="11"/>
  <c r="AC560" i="11"/>
  <c r="AC254" i="11"/>
  <c r="AC605" i="11"/>
  <c r="AC586" i="11"/>
  <c r="AC252" i="11"/>
  <c r="AC495" i="11"/>
  <c r="AC587" i="11"/>
  <c r="AC602" i="11"/>
  <c r="O67" i="11"/>
  <c r="N67" i="11"/>
  <c r="N68" i="11"/>
  <c r="O68" i="11"/>
  <c r="Q66" i="11"/>
  <c r="Q65" i="11"/>
  <c r="O65" i="11"/>
  <c r="N65" i="11"/>
  <c r="Q64" i="11"/>
  <c r="O64" i="11"/>
  <c r="N64" i="11"/>
  <c r="O66" i="11"/>
  <c r="N66" i="11"/>
  <c r="Q63" i="11"/>
  <c r="N63" i="11"/>
  <c r="O63" i="11"/>
  <c r="O60" i="11"/>
  <c r="N60" i="11"/>
  <c r="Q60" i="11"/>
  <c r="O62" i="11"/>
  <c r="V62" i="11" s="1"/>
  <c r="N62" i="11"/>
  <c r="Q70" i="11"/>
  <c r="O70" i="11"/>
  <c r="Q69" i="11"/>
  <c r="Q61" i="11"/>
  <c r="AC1198" i="11"/>
  <c r="N69" i="11"/>
  <c r="O69" i="11"/>
  <c r="N61" i="11"/>
  <c r="O61" i="11"/>
  <c r="Q68" i="11"/>
  <c r="S605" i="11"/>
  <c r="T605" i="11" s="1"/>
  <c r="S602" i="11"/>
  <c r="W602" i="11" s="1"/>
  <c r="Y602" i="11" s="1"/>
  <c r="AM601" i="11"/>
  <c r="BE1198" i="11"/>
  <c r="BF1198" i="11" s="1"/>
  <c r="Q495" i="11"/>
  <c r="V495" i="11" s="1"/>
  <c r="Q598" i="11"/>
  <c r="V598" i="11" s="1"/>
  <c r="Q600" i="11"/>
  <c r="V600" i="11" s="1"/>
  <c r="S601" i="11"/>
  <c r="T601" i="11" s="1"/>
  <c r="BE495" i="11"/>
  <c r="BF495" i="11" s="1"/>
  <c r="Q603" i="11"/>
  <c r="V603" i="11" s="1"/>
  <c r="Q599" i="11"/>
  <c r="V599" i="11" s="1"/>
  <c r="Q604" i="11"/>
  <c r="V604" i="11" s="1"/>
  <c r="AK602" i="11"/>
  <c r="AK603" i="11"/>
  <c r="AN602" i="11"/>
  <c r="AN603" i="11"/>
  <c r="AJ587" i="11"/>
  <c r="AC601" i="11"/>
  <c r="AC599" i="11"/>
  <c r="AJ582" i="11"/>
  <c r="BD586" i="11"/>
  <c r="Q560" i="11"/>
  <c r="V560" i="11" s="1"/>
  <c r="Q559" i="11"/>
  <c r="V559" i="11" s="1"/>
  <c r="AM559" i="11"/>
  <c r="AJ560" i="11"/>
  <c r="AN586" i="11"/>
  <c r="AM560" i="11"/>
  <c r="BD587" i="11"/>
  <c r="AJ559" i="11"/>
  <c r="Q587" i="11"/>
  <c r="V587" i="11" s="1"/>
  <c r="Q586" i="11"/>
  <c r="V586" i="11" s="1"/>
  <c r="S582" i="11"/>
  <c r="W582" i="11" s="1"/>
  <c r="Y582" i="11" s="1"/>
  <c r="AM587" i="11"/>
  <c r="AM582" i="11"/>
  <c r="AJ586" i="11"/>
  <c r="AJ254" i="11"/>
  <c r="BD254" i="11"/>
  <c r="BD253" i="11"/>
  <c r="AM253" i="11"/>
  <c r="Q254" i="11"/>
  <c r="V254" i="11" s="1"/>
  <c r="S253" i="11"/>
  <c r="W253" i="11" s="1"/>
  <c r="Y253" i="11" s="1"/>
  <c r="Q252" i="11"/>
  <c r="V252" i="11" s="1"/>
  <c r="AN254" i="11"/>
  <c r="AJ253" i="11"/>
  <c r="U21" i="7"/>
  <c r="S21" i="7"/>
  <c r="U20" i="7"/>
  <c r="S20" i="7"/>
  <c r="L50" i="11"/>
  <c r="M50" i="11"/>
  <c r="L51" i="11"/>
  <c r="M51" i="11"/>
  <c r="L52" i="11"/>
  <c r="M52" i="11"/>
  <c r="L53" i="11"/>
  <c r="M53" i="11"/>
  <c r="L54" i="11"/>
  <c r="M54" i="11"/>
  <c r="L55" i="11"/>
  <c r="M55" i="11"/>
  <c r="L56" i="11"/>
  <c r="M56" i="11"/>
  <c r="L57" i="11"/>
  <c r="M57" i="11"/>
  <c r="L58" i="11"/>
  <c r="M58" i="11"/>
  <c r="L59" i="11"/>
  <c r="M59" i="11"/>
  <c r="M49" i="11"/>
  <c r="L49" i="11"/>
  <c r="BL982" i="11"/>
  <c r="AZ982" i="11"/>
  <c r="AF982" i="11"/>
  <c r="AD982" i="11"/>
  <c r="S982" i="11"/>
  <c r="K982" i="11"/>
  <c r="BL942" i="11"/>
  <c r="BL943" i="11"/>
  <c r="AZ942" i="11"/>
  <c r="AX942" i="11"/>
  <c r="AF942" i="11"/>
  <c r="AD942" i="11"/>
  <c r="S942" i="11"/>
  <c r="K942" i="11"/>
  <c r="BL934" i="11"/>
  <c r="BL935" i="11"/>
  <c r="AZ935" i="11"/>
  <c r="AX935" i="11"/>
  <c r="AF935" i="11"/>
  <c r="AD935" i="11"/>
  <c r="S935" i="11"/>
  <c r="K935" i="11"/>
  <c r="AI935" i="11"/>
  <c r="AK935" i="11" s="1"/>
  <c r="AL935" i="11"/>
  <c r="AN935" i="11" s="1"/>
  <c r="AV935" i="11"/>
  <c r="AZ784" i="11"/>
  <c r="AF885" i="11"/>
  <c r="AD885" i="11"/>
  <c r="S885" i="11"/>
  <c r="K885" i="11"/>
  <c r="AZ885" i="11"/>
  <c r="AV942" i="11"/>
  <c r="AL942" i="11"/>
  <c r="AN942" i="11" s="1"/>
  <c r="AI942" i="11"/>
  <c r="AK942" i="11" s="1"/>
  <c r="J942" i="11"/>
  <c r="I942" i="11"/>
  <c r="H942" i="11"/>
  <c r="J935" i="11"/>
  <c r="I935" i="11"/>
  <c r="H935" i="11"/>
  <c r="AX982" i="11"/>
  <c r="AV982" i="11"/>
  <c r="AL982" i="11"/>
  <c r="AN982" i="11" s="1"/>
  <c r="AI982" i="11"/>
  <c r="AK982" i="11" s="1"/>
  <c r="J982" i="11"/>
  <c r="I982" i="11"/>
  <c r="H982" i="11"/>
  <c r="AX885" i="11"/>
  <c r="J885" i="11"/>
  <c r="I885" i="11"/>
  <c r="H885" i="11"/>
  <c r="H1256" i="11"/>
  <c r="I1256" i="11"/>
  <c r="J1256" i="11"/>
  <c r="K1256" i="11"/>
  <c r="W1256" i="11" s="1"/>
  <c r="Y1256" i="11" s="1"/>
  <c r="AD1256" i="11"/>
  <c r="AE1256" i="11"/>
  <c r="AF1256" i="11"/>
  <c r="BD1256" i="11"/>
  <c r="H1257" i="11"/>
  <c r="I1257" i="11"/>
  <c r="J1257" i="11"/>
  <c r="K1257" i="11"/>
  <c r="W1257" i="11" s="1"/>
  <c r="Y1257" i="11" s="1"/>
  <c r="AE1257" i="11"/>
  <c r="AF1257" i="11"/>
  <c r="BD1257" i="11"/>
  <c r="H1258" i="11"/>
  <c r="I1258" i="11"/>
  <c r="J1258" i="11"/>
  <c r="K1258" i="11"/>
  <c r="W1258" i="11" s="1"/>
  <c r="Y1258" i="11" s="1"/>
  <c r="AE1258" i="11"/>
  <c r="AF1258" i="11"/>
  <c r="BD1258" i="11"/>
  <c r="H1259" i="11"/>
  <c r="I1259" i="11"/>
  <c r="J1259" i="11"/>
  <c r="K1259" i="11"/>
  <c r="W1259" i="11" s="1"/>
  <c r="Y1259" i="11" s="1"/>
  <c r="AE1259" i="11"/>
  <c r="AF1259" i="11"/>
  <c r="BD1259" i="11"/>
  <c r="H1260" i="11"/>
  <c r="I1260" i="11"/>
  <c r="J1260" i="11"/>
  <c r="K1260" i="11"/>
  <c r="W1260" i="11" s="1"/>
  <c r="Y1260" i="11" s="1"/>
  <c r="AE1260" i="11"/>
  <c r="AF1260" i="11"/>
  <c r="BD1260" i="11"/>
  <c r="H1261" i="11"/>
  <c r="I1261" i="11"/>
  <c r="J1261" i="11"/>
  <c r="K1261" i="11"/>
  <c r="W1261" i="11" s="1"/>
  <c r="Y1261" i="11" s="1"/>
  <c r="AE1261" i="11"/>
  <c r="AF1261" i="11"/>
  <c r="BD1261" i="11"/>
  <c r="H1262" i="11"/>
  <c r="I1262" i="11"/>
  <c r="J1262" i="11"/>
  <c r="K1262" i="11"/>
  <c r="W1262" i="11" s="1"/>
  <c r="Y1262" i="11" s="1"/>
  <c r="AE1262" i="11"/>
  <c r="AF1262" i="11"/>
  <c r="BD1262" i="11"/>
  <c r="H1263" i="11"/>
  <c r="I1263" i="11"/>
  <c r="J1263" i="11"/>
  <c r="K1263" i="11"/>
  <c r="W1263" i="11" s="1"/>
  <c r="Y1263" i="11" s="1"/>
  <c r="AE1263" i="11"/>
  <c r="AF1263" i="11"/>
  <c r="BD1263" i="11"/>
  <c r="H1264" i="11"/>
  <c r="I1264" i="11"/>
  <c r="J1264" i="11"/>
  <c r="K1264" i="11"/>
  <c r="W1264" i="11" s="1"/>
  <c r="Y1264" i="11" s="1"/>
  <c r="AE1264" i="11"/>
  <c r="AF1264" i="11"/>
  <c r="BD1264" i="11"/>
  <c r="H1265" i="11"/>
  <c r="I1265" i="11"/>
  <c r="J1265" i="11"/>
  <c r="K1265" i="11"/>
  <c r="W1265" i="11" s="1"/>
  <c r="Y1265" i="11" s="1"/>
  <c r="AE1265" i="11"/>
  <c r="AF1265" i="11"/>
  <c r="BD1265" i="11"/>
  <c r="H1266" i="11"/>
  <c r="I1266" i="11"/>
  <c r="J1266" i="11"/>
  <c r="K1266" i="11"/>
  <c r="W1266" i="11" s="1"/>
  <c r="Y1266" i="11" s="1"/>
  <c r="AE1266" i="11"/>
  <c r="AF1266" i="11"/>
  <c r="BD1266" i="11"/>
  <c r="H1267" i="11"/>
  <c r="I1267" i="11"/>
  <c r="J1267" i="11"/>
  <c r="K1267" i="11"/>
  <c r="W1267" i="11" s="1"/>
  <c r="Y1267" i="11" s="1"/>
  <c r="AE1267" i="11"/>
  <c r="AF1267" i="11"/>
  <c r="BD1267" i="11"/>
  <c r="H1268" i="11"/>
  <c r="I1268" i="11"/>
  <c r="J1268" i="11"/>
  <c r="K1268" i="11"/>
  <c r="W1268" i="11" s="1"/>
  <c r="Y1268" i="11" s="1"/>
  <c r="AE1268" i="11"/>
  <c r="AF1268" i="11"/>
  <c r="BD1268" i="11"/>
  <c r="H1269" i="11"/>
  <c r="I1269" i="11"/>
  <c r="J1269" i="11"/>
  <c r="K1269" i="11"/>
  <c r="W1269" i="11" s="1"/>
  <c r="Y1269" i="11" s="1"/>
  <c r="AE1269" i="11"/>
  <c r="AF1269" i="11"/>
  <c r="BD1269" i="11"/>
  <c r="H1270" i="11"/>
  <c r="I1270" i="11"/>
  <c r="J1270" i="11"/>
  <c r="K1270" i="11"/>
  <c r="W1270" i="11" s="1"/>
  <c r="Y1270" i="11" s="1"/>
  <c r="AE1270" i="11"/>
  <c r="AF1270" i="11"/>
  <c r="BD1270" i="11"/>
  <c r="H1271" i="11"/>
  <c r="I1271" i="11"/>
  <c r="J1271" i="11"/>
  <c r="K1271" i="11"/>
  <c r="W1271" i="11" s="1"/>
  <c r="Y1271" i="11" s="1"/>
  <c r="AE1271" i="11"/>
  <c r="AF1271" i="11"/>
  <c r="BD1271" i="11"/>
  <c r="H1272" i="11"/>
  <c r="I1272" i="11"/>
  <c r="J1272" i="11"/>
  <c r="K1272" i="11"/>
  <c r="Y1272" i="11" s="1"/>
  <c r="AE1272" i="11"/>
  <c r="AF1272" i="11"/>
  <c r="BD1272" i="11"/>
  <c r="H1273" i="11"/>
  <c r="I1273" i="11"/>
  <c r="J1273" i="11"/>
  <c r="K1273" i="11"/>
  <c r="W1273" i="11" s="1"/>
  <c r="Y1273" i="11" s="1"/>
  <c r="AE1273" i="11"/>
  <c r="AF1273" i="11"/>
  <c r="BD1273" i="11"/>
  <c r="H1274" i="11"/>
  <c r="I1274" i="11"/>
  <c r="J1274" i="11"/>
  <c r="K1274" i="11"/>
  <c r="W1274" i="11" s="1"/>
  <c r="Y1274" i="11" s="1"/>
  <c r="AE1274" i="11"/>
  <c r="AF1274" i="11"/>
  <c r="BD1274" i="11"/>
  <c r="H1275" i="11"/>
  <c r="I1275" i="11"/>
  <c r="J1275" i="11"/>
  <c r="K1275" i="11"/>
  <c r="W1275" i="11" s="1"/>
  <c r="Y1275" i="11" s="1"/>
  <c r="AE1275" i="11"/>
  <c r="AF1275" i="11"/>
  <c r="BD1275" i="11"/>
  <c r="H1276" i="11"/>
  <c r="I1276" i="11"/>
  <c r="J1276" i="11"/>
  <c r="K1276" i="11"/>
  <c r="W1276" i="11" s="1"/>
  <c r="Y1276" i="11" s="1"/>
  <c r="AE1276" i="11"/>
  <c r="AF1276" i="11"/>
  <c r="BD1276" i="11"/>
  <c r="BG602" i="11" l="1"/>
  <c r="BE582" i="11"/>
  <c r="BF582" i="11" s="1"/>
  <c r="BE600" i="11"/>
  <c r="BF600" i="11" s="1"/>
  <c r="BE252" i="11"/>
  <c r="BF252" i="11" s="1"/>
  <c r="BE603" i="11"/>
  <c r="BF603" i="11" s="1"/>
  <c r="BE885" i="11"/>
  <c r="BF885" i="11" s="1"/>
  <c r="V67" i="11"/>
  <c r="BE601" i="11"/>
  <c r="BF601" i="11" s="1"/>
  <c r="V69" i="11"/>
  <c r="BG1262" i="11"/>
  <c r="BE1262" i="11"/>
  <c r="BF1262" i="11" s="1"/>
  <c r="BG1271" i="11"/>
  <c r="BE1271" i="11"/>
  <c r="BF1271" i="11" s="1"/>
  <c r="BG1264" i="11"/>
  <c r="BE1264" i="11"/>
  <c r="BF1264" i="11" s="1"/>
  <c r="BG1257" i="11"/>
  <c r="BE1257" i="11"/>
  <c r="BF1257" i="11" s="1"/>
  <c r="BG1273" i="11"/>
  <c r="BE1273" i="11"/>
  <c r="BF1273" i="11" s="1"/>
  <c r="BG1266" i="11"/>
  <c r="BE1266" i="11"/>
  <c r="BF1266" i="11" s="1"/>
  <c r="BG1275" i="11"/>
  <c r="BE1275" i="11"/>
  <c r="BF1275" i="11" s="1"/>
  <c r="BG1259" i="11"/>
  <c r="BE1259" i="11"/>
  <c r="BF1259" i="11" s="1"/>
  <c r="BG1268" i="11"/>
  <c r="BE1268" i="11"/>
  <c r="BF1268" i="11" s="1"/>
  <c r="BE1261" i="11"/>
  <c r="BF1261" i="11" s="1"/>
  <c r="BG1261" i="11"/>
  <c r="BE1270" i="11"/>
  <c r="BF1270" i="11" s="1"/>
  <c r="BG1270" i="11"/>
  <c r="BG1263" i="11"/>
  <c r="BE1263" i="11"/>
  <c r="BF1263" i="11" s="1"/>
  <c r="BG1272" i="11"/>
  <c r="BE1272" i="11"/>
  <c r="BF1272" i="11" s="1"/>
  <c r="BG1256" i="11"/>
  <c r="BE1256" i="11"/>
  <c r="BF1256" i="11" s="1"/>
  <c r="BG1265" i="11"/>
  <c r="BE1265" i="11"/>
  <c r="BF1265" i="11" s="1"/>
  <c r="BE1274" i="11"/>
  <c r="BF1274" i="11" s="1"/>
  <c r="BG1274" i="11"/>
  <c r="BG1258" i="11"/>
  <c r="BE1258" i="11"/>
  <c r="BF1258" i="11" s="1"/>
  <c r="BE1267" i="11"/>
  <c r="BF1267" i="11" s="1"/>
  <c r="BG1267" i="11"/>
  <c r="BG1269" i="11"/>
  <c r="BE1269" i="11"/>
  <c r="BF1269" i="11" s="1"/>
  <c r="BE1276" i="11"/>
  <c r="BF1276" i="11" s="1"/>
  <c r="BG1276" i="11"/>
  <c r="BG1260" i="11"/>
  <c r="BE1260" i="11"/>
  <c r="BF1260" i="11" s="1"/>
  <c r="V61" i="11"/>
  <c r="V63" i="11"/>
  <c r="P56" i="11"/>
  <c r="V66" i="11"/>
  <c r="V60" i="11"/>
  <c r="W601" i="11"/>
  <c r="Y601" i="11" s="1"/>
  <c r="AC982" i="11"/>
  <c r="U61" i="11"/>
  <c r="U66" i="11"/>
  <c r="AC942" i="11"/>
  <c r="U69" i="11"/>
  <c r="U64" i="11"/>
  <c r="W586" i="11"/>
  <c r="Y586" i="11" s="1"/>
  <c r="W599" i="11"/>
  <c r="Y599" i="11" s="1"/>
  <c r="U63" i="11"/>
  <c r="V64" i="11"/>
  <c r="W603" i="11"/>
  <c r="Y603" i="11" s="1"/>
  <c r="W605" i="11"/>
  <c r="Y605" i="11" s="1"/>
  <c r="AC885" i="11"/>
  <c r="U65" i="11"/>
  <c r="AC935" i="11"/>
  <c r="V70" i="11"/>
  <c r="U70" i="11"/>
  <c r="V65" i="11"/>
  <c r="W254" i="11"/>
  <c r="Y254" i="11" s="1"/>
  <c r="W587" i="11"/>
  <c r="Y587" i="11" s="1"/>
  <c r="U62" i="11"/>
  <c r="W604" i="11"/>
  <c r="Y604" i="11" s="1"/>
  <c r="V68" i="11"/>
  <c r="W495" i="11"/>
  <c r="Y495" i="11" s="1"/>
  <c r="W560" i="11"/>
  <c r="Y560" i="11" s="1"/>
  <c r="W598" i="11"/>
  <c r="Y598" i="11" s="1"/>
  <c r="U68" i="11"/>
  <c r="U60" i="11"/>
  <c r="U67" i="11"/>
  <c r="W559" i="11"/>
  <c r="Y559" i="11" s="1"/>
  <c r="W252" i="11"/>
  <c r="Y252" i="11" s="1"/>
  <c r="W600" i="11"/>
  <c r="Y600" i="11" s="1"/>
  <c r="P55" i="11"/>
  <c r="T602" i="11"/>
  <c r="AC1273" i="11"/>
  <c r="AC1257" i="11"/>
  <c r="P52" i="11"/>
  <c r="AC1268" i="11"/>
  <c r="AC1266" i="11"/>
  <c r="AC1261" i="11"/>
  <c r="AC1270" i="11"/>
  <c r="AC1275" i="11"/>
  <c r="AC1263" i="11"/>
  <c r="P57" i="11"/>
  <c r="AC1272" i="11"/>
  <c r="AC1265" i="11"/>
  <c r="AC1256" i="11"/>
  <c r="AC1259" i="11"/>
  <c r="AC1274" i="11"/>
  <c r="AC1258" i="11"/>
  <c r="AC1276" i="11"/>
  <c r="AC1260" i="11"/>
  <c r="AC1269" i="11"/>
  <c r="AC1264" i="11"/>
  <c r="AC1267" i="11"/>
  <c r="AC1262" i="11"/>
  <c r="AC1271" i="11"/>
  <c r="P53" i="11"/>
  <c r="P58" i="11"/>
  <c r="P50" i="11"/>
  <c r="O58" i="11"/>
  <c r="N58" i="11"/>
  <c r="O50" i="11"/>
  <c r="N50" i="11"/>
  <c r="O57" i="11"/>
  <c r="N57" i="11"/>
  <c r="O59" i="11"/>
  <c r="N59" i="11"/>
  <c r="O56" i="11"/>
  <c r="N56" i="11"/>
  <c r="N51" i="11"/>
  <c r="O51" i="11"/>
  <c r="O55" i="11"/>
  <c r="N55" i="11"/>
  <c r="P54" i="11"/>
  <c r="O54" i="11"/>
  <c r="N54" i="11"/>
  <c r="O53" i="11"/>
  <c r="N53" i="11"/>
  <c r="O49" i="11"/>
  <c r="N49" i="11"/>
  <c r="P49" i="11"/>
  <c r="O52" i="11"/>
  <c r="N52" i="11"/>
  <c r="T60" i="11"/>
  <c r="P59" i="11"/>
  <c r="P51" i="11"/>
  <c r="T600" i="11"/>
  <c r="T598" i="11"/>
  <c r="T603" i="11"/>
  <c r="T495" i="11"/>
  <c r="T604" i="11"/>
  <c r="T599" i="11"/>
  <c r="T560" i="11"/>
  <c r="T559" i="11"/>
  <c r="BG560" i="11"/>
  <c r="BE560" i="11"/>
  <c r="BF560" i="11" s="1"/>
  <c r="BG559" i="11"/>
  <c r="BE559" i="11"/>
  <c r="BF559" i="11" s="1"/>
  <c r="T587" i="11"/>
  <c r="T586" i="11"/>
  <c r="T582" i="11"/>
  <c r="BG587" i="11"/>
  <c r="BE587" i="11"/>
  <c r="BF587" i="11" s="1"/>
  <c r="BG586" i="11"/>
  <c r="BE586" i="11"/>
  <c r="BF586" i="11" s="1"/>
  <c r="T254" i="11"/>
  <c r="T253" i="11"/>
  <c r="T252" i="11"/>
  <c r="BG254" i="11"/>
  <c r="BE254" i="11"/>
  <c r="BF254" i="11" s="1"/>
  <c r="BG253" i="11"/>
  <c r="BE253" i="11"/>
  <c r="BF253" i="11" s="1"/>
  <c r="Q982" i="11"/>
  <c r="V982" i="11" s="1"/>
  <c r="Q942" i="11"/>
  <c r="V942" i="11" s="1"/>
  <c r="Q935" i="11"/>
  <c r="V935" i="11" s="1"/>
  <c r="Q885" i="11"/>
  <c r="V885" i="11" s="1"/>
  <c r="V54" i="11" l="1"/>
  <c r="V57" i="11"/>
  <c r="V53" i="11"/>
  <c r="V56" i="11"/>
  <c r="V52" i="11"/>
  <c r="V55" i="11"/>
  <c r="W942" i="11"/>
  <c r="Y942" i="11" s="1"/>
  <c r="V50" i="11"/>
  <c r="V58" i="11"/>
  <c r="W885" i="11"/>
  <c r="Y885" i="11" s="1"/>
  <c r="V51" i="11"/>
  <c r="U59" i="11"/>
  <c r="V59" i="11"/>
  <c r="V49" i="11"/>
  <c r="U50" i="11"/>
  <c r="U52" i="11"/>
  <c r="U57" i="11"/>
  <c r="U58" i="11"/>
  <c r="U56" i="11"/>
  <c r="U53" i="11"/>
  <c r="U55" i="11"/>
  <c r="U49" i="11"/>
  <c r="W935" i="11"/>
  <c r="Y935" i="11" s="1"/>
  <c r="W982" i="11"/>
  <c r="Y982" i="11" s="1"/>
  <c r="U54" i="11"/>
  <c r="U51" i="11"/>
  <c r="T51" i="11"/>
  <c r="T56" i="11"/>
  <c r="T52" i="11"/>
  <c r="T59" i="11"/>
  <c r="T55" i="11"/>
  <c r="T57" i="11"/>
  <c r="T49" i="11"/>
  <c r="T50" i="11"/>
  <c r="T53" i="11"/>
  <c r="T58" i="11"/>
  <c r="T54" i="11"/>
  <c r="T982" i="11"/>
  <c r="T942" i="11"/>
  <c r="T935" i="11"/>
  <c r="T885" i="11"/>
  <c r="E16" i="7" l="1"/>
  <c r="E17" i="7"/>
  <c r="E18" i="7"/>
  <c r="E19" i="7"/>
  <c r="E20" i="7"/>
  <c r="E21" i="7"/>
  <c r="E22" i="7"/>
  <c r="E23" i="7"/>
  <c r="E61" i="7"/>
  <c r="E62" i="7"/>
  <c r="E63" i="7"/>
  <c r="E64" i="7"/>
  <c r="E65" i="7"/>
  <c r="E40" i="7"/>
  <c r="E41" i="7"/>
  <c r="E49" i="7"/>
  <c r="E50" i="7"/>
  <c r="E54" i="7"/>
  <c r="E55" i="7"/>
  <c r="E56" i="7"/>
  <c r="E57" i="7"/>
  <c r="E58" i="7"/>
  <c r="E59" i="7"/>
  <c r="E24" i="7"/>
  <c r="E25" i="7"/>
  <c r="E26" i="7"/>
  <c r="E27" i="7"/>
  <c r="E51" i="7"/>
  <c r="E52" i="7"/>
  <c r="E53" i="7"/>
  <c r="E29" i="7"/>
  <c r="E42" i="7"/>
  <c r="E30" i="7"/>
  <c r="E43" i="7"/>
  <c r="E31" i="7"/>
  <c r="E44" i="7"/>
  <c r="E32" i="7"/>
  <c r="E45" i="7"/>
  <c r="E33" i="7"/>
  <c r="E34" i="7"/>
  <c r="E46" i="7"/>
  <c r="E47" i="7"/>
  <c r="E35" i="7"/>
  <c r="E36" i="7"/>
  <c r="E48" i="7"/>
  <c r="E37" i="7"/>
  <c r="E38" i="7"/>
  <c r="E39" i="7"/>
  <c r="E15" i="7"/>
  <c r="U52" i="7" l="1"/>
  <c r="S52" i="7"/>
  <c r="U51" i="7"/>
  <c r="S51" i="7"/>
  <c r="U27" i="7"/>
  <c r="S27" i="7"/>
  <c r="U26" i="7"/>
  <c r="S26" i="7"/>
  <c r="U25" i="7"/>
  <c r="S25" i="7"/>
  <c r="U24" i="7"/>
  <c r="S24" i="7"/>
  <c r="U57" i="7"/>
  <c r="S57" i="7"/>
  <c r="U56" i="7"/>
  <c r="S56" i="7"/>
  <c r="U55" i="7"/>
  <c r="S55" i="7"/>
  <c r="U54" i="7"/>
  <c r="S54" i="7"/>
  <c r="AE1206" i="11" l="1"/>
  <c r="AE1211" i="11"/>
  <c r="AE1205" i="11"/>
  <c r="AE1210" i="11"/>
  <c r="AE1204" i="11"/>
  <c r="AE1209" i="11"/>
  <c r="AE1203" i="11"/>
  <c r="AE1208" i="11"/>
  <c r="AE1202" i="11"/>
  <c r="AE1207" i="11"/>
  <c r="BM1138" i="11"/>
  <c r="L39" i="11"/>
  <c r="L40" i="11"/>
  <c r="L41" i="11"/>
  <c r="L42" i="11"/>
  <c r="L43" i="11"/>
  <c r="L44" i="11"/>
  <c r="L45" i="11"/>
  <c r="L46" i="11"/>
  <c r="L47" i="11"/>
  <c r="L48" i="11"/>
  <c r="L38" i="11"/>
  <c r="L34" i="11"/>
  <c r="M34" i="11"/>
  <c r="L35" i="11"/>
  <c r="M35" i="11"/>
  <c r="L36" i="11"/>
  <c r="M36" i="11"/>
  <c r="L37" i="11"/>
  <c r="M37" i="11"/>
  <c r="M33" i="11"/>
  <c r="L33" i="11"/>
  <c r="M32" i="11"/>
  <c r="L32" i="11"/>
  <c r="L31" i="11"/>
  <c r="M31" i="11"/>
  <c r="M30" i="11"/>
  <c r="L30" i="11"/>
  <c r="L26" i="11"/>
  <c r="M26" i="11"/>
  <c r="L27" i="11"/>
  <c r="M27" i="11"/>
  <c r="L28" i="11"/>
  <c r="M28" i="11"/>
  <c r="L29" i="11"/>
  <c r="M29" i="11"/>
  <c r="M25" i="11"/>
  <c r="L25" i="11"/>
  <c r="L4" i="11"/>
  <c r="M4" i="11"/>
  <c r="L5" i="11"/>
  <c r="M5" i="11"/>
  <c r="L6" i="11"/>
  <c r="M6" i="11"/>
  <c r="L7" i="11"/>
  <c r="M7" i="11"/>
  <c r="L8" i="11"/>
  <c r="M8" i="11"/>
  <c r="L9" i="11"/>
  <c r="M9" i="11"/>
  <c r="L10" i="11"/>
  <c r="M10" i="11"/>
  <c r="L11" i="11"/>
  <c r="M11" i="11"/>
  <c r="L12" i="11"/>
  <c r="M12" i="11"/>
  <c r="L13" i="11"/>
  <c r="M13" i="11"/>
  <c r="L14" i="11"/>
  <c r="M14" i="11"/>
  <c r="L15" i="11"/>
  <c r="M15" i="11"/>
  <c r="L16" i="11"/>
  <c r="M16" i="11"/>
  <c r="L17" i="11"/>
  <c r="M17" i="11"/>
  <c r="L18" i="11"/>
  <c r="M18" i="11"/>
  <c r="L19" i="11"/>
  <c r="M19" i="11"/>
  <c r="L20" i="11"/>
  <c r="M20" i="11"/>
  <c r="L21" i="11"/>
  <c r="M21" i="11"/>
  <c r="L22" i="11"/>
  <c r="M22" i="11"/>
  <c r="L23" i="11"/>
  <c r="M23" i="11"/>
  <c r="L24" i="11"/>
  <c r="M24" i="11"/>
  <c r="M3" i="11"/>
  <c r="L3" i="11"/>
  <c r="U18" i="7"/>
  <c r="S18" i="7"/>
  <c r="U17" i="7"/>
  <c r="S17" i="7"/>
  <c r="U37" i="7"/>
  <c r="S37" i="7"/>
  <c r="S573" i="11"/>
  <c r="S574" i="11"/>
  <c r="S575" i="11"/>
  <c r="S576" i="11"/>
  <c r="S577" i="11"/>
  <c r="S578" i="11"/>
  <c r="S579" i="11"/>
  <c r="S580" i="11"/>
  <c r="S581" i="11"/>
  <c r="S588" i="11"/>
  <c r="S589" i="11"/>
  <c r="S590" i="11"/>
  <c r="Q591" i="11"/>
  <c r="V591" i="11" s="1"/>
  <c r="S592" i="11"/>
  <c r="S593" i="11"/>
  <c r="S594" i="11"/>
  <c r="S595" i="11"/>
  <c r="S596" i="11"/>
  <c r="S597" i="11"/>
  <c r="S572" i="11"/>
  <c r="S1071" i="11"/>
  <c r="S1072" i="11"/>
  <c r="S1073" i="11"/>
  <c r="S1074" i="11"/>
  <c r="S1075" i="11"/>
  <c r="S1076" i="11"/>
  <c r="Q1077" i="11"/>
  <c r="V1077" i="11" s="1"/>
  <c r="S1078" i="11"/>
  <c r="S1079" i="11"/>
  <c r="S1080" i="11"/>
  <c r="S1081" i="11"/>
  <c r="S1083" i="11"/>
  <c r="S1084" i="11"/>
  <c r="S1085" i="11"/>
  <c r="S1070" i="11"/>
  <c r="U48" i="7"/>
  <c r="S48" i="7"/>
  <c r="U36" i="7"/>
  <c r="S36" i="7"/>
  <c r="Q551" i="11"/>
  <c r="V551" i="11" s="1"/>
  <c r="S552" i="11"/>
  <c r="S553" i="11"/>
  <c r="S554" i="11"/>
  <c r="S555" i="11"/>
  <c r="S556" i="11"/>
  <c r="S557" i="11"/>
  <c r="S558" i="11"/>
  <c r="S562" i="11"/>
  <c r="S563" i="11"/>
  <c r="S564" i="11"/>
  <c r="S565" i="11"/>
  <c r="S566" i="11"/>
  <c r="S567" i="11"/>
  <c r="S568" i="11"/>
  <c r="Q569" i="11"/>
  <c r="V569" i="11" s="1"/>
  <c r="S570" i="11"/>
  <c r="S571" i="11"/>
  <c r="S540" i="11"/>
  <c r="U35" i="7"/>
  <c r="S35" i="7"/>
  <c r="Q539" i="11"/>
  <c r="V539" i="11" s="1"/>
  <c r="S538" i="11"/>
  <c r="S536" i="11"/>
  <c r="Q535" i="11"/>
  <c r="V535" i="11" s="1"/>
  <c r="S534" i="11"/>
  <c r="Q533" i="11"/>
  <c r="V533" i="11" s="1"/>
  <c r="S532" i="11"/>
  <c r="Q531" i="11"/>
  <c r="V531" i="11" s="1"/>
  <c r="S530" i="11"/>
  <c r="S525" i="11"/>
  <c r="S523" i="11"/>
  <c r="Q522" i="11"/>
  <c r="V522" i="11" s="1"/>
  <c r="S521" i="11"/>
  <c r="Q520" i="11"/>
  <c r="V520" i="11" s="1"/>
  <c r="S519" i="11"/>
  <c r="Q518" i="11"/>
  <c r="V518" i="11" s="1"/>
  <c r="S517" i="11"/>
  <c r="Q516" i="11"/>
  <c r="V516" i="11" s="1"/>
  <c r="S515" i="11"/>
  <c r="Q514" i="11"/>
  <c r="V514" i="11" s="1"/>
  <c r="S513" i="11"/>
  <c r="Q512" i="11"/>
  <c r="V512" i="11" s="1"/>
  <c r="S494" i="11"/>
  <c r="S492" i="11"/>
  <c r="Q491" i="11"/>
  <c r="V491" i="11" s="1"/>
  <c r="S490" i="11"/>
  <c r="U47" i="7"/>
  <c r="S47" i="7"/>
  <c r="S1059" i="11"/>
  <c r="S1060" i="11"/>
  <c r="S1061" i="11"/>
  <c r="S1062" i="11"/>
  <c r="Q1063" i="11"/>
  <c r="V1063" i="11" s="1"/>
  <c r="S1064" i="11"/>
  <c r="S1065" i="11"/>
  <c r="S1067" i="11"/>
  <c r="S1068" i="11"/>
  <c r="Q1069" i="11"/>
  <c r="V1069" i="11" s="1"/>
  <c r="S1058" i="11"/>
  <c r="S1057" i="11"/>
  <c r="S1055" i="11"/>
  <c r="S1054" i="11"/>
  <c r="S1053" i="11"/>
  <c r="S1052" i="11"/>
  <c r="S1051" i="11"/>
  <c r="S1048" i="11"/>
  <c r="S1047" i="11"/>
  <c r="S1046" i="11"/>
  <c r="S1045" i="11"/>
  <c r="S1044" i="11"/>
  <c r="S1043" i="11"/>
  <c r="S1042" i="11"/>
  <c r="S1041" i="11"/>
  <c r="S1039" i="11"/>
  <c r="S1038" i="11"/>
  <c r="Q1037" i="11"/>
  <c r="V1037" i="11" s="1"/>
  <c r="S1036" i="11"/>
  <c r="S1035" i="11"/>
  <c r="S1034" i="11"/>
  <c r="S1032" i="11"/>
  <c r="S1031" i="11"/>
  <c r="S1030" i="11"/>
  <c r="S1029" i="11"/>
  <c r="S1028" i="11"/>
  <c r="S1027" i="11"/>
  <c r="Q1026" i="11"/>
  <c r="V1026" i="11" s="1"/>
  <c r="S1025" i="11"/>
  <c r="Q1023" i="11"/>
  <c r="V1023" i="11" s="1"/>
  <c r="S1022" i="11"/>
  <c r="S1021" i="11"/>
  <c r="S1020" i="11"/>
  <c r="S1019" i="11"/>
  <c r="S1018" i="11"/>
  <c r="S1017" i="11"/>
  <c r="S1015" i="11"/>
  <c r="S1014" i="11"/>
  <c r="S1013" i="11"/>
  <c r="S1012" i="11"/>
  <c r="S1010" i="11"/>
  <c r="S1008" i="11"/>
  <c r="Q1006" i="11"/>
  <c r="V1006" i="11" s="1"/>
  <c r="S1005" i="11"/>
  <c r="S1004" i="11"/>
  <c r="S1003" i="11"/>
  <c r="S1002" i="11"/>
  <c r="S999" i="11"/>
  <c r="S998" i="11"/>
  <c r="S997" i="11"/>
  <c r="S996" i="11"/>
  <c r="S995" i="11"/>
  <c r="Q994" i="11"/>
  <c r="V994" i="11" s="1"/>
  <c r="S993" i="11"/>
  <c r="S992" i="11"/>
  <c r="Q991" i="11"/>
  <c r="V991" i="11" s="1"/>
  <c r="S990" i="11"/>
  <c r="Q989" i="11"/>
  <c r="V989" i="11" s="1"/>
  <c r="S988" i="11"/>
  <c r="S987" i="11"/>
  <c r="S981" i="11"/>
  <c r="S980" i="11"/>
  <c r="S979" i="11"/>
  <c r="Q978" i="11"/>
  <c r="V978" i="11" s="1"/>
  <c r="S977" i="11"/>
  <c r="Q976" i="11"/>
  <c r="V976" i="11" s="1"/>
  <c r="S975" i="11"/>
  <c r="S974" i="11"/>
  <c r="Q973" i="11"/>
  <c r="V973" i="11" s="1"/>
  <c r="S972" i="11"/>
  <c r="S971" i="11"/>
  <c r="S969" i="11"/>
  <c r="S964" i="11"/>
  <c r="S962" i="11"/>
  <c r="Q961" i="11"/>
  <c r="V961" i="11" s="1"/>
  <c r="S960" i="11"/>
  <c r="S959" i="11"/>
  <c r="Q958" i="11"/>
  <c r="V958" i="11" s="1"/>
  <c r="Q957" i="11"/>
  <c r="V957" i="11" s="1"/>
  <c r="S956" i="11"/>
  <c r="Q955" i="11"/>
  <c r="V955" i="11" s="1"/>
  <c r="S954" i="11"/>
  <c r="S953" i="11"/>
  <c r="S952" i="11"/>
  <c r="S951" i="11"/>
  <c r="S945" i="11"/>
  <c r="S944" i="11"/>
  <c r="S943" i="11"/>
  <c r="S941" i="11"/>
  <c r="S939" i="11"/>
  <c r="S938" i="11"/>
  <c r="Q937" i="11"/>
  <c r="V937" i="11" s="1"/>
  <c r="S936" i="11"/>
  <c r="S934" i="11"/>
  <c r="S933" i="11"/>
  <c r="S932" i="11"/>
  <c r="S931" i="11"/>
  <c r="Q927" i="11"/>
  <c r="V927" i="11" s="1"/>
  <c r="S926" i="11"/>
  <c r="S925" i="11"/>
  <c r="Q924" i="11"/>
  <c r="V924" i="11" s="1"/>
  <c r="Q923" i="11"/>
  <c r="V923" i="11" s="1"/>
  <c r="S922" i="11"/>
  <c r="S921" i="11"/>
  <c r="S920" i="11"/>
  <c r="S919" i="11"/>
  <c r="Q918" i="11"/>
  <c r="V918" i="11" s="1"/>
  <c r="S917" i="11"/>
  <c r="S916" i="11"/>
  <c r="S915" i="11"/>
  <c r="Q912" i="11"/>
  <c r="V912" i="11" s="1"/>
  <c r="S910" i="11"/>
  <c r="S909" i="11"/>
  <c r="S908" i="11"/>
  <c r="Q907" i="11"/>
  <c r="V907" i="11" s="1"/>
  <c r="S906" i="11"/>
  <c r="S905" i="11"/>
  <c r="Q904" i="11"/>
  <c r="V904" i="11" s="1"/>
  <c r="S903" i="11"/>
  <c r="S902" i="11"/>
  <c r="Q901" i="11"/>
  <c r="V901" i="11" s="1"/>
  <c r="S900" i="11"/>
  <c r="S899" i="11"/>
  <c r="Q889" i="11"/>
  <c r="V889" i="11" s="1"/>
  <c r="S888" i="11"/>
  <c r="S887" i="11"/>
  <c r="Q886" i="11"/>
  <c r="V886" i="11" s="1"/>
  <c r="S884" i="11"/>
  <c r="S883" i="11"/>
  <c r="Q882" i="11"/>
  <c r="V882" i="11" s="1"/>
  <c r="S881" i="11"/>
  <c r="S880" i="11"/>
  <c r="S879" i="11"/>
  <c r="Q867" i="11"/>
  <c r="V867" i="11" s="1"/>
  <c r="Q866" i="11"/>
  <c r="V866" i="11" s="1"/>
  <c r="S865" i="11"/>
  <c r="S864" i="11"/>
  <c r="Q862" i="11"/>
  <c r="V862" i="11" s="1"/>
  <c r="S861" i="11"/>
  <c r="Q860" i="11"/>
  <c r="V860" i="11" s="1"/>
  <c r="Q859" i="11"/>
  <c r="V859" i="11" s="1"/>
  <c r="S858" i="11"/>
  <c r="Q857" i="11"/>
  <c r="V857" i="11" s="1"/>
  <c r="S856" i="11"/>
  <c r="S855" i="11"/>
  <c r="S854" i="11"/>
  <c r="Q853" i="11"/>
  <c r="V853" i="11" s="1"/>
  <c r="S852" i="11"/>
  <c r="S851" i="11"/>
  <c r="S850" i="11"/>
  <c r="Q849" i="11"/>
  <c r="V849" i="11" s="1"/>
  <c r="S848" i="11"/>
  <c r="S847" i="11"/>
  <c r="S846" i="11"/>
  <c r="S845" i="11"/>
  <c r="S843" i="11"/>
  <c r="S842" i="11"/>
  <c r="S841" i="11"/>
  <c r="S840" i="11"/>
  <c r="S839" i="11"/>
  <c r="Q838" i="11"/>
  <c r="V838" i="11" s="1"/>
  <c r="S837" i="11"/>
  <c r="Q836" i="11"/>
  <c r="V836" i="11" s="1"/>
  <c r="S835" i="11"/>
  <c r="S834" i="11"/>
  <c r="S833" i="11"/>
  <c r="S832" i="11"/>
  <c r="S831" i="11"/>
  <c r="S815" i="11"/>
  <c r="S814" i="11"/>
  <c r="S813" i="11"/>
  <c r="S811" i="11"/>
  <c r="S810" i="11"/>
  <c r="S809" i="11"/>
  <c r="S808" i="11"/>
  <c r="S807" i="11"/>
  <c r="Q806" i="11"/>
  <c r="V806" i="11" s="1"/>
  <c r="S805" i="11"/>
  <c r="Q804" i="11"/>
  <c r="V804" i="11" s="1"/>
  <c r="S803" i="11"/>
  <c r="S802" i="11"/>
  <c r="S801" i="11"/>
  <c r="Q800" i="11"/>
  <c r="V800" i="11" s="1"/>
  <c r="S799" i="11"/>
  <c r="S798" i="11"/>
  <c r="S797" i="11"/>
  <c r="S796" i="11"/>
  <c r="S795" i="11"/>
  <c r="S794" i="11"/>
  <c r="S793" i="11"/>
  <c r="Q792" i="11"/>
  <c r="V792" i="11" s="1"/>
  <c r="S790" i="11"/>
  <c r="Q789" i="11"/>
  <c r="V789" i="11" s="1"/>
  <c r="S788" i="11"/>
  <c r="Q787" i="11"/>
  <c r="V787" i="11" s="1"/>
  <c r="S786" i="11"/>
  <c r="Q784" i="11"/>
  <c r="V784" i="11" s="1"/>
  <c r="S783" i="11"/>
  <c r="Q782" i="11"/>
  <c r="V782" i="11" s="1"/>
  <c r="S781" i="11"/>
  <c r="Q780" i="11"/>
  <c r="V780" i="11" s="1"/>
  <c r="S779" i="11"/>
  <c r="S489" i="11"/>
  <c r="S488" i="11"/>
  <c r="Q487" i="11"/>
  <c r="V487" i="11" s="1"/>
  <c r="S486" i="11"/>
  <c r="S485" i="11"/>
  <c r="S484" i="11"/>
  <c r="Q483" i="11"/>
  <c r="V483" i="11" s="1"/>
  <c r="S482" i="11"/>
  <c r="S481" i="11"/>
  <c r="S480" i="11"/>
  <c r="Q479" i="11"/>
  <c r="V479" i="11" s="1"/>
  <c r="S478" i="11"/>
  <c r="S477" i="11"/>
  <c r="S476" i="11"/>
  <c r="Q475" i="11"/>
  <c r="V475" i="11" s="1"/>
  <c r="S474" i="11"/>
  <c r="S473" i="11"/>
  <c r="S472" i="11"/>
  <c r="S471" i="11"/>
  <c r="S470" i="11"/>
  <c r="S469" i="11"/>
  <c r="S468" i="11"/>
  <c r="S466" i="11"/>
  <c r="S465" i="11"/>
  <c r="S464" i="11"/>
  <c r="S463" i="11"/>
  <c r="S462" i="11"/>
  <c r="S461" i="11"/>
  <c r="S460" i="11"/>
  <c r="S459" i="11"/>
  <c r="S458" i="11"/>
  <c r="S457" i="11"/>
  <c r="S456" i="11"/>
  <c r="U34" i="7"/>
  <c r="S34" i="7"/>
  <c r="U33" i="7"/>
  <c r="S33" i="7"/>
  <c r="S455" i="11"/>
  <c r="K455" i="11"/>
  <c r="Q445" i="11"/>
  <c r="V445" i="11" s="1"/>
  <c r="K445" i="11"/>
  <c r="S444" i="11"/>
  <c r="K444" i="11"/>
  <c r="K443" i="11"/>
  <c r="S442" i="11"/>
  <c r="K442" i="11"/>
  <c r="Q441" i="11"/>
  <c r="V441" i="11" s="1"/>
  <c r="K441" i="11"/>
  <c r="K440" i="11"/>
  <c r="K439" i="11"/>
  <c r="S438" i="11"/>
  <c r="K438" i="11"/>
  <c r="S437" i="11"/>
  <c r="K437" i="11"/>
  <c r="K436" i="11"/>
  <c r="S435" i="11"/>
  <c r="K435" i="11"/>
  <c r="S434" i="11"/>
  <c r="K434" i="11"/>
  <c r="S433" i="11"/>
  <c r="K433" i="11"/>
  <c r="K432" i="11"/>
  <c r="S431" i="11"/>
  <c r="K431" i="11"/>
  <c r="S430" i="11"/>
  <c r="K430" i="11"/>
  <c r="K429" i="11"/>
  <c r="S428" i="11"/>
  <c r="K428" i="11"/>
  <c r="Q427" i="11"/>
  <c r="V427" i="11" s="1"/>
  <c r="K427" i="11"/>
  <c r="S426" i="11"/>
  <c r="K426" i="11"/>
  <c r="K425" i="11"/>
  <c r="K424" i="11"/>
  <c r="Q423" i="11"/>
  <c r="V423" i="11" s="1"/>
  <c r="K423" i="11"/>
  <c r="S422" i="11"/>
  <c r="K422" i="11"/>
  <c r="S421" i="11"/>
  <c r="K421" i="11"/>
  <c r="S420" i="11"/>
  <c r="K420" i="11"/>
  <c r="S419" i="11"/>
  <c r="K419" i="11"/>
  <c r="S418" i="11"/>
  <c r="K418" i="11"/>
  <c r="S417" i="11"/>
  <c r="K417" i="11"/>
  <c r="K416" i="11"/>
  <c r="S415" i="11"/>
  <c r="K415" i="11"/>
  <c r="S414" i="11"/>
  <c r="K414" i="11"/>
  <c r="K413" i="11"/>
  <c r="S412" i="11"/>
  <c r="K412" i="11"/>
  <c r="Q411" i="11"/>
  <c r="V411" i="11" s="1"/>
  <c r="K411" i="11"/>
  <c r="K410" i="11"/>
  <c r="S409" i="11"/>
  <c r="K409" i="11"/>
  <c r="K408" i="11"/>
  <c r="Q407" i="11"/>
  <c r="V407" i="11" s="1"/>
  <c r="K407" i="11"/>
  <c r="S406" i="11"/>
  <c r="K406" i="11"/>
  <c r="S405" i="11"/>
  <c r="K405" i="11"/>
  <c r="S404" i="11"/>
  <c r="K404" i="11"/>
  <c r="S403" i="11"/>
  <c r="K403" i="11"/>
  <c r="S402" i="11"/>
  <c r="K402" i="11"/>
  <c r="S401" i="11"/>
  <c r="K401" i="11"/>
  <c r="K400" i="11"/>
  <c r="S399" i="11"/>
  <c r="K399" i="11"/>
  <c r="S398" i="11"/>
  <c r="K398" i="11"/>
  <c r="K397" i="11"/>
  <c r="S396" i="11"/>
  <c r="K396" i="11"/>
  <c r="Q395" i="11"/>
  <c r="V395" i="11" s="1"/>
  <c r="K395" i="11"/>
  <c r="S394" i="11"/>
  <c r="K394" i="11"/>
  <c r="S393" i="11"/>
  <c r="K393" i="11"/>
  <c r="K392" i="11"/>
  <c r="Q391" i="11"/>
  <c r="V391" i="11" s="1"/>
  <c r="K391" i="11"/>
  <c r="S390" i="11"/>
  <c r="K390" i="11"/>
  <c r="S389" i="11"/>
  <c r="K389" i="11"/>
  <c r="Q388" i="11"/>
  <c r="V388" i="11" s="1"/>
  <c r="K388" i="11"/>
  <c r="S387" i="11"/>
  <c r="K387" i="11"/>
  <c r="S386" i="11"/>
  <c r="K386" i="11"/>
  <c r="S385" i="11"/>
  <c r="K385" i="11"/>
  <c r="K384" i="11"/>
  <c r="S383" i="11"/>
  <c r="K383" i="11"/>
  <c r="S382" i="11"/>
  <c r="K382" i="11"/>
  <c r="K381" i="11"/>
  <c r="S380" i="11"/>
  <c r="K380" i="11"/>
  <c r="Q379" i="11"/>
  <c r="V379" i="11" s="1"/>
  <c r="K379" i="11"/>
  <c r="S378" i="11"/>
  <c r="K378" i="11"/>
  <c r="Q377" i="11"/>
  <c r="V377" i="11" s="1"/>
  <c r="K377" i="11"/>
  <c r="K376" i="11"/>
  <c r="Q375" i="11"/>
  <c r="V375" i="11" s="1"/>
  <c r="K375" i="11"/>
  <c r="S374" i="11"/>
  <c r="K374" i="11"/>
  <c r="S373" i="11"/>
  <c r="K373" i="11"/>
  <c r="S372" i="11"/>
  <c r="K372" i="11"/>
  <c r="S371" i="11"/>
  <c r="K371" i="11"/>
  <c r="S370" i="11"/>
  <c r="K370" i="11"/>
  <c r="S369" i="11"/>
  <c r="K369" i="11"/>
  <c r="K368" i="11"/>
  <c r="S367" i="11"/>
  <c r="K367" i="11"/>
  <c r="S366" i="11"/>
  <c r="K366" i="11"/>
  <c r="K365" i="11"/>
  <c r="S364" i="11"/>
  <c r="K364" i="11"/>
  <c r="Q363" i="11"/>
  <c r="V363" i="11" s="1"/>
  <c r="K363" i="11"/>
  <c r="K362" i="11"/>
  <c r="S361" i="11"/>
  <c r="K361" i="11"/>
  <c r="K360" i="11"/>
  <c r="K359" i="11"/>
  <c r="Q358" i="11"/>
  <c r="V358" i="11" s="1"/>
  <c r="K358" i="11"/>
  <c r="S357" i="11"/>
  <c r="K357" i="11"/>
  <c r="S356" i="11"/>
  <c r="K356" i="11"/>
  <c r="S355" i="11"/>
  <c r="K355" i="11"/>
  <c r="S354" i="11"/>
  <c r="K354" i="11"/>
  <c r="K353" i="11"/>
  <c r="S352" i="11"/>
  <c r="K352" i="11"/>
  <c r="S351" i="11"/>
  <c r="K351" i="11"/>
  <c r="S350" i="11"/>
  <c r="K350" i="11"/>
  <c r="S349" i="11"/>
  <c r="K349" i="11"/>
  <c r="S348" i="11"/>
  <c r="K348" i="11"/>
  <c r="Q347" i="11"/>
  <c r="V347" i="11" s="1"/>
  <c r="K347" i="11"/>
  <c r="K346" i="11"/>
  <c r="K345" i="11"/>
  <c r="K344" i="11"/>
  <c r="K343" i="11"/>
  <c r="Q342" i="11"/>
  <c r="V342" i="11" s="1"/>
  <c r="K342" i="11"/>
  <c r="S341" i="11"/>
  <c r="K341" i="11"/>
  <c r="K340" i="11"/>
  <c r="S339" i="11"/>
  <c r="K339" i="11"/>
  <c r="S338" i="11"/>
  <c r="K338" i="11"/>
  <c r="K337" i="11"/>
  <c r="Q336" i="11"/>
  <c r="V336" i="11" s="1"/>
  <c r="K336" i="11"/>
  <c r="S335" i="11"/>
  <c r="K335" i="11"/>
  <c r="K334" i="11"/>
  <c r="S333" i="11"/>
  <c r="K333" i="11"/>
  <c r="S332" i="11"/>
  <c r="K332" i="11"/>
  <c r="Q331" i="11"/>
  <c r="V331" i="11" s="1"/>
  <c r="K331" i="11"/>
  <c r="Q330" i="11"/>
  <c r="V330" i="11" s="1"/>
  <c r="K330" i="11"/>
  <c r="S329" i="11"/>
  <c r="K329" i="11"/>
  <c r="K328" i="11"/>
  <c r="Q327" i="11"/>
  <c r="V327" i="11" s="1"/>
  <c r="K327" i="11"/>
  <c r="S326" i="11"/>
  <c r="K326" i="11"/>
  <c r="S325" i="11"/>
  <c r="K325" i="11"/>
  <c r="S324" i="11"/>
  <c r="K324" i="11"/>
  <c r="S323" i="11"/>
  <c r="K323" i="11"/>
  <c r="S322" i="11"/>
  <c r="K322" i="11"/>
  <c r="K321" i="11"/>
  <c r="S320" i="11"/>
  <c r="K320" i="11"/>
  <c r="S319" i="11"/>
  <c r="K319" i="11"/>
  <c r="S318" i="11"/>
  <c r="K318" i="11"/>
  <c r="S317" i="11"/>
  <c r="K317" i="11"/>
  <c r="S316" i="11"/>
  <c r="K316" i="11"/>
  <c r="Q315" i="11"/>
  <c r="V315" i="11" s="1"/>
  <c r="K315" i="11"/>
  <c r="S314" i="11"/>
  <c r="K314" i="11"/>
  <c r="S313" i="11"/>
  <c r="K313" i="11"/>
  <c r="K312" i="11"/>
  <c r="Q311" i="11"/>
  <c r="V311" i="11" s="1"/>
  <c r="K311" i="11"/>
  <c r="S310" i="11"/>
  <c r="K310" i="11"/>
  <c r="S309" i="11"/>
  <c r="K309" i="11"/>
  <c r="S308" i="11"/>
  <c r="K308" i="11"/>
  <c r="S307" i="11"/>
  <c r="K307" i="11"/>
  <c r="S306" i="11"/>
  <c r="K306" i="11"/>
  <c r="K305" i="11"/>
  <c r="S304" i="11"/>
  <c r="K304" i="11"/>
  <c r="S303" i="11"/>
  <c r="K303" i="11"/>
  <c r="S302" i="11"/>
  <c r="K302" i="11"/>
  <c r="K301" i="11"/>
  <c r="S300" i="11"/>
  <c r="K300" i="11"/>
  <c r="Q299" i="11"/>
  <c r="V299" i="11" s="1"/>
  <c r="K299" i="11"/>
  <c r="S298" i="11"/>
  <c r="K298" i="11"/>
  <c r="K297" i="11"/>
  <c r="K296" i="11"/>
  <c r="Q295" i="11"/>
  <c r="V295" i="11" s="1"/>
  <c r="K295" i="11"/>
  <c r="S294" i="11"/>
  <c r="K294" i="11"/>
  <c r="S293" i="11"/>
  <c r="K293" i="11"/>
  <c r="S292" i="11"/>
  <c r="K292" i="11"/>
  <c r="S291" i="11"/>
  <c r="K291" i="11"/>
  <c r="S290" i="11"/>
  <c r="K290" i="11"/>
  <c r="K289" i="11"/>
  <c r="K288" i="11"/>
  <c r="K287" i="11"/>
  <c r="S286" i="11"/>
  <c r="K286" i="11"/>
  <c r="K285" i="11"/>
  <c r="S284" i="11"/>
  <c r="K284" i="11"/>
  <c r="K283" i="11"/>
  <c r="K282" i="11"/>
  <c r="S281" i="11"/>
  <c r="K281" i="11"/>
  <c r="K280" i="11"/>
  <c r="K279" i="11"/>
  <c r="Q278" i="11"/>
  <c r="V278" i="11" s="1"/>
  <c r="K278" i="11"/>
  <c r="S277" i="11"/>
  <c r="K277" i="11"/>
  <c r="Q276" i="11"/>
  <c r="V276" i="11" s="1"/>
  <c r="K276" i="11"/>
  <c r="S275" i="11"/>
  <c r="K275" i="11"/>
  <c r="S274" i="11"/>
  <c r="K274" i="11"/>
  <c r="K273" i="11"/>
  <c r="S272" i="11"/>
  <c r="K272" i="11"/>
  <c r="S271" i="11"/>
  <c r="K271" i="11"/>
  <c r="K270" i="11"/>
  <c r="K269" i="11"/>
  <c r="S268" i="11"/>
  <c r="K268" i="11"/>
  <c r="Q267" i="11"/>
  <c r="V267" i="11" s="1"/>
  <c r="K267" i="11"/>
  <c r="S266" i="11"/>
  <c r="K266" i="11"/>
  <c r="K265" i="11"/>
  <c r="K264" i="11"/>
  <c r="Q263" i="11"/>
  <c r="V263" i="11" s="1"/>
  <c r="K263" i="11"/>
  <c r="K262" i="11"/>
  <c r="S261" i="11"/>
  <c r="K261" i="11"/>
  <c r="S260" i="11"/>
  <c r="K260" i="11"/>
  <c r="S259" i="11"/>
  <c r="K259" i="11"/>
  <c r="S258" i="11"/>
  <c r="K258" i="11"/>
  <c r="K257" i="11"/>
  <c r="Q256" i="11"/>
  <c r="V256" i="11" s="1"/>
  <c r="K256" i="11"/>
  <c r="S255" i="11"/>
  <c r="K255" i="11"/>
  <c r="Q251" i="11"/>
  <c r="V251" i="11" s="1"/>
  <c r="K251" i="11"/>
  <c r="Q250" i="11"/>
  <c r="V250" i="11" s="1"/>
  <c r="K250" i="11"/>
  <c r="K249" i="11"/>
  <c r="K248" i="11"/>
  <c r="S247" i="11"/>
  <c r="K247" i="11"/>
  <c r="K246" i="11"/>
  <c r="S245" i="11"/>
  <c r="K245" i="11"/>
  <c r="Q244" i="11"/>
  <c r="V244" i="11" s="1"/>
  <c r="K244" i="11"/>
  <c r="S243" i="11"/>
  <c r="K243" i="11"/>
  <c r="S242" i="11"/>
  <c r="K242" i="11"/>
  <c r="K241" i="11"/>
  <c r="S240" i="11"/>
  <c r="K240" i="11"/>
  <c r="S239" i="11"/>
  <c r="K239" i="11"/>
  <c r="S238" i="11"/>
  <c r="K238" i="11"/>
  <c r="S237" i="11"/>
  <c r="K237" i="11"/>
  <c r="S230" i="11"/>
  <c r="K230" i="11"/>
  <c r="Q229" i="11"/>
  <c r="V229" i="11" s="1"/>
  <c r="K229" i="11"/>
  <c r="Q228" i="11"/>
  <c r="V228" i="11" s="1"/>
  <c r="K228" i="11"/>
  <c r="K227" i="11"/>
  <c r="K226" i="11"/>
  <c r="Q225" i="11"/>
  <c r="V225" i="11" s="1"/>
  <c r="K225" i="11"/>
  <c r="K224" i="11"/>
  <c r="S223" i="11"/>
  <c r="K223" i="11"/>
  <c r="K222" i="11"/>
  <c r="Q221" i="11"/>
  <c r="V221" i="11" s="1"/>
  <c r="K221" i="11"/>
  <c r="K220" i="11"/>
  <c r="K219" i="11"/>
  <c r="S218" i="11"/>
  <c r="U45" i="7"/>
  <c r="S45" i="7"/>
  <c r="S767" i="11"/>
  <c r="S768" i="11"/>
  <c r="S771" i="11"/>
  <c r="S772" i="11"/>
  <c r="Q773" i="11"/>
  <c r="V773" i="11" s="1"/>
  <c r="Q774" i="11"/>
  <c r="V774" i="11" s="1"/>
  <c r="S777" i="11"/>
  <c r="S778" i="11"/>
  <c r="Q766" i="11"/>
  <c r="V766" i="11" s="1"/>
  <c r="U32" i="7"/>
  <c r="S32" i="7"/>
  <c r="S192" i="11"/>
  <c r="S193" i="11"/>
  <c r="S194" i="11"/>
  <c r="Q195" i="11"/>
  <c r="V195" i="11" s="1"/>
  <c r="S197" i="11"/>
  <c r="S198" i="11"/>
  <c r="S199" i="11"/>
  <c r="S200" i="11"/>
  <c r="S201" i="11"/>
  <c r="S202" i="11"/>
  <c r="Q203" i="11"/>
  <c r="V203" i="11" s="1"/>
  <c r="Q204" i="11"/>
  <c r="V204" i="11" s="1"/>
  <c r="S208" i="11"/>
  <c r="S209" i="11"/>
  <c r="S212" i="11"/>
  <c r="S213" i="11"/>
  <c r="Q214" i="11"/>
  <c r="V214" i="11" s="1"/>
  <c r="S216" i="11"/>
  <c r="S217" i="11"/>
  <c r="S191" i="11"/>
  <c r="S32" i="11" l="1"/>
  <c r="AE235" i="11"/>
  <c r="AE232" i="11"/>
  <c r="AE236" i="11"/>
  <c r="AE233" i="11"/>
  <c r="AE234" i="11"/>
  <c r="AE231" i="11"/>
  <c r="AE454" i="11"/>
  <c r="AE448" i="11"/>
  <c r="AE453" i="11"/>
  <c r="AE447" i="11"/>
  <c r="AE452" i="11"/>
  <c r="AE446" i="11"/>
  <c r="AE451" i="11"/>
  <c r="AE449" i="11"/>
  <c r="AE450" i="11"/>
  <c r="BM232" i="11"/>
  <c r="BM233" i="11"/>
  <c r="BM234" i="11"/>
  <c r="BM235" i="11"/>
  <c r="BM236" i="11"/>
  <c r="BM231" i="11"/>
  <c r="AE585" i="11"/>
  <c r="AE584" i="11"/>
  <c r="AE583" i="11"/>
  <c r="AE509" i="11"/>
  <c r="AE506" i="11"/>
  <c r="AE528" i="11"/>
  <c r="AE527" i="11"/>
  <c r="AE510" i="11"/>
  <c r="AE507" i="11"/>
  <c r="AE511" i="11"/>
  <c r="AE508" i="11"/>
  <c r="AE529" i="11"/>
  <c r="AE498" i="11"/>
  <c r="AE503" i="11"/>
  <c r="AE497" i="11"/>
  <c r="AE502" i="11"/>
  <c r="AE496" i="11"/>
  <c r="AE504" i="11"/>
  <c r="AE501" i="11"/>
  <c r="AE500" i="11"/>
  <c r="AE505" i="11"/>
  <c r="AE499" i="11"/>
  <c r="BM510" i="11"/>
  <c r="BM511" i="11"/>
  <c r="BM506" i="11"/>
  <c r="BM507" i="11"/>
  <c r="BM508" i="11"/>
  <c r="BM509" i="11"/>
  <c r="AE544" i="11"/>
  <c r="AE549" i="11"/>
  <c r="AE543" i="11"/>
  <c r="AE548" i="11"/>
  <c r="AE542" i="11"/>
  <c r="AE547" i="11"/>
  <c r="AE541" i="11"/>
  <c r="AE546" i="11"/>
  <c r="AE545" i="11"/>
  <c r="AE550" i="11"/>
  <c r="AE207" i="11"/>
  <c r="AE206" i="11"/>
  <c r="AE205" i="11"/>
  <c r="N17" i="11"/>
  <c r="AE253" i="11"/>
  <c r="AE252" i="11"/>
  <c r="AE254" i="11"/>
  <c r="AE1198" i="11"/>
  <c r="AE495" i="11"/>
  <c r="AE586" i="11"/>
  <c r="AE587" i="11"/>
  <c r="AE582" i="11"/>
  <c r="AE560" i="11"/>
  <c r="AE559" i="11"/>
  <c r="Q351" i="11"/>
  <c r="V351" i="11" s="1"/>
  <c r="Q490" i="11"/>
  <c r="V490" i="11" s="1"/>
  <c r="Q352" i="11"/>
  <c r="V352" i="11" s="1"/>
  <c r="Q324" i="11"/>
  <c r="V324" i="11" s="1"/>
  <c r="Q239" i="11"/>
  <c r="V239" i="11" s="1"/>
  <c r="Q303" i="11"/>
  <c r="V303" i="11" s="1"/>
  <c r="Q398" i="11"/>
  <c r="V398" i="11" s="1"/>
  <c r="S407" i="11"/>
  <c r="W407" i="11" s="1"/>
  <c r="Y407" i="11" s="1"/>
  <c r="Q310" i="11"/>
  <c r="V310" i="11" s="1"/>
  <c r="S244" i="11"/>
  <c r="W244" i="11" s="1"/>
  <c r="Y244" i="11" s="1"/>
  <c r="Q372" i="11"/>
  <c r="V372" i="11" s="1"/>
  <c r="S388" i="11"/>
  <c r="T388" i="11" s="1"/>
  <c r="Q1004" i="11"/>
  <c r="V1004" i="11" s="1"/>
  <c r="Q471" i="11"/>
  <c r="V471" i="11" s="1"/>
  <c r="S961" i="11"/>
  <c r="T961" i="11" s="1"/>
  <c r="Q831" i="11"/>
  <c r="V831" i="11" s="1"/>
  <c r="S923" i="11"/>
  <c r="T923" i="11" s="1"/>
  <c r="S256" i="11"/>
  <c r="T256" i="11" s="1"/>
  <c r="S331" i="11"/>
  <c r="T331" i="11" s="1"/>
  <c r="S203" i="11"/>
  <c r="Q406" i="11"/>
  <c r="V406" i="11" s="1"/>
  <c r="S336" i="11"/>
  <c r="T336" i="11" s="1"/>
  <c r="Q799" i="11"/>
  <c r="V799" i="11" s="1"/>
  <c r="S804" i="11"/>
  <c r="T804" i="11" s="1"/>
  <c r="S882" i="11"/>
  <c r="T882" i="11" s="1"/>
  <c r="Q905" i="11"/>
  <c r="V905" i="11" s="1"/>
  <c r="Q1060" i="11"/>
  <c r="V1060" i="11" s="1"/>
  <c r="Q463" i="11"/>
  <c r="V463" i="11" s="1"/>
  <c r="S836" i="11"/>
  <c r="T836" i="11" s="1"/>
  <c r="Q841" i="11"/>
  <c r="V841" i="11" s="1"/>
  <c r="Q846" i="11"/>
  <c r="V846" i="11" s="1"/>
  <c r="Q1019" i="11"/>
  <c r="V1019" i="11" s="1"/>
  <c r="Q404" i="11"/>
  <c r="V404" i="11" s="1"/>
  <c r="S299" i="11"/>
  <c r="W299" i="11" s="1"/>
  <c r="Y299" i="11" s="1"/>
  <c r="Q218" i="11"/>
  <c r="V218" i="11" s="1"/>
  <c r="S766" i="11"/>
  <c r="S780" i="11"/>
  <c r="T780" i="11" s="1"/>
  <c r="S859" i="11"/>
  <c r="T859" i="11" s="1"/>
  <c r="Q217" i="11"/>
  <c r="V217" i="11" s="1"/>
  <c r="Q272" i="11"/>
  <c r="V272" i="11" s="1"/>
  <c r="Q350" i="11"/>
  <c r="V350" i="11" s="1"/>
  <c r="S377" i="11"/>
  <c r="T377" i="11" s="1"/>
  <c r="S276" i="11"/>
  <c r="W276" i="11" s="1"/>
  <c r="Y276" i="11" s="1"/>
  <c r="S228" i="11"/>
  <c r="T228" i="11" s="1"/>
  <c r="S989" i="11"/>
  <c r="S994" i="11"/>
  <c r="T994" i="11" s="1"/>
  <c r="S1063" i="11"/>
  <c r="T1063" i="11" s="1"/>
  <c r="Q1073" i="11"/>
  <c r="V1073" i="11" s="1"/>
  <c r="Q809" i="11"/>
  <c r="V809" i="11" s="1"/>
  <c r="Q771" i="11"/>
  <c r="V771" i="11" s="1"/>
  <c r="S1006" i="11"/>
  <c r="T1006" i="11" s="1"/>
  <c r="S773" i="11"/>
  <c r="S937" i="11"/>
  <c r="T937" i="11" s="1"/>
  <c r="Q778" i="11"/>
  <c r="V778" i="11" s="1"/>
  <c r="S204" i="11"/>
  <c r="S225" i="11"/>
  <c r="W225" i="11" s="1"/>
  <c r="Y225" i="11" s="1"/>
  <c r="Q292" i="11"/>
  <c r="V292" i="11" s="1"/>
  <c r="S330" i="11"/>
  <c r="W330" i="11" s="1"/>
  <c r="Y330" i="11" s="1"/>
  <c r="Q349" i="11"/>
  <c r="V349" i="11" s="1"/>
  <c r="Q954" i="11"/>
  <c r="V954" i="11" s="1"/>
  <c r="Q974" i="11"/>
  <c r="V974" i="11" s="1"/>
  <c r="S1069" i="11"/>
  <c r="T1069" i="11" s="1"/>
  <c r="S214" i="11"/>
  <c r="Q851" i="11"/>
  <c r="V851" i="11" s="1"/>
  <c r="S860" i="11"/>
  <c r="T860" i="11" s="1"/>
  <c r="S522" i="11"/>
  <c r="T522" i="11" s="1"/>
  <c r="S912" i="11"/>
  <c r="T912" i="11" s="1"/>
  <c r="Q1057" i="11"/>
  <c r="V1057" i="11" s="1"/>
  <c r="S250" i="11"/>
  <c r="W250" i="11" s="1"/>
  <c r="Y250" i="11" s="1"/>
  <c r="S441" i="11"/>
  <c r="T441" i="11" s="1"/>
  <c r="S518" i="11"/>
  <c r="Q308" i="11"/>
  <c r="V308" i="11" s="1"/>
  <c r="Q361" i="11"/>
  <c r="V361" i="11" s="1"/>
  <c r="Q399" i="11"/>
  <c r="V399" i="11" s="1"/>
  <c r="S445" i="11"/>
  <c r="W445" i="11" s="1"/>
  <c r="Y445" i="11" s="1"/>
  <c r="Q847" i="11"/>
  <c r="V847" i="11" s="1"/>
  <c r="S866" i="11"/>
  <c r="T866" i="11" s="1"/>
  <c r="Q908" i="11"/>
  <c r="V908" i="11" s="1"/>
  <c r="S551" i="11"/>
  <c r="T551" i="11" s="1"/>
  <c r="S857" i="11"/>
  <c r="T857" i="11" s="1"/>
  <c r="S1037" i="11"/>
  <c r="T1037" i="11" s="1"/>
  <c r="S591" i="11"/>
  <c r="T591" i="11" s="1"/>
  <c r="Q247" i="11"/>
  <c r="V247" i="11" s="1"/>
  <c r="Q430" i="11"/>
  <c r="V430" i="11" s="1"/>
  <c r="Q987" i="11"/>
  <c r="V987" i="11" s="1"/>
  <c r="S347" i="11"/>
  <c r="W347" i="11" s="1"/>
  <c r="Y347" i="11" s="1"/>
  <c r="Q814" i="11"/>
  <c r="V814" i="11" s="1"/>
  <c r="S976" i="11"/>
  <c r="T976" i="11" s="1"/>
  <c r="Q992" i="11"/>
  <c r="V992" i="11" s="1"/>
  <c r="S853" i="11"/>
  <c r="T853" i="11" s="1"/>
  <c r="S889" i="11"/>
  <c r="T889" i="11" s="1"/>
  <c r="Q900" i="11"/>
  <c r="V900" i="11" s="1"/>
  <c r="S924" i="11"/>
  <c r="T924" i="11" s="1"/>
  <c r="Q574" i="11"/>
  <c r="V574" i="11" s="1"/>
  <c r="S520" i="11"/>
  <c r="T520" i="11" s="1"/>
  <c r="S533" i="11"/>
  <c r="T533" i="11" s="1"/>
  <c r="Q237" i="11"/>
  <c r="V237" i="11" s="1"/>
  <c r="Q329" i="11"/>
  <c r="W329" i="11" s="1"/>
  <c r="Q459" i="11"/>
  <c r="V459" i="11" s="1"/>
  <c r="Q910" i="11"/>
  <c r="V910" i="11" s="1"/>
  <c r="Q936" i="11"/>
  <c r="V936" i="11" s="1"/>
  <c r="S957" i="11"/>
  <c r="T957" i="11" s="1"/>
  <c r="Q193" i="11"/>
  <c r="V193" i="11" s="1"/>
  <c r="Q420" i="11"/>
  <c r="V420" i="11" s="1"/>
  <c r="S901" i="11"/>
  <c r="Q201" i="11"/>
  <c r="V201" i="11" s="1"/>
  <c r="S539" i="11"/>
  <c r="Q1009" i="11"/>
  <c r="V1009" i="11" s="1"/>
  <c r="S1009" i="11"/>
  <c r="S410" i="11"/>
  <c r="Q410" i="11"/>
  <c r="V410" i="11" s="1"/>
  <c r="Q537" i="11"/>
  <c r="V537" i="11" s="1"/>
  <c r="S537" i="11"/>
  <c r="Q524" i="11"/>
  <c r="V524" i="11" s="1"/>
  <c r="S524" i="11"/>
  <c r="S467" i="11"/>
  <c r="Q467" i="11"/>
  <c r="V467" i="11" s="1"/>
  <c r="Q246" i="11"/>
  <c r="V246" i="11" s="1"/>
  <c r="S246" i="11"/>
  <c r="Q493" i="11"/>
  <c r="V493" i="11" s="1"/>
  <c r="S493" i="11"/>
  <c r="Q940" i="11"/>
  <c r="V940" i="11" s="1"/>
  <c r="S940" i="11"/>
  <c r="S334" i="11"/>
  <c r="Q334" i="11"/>
  <c r="V334" i="11" s="1"/>
  <c r="Q192" i="11"/>
  <c r="V192" i="11" s="1"/>
  <c r="S425" i="11"/>
  <c r="Q425" i="11"/>
  <c r="V425" i="11" s="1"/>
  <c r="Q443" i="11"/>
  <c r="V443" i="11" s="1"/>
  <c r="S443" i="11"/>
  <c r="Q211" i="11"/>
  <c r="V211" i="11" s="1"/>
  <c r="S211" i="11"/>
  <c r="Q1050" i="11"/>
  <c r="V1050" i="11" s="1"/>
  <c r="S1050" i="11"/>
  <c r="S769" i="11"/>
  <c r="Q769" i="11"/>
  <c r="V769" i="11" s="1"/>
  <c r="Q249" i="11"/>
  <c r="V249" i="11" s="1"/>
  <c r="S249" i="11"/>
  <c r="S345" i="11"/>
  <c r="Q345" i="11"/>
  <c r="V345" i="11" s="1"/>
  <c r="S436" i="11"/>
  <c r="Q436" i="11"/>
  <c r="V436" i="11" s="1"/>
  <c r="Q568" i="11"/>
  <c r="S195" i="11"/>
  <c r="Q198" i="11"/>
  <c r="V198" i="11" s="1"/>
  <c r="S267" i="11"/>
  <c r="W267" i="11" s="1"/>
  <c r="Y267" i="11" s="1"/>
  <c r="S342" i="11"/>
  <c r="W342" i="11" s="1"/>
  <c r="Y342" i="11" s="1"/>
  <c r="Q393" i="11"/>
  <c r="V393" i="11" s="1"/>
  <c r="S487" i="11"/>
  <c r="T487" i="11" s="1"/>
  <c r="S792" i="11"/>
  <c r="T792" i="11" s="1"/>
  <c r="Q797" i="11"/>
  <c r="Q801" i="11"/>
  <c r="V801" i="11" s="1"/>
  <c r="Q833" i="11"/>
  <c r="V833" i="11" s="1"/>
  <c r="S907" i="11"/>
  <c r="T907" i="11" s="1"/>
  <c r="Q1065" i="11"/>
  <c r="V1065" i="11" s="1"/>
  <c r="S569" i="11"/>
  <c r="T569" i="11" s="1"/>
  <c r="Q767" i="11"/>
  <c r="V767" i="11" s="1"/>
  <c r="Q941" i="11"/>
  <c r="V941" i="11" s="1"/>
  <c r="Q952" i="11"/>
  <c r="Q971" i="11"/>
  <c r="V971" i="11" s="1"/>
  <c r="Q555" i="11"/>
  <c r="Q1071" i="11"/>
  <c r="V1071" i="11" s="1"/>
  <c r="Q578" i="11"/>
  <c r="V578" i="11" s="1"/>
  <c r="Q200" i="11"/>
  <c r="V200" i="11" s="1"/>
  <c r="Q302" i="11"/>
  <c r="V302" i="11" s="1"/>
  <c r="Q313" i="11"/>
  <c r="W313" i="11" s="1"/>
  <c r="S483" i="11"/>
  <c r="S782" i="11"/>
  <c r="T782" i="11" s="1"/>
  <c r="Q1085" i="11"/>
  <c r="V1085" i="11" s="1"/>
  <c r="S927" i="11"/>
  <c r="T927" i="11" s="1"/>
  <c r="Q953" i="11"/>
  <c r="V953" i="11" s="1"/>
  <c r="S512" i="11"/>
  <c r="T512" i="11" s="1"/>
  <c r="Q456" i="11"/>
  <c r="V456" i="11" s="1"/>
  <c r="S479" i="11"/>
  <c r="T479" i="11" s="1"/>
  <c r="S789" i="11"/>
  <c r="Q858" i="11"/>
  <c r="Q581" i="11"/>
  <c r="V581" i="11" s="1"/>
  <c r="S774" i="11"/>
  <c r="S251" i="11"/>
  <c r="W251" i="11" s="1"/>
  <c r="Y251" i="11" s="1"/>
  <c r="Q563" i="11"/>
  <c r="V563" i="11" s="1"/>
  <c r="S229" i="11"/>
  <c r="T229" i="11" s="1"/>
  <c r="Q777" i="11"/>
  <c r="V777" i="11" s="1"/>
  <c r="Q238" i="11"/>
  <c r="V238" i="11" s="1"/>
  <c r="Q431" i="11"/>
  <c r="V431" i="11" s="1"/>
  <c r="S475" i="11"/>
  <c r="T475" i="11" s="1"/>
  <c r="Q212" i="11"/>
  <c r="V212" i="11" s="1"/>
  <c r="Q1062" i="11"/>
  <c r="V1062" i="11" s="1"/>
  <c r="S531" i="11"/>
  <c r="T531" i="11" s="1"/>
  <c r="S1077" i="11"/>
  <c r="T1077" i="11" s="1"/>
  <c r="Q216" i="11"/>
  <c r="V216" i="11" s="1"/>
  <c r="S265" i="11"/>
  <c r="Q265" i="11"/>
  <c r="V265" i="11" s="1"/>
  <c r="S346" i="11"/>
  <c r="Q346" i="11"/>
  <c r="V346" i="11" s="1"/>
  <c r="S770" i="11"/>
  <c r="Q770" i="11"/>
  <c r="V770" i="11" s="1"/>
  <c r="S269" i="11"/>
  <c r="Q269" i="11"/>
  <c r="V269" i="11" s="1"/>
  <c r="S288" i="11"/>
  <c r="Q288" i="11"/>
  <c r="V288" i="11" s="1"/>
  <c r="Q343" i="11"/>
  <c r="V343" i="11" s="1"/>
  <c r="S343" i="11"/>
  <c r="S368" i="11"/>
  <c r="Q368" i="11"/>
  <c r="V368" i="11" s="1"/>
  <c r="S844" i="11"/>
  <c r="Q844" i="11"/>
  <c r="V844" i="11" s="1"/>
  <c r="S812" i="11"/>
  <c r="Q812" i="11"/>
  <c r="V812" i="11" s="1"/>
  <c r="S262" i="11"/>
  <c r="Q262" i="11"/>
  <c r="V262" i="11" s="1"/>
  <c r="Q340" i="11"/>
  <c r="V340" i="11" s="1"/>
  <c r="S340" i="11"/>
  <c r="S416" i="11"/>
  <c r="Q416" i="11"/>
  <c r="V416" i="11" s="1"/>
  <c r="Q526" i="11"/>
  <c r="V526" i="11" s="1"/>
  <c r="S526" i="11"/>
  <c r="S561" i="11"/>
  <c r="Q561" i="11"/>
  <c r="V561" i="11" s="1"/>
  <c r="S215" i="11"/>
  <c r="Q215" i="11"/>
  <c r="V215" i="11" s="1"/>
  <c r="S196" i="11"/>
  <c r="Q196" i="11"/>
  <c r="V196" i="11" s="1"/>
  <c r="S227" i="11"/>
  <c r="Q227" i="11"/>
  <c r="V227" i="11" s="1"/>
  <c r="S270" i="11"/>
  <c r="Q270" i="11"/>
  <c r="V270" i="11" s="1"/>
  <c r="Q281" i="11"/>
  <c r="V281" i="11" s="1"/>
  <c r="S285" i="11"/>
  <c r="Q285" i="11"/>
  <c r="V285" i="11" s="1"/>
  <c r="S365" i="11"/>
  <c r="Q365" i="11"/>
  <c r="V365" i="11" s="1"/>
  <c r="S1007" i="11"/>
  <c r="Q1007" i="11"/>
  <c r="V1007" i="11" s="1"/>
  <c r="S384" i="11"/>
  <c r="Q384" i="11"/>
  <c r="V384" i="11" s="1"/>
  <c r="S863" i="11"/>
  <c r="Q863" i="11"/>
  <c r="V863" i="11" s="1"/>
  <c r="S1082" i="11"/>
  <c r="Q1082" i="11"/>
  <c r="V1082" i="11" s="1"/>
  <c r="T905" i="11"/>
  <c r="Q1011" i="11"/>
  <c r="V1011" i="11" s="1"/>
  <c r="S1011" i="11"/>
  <c r="S297" i="11"/>
  <c r="Q297" i="11"/>
  <c r="V297" i="11" s="1"/>
  <c r="S224" i="11"/>
  <c r="Q224" i="11"/>
  <c r="V224" i="11" s="1"/>
  <c r="S282" i="11"/>
  <c r="Q282" i="11"/>
  <c r="V282" i="11" s="1"/>
  <c r="Q439" i="11"/>
  <c r="V439" i="11" s="1"/>
  <c r="S439" i="11"/>
  <c r="Q208" i="11"/>
  <c r="V208" i="11" s="1"/>
  <c r="S301" i="11"/>
  <c r="Q301" i="11"/>
  <c r="V301" i="11" s="1"/>
  <c r="S413" i="11"/>
  <c r="Q413" i="11"/>
  <c r="V413" i="11" s="1"/>
  <c r="S210" i="11"/>
  <c r="Q210" i="11"/>
  <c r="V210" i="11" s="1"/>
  <c r="S362" i="11"/>
  <c r="Q362" i="11"/>
  <c r="V362" i="11" s="1"/>
  <c r="Q791" i="11"/>
  <c r="V791" i="11" s="1"/>
  <c r="S791" i="11"/>
  <c r="Q279" i="11"/>
  <c r="V279" i="11" s="1"/>
  <c r="S279" i="11"/>
  <c r="Q359" i="11"/>
  <c r="V359" i="11" s="1"/>
  <c r="S359" i="11"/>
  <c r="S432" i="11"/>
  <c r="Q432" i="11"/>
  <c r="V432" i="11" s="1"/>
  <c r="S1024" i="11"/>
  <c r="Q1024" i="11"/>
  <c r="V1024" i="11" s="1"/>
  <c r="S381" i="11"/>
  <c r="Q381" i="11"/>
  <c r="V381" i="11" s="1"/>
  <c r="S776" i="11"/>
  <c r="Q776" i="11"/>
  <c r="V776" i="11" s="1"/>
  <c r="S775" i="11"/>
  <c r="Q775" i="11"/>
  <c r="V775" i="11" s="1"/>
  <c r="Q772" i="11"/>
  <c r="V772" i="11" s="1"/>
  <c r="Q240" i="11"/>
  <c r="V240" i="11" s="1"/>
  <c r="Q283" i="11"/>
  <c r="V283" i="11" s="1"/>
  <c r="S283" i="11"/>
  <c r="S1066" i="11"/>
  <c r="Q1066" i="11"/>
  <c r="V1066" i="11" s="1"/>
  <c r="S287" i="11"/>
  <c r="Q287" i="11"/>
  <c r="V287" i="11" s="1"/>
  <c r="S400" i="11"/>
  <c r="Q400" i="11"/>
  <c r="V400" i="11" s="1"/>
  <c r="S429" i="11"/>
  <c r="Q429" i="11"/>
  <c r="V429" i="11" s="1"/>
  <c r="Q946" i="11"/>
  <c r="V946" i="11" s="1"/>
  <c r="S946" i="11"/>
  <c r="Q197" i="11"/>
  <c r="V197" i="11" s="1"/>
  <c r="T225" i="11"/>
  <c r="Q209" i="11"/>
  <c r="V209" i="11" s="1"/>
  <c r="S222" i="11"/>
  <c r="Q222" i="11"/>
  <c r="V222" i="11" s="1"/>
  <c r="S397" i="11"/>
  <c r="Q397" i="11"/>
  <c r="V397" i="11" s="1"/>
  <c r="Q552" i="11"/>
  <c r="V552" i="11" s="1"/>
  <c r="Q557" i="11"/>
  <c r="V557" i="11" s="1"/>
  <c r="Q1072" i="11"/>
  <c r="V1072" i="11" s="1"/>
  <c r="Q1076" i="11"/>
  <c r="V1076" i="11" s="1"/>
  <c r="Q1081" i="11"/>
  <c r="V1081" i="11" s="1"/>
  <c r="Q592" i="11"/>
  <c r="V592" i="11" s="1"/>
  <c r="Q199" i="11"/>
  <c r="V199" i="11" s="1"/>
  <c r="S315" i="11"/>
  <c r="W315" i="11" s="1"/>
  <c r="Y315" i="11" s="1"/>
  <c r="Q318" i="11"/>
  <c r="V318" i="11" s="1"/>
  <c r="Q356" i="11"/>
  <c r="V356" i="11" s="1"/>
  <c r="S375" i="11"/>
  <c r="W375" i="11" s="1"/>
  <c r="Y375" i="11" s="1"/>
  <c r="Q378" i="11"/>
  <c r="V378" i="11" s="1"/>
  <c r="S391" i="11"/>
  <c r="W391" i="11" s="1"/>
  <c r="Y391" i="11" s="1"/>
  <c r="Q394" i="11"/>
  <c r="V394" i="11" s="1"/>
  <c r="S423" i="11"/>
  <c r="W423" i="11" s="1"/>
  <c r="Y423" i="11" s="1"/>
  <c r="Q426" i="11"/>
  <c r="V426" i="11" s="1"/>
  <c r="S787" i="11"/>
  <c r="T787" i="11" s="1"/>
  <c r="Q848" i="11"/>
  <c r="V848" i="11" s="1"/>
  <c r="Q887" i="11"/>
  <c r="V887" i="11" s="1"/>
  <c r="Q925" i="11"/>
  <c r="V925" i="11" s="1"/>
  <c r="Q938" i="11"/>
  <c r="V938" i="11" s="1"/>
  <c r="S958" i="11"/>
  <c r="T958" i="11" s="1"/>
  <c r="Q990" i="11"/>
  <c r="V990" i="11" s="1"/>
  <c r="Q1021" i="11"/>
  <c r="V1021" i="11" s="1"/>
  <c r="Q1034" i="11"/>
  <c r="V1034" i="11" s="1"/>
  <c r="Q1043" i="11"/>
  <c r="Q1061" i="11"/>
  <c r="V1061" i="11" s="1"/>
  <c r="S491" i="11"/>
  <c r="T491" i="11" s="1"/>
  <c r="Q596" i="11"/>
  <c r="V596" i="11" s="1"/>
  <c r="Q457" i="11"/>
  <c r="V457" i="11" s="1"/>
  <c r="Q461" i="11"/>
  <c r="V461" i="11" s="1"/>
  <c r="Q465" i="11"/>
  <c r="V465" i="11" s="1"/>
  <c r="Q469" i="11"/>
  <c r="V469" i="11" s="1"/>
  <c r="Q473" i="11"/>
  <c r="V473" i="11" s="1"/>
  <c r="Q477" i="11"/>
  <c r="V477" i="11" s="1"/>
  <c r="Q481" i="11"/>
  <c r="V481" i="11" s="1"/>
  <c r="Q485" i="11"/>
  <c r="V485" i="11" s="1"/>
  <c r="Q489" i="11"/>
  <c r="V489" i="11" s="1"/>
  <c r="Q883" i="11"/>
  <c r="V883" i="11" s="1"/>
  <c r="Q902" i="11"/>
  <c r="V902" i="11" s="1"/>
  <c r="Q922" i="11"/>
  <c r="V922" i="11" s="1"/>
  <c r="Q934" i="11"/>
  <c r="V934" i="11" s="1"/>
  <c r="S955" i="11"/>
  <c r="T955" i="11" s="1"/>
  <c r="Q564" i="11"/>
  <c r="V564" i="11" s="1"/>
  <c r="Q579" i="11"/>
  <c r="V579" i="11" s="1"/>
  <c r="Q553" i="11"/>
  <c r="V553" i="11" s="1"/>
  <c r="Q558" i="11"/>
  <c r="V558" i="11" s="1"/>
  <c r="Q588" i="11"/>
  <c r="V588" i="11" s="1"/>
  <c r="Q575" i="11"/>
  <c r="V575" i="11" s="1"/>
  <c r="Q593" i="11"/>
  <c r="V593" i="11" s="1"/>
  <c r="Q597" i="11"/>
  <c r="V597" i="11" s="1"/>
  <c r="Q944" i="11"/>
  <c r="V944" i="11" s="1"/>
  <c r="Q959" i="11"/>
  <c r="V959" i="11" s="1"/>
  <c r="Q1053" i="11"/>
  <c r="Q1058" i="11"/>
  <c r="V1058" i="11" s="1"/>
  <c r="Q1067" i="11"/>
  <c r="V1067" i="11" s="1"/>
  <c r="S535" i="11"/>
  <c r="T535" i="11" s="1"/>
  <c r="Q565" i="11"/>
  <c r="T272" i="11"/>
  <c r="Q319" i="11"/>
  <c r="V319" i="11" s="1"/>
  <c r="S363" i="11"/>
  <c r="W363" i="11" s="1"/>
  <c r="Y363" i="11" s="1"/>
  <c r="Q366" i="11"/>
  <c r="V366" i="11" s="1"/>
  <c r="Q382" i="11"/>
  <c r="V382" i="11" s="1"/>
  <c r="S395" i="11"/>
  <c r="W395" i="11" s="1"/>
  <c r="Y395" i="11" s="1"/>
  <c r="Q414" i="11"/>
  <c r="V414" i="11" s="1"/>
  <c r="S427" i="11"/>
  <c r="W427" i="11" s="1"/>
  <c r="Y427" i="11" s="1"/>
  <c r="Q779" i="11"/>
  <c r="V779" i="11" s="1"/>
  <c r="Q903" i="11"/>
  <c r="V903" i="11" s="1"/>
  <c r="Q956" i="11"/>
  <c r="V956" i="11" s="1"/>
  <c r="Q969" i="11"/>
  <c r="V969" i="11" s="1"/>
  <c r="S973" i="11"/>
  <c r="S991" i="11"/>
  <c r="T991" i="11" s="1"/>
  <c r="Q1022" i="11"/>
  <c r="V1022" i="11" s="1"/>
  <c r="Q1035" i="11"/>
  <c r="Q1044" i="11"/>
  <c r="V1044" i="11" s="1"/>
  <c r="S514" i="11"/>
  <c r="T514" i="11" s="1"/>
  <c r="Q554" i="11"/>
  <c r="V554" i="11" s="1"/>
  <c r="Q1078" i="11"/>
  <c r="V1078" i="11" s="1"/>
  <c r="Q580" i="11"/>
  <c r="V580" i="11" s="1"/>
  <c r="Q589" i="11"/>
  <c r="V589" i="11" s="1"/>
  <c r="Q194" i="11"/>
  <c r="V194" i="11" s="1"/>
  <c r="Q202" i="11"/>
  <c r="V202" i="11" s="1"/>
  <c r="Q213" i="11"/>
  <c r="V213" i="11" s="1"/>
  <c r="Q768" i="11"/>
  <c r="V768" i="11" s="1"/>
  <c r="Q260" i="11"/>
  <c r="V260" i="11" s="1"/>
  <c r="S263" i="11"/>
  <c r="W263" i="11" s="1"/>
  <c r="Y263" i="11" s="1"/>
  <c r="Q266" i="11"/>
  <c r="V266" i="11" s="1"/>
  <c r="S295" i="11"/>
  <c r="W295" i="11" s="1"/>
  <c r="Y295" i="11" s="1"/>
  <c r="Q298" i="11"/>
  <c r="V298" i="11" s="1"/>
  <c r="Q304" i="11"/>
  <c r="V304" i="11" s="1"/>
  <c r="Q335" i="11"/>
  <c r="V335" i="11" s="1"/>
  <c r="S379" i="11"/>
  <c r="W379" i="11" s="1"/>
  <c r="Y379" i="11" s="1"/>
  <c r="S411" i="11"/>
  <c r="W411" i="11" s="1"/>
  <c r="Y411" i="11" s="1"/>
  <c r="Q881" i="11"/>
  <c r="V881" i="11" s="1"/>
  <c r="Q884" i="11"/>
  <c r="V884" i="11" s="1"/>
  <c r="Q540" i="11"/>
  <c r="V540" i="11" s="1"/>
  <c r="Q1074" i="11"/>
  <c r="V1074" i="11" s="1"/>
  <c r="Q1083" i="11"/>
  <c r="V1083" i="11" s="1"/>
  <c r="Q572" i="11"/>
  <c r="V572" i="11" s="1"/>
  <c r="Q576" i="11"/>
  <c r="V576" i="11" s="1"/>
  <c r="Q594" i="11"/>
  <c r="V594" i="11" s="1"/>
  <c r="Q1005" i="11"/>
  <c r="V1005" i="11" s="1"/>
  <c r="S1026" i="11"/>
  <c r="T1026" i="11" s="1"/>
  <c r="Q566" i="11"/>
  <c r="V566" i="11" s="1"/>
  <c r="Q570" i="11"/>
  <c r="V570" i="11" s="1"/>
  <c r="T361" i="11"/>
  <c r="Q915" i="11"/>
  <c r="Q920" i="11"/>
  <c r="V920" i="11" s="1"/>
  <c r="Q1059" i="11"/>
  <c r="V1059" i="11" s="1"/>
  <c r="Q1079" i="11"/>
  <c r="V1079" i="11" s="1"/>
  <c r="S784" i="11"/>
  <c r="T784" i="11" s="1"/>
  <c r="Q1064" i="11"/>
  <c r="V1064" i="11" s="1"/>
  <c r="Q1068" i="11"/>
  <c r="V1068" i="11" s="1"/>
  <c r="Q1070" i="11"/>
  <c r="V1070" i="11" s="1"/>
  <c r="Q573" i="11"/>
  <c r="V573" i="11" s="1"/>
  <c r="Q590" i="11"/>
  <c r="V590" i="11" s="1"/>
  <c r="S311" i="11"/>
  <c r="W311" i="11" s="1"/>
  <c r="Y311" i="11" s="1"/>
  <c r="Q314" i="11"/>
  <c r="V314" i="11" s="1"/>
  <c r="Q317" i="11"/>
  <c r="V317" i="11" s="1"/>
  <c r="Q320" i="11"/>
  <c r="V320" i="11" s="1"/>
  <c r="Q333" i="11"/>
  <c r="V333" i="11" s="1"/>
  <c r="Q367" i="11"/>
  <c r="V367" i="11" s="1"/>
  <c r="Q383" i="11"/>
  <c r="W383" i="11" s="1"/>
  <c r="Q409" i="11"/>
  <c r="V409" i="11" s="1"/>
  <c r="Q415" i="11"/>
  <c r="V415" i="11" s="1"/>
  <c r="Q802" i="11"/>
  <c r="V802" i="11" s="1"/>
  <c r="S806" i="11"/>
  <c r="Q834" i="11"/>
  <c r="V834" i="11" s="1"/>
  <c r="S838" i="11"/>
  <c r="T838" i="11" s="1"/>
  <c r="S862" i="11"/>
  <c r="T862" i="11" s="1"/>
  <c r="S978" i="11"/>
  <c r="T978" i="11" s="1"/>
  <c r="Q1002" i="11"/>
  <c r="V1002" i="11" s="1"/>
  <c r="S1023" i="11"/>
  <c r="T1023" i="11" s="1"/>
  <c r="Q571" i="11"/>
  <c r="V571" i="11" s="1"/>
  <c r="Q1075" i="11"/>
  <c r="V1075" i="11" s="1"/>
  <c r="Q286" i="11"/>
  <c r="V286" i="11" s="1"/>
  <c r="S327" i="11"/>
  <c r="W327" i="11" s="1"/>
  <c r="Y327" i="11" s="1"/>
  <c r="S886" i="11"/>
  <c r="T886" i="11" s="1"/>
  <c r="Q556" i="11"/>
  <c r="V556" i="11" s="1"/>
  <c r="Q562" i="11"/>
  <c r="V562" i="11" s="1"/>
  <c r="Q567" i="11"/>
  <c r="V567" i="11" s="1"/>
  <c r="Q1080" i="11"/>
  <c r="V1080" i="11" s="1"/>
  <c r="Q1084" i="11"/>
  <c r="V1084" i="11" s="1"/>
  <c r="Q577" i="11"/>
  <c r="V577" i="11" s="1"/>
  <c r="Q595" i="11"/>
  <c r="V595" i="11" s="1"/>
  <c r="S516" i="11"/>
  <c r="T516" i="11" s="1"/>
  <c r="T1085" i="11"/>
  <c r="T539" i="11"/>
  <c r="T518" i="11"/>
  <c r="Q492" i="11"/>
  <c r="V492" i="11" s="1"/>
  <c r="Q494" i="11"/>
  <c r="V494" i="11" s="1"/>
  <c r="Q513" i="11"/>
  <c r="V513" i="11" s="1"/>
  <c r="Q515" i="11"/>
  <c r="V515" i="11" s="1"/>
  <c r="Q517" i="11"/>
  <c r="V517" i="11" s="1"/>
  <c r="Q519" i="11"/>
  <c r="V519" i="11" s="1"/>
  <c r="Q521" i="11"/>
  <c r="V521" i="11" s="1"/>
  <c r="Q523" i="11"/>
  <c r="V523" i="11" s="1"/>
  <c r="Q525" i="11"/>
  <c r="V525" i="11" s="1"/>
  <c r="Q530" i="11"/>
  <c r="V530" i="11" s="1"/>
  <c r="Q532" i="11"/>
  <c r="V532" i="11" s="1"/>
  <c r="Q534" i="11"/>
  <c r="V534" i="11" s="1"/>
  <c r="Q536" i="11"/>
  <c r="V536" i="11" s="1"/>
  <c r="Q538" i="11"/>
  <c r="V538" i="11" s="1"/>
  <c r="T1060" i="11"/>
  <c r="T901" i="11"/>
  <c r="T789" i="11"/>
  <c r="S986" i="11"/>
  <c r="Q986" i="11"/>
  <c r="V986" i="11" s="1"/>
  <c r="S1001" i="11"/>
  <c r="Q1001" i="11"/>
  <c r="V1001" i="11" s="1"/>
  <c r="S1033" i="11"/>
  <c r="Q1033" i="11"/>
  <c r="V1033" i="11" s="1"/>
  <c r="Q832" i="11"/>
  <c r="V832" i="11" s="1"/>
  <c r="Q798" i="11"/>
  <c r="V798" i="11" s="1"/>
  <c r="S849" i="11"/>
  <c r="T849" i="11" s="1"/>
  <c r="S867" i="11"/>
  <c r="S904" i="11"/>
  <c r="S918" i="11"/>
  <c r="S929" i="11"/>
  <c r="Q929" i="11"/>
  <c r="V929" i="11" s="1"/>
  <c r="S948" i="11"/>
  <c r="Q948" i="11"/>
  <c r="V948" i="11" s="1"/>
  <c r="S800" i="11"/>
  <c r="Q815" i="11"/>
  <c r="V815" i="11" s="1"/>
  <c r="Q796" i="11"/>
  <c r="V796" i="11" s="1"/>
  <c r="Q813" i="11"/>
  <c r="V813" i="11" s="1"/>
  <c r="Q845" i="11"/>
  <c r="V845" i="11" s="1"/>
  <c r="Q865" i="11"/>
  <c r="V865" i="11" s="1"/>
  <c r="Q921" i="11"/>
  <c r="V921" i="11" s="1"/>
  <c r="Q794" i="11"/>
  <c r="V794" i="11" s="1"/>
  <c r="Q811" i="11"/>
  <c r="V811" i="11" s="1"/>
  <c r="Q843" i="11"/>
  <c r="V843" i="11" s="1"/>
  <c r="Q856" i="11"/>
  <c r="V856" i="11" s="1"/>
  <c r="T887" i="11"/>
  <c r="S890" i="11"/>
  <c r="Q890" i="11"/>
  <c r="V890" i="11" s="1"/>
  <c r="Q899" i="11"/>
  <c r="V899" i="11" s="1"/>
  <c r="Q932" i="11"/>
  <c r="V932" i="11" s="1"/>
  <c r="S968" i="11"/>
  <c r="Q968" i="11"/>
  <c r="V968" i="11" s="1"/>
  <c r="S983" i="11"/>
  <c r="Q983" i="11"/>
  <c r="V983" i="11" s="1"/>
  <c r="Q781" i="11"/>
  <c r="V781" i="11" s="1"/>
  <c r="Q783" i="11"/>
  <c r="V783" i="11" s="1"/>
  <c r="Q786" i="11"/>
  <c r="V786" i="11" s="1"/>
  <c r="Q788" i="11"/>
  <c r="V788" i="11" s="1"/>
  <c r="Q790" i="11"/>
  <c r="V790" i="11" s="1"/>
  <c r="Q807" i="11"/>
  <c r="V807" i="11" s="1"/>
  <c r="Q839" i="11"/>
  <c r="V839" i="11" s="1"/>
  <c r="Q854" i="11"/>
  <c r="V854" i="11" s="1"/>
  <c r="Q879" i="11"/>
  <c r="V879" i="11" s="1"/>
  <c r="S913" i="11"/>
  <c r="Q913" i="11"/>
  <c r="V913" i="11" s="1"/>
  <c r="S967" i="11"/>
  <c r="Q967" i="11"/>
  <c r="V967" i="11" s="1"/>
  <c r="Q805" i="11"/>
  <c r="V805" i="11" s="1"/>
  <c r="Q837" i="11"/>
  <c r="V837" i="11" s="1"/>
  <c r="Q852" i="11"/>
  <c r="V852" i="11" s="1"/>
  <c r="Q861" i="11"/>
  <c r="V861" i="11" s="1"/>
  <c r="Q916" i="11"/>
  <c r="V916" i="11" s="1"/>
  <c r="Q919" i="11"/>
  <c r="V919" i="11" s="1"/>
  <c r="Q939" i="11"/>
  <c r="V939" i="11" s="1"/>
  <c r="S949" i="11"/>
  <c r="Q949" i="11"/>
  <c r="V949" i="11" s="1"/>
  <c r="S965" i="11"/>
  <c r="Q965" i="11"/>
  <c r="V965" i="11" s="1"/>
  <c r="Q972" i="11"/>
  <c r="V972" i="11" s="1"/>
  <c r="Q1051" i="11"/>
  <c r="V1051" i="11" s="1"/>
  <c r="S1056" i="11"/>
  <c r="Q1056" i="11"/>
  <c r="V1056" i="11" s="1"/>
  <c r="Q803" i="11"/>
  <c r="V803" i="11" s="1"/>
  <c r="Q835" i="11"/>
  <c r="V835" i="11" s="1"/>
  <c r="Q850" i="11"/>
  <c r="V850" i="11" s="1"/>
  <c r="S891" i="11"/>
  <c r="Q891" i="11"/>
  <c r="V891" i="11" s="1"/>
  <c r="S930" i="11"/>
  <c r="Q930" i="11"/>
  <c r="V930" i="11" s="1"/>
  <c r="Q933" i="11"/>
  <c r="V933" i="11" s="1"/>
  <c r="S984" i="11"/>
  <c r="Q984" i="11"/>
  <c r="V984" i="11" s="1"/>
  <c r="Q951" i="11"/>
  <c r="V951" i="11" s="1"/>
  <c r="Q1042" i="11"/>
  <c r="V1042" i="11" s="1"/>
  <c r="Q988" i="11"/>
  <c r="V988" i="11" s="1"/>
  <c r="S1040" i="11"/>
  <c r="Q1040" i="11"/>
  <c r="V1040" i="11" s="1"/>
  <c r="T833" i="11"/>
  <c r="S911" i="11"/>
  <c r="Q911" i="11"/>
  <c r="V911" i="11" s="1"/>
  <c r="S914" i="11"/>
  <c r="Q914" i="11"/>
  <c r="V914" i="11" s="1"/>
  <c r="S950" i="11"/>
  <c r="Q950" i="11"/>
  <c r="V950" i="11" s="1"/>
  <c r="S985" i="11"/>
  <c r="Q985" i="11"/>
  <c r="V985" i="11" s="1"/>
  <c r="S1000" i="11"/>
  <c r="Q1000" i="11"/>
  <c r="V1000" i="11" s="1"/>
  <c r="S1016" i="11"/>
  <c r="Q1016" i="11"/>
  <c r="V1016" i="11" s="1"/>
  <c r="Q795" i="11"/>
  <c r="V795" i="11" s="1"/>
  <c r="T799" i="11"/>
  <c r="Q810" i="11"/>
  <c r="V810" i="11" s="1"/>
  <c r="T814" i="11"/>
  <c r="Q842" i="11"/>
  <c r="V842" i="11" s="1"/>
  <c r="Q864" i="11"/>
  <c r="V864" i="11" s="1"/>
  <c r="Q880" i="11"/>
  <c r="V880" i="11" s="1"/>
  <c r="Q917" i="11"/>
  <c r="V917" i="11" s="1"/>
  <c r="S966" i="11"/>
  <c r="Q966" i="11"/>
  <c r="V966" i="11" s="1"/>
  <c r="Q1020" i="11"/>
  <c r="V1020" i="11" s="1"/>
  <c r="Q855" i="11"/>
  <c r="V855" i="11" s="1"/>
  <c r="Q906" i="11"/>
  <c r="V906" i="11" s="1"/>
  <c r="S947" i="11"/>
  <c r="Q947" i="11"/>
  <c r="V947" i="11" s="1"/>
  <c r="S963" i="11"/>
  <c r="Q963" i="11"/>
  <c r="V963" i="11" s="1"/>
  <c r="S970" i="11"/>
  <c r="Q970" i="11"/>
  <c r="V970" i="11" s="1"/>
  <c r="T989" i="11"/>
  <c r="S1049" i="11"/>
  <c r="Q1049" i="11"/>
  <c r="V1049" i="11" s="1"/>
  <c r="Q793" i="11"/>
  <c r="V793" i="11" s="1"/>
  <c r="Q808" i="11"/>
  <c r="V808" i="11" s="1"/>
  <c r="Q840" i="11"/>
  <c r="V840" i="11" s="1"/>
  <c r="S898" i="11"/>
  <c r="Q898" i="11"/>
  <c r="V898" i="11" s="1"/>
  <c r="S928" i="11"/>
  <c r="Q928" i="11"/>
  <c r="V928" i="11" s="1"/>
  <c r="Q931" i="11"/>
  <c r="V931" i="11" s="1"/>
  <c r="Q1003" i="11"/>
  <c r="V1003" i="11" s="1"/>
  <c r="Q1018" i="11"/>
  <c r="V1018" i="11" s="1"/>
  <c r="Q981" i="11"/>
  <c r="V981" i="11" s="1"/>
  <c r="Q999" i="11"/>
  <c r="V999" i="11" s="1"/>
  <c r="Q1014" i="11"/>
  <c r="V1014" i="11" s="1"/>
  <c r="Q1031" i="11"/>
  <c r="V1031" i="11" s="1"/>
  <c r="Q964" i="11"/>
  <c r="V964" i="11" s="1"/>
  <c r="Q979" i="11"/>
  <c r="V979" i="11" s="1"/>
  <c r="Q997" i="11"/>
  <c r="V997" i="11" s="1"/>
  <c r="Q1012" i="11"/>
  <c r="V1012" i="11" s="1"/>
  <c r="Q1029" i="11"/>
  <c r="V1029" i="11" s="1"/>
  <c r="Q1038" i="11"/>
  <c r="V1038" i="11" s="1"/>
  <c r="Q1047" i="11"/>
  <c r="V1047" i="11" s="1"/>
  <c r="Q1054" i="11"/>
  <c r="V1054" i="11" s="1"/>
  <c r="Q945" i="11"/>
  <c r="V945" i="11" s="1"/>
  <c r="Q962" i="11"/>
  <c r="V962" i="11" s="1"/>
  <c r="Q977" i="11"/>
  <c r="V977" i="11" s="1"/>
  <c r="Q995" i="11"/>
  <c r="V995" i="11" s="1"/>
  <c r="Q1010" i="11"/>
  <c r="V1010" i="11" s="1"/>
  <c r="Q1027" i="11"/>
  <c r="V1027" i="11" s="1"/>
  <c r="Q888" i="11"/>
  <c r="V888" i="11" s="1"/>
  <c r="Q909" i="11"/>
  <c r="V909" i="11" s="1"/>
  <c r="Q926" i="11"/>
  <c r="V926" i="11" s="1"/>
  <c r="Q943" i="11"/>
  <c r="V943" i="11" s="1"/>
  <c r="Q960" i="11"/>
  <c r="V960" i="11" s="1"/>
  <c r="Q975" i="11"/>
  <c r="V975" i="11" s="1"/>
  <c r="Q993" i="11"/>
  <c r="V993" i="11" s="1"/>
  <c r="Q1008" i="11"/>
  <c r="V1008" i="11" s="1"/>
  <c r="Q1025" i="11"/>
  <c r="V1025" i="11" s="1"/>
  <c r="Q1036" i="11"/>
  <c r="V1036" i="11" s="1"/>
  <c r="Q1045" i="11"/>
  <c r="V1045" i="11" s="1"/>
  <c r="Q1052" i="11"/>
  <c r="V1052" i="11" s="1"/>
  <c r="Q1017" i="11"/>
  <c r="V1017" i="11" s="1"/>
  <c r="Q1032" i="11"/>
  <c r="V1032" i="11" s="1"/>
  <c r="Q1041" i="11"/>
  <c r="V1041" i="11" s="1"/>
  <c r="Q1048" i="11"/>
  <c r="V1048" i="11" s="1"/>
  <c r="Q998" i="11"/>
  <c r="V998" i="11" s="1"/>
  <c r="Q1015" i="11"/>
  <c r="V1015" i="11" s="1"/>
  <c r="Q1030" i="11"/>
  <c r="V1030" i="11" s="1"/>
  <c r="Q980" i="11"/>
  <c r="V980" i="11" s="1"/>
  <c r="Q996" i="11"/>
  <c r="V996" i="11" s="1"/>
  <c r="Q1013" i="11"/>
  <c r="V1013" i="11" s="1"/>
  <c r="Q1028" i="11"/>
  <c r="V1028" i="11" s="1"/>
  <c r="Q1039" i="11"/>
  <c r="V1039" i="11" s="1"/>
  <c r="Q1046" i="11"/>
  <c r="V1046" i="11" s="1"/>
  <c r="Q1055" i="11"/>
  <c r="V1055" i="11" s="1"/>
  <c r="Q458" i="11"/>
  <c r="V458" i="11" s="1"/>
  <c r="Q460" i="11"/>
  <c r="V460" i="11" s="1"/>
  <c r="Q462" i="11"/>
  <c r="V462" i="11" s="1"/>
  <c r="Q464" i="11"/>
  <c r="V464" i="11" s="1"/>
  <c r="Q466" i="11"/>
  <c r="V466" i="11" s="1"/>
  <c r="Q468" i="11"/>
  <c r="V468" i="11" s="1"/>
  <c r="Q470" i="11"/>
  <c r="V470" i="11" s="1"/>
  <c r="Q472" i="11"/>
  <c r="V472" i="11" s="1"/>
  <c r="Q474" i="11"/>
  <c r="V474" i="11" s="1"/>
  <c r="Q476" i="11"/>
  <c r="V476" i="11" s="1"/>
  <c r="Q478" i="11"/>
  <c r="V478" i="11" s="1"/>
  <c r="Q480" i="11"/>
  <c r="V480" i="11" s="1"/>
  <c r="Q482" i="11"/>
  <c r="V482" i="11" s="1"/>
  <c r="Q484" i="11"/>
  <c r="V484" i="11" s="1"/>
  <c r="Q486" i="11"/>
  <c r="V486" i="11" s="1"/>
  <c r="Q488" i="11"/>
  <c r="V488" i="11" s="1"/>
  <c r="T483" i="11"/>
  <c r="S358" i="11"/>
  <c r="W358" i="11" s="1"/>
  <c r="Y358" i="11" s="1"/>
  <c r="T372" i="11"/>
  <c r="Q390" i="11"/>
  <c r="V390" i="11" s="1"/>
  <c r="T349" i="11"/>
  <c r="Q271" i="11"/>
  <c r="V271" i="11" s="1"/>
  <c r="Q219" i="11"/>
  <c r="V219" i="11" s="1"/>
  <c r="S219" i="11"/>
  <c r="T310" i="11"/>
  <c r="S305" i="11"/>
  <c r="Q305" i="11"/>
  <c r="V305" i="11" s="1"/>
  <c r="S376" i="11"/>
  <c r="Q376" i="11"/>
  <c r="V376" i="11" s="1"/>
  <c r="Q438" i="11"/>
  <c r="V438" i="11" s="1"/>
  <c r="T244" i="11"/>
  <c r="Q294" i="11"/>
  <c r="V294" i="11" s="1"/>
  <c r="S328" i="11"/>
  <c r="Q328" i="11"/>
  <c r="V328" i="11" s="1"/>
  <c r="S353" i="11"/>
  <c r="Q353" i="11"/>
  <c r="V353" i="11" s="1"/>
  <c r="S321" i="11"/>
  <c r="Q321" i="11"/>
  <c r="V321" i="11" s="1"/>
  <c r="S241" i="11"/>
  <c r="Q241" i="11"/>
  <c r="V241" i="11" s="1"/>
  <c r="S280" i="11"/>
  <c r="Q280" i="11"/>
  <c r="V280" i="11" s="1"/>
  <c r="Q255" i="11"/>
  <c r="V255" i="11" s="1"/>
  <c r="S220" i="11"/>
  <c r="Q220" i="11"/>
  <c r="V220" i="11" s="1"/>
  <c r="S264" i="11"/>
  <c r="Q264" i="11"/>
  <c r="V264" i="11" s="1"/>
  <c r="S424" i="11"/>
  <c r="Q424" i="11"/>
  <c r="V424" i="11" s="1"/>
  <c r="S257" i="11"/>
  <c r="Q257" i="11"/>
  <c r="V257" i="11" s="1"/>
  <c r="T276" i="11"/>
  <c r="S344" i="11"/>
  <c r="Q344" i="11"/>
  <c r="V344" i="11" s="1"/>
  <c r="T445" i="11"/>
  <c r="S248" i="11"/>
  <c r="Q248" i="11"/>
  <c r="V248" i="11" s="1"/>
  <c r="S312" i="11"/>
  <c r="Q312" i="11"/>
  <c r="V312" i="11" s="1"/>
  <c r="S337" i="11"/>
  <c r="Q337" i="11"/>
  <c r="V337" i="11" s="1"/>
  <c r="S296" i="11"/>
  <c r="Q296" i="11"/>
  <c r="V296" i="11" s="1"/>
  <c r="S408" i="11"/>
  <c r="Q408" i="11"/>
  <c r="V408" i="11" s="1"/>
  <c r="S278" i="11"/>
  <c r="W278" i="11" s="1"/>
  <c r="Y278" i="11" s="1"/>
  <c r="S226" i="11"/>
  <c r="Q226" i="11"/>
  <c r="V226" i="11" s="1"/>
  <c r="Q326" i="11"/>
  <c r="V326" i="11" s="1"/>
  <c r="S360" i="11"/>
  <c r="Q360" i="11"/>
  <c r="V360" i="11" s="1"/>
  <c r="Q374" i="11"/>
  <c r="V374" i="11" s="1"/>
  <c r="S392" i="11"/>
  <c r="Q392" i="11"/>
  <c r="V392" i="11" s="1"/>
  <c r="T398" i="11"/>
  <c r="T407" i="11"/>
  <c r="S289" i="11"/>
  <c r="Q289" i="11"/>
  <c r="V289" i="11" s="1"/>
  <c r="T292" i="11"/>
  <c r="S273" i="11"/>
  <c r="Q273" i="11"/>
  <c r="V273" i="11" s="1"/>
  <c r="S440" i="11"/>
  <c r="Q440" i="11"/>
  <c r="V440" i="11" s="1"/>
  <c r="Q422" i="11"/>
  <c r="V422" i="11" s="1"/>
  <c r="Q369" i="11"/>
  <c r="V369" i="11" s="1"/>
  <c r="Q385" i="11"/>
  <c r="V385" i="11" s="1"/>
  <c r="Q401" i="11"/>
  <c r="V401" i="11" s="1"/>
  <c r="Q417" i="11"/>
  <c r="V417" i="11" s="1"/>
  <c r="Q433" i="11"/>
  <c r="V433" i="11" s="1"/>
  <c r="Q442" i="11"/>
  <c r="V442" i="11" s="1"/>
  <c r="Q259" i="11"/>
  <c r="V259" i="11" s="1"/>
  <c r="Q275" i="11"/>
  <c r="V275" i="11" s="1"/>
  <c r="Q291" i="11"/>
  <c r="V291" i="11" s="1"/>
  <c r="Q307" i="11"/>
  <c r="V307" i="11" s="1"/>
  <c r="Q323" i="11"/>
  <c r="V323" i="11" s="1"/>
  <c r="Q339" i="11"/>
  <c r="V339" i="11" s="1"/>
  <c r="Q355" i="11"/>
  <c r="V355" i="11" s="1"/>
  <c r="Q371" i="11"/>
  <c r="V371" i="11" s="1"/>
  <c r="Q387" i="11"/>
  <c r="V387" i="11" s="1"/>
  <c r="Q403" i="11"/>
  <c r="V403" i="11" s="1"/>
  <c r="Q419" i="11"/>
  <c r="V419" i="11" s="1"/>
  <c r="Q435" i="11"/>
  <c r="V435" i="11" s="1"/>
  <c r="Q243" i="11"/>
  <c r="V243" i="11" s="1"/>
  <c r="S221" i="11"/>
  <c r="W221" i="11" s="1"/>
  <c r="Y221" i="11" s="1"/>
  <c r="Q230" i="11"/>
  <c r="V230" i="11" s="1"/>
  <c r="Q268" i="11"/>
  <c r="V268" i="11" s="1"/>
  <c r="Q284" i="11"/>
  <c r="V284" i="11" s="1"/>
  <c r="Q300" i="11"/>
  <c r="V300" i="11" s="1"/>
  <c r="Q316" i="11"/>
  <c r="V316" i="11" s="1"/>
  <c r="T330" i="11"/>
  <c r="Q332" i="11"/>
  <c r="V332" i="11" s="1"/>
  <c r="Q348" i="11"/>
  <c r="V348" i="11" s="1"/>
  <c r="Q364" i="11"/>
  <c r="V364" i="11" s="1"/>
  <c r="Q380" i="11"/>
  <c r="V380" i="11" s="1"/>
  <c r="Q396" i="11"/>
  <c r="V396" i="11" s="1"/>
  <c r="Q412" i="11"/>
  <c r="V412" i="11" s="1"/>
  <c r="Q428" i="11"/>
  <c r="V428" i="11" s="1"/>
  <c r="Q444" i="11"/>
  <c r="V444" i="11" s="1"/>
  <c r="Q223" i="11"/>
  <c r="V223" i="11" s="1"/>
  <c r="Q245" i="11"/>
  <c r="V245" i="11" s="1"/>
  <c r="Q261" i="11"/>
  <c r="V261" i="11" s="1"/>
  <c r="Q277" i="11"/>
  <c r="V277" i="11" s="1"/>
  <c r="Q293" i="11"/>
  <c r="V293" i="11" s="1"/>
  <c r="Q309" i="11"/>
  <c r="V309" i="11" s="1"/>
  <c r="Q325" i="11"/>
  <c r="V325" i="11" s="1"/>
  <c r="Q341" i="11"/>
  <c r="V341" i="11" s="1"/>
  <c r="Q357" i="11"/>
  <c r="V357" i="11" s="1"/>
  <c r="Q373" i="11"/>
  <c r="V373" i="11" s="1"/>
  <c r="Q389" i="11"/>
  <c r="V389" i="11" s="1"/>
  <c r="Q405" i="11"/>
  <c r="V405" i="11" s="1"/>
  <c r="Q421" i="11"/>
  <c r="V421" i="11" s="1"/>
  <c r="Q437" i="11"/>
  <c r="V437" i="11" s="1"/>
  <c r="Q455" i="11"/>
  <c r="V455" i="11" s="1"/>
  <c r="Q242" i="11"/>
  <c r="V242" i="11" s="1"/>
  <c r="Q258" i="11"/>
  <c r="V258" i="11" s="1"/>
  <c r="Q274" i="11"/>
  <c r="V274" i="11" s="1"/>
  <c r="Q290" i="11"/>
  <c r="V290" i="11" s="1"/>
  <c r="Q306" i="11"/>
  <c r="V306" i="11" s="1"/>
  <c r="Q322" i="11"/>
  <c r="V322" i="11" s="1"/>
  <c r="Q338" i="11"/>
  <c r="V338" i="11" s="1"/>
  <c r="Q354" i="11"/>
  <c r="V354" i="11" s="1"/>
  <c r="Q370" i="11"/>
  <c r="V370" i="11" s="1"/>
  <c r="Q386" i="11"/>
  <c r="V386" i="11" s="1"/>
  <c r="Q402" i="11"/>
  <c r="V402" i="11" s="1"/>
  <c r="Q418" i="11"/>
  <c r="V418" i="11" s="1"/>
  <c r="Q434" i="11"/>
  <c r="V434" i="11" s="1"/>
  <c r="Q191" i="11"/>
  <c r="V191" i="11" s="1"/>
  <c r="U44" i="7"/>
  <c r="S44" i="7"/>
  <c r="U31" i="7"/>
  <c r="S31" i="7"/>
  <c r="U43" i="7"/>
  <c r="S43" i="7"/>
  <c r="U30" i="7"/>
  <c r="S30" i="7"/>
  <c r="U42" i="7"/>
  <c r="S42" i="7"/>
  <c r="S15" i="7"/>
  <c r="T399" i="11" l="1"/>
  <c r="T298" i="11"/>
  <c r="T351" i="11"/>
  <c r="T429" i="11"/>
  <c r="BN232" i="11"/>
  <c r="BO232" i="11" s="1"/>
  <c r="BD232" i="11" s="1"/>
  <c r="AE687" i="11"/>
  <c r="AE692" i="11"/>
  <c r="AE686" i="11"/>
  <c r="AE691" i="11"/>
  <c r="AE685" i="11"/>
  <c r="AE690" i="11"/>
  <c r="AE684" i="11"/>
  <c r="AE689" i="11"/>
  <c r="AE683" i="11"/>
  <c r="AE688" i="11"/>
  <c r="BN507" i="11"/>
  <c r="BO507" i="11" s="1"/>
  <c r="BD507" i="11" s="1"/>
  <c r="BN506" i="11"/>
  <c r="BO506" i="11" s="1"/>
  <c r="BD506" i="11" s="1"/>
  <c r="BN511" i="11"/>
  <c r="BO511" i="11" s="1"/>
  <c r="BD511" i="11" s="1"/>
  <c r="BN510" i="11"/>
  <c r="BO510" i="11" s="1"/>
  <c r="BD510" i="11" s="1"/>
  <c r="BN508" i="11"/>
  <c r="BO508" i="11" s="1"/>
  <c r="BD508" i="11" s="1"/>
  <c r="AE636" i="11"/>
  <c r="AE633" i="11"/>
  <c r="AE637" i="11"/>
  <c r="AE634" i="11"/>
  <c r="AE638" i="11"/>
  <c r="AE635" i="11"/>
  <c r="BM634" i="11"/>
  <c r="BM635" i="11"/>
  <c r="BM636" i="11"/>
  <c r="BM637" i="11"/>
  <c r="BM638" i="11"/>
  <c r="BM633" i="11"/>
  <c r="AE154" i="11"/>
  <c r="AE151" i="11"/>
  <c r="AE152" i="11"/>
  <c r="AE149" i="11"/>
  <c r="AE153" i="11"/>
  <c r="AE148" i="11"/>
  <c r="AE150" i="11"/>
  <c r="AE147" i="11"/>
  <c r="AE146" i="11"/>
  <c r="BN231" i="11"/>
  <c r="BO231" i="11" s="1"/>
  <c r="BD231" i="11" s="1"/>
  <c r="BN236" i="11"/>
  <c r="BO236" i="11" s="1"/>
  <c r="BD236" i="11" s="1"/>
  <c r="BM150" i="11"/>
  <c r="BM151" i="11"/>
  <c r="BM152" i="11"/>
  <c r="BM153" i="11"/>
  <c r="BM154" i="11"/>
  <c r="BM149" i="11"/>
  <c r="BN235" i="11"/>
  <c r="BO235" i="11" s="1"/>
  <c r="BD235" i="11" s="1"/>
  <c r="BN234" i="11"/>
  <c r="BO234" i="11" s="1"/>
  <c r="BD234" i="11" s="1"/>
  <c r="BN509" i="11"/>
  <c r="BO509" i="11" s="1"/>
  <c r="BD509" i="11" s="1"/>
  <c r="BN233" i="11"/>
  <c r="BO233" i="11" s="1"/>
  <c r="BD233" i="11" s="1"/>
  <c r="T841" i="11"/>
  <c r="T1022" i="11"/>
  <c r="T493" i="11"/>
  <c r="T552" i="11"/>
  <c r="T251" i="11"/>
  <c r="T563" i="11"/>
  <c r="T379" i="11"/>
  <c r="W398" i="11"/>
  <c r="Y398" i="11" s="1"/>
  <c r="W410" i="11"/>
  <c r="Y410" i="11" s="1"/>
  <c r="W292" i="11"/>
  <c r="Y292" i="11" s="1"/>
  <c r="W346" i="11"/>
  <c r="Y346" i="11" s="1"/>
  <c r="W373" i="11"/>
  <c r="Y373" i="11" s="1"/>
  <c r="W348" i="11"/>
  <c r="Y348" i="11" s="1"/>
  <c r="W353" i="11"/>
  <c r="Y353" i="11" s="1"/>
  <c r="T457" i="11"/>
  <c r="W324" i="11"/>
  <c r="Y324" i="11" s="1"/>
  <c r="W388" i="11"/>
  <c r="Y388" i="11" s="1"/>
  <c r="W303" i="11"/>
  <c r="Y303" i="11" s="1"/>
  <c r="W266" i="11"/>
  <c r="Y266" i="11" s="1"/>
  <c r="W350" i="11"/>
  <c r="Y350" i="11" s="1"/>
  <c r="W368" i="11"/>
  <c r="Y368" i="11" s="1"/>
  <c r="T954" i="11"/>
  <c r="W337" i="11"/>
  <c r="Y337" i="11" s="1"/>
  <c r="W392" i="11"/>
  <c r="Y392" i="11" s="1"/>
  <c r="W281" i="11"/>
  <c r="Y281" i="11" s="1"/>
  <c r="W318" i="11"/>
  <c r="Y318" i="11" s="1"/>
  <c r="W364" i="11"/>
  <c r="Y364" i="11" s="1"/>
  <c r="W247" i="11"/>
  <c r="Y247" i="11" s="1"/>
  <c r="W343" i="11"/>
  <c r="Y343" i="11" s="1"/>
  <c r="W389" i="11"/>
  <c r="Y389" i="11" s="1"/>
  <c r="W439" i="11"/>
  <c r="Y439" i="11" s="1"/>
  <c r="W433" i="11"/>
  <c r="Y433" i="11" s="1"/>
  <c r="W256" i="11"/>
  <c r="Y256" i="11" s="1"/>
  <c r="W328" i="11"/>
  <c r="Y328" i="11" s="1"/>
  <c r="W366" i="11"/>
  <c r="Y366" i="11" s="1"/>
  <c r="W261" i="11"/>
  <c r="Y261" i="11" s="1"/>
  <c r="W280" i="11"/>
  <c r="Y280" i="11" s="1"/>
  <c r="W345" i="11"/>
  <c r="Y345" i="11" s="1"/>
  <c r="W325" i="11"/>
  <c r="Y325" i="11" s="1"/>
  <c r="W380" i="11"/>
  <c r="Y380" i="11" s="1"/>
  <c r="W307" i="11"/>
  <c r="Y307" i="11" s="1"/>
  <c r="W361" i="11"/>
  <c r="Y361" i="11" s="1"/>
  <c r="W229" i="11"/>
  <c r="Y229" i="11" s="1"/>
  <c r="W322" i="11"/>
  <c r="Y322" i="11" s="1"/>
  <c r="W339" i="11"/>
  <c r="Y339" i="11" s="1"/>
  <c r="W440" i="11"/>
  <c r="Y440" i="11" s="1"/>
  <c r="W356" i="11"/>
  <c r="Y356" i="11" s="1"/>
  <c r="W271" i="11"/>
  <c r="Y271" i="11" s="1"/>
  <c r="W335" i="11"/>
  <c r="Y335" i="11" s="1"/>
  <c r="W308" i="11"/>
  <c r="Y308" i="11" s="1"/>
  <c r="W362" i="11"/>
  <c r="Y362" i="11" s="1"/>
  <c r="W298" i="11"/>
  <c r="Y298" i="11" s="1"/>
  <c r="W332" i="11"/>
  <c r="Y332" i="11" s="1"/>
  <c r="W405" i="11"/>
  <c r="Y405" i="11" s="1"/>
  <c r="W442" i="11"/>
  <c r="Y442" i="11" s="1"/>
  <c r="W421" i="11"/>
  <c r="W293" i="11"/>
  <c r="Y293" i="11" s="1"/>
  <c r="W428" i="11"/>
  <c r="Y428" i="11" s="1"/>
  <c r="W430" i="11"/>
  <c r="Y430" i="11" s="1"/>
  <c r="W248" i="11"/>
  <c r="Y248" i="11" s="1"/>
  <c r="W326" i="11"/>
  <c r="Y326" i="11" s="1"/>
  <c r="W277" i="11"/>
  <c r="Y277" i="11" s="1"/>
  <c r="W396" i="11"/>
  <c r="Y396" i="11" s="1"/>
  <c r="W432" i="11"/>
  <c r="Y432" i="11" s="1"/>
  <c r="W285" i="11"/>
  <c r="Y285" i="11" s="1"/>
  <c r="W321" i="11"/>
  <c r="Y321" i="11" s="1"/>
  <c r="W412" i="11"/>
  <c r="Y412" i="11" s="1"/>
  <c r="T797" i="11"/>
  <c r="V797" i="11"/>
  <c r="W282" i="11"/>
  <c r="Y282" i="11" s="1"/>
  <c r="W419" i="11"/>
  <c r="Y419" i="11" s="1"/>
  <c r="W367" i="11"/>
  <c r="Y367" i="11" s="1"/>
  <c r="W239" i="11"/>
  <c r="Y239" i="11" s="1"/>
  <c r="W309" i="11"/>
  <c r="Y309" i="11" s="1"/>
  <c r="W290" i="11"/>
  <c r="Y290" i="11" s="1"/>
  <c r="W333" i="11"/>
  <c r="Y333" i="11" s="1"/>
  <c r="W297" i="11"/>
  <c r="Y297" i="11" s="1"/>
  <c r="W370" i="11"/>
  <c r="Y370" i="11" s="1"/>
  <c r="W414" i="11"/>
  <c r="Y414" i="11" s="1"/>
  <c r="W275" i="11"/>
  <c r="Y275" i="11" s="1"/>
  <c r="W403" i="11"/>
  <c r="Y403" i="11" s="1"/>
  <c r="T313" i="11"/>
  <c r="V313" i="11"/>
  <c r="Y313" i="11" s="1"/>
  <c r="W262" i="11"/>
  <c r="Y262" i="11" s="1"/>
  <c r="W319" i="11"/>
  <c r="Y319" i="11" s="1"/>
  <c r="W401" i="11"/>
  <c r="Y401" i="11" s="1"/>
  <c r="W273" i="11"/>
  <c r="Y273" i="11" s="1"/>
  <c r="W300" i="11"/>
  <c r="Y300" i="11" s="1"/>
  <c r="W316" i="11"/>
  <c r="Y316" i="11" s="1"/>
  <c r="W230" i="11"/>
  <c r="Y230" i="11" s="1"/>
  <c r="W287" i="11"/>
  <c r="Y287" i="11" s="1"/>
  <c r="W360" i="11"/>
  <c r="Y360" i="11" s="1"/>
  <c r="W265" i="11"/>
  <c r="Y265" i="11" s="1"/>
  <c r="W304" i="11"/>
  <c r="Y304" i="11" s="1"/>
  <c r="W394" i="11"/>
  <c r="Y394" i="11" s="1"/>
  <c r="T900" i="11"/>
  <c r="W302" i="11"/>
  <c r="Y302" i="11" s="1"/>
  <c r="W291" i="11"/>
  <c r="Y291" i="11" s="1"/>
  <c r="W259" i="11"/>
  <c r="Y259" i="11" s="1"/>
  <c r="W289" i="11"/>
  <c r="Y289" i="11" s="1"/>
  <c r="W320" i="11"/>
  <c r="Y320" i="11" s="1"/>
  <c r="W351" i="11"/>
  <c r="Y351" i="11" s="1"/>
  <c r="W387" i="11"/>
  <c r="Y387" i="11" s="1"/>
  <c r="W243" i="11"/>
  <c r="Y243" i="11" s="1"/>
  <c r="W264" i="11"/>
  <c r="Y264" i="11" s="1"/>
  <c r="W376" i="11"/>
  <c r="Y376" i="11" s="1"/>
  <c r="W272" i="11"/>
  <c r="Y272" i="11" s="1"/>
  <c r="W279" i="11"/>
  <c r="Y279" i="11" s="1"/>
  <c r="W399" i="11"/>
  <c r="Y399" i="11" s="1"/>
  <c r="W246" i="11"/>
  <c r="Y246" i="11" s="1"/>
  <c r="W268" i="11"/>
  <c r="Y268" i="11" s="1"/>
  <c r="W444" i="11"/>
  <c r="Y444" i="11" s="1"/>
  <c r="W341" i="11"/>
  <c r="Y341" i="11" s="1"/>
  <c r="W378" i="11"/>
  <c r="Y378" i="11" s="1"/>
  <c r="W255" i="11"/>
  <c r="Y255" i="11" s="1"/>
  <c r="W349" i="11"/>
  <c r="Y349" i="11" s="1"/>
  <c r="T383" i="11"/>
  <c r="V383" i="11"/>
  <c r="Y383" i="11" s="1"/>
  <c r="T915" i="11"/>
  <c r="V915" i="11"/>
  <c r="W429" i="11"/>
  <c r="Y429" i="11" s="1"/>
  <c r="W374" i="11"/>
  <c r="Y374" i="11" s="1"/>
  <c r="W270" i="11"/>
  <c r="Y270" i="11" s="1"/>
  <c r="W390" i="11"/>
  <c r="Y390" i="11" s="1"/>
  <c r="W237" i="11"/>
  <c r="Y237" i="11" s="1"/>
  <c r="W434" i="11"/>
  <c r="Y434" i="11" s="1"/>
  <c r="W257" i="11"/>
  <c r="Y257" i="11" s="1"/>
  <c r="W359" i="11"/>
  <c r="Y359" i="11" s="1"/>
  <c r="W422" i="11"/>
  <c r="Y422" i="11" s="1"/>
  <c r="W228" i="11"/>
  <c r="Y228" i="11" s="1"/>
  <c r="W312" i="11"/>
  <c r="Y312" i="11" s="1"/>
  <c r="T1035" i="11"/>
  <c r="V1035" i="11"/>
  <c r="T565" i="11"/>
  <c r="V565" i="11"/>
  <c r="T1043" i="11"/>
  <c r="V1043" i="11"/>
  <c r="T329" i="11"/>
  <c r="V329" i="11"/>
  <c r="Y329" i="11" s="1"/>
  <c r="W420" i="11"/>
  <c r="Y420" i="11" s="1"/>
  <c r="W240" i="11"/>
  <c r="Y240" i="11" s="1"/>
  <c r="W365" i="11"/>
  <c r="Y365" i="11" s="1"/>
  <c r="W437" i="11"/>
  <c r="Y437" i="11" s="1"/>
  <c r="W455" i="11"/>
  <c r="Y455" i="11" s="1"/>
  <c r="W260" i="11"/>
  <c r="Y260" i="11" s="1"/>
  <c r="W381" i="11"/>
  <c r="Y381" i="11" s="1"/>
  <c r="W435" i="11"/>
  <c r="Y435" i="11" s="1"/>
  <c r="W220" i="11"/>
  <c r="Y220" i="11" s="1"/>
  <c r="W424" i="11"/>
  <c r="Y424" i="11" s="1"/>
  <c r="W323" i="11"/>
  <c r="Y323" i="11" s="1"/>
  <c r="W340" i="11"/>
  <c r="Y340" i="11" s="1"/>
  <c r="W413" i="11"/>
  <c r="Y413" i="11" s="1"/>
  <c r="W294" i="11"/>
  <c r="Y294" i="11" s="1"/>
  <c r="T463" i="11"/>
  <c r="T555" i="11"/>
  <c r="V555" i="11"/>
  <c r="W436" i="11"/>
  <c r="Y436" i="11" s="1"/>
  <c r="W223" i="11"/>
  <c r="Y223" i="11" s="1"/>
  <c r="W426" i="11"/>
  <c r="Y426" i="11" s="1"/>
  <c r="W288" i="11"/>
  <c r="Y288" i="11" s="1"/>
  <c r="W406" i="11"/>
  <c r="Y406" i="11" s="1"/>
  <c r="W242" i="11"/>
  <c r="Y242" i="11" s="1"/>
  <c r="W306" i="11"/>
  <c r="Y306" i="11" s="1"/>
  <c r="W331" i="11"/>
  <c r="Y331" i="11" s="1"/>
  <c r="W404" i="11"/>
  <c r="Y404" i="11" s="1"/>
  <c r="W385" i="11"/>
  <c r="Y385" i="11" s="1"/>
  <c r="W284" i="11"/>
  <c r="Y284" i="11" s="1"/>
  <c r="T858" i="11"/>
  <c r="V858" i="11"/>
  <c r="W402" i="11"/>
  <c r="Y402" i="11" s="1"/>
  <c r="W249" i="11"/>
  <c r="Y249" i="11" s="1"/>
  <c r="W336" i="11"/>
  <c r="Y336" i="11" s="1"/>
  <c r="W409" i="11"/>
  <c r="Y409" i="11" s="1"/>
  <c r="W269" i="11"/>
  <c r="Y269" i="11" s="1"/>
  <c r="W354" i="11"/>
  <c r="Y354" i="11" s="1"/>
  <c r="W417" i="11"/>
  <c r="Y417" i="11" s="1"/>
  <c r="W227" i="11"/>
  <c r="Y227" i="11" s="1"/>
  <c r="W258" i="11"/>
  <c r="Y258" i="11" s="1"/>
  <c r="W397" i="11"/>
  <c r="Y397" i="11" s="1"/>
  <c r="W357" i="11"/>
  <c r="Y357" i="11" s="1"/>
  <c r="W296" i="11"/>
  <c r="Y296" i="11" s="1"/>
  <c r="W314" i="11"/>
  <c r="Y314" i="11" s="1"/>
  <c r="W441" i="11"/>
  <c r="Y441" i="11" s="1"/>
  <c r="W283" i="11"/>
  <c r="Y283" i="11" s="1"/>
  <c r="W274" i="11"/>
  <c r="Y274" i="11" s="1"/>
  <c r="T952" i="11"/>
  <c r="V952" i="11"/>
  <c r="T568" i="11"/>
  <c r="V568" i="11"/>
  <c r="W393" i="11"/>
  <c r="Y393" i="11" s="1"/>
  <c r="W224" i="11"/>
  <c r="Y224" i="11" s="1"/>
  <c r="W400" i="11"/>
  <c r="Y400" i="11" s="1"/>
  <c r="W418" i="11"/>
  <c r="Y418" i="11" s="1"/>
  <c r="W238" i="11"/>
  <c r="Y238" i="11" s="1"/>
  <c r="W344" i="11"/>
  <c r="Y344" i="11" s="1"/>
  <c r="W245" i="11"/>
  <c r="Y245" i="11" s="1"/>
  <c r="W443" i="11"/>
  <c r="Y443" i="11" s="1"/>
  <c r="W226" i="11"/>
  <c r="Y226" i="11" s="1"/>
  <c r="W305" i="11"/>
  <c r="Y305" i="11" s="1"/>
  <c r="W431" i="11"/>
  <c r="Y431" i="11" s="1"/>
  <c r="T1053" i="11"/>
  <c r="V1053" i="11"/>
  <c r="W384" i="11"/>
  <c r="Y384" i="11" s="1"/>
  <c r="W310" i="11"/>
  <c r="Y310" i="11" s="1"/>
  <c r="W408" i="11"/>
  <c r="Y408" i="11" s="1"/>
  <c r="W222" i="11"/>
  <c r="Y222" i="11" s="1"/>
  <c r="W334" i="11"/>
  <c r="Y334" i="11" s="1"/>
  <c r="W372" i="11"/>
  <c r="Y372" i="11" s="1"/>
  <c r="W425" i="11"/>
  <c r="Y425" i="11" s="1"/>
  <c r="W219" i="11"/>
  <c r="Y219" i="11" s="1"/>
  <c r="W371" i="11"/>
  <c r="Y371" i="11" s="1"/>
  <c r="W369" i="11"/>
  <c r="Y369" i="11" s="1"/>
  <c r="W386" i="11"/>
  <c r="Y386" i="11" s="1"/>
  <c r="W338" i="11"/>
  <c r="Y338" i="11" s="1"/>
  <c r="Y421" i="11"/>
  <c r="W438" i="11"/>
  <c r="Y438" i="11" s="1"/>
  <c r="W301" i="11"/>
  <c r="Y301" i="11" s="1"/>
  <c r="W355" i="11"/>
  <c r="Y355" i="11" s="1"/>
  <c r="W382" i="11"/>
  <c r="Y382" i="11" s="1"/>
  <c r="W317" i="11"/>
  <c r="Y317" i="11" s="1"/>
  <c r="W416" i="11"/>
  <c r="Y416" i="11" s="1"/>
  <c r="W352" i="11"/>
  <c r="Y352" i="11" s="1"/>
  <c r="W415" i="11"/>
  <c r="Y415" i="11" s="1"/>
  <c r="W286" i="11"/>
  <c r="Y286" i="11" s="1"/>
  <c r="W377" i="11"/>
  <c r="Y377" i="11" s="1"/>
  <c r="W241" i="11"/>
  <c r="Y241" i="11" s="1"/>
  <c r="T352" i="11"/>
  <c r="T406" i="11"/>
  <c r="T250" i="11"/>
  <c r="T987" i="11"/>
  <c r="T267" i="11"/>
  <c r="T239" i="11"/>
  <c r="T317" i="11"/>
  <c r="T461" i="11"/>
  <c r="T426" i="11"/>
  <c r="T1044" i="11"/>
  <c r="T1002" i="11"/>
  <c r="T526" i="11"/>
  <c r="T490" i="11"/>
  <c r="T1062" i="11"/>
  <c r="T473" i="11"/>
  <c r="T282" i="11"/>
  <c r="T347" i="11"/>
  <c r="T469" i="11"/>
  <c r="AE4" i="11"/>
  <c r="AE20" i="11"/>
  <c r="AE5" i="11"/>
  <c r="AE21" i="11"/>
  <c r="AE6" i="11"/>
  <c r="AE22" i="11"/>
  <c r="AE7" i="11"/>
  <c r="AE23" i="11"/>
  <c r="AE8" i="11"/>
  <c r="AE24" i="11"/>
  <c r="AE9" i="11"/>
  <c r="AE3" i="11"/>
  <c r="AE10" i="11"/>
  <c r="AE11" i="11"/>
  <c r="AE19" i="11"/>
  <c r="AE12" i="11"/>
  <c r="AE13" i="11"/>
  <c r="AE14" i="11"/>
  <c r="AE15" i="11"/>
  <c r="AE16" i="11"/>
  <c r="AE17" i="11"/>
  <c r="AE18" i="11"/>
  <c r="T477" i="11"/>
  <c r="T467" i="11"/>
  <c r="T303" i="11"/>
  <c r="T848" i="11"/>
  <c r="T443" i="11"/>
  <c r="T365" i="11"/>
  <c r="T366" i="11"/>
  <c r="T324" i="11"/>
  <c r="T791" i="11"/>
  <c r="T471" i="11"/>
  <c r="T394" i="11"/>
  <c r="T295" i="11"/>
  <c r="T266" i="11"/>
  <c r="T1076" i="11"/>
  <c r="T1065" i="11"/>
  <c r="T851" i="11"/>
  <c r="T974" i="11"/>
  <c r="T1004" i="11"/>
  <c r="T260" i="11"/>
  <c r="T575" i="11"/>
  <c r="T846" i="11"/>
  <c r="T237" i="11"/>
  <c r="T969" i="11"/>
  <c r="T436" i="11"/>
  <c r="T953" i="11"/>
  <c r="T1019" i="11"/>
  <c r="T941" i="11"/>
  <c r="T1073" i="11"/>
  <c r="T431" i="11"/>
  <c r="T959" i="11"/>
  <c r="T299" i="11"/>
  <c r="T831" i="11"/>
  <c r="T459" i="11"/>
  <c r="T287" i="11"/>
  <c r="T883" i="11"/>
  <c r="T414" i="11"/>
  <c r="T286" i="11"/>
  <c r="T524" i="11"/>
  <c r="T1057" i="11"/>
  <c r="T430" i="11"/>
  <c r="T319" i="11"/>
  <c r="T311" i="11"/>
  <c r="T363" i="11"/>
  <c r="T318" i="11"/>
  <c r="T456" i="11"/>
  <c r="T910" i="11"/>
  <c r="T489" i="11"/>
  <c r="T1050" i="11"/>
  <c r="T971" i="11"/>
  <c r="T485" i="11"/>
  <c r="T270" i="11"/>
  <c r="T335" i="11"/>
  <c r="T481" i="11"/>
  <c r="T1011" i="11"/>
  <c r="T285" i="11"/>
  <c r="T343" i="11"/>
  <c r="T375" i="11"/>
  <c r="T902" i="11"/>
  <c r="T1061" i="11"/>
  <c r="T411" i="11"/>
  <c r="T246" i="11"/>
  <c r="T596" i="11"/>
  <c r="T990" i="11"/>
  <c r="T1081" i="11"/>
  <c r="T342" i="11"/>
  <c r="T863" i="11"/>
  <c r="T308" i="11"/>
  <c r="T578" i="11"/>
  <c r="T350" i="11"/>
  <c r="T415" i="11"/>
  <c r="T581" i="11"/>
  <c r="T420" i="11"/>
  <c r="T262" i="11"/>
  <c r="T537" i="11"/>
  <c r="T439" i="11"/>
  <c r="T1078" i="11"/>
  <c r="T588" i="11"/>
  <c r="T410" i="11"/>
  <c r="T423" i="11"/>
  <c r="T574" i="11"/>
  <c r="T809" i="11"/>
  <c r="T302" i="11"/>
  <c r="T801" i="11"/>
  <c r="T395" i="11"/>
  <c r="T269" i="11"/>
  <c r="T908" i="11"/>
  <c r="T1009" i="11"/>
  <c r="T404" i="11"/>
  <c r="T572" i="11"/>
  <c r="T359" i="11"/>
  <c r="T884" i="11"/>
  <c r="T553" i="11"/>
  <c r="T577" i="11"/>
  <c r="T345" i="11"/>
  <c r="T1007" i="11"/>
  <c r="T334" i="11"/>
  <c r="T557" i="11"/>
  <c r="T934" i="11"/>
  <c r="T554" i="11"/>
  <c r="T247" i="11"/>
  <c r="T382" i="11"/>
  <c r="T1005" i="11"/>
  <c r="T940" i="11"/>
  <c r="T992" i="11"/>
  <c r="T224" i="11"/>
  <c r="T938" i="11"/>
  <c r="T593" i="11"/>
  <c r="T580" i="11"/>
  <c r="T936" i="11"/>
  <c r="T567" i="11"/>
  <c r="T397" i="11"/>
  <c r="T249" i="11"/>
  <c r="T465" i="11"/>
  <c r="T847" i="11"/>
  <c r="T393" i="11"/>
  <c r="T425" i="11"/>
  <c r="T314" i="11"/>
  <c r="T427" i="11"/>
  <c r="T562" i="11"/>
  <c r="T903" i="11"/>
  <c r="T802" i="11"/>
  <c r="T413" i="11"/>
  <c r="T358" i="11"/>
  <c r="T1071" i="11"/>
  <c r="T1084" i="11"/>
  <c r="T1021" i="11"/>
  <c r="T238" i="11"/>
  <c r="T1082" i="11"/>
  <c r="T595" i="11"/>
  <c r="T956" i="11"/>
  <c r="T356" i="11"/>
  <c r="T315" i="11"/>
  <c r="T288" i="11"/>
  <c r="T265" i="11"/>
  <c r="T333" i="11"/>
  <c r="T1064" i="11"/>
  <c r="T922" i="11"/>
  <c r="T297" i="11"/>
  <c r="T416" i="11"/>
  <c r="T881" i="11"/>
  <c r="T320" i="11"/>
  <c r="T1059" i="11"/>
  <c r="T779" i="11"/>
  <c r="T1067" i="11"/>
  <c r="T384" i="11"/>
  <c r="T806" i="11"/>
  <c r="T570" i="11"/>
  <c r="T1070" i="11"/>
  <c r="T1080" i="11"/>
  <c r="T1075" i="11"/>
  <c r="T1058" i="11"/>
  <c r="T925" i="11"/>
  <c r="T222" i="11"/>
  <c r="T240" i="11"/>
  <c r="T844" i="11"/>
  <c r="T391" i="11"/>
  <c r="T834" i="11"/>
  <c r="T594" i="11"/>
  <c r="T340" i="11"/>
  <c r="T573" i="11"/>
  <c r="T378" i="11"/>
  <c r="T279" i="11"/>
  <c r="T1034" i="11"/>
  <c r="T920" i="11"/>
  <c r="T566" i="11"/>
  <c r="T576" i="11"/>
  <c r="T589" i="11"/>
  <c r="T367" i="11"/>
  <c r="T556" i="11"/>
  <c r="T944" i="11"/>
  <c r="T362" i="11"/>
  <c r="T904" i="11"/>
  <c r="T409" i="11"/>
  <c r="T1083" i="11"/>
  <c r="T592" i="11"/>
  <c r="T432" i="11"/>
  <c r="T301" i="11"/>
  <c r="T227" i="11"/>
  <c r="T381" i="11"/>
  <c r="T564" i="11"/>
  <c r="T1074" i="11"/>
  <c r="T1024" i="11"/>
  <c r="T281" i="11"/>
  <c r="T973" i="11"/>
  <c r="T540" i="11"/>
  <c r="T304" i="11"/>
  <c r="T558" i="11"/>
  <c r="T946" i="11"/>
  <c r="T597" i="11"/>
  <c r="T1072" i="11"/>
  <c r="T561" i="11"/>
  <c r="T283" i="11"/>
  <c r="T400" i="11"/>
  <c r="T1066" i="11"/>
  <c r="T812" i="11"/>
  <c r="T346" i="11"/>
  <c r="T263" i="11"/>
  <c r="T221" i="11"/>
  <c r="T327" i="11"/>
  <c r="T1068" i="11"/>
  <c r="T571" i="11"/>
  <c r="T1079" i="11"/>
  <c r="T590" i="11"/>
  <c r="T579" i="11"/>
  <c r="T368" i="11"/>
  <c r="T530" i="11"/>
  <c r="T525" i="11"/>
  <c r="T523" i="11"/>
  <c r="T521" i="11"/>
  <c r="T519" i="11"/>
  <c r="T517" i="11"/>
  <c r="T515" i="11"/>
  <c r="T513" i="11"/>
  <c r="T494" i="11"/>
  <c r="T492" i="11"/>
  <c r="T538" i="11"/>
  <c r="T532" i="11"/>
  <c r="T536" i="11"/>
  <c r="T534" i="11"/>
  <c r="T798" i="11"/>
  <c r="T996" i="11"/>
  <c r="T786" i="11"/>
  <c r="T899" i="11"/>
  <c r="T980" i="11"/>
  <c r="T888" i="11"/>
  <c r="T1014" i="11"/>
  <c r="T842" i="11"/>
  <c r="T988" i="11"/>
  <c r="T933" i="11"/>
  <c r="T852" i="11"/>
  <c r="T783" i="11"/>
  <c r="T890" i="11"/>
  <c r="T815" i="11"/>
  <c r="T926" i="11"/>
  <c r="T1027" i="11"/>
  <c r="T930" i="11"/>
  <c r="T781" i="11"/>
  <c r="T929" i="11"/>
  <c r="T832" i="11"/>
  <c r="T800" i="11"/>
  <c r="T964" i="11"/>
  <c r="T984" i="11"/>
  <c r="T985" i="11"/>
  <c r="T1010" i="11"/>
  <c r="T981" i="11"/>
  <c r="T931" i="11"/>
  <c r="T1020" i="11"/>
  <c r="T972" i="11"/>
  <c r="T837" i="11"/>
  <c r="T909" i="11"/>
  <c r="T1030" i="11"/>
  <c r="T995" i="11"/>
  <c r="T928" i="11"/>
  <c r="T970" i="11"/>
  <c r="T965" i="11"/>
  <c r="T856" i="11"/>
  <c r="T1017" i="11"/>
  <c r="T977" i="11"/>
  <c r="T1018" i="11"/>
  <c r="T950" i="11"/>
  <c r="T1042" i="11"/>
  <c r="T913" i="11"/>
  <c r="T796" i="11"/>
  <c r="T1015" i="11"/>
  <c r="T1052" i="11"/>
  <c r="T962" i="11"/>
  <c r="T963" i="11"/>
  <c r="T966" i="11"/>
  <c r="T810" i="11"/>
  <c r="T951" i="11"/>
  <c r="T891" i="11"/>
  <c r="T843" i="11"/>
  <c r="T921" i="11"/>
  <c r="T788" i="11"/>
  <c r="T999" i="11"/>
  <c r="T1045" i="11"/>
  <c r="T945" i="11"/>
  <c r="T1003" i="11"/>
  <c r="T898" i="11"/>
  <c r="T914" i="11"/>
  <c r="T949" i="11"/>
  <c r="T805" i="11"/>
  <c r="T1033" i="11"/>
  <c r="T1000" i="11"/>
  <c r="T1031" i="11"/>
  <c r="T998" i="11"/>
  <c r="T1036" i="11"/>
  <c r="T1054" i="11"/>
  <c r="T947" i="11"/>
  <c r="T879" i="11"/>
  <c r="T983" i="11"/>
  <c r="T811" i="11"/>
  <c r="T865" i="11"/>
  <c r="T1051" i="11"/>
  <c r="T1025" i="11"/>
  <c r="T1047" i="11"/>
  <c r="T840" i="11"/>
  <c r="T795" i="11"/>
  <c r="T911" i="11"/>
  <c r="T850" i="11"/>
  <c r="T939" i="11"/>
  <c r="T967" i="11"/>
  <c r="T854" i="11"/>
  <c r="T794" i="11"/>
  <c r="T1001" i="11"/>
  <c r="T1048" i="11"/>
  <c r="T1008" i="11"/>
  <c r="T1038" i="11"/>
  <c r="T808" i="11"/>
  <c r="T917" i="11"/>
  <c r="T1040" i="11"/>
  <c r="T835" i="11"/>
  <c r="T839" i="11"/>
  <c r="T845" i="11"/>
  <c r="T867" i="11"/>
  <c r="T1029" i="11"/>
  <c r="T919" i="11"/>
  <c r="T968" i="11"/>
  <c r="T993" i="11"/>
  <c r="T1046" i="11"/>
  <c r="T975" i="11"/>
  <c r="T1012" i="11"/>
  <c r="T1049" i="11"/>
  <c r="T906" i="11"/>
  <c r="T803" i="11"/>
  <c r="T916" i="11"/>
  <c r="T986" i="11"/>
  <c r="T1041" i="11"/>
  <c r="T1039" i="11"/>
  <c r="T960" i="11"/>
  <c r="T997" i="11"/>
  <c r="T880" i="11"/>
  <c r="T1016" i="11"/>
  <c r="T1056" i="11"/>
  <c r="T807" i="11"/>
  <c r="T1013" i="11"/>
  <c r="T861" i="11"/>
  <c r="T1055" i="11"/>
  <c r="T793" i="11"/>
  <c r="T1032" i="11"/>
  <c r="T1028" i="11"/>
  <c r="T943" i="11"/>
  <c r="T979" i="11"/>
  <c r="T855" i="11"/>
  <c r="T864" i="11"/>
  <c r="T790" i="11"/>
  <c r="T932" i="11"/>
  <c r="T813" i="11"/>
  <c r="T948" i="11"/>
  <c r="T918" i="11"/>
  <c r="T482" i="11"/>
  <c r="T480" i="11"/>
  <c r="T478" i="11"/>
  <c r="T476" i="11"/>
  <c r="T486" i="11"/>
  <c r="T474" i="11"/>
  <c r="T472" i="11"/>
  <c r="T470" i="11"/>
  <c r="T488" i="11"/>
  <c r="T484" i="11"/>
  <c r="T468" i="11"/>
  <c r="T466" i="11"/>
  <c r="T464" i="11"/>
  <c r="T462" i="11"/>
  <c r="T460" i="11"/>
  <c r="T458" i="11"/>
  <c r="T376" i="11"/>
  <c r="T437" i="11"/>
  <c r="T355" i="11"/>
  <c r="T369" i="11"/>
  <c r="T360" i="11"/>
  <c r="T408" i="11"/>
  <c r="T284" i="11"/>
  <c r="T296" i="11"/>
  <c r="T294" i="11"/>
  <c r="T307" i="11"/>
  <c r="T422" i="11"/>
  <c r="T248" i="11"/>
  <c r="T278" i="11"/>
  <c r="T289" i="11"/>
  <c r="T339" i="11"/>
  <c r="T321" i="11"/>
  <c r="T291" i="11"/>
  <c r="T326" i="11"/>
  <c r="T371" i="11"/>
  <c r="T323" i="11"/>
  <c r="T357" i="11"/>
  <c r="T275" i="11"/>
  <c r="T428" i="11"/>
  <c r="T396" i="11"/>
  <c r="T380" i="11"/>
  <c r="T370" i="11"/>
  <c r="T341" i="11"/>
  <c r="T259" i="11"/>
  <c r="T424" i="11"/>
  <c r="T405" i="11"/>
  <c r="T402" i="11"/>
  <c r="T230" i="11"/>
  <c r="T442" i="11"/>
  <c r="T344" i="11"/>
  <c r="T305" i="11"/>
  <c r="T390" i="11"/>
  <c r="T312" i="11"/>
  <c r="T386" i="11"/>
  <c r="T338" i="11"/>
  <c r="T309" i="11"/>
  <c r="T433" i="11"/>
  <c r="T374" i="11"/>
  <c r="T421" i="11"/>
  <c r="T268" i="11"/>
  <c r="T325" i="11"/>
  <c r="T322" i="11"/>
  <c r="T293" i="11"/>
  <c r="T348" i="11"/>
  <c r="T255" i="11"/>
  <c r="T434" i="11"/>
  <c r="T389" i="11"/>
  <c r="T364" i="11"/>
  <c r="T306" i="11"/>
  <c r="T277" i="11"/>
  <c r="T243" i="11"/>
  <c r="T417" i="11"/>
  <c r="T440" i="11"/>
  <c r="T273" i="11"/>
  <c r="T226" i="11"/>
  <c r="T257" i="11"/>
  <c r="T438" i="11"/>
  <c r="T455" i="11"/>
  <c r="T220" i="11"/>
  <c r="T261" i="11"/>
  <c r="T392" i="11"/>
  <c r="T337" i="11"/>
  <c r="T280" i="11"/>
  <c r="T353" i="11"/>
  <c r="T219" i="11"/>
  <c r="T300" i="11"/>
  <c r="T373" i="11"/>
  <c r="T290" i="11"/>
  <c r="T274" i="11"/>
  <c r="T245" i="11"/>
  <c r="T419" i="11"/>
  <c r="T401" i="11"/>
  <c r="T264" i="11"/>
  <c r="T271" i="11"/>
  <c r="T412" i="11"/>
  <c r="T435" i="11"/>
  <c r="T258" i="11"/>
  <c r="T223" i="11"/>
  <c r="T316" i="11"/>
  <c r="T403" i="11"/>
  <c r="T241" i="11"/>
  <c r="T418" i="11"/>
  <c r="T354" i="11"/>
  <c r="T332" i="11"/>
  <c r="T242" i="11"/>
  <c r="T444" i="11"/>
  <c r="T387" i="11"/>
  <c r="T385" i="11"/>
  <c r="T328" i="11"/>
  <c r="S742" i="11"/>
  <c r="S743" i="11"/>
  <c r="S744" i="11"/>
  <c r="Q745" i="11"/>
  <c r="V745" i="11" s="1"/>
  <c r="S746" i="11"/>
  <c r="S747" i="11"/>
  <c r="Q748" i="11"/>
  <c r="V748" i="11" s="1"/>
  <c r="S749" i="11"/>
  <c r="S751" i="11"/>
  <c r="S752" i="11"/>
  <c r="S753" i="11"/>
  <c r="Q755" i="11"/>
  <c r="V755" i="11" s="1"/>
  <c r="S756" i="11"/>
  <c r="S757" i="11"/>
  <c r="S760" i="11"/>
  <c r="S761" i="11"/>
  <c r="S762" i="11"/>
  <c r="Q763" i="11"/>
  <c r="V763" i="11" s="1"/>
  <c r="Q764" i="11"/>
  <c r="V764" i="11" s="1"/>
  <c r="S765" i="11"/>
  <c r="S682" i="11"/>
  <c r="Q693" i="11"/>
  <c r="V693" i="11" s="1"/>
  <c r="S694" i="11"/>
  <c r="S695" i="11"/>
  <c r="Q696" i="11"/>
  <c r="V696" i="11" s="1"/>
  <c r="S699" i="11"/>
  <c r="S700" i="11"/>
  <c r="Q701" i="11"/>
  <c r="V701" i="11" s="1"/>
  <c r="S703" i="11"/>
  <c r="S704" i="11"/>
  <c r="S705" i="11"/>
  <c r="S706" i="11"/>
  <c r="S707" i="11"/>
  <c r="S709" i="11"/>
  <c r="S711" i="11"/>
  <c r="S714" i="11"/>
  <c r="S715" i="11"/>
  <c r="S716" i="11"/>
  <c r="S717" i="11"/>
  <c r="S718" i="11"/>
  <c r="Q719" i="11"/>
  <c r="V719" i="11" s="1"/>
  <c r="S720" i="11"/>
  <c r="S721" i="11"/>
  <c r="S722" i="11"/>
  <c r="Q723" i="11"/>
  <c r="V723" i="11" s="1"/>
  <c r="S724" i="11"/>
  <c r="Q725" i="11"/>
  <c r="V725" i="11" s="1"/>
  <c r="S726" i="11"/>
  <c r="Q730" i="11"/>
  <c r="V730" i="11" s="1"/>
  <c r="Q731" i="11"/>
  <c r="V731" i="11" s="1"/>
  <c r="S733" i="11"/>
  <c r="S734" i="11"/>
  <c r="Q735" i="11"/>
  <c r="V735" i="11" s="1"/>
  <c r="S737" i="11"/>
  <c r="S739" i="11"/>
  <c r="S740" i="11"/>
  <c r="Q741" i="11"/>
  <c r="V741" i="11" s="1"/>
  <c r="S681" i="11"/>
  <c r="S166" i="11"/>
  <c r="S167" i="11"/>
  <c r="S168" i="11"/>
  <c r="S169" i="11"/>
  <c r="S170" i="11"/>
  <c r="S171" i="11"/>
  <c r="S172" i="11"/>
  <c r="S173" i="11"/>
  <c r="S174" i="11"/>
  <c r="Q175" i="11"/>
  <c r="V175" i="11" s="1"/>
  <c r="S176" i="11"/>
  <c r="S177" i="11"/>
  <c r="Q180" i="11"/>
  <c r="V180" i="11" s="1"/>
  <c r="S181" i="11"/>
  <c r="Q182" i="11"/>
  <c r="V182" i="11" s="1"/>
  <c r="S183" i="11"/>
  <c r="Q184" i="11"/>
  <c r="V184" i="11" s="1"/>
  <c r="S185" i="11"/>
  <c r="S186" i="11"/>
  <c r="S187" i="11"/>
  <c r="Q188" i="11"/>
  <c r="V188" i="11" s="1"/>
  <c r="S189" i="11"/>
  <c r="Q190" i="11"/>
  <c r="V190" i="11" s="1"/>
  <c r="S165" i="11"/>
  <c r="S670" i="11"/>
  <c r="Q671" i="11"/>
  <c r="V671" i="11" s="1"/>
  <c r="S672" i="11"/>
  <c r="S673" i="11"/>
  <c r="S676" i="11"/>
  <c r="S677" i="11"/>
  <c r="S678" i="11"/>
  <c r="S679" i="11"/>
  <c r="S680" i="11"/>
  <c r="S669" i="11"/>
  <c r="S138" i="11"/>
  <c r="S139" i="11"/>
  <c r="S141" i="11"/>
  <c r="S142" i="11"/>
  <c r="Q143" i="11"/>
  <c r="V143" i="11" s="1"/>
  <c r="S144" i="11"/>
  <c r="S145" i="11"/>
  <c r="S155" i="11"/>
  <c r="S156" i="11"/>
  <c r="S159" i="11"/>
  <c r="Q160" i="11"/>
  <c r="V160" i="11" s="1"/>
  <c r="S161" i="11"/>
  <c r="S162" i="11"/>
  <c r="S163" i="11"/>
  <c r="S164" i="11"/>
  <c r="S137" i="11"/>
  <c r="Q626" i="11"/>
  <c r="V626" i="11" s="1"/>
  <c r="Q627" i="11"/>
  <c r="V627" i="11" s="1"/>
  <c r="Q628" i="11"/>
  <c r="V628" i="11" s="1"/>
  <c r="Q629" i="11"/>
  <c r="V629" i="11" s="1"/>
  <c r="Q630" i="11"/>
  <c r="V630" i="11" s="1"/>
  <c r="Q631" i="11"/>
  <c r="V631" i="11" s="1"/>
  <c r="S632" i="11"/>
  <c r="Q640" i="11"/>
  <c r="V640" i="11" s="1"/>
  <c r="Q641" i="11"/>
  <c r="V641" i="11" s="1"/>
  <c r="Q642" i="11"/>
  <c r="V642" i="11" s="1"/>
  <c r="Q644" i="11"/>
  <c r="V644" i="11" s="1"/>
  <c r="Q645" i="11"/>
  <c r="V645" i="11" s="1"/>
  <c r="S646" i="11"/>
  <c r="Q648" i="11"/>
  <c r="V648" i="11" s="1"/>
  <c r="Q649" i="11"/>
  <c r="V649" i="11" s="1"/>
  <c r="Q650" i="11"/>
  <c r="V650" i="11" s="1"/>
  <c r="Q651" i="11"/>
  <c r="V651" i="11" s="1"/>
  <c r="Q652" i="11"/>
  <c r="V652" i="11" s="1"/>
  <c r="Q653" i="11"/>
  <c r="V653" i="11" s="1"/>
  <c r="S654" i="11"/>
  <c r="Q655" i="11"/>
  <c r="V655" i="11" s="1"/>
  <c r="Q656" i="11"/>
  <c r="V656" i="11" s="1"/>
  <c r="Q657" i="11"/>
  <c r="V657" i="11" s="1"/>
  <c r="Q658" i="11"/>
  <c r="V658" i="11" s="1"/>
  <c r="Q660" i="11"/>
  <c r="V660" i="11" s="1"/>
  <c r="Q661" i="11"/>
  <c r="V661" i="11" s="1"/>
  <c r="S662" i="11"/>
  <c r="Q664" i="11"/>
  <c r="V664" i="11" s="1"/>
  <c r="Q665" i="11"/>
  <c r="V665" i="11" s="1"/>
  <c r="Q666" i="11"/>
  <c r="V666" i="11" s="1"/>
  <c r="Q667" i="11"/>
  <c r="V667" i="11" s="1"/>
  <c r="Q668" i="11"/>
  <c r="V668" i="11" s="1"/>
  <c r="S625" i="11"/>
  <c r="Q115" i="11"/>
  <c r="V115" i="11" s="1"/>
  <c r="S114" i="11"/>
  <c r="S116" i="11"/>
  <c r="Q117" i="11"/>
  <c r="V117" i="11" s="1"/>
  <c r="Q119" i="11"/>
  <c r="V119" i="11" s="1"/>
  <c r="S120" i="11"/>
  <c r="Q122" i="11"/>
  <c r="V122" i="11" s="1"/>
  <c r="S124" i="11"/>
  <c r="Q125" i="11"/>
  <c r="V125" i="11" s="1"/>
  <c r="Q127" i="11"/>
  <c r="V127" i="11" s="1"/>
  <c r="S128" i="11"/>
  <c r="Q130" i="11"/>
  <c r="V130" i="11" s="1"/>
  <c r="S132" i="11"/>
  <c r="Q133" i="11"/>
  <c r="V133" i="11" s="1"/>
  <c r="Q135" i="11"/>
  <c r="V135" i="11" s="1"/>
  <c r="S136" i="11"/>
  <c r="S112" i="11"/>
  <c r="K112" i="11"/>
  <c r="BM406" i="11"/>
  <c r="BL225" i="11"/>
  <c r="BM768" i="11"/>
  <c r="AE1160" i="11"/>
  <c r="AE1135" i="11"/>
  <c r="AF1135" i="11"/>
  <c r="AD1135" i="11"/>
  <c r="AF1134" i="11"/>
  <c r="AD1134" i="11"/>
  <c r="AF1133" i="11"/>
  <c r="AD1133" i="11"/>
  <c r="K1135" i="11"/>
  <c r="J1135" i="11"/>
  <c r="I1135" i="11"/>
  <c r="H1135" i="11"/>
  <c r="K1134" i="11"/>
  <c r="J1134" i="11"/>
  <c r="I1134" i="11"/>
  <c r="H1134" i="11"/>
  <c r="K1133" i="11"/>
  <c r="J1133" i="11"/>
  <c r="I1133" i="11"/>
  <c r="H1133" i="11"/>
  <c r="T1133" i="11"/>
  <c r="AI1133" i="11"/>
  <c r="AJ1133" i="11" s="1"/>
  <c r="AL1133" i="11"/>
  <c r="AM1133" i="11" s="1"/>
  <c r="AX1133" i="11"/>
  <c r="T1134" i="11"/>
  <c r="AI1134" i="11"/>
  <c r="AK1134" i="11" s="1"/>
  <c r="AL1134" i="11"/>
  <c r="AM1134" i="11" s="1"/>
  <c r="AX1134" i="11"/>
  <c r="T1135" i="11"/>
  <c r="AI1135" i="11"/>
  <c r="AK1135" i="11" s="1"/>
  <c r="AL1135" i="11"/>
  <c r="AN1135" i="11" s="1"/>
  <c r="AX1135" i="11"/>
  <c r="H1160" i="11"/>
  <c r="I1160" i="11"/>
  <c r="J1160" i="11"/>
  <c r="K1160" i="11"/>
  <c r="AD1160" i="11"/>
  <c r="AF1160" i="11"/>
  <c r="AI1160" i="11"/>
  <c r="AJ1160" i="11" s="1"/>
  <c r="AL1160" i="11"/>
  <c r="AM1160" i="11" s="1"/>
  <c r="AX1160" i="11"/>
  <c r="H1161" i="11"/>
  <c r="I1161" i="11"/>
  <c r="J1161" i="11"/>
  <c r="K1161" i="11"/>
  <c r="AD1161" i="11"/>
  <c r="AF1161" i="11"/>
  <c r="AI1161" i="11"/>
  <c r="AJ1161" i="11" s="1"/>
  <c r="AL1161" i="11"/>
  <c r="AM1161" i="11" s="1"/>
  <c r="AX1161" i="11"/>
  <c r="H1162" i="11"/>
  <c r="I1162" i="11"/>
  <c r="J1162" i="11"/>
  <c r="K1162" i="11"/>
  <c r="AD1162" i="11"/>
  <c r="AF1162" i="11"/>
  <c r="AI1162" i="11"/>
  <c r="AJ1162" i="11" s="1"/>
  <c r="AL1162" i="11"/>
  <c r="AM1162" i="11" s="1"/>
  <c r="AX1162" i="11"/>
  <c r="BM56" i="11"/>
  <c r="BM46" i="11"/>
  <c r="U15" i="7"/>
  <c r="BM1075" i="11"/>
  <c r="BM561" i="11"/>
  <c r="BL526" i="11"/>
  <c r="BM526" i="11"/>
  <c r="U46" i="7"/>
  <c r="S46" i="7"/>
  <c r="AE200" i="11"/>
  <c r="AD199" i="11"/>
  <c r="AF199" i="11"/>
  <c r="AD200" i="11"/>
  <c r="AF200" i="11"/>
  <c r="H199" i="11"/>
  <c r="I199" i="11"/>
  <c r="J199" i="11"/>
  <c r="K199" i="11"/>
  <c r="T199" i="11"/>
  <c r="AI199" i="11"/>
  <c r="AJ199" i="11" s="1"/>
  <c r="AL199" i="11"/>
  <c r="AM199" i="11" s="1"/>
  <c r="AX199" i="11"/>
  <c r="AZ199" i="11"/>
  <c r="H200" i="11"/>
  <c r="I200" i="11"/>
  <c r="J200" i="11"/>
  <c r="K200" i="11"/>
  <c r="T200" i="11"/>
  <c r="AI200" i="11"/>
  <c r="AK200" i="11" s="1"/>
  <c r="AL200" i="11"/>
  <c r="AM200" i="11" s="1"/>
  <c r="AX200" i="11"/>
  <c r="AZ200" i="11"/>
  <c r="AD762" i="11"/>
  <c r="AF762" i="11"/>
  <c r="AV115" i="11"/>
  <c r="AF115" i="11"/>
  <c r="AF114" i="11"/>
  <c r="AD115" i="11"/>
  <c r="H762" i="11"/>
  <c r="I762" i="11"/>
  <c r="J762" i="11"/>
  <c r="K762" i="11"/>
  <c r="AX762" i="11"/>
  <c r="AZ762" i="11"/>
  <c r="BG115" i="11"/>
  <c r="H115" i="11"/>
  <c r="I115" i="11"/>
  <c r="J115" i="11"/>
  <c r="K115" i="11"/>
  <c r="AJ115" i="11"/>
  <c r="AK115" i="11"/>
  <c r="AM115" i="11"/>
  <c r="AN115" i="11"/>
  <c r="AX115" i="11"/>
  <c r="AZ115" i="11"/>
  <c r="AE762" i="11"/>
  <c r="U29" i="7"/>
  <c r="S29" i="7"/>
  <c r="W1162" i="11" l="1"/>
  <c r="Y1162" i="11" s="1"/>
  <c r="BB1162" i="11"/>
  <c r="W1134" i="11"/>
  <c r="Y1134" i="11" s="1"/>
  <c r="BB1134" i="11"/>
  <c r="W199" i="11"/>
  <c r="Y199" i="11" s="1"/>
  <c r="BB199" i="11"/>
  <c r="W1135" i="11"/>
  <c r="Y1135" i="11" s="1"/>
  <c r="BB1135" i="11"/>
  <c r="W200" i="11"/>
  <c r="Y200" i="11" s="1"/>
  <c r="BB200" i="11"/>
  <c r="W1161" i="11"/>
  <c r="Y1161" i="11" s="1"/>
  <c r="BB1161" i="11"/>
  <c r="W1133" i="11"/>
  <c r="Y1133" i="11" s="1"/>
  <c r="BB1133" i="11"/>
  <c r="W1160" i="11"/>
  <c r="Y1160" i="11" s="1"/>
  <c r="BB1160" i="11"/>
  <c r="BN635" i="11"/>
  <c r="BO635" i="11" s="1"/>
  <c r="BD635" i="11" s="1"/>
  <c r="BE509" i="11"/>
  <c r="BF509" i="11" s="1"/>
  <c r="BG509" i="11"/>
  <c r="BG231" i="11"/>
  <c r="BE231" i="11"/>
  <c r="BF231" i="11" s="1"/>
  <c r="BN634" i="11"/>
  <c r="BO634" i="11" s="1"/>
  <c r="BD634" i="11" s="1"/>
  <c r="BE507" i="11"/>
  <c r="BF507" i="11" s="1"/>
  <c r="BG507" i="11"/>
  <c r="BE506" i="11"/>
  <c r="BF506" i="11" s="1"/>
  <c r="BG506" i="11"/>
  <c r="BE234" i="11"/>
  <c r="BF234" i="11" s="1"/>
  <c r="BG234" i="11"/>
  <c r="BN636" i="11"/>
  <c r="BO636" i="11" s="1"/>
  <c r="BD636" i="11" s="1"/>
  <c r="AE878" i="11"/>
  <c r="AE897" i="11"/>
  <c r="AE872" i="11"/>
  <c r="AE894" i="11"/>
  <c r="AE877" i="11"/>
  <c r="AE871" i="11"/>
  <c r="AE876" i="11"/>
  <c r="AE895" i="11"/>
  <c r="AE870" i="11"/>
  <c r="AE892" i="11"/>
  <c r="AE875" i="11"/>
  <c r="AE869" i="11"/>
  <c r="AE874" i="11"/>
  <c r="AE896" i="11"/>
  <c r="AE893" i="11"/>
  <c r="AE868" i="11"/>
  <c r="AE873" i="11"/>
  <c r="BG233" i="11"/>
  <c r="BE233" i="11"/>
  <c r="BF233" i="11" s="1"/>
  <c r="BG235" i="11"/>
  <c r="BE235" i="11"/>
  <c r="BF235" i="11" s="1"/>
  <c r="BG508" i="11"/>
  <c r="BE508" i="11"/>
  <c r="BF508" i="11" s="1"/>
  <c r="BN149" i="11"/>
  <c r="BO149" i="11" s="1"/>
  <c r="BD149" i="11" s="1"/>
  <c r="BN154" i="11"/>
  <c r="BO154" i="11" s="1"/>
  <c r="BD154" i="11" s="1"/>
  <c r="BE236" i="11"/>
  <c r="BF236" i="11" s="1"/>
  <c r="BG236" i="11"/>
  <c r="BN153" i="11"/>
  <c r="BO153" i="11" s="1"/>
  <c r="BD153" i="11" s="1"/>
  <c r="BG510" i="11"/>
  <c r="BE510" i="11"/>
  <c r="BF510" i="11" s="1"/>
  <c r="BM893" i="11"/>
  <c r="BM894" i="11"/>
  <c r="BM895" i="11"/>
  <c r="BM896" i="11"/>
  <c r="BM897" i="11"/>
  <c r="BM892" i="11"/>
  <c r="BN152" i="11"/>
  <c r="BO152" i="11" s="1"/>
  <c r="BD152" i="11" s="1"/>
  <c r="BN633" i="11"/>
  <c r="BO633" i="11" s="1"/>
  <c r="BD633" i="11" s="1"/>
  <c r="BG511" i="11"/>
  <c r="BE511" i="11"/>
  <c r="BF511" i="11" s="1"/>
  <c r="BN151" i="11"/>
  <c r="BO151" i="11" s="1"/>
  <c r="BD151" i="11" s="1"/>
  <c r="BN638" i="11"/>
  <c r="BO638" i="11" s="1"/>
  <c r="BD638" i="11" s="1"/>
  <c r="BN150" i="11"/>
  <c r="BO150" i="11" s="1"/>
  <c r="BD150" i="11" s="1"/>
  <c r="BN637" i="11"/>
  <c r="BO637" i="11" s="1"/>
  <c r="BD637" i="11" s="1"/>
  <c r="BG232" i="11"/>
  <c r="BE232" i="11"/>
  <c r="BF232" i="11" s="1"/>
  <c r="BD1135" i="11"/>
  <c r="BD1134" i="11"/>
  <c r="BG1134" i="11" s="1"/>
  <c r="BD1161" i="11"/>
  <c r="BG1161" i="11" s="1"/>
  <c r="BD1162" i="11"/>
  <c r="BD1160" i="11"/>
  <c r="BE1160" i="11" s="1"/>
  <c r="BF1160" i="11" s="1"/>
  <c r="BD762" i="11"/>
  <c r="BE762" i="11" s="1"/>
  <c r="BF762" i="11" s="1"/>
  <c r="BD200" i="11"/>
  <c r="BG200" i="11" s="1"/>
  <c r="BD199" i="11"/>
  <c r="BE199" i="11" s="1"/>
  <c r="BE115" i="11"/>
  <c r="BF115" i="11" s="1"/>
  <c r="AE785" i="11"/>
  <c r="AE115" i="11"/>
  <c r="AE112" i="11"/>
  <c r="AC762" i="11"/>
  <c r="AC115" i="11"/>
  <c r="AC1135" i="11"/>
  <c r="AC1162" i="11"/>
  <c r="AC1133" i="11"/>
  <c r="AC1160" i="11"/>
  <c r="AC1134" i="11"/>
  <c r="AC1161" i="11"/>
  <c r="BM982" i="11"/>
  <c r="BN982" i="11" s="1"/>
  <c r="BM942" i="11"/>
  <c r="BN942" i="11" s="1"/>
  <c r="BM935" i="11"/>
  <c r="BN935" i="11" s="1"/>
  <c r="BM908" i="11"/>
  <c r="BM924" i="11"/>
  <c r="BM941" i="11"/>
  <c r="BM958" i="11"/>
  <c r="BM974" i="11"/>
  <c r="BM991" i="11"/>
  <c r="BM1007" i="11"/>
  <c r="BM920" i="11"/>
  <c r="BM909" i="11"/>
  <c r="BM925" i="11"/>
  <c r="BM943" i="11"/>
  <c r="BM959" i="11"/>
  <c r="BM975" i="11"/>
  <c r="BM992" i="11"/>
  <c r="BM1008" i="11"/>
  <c r="BM954" i="11"/>
  <c r="BM1020" i="11"/>
  <c r="BM990" i="11"/>
  <c r="BM910" i="11"/>
  <c r="BM926" i="11"/>
  <c r="BM944" i="11"/>
  <c r="BM960" i="11"/>
  <c r="BM976" i="11"/>
  <c r="BM993" i="11"/>
  <c r="BM1009" i="11"/>
  <c r="BM971" i="11"/>
  <c r="BM911" i="11"/>
  <c r="BM927" i="11"/>
  <c r="BM945" i="11"/>
  <c r="BM961" i="11"/>
  <c r="BM977" i="11"/>
  <c r="BM994" i="11"/>
  <c r="BM1010" i="11"/>
  <c r="BM921" i="11"/>
  <c r="BM912" i="11"/>
  <c r="BM928" i="11"/>
  <c r="BM946" i="11"/>
  <c r="BM962" i="11"/>
  <c r="BM978" i="11"/>
  <c r="BM995" i="11"/>
  <c r="BM1011" i="11"/>
  <c r="BM1017" i="11"/>
  <c r="BM970" i="11"/>
  <c r="BM913" i="11"/>
  <c r="BM929" i="11"/>
  <c r="BM947" i="11"/>
  <c r="BM963" i="11"/>
  <c r="BM979" i="11"/>
  <c r="BM996" i="11"/>
  <c r="BM1012" i="11"/>
  <c r="BM955" i="11"/>
  <c r="BM914" i="11"/>
  <c r="BM930" i="11"/>
  <c r="BM948" i="11"/>
  <c r="BM964" i="11"/>
  <c r="BM980" i="11"/>
  <c r="BM997" i="11"/>
  <c r="BM1013" i="11"/>
  <c r="BM937" i="11"/>
  <c r="BM940" i="11"/>
  <c r="BM915" i="11"/>
  <c r="BM931" i="11"/>
  <c r="BM949" i="11"/>
  <c r="BM965" i="11"/>
  <c r="BM981" i="11"/>
  <c r="BM998" i="11"/>
  <c r="BM1014" i="11"/>
  <c r="BM916" i="11"/>
  <c r="BM932" i="11"/>
  <c r="BM950" i="11"/>
  <c r="BM966" i="11"/>
  <c r="BM983" i="11"/>
  <c r="BM999" i="11"/>
  <c r="BM1015" i="11"/>
  <c r="BM987" i="11"/>
  <c r="BM1005" i="11"/>
  <c r="BM957" i="11"/>
  <c r="BM917" i="11"/>
  <c r="BM933" i="11"/>
  <c r="BM951" i="11"/>
  <c r="BM967" i="11"/>
  <c r="BM984" i="11"/>
  <c r="BM1000" i="11"/>
  <c r="BM1016" i="11"/>
  <c r="BM1003" i="11"/>
  <c r="BM1004" i="11"/>
  <c r="BM1021" i="11"/>
  <c r="BM923" i="11"/>
  <c r="BM918" i="11"/>
  <c r="BM934" i="11"/>
  <c r="BM952" i="11"/>
  <c r="BM968" i="11"/>
  <c r="BM985" i="11"/>
  <c r="BM1001" i="11"/>
  <c r="BM938" i="11"/>
  <c r="BM1006" i="11"/>
  <c r="BM919" i="11"/>
  <c r="BM936" i="11"/>
  <c r="BM953" i="11"/>
  <c r="BM969" i="11"/>
  <c r="BM986" i="11"/>
  <c r="BM1002" i="11"/>
  <c r="BM1018" i="11"/>
  <c r="BM1019" i="11"/>
  <c r="BM988" i="11"/>
  <c r="BM973" i="11"/>
  <c r="BM922" i="11"/>
  <c r="BM939" i="11"/>
  <c r="BM956" i="11"/>
  <c r="BM972" i="11"/>
  <c r="BM989" i="11"/>
  <c r="AE885" i="11"/>
  <c r="AE935" i="11"/>
  <c r="AE982" i="11"/>
  <c r="AE942" i="11"/>
  <c r="BD1133" i="11"/>
  <c r="BE1133" i="11" s="1"/>
  <c r="BF1133" i="11" s="1"/>
  <c r="AE199" i="11"/>
  <c r="AE1133" i="11"/>
  <c r="AE1162" i="11"/>
  <c r="AE1161" i="11"/>
  <c r="AE1134" i="11"/>
  <c r="Q677" i="11"/>
  <c r="V677" i="11" s="1"/>
  <c r="S180" i="11"/>
  <c r="T180" i="11" s="1"/>
  <c r="Q711" i="11"/>
  <c r="V711" i="11" s="1"/>
  <c r="Q678" i="11"/>
  <c r="V678" i="11" s="1"/>
  <c r="Q181" i="11"/>
  <c r="V181" i="11" s="1"/>
  <c r="Q632" i="11"/>
  <c r="V632" i="11" s="1"/>
  <c r="S745" i="11"/>
  <c r="T745" i="11" s="1"/>
  <c r="Q669" i="11"/>
  <c r="S160" i="11"/>
  <c r="Q164" i="11"/>
  <c r="V164" i="11" s="1"/>
  <c r="Q670" i="11"/>
  <c r="V670" i="11" s="1"/>
  <c r="Q703" i="11"/>
  <c r="V703" i="11" s="1"/>
  <c r="Q747" i="11"/>
  <c r="V747" i="11" s="1"/>
  <c r="Q174" i="11"/>
  <c r="V174" i="11" s="1"/>
  <c r="Q187" i="11"/>
  <c r="V187" i="11" s="1"/>
  <c r="S188" i="11"/>
  <c r="Q682" i="11"/>
  <c r="V682" i="11" s="1"/>
  <c r="Q189" i="11"/>
  <c r="V189" i="11" s="1"/>
  <c r="S630" i="11"/>
  <c r="Q162" i="11"/>
  <c r="V162" i="11" s="1"/>
  <c r="Q172" i="11"/>
  <c r="V172" i="11" s="1"/>
  <c r="S701" i="11"/>
  <c r="T701" i="11" s="1"/>
  <c r="Q721" i="11"/>
  <c r="V721" i="11" s="1"/>
  <c r="S668" i="11"/>
  <c r="Q139" i="11"/>
  <c r="V139" i="11" s="1"/>
  <c r="S182" i="11"/>
  <c r="T182" i="11" s="1"/>
  <c r="S748" i="11"/>
  <c r="T748" i="11" s="1"/>
  <c r="Q662" i="11"/>
  <c r="V662" i="11" s="1"/>
  <c r="S671" i="11"/>
  <c r="Q680" i="11"/>
  <c r="S190" i="11"/>
  <c r="S693" i="11"/>
  <c r="Q714" i="11"/>
  <c r="V714" i="11" s="1"/>
  <c r="S115" i="11"/>
  <c r="W115" i="11" s="1"/>
  <c r="Y115" i="11" s="1"/>
  <c r="S660" i="11"/>
  <c r="Q141" i="11"/>
  <c r="V141" i="11" s="1"/>
  <c r="Q168" i="11"/>
  <c r="V168" i="11" s="1"/>
  <c r="S175" i="11"/>
  <c r="T175" i="11" s="1"/>
  <c r="Q705" i="11"/>
  <c r="V705" i="11" s="1"/>
  <c r="Q739" i="11"/>
  <c r="V739" i="11" s="1"/>
  <c r="Q749" i="11"/>
  <c r="V749" i="11" s="1"/>
  <c r="Q116" i="11"/>
  <c r="V116" i="11" s="1"/>
  <c r="S655" i="11"/>
  <c r="S184" i="11"/>
  <c r="Q715" i="11"/>
  <c r="V715" i="11" s="1"/>
  <c r="Q761" i="11"/>
  <c r="Q166" i="11"/>
  <c r="V166" i="11" s="1"/>
  <c r="S117" i="11"/>
  <c r="Q654" i="11"/>
  <c r="V654" i="11" s="1"/>
  <c r="Q142" i="11"/>
  <c r="V142" i="11" s="1"/>
  <c r="Q673" i="11"/>
  <c r="Q695" i="11"/>
  <c r="V695" i="11" s="1"/>
  <c r="S119" i="11"/>
  <c r="S652" i="11"/>
  <c r="S143" i="11"/>
  <c r="Q169" i="11"/>
  <c r="V169" i="11" s="1"/>
  <c r="Q177" i="11"/>
  <c r="V177" i="11" s="1"/>
  <c r="Q185" i="11"/>
  <c r="V185" i="11" s="1"/>
  <c r="Q706" i="11"/>
  <c r="S741" i="11"/>
  <c r="Q120" i="11"/>
  <c r="V120" i="11" s="1"/>
  <c r="Q646" i="11"/>
  <c r="V646" i="11" s="1"/>
  <c r="Q145" i="11"/>
  <c r="V145" i="11" s="1"/>
  <c r="S730" i="11"/>
  <c r="Q751" i="11"/>
  <c r="S122" i="11"/>
  <c r="S644" i="11"/>
  <c r="Q170" i="11"/>
  <c r="Q124" i="11"/>
  <c r="V124" i="11" s="1"/>
  <c r="S642" i="11"/>
  <c r="Q156" i="11"/>
  <c r="V156" i="11" s="1"/>
  <c r="Q186" i="11"/>
  <c r="V186" i="11" s="1"/>
  <c r="S731" i="11"/>
  <c r="T731" i="11" s="1"/>
  <c r="Q132" i="11"/>
  <c r="V132" i="11" s="1"/>
  <c r="Q676" i="11"/>
  <c r="Q171" i="11"/>
  <c r="V171" i="11" s="1"/>
  <c r="Q709" i="11"/>
  <c r="V709" i="11" s="1"/>
  <c r="S719" i="11"/>
  <c r="S639" i="11"/>
  <c r="Q159" i="11"/>
  <c r="V159" i="11" s="1"/>
  <c r="Q753" i="11"/>
  <c r="V753" i="11" s="1"/>
  <c r="S674" i="11"/>
  <c r="Q674" i="11"/>
  <c r="V674" i="11" s="1"/>
  <c r="S755" i="11"/>
  <c r="S729" i="11"/>
  <c r="Q729" i="11"/>
  <c r="V729" i="11" s="1"/>
  <c r="S712" i="11"/>
  <c r="Q712" i="11"/>
  <c r="V712" i="11" s="1"/>
  <c r="S728" i="11"/>
  <c r="Q728" i="11"/>
  <c r="V728" i="11" s="1"/>
  <c r="S123" i="11"/>
  <c r="Q123" i="11"/>
  <c r="V123" i="11" s="1"/>
  <c r="Q663" i="11"/>
  <c r="V663" i="11" s="1"/>
  <c r="S663" i="11"/>
  <c r="Q647" i="11"/>
  <c r="V647" i="11" s="1"/>
  <c r="S647" i="11"/>
  <c r="S126" i="11"/>
  <c r="Q126" i="11"/>
  <c r="V126" i="11" s="1"/>
  <c r="S754" i="11"/>
  <c r="Q754" i="11"/>
  <c r="V754" i="11" s="1"/>
  <c r="S666" i="11"/>
  <c r="S140" i="11"/>
  <c r="Q140" i="11"/>
  <c r="V140" i="11" s="1"/>
  <c r="Q697" i="11"/>
  <c r="V697" i="11" s="1"/>
  <c r="S697" i="11"/>
  <c r="S121" i="11"/>
  <c r="Q121" i="11"/>
  <c r="V121" i="11" s="1"/>
  <c r="S628" i="11"/>
  <c r="S696" i="11"/>
  <c r="S125" i="11"/>
  <c r="Q659" i="11"/>
  <c r="V659" i="11" s="1"/>
  <c r="S659" i="11"/>
  <c r="Q643" i="11"/>
  <c r="V643" i="11" s="1"/>
  <c r="S643" i="11"/>
  <c r="Q137" i="11"/>
  <c r="V137" i="11" s="1"/>
  <c r="S134" i="11"/>
  <c r="Q134" i="11"/>
  <c r="V134" i="11" s="1"/>
  <c r="S118" i="11"/>
  <c r="Q118" i="11"/>
  <c r="V118" i="11" s="1"/>
  <c r="S127" i="11"/>
  <c r="S658" i="11"/>
  <c r="Q128" i="11"/>
  <c r="V128" i="11" s="1"/>
  <c r="S713" i="11"/>
  <c r="Q713" i="11"/>
  <c r="V713" i="11" s="1"/>
  <c r="S675" i="11"/>
  <c r="Q675" i="11"/>
  <c r="V675" i="11" s="1"/>
  <c r="S130" i="11"/>
  <c r="S131" i="11"/>
  <c r="Q131" i="11"/>
  <c r="V131" i="11" s="1"/>
  <c r="S158" i="11"/>
  <c r="Q158" i="11"/>
  <c r="V158" i="11" s="1"/>
  <c r="S133" i="11"/>
  <c r="S157" i="11"/>
  <c r="Q157" i="11"/>
  <c r="V157" i="11" s="1"/>
  <c r="S179" i="11"/>
  <c r="Q179" i="11"/>
  <c r="V179" i="11" s="1"/>
  <c r="S129" i="11"/>
  <c r="Q129" i="11"/>
  <c r="V129" i="11" s="1"/>
  <c r="S113" i="11"/>
  <c r="S135" i="11"/>
  <c r="S650" i="11"/>
  <c r="S178" i="11"/>
  <c r="Q178" i="11"/>
  <c r="V178" i="11" s="1"/>
  <c r="Q112" i="11"/>
  <c r="V112" i="11" s="1"/>
  <c r="Q136" i="11"/>
  <c r="V136" i="11" s="1"/>
  <c r="S665" i="11"/>
  <c r="S657" i="11"/>
  <c r="S649" i="11"/>
  <c r="S641" i="11"/>
  <c r="S627" i="11"/>
  <c r="Q672" i="11"/>
  <c r="V672" i="11" s="1"/>
  <c r="S727" i="11"/>
  <c r="Q727" i="11"/>
  <c r="V727" i="11" s="1"/>
  <c r="Q716" i="11"/>
  <c r="V716" i="11" s="1"/>
  <c r="Q746" i="11"/>
  <c r="V746" i="11" s="1"/>
  <c r="Q756" i="11"/>
  <c r="V756" i="11" s="1"/>
  <c r="Q183" i="11"/>
  <c r="V183" i="11" s="1"/>
  <c r="S710" i="11"/>
  <c r="Q710" i="11"/>
  <c r="V710" i="11" s="1"/>
  <c r="Q742" i="11"/>
  <c r="V742" i="11" s="1"/>
  <c r="Q752" i="11"/>
  <c r="V752" i="11" s="1"/>
  <c r="S664" i="11"/>
  <c r="S656" i="11"/>
  <c r="S648" i="11"/>
  <c r="S640" i="11"/>
  <c r="S626" i="11"/>
  <c r="Q167" i="11"/>
  <c r="V167" i="11" s="1"/>
  <c r="Q722" i="11"/>
  <c r="V722" i="11" s="1"/>
  <c r="Q757" i="11"/>
  <c r="V757" i="11" s="1"/>
  <c r="Q625" i="11"/>
  <c r="V625" i="11" s="1"/>
  <c r="S708" i="11"/>
  <c r="Q708" i="11"/>
  <c r="V708" i="11" s="1"/>
  <c r="S750" i="11"/>
  <c r="Q750" i="11"/>
  <c r="V750" i="11" s="1"/>
  <c r="Q717" i="11"/>
  <c r="V717" i="11" s="1"/>
  <c r="Q737" i="11"/>
  <c r="V737" i="11" s="1"/>
  <c r="Q762" i="11"/>
  <c r="V762" i="11" s="1"/>
  <c r="Q114" i="11"/>
  <c r="V114" i="11" s="1"/>
  <c r="Q176" i="11"/>
  <c r="V176" i="11" s="1"/>
  <c r="S738" i="11"/>
  <c r="Q738" i="11"/>
  <c r="V738" i="11" s="1"/>
  <c r="Q694" i="11"/>
  <c r="V694" i="11" s="1"/>
  <c r="Q707" i="11"/>
  <c r="V707" i="11" s="1"/>
  <c r="Q733" i="11"/>
  <c r="V733" i="11" s="1"/>
  <c r="Q718" i="11"/>
  <c r="V718" i="11" s="1"/>
  <c r="S723" i="11"/>
  <c r="Q743" i="11"/>
  <c r="V743" i="11" s="1"/>
  <c r="S763" i="11"/>
  <c r="S736" i="11"/>
  <c r="Q736" i="11"/>
  <c r="V736" i="11" s="1"/>
  <c r="S661" i="11"/>
  <c r="S653" i="11"/>
  <c r="S645" i="11"/>
  <c r="S631" i="11"/>
  <c r="Q144" i="11"/>
  <c r="V144" i="11" s="1"/>
  <c r="Q161" i="11"/>
  <c r="V161" i="11" s="1"/>
  <c r="Q699" i="11"/>
  <c r="V699" i="11" s="1"/>
  <c r="Q704" i="11"/>
  <c r="V704" i="11" s="1"/>
  <c r="Q724" i="11"/>
  <c r="V724" i="11" s="1"/>
  <c r="S702" i="11"/>
  <c r="Q702" i="11"/>
  <c r="V702" i="11" s="1"/>
  <c r="Q734" i="11"/>
  <c r="V734" i="11" s="1"/>
  <c r="Q744" i="11"/>
  <c r="V744" i="11" s="1"/>
  <c r="S764" i="11"/>
  <c r="S759" i="11"/>
  <c r="Q759" i="11"/>
  <c r="V759" i="11" s="1"/>
  <c r="Q679" i="11"/>
  <c r="V679" i="11" s="1"/>
  <c r="Q173" i="11"/>
  <c r="V173" i="11" s="1"/>
  <c r="S732" i="11"/>
  <c r="Q732" i="11"/>
  <c r="V732" i="11" s="1"/>
  <c r="S758" i="11"/>
  <c r="Q758" i="11"/>
  <c r="V758" i="11" s="1"/>
  <c r="Q700" i="11"/>
  <c r="V700" i="11" s="1"/>
  <c r="Q720" i="11"/>
  <c r="V720" i="11" s="1"/>
  <c r="S725" i="11"/>
  <c r="Q760" i="11"/>
  <c r="V760" i="11" s="1"/>
  <c r="Q765" i="11"/>
  <c r="V765" i="11" s="1"/>
  <c r="S667" i="11"/>
  <c r="S651" i="11"/>
  <c r="S629" i="11"/>
  <c r="Q138" i="11"/>
  <c r="V138" i="11" s="1"/>
  <c r="Q155" i="11"/>
  <c r="V155" i="11" s="1"/>
  <c r="Q163" i="11"/>
  <c r="V163" i="11" s="1"/>
  <c r="Q165" i="11"/>
  <c r="V165" i="11" s="1"/>
  <c r="Q681" i="11"/>
  <c r="V681" i="11" s="1"/>
  <c r="S735" i="11"/>
  <c r="Q740" i="11"/>
  <c r="V740" i="11" s="1"/>
  <c r="S698" i="11"/>
  <c r="Q698" i="11"/>
  <c r="V698" i="11" s="1"/>
  <c r="Q726" i="11"/>
  <c r="V726" i="11" s="1"/>
  <c r="BM1057" i="11"/>
  <c r="BM45" i="11"/>
  <c r="BM55" i="11"/>
  <c r="BM225" i="11"/>
  <c r="BN225" i="11" s="1"/>
  <c r="BO225" i="11" s="1"/>
  <c r="BM59" i="11"/>
  <c r="BM402" i="11"/>
  <c r="BM58" i="11"/>
  <c r="BM403" i="11"/>
  <c r="BM57" i="11"/>
  <c r="BM404" i="11"/>
  <c r="BM405" i="11"/>
  <c r="BM1056" i="11"/>
  <c r="BM782" i="11"/>
  <c r="BM783" i="11"/>
  <c r="BM44" i="11"/>
  <c r="BM784" i="11"/>
  <c r="BM48" i="11"/>
  <c r="BM839" i="11"/>
  <c r="BM47" i="11"/>
  <c r="BM840" i="11"/>
  <c r="AN1161" i="11"/>
  <c r="AN1134" i="11"/>
  <c r="AM1135" i="11"/>
  <c r="AJ1134" i="11"/>
  <c r="AJ1135" i="11"/>
  <c r="BM779" i="11"/>
  <c r="BM780" i="11"/>
  <c r="BM781" i="11"/>
  <c r="AJ200" i="11"/>
  <c r="AN1133" i="11"/>
  <c r="BE1135" i="11"/>
  <c r="BF1135" i="11" s="1"/>
  <c r="BG1135" i="11"/>
  <c r="AK1133" i="11"/>
  <c r="AN1162" i="11"/>
  <c r="AN1160" i="11"/>
  <c r="BE1162" i="11"/>
  <c r="BF1162" i="11" s="1"/>
  <c r="BG1162" i="11"/>
  <c r="AN200" i="11"/>
  <c r="AK1161" i="11"/>
  <c r="AK1162" i="11"/>
  <c r="AK1160" i="11"/>
  <c r="AN199" i="11"/>
  <c r="AC199" i="11"/>
  <c r="AC200" i="11"/>
  <c r="BM1029" i="11"/>
  <c r="BM1028" i="11"/>
  <c r="BM1025" i="11"/>
  <c r="BM1024" i="11"/>
  <c r="BM1026" i="11"/>
  <c r="BM1023" i="11"/>
  <c r="BM1027" i="11"/>
  <c r="BM1022" i="11"/>
  <c r="AK199" i="11"/>
  <c r="BE1161" i="11" l="1"/>
  <c r="BF1161" i="11" s="1"/>
  <c r="BG1160" i="11"/>
  <c r="BG1133" i="11"/>
  <c r="BE1134" i="11"/>
  <c r="BF1134" i="11" s="1"/>
  <c r="BG151" i="11"/>
  <c r="BE151" i="11"/>
  <c r="BF151" i="11" s="1"/>
  <c r="BG153" i="11"/>
  <c r="BE153" i="11"/>
  <c r="BF153" i="11" s="1"/>
  <c r="BE636" i="11"/>
  <c r="BF636" i="11" s="1"/>
  <c r="BG636" i="11"/>
  <c r="BE633" i="11"/>
  <c r="BF633" i="11" s="1"/>
  <c r="BG633" i="11"/>
  <c r="BG154" i="11"/>
  <c r="BE154" i="11"/>
  <c r="BF154" i="11" s="1"/>
  <c r="BG152" i="11"/>
  <c r="BE152" i="11"/>
  <c r="BF152" i="11" s="1"/>
  <c r="BE149" i="11"/>
  <c r="BF149" i="11" s="1"/>
  <c r="BG149" i="11"/>
  <c r="BE634" i="11"/>
  <c r="BF634" i="11" s="1"/>
  <c r="BG634" i="11"/>
  <c r="BN892" i="11"/>
  <c r="BO892" i="11" s="1"/>
  <c r="BD892" i="11" s="1"/>
  <c r="BG637" i="11"/>
  <c r="BE637" i="11"/>
  <c r="BF637" i="11" s="1"/>
  <c r="BN897" i="11"/>
  <c r="BO897" i="11" s="1"/>
  <c r="BD897" i="11" s="1"/>
  <c r="BN896" i="11"/>
  <c r="BO896" i="11" s="1"/>
  <c r="BD896" i="11" s="1"/>
  <c r="BN895" i="11"/>
  <c r="BO895" i="11" s="1"/>
  <c r="BD895" i="11" s="1"/>
  <c r="BG150" i="11"/>
  <c r="BE150" i="11"/>
  <c r="BF150" i="11" s="1"/>
  <c r="BN894" i="11"/>
  <c r="BO894" i="11" s="1"/>
  <c r="BD894" i="11" s="1"/>
  <c r="BG638" i="11"/>
  <c r="BE638" i="11"/>
  <c r="BF638" i="11" s="1"/>
  <c r="BN893" i="11"/>
  <c r="BO893" i="11" s="1"/>
  <c r="BD893" i="11" s="1"/>
  <c r="BG635" i="11"/>
  <c r="BE635" i="11"/>
  <c r="BF635" i="11" s="1"/>
  <c r="BG762" i="11"/>
  <c r="BE200" i="11"/>
  <c r="T749" i="11"/>
  <c r="T721" i="11"/>
  <c r="T705" i="11"/>
  <c r="T670" i="11"/>
  <c r="T676" i="11"/>
  <c r="V676" i="11"/>
  <c r="T706" i="11"/>
  <c r="V706" i="11"/>
  <c r="W762" i="11"/>
  <c r="Y762" i="11" s="1"/>
  <c r="T669" i="11"/>
  <c r="V669" i="11"/>
  <c r="T170" i="11"/>
  <c r="V170" i="11"/>
  <c r="W112" i="11"/>
  <c r="Y112" i="11" s="1"/>
  <c r="T673" i="11"/>
  <c r="V673" i="11"/>
  <c r="T751" i="11"/>
  <c r="V751" i="11"/>
  <c r="T761" i="11"/>
  <c r="V761" i="11"/>
  <c r="T680" i="11"/>
  <c r="V680" i="11"/>
  <c r="T739" i="11"/>
  <c r="BO935" i="11"/>
  <c r="BD935" i="11" s="1"/>
  <c r="BO942" i="11"/>
  <c r="BD942" i="11" s="1"/>
  <c r="BO982" i="11"/>
  <c r="BD982" i="11" s="1"/>
  <c r="T165" i="11"/>
  <c r="T185" i="11"/>
  <c r="T169" i="11"/>
  <c r="T189" i="11"/>
  <c r="T682" i="11"/>
  <c r="T753" i="11"/>
  <c r="T677" i="11"/>
  <c r="T732" i="11"/>
  <c r="T716" i="11"/>
  <c r="T765" i="11"/>
  <c r="T708" i="11"/>
  <c r="T678" i="11"/>
  <c r="T172" i="11"/>
  <c r="T181" i="11"/>
  <c r="T735" i="11"/>
  <c r="T730" i="11"/>
  <c r="T693" i="11"/>
  <c r="T188" i="11"/>
  <c r="T719" i="11"/>
  <c r="T190" i="11"/>
  <c r="T695" i="11"/>
  <c r="T741" i="11"/>
  <c r="T184" i="11"/>
  <c r="T671" i="11"/>
  <c r="T168" i="11"/>
  <c r="T764" i="11"/>
  <c r="T763" i="11"/>
  <c r="T675" i="11"/>
  <c r="T740" i="11"/>
  <c r="T711" i="11"/>
  <c r="T672" i="11"/>
  <c r="T725" i="11"/>
  <c r="T674" i="11"/>
  <c r="T727" i="11"/>
  <c r="T747" i="11"/>
  <c r="T756" i="11"/>
  <c r="T724" i="11"/>
  <c r="T174" i="11"/>
  <c r="T703" i="11"/>
  <c r="T171" i="11"/>
  <c r="T115" i="11"/>
  <c r="T700" i="11"/>
  <c r="T757" i="11"/>
  <c r="T187" i="11"/>
  <c r="T709" i="11"/>
  <c r="T746" i="11"/>
  <c r="T707" i="11"/>
  <c r="T186" i="11"/>
  <c r="T681" i="11"/>
  <c r="T715" i="11"/>
  <c r="T699" i="11"/>
  <c r="T177" i="11"/>
  <c r="T714" i="11"/>
  <c r="T166" i="11"/>
  <c r="T737" i="11"/>
  <c r="T718" i="11"/>
  <c r="T762" i="11"/>
  <c r="T743" i="11"/>
  <c r="T752" i="11"/>
  <c r="T176" i="11"/>
  <c r="T710" i="11"/>
  <c r="T728" i="11"/>
  <c r="T179" i="11"/>
  <c r="T726" i="11"/>
  <c r="T183" i="11"/>
  <c r="T738" i="11"/>
  <c r="T178" i="11"/>
  <c r="T760" i="11"/>
  <c r="T704" i="11"/>
  <c r="T729" i="11"/>
  <c r="T722" i="11"/>
  <c r="T697" i="11"/>
  <c r="T736" i="11"/>
  <c r="T679" i="11"/>
  <c r="T698" i="11"/>
  <c r="T720" i="11"/>
  <c r="T694" i="11"/>
  <c r="T750" i="11"/>
  <c r="T167" i="11"/>
  <c r="T112" i="11"/>
  <c r="T713" i="11"/>
  <c r="T755" i="11"/>
  <c r="T734" i="11"/>
  <c r="T173" i="11"/>
  <c r="T758" i="11"/>
  <c r="T723" i="11"/>
  <c r="T702" i="11"/>
  <c r="T717" i="11"/>
  <c r="T759" i="11"/>
  <c r="T733" i="11"/>
  <c r="T754" i="11"/>
  <c r="T712" i="11"/>
  <c r="T742" i="11"/>
  <c r="T744" i="11"/>
  <c r="T696" i="11"/>
  <c r="BG894" i="11" l="1"/>
  <c r="BE894" i="11"/>
  <c r="BF894" i="11" s="1"/>
  <c r="BG896" i="11"/>
  <c r="BE896" i="11"/>
  <c r="BF896" i="11" s="1"/>
  <c r="BG897" i="11"/>
  <c r="BE897" i="11"/>
  <c r="BF897" i="11" s="1"/>
  <c r="BG893" i="11"/>
  <c r="BE893" i="11"/>
  <c r="BF893" i="11" s="1"/>
  <c r="BE895" i="11"/>
  <c r="BF895" i="11" s="1"/>
  <c r="BG895" i="11"/>
  <c r="BG892" i="11"/>
  <c r="BE892" i="11"/>
  <c r="BF892" i="11" s="1"/>
  <c r="BG982" i="11"/>
  <c r="BE982" i="11"/>
  <c r="BF982" i="11" s="1"/>
  <c r="BG942" i="11"/>
  <c r="BE942" i="11"/>
  <c r="BF942" i="11" s="1"/>
  <c r="BE935" i="11"/>
  <c r="BF935" i="11" s="1"/>
  <c r="BG935" i="11"/>
  <c r="BI44" i="11"/>
  <c r="BI45" i="11"/>
  <c r="BI46" i="11"/>
  <c r="BI47" i="11"/>
  <c r="BI48" i="11"/>
  <c r="BG597" i="11"/>
  <c r="BE597" i="11"/>
  <c r="BF597" i="11" s="1"/>
  <c r="AF597" i="11"/>
  <c r="AE597" i="11"/>
  <c r="AD597" i="11"/>
  <c r="K597" i="11"/>
  <c r="W597" i="11" s="1"/>
  <c r="Y597" i="11" s="1"/>
  <c r="J597" i="11"/>
  <c r="I597" i="11"/>
  <c r="H597" i="11"/>
  <c r="BG596" i="11"/>
  <c r="BE596" i="11"/>
  <c r="BF596" i="11" s="1"/>
  <c r="AF596" i="11"/>
  <c r="AE596" i="11"/>
  <c r="AD596" i="11"/>
  <c r="K596" i="11"/>
  <c r="W596" i="11" s="1"/>
  <c r="Y596" i="11" s="1"/>
  <c r="J596" i="11"/>
  <c r="I596" i="11"/>
  <c r="H596" i="11"/>
  <c r="BG595" i="11"/>
  <c r="BE595" i="11"/>
  <c r="BF595" i="11" s="1"/>
  <c r="AF595" i="11"/>
  <c r="AE595" i="11"/>
  <c r="AD595" i="11"/>
  <c r="K595" i="11"/>
  <c r="W595" i="11" s="1"/>
  <c r="Y595" i="11" s="1"/>
  <c r="J595" i="11"/>
  <c r="I595" i="11"/>
  <c r="H595" i="11"/>
  <c r="BG594" i="11"/>
  <c r="BE594" i="11"/>
  <c r="BF594" i="11" s="1"/>
  <c r="AF594" i="11"/>
  <c r="AE594" i="11"/>
  <c r="AD594" i="11"/>
  <c r="K594" i="11"/>
  <c r="W594" i="11" s="1"/>
  <c r="Y594" i="11" s="1"/>
  <c r="J594" i="11"/>
  <c r="I594" i="11"/>
  <c r="H594" i="11"/>
  <c r="BG593" i="11"/>
  <c r="BE593" i="11"/>
  <c r="BF593" i="11" s="1"/>
  <c r="AF593" i="11"/>
  <c r="AE593" i="11"/>
  <c r="AD593" i="11"/>
  <c r="K593" i="11"/>
  <c r="W593" i="11" s="1"/>
  <c r="Y593" i="11" s="1"/>
  <c r="J593" i="11"/>
  <c r="I593" i="11"/>
  <c r="H593" i="11"/>
  <c r="BG592" i="11"/>
  <c r="BE592" i="11"/>
  <c r="BF592" i="11" s="1"/>
  <c r="AF592" i="11"/>
  <c r="AE592" i="11"/>
  <c r="AD592" i="11"/>
  <c r="K592" i="11"/>
  <c r="W592" i="11" s="1"/>
  <c r="Y592" i="11" s="1"/>
  <c r="J592" i="11"/>
  <c r="I592" i="11"/>
  <c r="H592" i="11"/>
  <c r="BG591" i="11"/>
  <c r="BE591" i="11"/>
  <c r="BF591" i="11" s="1"/>
  <c r="AF591" i="11"/>
  <c r="AE591" i="11"/>
  <c r="AD591" i="11"/>
  <c r="K591" i="11"/>
  <c r="W591" i="11" s="1"/>
  <c r="Y591" i="11" s="1"/>
  <c r="J591" i="11"/>
  <c r="I591" i="11"/>
  <c r="H591" i="11"/>
  <c r="BG590" i="11"/>
  <c r="BE590" i="11"/>
  <c r="BF590" i="11" s="1"/>
  <c r="AF590" i="11"/>
  <c r="AE590" i="11"/>
  <c r="AD590" i="11"/>
  <c r="K590" i="11"/>
  <c r="W590" i="11" s="1"/>
  <c r="Y590" i="11" s="1"/>
  <c r="J590" i="11"/>
  <c r="I590" i="11"/>
  <c r="H590" i="11"/>
  <c r="BG589" i="11"/>
  <c r="BE589" i="11"/>
  <c r="BF589" i="11" s="1"/>
  <c r="AF589" i="11"/>
  <c r="AE589" i="11"/>
  <c r="AD589" i="11"/>
  <c r="K589" i="11"/>
  <c r="W589" i="11" s="1"/>
  <c r="Y589" i="11" s="1"/>
  <c r="J589" i="11"/>
  <c r="I589" i="11"/>
  <c r="H589" i="11"/>
  <c r="BG588" i="11"/>
  <c r="BE588" i="11"/>
  <c r="BF588" i="11" s="1"/>
  <c r="AF588" i="11"/>
  <c r="AE588" i="11"/>
  <c r="AD588" i="11"/>
  <c r="K588" i="11"/>
  <c r="W588" i="11" s="1"/>
  <c r="Y588" i="11" s="1"/>
  <c r="J588" i="11"/>
  <c r="I588" i="11"/>
  <c r="H588" i="11"/>
  <c r="AZ581" i="11"/>
  <c r="AX581" i="11"/>
  <c r="AF581" i="11"/>
  <c r="AE581" i="11"/>
  <c r="AD581" i="11"/>
  <c r="K581" i="11"/>
  <c r="W581" i="11" s="1"/>
  <c r="Y581" i="11" s="1"/>
  <c r="J581" i="11"/>
  <c r="I581" i="11"/>
  <c r="H581" i="11"/>
  <c r="BG580" i="11"/>
  <c r="AZ580" i="11"/>
  <c r="AX580" i="11"/>
  <c r="AF580" i="11"/>
  <c r="AE580" i="11"/>
  <c r="AD580" i="11"/>
  <c r="K580" i="11"/>
  <c r="W580" i="11" s="1"/>
  <c r="Y580" i="11" s="1"/>
  <c r="J580" i="11"/>
  <c r="I580" i="11"/>
  <c r="H580" i="11"/>
  <c r="BG579" i="11"/>
  <c r="AZ579" i="11"/>
  <c r="AX579" i="11"/>
  <c r="AF579" i="11"/>
  <c r="AE579" i="11"/>
  <c r="AD579" i="11"/>
  <c r="K579" i="11"/>
  <c r="W579" i="11" s="1"/>
  <c r="Y579" i="11" s="1"/>
  <c r="J579" i="11"/>
  <c r="I579" i="11"/>
  <c r="H579" i="11"/>
  <c r="BG578" i="11"/>
  <c r="AZ578" i="11"/>
  <c r="AX578" i="11"/>
  <c r="AF578" i="11"/>
  <c r="AE578" i="11"/>
  <c r="AD578" i="11"/>
  <c r="K578" i="11"/>
  <c r="W578" i="11" s="1"/>
  <c r="Y578" i="11" s="1"/>
  <c r="J578" i="11"/>
  <c r="I578" i="11"/>
  <c r="H578" i="11"/>
  <c r="BG577" i="11"/>
  <c r="AZ577" i="11"/>
  <c r="AX577" i="11"/>
  <c r="AF577" i="11"/>
  <c r="AE577" i="11"/>
  <c r="AD577" i="11"/>
  <c r="K577" i="11"/>
  <c r="W577" i="11" s="1"/>
  <c r="Y577" i="11" s="1"/>
  <c r="J577" i="11"/>
  <c r="I577" i="11"/>
  <c r="H577" i="11"/>
  <c r="BG576" i="11"/>
  <c r="AZ576" i="11"/>
  <c r="AX576" i="11"/>
  <c r="AF576" i="11"/>
  <c r="AE576" i="11"/>
  <c r="AD576" i="11"/>
  <c r="K576" i="11"/>
  <c r="W576" i="11" s="1"/>
  <c r="Y576" i="11" s="1"/>
  <c r="J576" i="11"/>
  <c r="I576" i="11"/>
  <c r="H576" i="11"/>
  <c r="BG575" i="11"/>
  <c r="AZ575" i="11"/>
  <c r="AX575" i="11"/>
  <c r="AF575" i="11"/>
  <c r="AE575" i="11"/>
  <c r="AD575" i="11"/>
  <c r="K575" i="11"/>
  <c r="W575" i="11" s="1"/>
  <c r="Y575" i="11" s="1"/>
  <c r="J575" i="11"/>
  <c r="I575" i="11"/>
  <c r="H575" i="11"/>
  <c r="BG574" i="11"/>
  <c r="AZ574" i="11"/>
  <c r="AX574" i="11"/>
  <c r="AF574" i="11"/>
  <c r="AE574" i="11"/>
  <c r="AD574" i="11"/>
  <c r="K574" i="11"/>
  <c r="W574" i="11" s="1"/>
  <c r="Y574" i="11" s="1"/>
  <c r="J574" i="11"/>
  <c r="I574" i="11"/>
  <c r="H574" i="11"/>
  <c r="BG573" i="11"/>
  <c r="AZ573" i="11"/>
  <c r="AX573" i="11"/>
  <c r="AF573" i="11"/>
  <c r="AE573" i="11"/>
  <c r="AD573" i="11"/>
  <c r="K573" i="11"/>
  <c r="W573" i="11" s="1"/>
  <c r="Y573" i="11" s="1"/>
  <c r="J573" i="11"/>
  <c r="I573" i="11"/>
  <c r="H573" i="11"/>
  <c r="BG572" i="11"/>
  <c r="AZ572" i="11"/>
  <c r="AX572" i="11"/>
  <c r="AF572" i="11"/>
  <c r="AE572" i="11"/>
  <c r="AD572" i="11"/>
  <c r="K572" i="11"/>
  <c r="W572" i="11" s="1"/>
  <c r="Y572" i="11" s="1"/>
  <c r="J572" i="11"/>
  <c r="I572" i="11"/>
  <c r="H572" i="11"/>
  <c r="BG1085" i="11"/>
  <c r="BE1085" i="11"/>
  <c r="BF1085" i="11" s="1"/>
  <c r="AF1085" i="11"/>
  <c r="AE1085" i="11"/>
  <c r="AD1085" i="11"/>
  <c r="K1085" i="11"/>
  <c r="W1085" i="11" s="1"/>
  <c r="Y1085" i="11" s="1"/>
  <c r="J1085" i="11"/>
  <c r="I1085" i="11"/>
  <c r="H1085" i="11"/>
  <c r="BG1084" i="11"/>
  <c r="BE1084" i="11"/>
  <c r="BF1084" i="11" s="1"/>
  <c r="AF1084" i="11"/>
  <c r="AE1084" i="11"/>
  <c r="AD1084" i="11"/>
  <c r="K1084" i="11"/>
  <c r="W1084" i="11" s="1"/>
  <c r="Y1084" i="11" s="1"/>
  <c r="J1084" i="11"/>
  <c r="I1084" i="11"/>
  <c r="H1084" i="11"/>
  <c r="BG1083" i="11"/>
  <c r="BE1083" i="11"/>
  <c r="BF1083" i="11" s="1"/>
  <c r="AF1083" i="11"/>
  <c r="AE1083" i="11"/>
  <c r="AD1083" i="11"/>
  <c r="K1083" i="11"/>
  <c r="W1083" i="11" s="1"/>
  <c r="Y1083" i="11" s="1"/>
  <c r="J1083" i="11"/>
  <c r="I1083" i="11"/>
  <c r="H1083" i="11"/>
  <c r="BG1082" i="11"/>
  <c r="BE1082" i="11"/>
  <c r="BF1082" i="11" s="1"/>
  <c r="AF1082" i="11"/>
  <c r="AE1082" i="11"/>
  <c r="AD1082" i="11"/>
  <c r="K1082" i="11"/>
  <c r="W1082" i="11" s="1"/>
  <c r="Y1082" i="11" s="1"/>
  <c r="J1082" i="11"/>
  <c r="I1082" i="11"/>
  <c r="H1082" i="11"/>
  <c r="BG1081" i="11"/>
  <c r="BE1081" i="11"/>
  <c r="BF1081" i="11" s="1"/>
  <c r="AF1081" i="11"/>
  <c r="AE1081" i="11"/>
  <c r="AD1081" i="11"/>
  <c r="K1081" i="11"/>
  <c r="W1081" i="11" s="1"/>
  <c r="Y1081" i="11" s="1"/>
  <c r="J1081" i="11"/>
  <c r="I1081" i="11"/>
  <c r="H1081" i="11"/>
  <c r="BG1080" i="11"/>
  <c r="BE1080" i="11"/>
  <c r="BF1080" i="11" s="1"/>
  <c r="AF1080" i="11"/>
  <c r="AE1080" i="11"/>
  <c r="AD1080" i="11"/>
  <c r="K1080" i="11"/>
  <c r="W1080" i="11" s="1"/>
  <c r="Y1080" i="11" s="1"/>
  <c r="J1080" i="11"/>
  <c r="I1080" i="11"/>
  <c r="H1080" i="11"/>
  <c r="BG1079" i="11"/>
  <c r="BE1079" i="11"/>
  <c r="BF1079" i="11" s="1"/>
  <c r="AF1079" i="11"/>
  <c r="AE1079" i="11"/>
  <c r="AD1079" i="11"/>
  <c r="K1079" i="11"/>
  <c r="W1079" i="11" s="1"/>
  <c r="Y1079" i="11" s="1"/>
  <c r="J1079" i="11"/>
  <c r="I1079" i="11"/>
  <c r="H1079" i="11"/>
  <c r="BG1078" i="11"/>
  <c r="BE1078" i="11"/>
  <c r="BF1078" i="11" s="1"/>
  <c r="AF1078" i="11"/>
  <c r="AE1078" i="11"/>
  <c r="AD1078" i="11"/>
  <c r="K1078" i="11"/>
  <c r="W1078" i="11" s="1"/>
  <c r="Y1078" i="11" s="1"/>
  <c r="J1078" i="11"/>
  <c r="I1078" i="11"/>
  <c r="H1078" i="11"/>
  <c r="BG1077" i="11"/>
  <c r="BE1077" i="11"/>
  <c r="BF1077" i="11" s="1"/>
  <c r="AF1077" i="11"/>
  <c r="AE1077" i="11"/>
  <c r="AD1077" i="11"/>
  <c r="K1077" i="11"/>
  <c r="W1077" i="11" s="1"/>
  <c r="Y1077" i="11" s="1"/>
  <c r="J1077" i="11"/>
  <c r="I1077" i="11"/>
  <c r="H1077" i="11"/>
  <c r="BG1076" i="11"/>
  <c r="BE1076" i="11"/>
  <c r="BF1076" i="11" s="1"/>
  <c r="AF1076" i="11"/>
  <c r="AE1076" i="11"/>
  <c r="AD1076" i="11"/>
  <c r="K1076" i="11"/>
  <c r="W1076" i="11" s="1"/>
  <c r="Y1076" i="11" s="1"/>
  <c r="J1076" i="11"/>
  <c r="I1076" i="11"/>
  <c r="H1076" i="11"/>
  <c r="BL1075" i="11"/>
  <c r="BN1075" i="11" s="1"/>
  <c r="BO1075" i="11" s="1"/>
  <c r="BD1075" i="11" s="1"/>
  <c r="AZ1075" i="11"/>
  <c r="AV1075" i="11"/>
  <c r="AF1075" i="11"/>
  <c r="AE1075" i="11"/>
  <c r="AD1075" i="11"/>
  <c r="K1075" i="11"/>
  <c r="W1075" i="11" s="1"/>
  <c r="Y1075" i="11" s="1"/>
  <c r="J1075" i="11"/>
  <c r="I1075" i="11"/>
  <c r="H1075" i="11"/>
  <c r="BG1074" i="11"/>
  <c r="AZ1074" i="11"/>
  <c r="AX1074" i="11"/>
  <c r="AV1074" i="11"/>
  <c r="AL1074" i="11"/>
  <c r="AN1074" i="11" s="1"/>
  <c r="AI1074" i="11"/>
  <c r="AK1074" i="11" s="1"/>
  <c r="AF1074" i="11"/>
  <c r="AE1074" i="11"/>
  <c r="AD1074" i="11"/>
  <c r="K1074" i="11"/>
  <c r="W1074" i="11" s="1"/>
  <c r="Y1074" i="11" s="1"/>
  <c r="J1074" i="11"/>
  <c r="I1074" i="11"/>
  <c r="H1074" i="11"/>
  <c r="BG1073" i="11"/>
  <c r="AZ1073" i="11"/>
  <c r="AX1073" i="11"/>
  <c r="AV1073" i="11"/>
  <c r="AL1073" i="11"/>
  <c r="AN1073" i="11" s="1"/>
  <c r="AI1073" i="11"/>
  <c r="AF1073" i="11"/>
  <c r="AE1073" i="11"/>
  <c r="AD1073" i="11"/>
  <c r="K1073" i="11"/>
  <c r="W1073" i="11" s="1"/>
  <c r="Y1073" i="11" s="1"/>
  <c r="J1073" i="11"/>
  <c r="I1073" i="11"/>
  <c r="H1073" i="11"/>
  <c r="BG1072" i="11"/>
  <c r="AZ1072" i="11"/>
  <c r="AX1072" i="11"/>
  <c r="AV1072" i="11"/>
  <c r="AL1072" i="11"/>
  <c r="AN1072" i="11" s="1"/>
  <c r="AI1072" i="11"/>
  <c r="AK1072" i="11" s="1"/>
  <c r="AF1072" i="11"/>
  <c r="AE1072" i="11"/>
  <c r="AD1072" i="11"/>
  <c r="K1072" i="11"/>
  <c r="W1072" i="11" s="1"/>
  <c r="Y1072" i="11" s="1"/>
  <c r="J1072" i="11"/>
  <c r="I1072" i="11"/>
  <c r="H1072" i="11"/>
  <c r="BG1071" i="11"/>
  <c r="AZ1071" i="11"/>
  <c r="AX1071" i="11"/>
  <c r="AV1071" i="11"/>
  <c r="AL1071" i="11"/>
  <c r="AN1071" i="11" s="1"/>
  <c r="AI1071" i="11"/>
  <c r="AK1071" i="11" s="1"/>
  <c r="AF1071" i="11"/>
  <c r="AE1071" i="11"/>
  <c r="AD1071" i="11"/>
  <c r="K1071" i="11"/>
  <c r="W1071" i="11" s="1"/>
  <c r="Y1071" i="11" s="1"/>
  <c r="J1071" i="11"/>
  <c r="I1071" i="11"/>
  <c r="H1071" i="11"/>
  <c r="BG1070" i="11"/>
  <c r="AZ1070" i="11"/>
  <c r="AX1070" i="11"/>
  <c r="AV1070" i="11"/>
  <c r="AL1070" i="11"/>
  <c r="AN1070" i="11" s="1"/>
  <c r="AI1070" i="11"/>
  <c r="AK1070" i="11" s="1"/>
  <c r="AF1070" i="11"/>
  <c r="AE1070" i="11"/>
  <c r="AD1070" i="11"/>
  <c r="K1070" i="11"/>
  <c r="W1070" i="11" s="1"/>
  <c r="Y1070" i="11" s="1"/>
  <c r="J1070" i="11"/>
  <c r="I1070" i="11"/>
  <c r="H1070" i="11"/>
  <c r="BG571" i="11"/>
  <c r="BE571" i="11"/>
  <c r="BF571" i="11" s="1"/>
  <c r="AF571" i="11"/>
  <c r="AE571" i="11"/>
  <c r="AD571" i="11"/>
  <c r="K571" i="11"/>
  <c r="W571" i="11" s="1"/>
  <c r="Y571" i="11" s="1"/>
  <c r="J571" i="11"/>
  <c r="I571" i="11"/>
  <c r="H571" i="11"/>
  <c r="BG570" i="11"/>
  <c r="BE570" i="11"/>
  <c r="BF570" i="11" s="1"/>
  <c r="AF570" i="11"/>
  <c r="AE570" i="11"/>
  <c r="AD570" i="11"/>
  <c r="K570" i="11"/>
  <c r="W570" i="11" s="1"/>
  <c r="Y570" i="11" s="1"/>
  <c r="J570" i="11"/>
  <c r="I570" i="11"/>
  <c r="H570" i="11"/>
  <c r="BG569" i="11"/>
  <c r="BE569" i="11"/>
  <c r="BF569" i="11" s="1"/>
  <c r="AF569" i="11"/>
  <c r="AE569" i="11"/>
  <c r="AD569" i="11"/>
  <c r="K569" i="11"/>
  <c r="W569" i="11" s="1"/>
  <c r="Y569" i="11" s="1"/>
  <c r="J569" i="11"/>
  <c r="I569" i="11"/>
  <c r="H569" i="11"/>
  <c r="BG568" i="11"/>
  <c r="BE568" i="11"/>
  <c r="BF568" i="11" s="1"/>
  <c r="AF568" i="11"/>
  <c r="AE568" i="11"/>
  <c r="AD568" i="11"/>
  <c r="K568" i="11"/>
  <c r="W568" i="11" s="1"/>
  <c r="Y568" i="11" s="1"/>
  <c r="J568" i="11"/>
  <c r="I568" i="11"/>
  <c r="H568" i="11"/>
  <c r="BG567" i="11"/>
  <c r="BE567" i="11"/>
  <c r="BF567" i="11" s="1"/>
  <c r="AF567" i="11"/>
  <c r="AE567" i="11"/>
  <c r="AD567" i="11"/>
  <c r="K567" i="11"/>
  <c r="W567" i="11" s="1"/>
  <c r="Y567" i="11" s="1"/>
  <c r="J567" i="11"/>
  <c r="I567" i="11"/>
  <c r="H567" i="11"/>
  <c r="BG566" i="11"/>
  <c r="BE566" i="11"/>
  <c r="BF566" i="11" s="1"/>
  <c r="AF566" i="11"/>
  <c r="AE566" i="11"/>
  <c r="AD566" i="11"/>
  <c r="K566" i="11"/>
  <c r="W566" i="11" s="1"/>
  <c r="Y566" i="11" s="1"/>
  <c r="J566" i="11"/>
  <c r="I566" i="11"/>
  <c r="H566" i="11"/>
  <c r="BG565" i="11"/>
  <c r="BE565" i="11"/>
  <c r="BF565" i="11" s="1"/>
  <c r="AF565" i="11"/>
  <c r="AE565" i="11"/>
  <c r="AD565" i="11"/>
  <c r="K565" i="11"/>
  <c r="W565" i="11" s="1"/>
  <c r="Y565" i="11" s="1"/>
  <c r="J565" i="11"/>
  <c r="I565" i="11"/>
  <c r="H565" i="11"/>
  <c r="BG564" i="11"/>
  <c r="BE564" i="11"/>
  <c r="BF564" i="11" s="1"/>
  <c r="AF564" i="11"/>
  <c r="AE564" i="11"/>
  <c r="AD564" i="11"/>
  <c r="K564" i="11"/>
  <c r="W564" i="11" s="1"/>
  <c r="Y564" i="11" s="1"/>
  <c r="J564" i="11"/>
  <c r="I564" i="11"/>
  <c r="H564" i="11"/>
  <c r="BG563" i="11"/>
  <c r="BE563" i="11"/>
  <c r="BF563" i="11" s="1"/>
  <c r="AF563" i="11"/>
  <c r="AE563" i="11"/>
  <c r="AD563" i="11"/>
  <c r="K563" i="11"/>
  <c r="W563" i="11" s="1"/>
  <c r="Y563" i="11" s="1"/>
  <c r="J563" i="11"/>
  <c r="I563" i="11"/>
  <c r="H563" i="11"/>
  <c r="BG562" i="11"/>
  <c r="BE562" i="11"/>
  <c r="BF562" i="11" s="1"/>
  <c r="AF562" i="11"/>
  <c r="AE562" i="11"/>
  <c r="AD562" i="11"/>
  <c r="K562" i="11"/>
  <c r="W562" i="11" s="1"/>
  <c r="Y562" i="11" s="1"/>
  <c r="J562" i="11"/>
  <c r="I562" i="11"/>
  <c r="H562" i="11"/>
  <c r="BL561" i="11"/>
  <c r="BN561" i="11" s="1"/>
  <c r="AZ561" i="11"/>
  <c r="AF561" i="11"/>
  <c r="AE561" i="11"/>
  <c r="AD561" i="11"/>
  <c r="K561" i="11"/>
  <c r="W561" i="11" s="1"/>
  <c r="Y561" i="11" s="1"/>
  <c r="J561" i="11"/>
  <c r="I561" i="11"/>
  <c r="H561" i="11"/>
  <c r="AX558" i="11"/>
  <c r="AL558" i="11"/>
  <c r="AM558" i="11" s="1"/>
  <c r="AI558" i="11"/>
  <c r="AK558" i="11" s="1"/>
  <c r="AF558" i="11"/>
  <c r="AE558" i="11"/>
  <c r="AD558" i="11"/>
  <c r="K558" i="11"/>
  <c r="J558" i="11"/>
  <c r="I558" i="11"/>
  <c r="H558" i="11"/>
  <c r="BG557" i="11"/>
  <c r="AZ557" i="11"/>
  <c r="AF557" i="11"/>
  <c r="AE557" i="11"/>
  <c r="AD557" i="11"/>
  <c r="K557" i="11"/>
  <c r="W557" i="11" s="1"/>
  <c r="Y557" i="11" s="1"/>
  <c r="J557" i="11"/>
  <c r="I557" i="11"/>
  <c r="H557" i="11"/>
  <c r="BG556" i="11"/>
  <c r="AZ556" i="11"/>
  <c r="AF556" i="11"/>
  <c r="AE556" i="11"/>
  <c r="AD556" i="11"/>
  <c r="K556" i="11"/>
  <c r="W556" i="11" s="1"/>
  <c r="Y556" i="11" s="1"/>
  <c r="J556" i="11"/>
  <c r="I556" i="11"/>
  <c r="H556" i="11"/>
  <c r="BG555" i="11"/>
  <c r="AZ555" i="11"/>
  <c r="AX555" i="11"/>
  <c r="AV555" i="11"/>
  <c r="AL555" i="11"/>
  <c r="AN555" i="11" s="1"/>
  <c r="AI555" i="11"/>
  <c r="AK555" i="11" s="1"/>
  <c r="AF555" i="11"/>
  <c r="AE555" i="11"/>
  <c r="AD555" i="11"/>
  <c r="K555" i="11"/>
  <c r="W555" i="11" s="1"/>
  <c r="Y555" i="11" s="1"/>
  <c r="J555" i="11"/>
  <c r="I555" i="11"/>
  <c r="H555" i="11"/>
  <c r="BG554" i="11"/>
  <c r="AZ554" i="11"/>
  <c r="AX554" i="11"/>
  <c r="AV554" i="11"/>
  <c r="AL554" i="11"/>
  <c r="AN554" i="11" s="1"/>
  <c r="AI554" i="11"/>
  <c r="AK554" i="11" s="1"/>
  <c r="AF554" i="11"/>
  <c r="AE554" i="11"/>
  <c r="AD554" i="11"/>
  <c r="K554" i="11"/>
  <c r="W554" i="11" s="1"/>
  <c r="Y554" i="11" s="1"/>
  <c r="J554" i="11"/>
  <c r="I554" i="11"/>
  <c r="H554" i="11"/>
  <c r="BG553" i="11"/>
  <c r="AZ553" i="11"/>
  <c r="AX553" i="11"/>
  <c r="AV553" i="11"/>
  <c r="AL553" i="11"/>
  <c r="AN553" i="11" s="1"/>
  <c r="AI553" i="11"/>
  <c r="AK553" i="11" s="1"/>
  <c r="AF553" i="11"/>
  <c r="AE553" i="11"/>
  <c r="AD553" i="11"/>
  <c r="K553" i="11"/>
  <c r="W553" i="11" s="1"/>
  <c r="Y553" i="11" s="1"/>
  <c r="J553" i="11"/>
  <c r="I553" i="11"/>
  <c r="H553" i="11"/>
  <c r="BG552" i="11"/>
  <c r="AZ552" i="11"/>
  <c r="AX552" i="11"/>
  <c r="AV552" i="11"/>
  <c r="AL552" i="11"/>
  <c r="AM552" i="11" s="1"/>
  <c r="AI552" i="11"/>
  <c r="AJ552" i="11" s="1"/>
  <c r="AF552" i="11"/>
  <c r="AE552" i="11"/>
  <c r="AD552" i="11"/>
  <c r="K552" i="11"/>
  <c r="W552" i="11" s="1"/>
  <c r="Y552" i="11" s="1"/>
  <c r="J552" i="11"/>
  <c r="I552" i="11"/>
  <c r="H552" i="11"/>
  <c r="BG551" i="11"/>
  <c r="AZ551" i="11"/>
  <c r="AX551" i="11"/>
  <c r="AV551" i="11"/>
  <c r="AL551" i="11"/>
  <c r="AN551" i="11" s="1"/>
  <c r="AI551" i="11"/>
  <c r="AK551" i="11" s="1"/>
  <c r="AF551" i="11"/>
  <c r="AE551" i="11"/>
  <c r="AD551" i="11"/>
  <c r="K551" i="11"/>
  <c r="W551" i="11" s="1"/>
  <c r="Y551" i="11" s="1"/>
  <c r="J551" i="11"/>
  <c r="I551" i="11"/>
  <c r="H551" i="11"/>
  <c r="BG540" i="11"/>
  <c r="AZ540" i="11"/>
  <c r="AF540" i="11"/>
  <c r="AE540" i="11"/>
  <c r="AD540" i="11"/>
  <c r="K540" i="11"/>
  <c r="W540" i="11" s="1"/>
  <c r="Y540" i="11" s="1"/>
  <c r="J540" i="11"/>
  <c r="I540" i="11"/>
  <c r="H540" i="11"/>
  <c r="BG539" i="11"/>
  <c r="BE539" i="11"/>
  <c r="BF539" i="11" s="1"/>
  <c r="AV539" i="11"/>
  <c r="AF539" i="11"/>
  <c r="AE539" i="11"/>
  <c r="AD539" i="11"/>
  <c r="K539" i="11"/>
  <c r="W539" i="11" s="1"/>
  <c r="Y539" i="11" s="1"/>
  <c r="J539" i="11"/>
  <c r="I539" i="11"/>
  <c r="H539" i="11"/>
  <c r="BG538" i="11"/>
  <c r="BE538" i="11"/>
  <c r="BF538" i="11" s="1"/>
  <c r="AF538" i="11"/>
  <c r="AE538" i="11"/>
  <c r="AD538" i="11"/>
  <c r="K538" i="11"/>
  <c r="W538" i="11" s="1"/>
  <c r="Y538" i="11" s="1"/>
  <c r="J538" i="11"/>
  <c r="I538" i="11"/>
  <c r="H538" i="11"/>
  <c r="BG537" i="11"/>
  <c r="BE537" i="11"/>
  <c r="BF537" i="11" s="1"/>
  <c r="AF537" i="11"/>
  <c r="AE537" i="11"/>
  <c r="AD537" i="11"/>
  <c r="K537" i="11"/>
  <c r="W537" i="11" s="1"/>
  <c r="Y537" i="11" s="1"/>
  <c r="J537" i="11"/>
  <c r="I537" i="11"/>
  <c r="H537" i="11"/>
  <c r="BG536" i="11"/>
  <c r="BE536" i="11"/>
  <c r="BF536" i="11" s="1"/>
  <c r="AF536" i="11"/>
  <c r="AE536" i="11"/>
  <c r="AD536" i="11"/>
  <c r="K536" i="11"/>
  <c r="W536" i="11" s="1"/>
  <c r="Y536" i="11" s="1"/>
  <c r="J536" i="11"/>
  <c r="I536" i="11"/>
  <c r="H536" i="11"/>
  <c r="BG535" i="11"/>
  <c r="BE535" i="11"/>
  <c r="BF535" i="11" s="1"/>
  <c r="AF535" i="11"/>
  <c r="AE535" i="11"/>
  <c r="AD535" i="11"/>
  <c r="K535" i="11"/>
  <c r="W535" i="11" s="1"/>
  <c r="Y535" i="11" s="1"/>
  <c r="J535" i="11"/>
  <c r="I535" i="11"/>
  <c r="H535" i="11"/>
  <c r="BG534" i="11"/>
  <c r="BE534" i="11"/>
  <c r="BF534" i="11" s="1"/>
  <c r="AF534" i="11"/>
  <c r="AE534" i="11"/>
  <c r="AD534" i="11"/>
  <c r="K534" i="11"/>
  <c r="W534" i="11" s="1"/>
  <c r="Y534" i="11" s="1"/>
  <c r="J534" i="11"/>
  <c r="I534" i="11"/>
  <c r="H534" i="11"/>
  <c r="BG533" i="11"/>
  <c r="BE533" i="11"/>
  <c r="BF533" i="11" s="1"/>
  <c r="AF533" i="11"/>
  <c r="AE533" i="11"/>
  <c r="AD533" i="11"/>
  <c r="K533" i="11"/>
  <c r="W533" i="11" s="1"/>
  <c r="Y533" i="11" s="1"/>
  <c r="J533" i="11"/>
  <c r="I533" i="11"/>
  <c r="H533" i="11"/>
  <c r="BG532" i="11"/>
  <c r="BE532" i="11"/>
  <c r="BF532" i="11" s="1"/>
  <c r="AF532" i="11"/>
  <c r="AE532" i="11"/>
  <c r="AD532" i="11"/>
  <c r="K532" i="11"/>
  <c r="W532" i="11" s="1"/>
  <c r="Y532" i="11" s="1"/>
  <c r="J532" i="11"/>
  <c r="I532" i="11"/>
  <c r="H532" i="11"/>
  <c r="BG531" i="11"/>
  <c r="BE531" i="11"/>
  <c r="BF531" i="11" s="1"/>
  <c r="AF531" i="11"/>
  <c r="AE531" i="11"/>
  <c r="AD531" i="11"/>
  <c r="K531" i="11"/>
  <c r="W531" i="11" s="1"/>
  <c r="Y531" i="11" s="1"/>
  <c r="J531" i="11"/>
  <c r="I531" i="11"/>
  <c r="H531" i="11"/>
  <c r="BG530" i="11"/>
  <c r="BE530" i="11"/>
  <c r="BF530" i="11" s="1"/>
  <c r="AF530" i="11"/>
  <c r="AE530" i="11"/>
  <c r="AD530" i="11"/>
  <c r="K530" i="11"/>
  <c r="W530" i="11" s="1"/>
  <c r="Y530" i="11" s="1"/>
  <c r="J530" i="11"/>
  <c r="I530" i="11"/>
  <c r="H530" i="11"/>
  <c r="BN526" i="11"/>
  <c r="AZ526" i="11"/>
  <c r="AF526" i="11"/>
  <c r="AE526" i="11"/>
  <c r="AD526" i="11"/>
  <c r="K526" i="11"/>
  <c r="W526" i="11" s="1"/>
  <c r="Y526" i="11" s="1"/>
  <c r="J526" i="11"/>
  <c r="I526" i="11"/>
  <c r="H526" i="11"/>
  <c r="AZ525" i="11"/>
  <c r="AX525" i="11"/>
  <c r="AF525" i="11"/>
  <c r="AE525" i="11"/>
  <c r="AD525" i="11"/>
  <c r="K525" i="11"/>
  <c r="W525" i="11" s="1"/>
  <c r="Y525" i="11" s="1"/>
  <c r="J525" i="11"/>
  <c r="I525" i="11"/>
  <c r="H525" i="11"/>
  <c r="AZ524" i="11"/>
  <c r="AX524" i="11"/>
  <c r="AF524" i="11"/>
  <c r="AE524" i="11"/>
  <c r="AD524" i="11"/>
  <c r="K524" i="11"/>
  <c r="W524" i="11" s="1"/>
  <c r="Y524" i="11" s="1"/>
  <c r="J524" i="11"/>
  <c r="I524" i="11"/>
  <c r="H524" i="11"/>
  <c r="AZ523" i="11"/>
  <c r="AX523" i="11"/>
  <c r="AF523" i="11"/>
  <c r="AE523" i="11"/>
  <c r="AD523" i="11"/>
  <c r="K523" i="11"/>
  <c r="W523" i="11" s="1"/>
  <c r="Y523" i="11" s="1"/>
  <c r="J523" i="11"/>
  <c r="I523" i="11"/>
  <c r="H523" i="11"/>
  <c r="AZ522" i="11"/>
  <c r="AX522" i="11"/>
  <c r="AF522" i="11"/>
  <c r="AE522" i="11"/>
  <c r="AD522" i="11"/>
  <c r="K522" i="11"/>
  <c r="W522" i="11" s="1"/>
  <c r="Y522" i="11" s="1"/>
  <c r="J522" i="11"/>
  <c r="I522" i="11"/>
  <c r="H522" i="11"/>
  <c r="AZ521" i="11"/>
  <c r="AX521" i="11"/>
  <c r="AF521" i="11"/>
  <c r="AE521" i="11"/>
  <c r="AD521" i="11"/>
  <c r="K521" i="11"/>
  <c r="W521" i="11" s="1"/>
  <c r="Y521" i="11" s="1"/>
  <c r="J521" i="11"/>
  <c r="I521" i="11"/>
  <c r="H521" i="11"/>
  <c r="BG520" i="11"/>
  <c r="AZ520" i="11"/>
  <c r="AX520" i="11"/>
  <c r="AF520" i="11"/>
  <c r="AE520" i="11"/>
  <c r="AD520" i="11"/>
  <c r="K520" i="11"/>
  <c r="W520" i="11" s="1"/>
  <c r="Y520" i="11" s="1"/>
  <c r="J520" i="11"/>
  <c r="I520" i="11"/>
  <c r="H520" i="11"/>
  <c r="BG519" i="11"/>
  <c r="AZ519" i="11"/>
  <c r="AX519" i="11"/>
  <c r="AF519" i="11"/>
  <c r="AE519" i="11"/>
  <c r="AD519" i="11"/>
  <c r="K519" i="11"/>
  <c r="W519" i="11" s="1"/>
  <c r="Y519" i="11" s="1"/>
  <c r="J519" i="11"/>
  <c r="I519" i="11"/>
  <c r="H519" i="11"/>
  <c r="BG518" i="11"/>
  <c r="AZ518" i="11"/>
  <c r="AX518" i="11"/>
  <c r="AF518" i="11"/>
  <c r="AE518" i="11"/>
  <c r="AD518" i="11"/>
  <c r="K518" i="11"/>
  <c r="W518" i="11" s="1"/>
  <c r="Y518" i="11" s="1"/>
  <c r="J518" i="11"/>
  <c r="I518" i="11"/>
  <c r="H518" i="11"/>
  <c r="BG517" i="11"/>
  <c r="AZ517" i="11"/>
  <c r="AX517" i="11"/>
  <c r="AF517" i="11"/>
  <c r="AE517" i="11"/>
  <c r="AD517" i="11"/>
  <c r="K517" i="11"/>
  <c r="W517" i="11" s="1"/>
  <c r="Y517" i="11" s="1"/>
  <c r="J517" i="11"/>
  <c r="I517" i="11"/>
  <c r="H517" i="11"/>
  <c r="BG516" i="11"/>
  <c r="AZ516" i="11"/>
  <c r="AX516" i="11"/>
  <c r="AV516" i="11"/>
  <c r="AL516" i="11"/>
  <c r="AN516" i="11" s="1"/>
  <c r="AI516" i="11"/>
  <c r="AJ516" i="11" s="1"/>
  <c r="AF516" i="11"/>
  <c r="AE516" i="11"/>
  <c r="AD516" i="11"/>
  <c r="K516" i="11"/>
  <c r="W516" i="11" s="1"/>
  <c r="Y516" i="11" s="1"/>
  <c r="J516" i="11"/>
  <c r="I516" i="11"/>
  <c r="H516" i="11"/>
  <c r="BG515" i="11"/>
  <c r="AZ515" i="11"/>
  <c r="AX515" i="11"/>
  <c r="AV515" i="11"/>
  <c r="AL515" i="11"/>
  <c r="AN515" i="11" s="1"/>
  <c r="AI515" i="11"/>
  <c r="AJ515" i="11" s="1"/>
  <c r="AF515" i="11"/>
  <c r="AE515" i="11"/>
  <c r="AD515" i="11"/>
  <c r="K515" i="11"/>
  <c r="W515" i="11" s="1"/>
  <c r="Y515" i="11" s="1"/>
  <c r="J515" i="11"/>
  <c r="I515" i="11"/>
  <c r="H515" i="11"/>
  <c r="BG514" i="11"/>
  <c r="AZ514" i="11"/>
  <c r="AX514" i="11"/>
  <c r="AV514" i="11"/>
  <c r="AL514" i="11"/>
  <c r="AN514" i="11" s="1"/>
  <c r="AI514" i="11"/>
  <c r="AK514" i="11" s="1"/>
  <c r="AF514" i="11"/>
  <c r="AE514" i="11"/>
  <c r="AD514" i="11"/>
  <c r="K514" i="11"/>
  <c r="W514" i="11" s="1"/>
  <c r="Y514" i="11" s="1"/>
  <c r="J514" i="11"/>
  <c r="I514" i="11"/>
  <c r="H514" i="11"/>
  <c r="BG513" i="11"/>
  <c r="AZ513" i="11"/>
  <c r="AX513" i="11"/>
  <c r="AV513" i="11"/>
  <c r="AL513" i="11"/>
  <c r="AN513" i="11" s="1"/>
  <c r="AI513" i="11"/>
  <c r="AK513" i="11" s="1"/>
  <c r="AF513" i="11"/>
  <c r="AE513" i="11"/>
  <c r="AD513" i="11"/>
  <c r="K513" i="11"/>
  <c r="W513" i="11" s="1"/>
  <c r="Y513" i="11" s="1"/>
  <c r="J513" i="11"/>
  <c r="I513" i="11"/>
  <c r="H513" i="11"/>
  <c r="BG512" i="11"/>
  <c r="AZ512" i="11"/>
  <c r="AX512" i="11"/>
  <c r="AV512" i="11"/>
  <c r="AL512" i="11"/>
  <c r="AN512" i="11" s="1"/>
  <c r="AI512" i="11"/>
  <c r="AK512" i="11" s="1"/>
  <c r="AF512" i="11"/>
  <c r="AE512" i="11"/>
  <c r="AD512" i="11"/>
  <c r="K512" i="11"/>
  <c r="W512" i="11" s="1"/>
  <c r="Y512" i="11" s="1"/>
  <c r="J512" i="11"/>
  <c r="I512" i="11"/>
  <c r="H512" i="11"/>
  <c r="BG494" i="11"/>
  <c r="AF494" i="11"/>
  <c r="AE494" i="11"/>
  <c r="AD494" i="11"/>
  <c r="K494" i="11"/>
  <c r="W494" i="11" s="1"/>
  <c r="Y494" i="11" s="1"/>
  <c r="J494" i="11"/>
  <c r="I494" i="11"/>
  <c r="H494" i="11"/>
  <c r="BG493" i="11"/>
  <c r="AF493" i="11"/>
  <c r="AE493" i="11"/>
  <c r="AD493" i="11"/>
  <c r="K493" i="11"/>
  <c r="W493" i="11" s="1"/>
  <c r="Y493" i="11" s="1"/>
  <c r="J493" i="11"/>
  <c r="I493" i="11"/>
  <c r="H493" i="11"/>
  <c r="BG492" i="11"/>
  <c r="AF492" i="11"/>
  <c r="AE492" i="11"/>
  <c r="AD492" i="11"/>
  <c r="K492" i="11"/>
  <c r="W492" i="11" s="1"/>
  <c r="Y492" i="11" s="1"/>
  <c r="J492" i="11"/>
  <c r="I492" i="11"/>
  <c r="H492" i="11"/>
  <c r="BG491" i="11"/>
  <c r="AZ491" i="11"/>
  <c r="AX491" i="11"/>
  <c r="AF491" i="11"/>
  <c r="AE491" i="11"/>
  <c r="AD491" i="11"/>
  <c r="K491" i="11"/>
  <c r="W491" i="11" s="1"/>
  <c r="Y491" i="11" s="1"/>
  <c r="J491" i="11"/>
  <c r="I491" i="11"/>
  <c r="H491" i="11"/>
  <c r="BG490" i="11"/>
  <c r="AZ490" i="11"/>
  <c r="AX490" i="11"/>
  <c r="AF490" i="11"/>
  <c r="AE490" i="11"/>
  <c r="AD490" i="11"/>
  <c r="K490" i="11"/>
  <c r="W490" i="11" s="1"/>
  <c r="Y490" i="11" s="1"/>
  <c r="J490" i="11"/>
  <c r="I490" i="11"/>
  <c r="H490" i="11"/>
  <c r="BG1069" i="11"/>
  <c r="BE1069" i="11"/>
  <c r="BF1069" i="11" s="1"/>
  <c r="AF1069" i="11"/>
  <c r="AE1069" i="11"/>
  <c r="AD1069" i="11"/>
  <c r="K1069" i="11"/>
  <c r="W1069" i="11" s="1"/>
  <c r="Y1069" i="11" s="1"/>
  <c r="J1069" i="11"/>
  <c r="I1069" i="11"/>
  <c r="H1069" i="11"/>
  <c r="BG1068" i="11"/>
  <c r="BE1068" i="11"/>
  <c r="BF1068" i="11" s="1"/>
  <c r="AF1068" i="11"/>
  <c r="AE1068" i="11"/>
  <c r="AD1068" i="11"/>
  <c r="K1068" i="11"/>
  <c r="W1068" i="11" s="1"/>
  <c r="Y1068" i="11" s="1"/>
  <c r="J1068" i="11"/>
  <c r="I1068" i="11"/>
  <c r="H1068" i="11"/>
  <c r="BG1067" i="11"/>
  <c r="BE1067" i="11"/>
  <c r="BF1067" i="11" s="1"/>
  <c r="AF1067" i="11"/>
  <c r="AE1067" i="11"/>
  <c r="AD1067" i="11"/>
  <c r="K1067" i="11"/>
  <c r="W1067" i="11" s="1"/>
  <c r="Y1067" i="11" s="1"/>
  <c r="J1067" i="11"/>
  <c r="I1067" i="11"/>
  <c r="H1067" i="11"/>
  <c r="BG1066" i="11"/>
  <c r="BE1066" i="11"/>
  <c r="BF1066" i="11" s="1"/>
  <c r="AF1066" i="11"/>
  <c r="AE1066" i="11"/>
  <c r="AD1066" i="11"/>
  <c r="K1066" i="11"/>
  <c r="W1066" i="11" s="1"/>
  <c r="Y1066" i="11" s="1"/>
  <c r="J1066" i="11"/>
  <c r="I1066" i="11"/>
  <c r="H1066" i="11"/>
  <c r="BG1065" i="11"/>
  <c r="BE1065" i="11"/>
  <c r="BF1065" i="11" s="1"/>
  <c r="AF1065" i="11"/>
  <c r="AE1065" i="11"/>
  <c r="AD1065" i="11"/>
  <c r="K1065" i="11"/>
  <c r="W1065" i="11" s="1"/>
  <c r="Y1065" i="11" s="1"/>
  <c r="J1065" i="11"/>
  <c r="I1065" i="11"/>
  <c r="H1065" i="11"/>
  <c r="BG1064" i="11"/>
  <c r="BE1064" i="11"/>
  <c r="BF1064" i="11" s="1"/>
  <c r="AF1064" i="11"/>
  <c r="AE1064" i="11"/>
  <c r="AD1064" i="11"/>
  <c r="K1064" i="11"/>
  <c r="W1064" i="11" s="1"/>
  <c r="Y1064" i="11" s="1"/>
  <c r="J1064" i="11"/>
  <c r="I1064" i="11"/>
  <c r="H1064" i="11"/>
  <c r="BG1063" i="11"/>
  <c r="BE1063" i="11"/>
  <c r="BF1063" i="11" s="1"/>
  <c r="AF1063" i="11"/>
  <c r="AE1063" i="11"/>
  <c r="AD1063" i="11"/>
  <c r="K1063" i="11"/>
  <c r="W1063" i="11" s="1"/>
  <c r="Y1063" i="11" s="1"/>
  <c r="J1063" i="11"/>
  <c r="I1063" i="11"/>
  <c r="H1063" i="11"/>
  <c r="BG1062" i="11"/>
  <c r="BE1062" i="11"/>
  <c r="BF1062" i="11" s="1"/>
  <c r="AF1062" i="11"/>
  <c r="AE1062" i="11"/>
  <c r="AD1062" i="11"/>
  <c r="K1062" i="11"/>
  <c r="W1062" i="11" s="1"/>
  <c r="Y1062" i="11" s="1"/>
  <c r="J1062" i="11"/>
  <c r="I1062" i="11"/>
  <c r="H1062" i="11"/>
  <c r="BG1061" i="11"/>
  <c r="BE1061" i="11"/>
  <c r="BF1061" i="11" s="1"/>
  <c r="AF1061" i="11"/>
  <c r="AE1061" i="11"/>
  <c r="AD1061" i="11"/>
  <c r="K1061" i="11"/>
  <c r="W1061" i="11" s="1"/>
  <c r="Y1061" i="11" s="1"/>
  <c r="J1061" i="11"/>
  <c r="I1061" i="11"/>
  <c r="H1061" i="11"/>
  <c r="BG1060" i="11"/>
  <c r="BE1060" i="11"/>
  <c r="BF1060" i="11" s="1"/>
  <c r="AF1060" i="11"/>
  <c r="AE1060" i="11"/>
  <c r="AD1060" i="11"/>
  <c r="K1060" i="11"/>
  <c r="W1060" i="11" s="1"/>
  <c r="Y1060" i="11" s="1"/>
  <c r="J1060" i="11"/>
  <c r="I1060" i="11"/>
  <c r="H1060" i="11"/>
  <c r="BG1059" i="11"/>
  <c r="AZ1059" i="11"/>
  <c r="AX1059" i="11"/>
  <c r="AF1059" i="11"/>
  <c r="AE1059" i="11"/>
  <c r="AD1059" i="11"/>
  <c r="K1059" i="11"/>
  <c r="W1059" i="11" s="1"/>
  <c r="Y1059" i="11" s="1"/>
  <c r="J1059" i="11"/>
  <c r="I1059" i="11"/>
  <c r="H1059" i="11"/>
  <c r="BG1058" i="11"/>
  <c r="AZ1058" i="11"/>
  <c r="AX1058" i="11"/>
  <c r="AF1058" i="11"/>
  <c r="AE1058" i="11"/>
  <c r="AD1058" i="11"/>
  <c r="K1058" i="11"/>
  <c r="W1058" i="11" s="1"/>
  <c r="Y1058" i="11" s="1"/>
  <c r="J1058" i="11"/>
  <c r="I1058" i="11"/>
  <c r="H1058" i="11"/>
  <c r="BL1057" i="11"/>
  <c r="BN1057" i="11" s="1"/>
  <c r="AW1057" i="11"/>
  <c r="AK1057" i="11"/>
  <c r="AJ1057" i="11"/>
  <c r="AF1057" i="11"/>
  <c r="AE1057" i="11"/>
  <c r="AD1057" i="11"/>
  <c r="K1057" i="11"/>
  <c r="W1057" i="11" s="1"/>
  <c r="Y1057" i="11" s="1"/>
  <c r="J1057" i="11"/>
  <c r="I1057" i="11"/>
  <c r="H1057" i="11"/>
  <c r="BL1056" i="11"/>
  <c r="BN1056" i="11" s="1"/>
  <c r="AZ1056" i="11"/>
  <c r="AX1056" i="11"/>
  <c r="AS1056" i="11"/>
  <c r="AR1056" i="11"/>
  <c r="AF1056" i="11"/>
  <c r="AE1056" i="11"/>
  <c r="AD1056" i="11"/>
  <c r="K1056" i="11"/>
  <c r="W1056" i="11" s="1"/>
  <c r="Y1056" i="11" s="1"/>
  <c r="J1056" i="11"/>
  <c r="I1056" i="11"/>
  <c r="H1056" i="11"/>
  <c r="BG1055" i="11"/>
  <c r="AX1055" i="11"/>
  <c r="AV1055" i="11"/>
  <c r="AN1055" i="11"/>
  <c r="AM1055" i="11"/>
  <c r="AK1055" i="11"/>
  <c r="AJ1055" i="11"/>
  <c r="AF1055" i="11"/>
  <c r="AE1055" i="11"/>
  <c r="AD1055" i="11"/>
  <c r="K1055" i="11"/>
  <c r="W1055" i="11" s="1"/>
  <c r="Y1055" i="11" s="1"/>
  <c r="J1055" i="11"/>
  <c r="I1055" i="11"/>
  <c r="H1055" i="11"/>
  <c r="BG1054" i="11"/>
  <c r="AX1054" i="11"/>
  <c r="AV1054" i="11"/>
  <c r="AN1054" i="11"/>
  <c r="AM1054" i="11"/>
  <c r="AK1054" i="11"/>
  <c r="AJ1054" i="11"/>
  <c r="AF1054" i="11"/>
  <c r="AE1054" i="11"/>
  <c r="AD1054" i="11"/>
  <c r="K1054" i="11"/>
  <c r="W1054" i="11" s="1"/>
  <c r="Y1054" i="11" s="1"/>
  <c r="J1054" i="11"/>
  <c r="I1054" i="11"/>
  <c r="H1054" i="11"/>
  <c r="BG1053" i="11"/>
  <c r="AX1053" i="11"/>
  <c r="AV1053" i="11"/>
  <c r="AN1053" i="11"/>
  <c r="AM1053" i="11"/>
  <c r="AK1053" i="11"/>
  <c r="AJ1053" i="11"/>
  <c r="AF1053" i="11"/>
  <c r="AE1053" i="11"/>
  <c r="AD1053" i="11"/>
  <c r="K1053" i="11"/>
  <c r="W1053" i="11" s="1"/>
  <c r="Y1053" i="11" s="1"/>
  <c r="J1053" i="11"/>
  <c r="I1053" i="11"/>
  <c r="H1053" i="11"/>
  <c r="BG1052" i="11"/>
  <c r="AX1052" i="11"/>
  <c r="AV1052" i="11"/>
  <c r="AN1052" i="11"/>
  <c r="AM1052" i="11"/>
  <c r="AK1052" i="11"/>
  <c r="AJ1052" i="11"/>
  <c r="AF1052" i="11"/>
  <c r="AE1052" i="11"/>
  <c r="AD1052" i="11"/>
  <c r="K1052" i="11"/>
  <c r="W1052" i="11" s="1"/>
  <c r="Y1052" i="11" s="1"/>
  <c r="J1052" i="11"/>
  <c r="I1052" i="11"/>
  <c r="H1052" i="11"/>
  <c r="BG1051" i="11"/>
  <c r="AX1051" i="11"/>
  <c r="AV1051" i="11"/>
  <c r="AN1051" i="11"/>
  <c r="AM1051" i="11"/>
  <c r="AK1051" i="11"/>
  <c r="AJ1051" i="11"/>
  <c r="AF1051" i="11"/>
  <c r="AE1051" i="11"/>
  <c r="AD1051" i="11"/>
  <c r="K1051" i="11"/>
  <c r="W1051" i="11" s="1"/>
  <c r="Y1051" i="11" s="1"/>
  <c r="J1051" i="11"/>
  <c r="I1051" i="11"/>
  <c r="H1051" i="11"/>
  <c r="BG1050" i="11"/>
  <c r="AX1050" i="11"/>
  <c r="AV1050" i="11"/>
  <c r="AN1050" i="11"/>
  <c r="AM1050" i="11"/>
  <c r="AK1050" i="11"/>
  <c r="AJ1050" i="11"/>
  <c r="AF1050" i="11"/>
  <c r="AE1050" i="11"/>
  <c r="AD1050" i="11"/>
  <c r="K1050" i="11"/>
  <c r="W1050" i="11" s="1"/>
  <c r="Y1050" i="11" s="1"/>
  <c r="J1050" i="11"/>
  <c r="I1050" i="11"/>
  <c r="H1050" i="11"/>
  <c r="BG1049" i="11"/>
  <c r="AX1049" i="11"/>
  <c r="AV1049" i="11"/>
  <c r="AN1049" i="11"/>
  <c r="AM1049" i="11"/>
  <c r="AK1049" i="11"/>
  <c r="AJ1049" i="11"/>
  <c r="AF1049" i="11"/>
  <c r="AE1049" i="11"/>
  <c r="AD1049" i="11"/>
  <c r="K1049" i="11"/>
  <c r="W1049" i="11" s="1"/>
  <c r="Y1049" i="11" s="1"/>
  <c r="J1049" i="11"/>
  <c r="I1049" i="11"/>
  <c r="H1049" i="11"/>
  <c r="BG1048" i="11"/>
  <c r="AX1048" i="11"/>
  <c r="AV1048" i="11"/>
  <c r="AN1048" i="11"/>
  <c r="AM1048" i="11"/>
  <c r="AK1048" i="11"/>
  <c r="AJ1048" i="11"/>
  <c r="AF1048" i="11"/>
  <c r="AE1048" i="11"/>
  <c r="AD1048" i="11"/>
  <c r="K1048" i="11"/>
  <c r="W1048" i="11" s="1"/>
  <c r="Y1048" i="11" s="1"/>
  <c r="J1048" i="11"/>
  <c r="I1048" i="11"/>
  <c r="H1048" i="11"/>
  <c r="BG1047" i="11"/>
  <c r="AX1047" i="11"/>
  <c r="AV1047" i="11"/>
  <c r="AN1047" i="11"/>
  <c r="AM1047" i="11"/>
  <c r="AK1047" i="11"/>
  <c r="AJ1047" i="11"/>
  <c r="AF1047" i="11"/>
  <c r="AE1047" i="11"/>
  <c r="AD1047" i="11"/>
  <c r="K1047" i="11"/>
  <c r="W1047" i="11" s="1"/>
  <c r="Y1047" i="11" s="1"/>
  <c r="J1047" i="11"/>
  <c r="I1047" i="11"/>
  <c r="H1047" i="11"/>
  <c r="BG1046" i="11"/>
  <c r="AX1046" i="11"/>
  <c r="AV1046" i="11"/>
  <c r="AN1046" i="11"/>
  <c r="AM1046" i="11"/>
  <c r="AK1046" i="11"/>
  <c r="AJ1046" i="11"/>
  <c r="AF1046" i="11"/>
  <c r="AE1046" i="11"/>
  <c r="AD1046" i="11"/>
  <c r="K1046" i="11"/>
  <c r="W1046" i="11" s="1"/>
  <c r="Y1046" i="11" s="1"/>
  <c r="J1046" i="11"/>
  <c r="I1046" i="11"/>
  <c r="H1046" i="11"/>
  <c r="BG1045" i="11"/>
  <c r="AX1045" i="11"/>
  <c r="AV1045" i="11"/>
  <c r="AN1045" i="11"/>
  <c r="AM1045" i="11"/>
  <c r="AK1045" i="11"/>
  <c r="AJ1045" i="11"/>
  <c r="AF1045" i="11"/>
  <c r="AE1045" i="11"/>
  <c r="AD1045" i="11"/>
  <c r="K1045" i="11"/>
  <c r="W1045" i="11" s="1"/>
  <c r="Y1045" i="11" s="1"/>
  <c r="J1045" i="11"/>
  <c r="I1045" i="11"/>
  <c r="H1045" i="11"/>
  <c r="BG1044" i="11"/>
  <c r="AX1044" i="11"/>
  <c r="AV1044" i="11"/>
  <c r="AN1044" i="11"/>
  <c r="AM1044" i="11"/>
  <c r="AK1044" i="11"/>
  <c r="AJ1044" i="11"/>
  <c r="AF1044" i="11"/>
  <c r="AE1044" i="11"/>
  <c r="AD1044" i="11"/>
  <c r="K1044" i="11"/>
  <c r="W1044" i="11" s="1"/>
  <c r="Y1044" i="11" s="1"/>
  <c r="J1044" i="11"/>
  <c r="I1044" i="11"/>
  <c r="H1044" i="11"/>
  <c r="BG1043" i="11"/>
  <c r="AX1043" i="11"/>
  <c r="AV1043" i="11"/>
  <c r="AN1043" i="11"/>
  <c r="AM1043" i="11"/>
  <c r="AK1043" i="11"/>
  <c r="AJ1043" i="11"/>
  <c r="AF1043" i="11"/>
  <c r="AE1043" i="11"/>
  <c r="AD1043" i="11"/>
  <c r="K1043" i="11"/>
  <c r="W1043" i="11" s="1"/>
  <c r="Y1043" i="11" s="1"/>
  <c r="J1043" i="11"/>
  <c r="I1043" i="11"/>
  <c r="H1043" i="11"/>
  <c r="BG1042" i="11"/>
  <c r="AX1042" i="11"/>
  <c r="AV1042" i="11"/>
  <c r="AN1042" i="11"/>
  <c r="AM1042" i="11"/>
  <c r="AK1042" i="11"/>
  <c r="AJ1042" i="11"/>
  <c r="AF1042" i="11"/>
  <c r="AE1042" i="11"/>
  <c r="AD1042" i="11"/>
  <c r="K1042" i="11"/>
  <c r="W1042" i="11" s="1"/>
  <c r="Y1042" i="11" s="1"/>
  <c r="J1042" i="11"/>
  <c r="I1042" i="11"/>
  <c r="H1042" i="11"/>
  <c r="BG1041" i="11"/>
  <c r="AX1041" i="11"/>
  <c r="AV1041" i="11"/>
  <c r="AN1041" i="11"/>
  <c r="AM1041" i="11"/>
  <c r="AK1041" i="11"/>
  <c r="AJ1041" i="11"/>
  <c r="AF1041" i="11"/>
  <c r="AE1041" i="11"/>
  <c r="AD1041" i="11"/>
  <c r="K1041" i="11"/>
  <c r="W1041" i="11" s="1"/>
  <c r="Y1041" i="11" s="1"/>
  <c r="J1041" i="11"/>
  <c r="I1041" i="11"/>
  <c r="H1041" i="11"/>
  <c r="BG1040" i="11"/>
  <c r="AX1040" i="11"/>
  <c r="AV1040" i="11"/>
  <c r="AN1040" i="11"/>
  <c r="AM1040" i="11"/>
  <c r="AK1040" i="11"/>
  <c r="AJ1040" i="11"/>
  <c r="AF1040" i="11"/>
  <c r="AE1040" i="11"/>
  <c r="AD1040" i="11"/>
  <c r="K1040" i="11"/>
  <c r="W1040" i="11" s="1"/>
  <c r="Y1040" i="11" s="1"/>
  <c r="J1040" i="11"/>
  <c r="I1040" i="11"/>
  <c r="H1040" i="11"/>
  <c r="BG1039" i="11"/>
  <c r="AX1039" i="11"/>
  <c r="AV1039" i="11"/>
  <c r="AN1039" i="11"/>
  <c r="AM1039" i="11"/>
  <c r="AK1039" i="11"/>
  <c r="AJ1039" i="11"/>
  <c r="AF1039" i="11"/>
  <c r="AE1039" i="11"/>
  <c r="AD1039" i="11"/>
  <c r="K1039" i="11"/>
  <c r="W1039" i="11" s="1"/>
  <c r="Y1039" i="11" s="1"/>
  <c r="J1039" i="11"/>
  <c r="I1039" i="11"/>
  <c r="H1039" i="11"/>
  <c r="BG1038" i="11"/>
  <c r="AX1038" i="11"/>
  <c r="AV1038" i="11"/>
  <c r="AN1038" i="11"/>
  <c r="AM1038" i="11"/>
  <c r="AK1038" i="11"/>
  <c r="AJ1038" i="11"/>
  <c r="AF1038" i="11"/>
  <c r="AE1038" i="11"/>
  <c r="AD1038" i="11"/>
  <c r="K1038" i="11"/>
  <c r="W1038" i="11" s="1"/>
  <c r="Y1038" i="11" s="1"/>
  <c r="J1038" i="11"/>
  <c r="I1038" i="11"/>
  <c r="H1038" i="11"/>
  <c r="BG1037" i="11"/>
  <c r="AX1037" i="11"/>
  <c r="AV1037" i="11"/>
  <c r="AN1037" i="11"/>
  <c r="AM1037" i="11"/>
  <c r="AK1037" i="11"/>
  <c r="AJ1037" i="11"/>
  <c r="AF1037" i="11"/>
  <c r="AE1037" i="11"/>
  <c r="AD1037" i="11"/>
  <c r="K1037" i="11"/>
  <c r="W1037" i="11" s="1"/>
  <c r="Y1037" i="11" s="1"/>
  <c r="J1037" i="11"/>
  <c r="I1037" i="11"/>
  <c r="H1037" i="11"/>
  <c r="BG1036" i="11"/>
  <c r="AX1036" i="11"/>
  <c r="AV1036" i="11"/>
  <c r="AN1036" i="11"/>
  <c r="AM1036" i="11"/>
  <c r="AK1036" i="11"/>
  <c r="AJ1036" i="11"/>
  <c r="AF1036" i="11"/>
  <c r="AE1036" i="11"/>
  <c r="AD1036" i="11"/>
  <c r="K1036" i="11"/>
  <c r="W1036" i="11" s="1"/>
  <c r="Y1036" i="11" s="1"/>
  <c r="J1036" i="11"/>
  <c r="I1036" i="11"/>
  <c r="H1036" i="11"/>
  <c r="BG1035" i="11"/>
  <c r="AX1035" i="11"/>
  <c r="AV1035" i="11"/>
  <c r="AN1035" i="11"/>
  <c r="AM1035" i="11"/>
  <c r="AK1035" i="11"/>
  <c r="AJ1035" i="11"/>
  <c r="AF1035" i="11"/>
  <c r="AE1035" i="11"/>
  <c r="AD1035" i="11"/>
  <c r="K1035" i="11"/>
  <c r="W1035" i="11" s="1"/>
  <c r="Y1035" i="11" s="1"/>
  <c r="J1035" i="11"/>
  <c r="I1035" i="11"/>
  <c r="H1035" i="11"/>
  <c r="BG1034" i="11"/>
  <c r="AX1034" i="11"/>
  <c r="AV1034" i="11"/>
  <c r="AN1034" i="11"/>
  <c r="AM1034" i="11"/>
  <c r="AK1034" i="11"/>
  <c r="AJ1034" i="11"/>
  <c r="AF1034" i="11"/>
  <c r="AE1034" i="11"/>
  <c r="AD1034" i="11"/>
  <c r="K1034" i="11"/>
  <c r="W1034" i="11" s="1"/>
  <c r="Y1034" i="11" s="1"/>
  <c r="J1034" i="11"/>
  <c r="I1034" i="11"/>
  <c r="H1034" i="11"/>
  <c r="BG1033" i="11"/>
  <c r="AX1033" i="11"/>
  <c r="AV1033" i="11"/>
  <c r="AN1033" i="11"/>
  <c r="AM1033" i="11"/>
  <c r="AK1033" i="11"/>
  <c r="AJ1033" i="11"/>
  <c r="AF1033" i="11"/>
  <c r="AE1033" i="11"/>
  <c r="AD1033" i="11"/>
  <c r="K1033" i="11"/>
  <c r="W1033" i="11" s="1"/>
  <c r="Y1033" i="11" s="1"/>
  <c r="J1033" i="11"/>
  <c r="I1033" i="11"/>
  <c r="H1033" i="11"/>
  <c r="BG1032" i="11"/>
  <c r="AX1032" i="11"/>
  <c r="AV1032" i="11"/>
  <c r="AN1032" i="11"/>
  <c r="AM1032" i="11"/>
  <c r="AK1032" i="11"/>
  <c r="AJ1032" i="11"/>
  <c r="AF1032" i="11"/>
  <c r="AE1032" i="11"/>
  <c r="AD1032" i="11"/>
  <c r="K1032" i="11"/>
  <c r="W1032" i="11" s="1"/>
  <c r="Y1032" i="11" s="1"/>
  <c r="J1032" i="11"/>
  <c r="I1032" i="11"/>
  <c r="H1032" i="11"/>
  <c r="BG1031" i="11"/>
  <c r="AX1031" i="11"/>
  <c r="AV1031" i="11"/>
  <c r="AN1031" i="11"/>
  <c r="AM1031" i="11"/>
  <c r="AK1031" i="11"/>
  <c r="AJ1031" i="11"/>
  <c r="AF1031" i="11"/>
  <c r="AE1031" i="11"/>
  <c r="AD1031" i="11"/>
  <c r="K1031" i="11"/>
  <c r="W1031" i="11" s="1"/>
  <c r="Y1031" i="11" s="1"/>
  <c r="J1031" i="11"/>
  <c r="I1031" i="11"/>
  <c r="H1031" i="11"/>
  <c r="BG1030" i="11"/>
  <c r="AX1030" i="11"/>
  <c r="AV1030" i="11"/>
  <c r="AN1030" i="11"/>
  <c r="AM1030" i="11"/>
  <c r="AK1030" i="11"/>
  <c r="AJ1030" i="11"/>
  <c r="AF1030" i="11"/>
  <c r="AE1030" i="11"/>
  <c r="AD1030" i="11"/>
  <c r="K1030" i="11"/>
  <c r="W1030" i="11" s="1"/>
  <c r="Y1030" i="11" s="1"/>
  <c r="J1030" i="11"/>
  <c r="I1030" i="11"/>
  <c r="H1030" i="11"/>
  <c r="BL1029" i="11"/>
  <c r="BN1029" i="11" s="1"/>
  <c r="AZ1029" i="11"/>
  <c r="AX1029" i="11"/>
  <c r="AV1029" i="11"/>
  <c r="AF1029" i="11"/>
  <c r="AE1029" i="11"/>
  <c r="AD1029" i="11"/>
  <c r="K1029" i="11"/>
  <c r="W1029" i="11" s="1"/>
  <c r="Y1029" i="11" s="1"/>
  <c r="J1029" i="11"/>
  <c r="I1029" i="11"/>
  <c r="H1029" i="11"/>
  <c r="BL1028" i="11"/>
  <c r="BN1028" i="11" s="1"/>
  <c r="BO1028" i="11" s="1"/>
  <c r="BD1028" i="11" s="1"/>
  <c r="AZ1028" i="11"/>
  <c r="AX1028" i="11"/>
  <c r="AV1028" i="11"/>
  <c r="AF1028" i="11"/>
  <c r="AE1028" i="11"/>
  <c r="AD1028" i="11"/>
  <c r="K1028" i="11"/>
  <c r="W1028" i="11" s="1"/>
  <c r="Y1028" i="11" s="1"/>
  <c r="J1028" i="11"/>
  <c r="I1028" i="11"/>
  <c r="H1028" i="11"/>
  <c r="BL1027" i="11"/>
  <c r="BN1027" i="11" s="1"/>
  <c r="BO1027" i="11" s="1"/>
  <c r="BD1027" i="11" s="1"/>
  <c r="AZ1027" i="11"/>
  <c r="AX1027" i="11"/>
  <c r="AV1027" i="11"/>
  <c r="AF1027" i="11"/>
  <c r="AE1027" i="11"/>
  <c r="AD1027" i="11"/>
  <c r="K1027" i="11"/>
  <c r="W1027" i="11" s="1"/>
  <c r="Y1027" i="11" s="1"/>
  <c r="J1027" i="11"/>
  <c r="I1027" i="11"/>
  <c r="H1027" i="11"/>
  <c r="BL1026" i="11"/>
  <c r="BN1026" i="11" s="1"/>
  <c r="BO1026" i="11" s="1"/>
  <c r="BD1026" i="11" s="1"/>
  <c r="AZ1026" i="11"/>
  <c r="AX1026" i="11"/>
  <c r="AV1026" i="11"/>
  <c r="AF1026" i="11"/>
  <c r="AE1026" i="11"/>
  <c r="AD1026" i="11"/>
  <c r="K1026" i="11"/>
  <c r="W1026" i="11" s="1"/>
  <c r="Y1026" i="11" s="1"/>
  <c r="J1026" i="11"/>
  <c r="I1026" i="11"/>
  <c r="H1026" i="11"/>
  <c r="BL1025" i="11"/>
  <c r="BN1025" i="11" s="1"/>
  <c r="AZ1025" i="11"/>
  <c r="AX1025" i="11"/>
  <c r="AV1025" i="11"/>
  <c r="AF1025" i="11"/>
  <c r="AE1025" i="11"/>
  <c r="AD1025" i="11"/>
  <c r="K1025" i="11"/>
  <c r="W1025" i="11" s="1"/>
  <c r="Y1025" i="11" s="1"/>
  <c r="J1025" i="11"/>
  <c r="I1025" i="11"/>
  <c r="H1025" i="11"/>
  <c r="BL1024" i="11"/>
  <c r="BN1024" i="11" s="1"/>
  <c r="AZ1024" i="11"/>
  <c r="AX1024" i="11"/>
  <c r="AV1024" i="11"/>
  <c r="AF1024" i="11"/>
  <c r="AE1024" i="11"/>
  <c r="AD1024" i="11"/>
  <c r="K1024" i="11"/>
  <c r="W1024" i="11" s="1"/>
  <c r="Y1024" i="11" s="1"/>
  <c r="J1024" i="11"/>
  <c r="I1024" i="11"/>
  <c r="H1024" i="11"/>
  <c r="BL1023" i="11"/>
  <c r="BN1023" i="11" s="1"/>
  <c r="BO1023" i="11" s="1"/>
  <c r="BD1023" i="11" s="1"/>
  <c r="AZ1023" i="11"/>
  <c r="AX1023" i="11"/>
  <c r="AV1023" i="11"/>
  <c r="AF1023" i="11"/>
  <c r="AE1023" i="11"/>
  <c r="AD1023" i="11"/>
  <c r="K1023" i="11"/>
  <c r="W1023" i="11" s="1"/>
  <c r="Y1023" i="11" s="1"/>
  <c r="J1023" i="11"/>
  <c r="I1023" i="11"/>
  <c r="H1023" i="11"/>
  <c r="BL1022" i="11"/>
  <c r="BN1022" i="11" s="1"/>
  <c r="AZ1022" i="11"/>
  <c r="AX1022" i="11"/>
  <c r="AV1022" i="11"/>
  <c r="AF1022" i="11"/>
  <c r="AE1022" i="11"/>
  <c r="AD1022" i="11"/>
  <c r="K1022" i="11"/>
  <c r="W1022" i="11" s="1"/>
  <c r="Y1022" i="11" s="1"/>
  <c r="J1022" i="11"/>
  <c r="I1022" i="11"/>
  <c r="H1022" i="11"/>
  <c r="BL1021" i="11"/>
  <c r="AZ1021" i="11"/>
  <c r="AX1021" i="11"/>
  <c r="AV1021" i="11"/>
  <c r="AL1021" i="11"/>
  <c r="AN1021" i="11" s="1"/>
  <c r="AI1021" i="11"/>
  <c r="AK1021" i="11" s="1"/>
  <c r="AF1021" i="11"/>
  <c r="AE1021" i="11"/>
  <c r="AD1021" i="11"/>
  <c r="K1021" i="11"/>
  <c r="W1021" i="11" s="1"/>
  <c r="Y1021" i="11" s="1"/>
  <c r="J1021" i="11"/>
  <c r="I1021" i="11"/>
  <c r="H1021" i="11"/>
  <c r="BL1020" i="11"/>
  <c r="BN1020" i="11" s="1"/>
  <c r="AZ1020" i="11"/>
  <c r="AX1020" i="11"/>
  <c r="AV1020" i="11"/>
  <c r="AL1020" i="11"/>
  <c r="AN1020" i="11" s="1"/>
  <c r="AI1020" i="11"/>
  <c r="AK1020" i="11" s="1"/>
  <c r="AF1020" i="11"/>
  <c r="AE1020" i="11"/>
  <c r="AD1020" i="11"/>
  <c r="K1020" i="11"/>
  <c r="W1020" i="11" s="1"/>
  <c r="Y1020" i="11" s="1"/>
  <c r="J1020" i="11"/>
  <c r="I1020" i="11"/>
  <c r="H1020" i="11"/>
  <c r="BL1019" i="11"/>
  <c r="BN1019" i="11" s="1"/>
  <c r="AZ1019" i="11"/>
  <c r="AX1019" i="11"/>
  <c r="AV1019" i="11"/>
  <c r="AL1019" i="11"/>
  <c r="AN1019" i="11" s="1"/>
  <c r="AI1019" i="11"/>
  <c r="AK1019" i="11" s="1"/>
  <c r="AF1019" i="11"/>
  <c r="AE1019" i="11"/>
  <c r="AD1019" i="11"/>
  <c r="K1019" i="11"/>
  <c r="W1019" i="11" s="1"/>
  <c r="Y1019" i="11" s="1"/>
  <c r="J1019" i="11"/>
  <c r="I1019" i="11"/>
  <c r="H1019" i="11"/>
  <c r="BL1018" i="11"/>
  <c r="AZ1018" i="11"/>
  <c r="AX1018" i="11"/>
  <c r="AV1018" i="11"/>
  <c r="AL1018" i="11"/>
  <c r="AN1018" i="11" s="1"/>
  <c r="AI1018" i="11"/>
  <c r="AK1018" i="11" s="1"/>
  <c r="AF1018" i="11"/>
  <c r="AE1018" i="11"/>
  <c r="AD1018" i="11"/>
  <c r="K1018" i="11"/>
  <c r="W1018" i="11" s="1"/>
  <c r="Y1018" i="11" s="1"/>
  <c r="J1018" i="11"/>
  <c r="I1018" i="11"/>
  <c r="H1018" i="11"/>
  <c r="BL1017" i="11"/>
  <c r="AZ1017" i="11"/>
  <c r="AX1017" i="11"/>
  <c r="AV1017" i="11"/>
  <c r="AL1017" i="11"/>
  <c r="AN1017" i="11" s="1"/>
  <c r="AI1017" i="11"/>
  <c r="AK1017" i="11" s="1"/>
  <c r="AF1017" i="11"/>
  <c r="AE1017" i="11"/>
  <c r="AD1017" i="11"/>
  <c r="K1017" i="11"/>
  <c r="W1017" i="11" s="1"/>
  <c r="Y1017" i="11" s="1"/>
  <c r="J1017" i="11"/>
  <c r="I1017" i="11"/>
  <c r="H1017" i="11"/>
  <c r="BL1016" i="11"/>
  <c r="BN1016" i="11" s="1"/>
  <c r="AZ1016" i="11"/>
  <c r="AX1016" i="11"/>
  <c r="AV1016" i="11"/>
  <c r="AL1016" i="11"/>
  <c r="AN1016" i="11" s="1"/>
  <c r="AI1016" i="11"/>
  <c r="AK1016" i="11" s="1"/>
  <c r="AF1016" i="11"/>
  <c r="AE1016" i="11"/>
  <c r="AD1016" i="11"/>
  <c r="K1016" i="11"/>
  <c r="W1016" i="11" s="1"/>
  <c r="Y1016" i="11" s="1"/>
  <c r="J1016" i="11"/>
  <c r="I1016" i="11"/>
  <c r="H1016" i="11"/>
  <c r="BL1015" i="11"/>
  <c r="BN1015" i="11" s="1"/>
  <c r="AZ1015" i="11"/>
  <c r="AX1015" i="11"/>
  <c r="AV1015" i="11"/>
  <c r="AL1015" i="11"/>
  <c r="AN1015" i="11" s="1"/>
  <c r="AI1015" i="11"/>
  <c r="AK1015" i="11" s="1"/>
  <c r="AF1015" i="11"/>
  <c r="AE1015" i="11"/>
  <c r="AD1015" i="11"/>
  <c r="K1015" i="11"/>
  <c r="W1015" i="11" s="1"/>
  <c r="Y1015" i="11" s="1"/>
  <c r="J1015" i="11"/>
  <c r="I1015" i="11"/>
  <c r="H1015" i="11"/>
  <c r="BL1014" i="11"/>
  <c r="BN1014" i="11" s="1"/>
  <c r="AZ1014" i="11"/>
  <c r="AX1014" i="11"/>
  <c r="AV1014" i="11"/>
  <c r="AL1014" i="11"/>
  <c r="AN1014" i="11" s="1"/>
  <c r="AI1014" i="11"/>
  <c r="AK1014" i="11" s="1"/>
  <c r="AF1014" i="11"/>
  <c r="AE1014" i="11"/>
  <c r="AD1014" i="11"/>
  <c r="K1014" i="11"/>
  <c r="W1014" i="11" s="1"/>
  <c r="Y1014" i="11" s="1"/>
  <c r="J1014" i="11"/>
  <c r="I1014" i="11"/>
  <c r="H1014" i="11"/>
  <c r="BL1013" i="11"/>
  <c r="BN1013" i="11" s="1"/>
  <c r="AZ1013" i="11"/>
  <c r="AX1013" i="11"/>
  <c r="AV1013" i="11"/>
  <c r="AL1013" i="11"/>
  <c r="AN1013" i="11" s="1"/>
  <c r="AI1013" i="11"/>
  <c r="AK1013" i="11" s="1"/>
  <c r="AF1013" i="11"/>
  <c r="AE1013" i="11"/>
  <c r="AD1013" i="11"/>
  <c r="K1013" i="11"/>
  <c r="W1013" i="11" s="1"/>
  <c r="Y1013" i="11" s="1"/>
  <c r="J1013" i="11"/>
  <c r="I1013" i="11"/>
  <c r="H1013" i="11"/>
  <c r="BL1012" i="11"/>
  <c r="BN1012" i="11" s="1"/>
  <c r="AZ1012" i="11"/>
  <c r="AX1012" i="11"/>
  <c r="AV1012" i="11"/>
  <c r="AL1012" i="11"/>
  <c r="AN1012" i="11" s="1"/>
  <c r="AI1012" i="11"/>
  <c r="AK1012" i="11" s="1"/>
  <c r="AF1012" i="11"/>
  <c r="AE1012" i="11"/>
  <c r="AD1012" i="11"/>
  <c r="K1012" i="11"/>
  <c r="W1012" i="11" s="1"/>
  <c r="Y1012" i="11" s="1"/>
  <c r="J1012" i="11"/>
  <c r="I1012" i="11"/>
  <c r="H1012" i="11"/>
  <c r="BL1011" i="11"/>
  <c r="BN1011" i="11" s="1"/>
  <c r="AZ1011" i="11"/>
  <c r="AX1011" i="11"/>
  <c r="AV1011" i="11"/>
  <c r="AL1011" i="11"/>
  <c r="AN1011" i="11" s="1"/>
  <c r="AI1011" i="11"/>
  <c r="AK1011" i="11" s="1"/>
  <c r="AF1011" i="11"/>
  <c r="AE1011" i="11"/>
  <c r="AD1011" i="11"/>
  <c r="K1011" i="11"/>
  <c r="W1011" i="11" s="1"/>
  <c r="Y1011" i="11" s="1"/>
  <c r="J1011" i="11"/>
  <c r="I1011" i="11"/>
  <c r="H1011" i="11"/>
  <c r="BL1010" i="11"/>
  <c r="AZ1010" i="11"/>
  <c r="AX1010" i="11"/>
  <c r="AV1010" i="11"/>
  <c r="AL1010" i="11"/>
  <c r="AN1010" i="11" s="1"/>
  <c r="AI1010" i="11"/>
  <c r="AK1010" i="11" s="1"/>
  <c r="AF1010" i="11"/>
  <c r="AE1010" i="11"/>
  <c r="AD1010" i="11"/>
  <c r="K1010" i="11"/>
  <c r="W1010" i="11" s="1"/>
  <c r="Y1010" i="11" s="1"/>
  <c r="J1010" i="11"/>
  <c r="I1010" i="11"/>
  <c r="H1010" i="11"/>
  <c r="BL1009" i="11"/>
  <c r="AZ1009" i="11"/>
  <c r="AX1009" i="11"/>
  <c r="AV1009" i="11"/>
  <c r="AL1009" i="11"/>
  <c r="AN1009" i="11" s="1"/>
  <c r="AI1009" i="11"/>
  <c r="AK1009" i="11" s="1"/>
  <c r="AF1009" i="11"/>
  <c r="AE1009" i="11"/>
  <c r="AD1009" i="11"/>
  <c r="K1009" i="11"/>
  <c r="W1009" i="11" s="1"/>
  <c r="Y1009" i="11" s="1"/>
  <c r="J1009" i="11"/>
  <c r="I1009" i="11"/>
  <c r="H1009" i="11"/>
  <c r="BL1008" i="11"/>
  <c r="BN1008" i="11" s="1"/>
  <c r="AZ1008" i="11"/>
  <c r="AX1008" i="11"/>
  <c r="AV1008" i="11"/>
  <c r="AL1008" i="11"/>
  <c r="AN1008" i="11" s="1"/>
  <c r="AI1008" i="11"/>
  <c r="AK1008" i="11" s="1"/>
  <c r="AF1008" i="11"/>
  <c r="AE1008" i="11"/>
  <c r="AD1008" i="11"/>
  <c r="K1008" i="11"/>
  <c r="W1008" i="11" s="1"/>
  <c r="Y1008" i="11" s="1"/>
  <c r="J1008" i="11"/>
  <c r="I1008" i="11"/>
  <c r="H1008" i="11"/>
  <c r="BL1007" i="11"/>
  <c r="AZ1007" i="11"/>
  <c r="AX1007" i="11"/>
  <c r="AV1007" i="11"/>
  <c r="AL1007" i="11"/>
  <c r="AN1007" i="11" s="1"/>
  <c r="AI1007" i="11"/>
  <c r="AK1007" i="11" s="1"/>
  <c r="AF1007" i="11"/>
  <c r="AE1007" i="11"/>
  <c r="AD1007" i="11"/>
  <c r="K1007" i="11"/>
  <c r="W1007" i="11" s="1"/>
  <c r="Y1007" i="11" s="1"/>
  <c r="J1007" i="11"/>
  <c r="I1007" i="11"/>
  <c r="H1007" i="11"/>
  <c r="BL1006" i="11"/>
  <c r="BN1006" i="11" s="1"/>
  <c r="AZ1006" i="11"/>
  <c r="AX1006" i="11"/>
  <c r="AV1006" i="11"/>
  <c r="AL1006" i="11"/>
  <c r="AN1006" i="11" s="1"/>
  <c r="AI1006" i="11"/>
  <c r="AK1006" i="11" s="1"/>
  <c r="AF1006" i="11"/>
  <c r="AE1006" i="11"/>
  <c r="AD1006" i="11"/>
  <c r="K1006" i="11"/>
  <c r="W1006" i="11" s="1"/>
  <c r="Y1006" i="11" s="1"/>
  <c r="J1006" i="11"/>
  <c r="I1006" i="11"/>
  <c r="H1006" i="11"/>
  <c r="BL1005" i="11"/>
  <c r="BN1005" i="11" s="1"/>
  <c r="AZ1005" i="11"/>
  <c r="AX1005" i="11"/>
  <c r="AV1005" i="11"/>
  <c r="AL1005" i="11"/>
  <c r="AN1005" i="11" s="1"/>
  <c r="AI1005" i="11"/>
  <c r="AK1005" i="11" s="1"/>
  <c r="AF1005" i="11"/>
  <c r="AE1005" i="11"/>
  <c r="AD1005" i="11"/>
  <c r="K1005" i="11"/>
  <c r="W1005" i="11" s="1"/>
  <c r="Y1005" i="11" s="1"/>
  <c r="J1005" i="11"/>
  <c r="I1005" i="11"/>
  <c r="H1005" i="11"/>
  <c r="BL1004" i="11"/>
  <c r="BN1004" i="11" s="1"/>
  <c r="AZ1004" i="11"/>
  <c r="AX1004" i="11"/>
  <c r="AV1004" i="11"/>
  <c r="AL1004" i="11"/>
  <c r="AN1004" i="11" s="1"/>
  <c r="AI1004" i="11"/>
  <c r="AK1004" i="11" s="1"/>
  <c r="AF1004" i="11"/>
  <c r="AE1004" i="11"/>
  <c r="AD1004" i="11"/>
  <c r="K1004" i="11"/>
  <c r="W1004" i="11" s="1"/>
  <c r="Y1004" i="11" s="1"/>
  <c r="J1004" i="11"/>
  <c r="I1004" i="11"/>
  <c r="H1004" i="11"/>
  <c r="BL1003" i="11"/>
  <c r="AZ1003" i="11"/>
  <c r="AX1003" i="11"/>
  <c r="AV1003" i="11"/>
  <c r="AL1003" i="11"/>
  <c r="AN1003" i="11" s="1"/>
  <c r="AI1003" i="11"/>
  <c r="AK1003" i="11" s="1"/>
  <c r="AF1003" i="11"/>
  <c r="AE1003" i="11"/>
  <c r="AD1003" i="11"/>
  <c r="K1003" i="11"/>
  <c r="W1003" i="11" s="1"/>
  <c r="Y1003" i="11" s="1"/>
  <c r="J1003" i="11"/>
  <c r="I1003" i="11"/>
  <c r="H1003" i="11"/>
  <c r="BL1002" i="11"/>
  <c r="BN1002" i="11" s="1"/>
  <c r="AZ1002" i="11"/>
  <c r="AX1002" i="11"/>
  <c r="AV1002" i="11"/>
  <c r="AL1002" i="11"/>
  <c r="AN1002" i="11" s="1"/>
  <c r="AI1002" i="11"/>
  <c r="AK1002" i="11" s="1"/>
  <c r="AF1002" i="11"/>
  <c r="AE1002" i="11"/>
  <c r="AD1002" i="11"/>
  <c r="K1002" i="11"/>
  <c r="W1002" i="11" s="1"/>
  <c r="Y1002" i="11" s="1"/>
  <c r="J1002" i="11"/>
  <c r="I1002" i="11"/>
  <c r="H1002" i="11"/>
  <c r="BL1001" i="11"/>
  <c r="AZ1001" i="11"/>
  <c r="AX1001" i="11"/>
  <c r="AV1001" i="11"/>
  <c r="AL1001" i="11"/>
  <c r="AN1001" i="11" s="1"/>
  <c r="AI1001" i="11"/>
  <c r="AK1001" i="11" s="1"/>
  <c r="AF1001" i="11"/>
  <c r="AE1001" i="11"/>
  <c r="AD1001" i="11"/>
  <c r="K1001" i="11"/>
  <c r="W1001" i="11" s="1"/>
  <c r="Y1001" i="11" s="1"/>
  <c r="J1001" i="11"/>
  <c r="I1001" i="11"/>
  <c r="H1001" i="11"/>
  <c r="BL1000" i="11"/>
  <c r="BN1000" i="11" s="1"/>
  <c r="AZ1000" i="11"/>
  <c r="AX1000" i="11"/>
  <c r="AV1000" i="11"/>
  <c r="AL1000" i="11"/>
  <c r="AN1000" i="11" s="1"/>
  <c r="AI1000" i="11"/>
  <c r="AK1000" i="11" s="1"/>
  <c r="AF1000" i="11"/>
  <c r="AE1000" i="11"/>
  <c r="AD1000" i="11"/>
  <c r="K1000" i="11"/>
  <c r="W1000" i="11" s="1"/>
  <c r="Y1000" i="11" s="1"/>
  <c r="J1000" i="11"/>
  <c r="I1000" i="11"/>
  <c r="H1000" i="11"/>
  <c r="BL999" i="11"/>
  <c r="BN999" i="11" s="1"/>
  <c r="AZ999" i="11"/>
  <c r="AX999" i="11"/>
  <c r="AV999" i="11"/>
  <c r="AL999" i="11"/>
  <c r="AN999" i="11" s="1"/>
  <c r="AI999" i="11"/>
  <c r="AK999" i="11" s="1"/>
  <c r="AF999" i="11"/>
  <c r="AE999" i="11"/>
  <c r="AD999" i="11"/>
  <c r="K999" i="11"/>
  <c r="W999" i="11" s="1"/>
  <c r="Y999" i="11" s="1"/>
  <c r="J999" i="11"/>
  <c r="I999" i="11"/>
  <c r="H999" i="11"/>
  <c r="BL998" i="11"/>
  <c r="BN998" i="11" s="1"/>
  <c r="AZ998" i="11"/>
  <c r="AX998" i="11"/>
  <c r="AV998" i="11"/>
  <c r="AL998" i="11"/>
  <c r="AN998" i="11" s="1"/>
  <c r="AI998" i="11"/>
  <c r="AK998" i="11" s="1"/>
  <c r="AF998" i="11"/>
  <c r="AE998" i="11"/>
  <c r="AD998" i="11"/>
  <c r="K998" i="11"/>
  <c r="W998" i="11" s="1"/>
  <c r="Y998" i="11" s="1"/>
  <c r="J998" i="11"/>
  <c r="I998" i="11"/>
  <c r="H998" i="11"/>
  <c r="BL997" i="11"/>
  <c r="BN997" i="11" s="1"/>
  <c r="AZ997" i="11"/>
  <c r="AX997" i="11"/>
  <c r="AV997" i="11"/>
  <c r="AL997" i="11"/>
  <c r="AN997" i="11" s="1"/>
  <c r="AI997" i="11"/>
  <c r="AK997" i="11" s="1"/>
  <c r="AF997" i="11"/>
  <c r="AE997" i="11"/>
  <c r="AD997" i="11"/>
  <c r="K997" i="11"/>
  <c r="W997" i="11" s="1"/>
  <c r="Y997" i="11" s="1"/>
  <c r="J997" i="11"/>
  <c r="I997" i="11"/>
  <c r="H997" i="11"/>
  <c r="BL996" i="11"/>
  <c r="BN996" i="11" s="1"/>
  <c r="AZ996" i="11"/>
  <c r="AX996" i="11"/>
  <c r="AV996" i="11"/>
  <c r="AL996" i="11"/>
  <c r="AN996" i="11" s="1"/>
  <c r="AI996" i="11"/>
  <c r="AK996" i="11" s="1"/>
  <c r="AF996" i="11"/>
  <c r="AE996" i="11"/>
  <c r="AD996" i="11"/>
  <c r="K996" i="11"/>
  <c r="W996" i="11" s="1"/>
  <c r="Y996" i="11" s="1"/>
  <c r="J996" i="11"/>
  <c r="I996" i="11"/>
  <c r="H996" i="11"/>
  <c r="BL995" i="11"/>
  <c r="BN995" i="11" s="1"/>
  <c r="AZ995" i="11"/>
  <c r="AX995" i="11"/>
  <c r="AV995" i="11"/>
  <c r="AL995" i="11"/>
  <c r="AN995" i="11" s="1"/>
  <c r="AI995" i="11"/>
  <c r="AK995" i="11" s="1"/>
  <c r="AF995" i="11"/>
  <c r="AE995" i="11"/>
  <c r="AD995" i="11"/>
  <c r="K995" i="11"/>
  <c r="W995" i="11" s="1"/>
  <c r="Y995" i="11" s="1"/>
  <c r="J995" i="11"/>
  <c r="I995" i="11"/>
  <c r="H995" i="11"/>
  <c r="BL994" i="11"/>
  <c r="AZ994" i="11"/>
  <c r="AX994" i="11"/>
  <c r="AV994" i="11"/>
  <c r="AL994" i="11"/>
  <c r="AN994" i="11" s="1"/>
  <c r="AI994" i="11"/>
  <c r="AK994" i="11" s="1"/>
  <c r="AF994" i="11"/>
  <c r="AE994" i="11"/>
  <c r="AD994" i="11"/>
  <c r="K994" i="11"/>
  <c r="W994" i="11" s="1"/>
  <c r="Y994" i="11" s="1"/>
  <c r="J994" i="11"/>
  <c r="I994" i="11"/>
  <c r="H994" i="11"/>
  <c r="BL993" i="11"/>
  <c r="BN993" i="11" s="1"/>
  <c r="AZ993" i="11"/>
  <c r="AX993" i="11"/>
  <c r="AV993" i="11"/>
  <c r="AL993" i="11"/>
  <c r="AN993" i="11" s="1"/>
  <c r="AI993" i="11"/>
  <c r="AK993" i="11" s="1"/>
  <c r="AF993" i="11"/>
  <c r="AE993" i="11"/>
  <c r="AD993" i="11"/>
  <c r="K993" i="11"/>
  <c r="W993" i="11" s="1"/>
  <c r="Y993" i="11" s="1"/>
  <c r="J993" i="11"/>
  <c r="I993" i="11"/>
  <c r="H993" i="11"/>
  <c r="BL992" i="11"/>
  <c r="BN992" i="11" s="1"/>
  <c r="AZ992" i="11"/>
  <c r="AX992" i="11"/>
  <c r="AV992" i="11"/>
  <c r="AL992" i="11"/>
  <c r="AN992" i="11" s="1"/>
  <c r="AI992" i="11"/>
  <c r="AK992" i="11" s="1"/>
  <c r="AF992" i="11"/>
  <c r="AE992" i="11"/>
  <c r="AD992" i="11"/>
  <c r="K992" i="11"/>
  <c r="W992" i="11" s="1"/>
  <c r="Y992" i="11" s="1"/>
  <c r="J992" i="11"/>
  <c r="I992" i="11"/>
  <c r="H992" i="11"/>
  <c r="BL991" i="11"/>
  <c r="BN991" i="11" s="1"/>
  <c r="AZ991" i="11"/>
  <c r="AX991" i="11"/>
  <c r="AV991" i="11"/>
  <c r="AL991" i="11"/>
  <c r="AN991" i="11" s="1"/>
  <c r="AI991" i="11"/>
  <c r="AK991" i="11" s="1"/>
  <c r="AF991" i="11"/>
  <c r="AE991" i="11"/>
  <c r="AD991" i="11"/>
  <c r="K991" i="11"/>
  <c r="W991" i="11" s="1"/>
  <c r="Y991" i="11" s="1"/>
  <c r="J991" i="11"/>
  <c r="I991" i="11"/>
  <c r="H991" i="11"/>
  <c r="BL990" i="11"/>
  <c r="AZ990" i="11"/>
  <c r="AX990" i="11"/>
  <c r="AV990" i="11"/>
  <c r="AL990" i="11"/>
  <c r="AN990" i="11" s="1"/>
  <c r="AI990" i="11"/>
  <c r="AK990" i="11" s="1"/>
  <c r="AF990" i="11"/>
  <c r="AE990" i="11"/>
  <c r="AD990" i="11"/>
  <c r="K990" i="11"/>
  <c r="W990" i="11" s="1"/>
  <c r="Y990" i="11" s="1"/>
  <c r="J990" i="11"/>
  <c r="I990" i="11"/>
  <c r="H990" i="11"/>
  <c r="BL989" i="11"/>
  <c r="AZ989" i="11"/>
  <c r="AX989" i="11"/>
  <c r="AV989" i="11"/>
  <c r="AL989" i="11"/>
  <c r="AN989" i="11" s="1"/>
  <c r="AI989" i="11"/>
  <c r="AK989" i="11" s="1"/>
  <c r="AF989" i="11"/>
  <c r="AE989" i="11"/>
  <c r="AD989" i="11"/>
  <c r="K989" i="11"/>
  <c r="W989" i="11" s="1"/>
  <c r="Y989" i="11" s="1"/>
  <c r="J989" i="11"/>
  <c r="I989" i="11"/>
  <c r="H989" i="11"/>
  <c r="BL988" i="11"/>
  <c r="BN988" i="11" s="1"/>
  <c r="AZ988" i="11"/>
  <c r="AX988" i="11"/>
  <c r="AV988" i="11"/>
  <c r="AL988" i="11"/>
  <c r="AN988" i="11" s="1"/>
  <c r="AI988" i="11"/>
  <c r="AK988" i="11" s="1"/>
  <c r="AF988" i="11"/>
  <c r="AE988" i="11"/>
  <c r="AD988" i="11"/>
  <c r="K988" i="11"/>
  <c r="W988" i="11" s="1"/>
  <c r="Y988" i="11" s="1"/>
  <c r="J988" i="11"/>
  <c r="I988" i="11"/>
  <c r="H988" i="11"/>
  <c r="BL987" i="11"/>
  <c r="AZ987" i="11"/>
  <c r="AX987" i="11"/>
  <c r="AV987" i="11"/>
  <c r="AL987" i="11"/>
  <c r="AN987" i="11" s="1"/>
  <c r="AI987" i="11"/>
  <c r="AK987" i="11" s="1"/>
  <c r="AF987" i="11"/>
  <c r="AE987" i="11"/>
  <c r="AD987" i="11"/>
  <c r="K987" i="11"/>
  <c r="W987" i="11" s="1"/>
  <c r="Y987" i="11" s="1"/>
  <c r="J987" i="11"/>
  <c r="I987" i="11"/>
  <c r="H987" i="11"/>
  <c r="BL986" i="11"/>
  <c r="AZ986" i="11"/>
  <c r="AX986" i="11"/>
  <c r="AV986" i="11"/>
  <c r="AL986" i="11"/>
  <c r="AN986" i="11" s="1"/>
  <c r="AI986" i="11"/>
  <c r="AK986" i="11" s="1"/>
  <c r="AF986" i="11"/>
  <c r="AE986" i="11"/>
  <c r="AD986" i="11"/>
  <c r="K986" i="11"/>
  <c r="W986" i="11" s="1"/>
  <c r="Y986" i="11" s="1"/>
  <c r="J986" i="11"/>
  <c r="I986" i="11"/>
  <c r="H986" i="11"/>
  <c r="BL985" i="11"/>
  <c r="AZ985" i="11"/>
  <c r="AX985" i="11"/>
  <c r="AV985" i="11"/>
  <c r="AL985" i="11"/>
  <c r="AN985" i="11" s="1"/>
  <c r="AI985" i="11"/>
  <c r="AK985" i="11" s="1"/>
  <c r="AF985" i="11"/>
  <c r="AE985" i="11"/>
  <c r="AD985" i="11"/>
  <c r="K985" i="11"/>
  <c r="W985" i="11" s="1"/>
  <c r="Y985" i="11" s="1"/>
  <c r="J985" i="11"/>
  <c r="I985" i="11"/>
  <c r="H985" i="11"/>
  <c r="BL984" i="11"/>
  <c r="BN984" i="11" s="1"/>
  <c r="AZ984" i="11"/>
  <c r="AX984" i="11"/>
  <c r="AV984" i="11"/>
  <c r="AL984" i="11"/>
  <c r="AN984" i="11" s="1"/>
  <c r="AI984" i="11"/>
  <c r="AK984" i="11" s="1"/>
  <c r="AF984" i="11"/>
  <c r="AE984" i="11"/>
  <c r="AD984" i="11"/>
  <c r="K984" i="11"/>
  <c r="W984" i="11" s="1"/>
  <c r="Y984" i="11" s="1"/>
  <c r="J984" i="11"/>
  <c r="I984" i="11"/>
  <c r="H984" i="11"/>
  <c r="BL983" i="11"/>
  <c r="BN983" i="11" s="1"/>
  <c r="AZ983" i="11"/>
  <c r="AX983" i="11"/>
  <c r="AV983" i="11"/>
  <c r="AL983" i="11"/>
  <c r="AN983" i="11" s="1"/>
  <c r="AI983" i="11"/>
  <c r="AK983" i="11" s="1"/>
  <c r="AF983" i="11"/>
  <c r="AE983" i="11"/>
  <c r="AD983" i="11"/>
  <c r="K983" i="11"/>
  <c r="W983" i="11" s="1"/>
  <c r="Y983" i="11" s="1"/>
  <c r="J983" i="11"/>
  <c r="I983" i="11"/>
  <c r="H983" i="11"/>
  <c r="BL981" i="11"/>
  <c r="BN981" i="11" s="1"/>
  <c r="AZ981" i="11"/>
  <c r="AX981" i="11"/>
  <c r="AV981" i="11"/>
  <c r="AL981" i="11"/>
  <c r="AN981" i="11" s="1"/>
  <c r="AI981" i="11"/>
  <c r="AK981" i="11" s="1"/>
  <c r="AF981" i="11"/>
  <c r="AE981" i="11"/>
  <c r="AD981" i="11"/>
  <c r="K981" i="11"/>
  <c r="W981" i="11" s="1"/>
  <c r="Y981" i="11" s="1"/>
  <c r="J981" i="11"/>
  <c r="I981" i="11"/>
  <c r="H981" i="11"/>
  <c r="BL980" i="11"/>
  <c r="BN980" i="11" s="1"/>
  <c r="AZ980" i="11"/>
  <c r="AX980" i="11"/>
  <c r="AV980" i="11"/>
  <c r="AL980" i="11"/>
  <c r="AN980" i="11" s="1"/>
  <c r="AI980" i="11"/>
  <c r="AK980" i="11" s="1"/>
  <c r="AF980" i="11"/>
  <c r="AE980" i="11"/>
  <c r="AD980" i="11"/>
  <c r="K980" i="11"/>
  <c r="W980" i="11" s="1"/>
  <c r="Y980" i="11" s="1"/>
  <c r="J980" i="11"/>
  <c r="I980" i="11"/>
  <c r="H980" i="11"/>
  <c r="BL979" i="11"/>
  <c r="BN979" i="11" s="1"/>
  <c r="AZ979" i="11"/>
  <c r="AX979" i="11"/>
  <c r="AV979" i="11"/>
  <c r="AL979" i="11"/>
  <c r="AN979" i="11" s="1"/>
  <c r="AI979" i="11"/>
  <c r="AK979" i="11" s="1"/>
  <c r="AF979" i="11"/>
  <c r="AE979" i="11"/>
  <c r="AD979" i="11"/>
  <c r="K979" i="11"/>
  <c r="W979" i="11" s="1"/>
  <c r="Y979" i="11" s="1"/>
  <c r="J979" i="11"/>
  <c r="I979" i="11"/>
  <c r="H979" i="11"/>
  <c r="BL978" i="11"/>
  <c r="BN978" i="11" s="1"/>
  <c r="AZ978" i="11"/>
  <c r="AX978" i="11"/>
  <c r="AV978" i="11"/>
  <c r="AL978" i="11"/>
  <c r="AN978" i="11" s="1"/>
  <c r="AI978" i="11"/>
  <c r="AK978" i="11" s="1"/>
  <c r="AF978" i="11"/>
  <c r="AE978" i="11"/>
  <c r="AD978" i="11"/>
  <c r="K978" i="11"/>
  <c r="W978" i="11" s="1"/>
  <c r="Y978" i="11" s="1"/>
  <c r="J978" i="11"/>
  <c r="I978" i="11"/>
  <c r="H978" i="11"/>
  <c r="BL977" i="11"/>
  <c r="BN977" i="11" s="1"/>
  <c r="AZ977" i="11"/>
  <c r="AX977" i="11"/>
  <c r="AV977" i="11"/>
  <c r="AL977" i="11"/>
  <c r="AN977" i="11" s="1"/>
  <c r="AI977" i="11"/>
  <c r="AK977" i="11" s="1"/>
  <c r="AF977" i="11"/>
  <c r="AE977" i="11"/>
  <c r="AD977" i="11"/>
  <c r="K977" i="11"/>
  <c r="W977" i="11" s="1"/>
  <c r="Y977" i="11" s="1"/>
  <c r="J977" i="11"/>
  <c r="I977" i="11"/>
  <c r="H977" i="11"/>
  <c r="BL976" i="11"/>
  <c r="AZ976" i="11"/>
  <c r="AX976" i="11"/>
  <c r="AV976" i="11"/>
  <c r="AL976" i="11"/>
  <c r="AN976" i="11" s="1"/>
  <c r="AI976" i="11"/>
  <c r="AK976" i="11" s="1"/>
  <c r="AF976" i="11"/>
  <c r="AE976" i="11"/>
  <c r="AD976" i="11"/>
  <c r="K976" i="11"/>
  <c r="W976" i="11" s="1"/>
  <c r="Y976" i="11" s="1"/>
  <c r="J976" i="11"/>
  <c r="I976" i="11"/>
  <c r="H976" i="11"/>
  <c r="BL975" i="11"/>
  <c r="BN975" i="11" s="1"/>
  <c r="AZ975" i="11"/>
  <c r="AX975" i="11"/>
  <c r="AV975" i="11"/>
  <c r="AL975" i="11"/>
  <c r="AN975" i="11" s="1"/>
  <c r="AI975" i="11"/>
  <c r="AK975" i="11" s="1"/>
  <c r="AF975" i="11"/>
  <c r="AE975" i="11"/>
  <c r="AD975" i="11"/>
  <c r="K975" i="11"/>
  <c r="W975" i="11" s="1"/>
  <c r="Y975" i="11" s="1"/>
  <c r="J975" i="11"/>
  <c r="I975" i="11"/>
  <c r="H975" i="11"/>
  <c r="BL974" i="11"/>
  <c r="BN974" i="11" s="1"/>
  <c r="AZ974" i="11"/>
  <c r="AX974" i="11"/>
  <c r="AV974" i="11"/>
  <c r="AL974" i="11"/>
  <c r="AN974" i="11" s="1"/>
  <c r="AI974" i="11"/>
  <c r="AK974" i="11" s="1"/>
  <c r="AF974" i="11"/>
  <c r="AE974" i="11"/>
  <c r="AD974" i="11"/>
  <c r="K974" i="11"/>
  <c r="W974" i="11" s="1"/>
  <c r="Y974" i="11" s="1"/>
  <c r="J974" i="11"/>
  <c r="I974" i="11"/>
  <c r="H974" i="11"/>
  <c r="BL973" i="11"/>
  <c r="BN973" i="11" s="1"/>
  <c r="AZ973" i="11"/>
  <c r="AX973" i="11"/>
  <c r="AV973" i="11"/>
  <c r="AL973" i="11"/>
  <c r="AN973" i="11" s="1"/>
  <c r="AI973" i="11"/>
  <c r="AK973" i="11" s="1"/>
  <c r="AF973" i="11"/>
  <c r="AE973" i="11"/>
  <c r="AD973" i="11"/>
  <c r="K973" i="11"/>
  <c r="W973" i="11" s="1"/>
  <c r="Y973" i="11" s="1"/>
  <c r="J973" i="11"/>
  <c r="I973" i="11"/>
  <c r="H973" i="11"/>
  <c r="BL972" i="11"/>
  <c r="BN972" i="11" s="1"/>
  <c r="AZ972" i="11"/>
  <c r="AX972" i="11"/>
  <c r="AV972" i="11"/>
  <c r="AL972" i="11"/>
  <c r="AN972" i="11" s="1"/>
  <c r="AI972" i="11"/>
  <c r="AK972" i="11" s="1"/>
  <c r="AF972" i="11"/>
  <c r="AE972" i="11"/>
  <c r="AD972" i="11"/>
  <c r="K972" i="11"/>
  <c r="W972" i="11" s="1"/>
  <c r="Y972" i="11" s="1"/>
  <c r="J972" i="11"/>
  <c r="I972" i="11"/>
  <c r="H972" i="11"/>
  <c r="BL971" i="11"/>
  <c r="BN971" i="11" s="1"/>
  <c r="AZ971" i="11"/>
  <c r="AX971" i="11"/>
  <c r="AV971" i="11"/>
  <c r="AL971" i="11"/>
  <c r="AN971" i="11" s="1"/>
  <c r="AI971" i="11"/>
  <c r="AK971" i="11" s="1"/>
  <c r="AF971" i="11"/>
  <c r="AE971" i="11"/>
  <c r="AD971" i="11"/>
  <c r="K971" i="11"/>
  <c r="W971" i="11" s="1"/>
  <c r="Y971" i="11" s="1"/>
  <c r="J971" i="11"/>
  <c r="I971" i="11"/>
  <c r="H971" i="11"/>
  <c r="BL970" i="11"/>
  <c r="BN970" i="11" s="1"/>
  <c r="AZ970" i="11"/>
  <c r="AX970" i="11"/>
  <c r="AV970" i="11"/>
  <c r="AL970" i="11"/>
  <c r="AN970" i="11" s="1"/>
  <c r="AI970" i="11"/>
  <c r="AK970" i="11" s="1"/>
  <c r="AF970" i="11"/>
  <c r="AE970" i="11"/>
  <c r="AD970" i="11"/>
  <c r="K970" i="11"/>
  <c r="W970" i="11" s="1"/>
  <c r="Y970" i="11" s="1"/>
  <c r="J970" i="11"/>
  <c r="I970" i="11"/>
  <c r="H970" i="11"/>
  <c r="BL969" i="11"/>
  <c r="BN969" i="11" s="1"/>
  <c r="AZ969" i="11"/>
  <c r="AX969" i="11"/>
  <c r="AV969" i="11"/>
  <c r="AL969" i="11"/>
  <c r="AN969" i="11" s="1"/>
  <c r="AI969" i="11"/>
  <c r="AK969" i="11" s="1"/>
  <c r="AF969" i="11"/>
  <c r="AE969" i="11"/>
  <c r="AD969" i="11"/>
  <c r="K969" i="11"/>
  <c r="W969" i="11" s="1"/>
  <c r="Y969" i="11" s="1"/>
  <c r="J969" i="11"/>
  <c r="I969" i="11"/>
  <c r="H969" i="11"/>
  <c r="BL968" i="11"/>
  <c r="BN968" i="11" s="1"/>
  <c r="AZ968" i="11"/>
  <c r="AX968" i="11"/>
  <c r="AV968" i="11"/>
  <c r="AL968" i="11"/>
  <c r="AN968" i="11" s="1"/>
  <c r="AI968" i="11"/>
  <c r="AK968" i="11" s="1"/>
  <c r="AF968" i="11"/>
  <c r="AE968" i="11"/>
  <c r="AD968" i="11"/>
  <c r="K968" i="11"/>
  <c r="W968" i="11" s="1"/>
  <c r="Y968" i="11" s="1"/>
  <c r="J968" i="11"/>
  <c r="I968" i="11"/>
  <c r="H968" i="11"/>
  <c r="BL967" i="11"/>
  <c r="BN967" i="11" s="1"/>
  <c r="AZ967" i="11"/>
  <c r="AX967" i="11"/>
  <c r="AV967" i="11"/>
  <c r="AL967" i="11"/>
  <c r="AN967" i="11" s="1"/>
  <c r="AI967" i="11"/>
  <c r="AK967" i="11" s="1"/>
  <c r="AF967" i="11"/>
  <c r="AE967" i="11"/>
  <c r="AD967" i="11"/>
  <c r="K967" i="11"/>
  <c r="W967" i="11" s="1"/>
  <c r="Y967" i="11" s="1"/>
  <c r="J967" i="11"/>
  <c r="I967" i="11"/>
  <c r="H967" i="11"/>
  <c r="BL966" i="11"/>
  <c r="BN966" i="11" s="1"/>
  <c r="AZ966" i="11"/>
  <c r="AX966" i="11"/>
  <c r="AV966" i="11"/>
  <c r="AL966" i="11"/>
  <c r="AN966" i="11" s="1"/>
  <c r="AI966" i="11"/>
  <c r="AK966" i="11" s="1"/>
  <c r="AF966" i="11"/>
  <c r="AE966" i="11"/>
  <c r="AD966" i="11"/>
  <c r="K966" i="11"/>
  <c r="W966" i="11" s="1"/>
  <c r="Y966" i="11" s="1"/>
  <c r="J966" i="11"/>
  <c r="I966" i="11"/>
  <c r="H966" i="11"/>
  <c r="BL965" i="11"/>
  <c r="AZ965" i="11"/>
  <c r="AX965" i="11"/>
  <c r="AV965" i="11"/>
  <c r="AL965" i="11"/>
  <c r="AN965" i="11" s="1"/>
  <c r="AI965" i="11"/>
  <c r="AK965" i="11" s="1"/>
  <c r="AF965" i="11"/>
  <c r="AE965" i="11"/>
  <c r="AD965" i="11"/>
  <c r="K965" i="11"/>
  <c r="W965" i="11" s="1"/>
  <c r="Y965" i="11" s="1"/>
  <c r="J965" i="11"/>
  <c r="I965" i="11"/>
  <c r="H965" i="11"/>
  <c r="BL964" i="11"/>
  <c r="AZ964" i="11"/>
  <c r="AX964" i="11"/>
  <c r="AV964" i="11"/>
  <c r="AL964" i="11"/>
  <c r="AN964" i="11" s="1"/>
  <c r="AI964" i="11"/>
  <c r="AK964" i="11" s="1"/>
  <c r="AF964" i="11"/>
  <c r="AE964" i="11"/>
  <c r="AD964" i="11"/>
  <c r="K964" i="11"/>
  <c r="W964" i="11" s="1"/>
  <c r="Y964" i="11" s="1"/>
  <c r="J964" i="11"/>
  <c r="I964" i="11"/>
  <c r="H964" i="11"/>
  <c r="BL963" i="11"/>
  <c r="BN963" i="11" s="1"/>
  <c r="AZ963" i="11"/>
  <c r="AX963" i="11"/>
  <c r="AV963" i="11"/>
  <c r="AL963" i="11"/>
  <c r="AN963" i="11" s="1"/>
  <c r="AI963" i="11"/>
  <c r="AK963" i="11" s="1"/>
  <c r="AF963" i="11"/>
  <c r="AE963" i="11"/>
  <c r="AD963" i="11"/>
  <c r="K963" i="11"/>
  <c r="W963" i="11" s="1"/>
  <c r="Y963" i="11" s="1"/>
  <c r="J963" i="11"/>
  <c r="I963" i="11"/>
  <c r="H963" i="11"/>
  <c r="BL962" i="11"/>
  <c r="AZ962" i="11"/>
  <c r="AX962" i="11"/>
  <c r="AV962" i="11"/>
  <c r="AL962" i="11"/>
  <c r="AN962" i="11" s="1"/>
  <c r="AI962" i="11"/>
  <c r="AK962" i="11" s="1"/>
  <c r="AF962" i="11"/>
  <c r="AE962" i="11"/>
  <c r="AD962" i="11"/>
  <c r="K962" i="11"/>
  <c r="W962" i="11" s="1"/>
  <c r="Y962" i="11" s="1"/>
  <c r="J962" i="11"/>
  <c r="I962" i="11"/>
  <c r="H962" i="11"/>
  <c r="BL961" i="11"/>
  <c r="BN961" i="11" s="1"/>
  <c r="AZ961" i="11"/>
  <c r="AX961" i="11"/>
  <c r="AL961" i="11"/>
  <c r="AN961" i="11" s="1"/>
  <c r="AI961" i="11"/>
  <c r="AK961" i="11" s="1"/>
  <c r="AF961" i="11"/>
  <c r="AE961" i="11"/>
  <c r="AD961" i="11"/>
  <c r="K961" i="11"/>
  <c r="W961" i="11" s="1"/>
  <c r="Y961" i="11" s="1"/>
  <c r="J961" i="11"/>
  <c r="I961" i="11"/>
  <c r="H961" i="11"/>
  <c r="BL960" i="11"/>
  <c r="BN960" i="11" s="1"/>
  <c r="AZ960" i="11"/>
  <c r="AX960" i="11"/>
  <c r="AV960" i="11"/>
  <c r="AL960" i="11"/>
  <c r="AN960" i="11" s="1"/>
  <c r="AI960" i="11"/>
  <c r="AK960" i="11" s="1"/>
  <c r="AF960" i="11"/>
  <c r="AE960" i="11"/>
  <c r="AD960" i="11"/>
  <c r="K960" i="11"/>
  <c r="W960" i="11" s="1"/>
  <c r="Y960" i="11" s="1"/>
  <c r="J960" i="11"/>
  <c r="I960" i="11"/>
  <c r="H960" i="11"/>
  <c r="BL959" i="11"/>
  <c r="BN959" i="11" s="1"/>
  <c r="AZ959" i="11"/>
  <c r="AX959" i="11"/>
  <c r="AV959" i="11"/>
  <c r="AL959" i="11"/>
  <c r="AN959" i="11" s="1"/>
  <c r="AI959" i="11"/>
  <c r="AK959" i="11" s="1"/>
  <c r="AF959" i="11"/>
  <c r="AE959" i="11"/>
  <c r="AD959" i="11"/>
  <c r="K959" i="11"/>
  <c r="W959" i="11" s="1"/>
  <c r="Y959" i="11" s="1"/>
  <c r="J959" i="11"/>
  <c r="I959" i="11"/>
  <c r="H959" i="11"/>
  <c r="BL958" i="11"/>
  <c r="AZ958" i="11"/>
  <c r="AX958" i="11"/>
  <c r="AV958" i="11"/>
  <c r="AL958" i="11"/>
  <c r="AN958" i="11" s="1"/>
  <c r="AI958" i="11"/>
  <c r="AK958" i="11" s="1"/>
  <c r="AF958" i="11"/>
  <c r="AE958" i="11"/>
  <c r="AD958" i="11"/>
  <c r="K958" i="11"/>
  <c r="W958" i="11" s="1"/>
  <c r="Y958" i="11" s="1"/>
  <c r="J958" i="11"/>
  <c r="I958" i="11"/>
  <c r="H958" i="11"/>
  <c r="BL957" i="11"/>
  <c r="AZ957" i="11"/>
  <c r="AX957" i="11"/>
  <c r="AV957" i="11"/>
  <c r="AL957" i="11"/>
  <c r="AN957" i="11" s="1"/>
  <c r="AI957" i="11"/>
  <c r="AK957" i="11" s="1"/>
  <c r="AF957" i="11"/>
  <c r="AE957" i="11"/>
  <c r="AD957" i="11"/>
  <c r="K957" i="11"/>
  <c r="W957" i="11" s="1"/>
  <c r="Y957" i="11" s="1"/>
  <c r="J957" i="11"/>
  <c r="I957" i="11"/>
  <c r="H957" i="11"/>
  <c r="BL956" i="11"/>
  <c r="BN956" i="11" s="1"/>
  <c r="AZ956" i="11"/>
  <c r="AX956" i="11"/>
  <c r="AV956" i="11"/>
  <c r="AL956" i="11"/>
  <c r="AN956" i="11" s="1"/>
  <c r="AI956" i="11"/>
  <c r="AK956" i="11" s="1"/>
  <c r="AF956" i="11"/>
  <c r="AE956" i="11"/>
  <c r="AD956" i="11"/>
  <c r="K956" i="11"/>
  <c r="W956" i="11" s="1"/>
  <c r="Y956" i="11" s="1"/>
  <c r="J956" i="11"/>
  <c r="I956" i="11"/>
  <c r="H956" i="11"/>
  <c r="BL955" i="11"/>
  <c r="BN955" i="11" s="1"/>
  <c r="AZ955" i="11"/>
  <c r="AX955" i="11"/>
  <c r="AV955" i="11"/>
  <c r="AL955" i="11"/>
  <c r="AN955" i="11" s="1"/>
  <c r="AI955" i="11"/>
  <c r="AK955" i="11" s="1"/>
  <c r="AF955" i="11"/>
  <c r="AE955" i="11"/>
  <c r="AD955" i="11"/>
  <c r="K955" i="11"/>
  <c r="W955" i="11" s="1"/>
  <c r="Y955" i="11" s="1"/>
  <c r="J955" i="11"/>
  <c r="I955" i="11"/>
  <c r="H955" i="11"/>
  <c r="BL954" i="11"/>
  <c r="BN954" i="11" s="1"/>
  <c r="AZ954" i="11"/>
  <c r="AX954" i="11"/>
  <c r="AV954" i="11"/>
  <c r="AL954" i="11"/>
  <c r="AN954" i="11" s="1"/>
  <c r="AI954" i="11"/>
  <c r="AK954" i="11" s="1"/>
  <c r="AF954" i="11"/>
  <c r="AE954" i="11"/>
  <c r="AD954" i="11"/>
  <c r="K954" i="11"/>
  <c r="W954" i="11" s="1"/>
  <c r="Y954" i="11" s="1"/>
  <c r="J954" i="11"/>
  <c r="I954" i="11"/>
  <c r="H954" i="11"/>
  <c r="BL953" i="11"/>
  <c r="BN953" i="11" s="1"/>
  <c r="AZ953" i="11"/>
  <c r="AX953" i="11"/>
  <c r="AV953" i="11"/>
  <c r="AL953" i="11"/>
  <c r="AN953" i="11" s="1"/>
  <c r="AI953" i="11"/>
  <c r="AK953" i="11" s="1"/>
  <c r="AF953" i="11"/>
  <c r="AE953" i="11"/>
  <c r="AD953" i="11"/>
  <c r="K953" i="11"/>
  <c r="W953" i="11" s="1"/>
  <c r="Y953" i="11" s="1"/>
  <c r="J953" i="11"/>
  <c r="I953" i="11"/>
  <c r="H953" i="11"/>
  <c r="BL952" i="11"/>
  <c r="BN952" i="11" s="1"/>
  <c r="AZ952" i="11"/>
  <c r="AX952" i="11"/>
  <c r="AV952" i="11"/>
  <c r="AL952" i="11"/>
  <c r="AN952" i="11" s="1"/>
  <c r="AI952" i="11"/>
  <c r="AK952" i="11" s="1"/>
  <c r="AF952" i="11"/>
  <c r="AE952" i="11"/>
  <c r="AD952" i="11"/>
  <c r="K952" i="11"/>
  <c r="W952" i="11" s="1"/>
  <c r="Y952" i="11" s="1"/>
  <c r="J952" i="11"/>
  <c r="I952" i="11"/>
  <c r="H952" i="11"/>
  <c r="BL951" i="11"/>
  <c r="BN951" i="11" s="1"/>
  <c r="AZ951" i="11"/>
  <c r="AX951" i="11"/>
  <c r="AV951" i="11"/>
  <c r="AL951" i="11"/>
  <c r="AN951" i="11" s="1"/>
  <c r="AI951" i="11"/>
  <c r="AK951" i="11" s="1"/>
  <c r="AF951" i="11"/>
  <c r="AE951" i="11"/>
  <c r="AD951" i="11"/>
  <c r="K951" i="11"/>
  <c r="W951" i="11" s="1"/>
  <c r="Y951" i="11" s="1"/>
  <c r="J951" i="11"/>
  <c r="I951" i="11"/>
  <c r="H951" i="11"/>
  <c r="BL950" i="11"/>
  <c r="BN950" i="11" s="1"/>
  <c r="AZ950" i="11"/>
  <c r="AX950" i="11"/>
  <c r="AV950" i="11"/>
  <c r="AL950" i="11"/>
  <c r="AN950" i="11" s="1"/>
  <c r="AI950" i="11"/>
  <c r="AK950" i="11" s="1"/>
  <c r="AF950" i="11"/>
  <c r="AE950" i="11"/>
  <c r="AD950" i="11"/>
  <c r="K950" i="11"/>
  <c r="W950" i="11" s="1"/>
  <c r="Y950" i="11" s="1"/>
  <c r="J950" i="11"/>
  <c r="I950" i="11"/>
  <c r="H950" i="11"/>
  <c r="BL949" i="11"/>
  <c r="AZ949" i="11"/>
  <c r="AX949" i="11"/>
  <c r="AV949" i="11"/>
  <c r="AL949" i="11"/>
  <c r="AN949" i="11" s="1"/>
  <c r="AI949" i="11"/>
  <c r="AK949" i="11" s="1"/>
  <c r="AF949" i="11"/>
  <c r="AE949" i="11"/>
  <c r="AD949" i="11"/>
  <c r="K949" i="11"/>
  <c r="W949" i="11" s="1"/>
  <c r="Y949" i="11" s="1"/>
  <c r="J949" i="11"/>
  <c r="I949" i="11"/>
  <c r="H949" i="11"/>
  <c r="BL948" i="11"/>
  <c r="BN948" i="11" s="1"/>
  <c r="AZ948" i="11"/>
  <c r="AX948" i="11"/>
  <c r="AS948" i="11"/>
  <c r="AL948" i="11"/>
  <c r="AN948" i="11" s="1"/>
  <c r="AI948" i="11"/>
  <c r="AK948" i="11" s="1"/>
  <c r="AF948" i="11"/>
  <c r="AE948" i="11"/>
  <c r="AD948" i="11"/>
  <c r="K948" i="11"/>
  <c r="W948" i="11" s="1"/>
  <c r="Y948" i="11" s="1"/>
  <c r="J948" i="11"/>
  <c r="I948" i="11"/>
  <c r="H948" i="11"/>
  <c r="BL947" i="11"/>
  <c r="AZ947" i="11"/>
  <c r="AX947" i="11"/>
  <c r="AV947" i="11"/>
  <c r="AL947" i="11"/>
  <c r="AN947" i="11" s="1"/>
  <c r="AI947" i="11"/>
  <c r="AK947" i="11" s="1"/>
  <c r="AF947" i="11"/>
  <c r="AE947" i="11"/>
  <c r="AD947" i="11"/>
  <c r="K947" i="11"/>
  <c r="W947" i="11" s="1"/>
  <c r="Y947" i="11" s="1"/>
  <c r="J947" i="11"/>
  <c r="I947" i="11"/>
  <c r="H947" i="11"/>
  <c r="BL946" i="11"/>
  <c r="AZ946" i="11"/>
  <c r="AX946" i="11"/>
  <c r="AV946" i="11"/>
  <c r="AL946" i="11"/>
  <c r="AN946" i="11" s="1"/>
  <c r="AI946" i="11"/>
  <c r="AK946" i="11" s="1"/>
  <c r="AF946" i="11"/>
  <c r="AE946" i="11"/>
  <c r="AD946" i="11"/>
  <c r="K946" i="11"/>
  <c r="W946" i="11" s="1"/>
  <c r="Y946" i="11" s="1"/>
  <c r="J946" i="11"/>
  <c r="I946" i="11"/>
  <c r="H946" i="11"/>
  <c r="BL945" i="11"/>
  <c r="BN945" i="11" s="1"/>
  <c r="AZ945" i="11"/>
  <c r="AX945" i="11"/>
  <c r="AL945" i="11"/>
  <c r="AN945" i="11" s="1"/>
  <c r="AI945" i="11"/>
  <c r="AK945" i="11" s="1"/>
  <c r="AF945" i="11"/>
  <c r="AE945" i="11"/>
  <c r="AD945" i="11"/>
  <c r="K945" i="11"/>
  <c r="W945" i="11" s="1"/>
  <c r="Y945" i="11" s="1"/>
  <c r="J945" i="11"/>
  <c r="I945" i="11"/>
  <c r="H945" i="11"/>
  <c r="BL944" i="11"/>
  <c r="BN944" i="11" s="1"/>
  <c r="AZ944" i="11"/>
  <c r="AX944" i="11"/>
  <c r="AV944" i="11"/>
  <c r="AL944" i="11"/>
  <c r="AN944" i="11" s="1"/>
  <c r="AI944" i="11"/>
  <c r="AK944" i="11" s="1"/>
  <c r="AF944" i="11"/>
  <c r="AE944" i="11"/>
  <c r="AD944" i="11"/>
  <c r="K944" i="11"/>
  <c r="W944" i="11" s="1"/>
  <c r="Y944" i="11" s="1"/>
  <c r="J944" i="11"/>
  <c r="I944" i="11"/>
  <c r="H944" i="11"/>
  <c r="AZ943" i="11"/>
  <c r="AX943" i="11"/>
  <c r="AV943" i="11"/>
  <c r="AL943" i="11"/>
  <c r="AN943" i="11" s="1"/>
  <c r="AI943" i="11"/>
  <c r="AK943" i="11" s="1"/>
  <c r="AF943" i="11"/>
  <c r="AE943" i="11"/>
  <c r="AD943" i="11"/>
  <c r="K943" i="11"/>
  <c r="W943" i="11" s="1"/>
  <c r="Y943" i="11" s="1"/>
  <c r="J943" i="11"/>
  <c r="I943" i="11"/>
  <c r="H943" i="11"/>
  <c r="BL941" i="11"/>
  <c r="BN941" i="11" s="1"/>
  <c r="AZ941" i="11"/>
  <c r="AX941" i="11"/>
  <c r="AV941" i="11"/>
  <c r="AL941" i="11"/>
  <c r="AN941" i="11" s="1"/>
  <c r="AI941" i="11"/>
  <c r="AK941" i="11" s="1"/>
  <c r="AF941" i="11"/>
  <c r="AE941" i="11"/>
  <c r="AD941" i="11"/>
  <c r="K941" i="11"/>
  <c r="W941" i="11" s="1"/>
  <c r="Y941" i="11" s="1"/>
  <c r="J941" i="11"/>
  <c r="I941" i="11"/>
  <c r="H941" i="11"/>
  <c r="BL940" i="11"/>
  <c r="BN940" i="11" s="1"/>
  <c r="AZ940" i="11"/>
  <c r="AX940" i="11"/>
  <c r="AV940" i="11"/>
  <c r="AL940" i="11"/>
  <c r="AN940" i="11" s="1"/>
  <c r="AI940" i="11"/>
  <c r="AK940" i="11" s="1"/>
  <c r="AF940" i="11"/>
  <c r="AE940" i="11"/>
  <c r="AD940" i="11"/>
  <c r="K940" i="11"/>
  <c r="W940" i="11" s="1"/>
  <c r="Y940" i="11" s="1"/>
  <c r="J940" i="11"/>
  <c r="I940" i="11"/>
  <c r="H940" i="11"/>
  <c r="BL939" i="11"/>
  <c r="BN939" i="11" s="1"/>
  <c r="AZ939" i="11"/>
  <c r="AX939" i="11"/>
  <c r="AV939" i="11"/>
  <c r="AL939" i="11"/>
  <c r="AN939" i="11" s="1"/>
  <c r="AI939" i="11"/>
  <c r="AK939" i="11" s="1"/>
  <c r="AF939" i="11"/>
  <c r="AE939" i="11"/>
  <c r="AD939" i="11"/>
  <c r="K939" i="11"/>
  <c r="W939" i="11" s="1"/>
  <c r="Y939" i="11" s="1"/>
  <c r="J939" i="11"/>
  <c r="I939" i="11"/>
  <c r="H939" i="11"/>
  <c r="BL938" i="11"/>
  <c r="BN938" i="11" s="1"/>
  <c r="AZ938" i="11"/>
  <c r="AX938" i="11"/>
  <c r="AV938" i="11"/>
  <c r="AL938" i="11"/>
  <c r="AN938" i="11" s="1"/>
  <c r="AI938" i="11"/>
  <c r="AK938" i="11" s="1"/>
  <c r="AF938" i="11"/>
  <c r="AE938" i="11"/>
  <c r="AD938" i="11"/>
  <c r="K938" i="11"/>
  <c r="W938" i="11" s="1"/>
  <c r="Y938" i="11" s="1"/>
  <c r="J938" i="11"/>
  <c r="I938" i="11"/>
  <c r="H938" i="11"/>
  <c r="BL937" i="11"/>
  <c r="AZ937" i="11"/>
  <c r="AX937" i="11"/>
  <c r="AV937" i="11"/>
  <c r="AL937" i="11"/>
  <c r="AN937" i="11" s="1"/>
  <c r="AI937" i="11"/>
  <c r="AK937" i="11" s="1"/>
  <c r="AF937" i="11"/>
  <c r="AE937" i="11"/>
  <c r="AD937" i="11"/>
  <c r="K937" i="11"/>
  <c r="W937" i="11" s="1"/>
  <c r="Y937" i="11" s="1"/>
  <c r="J937" i="11"/>
  <c r="I937" i="11"/>
  <c r="H937" i="11"/>
  <c r="BL936" i="11"/>
  <c r="BN936" i="11" s="1"/>
  <c r="AZ936" i="11"/>
  <c r="AX936" i="11"/>
  <c r="AV936" i="11"/>
  <c r="AL936" i="11"/>
  <c r="AN936" i="11" s="1"/>
  <c r="AI936" i="11"/>
  <c r="AK936" i="11" s="1"/>
  <c r="AF936" i="11"/>
  <c r="AE936" i="11"/>
  <c r="AD936" i="11"/>
  <c r="K936" i="11"/>
  <c r="W936" i="11" s="1"/>
  <c r="Y936" i="11" s="1"/>
  <c r="J936" i="11"/>
  <c r="I936" i="11"/>
  <c r="H936" i="11"/>
  <c r="BN934" i="11"/>
  <c r="AZ934" i="11"/>
  <c r="AX934" i="11"/>
  <c r="AV934" i="11"/>
  <c r="AL934" i="11"/>
  <c r="AN934" i="11" s="1"/>
  <c r="AI934" i="11"/>
  <c r="AK934" i="11" s="1"/>
  <c r="AF934" i="11"/>
  <c r="AE934" i="11"/>
  <c r="AD934" i="11"/>
  <c r="K934" i="11"/>
  <c r="W934" i="11" s="1"/>
  <c r="Y934" i="11" s="1"/>
  <c r="J934" i="11"/>
  <c r="I934" i="11"/>
  <c r="H934" i="11"/>
  <c r="BL933" i="11"/>
  <c r="AZ933" i="11"/>
  <c r="AX933" i="11"/>
  <c r="AV933" i="11"/>
  <c r="AL933" i="11"/>
  <c r="AN933" i="11" s="1"/>
  <c r="AI933" i="11"/>
  <c r="AK933" i="11" s="1"/>
  <c r="AF933" i="11"/>
  <c r="AE933" i="11"/>
  <c r="AD933" i="11"/>
  <c r="K933" i="11"/>
  <c r="W933" i="11" s="1"/>
  <c r="Y933" i="11" s="1"/>
  <c r="J933" i="11"/>
  <c r="I933" i="11"/>
  <c r="H933" i="11"/>
  <c r="BL932" i="11"/>
  <c r="BN932" i="11" s="1"/>
  <c r="AZ932" i="11"/>
  <c r="AX932" i="11"/>
  <c r="AV932" i="11"/>
  <c r="AL932" i="11"/>
  <c r="AN932" i="11" s="1"/>
  <c r="AI932" i="11"/>
  <c r="AK932" i="11" s="1"/>
  <c r="AF932" i="11"/>
  <c r="AE932" i="11"/>
  <c r="AD932" i="11"/>
  <c r="K932" i="11"/>
  <c r="W932" i="11" s="1"/>
  <c r="Y932" i="11" s="1"/>
  <c r="J932" i="11"/>
  <c r="I932" i="11"/>
  <c r="H932" i="11"/>
  <c r="BL931" i="11"/>
  <c r="BN931" i="11" s="1"/>
  <c r="AZ931" i="11"/>
  <c r="AX931" i="11"/>
  <c r="AV931" i="11"/>
  <c r="AL931" i="11"/>
  <c r="AN931" i="11" s="1"/>
  <c r="AI931" i="11"/>
  <c r="AK931" i="11" s="1"/>
  <c r="AF931" i="11"/>
  <c r="AE931" i="11"/>
  <c r="AD931" i="11"/>
  <c r="K931" i="11"/>
  <c r="W931" i="11" s="1"/>
  <c r="Y931" i="11" s="1"/>
  <c r="J931" i="11"/>
  <c r="I931" i="11"/>
  <c r="H931" i="11"/>
  <c r="BL930" i="11"/>
  <c r="AZ930" i="11"/>
  <c r="AX930" i="11"/>
  <c r="AV930" i="11"/>
  <c r="AL930" i="11"/>
  <c r="AN930" i="11" s="1"/>
  <c r="AI930" i="11"/>
  <c r="AK930" i="11" s="1"/>
  <c r="AF930" i="11"/>
  <c r="AE930" i="11"/>
  <c r="AD930" i="11"/>
  <c r="K930" i="11"/>
  <c r="W930" i="11" s="1"/>
  <c r="Y930" i="11" s="1"/>
  <c r="J930" i="11"/>
  <c r="I930" i="11"/>
  <c r="H930" i="11"/>
  <c r="BL929" i="11"/>
  <c r="BN929" i="11" s="1"/>
  <c r="AZ929" i="11"/>
  <c r="AX929" i="11"/>
  <c r="AL929" i="11"/>
  <c r="AN929" i="11" s="1"/>
  <c r="AI929" i="11"/>
  <c r="AK929" i="11" s="1"/>
  <c r="AF929" i="11"/>
  <c r="AE929" i="11"/>
  <c r="AD929" i="11"/>
  <c r="K929" i="11"/>
  <c r="W929" i="11" s="1"/>
  <c r="Y929" i="11" s="1"/>
  <c r="J929" i="11"/>
  <c r="I929" i="11"/>
  <c r="H929" i="11"/>
  <c r="BL928" i="11"/>
  <c r="BN928" i="11" s="1"/>
  <c r="AZ928" i="11"/>
  <c r="AX928" i="11"/>
  <c r="AV928" i="11"/>
  <c r="AL928" i="11"/>
  <c r="AN928" i="11" s="1"/>
  <c r="AI928" i="11"/>
  <c r="AK928" i="11" s="1"/>
  <c r="AF928" i="11"/>
  <c r="AE928" i="11"/>
  <c r="AD928" i="11"/>
  <c r="K928" i="11"/>
  <c r="W928" i="11" s="1"/>
  <c r="Y928" i="11" s="1"/>
  <c r="J928" i="11"/>
  <c r="I928" i="11"/>
  <c r="H928" i="11"/>
  <c r="BL927" i="11"/>
  <c r="AZ927" i="11"/>
  <c r="AX927" i="11"/>
  <c r="AV927" i="11"/>
  <c r="AL927" i="11"/>
  <c r="AN927" i="11" s="1"/>
  <c r="AI927" i="11"/>
  <c r="AK927" i="11" s="1"/>
  <c r="AF927" i="11"/>
  <c r="AE927" i="11"/>
  <c r="AD927" i="11"/>
  <c r="K927" i="11"/>
  <c r="W927" i="11" s="1"/>
  <c r="Y927" i="11" s="1"/>
  <c r="J927" i="11"/>
  <c r="I927" i="11"/>
  <c r="H927" i="11"/>
  <c r="BL926" i="11"/>
  <c r="BN926" i="11" s="1"/>
  <c r="AZ926" i="11"/>
  <c r="AX926" i="11"/>
  <c r="AV926" i="11"/>
  <c r="AL926" i="11"/>
  <c r="AN926" i="11" s="1"/>
  <c r="AI926" i="11"/>
  <c r="AK926" i="11" s="1"/>
  <c r="AF926" i="11"/>
  <c r="AE926" i="11"/>
  <c r="AD926" i="11"/>
  <c r="K926" i="11"/>
  <c r="W926" i="11" s="1"/>
  <c r="Y926" i="11" s="1"/>
  <c r="J926" i="11"/>
  <c r="I926" i="11"/>
  <c r="H926" i="11"/>
  <c r="BL925" i="11"/>
  <c r="BN925" i="11" s="1"/>
  <c r="AZ925" i="11"/>
  <c r="AX925" i="11"/>
  <c r="AV925" i="11"/>
  <c r="AL925" i="11"/>
  <c r="AN925" i="11" s="1"/>
  <c r="AI925" i="11"/>
  <c r="AK925" i="11" s="1"/>
  <c r="AF925" i="11"/>
  <c r="AE925" i="11"/>
  <c r="AD925" i="11"/>
  <c r="K925" i="11"/>
  <c r="W925" i="11" s="1"/>
  <c r="Y925" i="11" s="1"/>
  <c r="J925" i="11"/>
  <c r="I925" i="11"/>
  <c r="H925" i="11"/>
  <c r="BL924" i="11"/>
  <c r="BN924" i="11" s="1"/>
  <c r="AZ924" i="11"/>
  <c r="AX924" i="11"/>
  <c r="AV924" i="11"/>
  <c r="AL924" i="11"/>
  <c r="AN924" i="11" s="1"/>
  <c r="AI924" i="11"/>
  <c r="AK924" i="11" s="1"/>
  <c r="AF924" i="11"/>
  <c r="AE924" i="11"/>
  <c r="AD924" i="11"/>
  <c r="K924" i="11"/>
  <c r="W924" i="11" s="1"/>
  <c r="Y924" i="11" s="1"/>
  <c r="J924" i="11"/>
  <c r="I924" i="11"/>
  <c r="H924" i="11"/>
  <c r="BL923" i="11"/>
  <c r="AZ923" i="11"/>
  <c r="AX923" i="11"/>
  <c r="AV923" i="11"/>
  <c r="AL923" i="11"/>
  <c r="AN923" i="11" s="1"/>
  <c r="AI923" i="11"/>
  <c r="AK923" i="11" s="1"/>
  <c r="AF923" i="11"/>
  <c r="AE923" i="11"/>
  <c r="AD923" i="11"/>
  <c r="K923" i="11"/>
  <c r="W923" i="11" s="1"/>
  <c r="Y923" i="11" s="1"/>
  <c r="J923" i="11"/>
  <c r="I923" i="11"/>
  <c r="H923" i="11"/>
  <c r="BL922" i="11"/>
  <c r="BN922" i="11" s="1"/>
  <c r="AZ922" i="11"/>
  <c r="AX922" i="11"/>
  <c r="AV922" i="11"/>
  <c r="AL922" i="11"/>
  <c r="AN922" i="11" s="1"/>
  <c r="AI922" i="11"/>
  <c r="AK922" i="11" s="1"/>
  <c r="AF922" i="11"/>
  <c r="AE922" i="11"/>
  <c r="AD922" i="11"/>
  <c r="K922" i="11"/>
  <c r="W922" i="11" s="1"/>
  <c r="Y922" i="11" s="1"/>
  <c r="J922" i="11"/>
  <c r="I922" i="11"/>
  <c r="H922" i="11"/>
  <c r="BL921" i="11"/>
  <c r="AZ921" i="11"/>
  <c r="AX921" i="11"/>
  <c r="AV921" i="11"/>
  <c r="AL921" i="11"/>
  <c r="AN921" i="11" s="1"/>
  <c r="AI921" i="11"/>
  <c r="AK921" i="11" s="1"/>
  <c r="AF921" i="11"/>
  <c r="AE921" i="11"/>
  <c r="AD921" i="11"/>
  <c r="K921" i="11"/>
  <c r="W921" i="11" s="1"/>
  <c r="Y921" i="11" s="1"/>
  <c r="J921" i="11"/>
  <c r="I921" i="11"/>
  <c r="H921" i="11"/>
  <c r="BL920" i="11"/>
  <c r="BN920" i="11" s="1"/>
  <c r="AZ920" i="11"/>
  <c r="AX920" i="11"/>
  <c r="AV920" i="11"/>
  <c r="AL920" i="11"/>
  <c r="AN920" i="11" s="1"/>
  <c r="AI920" i="11"/>
  <c r="AK920" i="11" s="1"/>
  <c r="AF920" i="11"/>
  <c r="AE920" i="11"/>
  <c r="AD920" i="11"/>
  <c r="K920" i="11"/>
  <c r="W920" i="11" s="1"/>
  <c r="Y920" i="11" s="1"/>
  <c r="J920" i="11"/>
  <c r="I920" i="11"/>
  <c r="H920" i="11"/>
  <c r="BL919" i="11"/>
  <c r="AZ919" i="11"/>
  <c r="AX919" i="11"/>
  <c r="AV919" i="11"/>
  <c r="AL919" i="11"/>
  <c r="AN919" i="11" s="1"/>
  <c r="AI919" i="11"/>
  <c r="AK919" i="11" s="1"/>
  <c r="AF919" i="11"/>
  <c r="AE919" i="11"/>
  <c r="AD919" i="11"/>
  <c r="K919" i="11"/>
  <c r="W919" i="11" s="1"/>
  <c r="Y919" i="11" s="1"/>
  <c r="J919" i="11"/>
  <c r="I919" i="11"/>
  <c r="H919" i="11"/>
  <c r="BL918" i="11"/>
  <c r="AZ918" i="11"/>
  <c r="AX918" i="11"/>
  <c r="AV918" i="11"/>
  <c r="AL918" i="11"/>
  <c r="AN918" i="11" s="1"/>
  <c r="AI918" i="11"/>
  <c r="AK918" i="11" s="1"/>
  <c r="AF918" i="11"/>
  <c r="AE918" i="11"/>
  <c r="AD918" i="11"/>
  <c r="K918" i="11"/>
  <c r="W918" i="11" s="1"/>
  <c r="Y918" i="11" s="1"/>
  <c r="J918" i="11"/>
  <c r="I918" i="11"/>
  <c r="H918" i="11"/>
  <c r="BL917" i="11"/>
  <c r="AZ917" i="11"/>
  <c r="AX917" i="11"/>
  <c r="AV917" i="11"/>
  <c r="AL917" i="11"/>
  <c r="AN917" i="11" s="1"/>
  <c r="AI917" i="11"/>
  <c r="AK917" i="11" s="1"/>
  <c r="AF917" i="11"/>
  <c r="AE917" i="11"/>
  <c r="AD917" i="11"/>
  <c r="K917" i="11"/>
  <c r="W917" i="11" s="1"/>
  <c r="Y917" i="11" s="1"/>
  <c r="J917" i="11"/>
  <c r="I917" i="11"/>
  <c r="H917" i="11"/>
  <c r="BL916" i="11"/>
  <c r="BN916" i="11" s="1"/>
  <c r="AZ916" i="11"/>
  <c r="AX916" i="11"/>
  <c r="AV916" i="11"/>
  <c r="AL916" i="11"/>
  <c r="AN916" i="11" s="1"/>
  <c r="AI916" i="11"/>
  <c r="AK916" i="11" s="1"/>
  <c r="AF916" i="11"/>
  <c r="AE916" i="11"/>
  <c r="AD916" i="11"/>
  <c r="K916" i="11"/>
  <c r="W916" i="11" s="1"/>
  <c r="Y916" i="11" s="1"/>
  <c r="J916" i="11"/>
  <c r="I916" i="11"/>
  <c r="H916" i="11"/>
  <c r="BL915" i="11"/>
  <c r="AZ915" i="11"/>
  <c r="AX915" i="11"/>
  <c r="AV915" i="11"/>
  <c r="AL915" i="11"/>
  <c r="AN915" i="11" s="1"/>
  <c r="AI915" i="11"/>
  <c r="AK915" i="11" s="1"/>
  <c r="AF915" i="11"/>
  <c r="AE915" i="11"/>
  <c r="AD915" i="11"/>
  <c r="K915" i="11"/>
  <c r="W915" i="11" s="1"/>
  <c r="Y915" i="11" s="1"/>
  <c r="J915" i="11"/>
  <c r="I915" i="11"/>
  <c r="H915" i="11"/>
  <c r="BL914" i="11"/>
  <c r="BN914" i="11" s="1"/>
  <c r="AZ914" i="11"/>
  <c r="AX914" i="11"/>
  <c r="AV914" i="11"/>
  <c r="AL914" i="11"/>
  <c r="AN914" i="11" s="1"/>
  <c r="AI914" i="11"/>
  <c r="AK914" i="11" s="1"/>
  <c r="AF914" i="11"/>
  <c r="AE914" i="11"/>
  <c r="AD914" i="11"/>
  <c r="K914" i="11"/>
  <c r="W914" i="11" s="1"/>
  <c r="Y914" i="11" s="1"/>
  <c r="J914" i="11"/>
  <c r="I914" i="11"/>
  <c r="H914" i="11"/>
  <c r="BL913" i="11"/>
  <c r="BN913" i="11" s="1"/>
  <c r="AZ913" i="11"/>
  <c r="AX913" i="11"/>
  <c r="AV913" i="11"/>
  <c r="AL913" i="11"/>
  <c r="AN913" i="11" s="1"/>
  <c r="AI913" i="11"/>
  <c r="AK913" i="11" s="1"/>
  <c r="AF913" i="11"/>
  <c r="AE913" i="11"/>
  <c r="AD913" i="11"/>
  <c r="K913" i="11"/>
  <c r="W913" i="11" s="1"/>
  <c r="Y913" i="11" s="1"/>
  <c r="J913" i="11"/>
  <c r="I913" i="11"/>
  <c r="H913" i="11"/>
  <c r="BL912" i="11"/>
  <c r="BN912" i="11" s="1"/>
  <c r="AZ912" i="11"/>
  <c r="AX912" i="11"/>
  <c r="AV912" i="11"/>
  <c r="AL912" i="11"/>
  <c r="AN912" i="11" s="1"/>
  <c r="AI912" i="11"/>
  <c r="AK912" i="11" s="1"/>
  <c r="AF912" i="11"/>
  <c r="AE912" i="11"/>
  <c r="AD912" i="11"/>
  <c r="K912" i="11"/>
  <c r="W912" i="11" s="1"/>
  <c r="Y912" i="11" s="1"/>
  <c r="J912" i="11"/>
  <c r="I912" i="11"/>
  <c r="H912" i="11"/>
  <c r="BL911" i="11"/>
  <c r="BN911" i="11" s="1"/>
  <c r="AZ911" i="11"/>
  <c r="AX911" i="11"/>
  <c r="AV911" i="11"/>
  <c r="AL911" i="11"/>
  <c r="AN911" i="11" s="1"/>
  <c r="AI911" i="11"/>
  <c r="AK911" i="11" s="1"/>
  <c r="AF911" i="11"/>
  <c r="AE911" i="11"/>
  <c r="AD911" i="11"/>
  <c r="K911" i="11"/>
  <c r="W911" i="11" s="1"/>
  <c r="Y911" i="11" s="1"/>
  <c r="J911" i="11"/>
  <c r="I911" i="11"/>
  <c r="H911" i="11"/>
  <c r="BL910" i="11"/>
  <c r="BN910" i="11" s="1"/>
  <c r="AZ910" i="11"/>
  <c r="AX910" i="11"/>
  <c r="AV910" i="11"/>
  <c r="AL910" i="11"/>
  <c r="AN910" i="11" s="1"/>
  <c r="AI910" i="11"/>
  <c r="AK910" i="11" s="1"/>
  <c r="AF910" i="11"/>
  <c r="AE910" i="11"/>
  <c r="AD910" i="11"/>
  <c r="K910" i="11"/>
  <c r="W910" i="11" s="1"/>
  <c r="Y910" i="11" s="1"/>
  <c r="J910" i="11"/>
  <c r="I910" i="11"/>
  <c r="H910" i="11"/>
  <c r="BL909" i="11"/>
  <c r="BN909" i="11" s="1"/>
  <c r="AZ909" i="11"/>
  <c r="AX909" i="11"/>
  <c r="AV909" i="11"/>
  <c r="AL909" i="11"/>
  <c r="AN909" i="11" s="1"/>
  <c r="AI909" i="11"/>
  <c r="AK909" i="11" s="1"/>
  <c r="AF909" i="11"/>
  <c r="AE909" i="11"/>
  <c r="AD909" i="11"/>
  <c r="K909" i="11"/>
  <c r="W909" i="11" s="1"/>
  <c r="Y909" i="11" s="1"/>
  <c r="J909" i="11"/>
  <c r="I909" i="11"/>
  <c r="H909" i="11"/>
  <c r="BL908" i="11"/>
  <c r="AZ908" i="11"/>
  <c r="AX908" i="11"/>
  <c r="AV908" i="11"/>
  <c r="AL908" i="11"/>
  <c r="AN908" i="11" s="1"/>
  <c r="AI908" i="11"/>
  <c r="AK908" i="11" s="1"/>
  <c r="AF908" i="11"/>
  <c r="AE908" i="11"/>
  <c r="AD908" i="11"/>
  <c r="K908" i="11"/>
  <c r="W908" i="11" s="1"/>
  <c r="Y908" i="11" s="1"/>
  <c r="J908" i="11"/>
  <c r="I908" i="11"/>
  <c r="H908" i="11"/>
  <c r="BG907" i="11"/>
  <c r="BE907" i="11"/>
  <c r="BF907" i="11" s="1"/>
  <c r="AF907" i="11"/>
  <c r="AE907" i="11"/>
  <c r="AD907" i="11"/>
  <c r="K907" i="11"/>
  <c r="W907" i="11" s="1"/>
  <c r="Y907" i="11" s="1"/>
  <c r="J907" i="11"/>
  <c r="I907" i="11"/>
  <c r="H907" i="11"/>
  <c r="BG906" i="11"/>
  <c r="BE906" i="11"/>
  <c r="BF906" i="11" s="1"/>
  <c r="AF906" i="11"/>
  <c r="AE906" i="11"/>
  <c r="AD906" i="11"/>
  <c r="K906" i="11"/>
  <c r="W906" i="11" s="1"/>
  <c r="Y906" i="11" s="1"/>
  <c r="J906" i="11"/>
  <c r="I906" i="11"/>
  <c r="H906" i="11"/>
  <c r="BG905" i="11"/>
  <c r="BE905" i="11"/>
  <c r="BF905" i="11" s="1"/>
  <c r="AF905" i="11"/>
  <c r="AE905" i="11"/>
  <c r="AD905" i="11"/>
  <c r="K905" i="11"/>
  <c r="W905" i="11" s="1"/>
  <c r="Y905" i="11" s="1"/>
  <c r="J905" i="11"/>
  <c r="I905" i="11"/>
  <c r="H905" i="11"/>
  <c r="BG904" i="11"/>
  <c r="BE904" i="11"/>
  <c r="BF904" i="11" s="1"/>
  <c r="AF904" i="11"/>
  <c r="AE904" i="11"/>
  <c r="AD904" i="11"/>
  <c r="K904" i="11"/>
  <c r="W904" i="11" s="1"/>
  <c r="Y904" i="11" s="1"/>
  <c r="J904" i="11"/>
  <c r="I904" i="11"/>
  <c r="H904" i="11"/>
  <c r="BG903" i="11"/>
  <c r="BE903" i="11"/>
  <c r="BF903" i="11" s="1"/>
  <c r="AF903" i="11"/>
  <c r="AE903" i="11"/>
  <c r="AD903" i="11"/>
  <c r="K903" i="11"/>
  <c r="W903" i="11" s="1"/>
  <c r="Y903" i="11" s="1"/>
  <c r="J903" i="11"/>
  <c r="I903" i="11"/>
  <c r="H903" i="11"/>
  <c r="BG902" i="11"/>
  <c r="BE902" i="11"/>
  <c r="BF902" i="11" s="1"/>
  <c r="AF902" i="11"/>
  <c r="AE902" i="11"/>
  <c r="AD902" i="11"/>
  <c r="K902" i="11"/>
  <c r="W902" i="11" s="1"/>
  <c r="Y902" i="11" s="1"/>
  <c r="J902" i="11"/>
  <c r="I902" i="11"/>
  <c r="H902" i="11"/>
  <c r="BG901" i="11"/>
  <c r="BE901" i="11"/>
  <c r="BF901" i="11" s="1"/>
  <c r="AF901" i="11"/>
  <c r="AE901" i="11"/>
  <c r="AD901" i="11"/>
  <c r="K901" i="11"/>
  <c r="W901" i="11" s="1"/>
  <c r="Y901" i="11" s="1"/>
  <c r="J901" i="11"/>
  <c r="I901" i="11"/>
  <c r="H901" i="11"/>
  <c r="BG900" i="11"/>
  <c r="BE900" i="11"/>
  <c r="BF900" i="11" s="1"/>
  <c r="AF900" i="11"/>
  <c r="AE900" i="11"/>
  <c r="AD900" i="11"/>
  <c r="K900" i="11"/>
  <c r="W900" i="11" s="1"/>
  <c r="Y900" i="11" s="1"/>
  <c r="J900" i="11"/>
  <c r="I900" i="11"/>
  <c r="H900" i="11"/>
  <c r="BG899" i="11"/>
  <c r="BE899" i="11"/>
  <c r="BF899" i="11" s="1"/>
  <c r="AF899" i="11"/>
  <c r="AE899" i="11"/>
  <c r="AD899" i="11"/>
  <c r="K899" i="11"/>
  <c r="W899" i="11" s="1"/>
  <c r="Y899" i="11" s="1"/>
  <c r="J899" i="11"/>
  <c r="I899" i="11"/>
  <c r="H899" i="11"/>
  <c r="BG898" i="11"/>
  <c r="BE898" i="11"/>
  <c r="BF898" i="11" s="1"/>
  <c r="AF898" i="11"/>
  <c r="AE898" i="11"/>
  <c r="AD898" i="11"/>
  <c r="K898" i="11"/>
  <c r="W898" i="11" s="1"/>
  <c r="Y898" i="11" s="1"/>
  <c r="J898" i="11"/>
  <c r="I898" i="11"/>
  <c r="H898" i="11"/>
  <c r="BG891" i="11"/>
  <c r="AZ891" i="11"/>
  <c r="AX891" i="11"/>
  <c r="AF891" i="11"/>
  <c r="AE891" i="11"/>
  <c r="AD891" i="11"/>
  <c r="K891" i="11"/>
  <c r="W891" i="11" s="1"/>
  <c r="Y891" i="11" s="1"/>
  <c r="J891" i="11"/>
  <c r="I891" i="11"/>
  <c r="H891" i="11"/>
  <c r="BG890" i="11"/>
  <c r="AZ890" i="11"/>
  <c r="AX890" i="11"/>
  <c r="AF890" i="11"/>
  <c r="AE890" i="11"/>
  <c r="AD890" i="11"/>
  <c r="K890" i="11"/>
  <c r="W890" i="11" s="1"/>
  <c r="Y890" i="11" s="1"/>
  <c r="J890" i="11"/>
  <c r="I890" i="11"/>
  <c r="H890" i="11"/>
  <c r="BD889" i="11"/>
  <c r="BG889" i="11" s="1"/>
  <c r="AZ889" i="11"/>
  <c r="AX889" i="11"/>
  <c r="AF889" i="11"/>
  <c r="AE889" i="11"/>
  <c r="AD889" i="11"/>
  <c r="K889" i="11"/>
  <c r="W889" i="11" s="1"/>
  <c r="Y889" i="11" s="1"/>
  <c r="J889" i="11"/>
  <c r="I889" i="11"/>
  <c r="H889" i="11"/>
  <c r="AX888" i="11"/>
  <c r="AL888" i="11"/>
  <c r="AN888" i="11" s="1"/>
  <c r="AI888" i="11"/>
  <c r="AK888" i="11" s="1"/>
  <c r="AF888" i="11"/>
  <c r="AE888" i="11"/>
  <c r="AD888" i="11"/>
  <c r="K888" i="11"/>
  <c r="J888" i="11"/>
  <c r="I888" i="11"/>
  <c r="H888" i="11"/>
  <c r="AX887" i="11"/>
  <c r="AL887" i="11"/>
  <c r="AM887" i="11" s="1"/>
  <c r="AI887" i="11"/>
  <c r="AF887" i="11"/>
  <c r="AE887" i="11"/>
  <c r="AD887" i="11"/>
  <c r="K887" i="11"/>
  <c r="J887" i="11"/>
  <c r="I887" i="11"/>
  <c r="H887" i="11"/>
  <c r="AX886" i="11"/>
  <c r="AL886" i="11"/>
  <c r="AM886" i="11" s="1"/>
  <c r="AI886" i="11"/>
  <c r="AK886" i="11" s="1"/>
  <c r="AF886" i="11"/>
  <c r="AE886" i="11"/>
  <c r="AD886" i="11"/>
  <c r="K886" i="11"/>
  <c r="J886" i="11"/>
  <c r="I886" i="11"/>
  <c r="H886" i="11"/>
  <c r="BG884" i="11"/>
  <c r="AZ884" i="11"/>
  <c r="AX884" i="11"/>
  <c r="AF884" i="11"/>
  <c r="AE884" i="11"/>
  <c r="AD884" i="11"/>
  <c r="K884" i="11"/>
  <c r="W884" i="11" s="1"/>
  <c r="Y884" i="11" s="1"/>
  <c r="J884" i="11"/>
  <c r="I884" i="11"/>
  <c r="H884" i="11"/>
  <c r="AZ883" i="11"/>
  <c r="AX883" i="11"/>
  <c r="AF883" i="11"/>
  <c r="AE883" i="11"/>
  <c r="AD883" i="11"/>
  <c r="K883" i="11"/>
  <c r="W883" i="11" s="1"/>
  <c r="Y883" i="11" s="1"/>
  <c r="J883" i="11"/>
  <c r="I883" i="11"/>
  <c r="H883" i="11"/>
  <c r="AZ882" i="11"/>
  <c r="AX882" i="11"/>
  <c r="AF882" i="11"/>
  <c r="AE882" i="11"/>
  <c r="AD882" i="11"/>
  <c r="K882" i="11"/>
  <c r="W882" i="11" s="1"/>
  <c r="Y882" i="11" s="1"/>
  <c r="J882" i="11"/>
  <c r="I882" i="11"/>
  <c r="H882" i="11"/>
  <c r="AZ881" i="11"/>
  <c r="AX881" i="11"/>
  <c r="AF881" i="11"/>
  <c r="AE881" i="11"/>
  <c r="AD881" i="11"/>
  <c r="K881" i="11"/>
  <c r="W881" i="11" s="1"/>
  <c r="Y881" i="11" s="1"/>
  <c r="J881" i="11"/>
  <c r="I881" i="11"/>
  <c r="H881" i="11"/>
  <c r="AZ880" i="11"/>
  <c r="AX880" i="11"/>
  <c r="AF880" i="11"/>
  <c r="AE880" i="11"/>
  <c r="AD880" i="11"/>
  <c r="K880" i="11"/>
  <c r="W880" i="11" s="1"/>
  <c r="Y880" i="11" s="1"/>
  <c r="J880" i="11"/>
  <c r="I880" i="11"/>
  <c r="H880" i="11"/>
  <c r="AZ879" i="11"/>
  <c r="AX879" i="11"/>
  <c r="AF879" i="11"/>
  <c r="AE879" i="11"/>
  <c r="AD879" i="11"/>
  <c r="K879" i="11"/>
  <c r="W879" i="11" s="1"/>
  <c r="Y879" i="11" s="1"/>
  <c r="J879" i="11"/>
  <c r="I879" i="11"/>
  <c r="H879" i="11"/>
  <c r="BG867" i="11"/>
  <c r="AX867" i="11"/>
  <c r="AV867" i="11"/>
  <c r="AF867" i="11"/>
  <c r="AE867" i="11"/>
  <c r="AD867" i="11"/>
  <c r="K867" i="11"/>
  <c r="W867" i="11" s="1"/>
  <c r="Y867" i="11" s="1"/>
  <c r="J867" i="11"/>
  <c r="I867" i="11"/>
  <c r="H867" i="11"/>
  <c r="BG866" i="11"/>
  <c r="AX866" i="11"/>
  <c r="AV866" i="11"/>
  <c r="AF866" i="11"/>
  <c r="AE866" i="11"/>
  <c r="AD866" i="11"/>
  <c r="K866" i="11"/>
  <c r="W866" i="11" s="1"/>
  <c r="Y866" i="11" s="1"/>
  <c r="J866" i="11"/>
  <c r="I866" i="11"/>
  <c r="H866" i="11"/>
  <c r="BG865" i="11"/>
  <c r="AX865" i="11"/>
  <c r="AV865" i="11"/>
  <c r="AF865" i="11"/>
  <c r="AE865" i="11"/>
  <c r="AD865" i="11"/>
  <c r="K865" i="11"/>
  <c r="W865" i="11" s="1"/>
  <c r="Y865" i="11" s="1"/>
  <c r="J865" i="11"/>
  <c r="I865" i="11"/>
  <c r="H865" i="11"/>
  <c r="AX864" i="11"/>
  <c r="AF864" i="11"/>
  <c r="AE864" i="11"/>
  <c r="AD864" i="11"/>
  <c r="K864" i="11"/>
  <c r="W864" i="11" s="1"/>
  <c r="Y864" i="11" s="1"/>
  <c r="J864" i="11"/>
  <c r="I864" i="11"/>
  <c r="H864" i="11"/>
  <c r="BG863" i="11"/>
  <c r="AZ863" i="11"/>
  <c r="AX863" i="11"/>
  <c r="AF863" i="11"/>
  <c r="AE863" i="11"/>
  <c r="AD863" i="11"/>
  <c r="K863" i="11"/>
  <c r="W863" i="11" s="1"/>
  <c r="Y863" i="11" s="1"/>
  <c r="J863" i="11"/>
  <c r="I863" i="11"/>
  <c r="H863" i="11"/>
  <c r="BG862" i="11"/>
  <c r="AZ862" i="11"/>
  <c r="AX862" i="11"/>
  <c r="AF862" i="11"/>
  <c r="AE862" i="11"/>
  <c r="AD862" i="11"/>
  <c r="K862" i="11"/>
  <c r="W862" i="11" s="1"/>
  <c r="Y862" i="11" s="1"/>
  <c r="J862" i="11"/>
  <c r="I862" i="11"/>
  <c r="H862" i="11"/>
  <c r="BG861" i="11"/>
  <c r="AZ861" i="11"/>
  <c r="AX861" i="11"/>
  <c r="AF861" i="11"/>
  <c r="AE861" i="11"/>
  <c r="AD861" i="11"/>
  <c r="K861" i="11"/>
  <c r="W861" i="11" s="1"/>
  <c r="Y861" i="11" s="1"/>
  <c r="J861" i="11"/>
  <c r="I861" i="11"/>
  <c r="H861" i="11"/>
  <c r="BG860" i="11"/>
  <c r="AZ860" i="11"/>
  <c r="AX860" i="11"/>
  <c r="AF860" i="11"/>
  <c r="AE860" i="11"/>
  <c r="AD860" i="11"/>
  <c r="K860" i="11"/>
  <c r="W860" i="11" s="1"/>
  <c r="Y860" i="11" s="1"/>
  <c r="J860" i="11"/>
  <c r="I860" i="11"/>
  <c r="H860" i="11"/>
  <c r="BG859" i="11"/>
  <c r="AZ859" i="11"/>
  <c r="AX859" i="11"/>
  <c r="AF859" i="11"/>
  <c r="AE859" i="11"/>
  <c r="AD859" i="11"/>
  <c r="K859" i="11"/>
  <c r="W859" i="11" s="1"/>
  <c r="Y859" i="11" s="1"/>
  <c r="J859" i="11"/>
  <c r="I859" i="11"/>
  <c r="H859" i="11"/>
  <c r="BG858" i="11"/>
  <c r="AZ858" i="11"/>
  <c r="AX858" i="11"/>
  <c r="AF858" i="11"/>
  <c r="AE858" i="11"/>
  <c r="AD858" i="11"/>
  <c r="K858" i="11"/>
  <c r="W858" i="11" s="1"/>
  <c r="Y858" i="11" s="1"/>
  <c r="J858" i="11"/>
  <c r="I858" i="11"/>
  <c r="H858" i="11"/>
  <c r="BG857" i="11"/>
  <c r="AZ857" i="11"/>
  <c r="AX857" i="11"/>
  <c r="AF857" i="11"/>
  <c r="AE857" i="11"/>
  <c r="AD857" i="11"/>
  <c r="K857" i="11"/>
  <c r="W857" i="11" s="1"/>
  <c r="Y857" i="11" s="1"/>
  <c r="J857" i="11"/>
  <c r="I857" i="11"/>
  <c r="H857" i="11"/>
  <c r="BG856" i="11"/>
  <c r="AZ856" i="11"/>
  <c r="AX856" i="11"/>
  <c r="AF856" i="11"/>
  <c r="AE856" i="11"/>
  <c r="AD856" i="11"/>
  <c r="K856" i="11"/>
  <c r="W856" i="11" s="1"/>
  <c r="Y856" i="11" s="1"/>
  <c r="J856" i="11"/>
  <c r="I856" i="11"/>
  <c r="H856" i="11"/>
  <c r="BG855" i="11"/>
  <c r="AZ855" i="11"/>
  <c r="AX855" i="11"/>
  <c r="AF855" i="11"/>
  <c r="AE855" i="11"/>
  <c r="AD855" i="11"/>
  <c r="K855" i="11"/>
  <c r="W855" i="11" s="1"/>
  <c r="Y855" i="11" s="1"/>
  <c r="J855" i="11"/>
  <c r="I855" i="11"/>
  <c r="H855" i="11"/>
  <c r="BG854" i="11"/>
  <c r="AZ854" i="11"/>
  <c r="AX854" i="11"/>
  <c r="AF854" i="11"/>
  <c r="AE854" i="11"/>
  <c r="AD854" i="11"/>
  <c r="K854" i="11"/>
  <c r="W854" i="11" s="1"/>
  <c r="Y854" i="11" s="1"/>
  <c r="J854" i="11"/>
  <c r="I854" i="11"/>
  <c r="H854" i="11"/>
  <c r="BG853" i="11"/>
  <c r="AZ853" i="11"/>
  <c r="AX853" i="11"/>
  <c r="AF853" i="11"/>
  <c r="AE853" i="11"/>
  <c r="AD853" i="11"/>
  <c r="K853" i="11"/>
  <c r="W853" i="11" s="1"/>
  <c r="Y853" i="11" s="1"/>
  <c r="J853" i="11"/>
  <c r="I853" i="11"/>
  <c r="H853" i="11"/>
  <c r="BG852" i="11"/>
  <c r="AZ852" i="11"/>
  <c r="AX852" i="11"/>
  <c r="AF852" i="11"/>
  <c r="AE852" i="11"/>
  <c r="AD852" i="11"/>
  <c r="K852" i="11"/>
  <c r="W852" i="11" s="1"/>
  <c r="Y852" i="11" s="1"/>
  <c r="J852" i="11"/>
  <c r="I852" i="11"/>
  <c r="H852" i="11"/>
  <c r="BG851" i="11"/>
  <c r="AZ851" i="11"/>
  <c r="AX851" i="11"/>
  <c r="AF851" i="11"/>
  <c r="AE851" i="11"/>
  <c r="AD851" i="11"/>
  <c r="K851" i="11"/>
  <c r="W851" i="11" s="1"/>
  <c r="Y851" i="11" s="1"/>
  <c r="J851" i="11"/>
  <c r="I851" i="11"/>
  <c r="H851" i="11"/>
  <c r="BG850" i="11"/>
  <c r="AZ850" i="11"/>
  <c r="AX850" i="11"/>
  <c r="AF850" i="11"/>
  <c r="AE850" i="11"/>
  <c r="AD850" i="11"/>
  <c r="K850" i="11"/>
  <c r="W850" i="11" s="1"/>
  <c r="Y850" i="11" s="1"/>
  <c r="J850" i="11"/>
  <c r="I850" i="11"/>
  <c r="H850" i="11"/>
  <c r="BG849" i="11"/>
  <c r="AZ849" i="11"/>
  <c r="AX849" i="11"/>
  <c r="AF849" i="11"/>
  <c r="AE849" i="11"/>
  <c r="AD849" i="11"/>
  <c r="K849" i="11"/>
  <c r="W849" i="11" s="1"/>
  <c r="Y849" i="11" s="1"/>
  <c r="J849" i="11"/>
  <c r="I849" i="11"/>
  <c r="H849" i="11"/>
  <c r="BG848" i="11"/>
  <c r="AZ848" i="11"/>
  <c r="AX848" i="11"/>
  <c r="AF848" i="11"/>
  <c r="AE848" i="11"/>
  <c r="AD848" i="11"/>
  <c r="K848" i="11"/>
  <c r="W848" i="11" s="1"/>
  <c r="Y848" i="11" s="1"/>
  <c r="J848" i="11"/>
  <c r="I848" i="11"/>
  <c r="H848" i="11"/>
  <c r="BG847" i="11"/>
  <c r="AZ847" i="11"/>
  <c r="AX847" i="11"/>
  <c r="AF847" i="11"/>
  <c r="AE847" i="11"/>
  <c r="AD847" i="11"/>
  <c r="K847" i="11"/>
  <c r="W847" i="11" s="1"/>
  <c r="Y847" i="11" s="1"/>
  <c r="J847" i="11"/>
  <c r="I847" i="11"/>
  <c r="H847" i="11"/>
  <c r="BG846" i="11"/>
  <c r="AZ846" i="11"/>
  <c r="AX846" i="11"/>
  <c r="AF846" i="11"/>
  <c r="AE846" i="11"/>
  <c r="AD846" i="11"/>
  <c r="K846" i="11"/>
  <c r="W846" i="11" s="1"/>
  <c r="Y846" i="11" s="1"/>
  <c r="J846" i="11"/>
  <c r="I846" i="11"/>
  <c r="H846" i="11"/>
  <c r="BG845" i="11"/>
  <c r="AZ845" i="11"/>
  <c r="AX845" i="11"/>
  <c r="AF845" i="11"/>
  <c r="AE845" i="11"/>
  <c r="AD845" i="11"/>
  <c r="K845" i="11"/>
  <c r="W845" i="11" s="1"/>
  <c r="Y845" i="11" s="1"/>
  <c r="J845" i="11"/>
  <c r="I845" i="11"/>
  <c r="H845" i="11"/>
  <c r="BG844" i="11"/>
  <c r="AZ844" i="11"/>
  <c r="AW844" i="11"/>
  <c r="AF844" i="11"/>
  <c r="AE844" i="11"/>
  <c r="AD844" i="11"/>
  <c r="K844" i="11"/>
  <c r="W844" i="11" s="1"/>
  <c r="Y844" i="11" s="1"/>
  <c r="J844" i="11"/>
  <c r="I844" i="11"/>
  <c r="H844" i="11"/>
  <c r="BG843" i="11"/>
  <c r="AZ843" i="11"/>
  <c r="AX843" i="11"/>
  <c r="AF843" i="11"/>
  <c r="AE843" i="11"/>
  <c r="AD843" i="11"/>
  <c r="K843" i="11"/>
  <c r="W843" i="11" s="1"/>
  <c r="Y843" i="11" s="1"/>
  <c r="J843" i="11"/>
  <c r="I843" i="11"/>
  <c r="H843" i="11"/>
  <c r="BG842" i="11"/>
  <c r="AZ842" i="11"/>
  <c r="AX842" i="11"/>
  <c r="AF842" i="11"/>
  <c r="AE842" i="11"/>
  <c r="AD842" i="11"/>
  <c r="K842" i="11"/>
  <c r="W842" i="11" s="1"/>
  <c r="Y842" i="11" s="1"/>
  <c r="J842" i="11"/>
  <c r="I842" i="11"/>
  <c r="H842" i="11"/>
  <c r="BD841" i="11"/>
  <c r="BG841" i="11" s="1"/>
  <c r="AZ841" i="11"/>
  <c r="AX841" i="11"/>
  <c r="AF841" i="11"/>
  <c r="AE841" i="11"/>
  <c r="AD841" i="11"/>
  <c r="K841" i="11"/>
  <c r="W841" i="11" s="1"/>
  <c r="Y841" i="11" s="1"/>
  <c r="J841" i="11"/>
  <c r="I841" i="11"/>
  <c r="H841" i="11"/>
  <c r="AZ840" i="11"/>
  <c r="AX840" i="11"/>
  <c r="AV840" i="11"/>
  <c r="AN840" i="11"/>
  <c r="AM840" i="11"/>
  <c r="AK840" i="11"/>
  <c r="AJ840" i="11"/>
  <c r="AF840" i="11"/>
  <c r="AE840" i="11"/>
  <c r="AD840" i="11"/>
  <c r="K840" i="11"/>
  <c r="W840" i="11" s="1"/>
  <c r="Y840" i="11" s="1"/>
  <c r="J840" i="11"/>
  <c r="I840" i="11"/>
  <c r="H840" i="11"/>
  <c r="AZ839" i="11"/>
  <c r="AX839" i="11"/>
  <c r="AV839" i="11"/>
  <c r="AN839" i="11"/>
  <c r="AM839" i="11"/>
  <c r="AK839" i="11"/>
  <c r="AJ839" i="11"/>
  <c r="AF839" i="11"/>
  <c r="AE839" i="11"/>
  <c r="AD839" i="11"/>
  <c r="K839" i="11"/>
  <c r="W839" i="11" s="1"/>
  <c r="Y839" i="11" s="1"/>
  <c r="J839" i="11"/>
  <c r="I839" i="11"/>
  <c r="H839" i="11"/>
  <c r="BG838" i="11"/>
  <c r="AZ838" i="11"/>
  <c r="AX838" i="11"/>
  <c r="AF838" i="11"/>
  <c r="AE838" i="11"/>
  <c r="AD838" i="11"/>
  <c r="K838" i="11"/>
  <c r="W838" i="11" s="1"/>
  <c r="Y838" i="11" s="1"/>
  <c r="J838" i="11"/>
  <c r="I838" i="11"/>
  <c r="H838" i="11"/>
  <c r="BD837" i="11"/>
  <c r="BG837" i="11" s="1"/>
  <c r="AZ837" i="11"/>
  <c r="AW837" i="11"/>
  <c r="AF837" i="11"/>
  <c r="AE837" i="11"/>
  <c r="AD837" i="11"/>
  <c r="K837" i="11"/>
  <c r="W837" i="11" s="1"/>
  <c r="Y837" i="11" s="1"/>
  <c r="J837" i="11"/>
  <c r="I837" i="11"/>
  <c r="H837" i="11"/>
  <c r="BG836" i="11"/>
  <c r="AZ836" i="11"/>
  <c r="AX836" i="11"/>
  <c r="AV836" i="11"/>
  <c r="AL836" i="11"/>
  <c r="AI836" i="11"/>
  <c r="AJ836" i="11" s="1"/>
  <c r="AF836" i="11"/>
  <c r="AE836" i="11"/>
  <c r="AD836" i="11"/>
  <c r="K836" i="11"/>
  <c r="W836" i="11" s="1"/>
  <c r="Y836" i="11" s="1"/>
  <c r="J836" i="11"/>
  <c r="I836" i="11"/>
  <c r="H836" i="11"/>
  <c r="BG835" i="11"/>
  <c r="AZ835" i="11"/>
  <c r="AX835" i="11"/>
  <c r="AV835" i="11"/>
  <c r="AL835" i="11"/>
  <c r="AN835" i="11" s="1"/>
  <c r="AI835" i="11"/>
  <c r="AK835" i="11" s="1"/>
  <c r="AF835" i="11"/>
  <c r="AE835" i="11"/>
  <c r="AD835" i="11"/>
  <c r="K835" i="11"/>
  <c r="W835" i="11" s="1"/>
  <c r="Y835" i="11" s="1"/>
  <c r="J835" i="11"/>
  <c r="I835" i="11"/>
  <c r="H835" i="11"/>
  <c r="BG834" i="11"/>
  <c r="AZ834" i="11"/>
  <c r="AX834" i="11"/>
  <c r="AV834" i="11"/>
  <c r="AL834" i="11"/>
  <c r="AM834" i="11" s="1"/>
  <c r="AI834" i="11"/>
  <c r="AJ834" i="11" s="1"/>
  <c r="AF834" i="11"/>
  <c r="AE834" i="11"/>
  <c r="AD834" i="11"/>
  <c r="K834" i="11"/>
  <c r="W834" i="11" s="1"/>
  <c r="Y834" i="11" s="1"/>
  <c r="J834" i="11"/>
  <c r="I834" i="11"/>
  <c r="H834" i="11"/>
  <c r="BG833" i="11"/>
  <c r="AZ833" i="11"/>
  <c r="AX833" i="11"/>
  <c r="AV833" i="11"/>
  <c r="AL833" i="11"/>
  <c r="AN833" i="11" s="1"/>
  <c r="AI833" i="11"/>
  <c r="AK833" i="11" s="1"/>
  <c r="AF833" i="11"/>
  <c r="AE833" i="11"/>
  <c r="AD833" i="11"/>
  <c r="K833" i="11"/>
  <c r="W833" i="11" s="1"/>
  <c r="Y833" i="11" s="1"/>
  <c r="J833" i="11"/>
  <c r="I833" i="11"/>
  <c r="H833" i="11"/>
  <c r="BG832" i="11"/>
  <c r="AZ832" i="11"/>
  <c r="AX832" i="11"/>
  <c r="AV832" i="11"/>
  <c r="AL832" i="11"/>
  <c r="AI832" i="11"/>
  <c r="AK832" i="11" s="1"/>
  <c r="AF832" i="11"/>
  <c r="AE832" i="11"/>
  <c r="AD832" i="11"/>
  <c r="K832" i="11"/>
  <c r="W832" i="11" s="1"/>
  <c r="Y832" i="11" s="1"/>
  <c r="J832" i="11"/>
  <c r="I832" i="11"/>
  <c r="H832" i="11"/>
  <c r="BG831" i="11"/>
  <c r="AZ831" i="11"/>
  <c r="AX831" i="11"/>
  <c r="AV831" i="11"/>
  <c r="AL831" i="11"/>
  <c r="AN831" i="11" s="1"/>
  <c r="AI831" i="11"/>
  <c r="AK831" i="11" s="1"/>
  <c r="AF831" i="11"/>
  <c r="AE831" i="11"/>
  <c r="AD831" i="11"/>
  <c r="K831" i="11"/>
  <c r="W831" i="11" s="1"/>
  <c r="Y831" i="11" s="1"/>
  <c r="J831" i="11"/>
  <c r="I831" i="11"/>
  <c r="H831" i="11"/>
  <c r="BG830" i="11"/>
  <c r="AZ830" i="11"/>
  <c r="AX830" i="11"/>
  <c r="AS830" i="11"/>
  <c r="AV830" i="11" s="1"/>
  <c r="AF830" i="11"/>
  <c r="AE830" i="11"/>
  <c r="AD830" i="11"/>
  <c r="K830" i="11"/>
  <c r="J830" i="11"/>
  <c r="I830" i="11"/>
  <c r="H830" i="11"/>
  <c r="BG829" i="11"/>
  <c r="AZ829" i="11"/>
  <c r="AX829" i="11"/>
  <c r="AS829" i="11"/>
  <c r="AF829" i="11"/>
  <c r="AE829" i="11"/>
  <c r="AD829" i="11"/>
  <c r="K829" i="11"/>
  <c r="J829" i="11"/>
  <c r="I829" i="11"/>
  <c r="H829" i="11"/>
  <c r="BG828" i="11"/>
  <c r="AZ828" i="11"/>
  <c r="AX828" i="11"/>
  <c r="AS828" i="11"/>
  <c r="AF828" i="11"/>
  <c r="AE828" i="11"/>
  <c r="AD828" i="11"/>
  <c r="K828" i="11"/>
  <c r="J828" i="11"/>
  <c r="I828" i="11"/>
  <c r="H828" i="11"/>
  <c r="BG827" i="11"/>
  <c r="AZ827" i="11"/>
  <c r="AX827" i="11"/>
  <c r="AS827" i="11"/>
  <c r="AF827" i="11"/>
  <c r="AE827" i="11"/>
  <c r="AD827" i="11"/>
  <c r="K827" i="11"/>
  <c r="J827" i="11"/>
  <c r="I827" i="11"/>
  <c r="H827" i="11"/>
  <c r="BG826" i="11"/>
  <c r="AZ826" i="11"/>
  <c r="AX826" i="11"/>
  <c r="AS826" i="11"/>
  <c r="AF826" i="11"/>
  <c r="AE826" i="11"/>
  <c r="AD826" i="11"/>
  <c r="K826" i="11"/>
  <c r="J826" i="11"/>
  <c r="I826" i="11"/>
  <c r="H826" i="11"/>
  <c r="BG825" i="11"/>
  <c r="AZ825" i="11"/>
  <c r="AX825" i="11"/>
  <c r="AS825" i="11"/>
  <c r="AF825" i="11"/>
  <c r="AE825" i="11"/>
  <c r="AD825" i="11"/>
  <c r="K825" i="11"/>
  <c r="J825" i="11"/>
  <c r="I825" i="11"/>
  <c r="H825" i="11"/>
  <c r="BG824" i="11"/>
  <c r="AZ824" i="11"/>
  <c r="AX824" i="11"/>
  <c r="AS824" i="11"/>
  <c r="AF824" i="11"/>
  <c r="AE824" i="11"/>
  <c r="AD824" i="11"/>
  <c r="K824" i="11"/>
  <c r="J824" i="11"/>
  <c r="I824" i="11"/>
  <c r="H824" i="11"/>
  <c r="BG823" i="11"/>
  <c r="AZ823" i="11"/>
  <c r="AX823" i="11"/>
  <c r="AS823" i="11"/>
  <c r="AV823" i="11" s="1"/>
  <c r="AF823" i="11"/>
  <c r="AE823" i="11"/>
  <c r="AD823" i="11"/>
  <c r="K823" i="11"/>
  <c r="J823" i="11"/>
  <c r="I823" i="11"/>
  <c r="H823" i="11"/>
  <c r="BG822" i="11"/>
  <c r="AZ822" i="11"/>
  <c r="AX822" i="11"/>
  <c r="AS822" i="11"/>
  <c r="AF822" i="11"/>
  <c r="AE822" i="11"/>
  <c r="AD822" i="11"/>
  <c r="K822" i="11"/>
  <c r="J822" i="11"/>
  <c r="I822" i="11"/>
  <c r="H822" i="11"/>
  <c r="BG821" i="11"/>
  <c r="AZ821" i="11"/>
  <c r="AX821" i="11"/>
  <c r="AS821" i="11"/>
  <c r="AF821" i="11"/>
  <c r="AE821" i="11"/>
  <c r="AD821" i="11"/>
  <c r="K821" i="11"/>
  <c r="J821" i="11"/>
  <c r="I821" i="11"/>
  <c r="H821" i="11"/>
  <c r="BG820" i="11"/>
  <c r="AZ820" i="11"/>
  <c r="AX820" i="11"/>
  <c r="AS820" i="11"/>
  <c r="AF820" i="11"/>
  <c r="AE820" i="11"/>
  <c r="AD820" i="11"/>
  <c r="K820" i="11"/>
  <c r="J820" i="11"/>
  <c r="I820" i="11"/>
  <c r="H820" i="11"/>
  <c r="BG819" i="11"/>
  <c r="AZ819" i="11"/>
  <c r="AX819" i="11"/>
  <c r="AS819" i="11"/>
  <c r="AF819" i="11"/>
  <c r="AE819" i="11"/>
  <c r="AD819" i="11"/>
  <c r="K819" i="11"/>
  <c r="J819" i="11"/>
  <c r="I819" i="11"/>
  <c r="H819" i="11"/>
  <c r="BG818" i="11"/>
  <c r="AZ818" i="11"/>
  <c r="AX818" i="11"/>
  <c r="AS818" i="11"/>
  <c r="AF818" i="11"/>
  <c r="AE818" i="11"/>
  <c r="AD818" i="11"/>
  <c r="K818" i="11"/>
  <c r="J818" i="11"/>
  <c r="I818" i="11"/>
  <c r="H818" i="11"/>
  <c r="BG817" i="11"/>
  <c r="AZ817" i="11"/>
  <c r="AX817" i="11"/>
  <c r="AS817" i="11"/>
  <c r="AF817" i="11"/>
  <c r="AE817" i="11"/>
  <c r="AD817" i="11"/>
  <c r="K817" i="11"/>
  <c r="J817" i="11"/>
  <c r="I817" i="11"/>
  <c r="H817" i="11"/>
  <c r="BG816" i="11"/>
  <c r="AZ816" i="11"/>
  <c r="AX816" i="11"/>
  <c r="AS816" i="11"/>
  <c r="AF816" i="11"/>
  <c r="AE816" i="11"/>
  <c r="AD816" i="11"/>
  <c r="K816" i="11"/>
  <c r="J816" i="11"/>
  <c r="I816" i="11"/>
  <c r="H816" i="11"/>
  <c r="BG815" i="11"/>
  <c r="AZ815" i="11"/>
  <c r="AX815" i="11"/>
  <c r="AV815" i="11"/>
  <c r="AN815" i="11"/>
  <c r="AM815" i="11"/>
  <c r="AK815" i="11"/>
  <c r="AJ815" i="11"/>
  <c r="AF815" i="11"/>
  <c r="AE815" i="11"/>
  <c r="AD815" i="11"/>
  <c r="K815" i="11"/>
  <c r="W815" i="11" s="1"/>
  <c r="Y815" i="11" s="1"/>
  <c r="J815" i="11"/>
  <c r="I815" i="11"/>
  <c r="H815" i="11"/>
  <c r="BG814" i="11"/>
  <c r="AZ814" i="11"/>
  <c r="AX814" i="11"/>
  <c r="AV814" i="11"/>
  <c r="AN814" i="11"/>
  <c r="AM814" i="11"/>
  <c r="AK814" i="11"/>
  <c r="AJ814" i="11"/>
  <c r="AF814" i="11"/>
  <c r="AE814" i="11"/>
  <c r="AD814" i="11"/>
  <c r="K814" i="11"/>
  <c r="W814" i="11" s="1"/>
  <c r="Y814" i="11" s="1"/>
  <c r="J814" i="11"/>
  <c r="I814" i="11"/>
  <c r="H814" i="11"/>
  <c r="BG813" i="11"/>
  <c r="AZ813" i="11"/>
  <c r="AX813" i="11"/>
  <c r="AV813" i="11"/>
  <c r="AN813" i="11"/>
  <c r="AM813" i="11"/>
  <c r="AK813" i="11"/>
  <c r="AJ813" i="11"/>
  <c r="AF813" i="11"/>
  <c r="AE813" i="11"/>
  <c r="AD813" i="11"/>
  <c r="K813" i="11"/>
  <c r="W813" i="11" s="1"/>
  <c r="Y813" i="11" s="1"/>
  <c r="J813" i="11"/>
  <c r="I813" i="11"/>
  <c r="H813" i="11"/>
  <c r="BG812" i="11"/>
  <c r="AZ812" i="11"/>
  <c r="AX812" i="11"/>
  <c r="AV812" i="11"/>
  <c r="AN812" i="11"/>
  <c r="AM812" i="11"/>
  <c r="AK812" i="11"/>
  <c r="AJ812" i="11"/>
  <c r="AF812" i="11"/>
  <c r="AE812" i="11"/>
  <c r="AD812" i="11"/>
  <c r="K812" i="11"/>
  <c r="W812" i="11" s="1"/>
  <c r="Y812" i="11" s="1"/>
  <c r="J812" i="11"/>
  <c r="I812" i="11"/>
  <c r="H812" i="11"/>
  <c r="BG811" i="11"/>
  <c r="AZ811" i="11"/>
  <c r="AX811" i="11"/>
  <c r="AV811" i="11"/>
  <c r="AN811" i="11"/>
  <c r="AM811" i="11"/>
  <c r="AK811" i="11"/>
  <c r="AJ811" i="11"/>
  <c r="AF811" i="11"/>
  <c r="AE811" i="11"/>
  <c r="AD811" i="11"/>
  <c r="K811" i="11"/>
  <c r="W811" i="11" s="1"/>
  <c r="Y811" i="11" s="1"/>
  <c r="J811" i="11"/>
  <c r="I811" i="11"/>
  <c r="H811" i="11"/>
  <c r="BG810" i="11"/>
  <c r="AZ810" i="11"/>
  <c r="AX810" i="11"/>
  <c r="AV810" i="11"/>
  <c r="AN810" i="11"/>
  <c r="AM810" i="11"/>
  <c r="AK810" i="11"/>
  <c r="AJ810" i="11"/>
  <c r="AF810" i="11"/>
  <c r="AE810" i="11"/>
  <c r="AD810" i="11"/>
  <c r="K810" i="11"/>
  <c r="W810" i="11" s="1"/>
  <c r="Y810" i="11" s="1"/>
  <c r="J810" i="11"/>
  <c r="I810" i="11"/>
  <c r="H810" i="11"/>
  <c r="BG809" i="11"/>
  <c r="AZ809" i="11"/>
  <c r="AX809" i="11"/>
  <c r="AV809" i="11"/>
  <c r="AN809" i="11"/>
  <c r="AM809" i="11"/>
  <c r="AK809" i="11"/>
  <c r="AJ809" i="11"/>
  <c r="AF809" i="11"/>
  <c r="AE809" i="11"/>
  <c r="AD809" i="11"/>
  <c r="K809" i="11"/>
  <c r="W809" i="11" s="1"/>
  <c r="Y809" i="11" s="1"/>
  <c r="J809" i="11"/>
  <c r="I809" i="11"/>
  <c r="H809" i="11"/>
  <c r="BG808" i="11"/>
  <c r="AZ808" i="11"/>
  <c r="AX808" i="11"/>
  <c r="AV808" i="11"/>
  <c r="AN808" i="11"/>
  <c r="AM808" i="11"/>
  <c r="AK808" i="11"/>
  <c r="AJ808" i="11"/>
  <c r="AF808" i="11"/>
  <c r="AE808" i="11"/>
  <c r="AD808" i="11"/>
  <c r="K808" i="11"/>
  <c r="W808" i="11" s="1"/>
  <c r="Y808" i="11" s="1"/>
  <c r="J808" i="11"/>
  <c r="I808" i="11"/>
  <c r="H808" i="11"/>
  <c r="BG807" i="11"/>
  <c r="AZ807" i="11"/>
  <c r="AX807" i="11"/>
  <c r="AV807" i="11"/>
  <c r="AN807" i="11"/>
  <c r="AM807" i="11"/>
  <c r="AK807" i="11"/>
  <c r="AJ807" i="11"/>
  <c r="AF807" i="11"/>
  <c r="AE807" i="11"/>
  <c r="AD807" i="11"/>
  <c r="K807" i="11"/>
  <c r="W807" i="11" s="1"/>
  <c r="Y807" i="11" s="1"/>
  <c r="J807" i="11"/>
  <c r="I807" i="11"/>
  <c r="H807" i="11"/>
  <c r="BG806" i="11"/>
  <c r="AZ806" i="11"/>
  <c r="AX806" i="11"/>
  <c r="AV806" i="11"/>
  <c r="AN806" i="11"/>
  <c r="AM806" i="11"/>
  <c r="AK806" i="11"/>
  <c r="AJ806" i="11"/>
  <c r="AF806" i="11"/>
  <c r="AE806" i="11"/>
  <c r="AD806" i="11"/>
  <c r="K806" i="11"/>
  <c r="W806" i="11" s="1"/>
  <c r="Y806" i="11" s="1"/>
  <c r="J806" i="11"/>
  <c r="I806" i="11"/>
  <c r="H806" i="11"/>
  <c r="BG805" i="11"/>
  <c r="AZ805" i="11"/>
  <c r="AX805" i="11"/>
  <c r="AV805" i="11"/>
  <c r="AN805" i="11"/>
  <c r="AM805" i="11"/>
  <c r="AK805" i="11"/>
  <c r="AJ805" i="11"/>
  <c r="AF805" i="11"/>
  <c r="AE805" i="11"/>
  <c r="AD805" i="11"/>
  <c r="K805" i="11"/>
  <c r="W805" i="11" s="1"/>
  <c r="Y805" i="11" s="1"/>
  <c r="J805" i="11"/>
  <c r="I805" i="11"/>
  <c r="H805" i="11"/>
  <c r="BG804" i="11"/>
  <c r="AZ804" i="11"/>
  <c r="AX804" i="11"/>
  <c r="AV804" i="11"/>
  <c r="AN804" i="11"/>
  <c r="AM804" i="11"/>
  <c r="AK804" i="11"/>
  <c r="AJ804" i="11"/>
  <c r="AF804" i="11"/>
  <c r="AE804" i="11"/>
  <c r="AD804" i="11"/>
  <c r="K804" i="11"/>
  <c r="W804" i="11" s="1"/>
  <c r="Y804" i="11" s="1"/>
  <c r="J804" i="11"/>
  <c r="I804" i="11"/>
  <c r="H804" i="11"/>
  <c r="BG803" i="11"/>
  <c r="AZ803" i="11"/>
  <c r="AX803" i="11"/>
  <c r="AV803" i="11"/>
  <c r="AN803" i="11"/>
  <c r="AM803" i="11"/>
  <c r="AK803" i="11"/>
  <c r="AJ803" i="11"/>
  <c r="AF803" i="11"/>
  <c r="AE803" i="11"/>
  <c r="AD803" i="11"/>
  <c r="K803" i="11"/>
  <c r="W803" i="11" s="1"/>
  <c r="Y803" i="11" s="1"/>
  <c r="J803" i="11"/>
  <c r="I803" i="11"/>
  <c r="H803" i="11"/>
  <c r="BG802" i="11"/>
  <c r="BA802" i="11"/>
  <c r="AZ802" i="11"/>
  <c r="AX802" i="11"/>
  <c r="AF802" i="11"/>
  <c r="AE802" i="11"/>
  <c r="AD802" i="11"/>
  <c r="K802" i="11"/>
  <c r="W802" i="11" s="1"/>
  <c r="Y802" i="11" s="1"/>
  <c r="J802" i="11"/>
  <c r="I802" i="11"/>
  <c r="H802" i="11"/>
  <c r="BG801" i="11"/>
  <c r="AZ801" i="11"/>
  <c r="AX801" i="11"/>
  <c r="AF801" i="11"/>
  <c r="AE801" i="11"/>
  <c r="AD801" i="11"/>
  <c r="K801" i="11"/>
  <c r="W801" i="11" s="1"/>
  <c r="Y801" i="11" s="1"/>
  <c r="J801" i="11"/>
  <c r="I801" i="11"/>
  <c r="H801" i="11"/>
  <c r="BG800" i="11"/>
  <c r="AZ800" i="11"/>
  <c r="AX800" i="11"/>
  <c r="AF800" i="11"/>
  <c r="AE800" i="11"/>
  <c r="AD800" i="11"/>
  <c r="K800" i="11"/>
  <c r="W800" i="11" s="1"/>
  <c r="Y800" i="11" s="1"/>
  <c r="J800" i="11"/>
  <c r="I800" i="11"/>
  <c r="H800" i="11"/>
  <c r="BG799" i="11"/>
  <c r="AZ799" i="11"/>
  <c r="AX799" i="11"/>
  <c r="AF799" i="11"/>
  <c r="AE799" i="11"/>
  <c r="AD799" i="11"/>
  <c r="K799" i="11"/>
  <c r="W799" i="11" s="1"/>
  <c r="Y799" i="11" s="1"/>
  <c r="J799" i="11"/>
  <c r="I799" i="11"/>
  <c r="H799" i="11"/>
  <c r="BG798" i="11"/>
  <c r="AZ798" i="11"/>
  <c r="AX798" i="11"/>
  <c r="AV798" i="11"/>
  <c r="AL798" i="11"/>
  <c r="AM798" i="11" s="1"/>
  <c r="AI798" i="11"/>
  <c r="AJ798" i="11" s="1"/>
  <c r="AF798" i="11"/>
  <c r="AE798" i="11"/>
  <c r="AD798" i="11"/>
  <c r="K798" i="11"/>
  <c r="W798" i="11" s="1"/>
  <c r="Y798" i="11" s="1"/>
  <c r="J798" i="11"/>
  <c r="I798" i="11"/>
  <c r="H798" i="11"/>
  <c r="BG797" i="11"/>
  <c r="AZ797" i="11"/>
  <c r="AX797" i="11"/>
  <c r="AV797" i="11"/>
  <c r="AL797" i="11"/>
  <c r="AN797" i="11" s="1"/>
  <c r="AI797" i="11"/>
  <c r="AJ797" i="11" s="1"/>
  <c r="AF797" i="11"/>
  <c r="AE797" i="11"/>
  <c r="AD797" i="11"/>
  <c r="K797" i="11"/>
  <c r="W797" i="11" s="1"/>
  <c r="Y797" i="11" s="1"/>
  <c r="J797" i="11"/>
  <c r="I797" i="11"/>
  <c r="H797" i="11"/>
  <c r="BG796" i="11"/>
  <c r="AZ796" i="11"/>
  <c r="AX796" i="11"/>
  <c r="AV796" i="11"/>
  <c r="AL796" i="11"/>
  <c r="AN796" i="11" s="1"/>
  <c r="AI796" i="11"/>
  <c r="AF796" i="11"/>
  <c r="AE796" i="11"/>
  <c r="AD796" i="11"/>
  <c r="K796" i="11"/>
  <c r="W796" i="11" s="1"/>
  <c r="Y796" i="11" s="1"/>
  <c r="J796" i="11"/>
  <c r="I796" i="11"/>
  <c r="H796" i="11"/>
  <c r="BG795" i="11"/>
  <c r="AZ795" i="11"/>
  <c r="AX795" i="11"/>
  <c r="AV795" i="11"/>
  <c r="AL795" i="11"/>
  <c r="AN795" i="11" s="1"/>
  <c r="AI795" i="11"/>
  <c r="AJ795" i="11" s="1"/>
  <c r="AF795" i="11"/>
  <c r="AE795" i="11"/>
  <c r="AD795" i="11"/>
  <c r="K795" i="11"/>
  <c r="W795" i="11" s="1"/>
  <c r="Y795" i="11" s="1"/>
  <c r="J795" i="11"/>
  <c r="I795" i="11"/>
  <c r="H795" i="11"/>
  <c r="BG794" i="11"/>
  <c r="AF794" i="11"/>
  <c r="AE794" i="11"/>
  <c r="AD794" i="11"/>
  <c r="K794" i="11"/>
  <c r="W794" i="11" s="1"/>
  <c r="Y794" i="11" s="1"/>
  <c r="J794" i="11"/>
  <c r="I794" i="11"/>
  <c r="H794" i="11"/>
  <c r="BG793" i="11"/>
  <c r="AF793" i="11"/>
  <c r="AE793" i="11"/>
  <c r="AD793" i="11"/>
  <c r="K793" i="11"/>
  <c r="W793" i="11" s="1"/>
  <c r="Y793" i="11" s="1"/>
  <c r="J793" i="11"/>
  <c r="I793" i="11"/>
  <c r="H793" i="11"/>
  <c r="BG792" i="11"/>
  <c r="AF792" i="11"/>
  <c r="AE792" i="11"/>
  <c r="AD792" i="11"/>
  <c r="K792" i="11"/>
  <c r="W792" i="11" s="1"/>
  <c r="Y792" i="11" s="1"/>
  <c r="J792" i="11"/>
  <c r="I792" i="11"/>
  <c r="H792" i="11"/>
  <c r="BG791" i="11"/>
  <c r="AZ791" i="11"/>
  <c r="AX791" i="11"/>
  <c r="AF791" i="11"/>
  <c r="AE791" i="11"/>
  <c r="AD791" i="11"/>
  <c r="K791" i="11"/>
  <c r="W791" i="11" s="1"/>
  <c r="Y791" i="11" s="1"/>
  <c r="J791" i="11"/>
  <c r="I791" i="11"/>
  <c r="H791" i="11"/>
  <c r="BG790" i="11"/>
  <c r="AZ790" i="11"/>
  <c r="AX790" i="11"/>
  <c r="AF790" i="11"/>
  <c r="AE790" i="11"/>
  <c r="AD790" i="11"/>
  <c r="K790" i="11"/>
  <c r="W790" i="11" s="1"/>
  <c r="Y790" i="11" s="1"/>
  <c r="J790" i="11"/>
  <c r="I790" i="11"/>
  <c r="H790" i="11"/>
  <c r="BG789" i="11"/>
  <c r="AZ789" i="11"/>
  <c r="AX789" i="11"/>
  <c r="AF789" i="11"/>
  <c r="AE789" i="11"/>
  <c r="AD789" i="11"/>
  <c r="K789" i="11"/>
  <c r="W789" i="11" s="1"/>
  <c r="Y789" i="11" s="1"/>
  <c r="J789" i="11"/>
  <c r="I789" i="11"/>
  <c r="H789" i="11"/>
  <c r="BG788" i="11"/>
  <c r="AZ788" i="11"/>
  <c r="AX788" i="11"/>
  <c r="AF788" i="11"/>
  <c r="AE788" i="11"/>
  <c r="AD788" i="11"/>
  <c r="K788" i="11"/>
  <c r="W788" i="11" s="1"/>
  <c r="Y788" i="11" s="1"/>
  <c r="J788" i="11"/>
  <c r="I788" i="11"/>
  <c r="H788" i="11"/>
  <c r="BG787" i="11"/>
  <c r="AZ787" i="11"/>
  <c r="AX787" i="11"/>
  <c r="AF787" i="11"/>
  <c r="AE787" i="11"/>
  <c r="AD787" i="11"/>
  <c r="K787" i="11"/>
  <c r="W787" i="11" s="1"/>
  <c r="Y787" i="11" s="1"/>
  <c r="J787" i="11"/>
  <c r="I787" i="11"/>
  <c r="H787" i="11"/>
  <c r="BG786" i="11"/>
  <c r="AZ786" i="11"/>
  <c r="AX786" i="11"/>
  <c r="AF786" i="11"/>
  <c r="AE786" i="11"/>
  <c r="AD786" i="11"/>
  <c r="K786" i="11"/>
  <c r="W786" i="11" s="1"/>
  <c r="Y786" i="11" s="1"/>
  <c r="J786" i="11"/>
  <c r="I786" i="11"/>
  <c r="H786" i="11"/>
  <c r="BL784" i="11"/>
  <c r="BN784" i="11" s="1"/>
  <c r="AF784" i="11"/>
  <c r="AE784" i="11"/>
  <c r="AD784" i="11"/>
  <c r="K784" i="11"/>
  <c r="W784" i="11" s="1"/>
  <c r="Y784" i="11" s="1"/>
  <c r="J784" i="11"/>
  <c r="I784" i="11"/>
  <c r="H784" i="11"/>
  <c r="BI783" i="11"/>
  <c r="BL783" i="11" s="1"/>
  <c r="BN783" i="11" s="1"/>
  <c r="BO783" i="11" s="1"/>
  <c r="BD783" i="11"/>
  <c r="BG783" i="11" s="1"/>
  <c r="AZ783" i="11"/>
  <c r="AX783" i="11"/>
  <c r="AV783" i="11"/>
  <c r="AF783" i="11"/>
  <c r="AE783" i="11"/>
  <c r="AD783" i="11"/>
  <c r="K783" i="11"/>
  <c r="W783" i="11" s="1"/>
  <c r="Y783" i="11" s="1"/>
  <c r="J783" i="11"/>
  <c r="I783" i="11"/>
  <c r="H783" i="11"/>
  <c r="BI782" i="11"/>
  <c r="BL782" i="11" s="1"/>
  <c r="BN782" i="11" s="1"/>
  <c r="BD782" i="11"/>
  <c r="BG782" i="11" s="1"/>
  <c r="AZ782" i="11"/>
  <c r="AX782" i="11"/>
  <c r="AV782" i="11"/>
  <c r="AF782" i="11"/>
  <c r="AE782" i="11"/>
  <c r="AD782" i="11"/>
  <c r="K782" i="11"/>
  <c r="W782" i="11" s="1"/>
  <c r="Y782" i="11" s="1"/>
  <c r="J782" i="11"/>
  <c r="I782" i="11"/>
  <c r="H782" i="11"/>
  <c r="BI781" i="11"/>
  <c r="BL781" i="11" s="1"/>
  <c r="BN781" i="11" s="1"/>
  <c r="BD781" i="11"/>
  <c r="BG781" i="11" s="1"/>
  <c r="AZ781" i="11"/>
  <c r="AX781" i="11"/>
  <c r="AV781" i="11"/>
  <c r="AF781" i="11"/>
  <c r="AE781" i="11"/>
  <c r="AD781" i="11"/>
  <c r="K781" i="11"/>
  <c r="W781" i="11" s="1"/>
  <c r="Y781" i="11" s="1"/>
  <c r="J781" i="11"/>
  <c r="I781" i="11"/>
  <c r="H781" i="11"/>
  <c r="BI780" i="11"/>
  <c r="BL780" i="11" s="1"/>
  <c r="BN780" i="11" s="1"/>
  <c r="BD780" i="11"/>
  <c r="BG780" i="11" s="1"/>
  <c r="AZ780" i="11"/>
  <c r="AX780" i="11"/>
  <c r="AV780" i="11"/>
  <c r="AF780" i="11"/>
  <c r="AE780" i="11"/>
  <c r="AD780" i="11"/>
  <c r="K780" i="11"/>
  <c r="W780" i="11" s="1"/>
  <c r="Y780" i="11" s="1"/>
  <c r="J780" i="11"/>
  <c r="I780" i="11"/>
  <c r="H780" i="11"/>
  <c r="BI779" i="11"/>
  <c r="BL779" i="11" s="1"/>
  <c r="BN779" i="11" s="1"/>
  <c r="BD779" i="11"/>
  <c r="BG779" i="11" s="1"/>
  <c r="AZ779" i="11"/>
  <c r="AX779" i="11"/>
  <c r="AV779" i="11"/>
  <c r="AF779" i="11"/>
  <c r="AE779" i="11"/>
  <c r="AD779" i="11"/>
  <c r="K779" i="11"/>
  <c r="W779" i="11" s="1"/>
  <c r="Y779" i="11" s="1"/>
  <c r="J779" i="11"/>
  <c r="I779" i="11"/>
  <c r="H779" i="11"/>
  <c r="BG489" i="11"/>
  <c r="AZ489" i="11"/>
  <c r="AX489" i="11"/>
  <c r="AF489" i="11"/>
  <c r="AE489" i="11"/>
  <c r="AD489" i="11"/>
  <c r="K489" i="11"/>
  <c r="W489" i="11" s="1"/>
  <c r="Y489" i="11" s="1"/>
  <c r="J489" i="11"/>
  <c r="I489" i="11"/>
  <c r="H489" i="11"/>
  <c r="BG488" i="11"/>
  <c r="AZ488" i="11"/>
  <c r="AX488" i="11"/>
  <c r="AF488" i="11"/>
  <c r="AE488" i="11"/>
  <c r="AD488" i="11"/>
  <c r="K488" i="11"/>
  <c r="W488" i="11" s="1"/>
  <c r="Y488" i="11" s="1"/>
  <c r="J488" i="11"/>
  <c r="I488" i="11"/>
  <c r="H488" i="11"/>
  <c r="BG487" i="11"/>
  <c r="AZ487" i="11"/>
  <c r="AX487" i="11"/>
  <c r="AF487" i="11"/>
  <c r="AE487" i="11"/>
  <c r="AD487" i="11"/>
  <c r="K487" i="11"/>
  <c r="W487" i="11" s="1"/>
  <c r="Y487" i="11" s="1"/>
  <c r="J487" i="11"/>
  <c r="I487" i="11"/>
  <c r="H487" i="11"/>
  <c r="BG486" i="11"/>
  <c r="AZ486" i="11"/>
  <c r="AX486" i="11"/>
  <c r="AF486" i="11"/>
  <c r="AE486" i="11"/>
  <c r="AD486" i="11"/>
  <c r="K486" i="11"/>
  <c r="W486" i="11" s="1"/>
  <c r="Y486" i="11" s="1"/>
  <c r="J486" i="11"/>
  <c r="I486" i="11"/>
  <c r="H486" i="11"/>
  <c r="BG485" i="11"/>
  <c r="AZ485" i="11"/>
  <c r="AX485" i="11"/>
  <c r="AF485" i="11"/>
  <c r="AE485" i="11"/>
  <c r="AD485" i="11"/>
  <c r="K485" i="11"/>
  <c r="W485" i="11" s="1"/>
  <c r="Y485" i="11" s="1"/>
  <c r="J485" i="11"/>
  <c r="I485" i="11"/>
  <c r="H485" i="11"/>
  <c r="BG484" i="11"/>
  <c r="AZ484" i="11"/>
  <c r="AX484" i="11"/>
  <c r="AF484" i="11"/>
  <c r="AE484" i="11"/>
  <c r="AD484" i="11"/>
  <c r="K484" i="11"/>
  <c r="W484" i="11" s="1"/>
  <c r="Y484" i="11" s="1"/>
  <c r="J484" i="11"/>
  <c r="I484" i="11"/>
  <c r="H484" i="11"/>
  <c r="BG483" i="11"/>
  <c r="AZ483" i="11"/>
  <c r="AX483" i="11"/>
  <c r="AF483" i="11"/>
  <c r="AE483" i="11"/>
  <c r="AD483" i="11"/>
  <c r="K483" i="11"/>
  <c r="W483" i="11" s="1"/>
  <c r="Y483" i="11" s="1"/>
  <c r="J483" i="11"/>
  <c r="I483" i="11"/>
  <c r="H483" i="11"/>
  <c r="BG482" i="11"/>
  <c r="AZ482" i="11"/>
  <c r="AX482" i="11"/>
  <c r="AF482" i="11"/>
  <c r="AE482" i="11"/>
  <c r="AD482" i="11"/>
  <c r="K482" i="11"/>
  <c r="W482" i="11" s="1"/>
  <c r="Y482" i="11" s="1"/>
  <c r="J482" i="11"/>
  <c r="I482" i="11"/>
  <c r="H482" i="11"/>
  <c r="BG481" i="11"/>
  <c r="AZ481" i="11"/>
  <c r="AX481" i="11"/>
  <c r="AF481" i="11"/>
  <c r="AE481" i="11"/>
  <c r="AD481" i="11"/>
  <c r="K481" i="11"/>
  <c r="W481" i="11" s="1"/>
  <c r="Y481" i="11" s="1"/>
  <c r="J481" i="11"/>
  <c r="I481" i="11"/>
  <c r="H481" i="11"/>
  <c r="AZ480" i="11"/>
  <c r="AX480" i="11"/>
  <c r="AF480" i="11"/>
  <c r="AE480" i="11"/>
  <c r="AD480" i="11"/>
  <c r="K480" i="11"/>
  <c r="W480" i="11" s="1"/>
  <c r="Y480" i="11" s="1"/>
  <c r="J480" i="11"/>
  <c r="I480" i="11"/>
  <c r="H480" i="11"/>
  <c r="BG479" i="11"/>
  <c r="BE479" i="11"/>
  <c r="BF479" i="11" s="1"/>
  <c r="AF479" i="11"/>
  <c r="AE479" i="11"/>
  <c r="AD479" i="11"/>
  <c r="K479" i="11"/>
  <c r="W479" i="11" s="1"/>
  <c r="Y479" i="11" s="1"/>
  <c r="J479" i="11"/>
  <c r="I479" i="11"/>
  <c r="H479" i="11"/>
  <c r="BG478" i="11"/>
  <c r="BE478" i="11"/>
  <c r="BF478" i="11" s="1"/>
  <c r="AF478" i="11"/>
  <c r="AE478" i="11"/>
  <c r="AD478" i="11"/>
  <c r="K478" i="11"/>
  <c r="W478" i="11" s="1"/>
  <c r="Y478" i="11" s="1"/>
  <c r="J478" i="11"/>
  <c r="I478" i="11"/>
  <c r="H478" i="11"/>
  <c r="BG477" i="11"/>
  <c r="BE477" i="11"/>
  <c r="BF477" i="11" s="1"/>
  <c r="AF477" i="11"/>
  <c r="AE477" i="11"/>
  <c r="AD477" i="11"/>
  <c r="K477" i="11"/>
  <c r="W477" i="11" s="1"/>
  <c r="Y477" i="11" s="1"/>
  <c r="J477" i="11"/>
  <c r="I477" i="11"/>
  <c r="H477" i="11"/>
  <c r="BG476" i="11"/>
  <c r="BE476" i="11"/>
  <c r="BF476" i="11" s="1"/>
  <c r="AF476" i="11"/>
  <c r="AE476" i="11"/>
  <c r="AD476" i="11"/>
  <c r="K476" i="11"/>
  <c r="W476" i="11" s="1"/>
  <c r="Y476" i="11" s="1"/>
  <c r="J476" i="11"/>
  <c r="I476" i="11"/>
  <c r="H476" i="11"/>
  <c r="BG475" i="11"/>
  <c r="BE475" i="11"/>
  <c r="BF475" i="11" s="1"/>
  <c r="AF475" i="11"/>
  <c r="AE475" i="11"/>
  <c r="AD475" i="11"/>
  <c r="K475" i="11"/>
  <c r="W475" i="11" s="1"/>
  <c r="Y475" i="11" s="1"/>
  <c r="J475" i="11"/>
  <c r="I475" i="11"/>
  <c r="H475" i="11"/>
  <c r="BG474" i="11"/>
  <c r="BE474" i="11"/>
  <c r="BF474" i="11" s="1"/>
  <c r="AF474" i="11"/>
  <c r="AE474" i="11"/>
  <c r="AD474" i="11"/>
  <c r="K474" i="11"/>
  <c r="W474" i="11" s="1"/>
  <c r="Y474" i="11" s="1"/>
  <c r="J474" i="11"/>
  <c r="I474" i="11"/>
  <c r="H474" i="11"/>
  <c r="BG473" i="11"/>
  <c r="BE473" i="11"/>
  <c r="BF473" i="11" s="1"/>
  <c r="AF473" i="11"/>
  <c r="AE473" i="11"/>
  <c r="AD473" i="11"/>
  <c r="K473" i="11"/>
  <c r="W473" i="11" s="1"/>
  <c r="Y473" i="11" s="1"/>
  <c r="J473" i="11"/>
  <c r="I473" i="11"/>
  <c r="H473" i="11"/>
  <c r="BG472" i="11"/>
  <c r="BE472" i="11"/>
  <c r="BF472" i="11" s="1"/>
  <c r="AF472" i="11"/>
  <c r="AE472" i="11"/>
  <c r="AD472" i="11"/>
  <c r="K472" i="11"/>
  <c r="W472" i="11" s="1"/>
  <c r="Y472" i="11" s="1"/>
  <c r="J472" i="11"/>
  <c r="I472" i="11"/>
  <c r="H472" i="11"/>
  <c r="BG471" i="11"/>
  <c r="BE471" i="11"/>
  <c r="BF471" i="11" s="1"/>
  <c r="AF471" i="11"/>
  <c r="AE471" i="11"/>
  <c r="AD471" i="11"/>
  <c r="K471" i="11"/>
  <c r="W471" i="11" s="1"/>
  <c r="Y471" i="11" s="1"/>
  <c r="J471" i="11"/>
  <c r="I471" i="11"/>
  <c r="H471" i="11"/>
  <c r="BG470" i="11"/>
  <c r="BE470" i="11"/>
  <c r="BF470" i="11" s="1"/>
  <c r="AF470" i="11"/>
  <c r="AE470" i="11"/>
  <c r="AD470" i="11"/>
  <c r="K470" i="11"/>
  <c r="W470" i="11" s="1"/>
  <c r="Y470" i="11" s="1"/>
  <c r="J470" i="11"/>
  <c r="I470" i="11"/>
  <c r="H470" i="11"/>
  <c r="BD469" i="11"/>
  <c r="BG469" i="11" s="1"/>
  <c r="AZ469" i="11"/>
  <c r="AF469" i="11"/>
  <c r="AE469" i="11"/>
  <c r="AD469" i="11"/>
  <c r="K469" i="11"/>
  <c r="W469" i="11" s="1"/>
  <c r="Y469" i="11" s="1"/>
  <c r="J469" i="11"/>
  <c r="I469" i="11"/>
  <c r="H469" i="11"/>
  <c r="BL468" i="11"/>
  <c r="BN468" i="11" s="1"/>
  <c r="BO468" i="11" s="1"/>
  <c r="BD468" i="11" s="1"/>
  <c r="BE468" i="11" s="1"/>
  <c r="BF468" i="11" s="1"/>
  <c r="AZ468" i="11"/>
  <c r="AF468" i="11"/>
  <c r="AE468" i="11"/>
  <c r="AD468" i="11"/>
  <c r="K468" i="11"/>
  <c r="W468" i="11" s="1"/>
  <c r="Y468" i="11" s="1"/>
  <c r="J468" i="11"/>
  <c r="I468" i="11"/>
  <c r="H468" i="11"/>
  <c r="BG467" i="11"/>
  <c r="AZ467" i="11"/>
  <c r="AF467" i="11"/>
  <c r="AE467" i="11"/>
  <c r="AD467" i="11"/>
  <c r="K467" i="11"/>
  <c r="W467" i="11" s="1"/>
  <c r="Y467" i="11" s="1"/>
  <c r="J467" i="11"/>
  <c r="I467" i="11"/>
  <c r="H467" i="11"/>
  <c r="BG466" i="11"/>
  <c r="AZ466" i="11"/>
  <c r="AX466" i="11"/>
  <c r="AV466" i="11"/>
  <c r="AL466" i="11"/>
  <c r="AI466" i="11"/>
  <c r="AJ466" i="11" s="1"/>
  <c r="AF466" i="11"/>
  <c r="AE466" i="11"/>
  <c r="AD466" i="11"/>
  <c r="K466" i="11"/>
  <c r="W466" i="11" s="1"/>
  <c r="Y466" i="11" s="1"/>
  <c r="J466" i="11"/>
  <c r="I466" i="11"/>
  <c r="H466" i="11"/>
  <c r="BG465" i="11"/>
  <c r="AZ465" i="11"/>
  <c r="AX465" i="11"/>
  <c r="AV465" i="11"/>
  <c r="AL465" i="11"/>
  <c r="AN465" i="11" s="1"/>
  <c r="AI465" i="11"/>
  <c r="AK465" i="11" s="1"/>
  <c r="AF465" i="11"/>
  <c r="AE465" i="11"/>
  <c r="AD465" i="11"/>
  <c r="K465" i="11"/>
  <c r="W465" i="11" s="1"/>
  <c r="Y465" i="11" s="1"/>
  <c r="J465" i="11"/>
  <c r="I465" i="11"/>
  <c r="H465" i="11"/>
  <c r="BG464" i="11"/>
  <c r="AZ464" i="11"/>
  <c r="AX464" i="11"/>
  <c r="AV464" i="11"/>
  <c r="AL464" i="11"/>
  <c r="AN464" i="11" s="1"/>
  <c r="AI464" i="11"/>
  <c r="AK464" i="11" s="1"/>
  <c r="AF464" i="11"/>
  <c r="AE464" i="11"/>
  <c r="AD464" i="11"/>
  <c r="K464" i="11"/>
  <c r="W464" i="11" s="1"/>
  <c r="Y464" i="11" s="1"/>
  <c r="J464" i="11"/>
  <c r="I464" i="11"/>
  <c r="H464" i="11"/>
  <c r="BG463" i="11"/>
  <c r="AZ463" i="11"/>
  <c r="AF463" i="11"/>
  <c r="AE463" i="11"/>
  <c r="AD463" i="11"/>
  <c r="K463" i="11"/>
  <c r="W463" i="11" s="1"/>
  <c r="Y463" i="11" s="1"/>
  <c r="J463" i="11"/>
  <c r="I463" i="11"/>
  <c r="H463" i="11"/>
  <c r="BG462" i="11"/>
  <c r="AF462" i="11"/>
  <c r="AE462" i="11"/>
  <c r="AD462" i="11"/>
  <c r="K462" i="11"/>
  <c r="W462" i="11" s="1"/>
  <c r="Y462" i="11" s="1"/>
  <c r="J462" i="11"/>
  <c r="I462" i="11"/>
  <c r="H462" i="11"/>
  <c r="BG461" i="11"/>
  <c r="AF461" i="11"/>
  <c r="AE461" i="11"/>
  <c r="AD461" i="11"/>
  <c r="K461" i="11"/>
  <c r="W461" i="11" s="1"/>
  <c r="Y461" i="11" s="1"/>
  <c r="J461" i="11"/>
  <c r="I461" i="11"/>
  <c r="H461" i="11"/>
  <c r="BG460" i="11"/>
  <c r="AF460" i="11"/>
  <c r="AE460" i="11"/>
  <c r="AD460" i="11"/>
  <c r="K460" i="11"/>
  <c r="W460" i="11" s="1"/>
  <c r="Y460" i="11" s="1"/>
  <c r="J460" i="11"/>
  <c r="I460" i="11"/>
  <c r="H460" i="11"/>
  <c r="BG459" i="11"/>
  <c r="AZ459" i="11"/>
  <c r="AF459" i="11"/>
  <c r="AE459" i="11"/>
  <c r="AD459" i="11"/>
  <c r="K459" i="11"/>
  <c r="W459" i="11" s="1"/>
  <c r="Y459" i="11" s="1"/>
  <c r="J459" i="11"/>
  <c r="I459" i="11"/>
  <c r="H459" i="11"/>
  <c r="BG458" i="11"/>
  <c r="AZ458" i="11"/>
  <c r="AF458" i="11"/>
  <c r="AE458" i="11"/>
  <c r="AD458" i="11"/>
  <c r="K458" i="11"/>
  <c r="W458" i="11" s="1"/>
  <c r="Y458" i="11" s="1"/>
  <c r="J458" i="11"/>
  <c r="I458" i="11"/>
  <c r="H458" i="11"/>
  <c r="BG457" i="11"/>
  <c r="AZ457" i="11"/>
  <c r="AX457" i="11"/>
  <c r="AF457" i="11"/>
  <c r="AE457" i="11"/>
  <c r="AD457" i="11"/>
  <c r="K457" i="11"/>
  <c r="W457" i="11" s="1"/>
  <c r="Y457" i="11" s="1"/>
  <c r="J457" i="11"/>
  <c r="I457" i="11"/>
  <c r="H457" i="11"/>
  <c r="BG456" i="11"/>
  <c r="AZ456" i="11"/>
  <c r="AX456" i="11"/>
  <c r="AF456" i="11"/>
  <c r="AE456" i="11"/>
  <c r="AD456" i="11"/>
  <c r="K456" i="11"/>
  <c r="W456" i="11" s="1"/>
  <c r="Y456" i="11" s="1"/>
  <c r="J456" i="11"/>
  <c r="I456" i="11"/>
  <c r="H456" i="11"/>
  <c r="AZ455" i="11"/>
  <c r="AX455" i="11"/>
  <c r="AF455" i="11"/>
  <c r="AE455" i="11"/>
  <c r="AD455" i="11"/>
  <c r="AC455" i="11"/>
  <c r="J455" i="11"/>
  <c r="I455" i="11"/>
  <c r="H455" i="11"/>
  <c r="BG445" i="11"/>
  <c r="AX445" i="11"/>
  <c r="AV445" i="11"/>
  <c r="AN445" i="11"/>
  <c r="AM445" i="11"/>
  <c r="AK445" i="11"/>
  <c r="AJ445" i="11"/>
  <c r="AF445" i="11"/>
  <c r="AE445" i="11"/>
  <c r="AD445" i="11"/>
  <c r="AC445" i="11"/>
  <c r="J445" i="11"/>
  <c r="I445" i="11"/>
  <c r="H445" i="11"/>
  <c r="BG444" i="11"/>
  <c r="AX444" i="11"/>
  <c r="AV444" i="11"/>
  <c r="AN444" i="11"/>
  <c r="AM444" i="11"/>
  <c r="AK444" i="11"/>
  <c r="AJ444" i="11"/>
  <c r="AF444" i="11"/>
  <c r="AE444" i="11"/>
  <c r="AD444" i="11"/>
  <c r="AC444" i="11"/>
  <c r="J444" i="11"/>
  <c r="I444" i="11"/>
  <c r="H444" i="11"/>
  <c r="BG443" i="11"/>
  <c r="AX443" i="11"/>
  <c r="AV443" i="11"/>
  <c r="AN443" i="11"/>
  <c r="AM443" i="11"/>
  <c r="AK443" i="11"/>
  <c r="AJ443" i="11"/>
  <c r="AF443" i="11"/>
  <c r="AE443" i="11"/>
  <c r="AD443" i="11"/>
  <c r="AC443" i="11"/>
  <c r="J443" i="11"/>
  <c r="I443" i="11"/>
  <c r="H443" i="11"/>
  <c r="BG442" i="11"/>
  <c r="AX442" i="11"/>
  <c r="AV442" i="11"/>
  <c r="AN442" i="11"/>
  <c r="AM442" i="11"/>
  <c r="AK442" i="11"/>
  <c r="AJ442" i="11"/>
  <c r="AF442" i="11"/>
  <c r="AE442" i="11"/>
  <c r="AD442" i="11"/>
  <c r="AC442" i="11"/>
  <c r="J442" i="11"/>
  <c r="I442" i="11"/>
  <c r="H442" i="11"/>
  <c r="BG441" i="11"/>
  <c r="AX441" i="11"/>
  <c r="AV441" i="11"/>
  <c r="AN441" i="11"/>
  <c r="AM441" i="11"/>
  <c r="AK441" i="11"/>
  <c r="AJ441" i="11"/>
  <c r="AF441" i="11"/>
  <c r="AE441" i="11"/>
  <c r="AD441" i="11"/>
  <c r="AC441" i="11"/>
  <c r="J441" i="11"/>
  <c r="I441" i="11"/>
  <c r="H441" i="11"/>
  <c r="BG440" i="11"/>
  <c r="AX440" i="11"/>
  <c r="AV440" i="11"/>
  <c r="AN440" i="11"/>
  <c r="AM440" i="11"/>
  <c r="AK440" i="11"/>
  <c r="AJ440" i="11"/>
  <c r="AF440" i="11"/>
  <c r="AE440" i="11"/>
  <c r="AD440" i="11"/>
  <c r="AC440" i="11"/>
  <c r="J440" i="11"/>
  <c r="I440" i="11"/>
  <c r="H440" i="11"/>
  <c r="BG439" i="11"/>
  <c r="AX439" i="11"/>
  <c r="AV439" i="11"/>
  <c r="AN439" i="11"/>
  <c r="AM439" i="11"/>
  <c r="AK439" i="11"/>
  <c r="AJ439" i="11"/>
  <c r="AF439" i="11"/>
  <c r="AE439" i="11"/>
  <c r="AD439" i="11"/>
  <c r="AC439" i="11"/>
  <c r="J439" i="11"/>
  <c r="I439" i="11"/>
  <c r="H439" i="11"/>
  <c r="BG438" i="11"/>
  <c r="AX438" i="11"/>
  <c r="AV438" i="11"/>
  <c r="AN438" i="11"/>
  <c r="AM438" i="11"/>
  <c r="AK438" i="11"/>
  <c r="AJ438" i="11"/>
  <c r="AF438" i="11"/>
  <c r="AE438" i="11"/>
  <c r="AD438" i="11"/>
  <c r="AC438" i="11"/>
  <c r="J438" i="11"/>
  <c r="I438" i="11"/>
  <c r="H438" i="11"/>
  <c r="BG437" i="11"/>
  <c r="AX437" i="11"/>
  <c r="AV437" i="11"/>
  <c r="AN437" i="11"/>
  <c r="AM437" i="11"/>
  <c r="AK437" i="11"/>
  <c r="AJ437" i="11"/>
  <c r="AF437" i="11"/>
  <c r="AE437" i="11"/>
  <c r="AD437" i="11"/>
  <c r="J437" i="11"/>
  <c r="I437" i="11"/>
  <c r="H437" i="11"/>
  <c r="BG436" i="11"/>
  <c r="AX436" i="11"/>
  <c r="AV436" i="11"/>
  <c r="AN436" i="11"/>
  <c r="AM436" i="11"/>
  <c r="AK436" i="11"/>
  <c r="AJ436" i="11"/>
  <c r="AF436" i="11"/>
  <c r="AE436" i="11"/>
  <c r="AD436" i="11"/>
  <c r="AC436" i="11"/>
  <c r="J436" i="11"/>
  <c r="I436" i="11"/>
  <c r="H436" i="11"/>
  <c r="BG435" i="11"/>
  <c r="AX435" i="11"/>
  <c r="AV435" i="11"/>
  <c r="AN435" i="11"/>
  <c r="AM435" i="11"/>
  <c r="AK435" i="11"/>
  <c r="AJ435" i="11"/>
  <c r="AF435" i="11"/>
  <c r="AE435" i="11"/>
  <c r="AD435" i="11"/>
  <c r="AC435" i="11"/>
  <c r="J435" i="11"/>
  <c r="I435" i="11"/>
  <c r="H435" i="11"/>
  <c r="BG434" i="11"/>
  <c r="AX434" i="11"/>
  <c r="AV434" i="11"/>
  <c r="AN434" i="11"/>
  <c r="AM434" i="11"/>
  <c r="AK434" i="11"/>
  <c r="AJ434" i="11"/>
  <c r="AF434" i="11"/>
  <c r="AE434" i="11"/>
  <c r="AD434" i="11"/>
  <c r="AC434" i="11"/>
  <c r="J434" i="11"/>
  <c r="I434" i="11"/>
  <c r="H434" i="11"/>
  <c r="BG433" i="11"/>
  <c r="AX433" i="11"/>
  <c r="AV433" i="11"/>
  <c r="AN433" i="11"/>
  <c r="AM433" i="11"/>
  <c r="AK433" i="11"/>
  <c r="AJ433" i="11"/>
  <c r="AF433" i="11"/>
  <c r="AE433" i="11"/>
  <c r="AD433" i="11"/>
  <c r="AC433" i="11"/>
  <c r="J433" i="11"/>
  <c r="I433" i="11"/>
  <c r="H433" i="11"/>
  <c r="BG432" i="11"/>
  <c r="AX432" i="11"/>
  <c r="AV432" i="11"/>
  <c r="AN432" i="11"/>
  <c r="AM432" i="11"/>
  <c r="AK432" i="11"/>
  <c r="AJ432" i="11"/>
  <c r="AF432" i="11"/>
  <c r="AE432" i="11"/>
  <c r="AD432" i="11"/>
  <c r="AC432" i="11"/>
  <c r="J432" i="11"/>
  <c r="I432" i="11"/>
  <c r="H432" i="11"/>
  <c r="BG431" i="11"/>
  <c r="AX431" i="11"/>
  <c r="AV431" i="11"/>
  <c r="AN431" i="11"/>
  <c r="AM431" i="11"/>
  <c r="AK431" i="11"/>
  <c r="AJ431" i="11"/>
  <c r="AF431" i="11"/>
  <c r="AE431" i="11"/>
  <c r="AD431" i="11"/>
  <c r="AC431" i="11"/>
  <c r="J431" i="11"/>
  <c r="I431" i="11"/>
  <c r="H431" i="11"/>
  <c r="BG430" i="11"/>
  <c r="AX430" i="11"/>
  <c r="AV430" i="11"/>
  <c r="AN430" i="11"/>
  <c r="AM430" i="11"/>
  <c r="AK430" i="11"/>
  <c r="AJ430" i="11"/>
  <c r="AF430" i="11"/>
  <c r="AE430" i="11"/>
  <c r="AD430" i="11"/>
  <c r="AC430" i="11"/>
  <c r="J430" i="11"/>
  <c r="I430" i="11"/>
  <c r="H430" i="11"/>
  <c r="BG429" i="11"/>
  <c r="AX429" i="11"/>
  <c r="AV429" i="11"/>
  <c r="AN429" i="11"/>
  <c r="AM429" i="11"/>
  <c r="AK429" i="11"/>
  <c r="AJ429" i="11"/>
  <c r="AF429" i="11"/>
  <c r="AE429" i="11"/>
  <c r="AD429" i="11"/>
  <c r="AC429" i="11"/>
  <c r="J429" i="11"/>
  <c r="I429" i="11"/>
  <c r="H429" i="11"/>
  <c r="BG428" i="11"/>
  <c r="AX428" i="11"/>
  <c r="AV428" i="11"/>
  <c r="AN428" i="11"/>
  <c r="AM428" i="11"/>
  <c r="AK428" i="11"/>
  <c r="AJ428" i="11"/>
  <c r="AF428" i="11"/>
  <c r="AE428" i="11"/>
  <c r="AD428" i="11"/>
  <c r="AC428" i="11"/>
  <c r="J428" i="11"/>
  <c r="I428" i="11"/>
  <c r="H428" i="11"/>
  <c r="BG427" i="11"/>
  <c r="AX427" i="11"/>
  <c r="AV427" i="11"/>
  <c r="AN427" i="11"/>
  <c r="AM427" i="11"/>
  <c r="AK427" i="11"/>
  <c r="AJ427" i="11"/>
  <c r="AF427" i="11"/>
  <c r="AE427" i="11"/>
  <c r="AD427" i="11"/>
  <c r="AC427" i="11"/>
  <c r="J427" i="11"/>
  <c r="I427" i="11"/>
  <c r="H427" i="11"/>
  <c r="BG426" i="11"/>
  <c r="AX426" i="11"/>
  <c r="AV426" i="11"/>
  <c r="AN426" i="11"/>
  <c r="AM426" i="11"/>
  <c r="AK426" i="11"/>
  <c r="AJ426" i="11"/>
  <c r="AF426" i="11"/>
  <c r="AE426" i="11"/>
  <c r="AD426" i="11"/>
  <c r="AC426" i="11"/>
  <c r="J426" i="11"/>
  <c r="I426" i="11"/>
  <c r="H426" i="11"/>
  <c r="BG425" i="11"/>
  <c r="AX425" i="11"/>
  <c r="AV425" i="11"/>
  <c r="AN425" i="11"/>
  <c r="AM425" i="11"/>
  <c r="AK425" i="11"/>
  <c r="AJ425" i="11"/>
  <c r="AF425" i="11"/>
  <c r="AE425" i="11"/>
  <c r="AD425" i="11"/>
  <c r="AC425" i="11"/>
  <c r="J425" i="11"/>
  <c r="I425" i="11"/>
  <c r="H425" i="11"/>
  <c r="BG424" i="11"/>
  <c r="AX424" i="11"/>
  <c r="AV424" i="11"/>
  <c r="AN424" i="11"/>
  <c r="AM424" i="11"/>
  <c r="AK424" i="11"/>
  <c r="AJ424" i="11"/>
  <c r="AF424" i="11"/>
  <c r="AE424" i="11"/>
  <c r="AD424" i="11"/>
  <c r="AC424" i="11"/>
  <c r="J424" i="11"/>
  <c r="I424" i="11"/>
  <c r="H424" i="11"/>
  <c r="BG423" i="11"/>
  <c r="AX423" i="11"/>
  <c r="AV423" i="11"/>
  <c r="AN423" i="11"/>
  <c r="AM423" i="11"/>
  <c r="AK423" i="11"/>
  <c r="AJ423" i="11"/>
  <c r="AF423" i="11"/>
  <c r="AE423" i="11"/>
  <c r="AD423" i="11"/>
  <c r="AC423" i="11"/>
  <c r="J423" i="11"/>
  <c r="I423" i="11"/>
  <c r="H423" i="11"/>
  <c r="BG422" i="11"/>
  <c r="AX422" i="11"/>
  <c r="AV422" i="11"/>
  <c r="AN422" i="11"/>
  <c r="AM422" i="11"/>
  <c r="AK422" i="11"/>
  <c r="AJ422" i="11"/>
  <c r="AF422" i="11"/>
  <c r="AE422" i="11"/>
  <c r="AD422" i="11"/>
  <c r="AC422" i="11"/>
  <c r="J422" i="11"/>
  <c r="I422" i="11"/>
  <c r="H422" i="11"/>
  <c r="BG421" i="11"/>
  <c r="AX421" i="11"/>
  <c r="AV421" i="11"/>
  <c r="AN421" i="11"/>
  <c r="AM421" i="11"/>
  <c r="AK421" i="11"/>
  <c r="AJ421" i="11"/>
  <c r="AF421" i="11"/>
  <c r="AE421" i="11"/>
  <c r="AD421" i="11"/>
  <c r="J421" i="11"/>
  <c r="I421" i="11"/>
  <c r="H421" i="11"/>
  <c r="BG420" i="11"/>
  <c r="BA420" i="11"/>
  <c r="AZ420" i="11"/>
  <c r="AX420" i="11"/>
  <c r="AV420" i="11"/>
  <c r="AK420" i="11"/>
  <c r="AJ420" i="11"/>
  <c r="AF420" i="11"/>
  <c r="AE420" i="11"/>
  <c r="AD420" i="11"/>
  <c r="AC420" i="11"/>
  <c r="J420" i="11"/>
  <c r="I420" i="11"/>
  <c r="H420" i="11"/>
  <c r="BG419" i="11"/>
  <c r="BA419" i="11"/>
  <c r="AZ419" i="11"/>
  <c r="AX419" i="11"/>
  <c r="AV419" i="11"/>
  <c r="AK419" i="11"/>
  <c r="AJ419" i="11"/>
  <c r="AF419" i="11"/>
  <c r="AE419" i="11"/>
  <c r="AD419" i="11"/>
  <c r="AC419" i="11"/>
  <c r="J419" i="11"/>
  <c r="I419" i="11"/>
  <c r="H419" i="11"/>
  <c r="BG418" i="11"/>
  <c r="BA418" i="11"/>
  <c r="AZ418" i="11"/>
  <c r="AX418" i="11"/>
  <c r="AV418" i="11"/>
  <c r="AK418" i="11"/>
  <c r="AJ418" i="11"/>
  <c r="AF418" i="11"/>
  <c r="AE418" i="11"/>
  <c r="AD418" i="11"/>
  <c r="AC418" i="11"/>
  <c r="J418" i="11"/>
  <c r="I418" i="11"/>
  <c r="H418" i="11"/>
  <c r="BG417" i="11"/>
  <c r="BA417" i="11"/>
  <c r="AZ417" i="11"/>
  <c r="AX417" i="11"/>
  <c r="AV417" i="11"/>
  <c r="AK417" i="11"/>
  <c r="AJ417" i="11"/>
  <c r="AF417" i="11"/>
  <c r="AE417" i="11"/>
  <c r="AD417" i="11"/>
  <c r="AC417" i="11"/>
  <c r="J417" i="11"/>
  <c r="I417" i="11"/>
  <c r="H417" i="11"/>
  <c r="BG416" i="11"/>
  <c r="BA416" i="11"/>
  <c r="AZ416" i="11"/>
  <c r="AX416" i="11"/>
  <c r="AV416" i="11"/>
  <c r="AK416" i="11"/>
  <c r="AJ416" i="11"/>
  <c r="AF416" i="11"/>
  <c r="AE416" i="11"/>
  <c r="AD416" i="11"/>
  <c r="AC416" i="11"/>
  <c r="J416" i="11"/>
  <c r="I416" i="11"/>
  <c r="H416" i="11"/>
  <c r="BG415" i="11"/>
  <c r="BA415" i="11"/>
  <c r="AZ415" i="11"/>
  <c r="AX415" i="11"/>
  <c r="AV415" i="11"/>
  <c r="AK415" i="11"/>
  <c r="AJ415" i="11"/>
  <c r="AF415" i="11"/>
  <c r="AE415" i="11"/>
  <c r="AD415" i="11"/>
  <c r="AC415" i="11"/>
  <c r="J415" i="11"/>
  <c r="I415" i="11"/>
  <c r="H415" i="11"/>
  <c r="BG414" i="11"/>
  <c r="AX414" i="11"/>
  <c r="AV414" i="11"/>
  <c r="AF414" i="11"/>
  <c r="AE414" i="11"/>
  <c r="AD414" i="11"/>
  <c r="AC414" i="11"/>
  <c r="J414" i="11"/>
  <c r="I414" i="11"/>
  <c r="H414" i="11"/>
  <c r="BG413" i="11"/>
  <c r="AZ413" i="11"/>
  <c r="AX413" i="11"/>
  <c r="AS413" i="11"/>
  <c r="AR413" i="11"/>
  <c r="AF413" i="11"/>
  <c r="AE413" i="11"/>
  <c r="AD413" i="11"/>
  <c r="AC413" i="11"/>
  <c r="J413" i="11"/>
  <c r="I413" i="11"/>
  <c r="H413" i="11"/>
  <c r="BD412" i="11"/>
  <c r="AZ412" i="11"/>
  <c r="AX412" i="11"/>
  <c r="AF412" i="11"/>
  <c r="AE412" i="11"/>
  <c r="AD412" i="11"/>
  <c r="AC412" i="11"/>
  <c r="J412" i="11"/>
  <c r="I412" i="11"/>
  <c r="H412" i="11"/>
  <c r="BG411" i="11"/>
  <c r="AZ411" i="11"/>
  <c r="AX411" i="11"/>
  <c r="AF411" i="11"/>
  <c r="AE411" i="11"/>
  <c r="AD411" i="11"/>
  <c r="AC411" i="11"/>
  <c r="J411" i="11"/>
  <c r="I411" i="11"/>
  <c r="H411" i="11"/>
  <c r="BG410" i="11"/>
  <c r="AZ410" i="11"/>
  <c r="AW410" i="11"/>
  <c r="AF410" i="11"/>
  <c r="AE410" i="11"/>
  <c r="AD410" i="11"/>
  <c r="AC410" i="11"/>
  <c r="J410" i="11"/>
  <c r="I410" i="11"/>
  <c r="H410" i="11"/>
  <c r="BG409" i="11"/>
  <c r="AZ409" i="11"/>
  <c r="AX409" i="11"/>
  <c r="AF409" i="11"/>
  <c r="AE409" i="11"/>
  <c r="AD409" i="11"/>
  <c r="AC409" i="11"/>
  <c r="J409" i="11"/>
  <c r="I409" i="11"/>
  <c r="H409" i="11"/>
  <c r="BG408" i="11"/>
  <c r="AZ408" i="11"/>
  <c r="AX408" i="11"/>
  <c r="AF408" i="11"/>
  <c r="AE408" i="11"/>
  <c r="AD408" i="11"/>
  <c r="AC408" i="11"/>
  <c r="J408" i="11"/>
  <c r="I408" i="11"/>
  <c r="H408" i="11"/>
  <c r="BD407" i="11"/>
  <c r="AZ407" i="11"/>
  <c r="AX407" i="11"/>
  <c r="AV407" i="11"/>
  <c r="AN407" i="11"/>
  <c r="AM407" i="11"/>
  <c r="AK407" i="11"/>
  <c r="AJ407" i="11"/>
  <c r="AF407" i="11"/>
  <c r="AE407" i="11"/>
  <c r="AD407" i="11"/>
  <c r="J407" i="11"/>
  <c r="I407" i="11"/>
  <c r="H407" i="11"/>
  <c r="BI406" i="11"/>
  <c r="AX406" i="11"/>
  <c r="AF406" i="11"/>
  <c r="AE406" i="11"/>
  <c r="AD406" i="11"/>
  <c r="AC406" i="11"/>
  <c r="J406" i="11"/>
  <c r="I406" i="11"/>
  <c r="H406" i="11"/>
  <c r="BI405" i="11"/>
  <c r="AX405" i="11"/>
  <c r="AF405" i="11"/>
  <c r="AE405" i="11"/>
  <c r="AD405" i="11"/>
  <c r="J405" i="11"/>
  <c r="I405" i="11"/>
  <c r="H405" i="11"/>
  <c r="BI404" i="11"/>
  <c r="AX404" i="11"/>
  <c r="AF404" i="11"/>
  <c r="AE404" i="11"/>
  <c r="AD404" i="11"/>
  <c r="AC404" i="11"/>
  <c r="J404" i="11"/>
  <c r="I404" i="11"/>
  <c r="H404" i="11"/>
  <c r="BI403" i="11"/>
  <c r="AX403" i="11"/>
  <c r="AF403" i="11"/>
  <c r="AE403" i="11"/>
  <c r="AD403" i="11"/>
  <c r="AC403" i="11"/>
  <c r="J403" i="11"/>
  <c r="I403" i="11"/>
  <c r="H403" i="11"/>
  <c r="BI402" i="11"/>
  <c r="BL402" i="11" s="1"/>
  <c r="AX402" i="11"/>
  <c r="AF402" i="11"/>
  <c r="AE402" i="11"/>
  <c r="AD402" i="11"/>
  <c r="AC402" i="11"/>
  <c r="J402" i="11"/>
  <c r="I402" i="11"/>
  <c r="H402" i="11"/>
  <c r="AZ401" i="11"/>
  <c r="AX401" i="11"/>
  <c r="AV401" i="11"/>
  <c r="AF401" i="11"/>
  <c r="AE401" i="11"/>
  <c r="AD401" i="11"/>
  <c r="BB401" i="11"/>
  <c r="J401" i="11"/>
  <c r="I401" i="11"/>
  <c r="H401" i="11"/>
  <c r="AZ400" i="11"/>
  <c r="AX400" i="11"/>
  <c r="AV400" i="11"/>
  <c r="AF400" i="11"/>
  <c r="AE400" i="11"/>
  <c r="AD400" i="11"/>
  <c r="J400" i="11"/>
  <c r="I400" i="11"/>
  <c r="H400" i="11"/>
  <c r="AZ399" i="11"/>
  <c r="AX399" i="11"/>
  <c r="AV399" i="11"/>
  <c r="AF399" i="11"/>
  <c r="AE399" i="11"/>
  <c r="AD399" i="11"/>
  <c r="J399" i="11"/>
  <c r="I399" i="11"/>
  <c r="H399" i="11"/>
  <c r="AZ398" i="11"/>
  <c r="AX398" i="11"/>
  <c r="AV398" i="11"/>
  <c r="AF398" i="11"/>
  <c r="AE398" i="11"/>
  <c r="AD398" i="11"/>
  <c r="J398" i="11"/>
  <c r="I398" i="11"/>
  <c r="H398" i="11"/>
  <c r="AZ397" i="11"/>
  <c r="AX397" i="11"/>
  <c r="AV397" i="11"/>
  <c r="AF397" i="11"/>
  <c r="AE397" i="11"/>
  <c r="AD397" i="11"/>
  <c r="J397" i="11"/>
  <c r="I397" i="11"/>
  <c r="H397" i="11"/>
  <c r="BG396" i="11"/>
  <c r="AZ396" i="11"/>
  <c r="AX396" i="11"/>
  <c r="AV396" i="11"/>
  <c r="AN396" i="11"/>
  <c r="AM396" i="11"/>
  <c r="AK396" i="11"/>
  <c r="AJ396" i="11"/>
  <c r="AF396" i="11"/>
  <c r="AE396" i="11"/>
  <c r="AD396" i="11"/>
  <c r="AC396" i="11"/>
  <c r="J396" i="11"/>
  <c r="I396" i="11"/>
  <c r="H396" i="11"/>
  <c r="BG395" i="11"/>
  <c r="AZ395" i="11"/>
  <c r="AX395" i="11"/>
  <c r="AV395" i="11"/>
  <c r="AN395" i="11"/>
  <c r="AM395" i="11"/>
  <c r="AK395" i="11"/>
  <c r="AJ395" i="11"/>
  <c r="AF395" i="11"/>
  <c r="AE395" i="11"/>
  <c r="AD395" i="11"/>
  <c r="AC395" i="11"/>
  <c r="J395" i="11"/>
  <c r="I395" i="11"/>
  <c r="H395" i="11"/>
  <c r="BG394" i="11"/>
  <c r="AZ394" i="11"/>
  <c r="AX394" i="11"/>
  <c r="AV394" i="11"/>
  <c r="AN394" i="11"/>
  <c r="AM394" i="11"/>
  <c r="AK394" i="11"/>
  <c r="AJ394" i="11"/>
  <c r="AF394" i="11"/>
  <c r="AE394" i="11"/>
  <c r="AD394" i="11"/>
  <c r="AC394" i="11"/>
  <c r="J394" i="11"/>
  <c r="I394" i="11"/>
  <c r="H394" i="11"/>
  <c r="BG393" i="11"/>
  <c r="AZ393" i="11"/>
  <c r="AX393" i="11"/>
  <c r="AV393" i="11"/>
  <c r="AN393" i="11"/>
  <c r="AM393" i="11"/>
  <c r="AK393" i="11"/>
  <c r="AJ393" i="11"/>
  <c r="AF393" i="11"/>
  <c r="AE393" i="11"/>
  <c r="AD393" i="11"/>
  <c r="AC393" i="11"/>
  <c r="J393" i="11"/>
  <c r="I393" i="11"/>
  <c r="H393" i="11"/>
  <c r="BG392" i="11"/>
  <c r="AZ392" i="11"/>
  <c r="AX392" i="11"/>
  <c r="AV392" i="11"/>
  <c r="AN392" i="11"/>
  <c r="AM392" i="11"/>
  <c r="AK392" i="11"/>
  <c r="AJ392" i="11"/>
  <c r="AF392" i="11"/>
  <c r="AE392" i="11"/>
  <c r="AD392" i="11"/>
  <c r="AC392" i="11"/>
  <c r="J392" i="11"/>
  <c r="I392" i="11"/>
  <c r="H392" i="11"/>
  <c r="BG391" i="11"/>
  <c r="AZ391" i="11"/>
  <c r="AX391" i="11"/>
  <c r="AV391" i="11"/>
  <c r="AN391" i="11"/>
  <c r="AM391" i="11"/>
  <c r="AK391" i="11"/>
  <c r="AJ391" i="11"/>
  <c r="AF391" i="11"/>
  <c r="AE391" i="11"/>
  <c r="AD391" i="11"/>
  <c r="AC391" i="11"/>
  <c r="J391" i="11"/>
  <c r="I391" i="11"/>
  <c r="H391" i="11"/>
  <c r="BG390" i="11"/>
  <c r="AZ390" i="11"/>
  <c r="AX390" i="11"/>
  <c r="AV390" i="11"/>
  <c r="AN390" i="11"/>
  <c r="AM390" i="11"/>
  <c r="AK390" i="11"/>
  <c r="AJ390" i="11"/>
  <c r="AF390" i="11"/>
  <c r="AE390" i="11"/>
  <c r="AD390" i="11"/>
  <c r="AC390" i="11"/>
  <c r="J390" i="11"/>
  <c r="I390" i="11"/>
  <c r="H390" i="11"/>
  <c r="BG389" i="11"/>
  <c r="AZ389" i="11"/>
  <c r="AX389" i="11"/>
  <c r="AV389" i="11"/>
  <c r="AN389" i="11"/>
  <c r="AM389" i="11"/>
  <c r="AK389" i="11"/>
  <c r="AJ389" i="11"/>
  <c r="AF389" i="11"/>
  <c r="AE389" i="11"/>
  <c r="AD389" i="11"/>
  <c r="AC389" i="11"/>
  <c r="J389" i="11"/>
  <c r="I389" i="11"/>
  <c r="H389" i="11"/>
  <c r="BG388" i="11"/>
  <c r="AZ388" i="11"/>
  <c r="AX388" i="11"/>
  <c r="AV388" i="11"/>
  <c r="AN388" i="11"/>
  <c r="AM388" i="11"/>
  <c r="AK388" i="11"/>
  <c r="AJ388" i="11"/>
  <c r="AF388" i="11"/>
  <c r="AE388" i="11"/>
  <c r="AD388" i="11"/>
  <c r="AC388" i="11"/>
  <c r="J388" i="11"/>
  <c r="I388" i="11"/>
  <c r="H388" i="11"/>
  <c r="BG387" i="11"/>
  <c r="AZ387" i="11"/>
  <c r="AX387" i="11"/>
  <c r="AV387" i="11"/>
  <c r="AN387" i="11"/>
  <c r="AM387" i="11"/>
  <c r="AK387" i="11"/>
  <c r="AJ387" i="11"/>
  <c r="AF387" i="11"/>
  <c r="AE387" i="11"/>
  <c r="AD387" i="11"/>
  <c r="AC387" i="11"/>
  <c r="J387" i="11"/>
  <c r="I387" i="11"/>
  <c r="H387" i="11"/>
  <c r="BG386" i="11"/>
  <c r="AZ386" i="11"/>
  <c r="AX386" i="11"/>
  <c r="AV386" i="11"/>
  <c r="AN386" i="11"/>
  <c r="AM386" i="11"/>
  <c r="AK386" i="11"/>
  <c r="AJ386" i="11"/>
  <c r="AF386" i="11"/>
  <c r="AE386" i="11"/>
  <c r="AD386" i="11"/>
  <c r="AC386" i="11"/>
  <c r="J386" i="11"/>
  <c r="I386" i="11"/>
  <c r="H386" i="11"/>
  <c r="BG385" i="11"/>
  <c r="AZ385" i="11"/>
  <c r="AX385" i="11"/>
  <c r="AV385" i="11"/>
  <c r="AN385" i="11"/>
  <c r="AM385" i="11"/>
  <c r="AK385" i="11"/>
  <c r="AJ385" i="11"/>
  <c r="AF385" i="11"/>
  <c r="AE385" i="11"/>
  <c r="AD385" i="11"/>
  <c r="AC385" i="11"/>
  <c r="J385" i="11"/>
  <c r="I385" i="11"/>
  <c r="H385" i="11"/>
  <c r="BG384" i="11"/>
  <c r="AZ384" i="11"/>
  <c r="AX384" i="11"/>
  <c r="AV384" i="11"/>
  <c r="AN384" i="11"/>
  <c r="AM384" i="11"/>
  <c r="AK384" i="11"/>
  <c r="AJ384" i="11"/>
  <c r="AF384" i="11"/>
  <c r="AE384" i="11"/>
  <c r="AD384" i="11"/>
  <c r="AC384" i="11"/>
  <c r="J384" i="11"/>
  <c r="I384" i="11"/>
  <c r="H384" i="11"/>
  <c r="BG383" i="11"/>
  <c r="AZ383" i="11"/>
  <c r="AX383" i="11"/>
  <c r="AV383" i="11"/>
  <c r="AN383" i="11"/>
  <c r="AM383" i="11"/>
  <c r="AK383" i="11"/>
  <c r="AJ383" i="11"/>
  <c r="AF383" i="11"/>
  <c r="AE383" i="11"/>
  <c r="AD383" i="11"/>
  <c r="AC383" i="11"/>
  <c r="J383" i="11"/>
  <c r="I383" i="11"/>
  <c r="H383" i="11"/>
  <c r="BG382" i="11"/>
  <c r="AZ382" i="11"/>
  <c r="AX382" i="11"/>
  <c r="AV382" i="11"/>
  <c r="AN382" i="11"/>
  <c r="AM382" i="11"/>
  <c r="AK382" i="11"/>
  <c r="AJ382" i="11"/>
  <c r="AF382" i="11"/>
  <c r="AE382" i="11"/>
  <c r="AD382" i="11"/>
  <c r="AC382" i="11"/>
  <c r="J382" i="11"/>
  <c r="I382" i="11"/>
  <c r="H382" i="11"/>
  <c r="BG381" i="11"/>
  <c r="AZ381" i="11"/>
  <c r="AX381" i="11"/>
  <c r="AV381" i="11"/>
  <c r="AN381" i="11"/>
  <c r="AM381" i="11"/>
  <c r="AK381" i="11"/>
  <c r="AJ381" i="11"/>
  <c r="AF381" i="11"/>
  <c r="AE381" i="11"/>
  <c r="AD381" i="11"/>
  <c r="AC381" i="11"/>
  <c r="J381" i="11"/>
  <c r="I381" i="11"/>
  <c r="H381" i="11"/>
  <c r="BG380" i="11"/>
  <c r="AZ380" i="11"/>
  <c r="AX380" i="11"/>
  <c r="AV380" i="11"/>
  <c r="AN380" i="11"/>
  <c r="AM380" i="11"/>
  <c r="AK380" i="11"/>
  <c r="AJ380" i="11"/>
  <c r="AF380" i="11"/>
  <c r="AE380" i="11"/>
  <c r="AD380" i="11"/>
  <c r="AC380" i="11"/>
  <c r="J380" i="11"/>
  <c r="I380" i="11"/>
  <c r="H380" i="11"/>
  <c r="BG379" i="11"/>
  <c r="AZ379" i="11"/>
  <c r="AX379" i="11"/>
  <c r="AV379" i="11"/>
  <c r="AN379" i="11"/>
  <c r="AM379" i="11"/>
  <c r="AK379" i="11"/>
  <c r="AJ379" i="11"/>
  <c r="AF379" i="11"/>
  <c r="AE379" i="11"/>
  <c r="AD379" i="11"/>
  <c r="AC379" i="11"/>
  <c r="J379" i="11"/>
  <c r="I379" i="11"/>
  <c r="H379" i="11"/>
  <c r="BG378" i="11"/>
  <c r="AZ378" i="11"/>
  <c r="AX378" i="11"/>
  <c r="AV378" i="11"/>
  <c r="AN378" i="11"/>
  <c r="AM378" i="11"/>
  <c r="AK378" i="11"/>
  <c r="AJ378" i="11"/>
  <c r="AF378" i="11"/>
  <c r="AE378" i="11"/>
  <c r="AD378" i="11"/>
  <c r="AC378" i="11"/>
  <c r="J378" i="11"/>
  <c r="I378" i="11"/>
  <c r="H378" i="11"/>
  <c r="BG377" i="11"/>
  <c r="AZ377" i="11"/>
  <c r="AX377" i="11"/>
  <c r="AV377" i="11"/>
  <c r="AN377" i="11"/>
  <c r="AM377" i="11"/>
  <c r="AK377" i="11"/>
  <c r="AJ377" i="11"/>
  <c r="AF377" i="11"/>
  <c r="AE377" i="11"/>
  <c r="AD377" i="11"/>
  <c r="AC377" i="11"/>
  <c r="J377" i="11"/>
  <c r="I377" i="11"/>
  <c r="H377" i="11"/>
  <c r="BG376" i="11"/>
  <c r="AZ376" i="11"/>
  <c r="AX376" i="11"/>
  <c r="AV376" i="11"/>
  <c r="AN376" i="11"/>
  <c r="AM376" i="11"/>
  <c r="AK376" i="11"/>
  <c r="AJ376" i="11"/>
  <c r="AF376" i="11"/>
  <c r="AE376" i="11"/>
  <c r="AD376" i="11"/>
  <c r="AC376" i="11"/>
  <c r="J376" i="11"/>
  <c r="I376" i="11"/>
  <c r="H376" i="11"/>
  <c r="BG375" i="11"/>
  <c r="AZ375" i="11"/>
  <c r="AX375" i="11"/>
  <c r="AV375" i="11"/>
  <c r="AN375" i="11"/>
  <c r="AM375" i="11"/>
  <c r="AK375" i="11"/>
  <c r="AJ375" i="11"/>
  <c r="AF375" i="11"/>
  <c r="AE375" i="11"/>
  <c r="AD375" i="11"/>
  <c r="AC375" i="11"/>
  <c r="J375" i="11"/>
  <c r="I375" i="11"/>
  <c r="H375" i="11"/>
  <c r="BG374" i="11"/>
  <c r="AZ374" i="11"/>
  <c r="AX374" i="11"/>
  <c r="AV374" i="11"/>
  <c r="AN374" i="11"/>
  <c r="AM374" i="11"/>
  <c r="AK374" i="11"/>
  <c r="AJ374" i="11"/>
  <c r="AF374" i="11"/>
  <c r="AE374" i="11"/>
  <c r="AD374" i="11"/>
  <c r="AC374" i="11"/>
  <c r="J374" i="11"/>
  <c r="I374" i="11"/>
  <c r="H374" i="11"/>
  <c r="BG373" i="11"/>
  <c r="AZ373" i="11"/>
  <c r="AX373" i="11"/>
  <c r="AV373" i="11"/>
  <c r="AN373" i="11"/>
  <c r="AM373" i="11"/>
  <c r="AK373" i="11"/>
  <c r="AJ373" i="11"/>
  <c r="AF373" i="11"/>
  <c r="AE373" i="11"/>
  <c r="AD373" i="11"/>
  <c r="AC373" i="11"/>
  <c r="J373" i="11"/>
  <c r="I373" i="11"/>
  <c r="H373" i="11"/>
  <c r="BG372" i="11"/>
  <c r="AZ372" i="11"/>
  <c r="AX372" i="11"/>
  <c r="AV372" i="11"/>
  <c r="AN372" i="11"/>
  <c r="AM372" i="11"/>
  <c r="AK372" i="11"/>
  <c r="AJ372" i="11"/>
  <c r="AF372" i="11"/>
  <c r="AE372" i="11"/>
  <c r="AD372" i="11"/>
  <c r="AC372" i="11"/>
  <c r="J372" i="11"/>
  <c r="I372" i="11"/>
  <c r="H372" i="11"/>
  <c r="BG371" i="11"/>
  <c r="AZ371" i="11"/>
  <c r="AX371" i="11"/>
  <c r="AV371" i="11"/>
  <c r="AN371" i="11"/>
  <c r="AM371" i="11"/>
  <c r="AK371" i="11"/>
  <c r="AJ371" i="11"/>
  <c r="AF371" i="11"/>
  <c r="AE371" i="11"/>
  <c r="AD371" i="11"/>
  <c r="AC371" i="11"/>
  <c r="J371" i="11"/>
  <c r="I371" i="11"/>
  <c r="H371" i="11"/>
  <c r="BG370" i="11"/>
  <c r="AZ370" i="11"/>
  <c r="AX370" i="11"/>
  <c r="AV370" i="11"/>
  <c r="AN370" i="11"/>
  <c r="AM370" i="11"/>
  <c r="AK370" i="11"/>
  <c r="AJ370" i="11"/>
  <c r="AF370" i="11"/>
  <c r="AE370" i="11"/>
  <c r="AD370" i="11"/>
  <c r="AC370" i="11"/>
  <c r="J370" i="11"/>
  <c r="I370" i="11"/>
  <c r="H370" i="11"/>
  <c r="BG369" i="11"/>
  <c r="AZ369" i="11"/>
  <c r="AX369" i="11"/>
  <c r="AV369" i="11"/>
  <c r="AN369" i="11"/>
  <c r="AM369" i="11"/>
  <c r="AK369" i="11"/>
  <c r="AJ369" i="11"/>
  <c r="AF369" i="11"/>
  <c r="AE369" i="11"/>
  <c r="AD369" i="11"/>
  <c r="AC369" i="11"/>
  <c r="J369" i="11"/>
  <c r="I369" i="11"/>
  <c r="H369" i="11"/>
  <c r="BG368" i="11"/>
  <c r="AZ368" i="11"/>
  <c r="AX368" i="11"/>
  <c r="AV368" i="11"/>
  <c r="AN368" i="11"/>
  <c r="AM368" i="11"/>
  <c r="AK368" i="11"/>
  <c r="AJ368" i="11"/>
  <c r="AF368" i="11"/>
  <c r="AE368" i="11"/>
  <c r="AD368" i="11"/>
  <c r="AC368" i="11"/>
  <c r="J368" i="11"/>
  <c r="I368" i="11"/>
  <c r="H368" i="11"/>
  <c r="BG367" i="11"/>
  <c r="AZ367" i="11"/>
  <c r="AX367" i="11"/>
  <c r="AV367" i="11"/>
  <c r="AN367" i="11"/>
  <c r="AM367" i="11"/>
  <c r="AK367" i="11"/>
  <c r="AJ367" i="11"/>
  <c r="AF367" i="11"/>
  <c r="AE367" i="11"/>
  <c r="AD367" i="11"/>
  <c r="AC367" i="11"/>
  <c r="J367" i="11"/>
  <c r="I367" i="11"/>
  <c r="H367" i="11"/>
  <c r="BG366" i="11"/>
  <c r="AZ366" i="11"/>
  <c r="AX366" i="11"/>
  <c r="AV366" i="11"/>
  <c r="AN366" i="11"/>
  <c r="AM366" i="11"/>
  <c r="AK366" i="11"/>
  <c r="AJ366" i="11"/>
  <c r="AF366" i="11"/>
  <c r="AE366" i="11"/>
  <c r="AD366" i="11"/>
  <c r="AC366" i="11"/>
  <c r="J366" i="11"/>
  <c r="I366" i="11"/>
  <c r="H366" i="11"/>
  <c r="BG365" i="11"/>
  <c r="AZ365" i="11"/>
  <c r="AX365" i="11"/>
  <c r="AV365" i="11"/>
  <c r="AN365" i="11"/>
  <c r="AM365" i="11"/>
  <c r="AK365" i="11"/>
  <c r="AJ365" i="11"/>
  <c r="AF365" i="11"/>
  <c r="AE365" i="11"/>
  <c r="AD365" i="11"/>
  <c r="AC365" i="11"/>
  <c r="J365" i="11"/>
  <c r="I365" i="11"/>
  <c r="H365" i="11"/>
  <c r="BG364" i="11"/>
  <c r="BE364" i="11"/>
  <c r="BF364" i="11" s="1"/>
  <c r="AV364" i="11"/>
  <c r="AF364" i="11"/>
  <c r="AE364" i="11"/>
  <c r="AD364" i="11"/>
  <c r="AC364" i="11"/>
  <c r="J364" i="11"/>
  <c r="I364" i="11"/>
  <c r="H364" i="11"/>
  <c r="BG363" i="11"/>
  <c r="BE363" i="11"/>
  <c r="BF363" i="11" s="1"/>
  <c r="AV363" i="11"/>
  <c r="AF363" i="11"/>
  <c r="AE363" i="11"/>
  <c r="AD363" i="11"/>
  <c r="AC363" i="11"/>
  <c r="J363" i="11"/>
  <c r="I363" i="11"/>
  <c r="H363" i="11"/>
  <c r="BG362" i="11"/>
  <c r="BE362" i="11"/>
  <c r="BF362" i="11" s="1"/>
  <c r="AV362" i="11"/>
  <c r="AF362" i="11"/>
  <c r="AE362" i="11"/>
  <c r="AD362" i="11"/>
  <c r="AC362" i="11"/>
  <c r="J362" i="11"/>
  <c r="I362" i="11"/>
  <c r="H362" i="11"/>
  <c r="BG361" i="11"/>
  <c r="BE361" i="11"/>
  <c r="BF361" i="11" s="1"/>
  <c r="AV361" i="11"/>
  <c r="AF361" i="11"/>
  <c r="AE361" i="11"/>
  <c r="AD361" i="11"/>
  <c r="AC361" i="11"/>
  <c r="J361" i="11"/>
  <c r="I361" i="11"/>
  <c r="H361" i="11"/>
  <c r="BG360" i="11"/>
  <c r="BE360" i="11"/>
  <c r="BF360" i="11" s="1"/>
  <c r="AV360" i="11"/>
  <c r="AF360" i="11"/>
  <c r="AE360" i="11"/>
  <c r="AD360" i="11"/>
  <c r="AC360" i="11"/>
  <c r="J360" i="11"/>
  <c r="I360" i="11"/>
  <c r="H360" i="11"/>
  <c r="BG359" i="11"/>
  <c r="BE359" i="11"/>
  <c r="BF359" i="11" s="1"/>
  <c r="AV359" i="11"/>
  <c r="AF359" i="11"/>
  <c r="AE359" i="11"/>
  <c r="AD359" i="11"/>
  <c r="AC359" i="11"/>
  <c r="J359" i="11"/>
  <c r="I359" i="11"/>
  <c r="H359" i="11"/>
  <c r="BG358" i="11"/>
  <c r="BE358" i="11"/>
  <c r="BF358" i="11" s="1"/>
  <c r="AV358" i="11"/>
  <c r="AF358" i="11"/>
  <c r="AE358" i="11"/>
  <c r="AD358" i="11"/>
  <c r="AC358" i="11"/>
  <c r="J358" i="11"/>
  <c r="I358" i="11"/>
  <c r="H358" i="11"/>
  <c r="BG357" i="11"/>
  <c r="BE357" i="11"/>
  <c r="BF357" i="11" s="1"/>
  <c r="AV357" i="11"/>
  <c r="AF357" i="11"/>
  <c r="AE357" i="11"/>
  <c r="AD357" i="11"/>
  <c r="AC357" i="11"/>
  <c r="J357" i="11"/>
  <c r="I357" i="11"/>
  <c r="H357" i="11"/>
  <c r="BG356" i="11"/>
  <c r="BE356" i="11"/>
  <c r="BF356" i="11" s="1"/>
  <c r="AV356" i="11"/>
  <c r="AF356" i="11"/>
  <c r="AE356" i="11"/>
  <c r="AD356" i="11"/>
  <c r="AC356" i="11"/>
  <c r="J356" i="11"/>
  <c r="I356" i="11"/>
  <c r="H356" i="11"/>
  <c r="BG355" i="11"/>
  <c r="BE355" i="11"/>
  <c r="BF355" i="11" s="1"/>
  <c r="AV355" i="11"/>
  <c r="AF355" i="11"/>
  <c r="AE355" i="11"/>
  <c r="AD355" i="11"/>
  <c r="AC355" i="11"/>
  <c r="J355" i="11"/>
  <c r="I355" i="11"/>
  <c r="H355" i="11"/>
  <c r="BG354" i="11"/>
  <c r="AZ354" i="11"/>
  <c r="AX354" i="11"/>
  <c r="AV354" i="11"/>
  <c r="AF354" i="11"/>
  <c r="AE354" i="11"/>
  <c r="AD354" i="11"/>
  <c r="AC354" i="11"/>
  <c r="J354" i="11"/>
  <c r="I354" i="11"/>
  <c r="H354" i="11"/>
  <c r="BG353" i="11"/>
  <c r="AZ353" i="11"/>
  <c r="AX353" i="11"/>
  <c r="AV353" i="11"/>
  <c r="AF353" i="11"/>
  <c r="AE353" i="11"/>
  <c r="AD353" i="11"/>
  <c r="AC353" i="11"/>
  <c r="J353" i="11"/>
  <c r="I353" i="11"/>
  <c r="H353" i="11"/>
  <c r="BG352" i="11"/>
  <c r="AZ352" i="11"/>
  <c r="AX352" i="11"/>
  <c r="AV352" i="11"/>
  <c r="AF352" i="11"/>
  <c r="AE352" i="11"/>
  <c r="AD352" i="11"/>
  <c r="AC352" i="11"/>
  <c r="J352" i="11"/>
  <c r="I352" i="11"/>
  <c r="H352" i="11"/>
  <c r="BG351" i="11"/>
  <c r="AZ351" i="11"/>
  <c r="AX351" i="11"/>
  <c r="AV351" i="11"/>
  <c r="AF351" i="11"/>
  <c r="AE351" i="11"/>
  <c r="AD351" i="11"/>
  <c r="AC351" i="11"/>
  <c r="J351" i="11"/>
  <c r="I351" i="11"/>
  <c r="H351" i="11"/>
  <c r="BG350" i="11"/>
  <c r="AZ350" i="11"/>
  <c r="AX350" i="11"/>
  <c r="AV350" i="11"/>
  <c r="AF350" i="11"/>
  <c r="AE350" i="11"/>
  <c r="AD350" i="11"/>
  <c r="AC350" i="11"/>
  <c r="J350" i="11"/>
  <c r="I350" i="11"/>
  <c r="H350" i="11"/>
  <c r="BG349" i="11"/>
  <c r="AZ349" i="11"/>
  <c r="AX349" i="11"/>
  <c r="AV349" i="11"/>
  <c r="AF349" i="11"/>
  <c r="AE349" i="11"/>
  <c r="AD349" i="11"/>
  <c r="AC349" i="11"/>
  <c r="J349" i="11"/>
  <c r="I349" i="11"/>
  <c r="H349" i="11"/>
  <c r="BG348" i="11"/>
  <c r="AZ348" i="11"/>
  <c r="AX348" i="11"/>
  <c r="AV348" i="11"/>
  <c r="AF348" i="11"/>
  <c r="AE348" i="11"/>
  <c r="AD348" i="11"/>
  <c r="AC348" i="11"/>
  <c r="J348" i="11"/>
  <c r="I348" i="11"/>
  <c r="H348" i="11"/>
  <c r="BG347" i="11"/>
  <c r="AZ347" i="11"/>
  <c r="AX347" i="11"/>
  <c r="AV347" i="11"/>
  <c r="AF347" i="11"/>
  <c r="AE347" i="11"/>
  <c r="AD347" i="11"/>
  <c r="AC347" i="11"/>
  <c r="J347" i="11"/>
  <c r="I347" i="11"/>
  <c r="H347" i="11"/>
  <c r="BG346" i="11"/>
  <c r="AZ346" i="11"/>
  <c r="AX346" i="11"/>
  <c r="AV346" i="11"/>
  <c r="AF346" i="11"/>
  <c r="AE346" i="11"/>
  <c r="AD346" i="11"/>
  <c r="AC346" i="11"/>
  <c r="J346" i="11"/>
  <c r="I346" i="11"/>
  <c r="H346" i="11"/>
  <c r="BG345" i="11"/>
  <c r="AZ345" i="11"/>
  <c r="AX345" i="11"/>
  <c r="AV345" i="11"/>
  <c r="AF345" i="11"/>
  <c r="AE345" i="11"/>
  <c r="AD345" i="11"/>
  <c r="AC345" i="11"/>
  <c r="J345" i="11"/>
  <c r="I345" i="11"/>
  <c r="H345" i="11"/>
  <c r="BG344" i="11"/>
  <c r="AZ344" i="11"/>
  <c r="AX344" i="11"/>
  <c r="AV344" i="11"/>
  <c r="AF344" i="11"/>
  <c r="AE344" i="11"/>
  <c r="AD344" i="11"/>
  <c r="AC344" i="11"/>
  <c r="J344" i="11"/>
  <c r="I344" i="11"/>
  <c r="H344" i="11"/>
  <c r="BG343" i="11"/>
  <c r="AZ343" i="11"/>
  <c r="AX343" i="11"/>
  <c r="AV343" i="11"/>
  <c r="AF343" i="11"/>
  <c r="AE343" i="11"/>
  <c r="AD343" i="11"/>
  <c r="AC343" i="11"/>
  <c r="J343" i="11"/>
  <c r="I343" i="11"/>
  <c r="H343" i="11"/>
  <c r="BG342" i="11"/>
  <c r="AZ342" i="11"/>
  <c r="AX342" i="11"/>
  <c r="AV342" i="11"/>
  <c r="AF342" i="11"/>
  <c r="AE342" i="11"/>
  <c r="AD342" i="11"/>
  <c r="AC342" i="11"/>
  <c r="J342" i="11"/>
  <c r="I342" i="11"/>
  <c r="H342" i="11"/>
  <c r="BG341" i="11"/>
  <c r="AZ341" i="11"/>
  <c r="AX341" i="11"/>
  <c r="AV341" i="11"/>
  <c r="AF341" i="11"/>
  <c r="AE341" i="11"/>
  <c r="AD341" i="11"/>
  <c r="AC341" i="11"/>
  <c r="J341" i="11"/>
  <c r="I341" i="11"/>
  <c r="H341" i="11"/>
  <c r="BG340" i="11"/>
  <c r="AZ340" i="11"/>
  <c r="AX340" i="11"/>
  <c r="AV340" i="11"/>
  <c r="AF340" i="11"/>
  <c r="AE340" i="11"/>
  <c r="AD340" i="11"/>
  <c r="AC340" i="11"/>
  <c r="J340" i="11"/>
  <c r="I340" i="11"/>
  <c r="H340" i="11"/>
  <c r="BG339" i="11"/>
  <c r="AZ339" i="11"/>
  <c r="AX339" i="11"/>
  <c r="AV339" i="11"/>
  <c r="AF339" i="11"/>
  <c r="AE339" i="11"/>
  <c r="AD339" i="11"/>
  <c r="AC339" i="11"/>
  <c r="J339" i="11"/>
  <c r="I339" i="11"/>
  <c r="H339" i="11"/>
  <c r="BG338" i="11"/>
  <c r="AZ338" i="11"/>
  <c r="AX338" i="11"/>
  <c r="AV338" i="11"/>
  <c r="AF338" i="11"/>
  <c r="AE338" i="11"/>
  <c r="AD338" i="11"/>
  <c r="AC338" i="11"/>
  <c r="J338" i="11"/>
  <c r="I338" i="11"/>
  <c r="H338" i="11"/>
  <c r="BG337" i="11"/>
  <c r="AZ337" i="11"/>
  <c r="AX337" i="11"/>
  <c r="AV337" i="11"/>
  <c r="AF337" i="11"/>
  <c r="AE337" i="11"/>
  <c r="AD337" i="11"/>
  <c r="AC337" i="11"/>
  <c r="J337" i="11"/>
  <c r="I337" i="11"/>
  <c r="H337" i="11"/>
  <c r="BG336" i="11"/>
  <c r="AZ336" i="11"/>
  <c r="AX336" i="11"/>
  <c r="AV336" i="11"/>
  <c r="AF336" i="11"/>
  <c r="AE336" i="11"/>
  <c r="AD336" i="11"/>
  <c r="AC336" i="11"/>
  <c r="J336" i="11"/>
  <c r="I336" i="11"/>
  <c r="H336" i="11"/>
  <c r="BG335" i="11"/>
  <c r="AZ335" i="11"/>
  <c r="AX335" i="11"/>
  <c r="AV335" i="11"/>
  <c r="AF335" i="11"/>
  <c r="AE335" i="11"/>
  <c r="AD335" i="11"/>
  <c r="AC335" i="11"/>
  <c r="J335" i="11"/>
  <c r="I335" i="11"/>
  <c r="H335" i="11"/>
  <c r="BG334" i="11"/>
  <c r="AZ334" i="11"/>
  <c r="AX334" i="11"/>
  <c r="AV334" i="11"/>
  <c r="AF334" i="11"/>
  <c r="AE334" i="11"/>
  <c r="AD334" i="11"/>
  <c r="AC334" i="11"/>
  <c r="J334" i="11"/>
  <c r="I334" i="11"/>
  <c r="H334" i="11"/>
  <c r="BG333" i="11"/>
  <c r="AZ333" i="11"/>
  <c r="AX333" i="11"/>
  <c r="AV333" i="11"/>
  <c r="AF333" i="11"/>
  <c r="AE333" i="11"/>
  <c r="AD333" i="11"/>
  <c r="AC333" i="11"/>
  <c r="J333" i="11"/>
  <c r="I333" i="11"/>
  <c r="H333" i="11"/>
  <c r="BG332" i="11"/>
  <c r="AZ332" i="11"/>
  <c r="AX332" i="11"/>
  <c r="AV332" i="11"/>
  <c r="AF332" i="11"/>
  <c r="AE332" i="11"/>
  <c r="AD332" i="11"/>
  <c r="AC332" i="11"/>
  <c r="J332" i="11"/>
  <c r="I332" i="11"/>
  <c r="H332" i="11"/>
  <c r="BG331" i="11"/>
  <c r="AZ331" i="11"/>
  <c r="AX331" i="11"/>
  <c r="AV331" i="11"/>
  <c r="AF331" i="11"/>
  <c r="AE331" i="11"/>
  <c r="AD331" i="11"/>
  <c r="AC331" i="11"/>
  <c r="J331" i="11"/>
  <c r="I331" i="11"/>
  <c r="H331" i="11"/>
  <c r="BG330" i="11"/>
  <c r="AZ330" i="11"/>
  <c r="AX330" i="11"/>
  <c r="AV330" i="11"/>
  <c r="AF330" i="11"/>
  <c r="AE330" i="11"/>
  <c r="AD330" i="11"/>
  <c r="AC330" i="11"/>
  <c r="J330" i="11"/>
  <c r="I330" i="11"/>
  <c r="H330" i="11"/>
  <c r="BG329" i="11"/>
  <c r="AZ329" i="11"/>
  <c r="AX329" i="11"/>
  <c r="AV329" i="11"/>
  <c r="AF329" i="11"/>
  <c r="AE329" i="11"/>
  <c r="AD329" i="11"/>
  <c r="AC329" i="11"/>
  <c r="J329" i="11"/>
  <c r="I329" i="11"/>
  <c r="H329" i="11"/>
  <c r="BG328" i="11"/>
  <c r="AZ328" i="11"/>
  <c r="AX328" i="11"/>
  <c r="AV328" i="11"/>
  <c r="AF328" i="11"/>
  <c r="AE328" i="11"/>
  <c r="AD328" i="11"/>
  <c r="AC328" i="11"/>
  <c r="J328" i="11"/>
  <c r="I328" i="11"/>
  <c r="H328" i="11"/>
  <c r="BG327" i="11"/>
  <c r="AZ327" i="11"/>
  <c r="AX327" i="11"/>
  <c r="AV327" i="11"/>
  <c r="AF327" i="11"/>
  <c r="AE327" i="11"/>
  <c r="AD327" i="11"/>
  <c r="AC327" i="11"/>
  <c r="J327" i="11"/>
  <c r="I327" i="11"/>
  <c r="H327" i="11"/>
  <c r="BG326" i="11"/>
  <c r="AZ326" i="11"/>
  <c r="AX326" i="11"/>
  <c r="AV326" i="11"/>
  <c r="AF326" i="11"/>
  <c r="AE326" i="11"/>
  <c r="AD326" i="11"/>
  <c r="AC326" i="11"/>
  <c r="J326" i="11"/>
  <c r="I326" i="11"/>
  <c r="H326" i="11"/>
  <c r="BG325" i="11"/>
  <c r="AZ325" i="11"/>
  <c r="AX325" i="11"/>
  <c r="AV325" i="11"/>
  <c r="AF325" i="11"/>
  <c r="AE325" i="11"/>
  <c r="AD325" i="11"/>
  <c r="AC325" i="11"/>
  <c r="J325" i="11"/>
  <c r="I325" i="11"/>
  <c r="H325" i="11"/>
  <c r="BG324" i="11"/>
  <c r="AZ324" i="11"/>
  <c r="AX324" i="11"/>
  <c r="AV324" i="11"/>
  <c r="AF324" i="11"/>
  <c r="AE324" i="11"/>
  <c r="AD324" i="11"/>
  <c r="AC324" i="11"/>
  <c r="J324" i="11"/>
  <c r="I324" i="11"/>
  <c r="H324" i="11"/>
  <c r="BG323" i="11"/>
  <c r="AZ323" i="11"/>
  <c r="AX323" i="11"/>
  <c r="AV323" i="11"/>
  <c r="AF323" i="11"/>
  <c r="AE323" i="11"/>
  <c r="AD323" i="11"/>
  <c r="AC323" i="11"/>
  <c r="J323" i="11"/>
  <c r="I323" i="11"/>
  <c r="H323" i="11"/>
  <c r="BG322" i="11"/>
  <c r="AZ322" i="11"/>
  <c r="AX322" i="11"/>
  <c r="AV322" i="11"/>
  <c r="AF322" i="11"/>
  <c r="AE322" i="11"/>
  <c r="AD322" i="11"/>
  <c r="AC322" i="11"/>
  <c r="J322" i="11"/>
  <c r="I322" i="11"/>
  <c r="H322" i="11"/>
  <c r="BG321" i="11"/>
  <c r="AZ321" i="11"/>
  <c r="AX321" i="11"/>
  <c r="AV321" i="11"/>
  <c r="AF321" i="11"/>
  <c r="AE321" i="11"/>
  <c r="AD321" i="11"/>
  <c r="AC321" i="11"/>
  <c r="J321" i="11"/>
  <c r="I321" i="11"/>
  <c r="H321" i="11"/>
  <c r="BG320" i="11"/>
  <c r="AZ320" i="11"/>
  <c r="AX320" i="11"/>
  <c r="AV320" i="11"/>
  <c r="AF320" i="11"/>
  <c r="AE320" i="11"/>
  <c r="AD320" i="11"/>
  <c r="AC320" i="11"/>
  <c r="J320" i="11"/>
  <c r="I320" i="11"/>
  <c r="H320" i="11"/>
  <c r="BG319" i="11"/>
  <c r="AZ319" i="11"/>
  <c r="AX319" i="11"/>
  <c r="AV319" i="11"/>
  <c r="AF319" i="11"/>
  <c r="AE319" i="11"/>
  <c r="AD319" i="11"/>
  <c r="AC319" i="11"/>
  <c r="J319" i="11"/>
  <c r="I319" i="11"/>
  <c r="H319" i="11"/>
  <c r="BG318" i="11"/>
  <c r="AZ318" i="11"/>
  <c r="AX318" i="11"/>
  <c r="AV318" i="11"/>
  <c r="AF318" i="11"/>
  <c r="AE318" i="11"/>
  <c r="AD318" i="11"/>
  <c r="AC318" i="11"/>
  <c r="J318" i="11"/>
  <c r="I318" i="11"/>
  <c r="H318" i="11"/>
  <c r="BG317" i="11"/>
  <c r="AZ317" i="11"/>
  <c r="AX317" i="11"/>
  <c r="AV317" i="11"/>
  <c r="AF317" i="11"/>
  <c r="AE317" i="11"/>
  <c r="AD317" i="11"/>
  <c r="AC317" i="11"/>
  <c r="J317" i="11"/>
  <c r="I317" i="11"/>
  <c r="H317" i="11"/>
  <c r="BG316" i="11"/>
  <c r="AZ316" i="11"/>
  <c r="AX316" i="11"/>
  <c r="AV316" i="11"/>
  <c r="AF316" i="11"/>
  <c r="AE316" i="11"/>
  <c r="AD316" i="11"/>
  <c r="AC316" i="11"/>
  <c r="J316" i="11"/>
  <c r="I316" i="11"/>
  <c r="H316" i="11"/>
  <c r="BG315" i="11"/>
  <c r="AZ315" i="11"/>
  <c r="AX315" i="11"/>
  <c r="AV315" i="11"/>
  <c r="AF315" i="11"/>
  <c r="AE315" i="11"/>
  <c r="AD315" i="11"/>
  <c r="AC315" i="11"/>
  <c r="J315" i="11"/>
  <c r="I315" i="11"/>
  <c r="H315" i="11"/>
  <c r="BG314" i="11"/>
  <c r="AZ314" i="11"/>
  <c r="AX314" i="11"/>
  <c r="AV314" i="11"/>
  <c r="AF314" i="11"/>
  <c r="AE314" i="11"/>
  <c r="AD314" i="11"/>
  <c r="AC314" i="11"/>
  <c r="J314" i="11"/>
  <c r="I314" i="11"/>
  <c r="H314" i="11"/>
  <c r="BG313" i="11"/>
  <c r="AZ313" i="11"/>
  <c r="AX313" i="11"/>
  <c r="AV313" i="11"/>
  <c r="AF313" i="11"/>
  <c r="AE313" i="11"/>
  <c r="AD313" i="11"/>
  <c r="AC313" i="11"/>
  <c r="J313" i="11"/>
  <c r="I313" i="11"/>
  <c r="H313" i="11"/>
  <c r="BG312" i="11"/>
  <c r="AZ312" i="11"/>
  <c r="AX312" i="11"/>
  <c r="AF312" i="11"/>
  <c r="AE312" i="11"/>
  <c r="AD312" i="11"/>
  <c r="AC312" i="11"/>
  <c r="J312" i="11"/>
  <c r="I312" i="11"/>
  <c r="H312" i="11"/>
  <c r="BG311" i="11"/>
  <c r="AZ311" i="11"/>
  <c r="AX311" i="11"/>
  <c r="AV311" i="11"/>
  <c r="AF311" i="11"/>
  <c r="AE311" i="11"/>
  <c r="AD311" i="11"/>
  <c r="AC311" i="11"/>
  <c r="J311" i="11"/>
  <c r="I311" i="11"/>
  <c r="H311" i="11"/>
  <c r="BG310" i="11"/>
  <c r="AZ310" i="11"/>
  <c r="AX310" i="11"/>
  <c r="AV310" i="11"/>
  <c r="AF310" i="11"/>
  <c r="AE310" i="11"/>
  <c r="AD310" i="11"/>
  <c r="AC310" i="11"/>
  <c r="J310" i="11"/>
  <c r="I310" i="11"/>
  <c r="H310" i="11"/>
  <c r="BG309" i="11"/>
  <c r="AZ309" i="11"/>
  <c r="AX309" i="11"/>
  <c r="AV309" i="11"/>
  <c r="AF309" i="11"/>
  <c r="AE309" i="11"/>
  <c r="AD309" i="11"/>
  <c r="AC309" i="11"/>
  <c r="J309" i="11"/>
  <c r="I309" i="11"/>
  <c r="H309" i="11"/>
  <c r="BG308" i="11"/>
  <c r="AZ308" i="11"/>
  <c r="AX308" i="11"/>
  <c r="AV308" i="11"/>
  <c r="AF308" i="11"/>
  <c r="AE308" i="11"/>
  <c r="AD308" i="11"/>
  <c r="AC308" i="11"/>
  <c r="J308" i="11"/>
  <c r="I308" i="11"/>
  <c r="H308" i="11"/>
  <c r="BG307" i="11"/>
  <c r="AZ307" i="11"/>
  <c r="AX307" i="11"/>
  <c r="AV307" i="11"/>
  <c r="AF307" i="11"/>
  <c r="AE307" i="11"/>
  <c r="AD307" i="11"/>
  <c r="AC307" i="11"/>
  <c r="J307" i="11"/>
  <c r="I307" i="11"/>
  <c r="H307" i="11"/>
  <c r="BG306" i="11"/>
  <c r="AZ306" i="11"/>
  <c r="AX306" i="11"/>
  <c r="AV306" i="11"/>
  <c r="AF306" i="11"/>
  <c r="AE306" i="11"/>
  <c r="AD306" i="11"/>
  <c r="AC306" i="11"/>
  <c r="J306" i="11"/>
  <c r="I306" i="11"/>
  <c r="H306" i="11"/>
  <c r="BG305" i="11"/>
  <c r="AZ305" i="11"/>
  <c r="AX305" i="11"/>
  <c r="AV305" i="11"/>
  <c r="AF305" i="11"/>
  <c r="AE305" i="11"/>
  <c r="AD305" i="11"/>
  <c r="J305" i="11"/>
  <c r="I305" i="11"/>
  <c r="H305" i="11"/>
  <c r="BG304" i="11"/>
  <c r="AZ304" i="11"/>
  <c r="AX304" i="11"/>
  <c r="AV304" i="11"/>
  <c r="AF304" i="11"/>
  <c r="AE304" i="11"/>
  <c r="AD304" i="11"/>
  <c r="AC304" i="11"/>
  <c r="J304" i="11"/>
  <c r="I304" i="11"/>
  <c r="H304" i="11"/>
  <c r="BG303" i="11"/>
  <c r="AZ303" i="11"/>
  <c r="AX303" i="11"/>
  <c r="AV303" i="11"/>
  <c r="AF303" i="11"/>
  <c r="AE303" i="11"/>
  <c r="AD303" i="11"/>
  <c r="AC303" i="11"/>
  <c r="J303" i="11"/>
  <c r="I303" i="11"/>
  <c r="H303" i="11"/>
  <c r="BG302" i="11"/>
  <c r="AZ302" i="11"/>
  <c r="AX302" i="11"/>
  <c r="AV302" i="11"/>
  <c r="AF302" i="11"/>
  <c r="AE302" i="11"/>
  <c r="AD302" i="11"/>
  <c r="AC302" i="11"/>
  <c r="J302" i="11"/>
  <c r="I302" i="11"/>
  <c r="H302" i="11"/>
  <c r="BG301" i="11"/>
  <c r="AZ301" i="11"/>
  <c r="AX301" i="11"/>
  <c r="AV301" i="11"/>
  <c r="AF301" i="11"/>
  <c r="AE301" i="11"/>
  <c r="AD301" i="11"/>
  <c r="AC301" i="11"/>
  <c r="J301" i="11"/>
  <c r="I301" i="11"/>
  <c r="H301" i="11"/>
  <c r="BG300" i="11"/>
  <c r="AZ300" i="11"/>
  <c r="AX300" i="11"/>
  <c r="AV300" i="11"/>
  <c r="AF300" i="11"/>
  <c r="AE300" i="11"/>
  <c r="AD300" i="11"/>
  <c r="AC300" i="11"/>
  <c r="J300" i="11"/>
  <c r="I300" i="11"/>
  <c r="H300" i="11"/>
  <c r="BG299" i="11"/>
  <c r="AZ299" i="11"/>
  <c r="AX299" i="11"/>
  <c r="AV299" i="11"/>
  <c r="AF299" i="11"/>
  <c r="AE299" i="11"/>
  <c r="AD299" i="11"/>
  <c r="AC299" i="11"/>
  <c r="J299" i="11"/>
  <c r="I299" i="11"/>
  <c r="H299" i="11"/>
  <c r="BG298" i="11"/>
  <c r="AZ298" i="11"/>
  <c r="AX298" i="11"/>
  <c r="AV298" i="11"/>
  <c r="AF298" i="11"/>
  <c r="AE298" i="11"/>
  <c r="AD298" i="11"/>
  <c r="AC298" i="11"/>
  <c r="J298" i="11"/>
  <c r="I298" i="11"/>
  <c r="H298" i="11"/>
  <c r="BG297" i="11"/>
  <c r="AZ297" i="11"/>
  <c r="AX297" i="11"/>
  <c r="AV297" i="11"/>
  <c r="AF297" i="11"/>
  <c r="AE297" i="11"/>
  <c r="AD297" i="11"/>
  <c r="AC297" i="11"/>
  <c r="J297" i="11"/>
  <c r="I297" i="11"/>
  <c r="H297" i="11"/>
  <c r="BG296" i="11"/>
  <c r="AZ296" i="11"/>
  <c r="AX296" i="11"/>
  <c r="AV296" i="11"/>
  <c r="AF296" i="11"/>
  <c r="AE296" i="11"/>
  <c r="AD296" i="11"/>
  <c r="AC296" i="11"/>
  <c r="J296" i="11"/>
  <c r="I296" i="11"/>
  <c r="H296" i="11"/>
  <c r="BG295" i="11"/>
  <c r="AZ295" i="11"/>
  <c r="AX295" i="11"/>
  <c r="AV295" i="11"/>
  <c r="AF295" i="11"/>
  <c r="AE295" i="11"/>
  <c r="AD295" i="11"/>
  <c r="AC295" i="11"/>
  <c r="J295" i="11"/>
  <c r="I295" i="11"/>
  <c r="H295" i="11"/>
  <c r="BG294" i="11"/>
  <c r="AZ294" i="11"/>
  <c r="AX294" i="11"/>
  <c r="AV294" i="11"/>
  <c r="AF294" i="11"/>
  <c r="AE294" i="11"/>
  <c r="AD294" i="11"/>
  <c r="AC294" i="11"/>
  <c r="J294" i="11"/>
  <c r="I294" i="11"/>
  <c r="H294" i="11"/>
  <c r="BG293" i="11"/>
  <c r="AZ293" i="11"/>
  <c r="AX293" i="11"/>
  <c r="AV293" i="11"/>
  <c r="AF293" i="11"/>
  <c r="AE293" i="11"/>
  <c r="AD293" i="11"/>
  <c r="AC293" i="11"/>
  <c r="J293" i="11"/>
  <c r="I293" i="11"/>
  <c r="H293" i="11"/>
  <c r="BG292" i="11"/>
  <c r="AZ292" i="11"/>
  <c r="AX292" i="11"/>
  <c r="AV292" i="11"/>
  <c r="AF292" i="11"/>
  <c r="AE292" i="11"/>
  <c r="AD292" i="11"/>
  <c r="AC292" i="11"/>
  <c r="J292" i="11"/>
  <c r="I292" i="11"/>
  <c r="H292" i="11"/>
  <c r="BG291" i="11"/>
  <c r="AZ291" i="11"/>
  <c r="AX291" i="11"/>
  <c r="AV291" i="11"/>
  <c r="AF291" i="11"/>
  <c r="AE291" i="11"/>
  <c r="AD291" i="11"/>
  <c r="AC291" i="11"/>
  <c r="J291" i="11"/>
  <c r="I291" i="11"/>
  <c r="H291" i="11"/>
  <c r="BG290" i="11"/>
  <c r="AZ290" i="11"/>
  <c r="AX290" i="11"/>
  <c r="AV290" i="11"/>
  <c r="AF290" i="11"/>
  <c r="AE290" i="11"/>
  <c r="AD290" i="11"/>
  <c r="AC290" i="11"/>
  <c r="J290" i="11"/>
  <c r="I290" i="11"/>
  <c r="H290" i="11"/>
  <c r="BG289" i="11"/>
  <c r="AZ289" i="11"/>
  <c r="AX289" i="11"/>
  <c r="AV289" i="11"/>
  <c r="AF289" i="11"/>
  <c r="AE289" i="11"/>
  <c r="AD289" i="11"/>
  <c r="AC289" i="11"/>
  <c r="J289" i="11"/>
  <c r="I289" i="11"/>
  <c r="H289" i="11"/>
  <c r="BG288" i="11"/>
  <c r="AZ288" i="11"/>
  <c r="AX288" i="11"/>
  <c r="AV288" i="11"/>
  <c r="AF288" i="11"/>
  <c r="AE288" i="11"/>
  <c r="AD288" i="11"/>
  <c r="AC288" i="11"/>
  <c r="J288" i="11"/>
  <c r="I288" i="11"/>
  <c r="H288" i="11"/>
  <c r="BG287" i="11"/>
  <c r="AZ287" i="11"/>
  <c r="AX287" i="11"/>
  <c r="AV287" i="11"/>
  <c r="AF287" i="11"/>
  <c r="AE287" i="11"/>
  <c r="AD287" i="11"/>
  <c r="AC287" i="11"/>
  <c r="J287" i="11"/>
  <c r="I287" i="11"/>
  <c r="H287" i="11"/>
  <c r="BG286" i="11"/>
  <c r="AZ286" i="11"/>
  <c r="AX286" i="11"/>
  <c r="AV286" i="11"/>
  <c r="AF286" i="11"/>
  <c r="AE286" i="11"/>
  <c r="AD286" i="11"/>
  <c r="J286" i="11"/>
  <c r="I286" i="11"/>
  <c r="H286" i="11"/>
  <c r="BG285" i="11"/>
  <c r="AZ285" i="11"/>
  <c r="AX285" i="11"/>
  <c r="AV285" i="11"/>
  <c r="AF285" i="11"/>
  <c r="AE285" i="11"/>
  <c r="AD285" i="11"/>
  <c r="AC285" i="11"/>
  <c r="J285" i="11"/>
  <c r="I285" i="11"/>
  <c r="H285" i="11"/>
  <c r="BG284" i="11"/>
  <c r="AZ284" i="11"/>
  <c r="AX284" i="11"/>
  <c r="AV284" i="11"/>
  <c r="AF284" i="11"/>
  <c r="AE284" i="11"/>
  <c r="AD284" i="11"/>
  <c r="AC284" i="11"/>
  <c r="J284" i="11"/>
  <c r="I284" i="11"/>
  <c r="H284" i="11"/>
  <c r="BG283" i="11"/>
  <c r="AZ283" i="11"/>
  <c r="AX283" i="11"/>
  <c r="AV283" i="11"/>
  <c r="AF283" i="11"/>
  <c r="AE283" i="11"/>
  <c r="AD283" i="11"/>
  <c r="AC283" i="11"/>
  <c r="J283" i="11"/>
  <c r="I283" i="11"/>
  <c r="H283" i="11"/>
  <c r="BG282" i="11"/>
  <c r="AZ282" i="11"/>
  <c r="AX282" i="11"/>
  <c r="AV282" i="11"/>
  <c r="AF282" i="11"/>
  <c r="AE282" i="11"/>
  <c r="AD282" i="11"/>
  <c r="AC282" i="11"/>
  <c r="J282" i="11"/>
  <c r="I282" i="11"/>
  <c r="H282" i="11"/>
  <c r="BG281" i="11"/>
  <c r="AZ281" i="11"/>
  <c r="AX281" i="11"/>
  <c r="AV281" i="11"/>
  <c r="AF281" i="11"/>
  <c r="AE281" i="11"/>
  <c r="AD281" i="11"/>
  <c r="AC281" i="11"/>
  <c r="J281" i="11"/>
  <c r="I281" i="11"/>
  <c r="H281" i="11"/>
  <c r="BG280" i="11"/>
  <c r="AZ280" i="11"/>
  <c r="AX280" i="11"/>
  <c r="AV280" i="11"/>
  <c r="AF280" i="11"/>
  <c r="AE280" i="11"/>
  <c r="AD280" i="11"/>
  <c r="AC280" i="11"/>
  <c r="J280" i="11"/>
  <c r="I280" i="11"/>
  <c r="H280" i="11"/>
  <c r="BG279" i="11"/>
  <c r="AZ279" i="11"/>
  <c r="AX279" i="11"/>
  <c r="AV279" i="11"/>
  <c r="AF279" i="11"/>
  <c r="AE279" i="11"/>
  <c r="AD279" i="11"/>
  <c r="AC279" i="11"/>
  <c r="J279" i="11"/>
  <c r="I279" i="11"/>
  <c r="H279" i="11"/>
  <c r="BG278" i="11"/>
  <c r="AZ278" i="11"/>
  <c r="AX278" i="11"/>
  <c r="AV278" i="11"/>
  <c r="AF278" i="11"/>
  <c r="AE278" i="11"/>
  <c r="AD278" i="11"/>
  <c r="AC278" i="11"/>
  <c r="J278" i="11"/>
  <c r="I278" i="11"/>
  <c r="H278" i="11"/>
  <c r="BG277" i="11"/>
  <c r="AZ277" i="11"/>
  <c r="AX277" i="11"/>
  <c r="AV277" i="11"/>
  <c r="AF277" i="11"/>
  <c r="AE277" i="11"/>
  <c r="AD277" i="11"/>
  <c r="AC277" i="11"/>
  <c r="J277" i="11"/>
  <c r="I277" i="11"/>
  <c r="H277" i="11"/>
  <c r="BG276" i="11"/>
  <c r="AZ276" i="11"/>
  <c r="AX276" i="11"/>
  <c r="AV276" i="11"/>
  <c r="AF276" i="11"/>
  <c r="AE276" i="11"/>
  <c r="AD276" i="11"/>
  <c r="AC276" i="11"/>
  <c r="J276" i="11"/>
  <c r="I276" i="11"/>
  <c r="H276" i="11"/>
  <c r="BG275" i="11"/>
  <c r="AZ275" i="11"/>
  <c r="AX275" i="11"/>
  <c r="AV275" i="11"/>
  <c r="AF275" i="11"/>
  <c r="AE275" i="11"/>
  <c r="AD275" i="11"/>
  <c r="AC275" i="11"/>
  <c r="J275" i="11"/>
  <c r="I275" i="11"/>
  <c r="H275" i="11"/>
  <c r="BG274" i="11"/>
  <c r="AZ274" i="11"/>
  <c r="AX274" i="11"/>
  <c r="AV274" i="11"/>
  <c r="AF274" i="11"/>
  <c r="AE274" i="11"/>
  <c r="AD274" i="11"/>
  <c r="AC274" i="11"/>
  <c r="J274" i="11"/>
  <c r="I274" i="11"/>
  <c r="H274" i="11"/>
  <c r="BG273" i="11"/>
  <c r="AZ273" i="11"/>
  <c r="AX273" i="11"/>
  <c r="AV273" i="11"/>
  <c r="AF273" i="11"/>
  <c r="AE273" i="11"/>
  <c r="AD273" i="11"/>
  <c r="AC273" i="11"/>
  <c r="J273" i="11"/>
  <c r="I273" i="11"/>
  <c r="H273" i="11"/>
  <c r="BG272" i="11"/>
  <c r="AZ272" i="11"/>
  <c r="AX272" i="11"/>
  <c r="AV272" i="11"/>
  <c r="AF272" i="11"/>
  <c r="AE272" i="11"/>
  <c r="AD272" i="11"/>
  <c r="AC272" i="11"/>
  <c r="J272" i="11"/>
  <c r="I272" i="11"/>
  <c r="H272" i="11"/>
  <c r="BG271" i="11"/>
  <c r="AZ271" i="11"/>
  <c r="AX271" i="11"/>
  <c r="AV271" i="11"/>
  <c r="AF271" i="11"/>
  <c r="AE271" i="11"/>
  <c r="AD271" i="11"/>
  <c r="AC271" i="11"/>
  <c r="J271" i="11"/>
  <c r="I271" i="11"/>
  <c r="H271" i="11"/>
  <c r="BG270" i="11"/>
  <c r="AZ270" i="11"/>
  <c r="AX270" i="11"/>
  <c r="AV270" i="11"/>
  <c r="AF270" i="11"/>
  <c r="AE270" i="11"/>
  <c r="AD270" i="11"/>
  <c r="J270" i="11"/>
  <c r="I270" i="11"/>
  <c r="H270" i="11"/>
  <c r="BG269" i="11"/>
  <c r="AZ269" i="11"/>
  <c r="AX269" i="11"/>
  <c r="AV269" i="11"/>
  <c r="AF269" i="11"/>
  <c r="AE269" i="11"/>
  <c r="AD269" i="11"/>
  <c r="AC269" i="11"/>
  <c r="J269" i="11"/>
  <c r="I269" i="11"/>
  <c r="H269" i="11"/>
  <c r="BG268" i="11"/>
  <c r="AZ268" i="11"/>
  <c r="AX268" i="11"/>
  <c r="AV268" i="11"/>
  <c r="AF268" i="11"/>
  <c r="AE268" i="11"/>
  <c r="AD268" i="11"/>
  <c r="AC268" i="11"/>
  <c r="J268" i="11"/>
  <c r="I268" i="11"/>
  <c r="H268" i="11"/>
  <c r="BG267" i="11"/>
  <c r="AZ267" i="11"/>
  <c r="AX267" i="11"/>
  <c r="AV267" i="11"/>
  <c r="AF267" i="11"/>
  <c r="AE267" i="11"/>
  <c r="AD267" i="11"/>
  <c r="AC267" i="11"/>
  <c r="J267" i="11"/>
  <c r="I267" i="11"/>
  <c r="H267" i="11"/>
  <c r="BG266" i="11"/>
  <c r="AZ266" i="11"/>
  <c r="AX266" i="11"/>
  <c r="AV266" i="11"/>
  <c r="AF266" i="11"/>
  <c r="AE266" i="11"/>
  <c r="AD266" i="11"/>
  <c r="AC266" i="11"/>
  <c r="J266" i="11"/>
  <c r="I266" i="11"/>
  <c r="H266" i="11"/>
  <c r="BG265" i="11"/>
  <c r="AZ265" i="11"/>
  <c r="AX265" i="11"/>
  <c r="AV265" i="11"/>
  <c r="AF265" i="11"/>
  <c r="AE265" i="11"/>
  <c r="AD265" i="11"/>
  <c r="AC265" i="11"/>
  <c r="J265" i="11"/>
  <c r="I265" i="11"/>
  <c r="H265" i="11"/>
  <c r="BG264" i="11"/>
  <c r="AZ264" i="11"/>
  <c r="AX264" i="11"/>
  <c r="AV264" i="11"/>
  <c r="AF264" i="11"/>
  <c r="AE264" i="11"/>
  <c r="AD264" i="11"/>
  <c r="AC264" i="11"/>
  <c r="J264" i="11"/>
  <c r="I264" i="11"/>
  <c r="H264" i="11"/>
  <c r="BG263" i="11"/>
  <c r="AZ263" i="11"/>
  <c r="AX263" i="11"/>
  <c r="AV263" i="11"/>
  <c r="AF263" i="11"/>
  <c r="AE263" i="11"/>
  <c r="AD263" i="11"/>
  <c r="AC263" i="11"/>
  <c r="J263" i="11"/>
  <c r="I263" i="11"/>
  <c r="H263" i="11"/>
  <c r="BG262" i="11"/>
  <c r="AZ262" i="11"/>
  <c r="AX262" i="11"/>
  <c r="AV262" i="11"/>
  <c r="AF262" i="11"/>
  <c r="AE262" i="11"/>
  <c r="AD262" i="11"/>
  <c r="AC262" i="11"/>
  <c r="J262" i="11"/>
  <c r="I262" i="11"/>
  <c r="H262" i="11"/>
  <c r="BG261" i="11"/>
  <c r="AZ261" i="11"/>
  <c r="AX261" i="11"/>
  <c r="AV261" i="11"/>
  <c r="AF261" i="11"/>
  <c r="AE261" i="11"/>
  <c r="AD261" i="11"/>
  <c r="AC261" i="11"/>
  <c r="J261" i="11"/>
  <c r="I261" i="11"/>
  <c r="H261" i="11"/>
  <c r="BG260" i="11"/>
  <c r="AZ260" i="11"/>
  <c r="AX260" i="11"/>
  <c r="AV260" i="11"/>
  <c r="AF260" i="11"/>
  <c r="AE260" i="11"/>
  <c r="AD260" i="11"/>
  <c r="AC260" i="11"/>
  <c r="J260" i="11"/>
  <c r="I260" i="11"/>
  <c r="H260" i="11"/>
  <c r="BG259" i="11"/>
  <c r="AZ259" i="11"/>
  <c r="AX259" i="11"/>
  <c r="AV259" i="11"/>
  <c r="AF259" i="11"/>
  <c r="AE259" i="11"/>
  <c r="AD259" i="11"/>
  <c r="AC259" i="11"/>
  <c r="J259" i="11"/>
  <c r="I259" i="11"/>
  <c r="H259" i="11"/>
  <c r="BG258" i="11"/>
  <c r="AZ258" i="11"/>
  <c r="AX258" i="11"/>
  <c r="AV258" i="11"/>
  <c r="AF258" i="11"/>
  <c r="AE258" i="11"/>
  <c r="AD258" i="11"/>
  <c r="AC258" i="11"/>
  <c r="J258" i="11"/>
  <c r="I258" i="11"/>
  <c r="H258" i="11"/>
  <c r="BG257" i="11"/>
  <c r="AZ257" i="11"/>
  <c r="AX257" i="11"/>
  <c r="AV257" i="11"/>
  <c r="AF257" i="11"/>
  <c r="AE257" i="11"/>
  <c r="AD257" i="11"/>
  <c r="AC257" i="11"/>
  <c r="J257" i="11"/>
  <c r="I257" i="11"/>
  <c r="H257" i="11"/>
  <c r="BG256" i="11"/>
  <c r="AZ256" i="11"/>
  <c r="AX256" i="11"/>
  <c r="AV256" i="11"/>
  <c r="AF256" i="11"/>
  <c r="AE256" i="11"/>
  <c r="AD256" i="11"/>
  <c r="AC256" i="11"/>
  <c r="J256" i="11"/>
  <c r="I256" i="11"/>
  <c r="H256" i="11"/>
  <c r="BG255" i="11"/>
  <c r="AZ255" i="11"/>
  <c r="AX255" i="11"/>
  <c r="AV255" i="11"/>
  <c r="AF255" i="11"/>
  <c r="AE255" i="11"/>
  <c r="AD255" i="11"/>
  <c r="AC255" i="11"/>
  <c r="J255" i="11"/>
  <c r="I255" i="11"/>
  <c r="H255" i="11"/>
  <c r="BG251" i="11"/>
  <c r="AZ251" i="11"/>
  <c r="AX251" i="11"/>
  <c r="AV251" i="11"/>
  <c r="AL251" i="11"/>
  <c r="AN251" i="11" s="1"/>
  <c r="AI251" i="11"/>
  <c r="AK251" i="11" s="1"/>
  <c r="AF251" i="11"/>
  <c r="AE251" i="11"/>
  <c r="AD251" i="11"/>
  <c r="AC251" i="11"/>
  <c r="J251" i="11"/>
  <c r="I251" i="11"/>
  <c r="H251" i="11"/>
  <c r="BG250" i="11"/>
  <c r="AZ250" i="11"/>
  <c r="AX250" i="11"/>
  <c r="AV250" i="11"/>
  <c r="AL250" i="11"/>
  <c r="AN250" i="11" s="1"/>
  <c r="AI250" i="11"/>
  <c r="AJ250" i="11" s="1"/>
  <c r="AF250" i="11"/>
  <c r="AE250" i="11"/>
  <c r="AD250" i="11"/>
  <c r="AC250" i="11"/>
  <c r="J250" i="11"/>
  <c r="I250" i="11"/>
  <c r="H250" i="11"/>
  <c r="BG249" i="11"/>
  <c r="AZ249" i="11"/>
  <c r="AX249" i="11"/>
  <c r="AV249" i="11"/>
  <c r="AL249" i="11"/>
  <c r="AN249" i="11" s="1"/>
  <c r="AI249" i="11"/>
  <c r="AK249" i="11" s="1"/>
  <c r="AF249" i="11"/>
  <c r="AE249" i="11"/>
  <c r="AD249" i="11"/>
  <c r="AC249" i="11"/>
  <c r="J249" i="11"/>
  <c r="I249" i="11"/>
  <c r="H249" i="11"/>
  <c r="BG248" i="11"/>
  <c r="AZ248" i="11"/>
  <c r="AX248" i="11"/>
  <c r="AV248" i="11"/>
  <c r="AL248" i="11"/>
  <c r="AM248" i="11" s="1"/>
  <c r="AI248" i="11"/>
  <c r="AJ248" i="11" s="1"/>
  <c r="AF248" i="11"/>
  <c r="AE248" i="11"/>
  <c r="AD248" i="11"/>
  <c r="AC248" i="11"/>
  <c r="J248" i="11"/>
  <c r="I248" i="11"/>
  <c r="H248" i="11"/>
  <c r="BG247" i="11"/>
  <c r="AZ247" i="11"/>
  <c r="AX247" i="11"/>
  <c r="AV247" i="11"/>
  <c r="AL247" i="11"/>
  <c r="AN247" i="11" s="1"/>
  <c r="AI247" i="11"/>
  <c r="AK247" i="11" s="1"/>
  <c r="AF247" i="11"/>
  <c r="AE247" i="11"/>
  <c r="AD247" i="11"/>
  <c r="AC247" i="11"/>
  <c r="J247" i="11"/>
  <c r="I247" i="11"/>
  <c r="H247" i="11"/>
  <c r="BG246" i="11"/>
  <c r="AZ246" i="11"/>
  <c r="AX246" i="11"/>
  <c r="AV246" i="11"/>
  <c r="AL246" i="11"/>
  <c r="AN246" i="11" s="1"/>
  <c r="AI246" i="11"/>
  <c r="AK246" i="11" s="1"/>
  <c r="AF246" i="11"/>
  <c r="AE246" i="11"/>
  <c r="AD246" i="11"/>
  <c r="AC246" i="11"/>
  <c r="J246" i="11"/>
  <c r="I246" i="11"/>
  <c r="H246" i="11"/>
  <c r="BG245" i="11"/>
  <c r="AZ245" i="11"/>
  <c r="AX245" i="11"/>
  <c r="AV245" i="11"/>
  <c r="AL245" i="11"/>
  <c r="AN245" i="11" s="1"/>
  <c r="AI245" i="11"/>
  <c r="AF245" i="11"/>
  <c r="AE245" i="11"/>
  <c r="AD245" i="11"/>
  <c r="AC245" i="11"/>
  <c r="J245" i="11"/>
  <c r="I245" i="11"/>
  <c r="H245" i="11"/>
  <c r="BG244" i="11"/>
  <c r="AZ244" i="11"/>
  <c r="AX244" i="11"/>
  <c r="AV244" i="11"/>
  <c r="AL244" i="11"/>
  <c r="AI244" i="11"/>
  <c r="AK244" i="11" s="1"/>
  <c r="AF244" i="11"/>
  <c r="AE244" i="11"/>
  <c r="AD244" i="11"/>
  <c r="AC244" i="11"/>
  <c r="J244" i="11"/>
  <c r="I244" i="11"/>
  <c r="H244" i="11"/>
  <c r="BG243" i="11"/>
  <c r="AZ243" i="11"/>
  <c r="AX243" i="11"/>
  <c r="AV243" i="11"/>
  <c r="AL243" i="11"/>
  <c r="AN243" i="11" s="1"/>
  <c r="AI243" i="11"/>
  <c r="AK243" i="11" s="1"/>
  <c r="AF243" i="11"/>
  <c r="AE243" i="11"/>
  <c r="AD243" i="11"/>
  <c r="AC243" i="11"/>
  <c r="J243" i="11"/>
  <c r="I243" i="11"/>
  <c r="H243" i="11"/>
  <c r="BG242" i="11"/>
  <c r="AZ242" i="11"/>
  <c r="AX242" i="11"/>
  <c r="AV242" i="11"/>
  <c r="AL242" i="11"/>
  <c r="AN242" i="11" s="1"/>
  <c r="AI242" i="11"/>
  <c r="AK242" i="11" s="1"/>
  <c r="AF242" i="11"/>
  <c r="AE242" i="11"/>
  <c r="AD242" i="11"/>
  <c r="AC242" i="11"/>
  <c r="J242" i="11"/>
  <c r="I242" i="11"/>
  <c r="H242" i="11"/>
  <c r="BG241" i="11"/>
  <c r="AZ241" i="11"/>
  <c r="AX241" i="11"/>
  <c r="AF241" i="11"/>
  <c r="AE241" i="11"/>
  <c r="AD241" i="11"/>
  <c r="AC241" i="11"/>
  <c r="J241" i="11"/>
  <c r="I241" i="11"/>
  <c r="H241" i="11"/>
  <c r="BG240" i="11"/>
  <c r="AZ240" i="11"/>
  <c r="AX240" i="11"/>
  <c r="AF240" i="11"/>
  <c r="AE240" i="11"/>
  <c r="AD240" i="11"/>
  <c r="AC240" i="11"/>
  <c r="J240" i="11"/>
  <c r="I240" i="11"/>
  <c r="H240" i="11"/>
  <c r="BG239" i="11"/>
  <c r="AZ239" i="11"/>
  <c r="AX239" i="11"/>
  <c r="AF239" i="11"/>
  <c r="AE239" i="11"/>
  <c r="AD239" i="11"/>
  <c r="AC239" i="11"/>
  <c r="J239" i="11"/>
  <c r="I239" i="11"/>
  <c r="H239" i="11"/>
  <c r="BG238" i="11"/>
  <c r="AZ238" i="11"/>
  <c r="AX238" i="11"/>
  <c r="AF238" i="11"/>
  <c r="AE238" i="11"/>
  <c r="AD238" i="11"/>
  <c r="AC238" i="11"/>
  <c r="J238" i="11"/>
  <c r="I238" i="11"/>
  <c r="H238" i="11"/>
  <c r="BG237" i="11"/>
  <c r="AZ237" i="11"/>
  <c r="AX237" i="11"/>
  <c r="AF237" i="11"/>
  <c r="AE237" i="11"/>
  <c r="AD237" i="11"/>
  <c r="AC237" i="11"/>
  <c r="J237" i="11"/>
  <c r="I237" i="11"/>
  <c r="H237" i="11"/>
  <c r="BG230" i="11"/>
  <c r="AZ230" i="11"/>
  <c r="AX230" i="11"/>
  <c r="AV230" i="11"/>
  <c r="AL230" i="11"/>
  <c r="AN230" i="11" s="1"/>
  <c r="AI230" i="11"/>
  <c r="AK230" i="11" s="1"/>
  <c r="AF230" i="11"/>
  <c r="AE230" i="11"/>
  <c r="AD230" i="11"/>
  <c r="AC230" i="11"/>
  <c r="J230" i="11"/>
  <c r="I230" i="11"/>
  <c r="H230" i="11"/>
  <c r="BG229" i="11"/>
  <c r="AZ229" i="11"/>
  <c r="AX229" i="11"/>
  <c r="AV229" i="11"/>
  <c r="AL229" i="11"/>
  <c r="AN229" i="11" s="1"/>
  <c r="AI229" i="11"/>
  <c r="AK229" i="11" s="1"/>
  <c r="AF229" i="11"/>
  <c r="AE229" i="11"/>
  <c r="AD229" i="11"/>
  <c r="AC229" i="11"/>
  <c r="J229" i="11"/>
  <c r="I229" i="11"/>
  <c r="H229" i="11"/>
  <c r="BG228" i="11"/>
  <c r="AZ228" i="11"/>
  <c r="AF228" i="11"/>
  <c r="AE228" i="11"/>
  <c r="AD228" i="11"/>
  <c r="J228" i="11"/>
  <c r="I228" i="11"/>
  <c r="H228" i="11"/>
  <c r="BG227" i="11"/>
  <c r="AZ227" i="11"/>
  <c r="AF227" i="11"/>
  <c r="AE227" i="11"/>
  <c r="AD227" i="11"/>
  <c r="AC227" i="11"/>
  <c r="J227" i="11"/>
  <c r="I227" i="11"/>
  <c r="H227" i="11"/>
  <c r="BG226" i="11"/>
  <c r="AZ226" i="11"/>
  <c r="AF226" i="11"/>
  <c r="AE226" i="11"/>
  <c r="AD226" i="11"/>
  <c r="AC226" i="11"/>
  <c r="J226" i="11"/>
  <c r="I226" i="11"/>
  <c r="H226" i="11"/>
  <c r="AZ225" i="11"/>
  <c r="AV225" i="11"/>
  <c r="AF225" i="11"/>
  <c r="AE225" i="11"/>
  <c r="AD225" i="11"/>
  <c r="AC225" i="11"/>
  <c r="J225" i="11"/>
  <c r="I225" i="11"/>
  <c r="H225" i="11"/>
  <c r="BG224" i="11"/>
  <c r="AZ224" i="11"/>
  <c r="AX224" i="11"/>
  <c r="AV224" i="11"/>
  <c r="AN224" i="11"/>
  <c r="AM224" i="11"/>
  <c r="AK224" i="11"/>
  <c r="AJ224" i="11"/>
  <c r="AF224" i="11"/>
  <c r="AE224" i="11"/>
  <c r="AD224" i="11"/>
  <c r="AC224" i="11"/>
  <c r="J224" i="11"/>
  <c r="I224" i="11"/>
  <c r="H224" i="11"/>
  <c r="BG223" i="11"/>
  <c r="AZ223" i="11"/>
  <c r="AX223" i="11"/>
  <c r="AV223" i="11"/>
  <c r="AN223" i="11"/>
  <c r="AM223" i="11"/>
  <c r="AK223" i="11"/>
  <c r="AJ223" i="11"/>
  <c r="AF223" i="11"/>
  <c r="AE223" i="11"/>
  <c r="AD223" i="11"/>
  <c r="AC223" i="11"/>
  <c r="J223" i="11"/>
  <c r="I223" i="11"/>
  <c r="H223" i="11"/>
  <c r="BG222" i="11"/>
  <c r="AZ222" i="11"/>
  <c r="AX222" i="11"/>
  <c r="AF222" i="11"/>
  <c r="AE222" i="11"/>
  <c r="AD222" i="11"/>
  <c r="AC222" i="11"/>
  <c r="J222" i="11"/>
  <c r="I222" i="11"/>
  <c r="H222" i="11"/>
  <c r="BG221" i="11"/>
  <c r="AZ221" i="11"/>
  <c r="AX221" i="11"/>
  <c r="AF221" i="11"/>
  <c r="AE221" i="11"/>
  <c r="AD221" i="11"/>
  <c r="AC221" i="11"/>
  <c r="J221" i="11"/>
  <c r="I221" i="11"/>
  <c r="H221" i="11"/>
  <c r="BG220" i="11"/>
  <c r="AZ220" i="11"/>
  <c r="AX220" i="11"/>
  <c r="AF220" i="11"/>
  <c r="AE220" i="11"/>
  <c r="AD220" i="11"/>
  <c r="AC220" i="11"/>
  <c r="J220" i="11"/>
  <c r="I220" i="11"/>
  <c r="H220" i="11"/>
  <c r="BG219" i="11"/>
  <c r="AZ219" i="11"/>
  <c r="AX219" i="11"/>
  <c r="AF219" i="11"/>
  <c r="AE219" i="11"/>
  <c r="AD219" i="11"/>
  <c r="AC219" i="11"/>
  <c r="J219" i="11"/>
  <c r="I219" i="11"/>
  <c r="H219" i="11"/>
  <c r="BG218" i="11"/>
  <c r="AZ218" i="11"/>
  <c r="AX218" i="11"/>
  <c r="AF218" i="11"/>
  <c r="AE218" i="11"/>
  <c r="AD218" i="11"/>
  <c r="T218" i="11"/>
  <c r="K218" i="11"/>
  <c r="W218" i="11" s="1"/>
  <c r="Y218" i="11" s="1"/>
  <c r="J218" i="11"/>
  <c r="I218" i="11"/>
  <c r="H218" i="11"/>
  <c r="BG778" i="11"/>
  <c r="BE778" i="11"/>
  <c r="BF778" i="11" s="1"/>
  <c r="AF778" i="11"/>
  <c r="AE778" i="11"/>
  <c r="AD778" i="11"/>
  <c r="T778" i="11"/>
  <c r="K778" i="11"/>
  <c r="W778" i="11" s="1"/>
  <c r="Y778" i="11" s="1"/>
  <c r="J778" i="11"/>
  <c r="I778" i="11"/>
  <c r="H778" i="11"/>
  <c r="BG777" i="11"/>
  <c r="BE777" i="11"/>
  <c r="BF777" i="11" s="1"/>
  <c r="AF777" i="11"/>
  <c r="AE777" i="11"/>
  <c r="AD777" i="11"/>
  <c r="T777" i="11"/>
  <c r="K777" i="11"/>
  <c r="W777" i="11" s="1"/>
  <c r="Y777" i="11" s="1"/>
  <c r="J777" i="11"/>
  <c r="I777" i="11"/>
  <c r="H777" i="11"/>
  <c r="BG776" i="11"/>
  <c r="BE776" i="11"/>
  <c r="BF776" i="11" s="1"/>
  <c r="AF776" i="11"/>
  <c r="AE776" i="11"/>
  <c r="AD776" i="11"/>
  <c r="T776" i="11"/>
  <c r="K776" i="11"/>
  <c r="W776" i="11" s="1"/>
  <c r="Y776" i="11" s="1"/>
  <c r="J776" i="11"/>
  <c r="I776" i="11"/>
  <c r="H776" i="11"/>
  <c r="BG775" i="11"/>
  <c r="BE775" i="11"/>
  <c r="BF775" i="11" s="1"/>
  <c r="AF775" i="11"/>
  <c r="AE775" i="11"/>
  <c r="AD775" i="11"/>
  <c r="T775" i="11"/>
  <c r="K775" i="11"/>
  <c r="W775" i="11" s="1"/>
  <c r="Y775" i="11" s="1"/>
  <c r="J775" i="11"/>
  <c r="I775" i="11"/>
  <c r="H775" i="11"/>
  <c r="BG774" i="11"/>
  <c r="BE774" i="11"/>
  <c r="BF774" i="11" s="1"/>
  <c r="AF774" i="11"/>
  <c r="AE774" i="11"/>
  <c r="AD774" i="11"/>
  <c r="T774" i="11"/>
  <c r="K774" i="11"/>
  <c r="W774" i="11" s="1"/>
  <c r="Y774" i="11" s="1"/>
  <c r="J774" i="11"/>
  <c r="I774" i="11"/>
  <c r="H774" i="11"/>
  <c r="BG773" i="11"/>
  <c r="BE773" i="11"/>
  <c r="BF773" i="11" s="1"/>
  <c r="AF773" i="11"/>
  <c r="AE773" i="11"/>
  <c r="AD773" i="11"/>
  <c r="T773" i="11"/>
  <c r="K773" i="11"/>
  <c r="W773" i="11" s="1"/>
  <c r="Y773" i="11" s="1"/>
  <c r="J773" i="11"/>
  <c r="I773" i="11"/>
  <c r="H773" i="11"/>
  <c r="BG772" i="11"/>
  <c r="BE772" i="11"/>
  <c r="BF772" i="11" s="1"/>
  <c r="AF772" i="11"/>
  <c r="AE772" i="11"/>
  <c r="AD772" i="11"/>
  <c r="T772" i="11"/>
  <c r="K772" i="11"/>
  <c r="W772" i="11" s="1"/>
  <c r="Y772" i="11" s="1"/>
  <c r="J772" i="11"/>
  <c r="I772" i="11"/>
  <c r="H772" i="11"/>
  <c r="BG771" i="11"/>
  <c r="BE771" i="11"/>
  <c r="BF771" i="11" s="1"/>
  <c r="AF771" i="11"/>
  <c r="AE771" i="11"/>
  <c r="AD771" i="11"/>
  <c r="T771" i="11"/>
  <c r="K771" i="11"/>
  <c r="W771" i="11" s="1"/>
  <c r="Y771" i="11" s="1"/>
  <c r="J771" i="11"/>
  <c r="I771" i="11"/>
  <c r="H771" i="11"/>
  <c r="BG770" i="11"/>
  <c r="BE770" i="11"/>
  <c r="BF770" i="11" s="1"/>
  <c r="AF770" i="11"/>
  <c r="AE770" i="11"/>
  <c r="AD770" i="11"/>
  <c r="T770" i="11"/>
  <c r="K770" i="11"/>
  <c r="W770" i="11" s="1"/>
  <c r="Y770" i="11" s="1"/>
  <c r="J770" i="11"/>
  <c r="I770" i="11"/>
  <c r="H770" i="11"/>
  <c r="BG769" i="11"/>
  <c r="BE769" i="11"/>
  <c r="BF769" i="11" s="1"/>
  <c r="AF769" i="11"/>
  <c r="AE769" i="11"/>
  <c r="AD769" i="11"/>
  <c r="T769" i="11"/>
  <c r="K769" i="11"/>
  <c r="W769" i="11" s="1"/>
  <c r="Y769" i="11" s="1"/>
  <c r="J769" i="11"/>
  <c r="I769" i="11"/>
  <c r="H769" i="11"/>
  <c r="BL768" i="11"/>
  <c r="BN768" i="11" s="1"/>
  <c r="AZ768" i="11"/>
  <c r="AF768" i="11"/>
  <c r="AE768" i="11"/>
  <c r="AD768" i="11"/>
  <c r="T768" i="11"/>
  <c r="K768" i="11"/>
  <c r="W768" i="11" s="1"/>
  <c r="Y768" i="11" s="1"/>
  <c r="J768" i="11"/>
  <c r="I768" i="11"/>
  <c r="H768" i="11"/>
  <c r="BG767" i="11"/>
  <c r="AZ767" i="11"/>
  <c r="AX767" i="11"/>
  <c r="AF767" i="11"/>
  <c r="AE767" i="11"/>
  <c r="AD767" i="11"/>
  <c r="T767" i="11"/>
  <c r="K767" i="11"/>
  <c r="W767" i="11" s="1"/>
  <c r="Y767" i="11" s="1"/>
  <c r="J767" i="11"/>
  <c r="I767" i="11"/>
  <c r="H767" i="11"/>
  <c r="BG766" i="11"/>
  <c r="AZ766" i="11"/>
  <c r="AX766" i="11"/>
  <c r="AF766" i="11"/>
  <c r="AE766" i="11"/>
  <c r="AD766" i="11"/>
  <c r="T766" i="11"/>
  <c r="K766" i="11"/>
  <c r="W766" i="11" s="1"/>
  <c r="Y766" i="11" s="1"/>
  <c r="J766" i="11"/>
  <c r="I766" i="11"/>
  <c r="H766" i="11"/>
  <c r="BG217" i="11"/>
  <c r="BE217" i="11"/>
  <c r="BF217" i="11" s="1"/>
  <c r="AF217" i="11"/>
  <c r="AE217" i="11"/>
  <c r="AD217" i="11"/>
  <c r="T217" i="11"/>
  <c r="K217" i="11"/>
  <c r="W217" i="11" s="1"/>
  <c r="Y217" i="11" s="1"/>
  <c r="J217" i="11"/>
  <c r="I217" i="11"/>
  <c r="H217" i="11"/>
  <c r="BG216" i="11"/>
  <c r="BE216" i="11"/>
  <c r="BF216" i="11" s="1"/>
  <c r="AF216" i="11"/>
  <c r="AE216" i="11"/>
  <c r="AD216" i="11"/>
  <c r="T216" i="11"/>
  <c r="K216" i="11"/>
  <c r="W216" i="11" s="1"/>
  <c r="Y216" i="11" s="1"/>
  <c r="J216" i="11"/>
  <c r="I216" i="11"/>
  <c r="H216" i="11"/>
  <c r="BG215" i="11"/>
  <c r="BE215" i="11"/>
  <c r="BF215" i="11" s="1"/>
  <c r="AF215" i="11"/>
  <c r="AE215" i="11"/>
  <c r="AD215" i="11"/>
  <c r="T215" i="11"/>
  <c r="K215" i="11"/>
  <c r="W215" i="11" s="1"/>
  <c r="Y215" i="11" s="1"/>
  <c r="J215" i="11"/>
  <c r="I215" i="11"/>
  <c r="H215" i="11"/>
  <c r="BG214" i="11"/>
  <c r="BE214" i="11"/>
  <c r="BF214" i="11" s="1"/>
  <c r="AF214" i="11"/>
  <c r="AE214" i="11"/>
  <c r="AD214" i="11"/>
  <c r="T214" i="11"/>
  <c r="K214" i="11"/>
  <c r="W214" i="11" s="1"/>
  <c r="Y214" i="11" s="1"/>
  <c r="J214" i="11"/>
  <c r="I214" i="11"/>
  <c r="H214" i="11"/>
  <c r="BG213" i="11"/>
  <c r="BE213" i="11"/>
  <c r="BF213" i="11" s="1"/>
  <c r="AF213" i="11"/>
  <c r="AE213" i="11"/>
  <c r="AD213" i="11"/>
  <c r="T213" i="11"/>
  <c r="K213" i="11"/>
  <c r="W213" i="11" s="1"/>
  <c r="Y213" i="11" s="1"/>
  <c r="J213" i="11"/>
  <c r="I213" i="11"/>
  <c r="H213" i="11"/>
  <c r="BG212" i="11"/>
  <c r="BE212" i="11"/>
  <c r="BF212" i="11" s="1"/>
  <c r="AF212" i="11"/>
  <c r="AE212" i="11"/>
  <c r="AD212" i="11"/>
  <c r="T212" i="11"/>
  <c r="K212" i="11"/>
  <c r="W212" i="11" s="1"/>
  <c r="Y212" i="11" s="1"/>
  <c r="J212" i="11"/>
  <c r="I212" i="11"/>
  <c r="H212" i="11"/>
  <c r="BG211" i="11"/>
  <c r="BE211" i="11"/>
  <c r="BF211" i="11" s="1"/>
  <c r="AF211" i="11"/>
  <c r="AE211" i="11"/>
  <c r="AD211" i="11"/>
  <c r="T211" i="11"/>
  <c r="K211" i="11"/>
  <c r="W211" i="11" s="1"/>
  <c r="Y211" i="11" s="1"/>
  <c r="J211" i="11"/>
  <c r="I211" i="11"/>
  <c r="H211" i="11"/>
  <c r="BG210" i="11"/>
  <c r="BE210" i="11"/>
  <c r="BF210" i="11" s="1"/>
  <c r="AF210" i="11"/>
  <c r="AE210" i="11"/>
  <c r="AD210" i="11"/>
  <c r="T210" i="11"/>
  <c r="K210" i="11"/>
  <c r="W210" i="11" s="1"/>
  <c r="Y210" i="11" s="1"/>
  <c r="J210" i="11"/>
  <c r="I210" i="11"/>
  <c r="H210" i="11"/>
  <c r="BG209" i="11"/>
  <c r="BE209" i="11"/>
  <c r="BF209" i="11" s="1"/>
  <c r="AF209" i="11"/>
  <c r="AE209" i="11"/>
  <c r="AD209" i="11"/>
  <c r="T209" i="11"/>
  <c r="K209" i="11"/>
  <c r="W209" i="11" s="1"/>
  <c r="Y209" i="11" s="1"/>
  <c r="J209" i="11"/>
  <c r="I209" i="11"/>
  <c r="H209" i="11"/>
  <c r="BG208" i="11"/>
  <c r="BE208" i="11"/>
  <c r="BF208" i="11" s="1"/>
  <c r="AF208" i="11"/>
  <c r="AE208" i="11"/>
  <c r="AD208" i="11"/>
  <c r="T208" i="11"/>
  <c r="K208" i="11"/>
  <c r="W208" i="11" s="1"/>
  <c r="Y208" i="11" s="1"/>
  <c r="J208" i="11"/>
  <c r="I208" i="11"/>
  <c r="H208" i="11"/>
  <c r="BG204" i="11"/>
  <c r="AZ204" i="11"/>
  <c r="AX204" i="11"/>
  <c r="AF204" i="11"/>
  <c r="AE204" i="11"/>
  <c r="AD204" i="11"/>
  <c r="T204" i="11"/>
  <c r="K204" i="11"/>
  <c r="W204" i="11" s="1"/>
  <c r="Y204" i="11" s="1"/>
  <c r="J204" i="11"/>
  <c r="I204" i="11"/>
  <c r="H204" i="11"/>
  <c r="BG203" i="11"/>
  <c r="AZ203" i="11"/>
  <c r="AX203" i="11"/>
  <c r="AF203" i="11"/>
  <c r="AE203" i="11"/>
  <c r="AD203" i="11"/>
  <c r="T203" i="11"/>
  <c r="K203" i="11"/>
  <c r="W203" i="11" s="1"/>
  <c r="Y203" i="11" s="1"/>
  <c r="J203" i="11"/>
  <c r="I203" i="11"/>
  <c r="H203" i="11"/>
  <c r="BG202" i="11"/>
  <c r="AZ202" i="11"/>
  <c r="AX202" i="11"/>
  <c r="AF202" i="11"/>
  <c r="AE202" i="11"/>
  <c r="AD202" i="11"/>
  <c r="T202" i="11"/>
  <c r="K202" i="11"/>
  <c r="W202" i="11" s="1"/>
  <c r="Y202" i="11" s="1"/>
  <c r="J202" i="11"/>
  <c r="I202" i="11"/>
  <c r="H202" i="11"/>
  <c r="BG201" i="11"/>
  <c r="AZ201" i="11"/>
  <c r="AW201" i="11"/>
  <c r="AP201" i="11"/>
  <c r="AF201" i="11"/>
  <c r="AE201" i="11"/>
  <c r="AD201" i="11"/>
  <c r="T201" i="11"/>
  <c r="K201" i="11"/>
  <c r="W201" i="11" s="1"/>
  <c r="Y201" i="11" s="1"/>
  <c r="J201" i="11"/>
  <c r="I201" i="11"/>
  <c r="H201" i="11"/>
  <c r="AZ198" i="11"/>
  <c r="AX198" i="11"/>
  <c r="AF198" i="11"/>
  <c r="AE198" i="11"/>
  <c r="AD198" i="11"/>
  <c r="T198" i="11"/>
  <c r="K198" i="11"/>
  <c r="W198" i="11" s="1"/>
  <c r="Y198" i="11" s="1"/>
  <c r="J198" i="11"/>
  <c r="I198" i="11"/>
  <c r="H198" i="11"/>
  <c r="BG197" i="11"/>
  <c r="AZ197" i="11"/>
  <c r="AX197" i="11"/>
  <c r="AV197" i="11"/>
  <c r="AN197" i="11"/>
  <c r="AM197" i="11"/>
  <c r="AK197" i="11"/>
  <c r="AJ197" i="11"/>
  <c r="AF197" i="11"/>
  <c r="AE197" i="11"/>
  <c r="AD197" i="11"/>
  <c r="T197" i="11"/>
  <c r="K197" i="11"/>
  <c r="W197" i="11" s="1"/>
  <c r="Y197" i="11" s="1"/>
  <c r="J197" i="11"/>
  <c r="I197" i="11"/>
  <c r="H197" i="11"/>
  <c r="BG196" i="11"/>
  <c r="AZ196" i="11"/>
  <c r="AX196" i="11"/>
  <c r="AV196" i="11"/>
  <c r="AN196" i="11"/>
  <c r="AM196" i="11"/>
  <c r="AK196" i="11"/>
  <c r="AJ196" i="11"/>
  <c r="AF196" i="11"/>
  <c r="AE196" i="11"/>
  <c r="AD196" i="11"/>
  <c r="T196" i="11"/>
  <c r="K196" i="11"/>
  <c r="W196" i="11" s="1"/>
  <c r="Y196" i="11" s="1"/>
  <c r="J196" i="11"/>
  <c r="I196" i="11"/>
  <c r="H196" i="11"/>
  <c r="BG195" i="11"/>
  <c r="AF195" i="11"/>
  <c r="AE195" i="11"/>
  <c r="AD195" i="11"/>
  <c r="T195" i="11"/>
  <c r="K195" i="11"/>
  <c r="W195" i="11" s="1"/>
  <c r="Y195" i="11" s="1"/>
  <c r="J195" i="11"/>
  <c r="I195" i="11"/>
  <c r="H195" i="11"/>
  <c r="BG194" i="11"/>
  <c r="AF194" i="11"/>
  <c r="AE194" i="11"/>
  <c r="AD194" i="11"/>
  <c r="T194" i="11"/>
  <c r="K194" i="11"/>
  <c r="W194" i="11" s="1"/>
  <c r="Y194" i="11" s="1"/>
  <c r="J194" i="11"/>
  <c r="I194" i="11"/>
  <c r="H194" i="11"/>
  <c r="BG193" i="11"/>
  <c r="AF193" i="11"/>
  <c r="AE193" i="11"/>
  <c r="AD193" i="11"/>
  <c r="T193" i="11"/>
  <c r="K193" i="11"/>
  <c r="W193" i="11" s="1"/>
  <c r="Y193" i="11" s="1"/>
  <c r="J193" i="11"/>
  <c r="I193" i="11"/>
  <c r="H193" i="11"/>
  <c r="BG192" i="11"/>
  <c r="AZ192" i="11"/>
  <c r="AX192" i="11"/>
  <c r="AF192" i="11"/>
  <c r="AE192" i="11"/>
  <c r="AD192" i="11"/>
  <c r="T192" i="11"/>
  <c r="K192" i="11"/>
  <c r="W192" i="11" s="1"/>
  <c r="Y192" i="11" s="1"/>
  <c r="J192" i="11"/>
  <c r="I192" i="11"/>
  <c r="H192" i="11"/>
  <c r="BG191" i="11"/>
  <c r="AZ191" i="11"/>
  <c r="AX191" i="11"/>
  <c r="AF191" i="11"/>
  <c r="AE191" i="11"/>
  <c r="AD191" i="11"/>
  <c r="T191" i="11"/>
  <c r="K191" i="11"/>
  <c r="W191" i="11" s="1"/>
  <c r="Y191" i="11" s="1"/>
  <c r="J191" i="11"/>
  <c r="I191" i="11"/>
  <c r="H191" i="11"/>
  <c r="AX765" i="11"/>
  <c r="AL765" i="11"/>
  <c r="AN765" i="11" s="1"/>
  <c r="AI765" i="11"/>
  <c r="AF765" i="11"/>
  <c r="AE765" i="11"/>
  <c r="AD765" i="11"/>
  <c r="K765" i="11"/>
  <c r="J765" i="11"/>
  <c r="I765" i="11"/>
  <c r="H765" i="11"/>
  <c r="AX764" i="11"/>
  <c r="AL764" i="11"/>
  <c r="AI764" i="11"/>
  <c r="AK764" i="11" s="1"/>
  <c r="AF764" i="11"/>
  <c r="AE764" i="11"/>
  <c r="AD764" i="11"/>
  <c r="K764" i="11"/>
  <c r="J764" i="11"/>
  <c r="I764" i="11"/>
  <c r="H764" i="11"/>
  <c r="AX763" i="11"/>
  <c r="AL763" i="11"/>
  <c r="AN763" i="11" s="1"/>
  <c r="AI763" i="11"/>
  <c r="AF763" i="11"/>
  <c r="AE763" i="11"/>
  <c r="AD763" i="11"/>
  <c r="K763" i="11"/>
  <c r="J763" i="11"/>
  <c r="I763" i="11"/>
  <c r="H763" i="11"/>
  <c r="BG761" i="11"/>
  <c r="AX761" i="11"/>
  <c r="AV761" i="11"/>
  <c r="AN761" i="11"/>
  <c r="AM761" i="11"/>
  <c r="AK761" i="11"/>
  <c r="AJ761" i="11"/>
  <c r="AF761" i="11"/>
  <c r="AE761" i="11"/>
  <c r="AD761" i="11"/>
  <c r="K761" i="11"/>
  <c r="W761" i="11" s="1"/>
  <c r="Y761" i="11" s="1"/>
  <c r="J761" i="11"/>
  <c r="I761" i="11"/>
  <c r="H761" i="11"/>
  <c r="BG760" i="11"/>
  <c r="AX760" i="11"/>
  <c r="AV760" i="11"/>
  <c r="AN760" i="11"/>
  <c r="AM760" i="11"/>
  <c r="AK760" i="11"/>
  <c r="AJ760" i="11"/>
  <c r="AF760" i="11"/>
  <c r="AE760" i="11"/>
  <c r="AD760" i="11"/>
  <c r="K760" i="11"/>
  <c r="W760" i="11" s="1"/>
  <c r="Y760" i="11" s="1"/>
  <c r="J760" i="11"/>
  <c r="I760" i="11"/>
  <c r="H760" i="11"/>
  <c r="BG759" i="11"/>
  <c r="AX759" i="11"/>
  <c r="AV759" i="11"/>
  <c r="AN759" i="11"/>
  <c r="AM759" i="11"/>
  <c r="AK759" i="11"/>
  <c r="AJ759" i="11"/>
  <c r="AF759" i="11"/>
  <c r="AE759" i="11"/>
  <c r="AD759" i="11"/>
  <c r="K759" i="11"/>
  <c r="W759" i="11" s="1"/>
  <c r="Y759" i="11" s="1"/>
  <c r="J759" i="11"/>
  <c r="I759" i="11"/>
  <c r="H759" i="11"/>
  <c r="BG758" i="11"/>
  <c r="AX758" i="11"/>
  <c r="AV758" i="11"/>
  <c r="AN758" i="11"/>
  <c r="AM758" i="11"/>
  <c r="AK758" i="11"/>
  <c r="AJ758" i="11"/>
  <c r="AF758" i="11"/>
  <c r="AE758" i="11"/>
  <c r="AD758" i="11"/>
  <c r="K758" i="11"/>
  <c r="W758" i="11" s="1"/>
  <c r="Y758" i="11" s="1"/>
  <c r="J758" i="11"/>
  <c r="I758" i="11"/>
  <c r="H758" i="11"/>
  <c r="BG757" i="11"/>
  <c r="AX757" i="11"/>
  <c r="AV757" i="11"/>
  <c r="AN757" i="11"/>
  <c r="AM757" i="11"/>
  <c r="AK757" i="11"/>
  <c r="AJ757" i="11"/>
  <c r="AF757" i="11"/>
  <c r="AE757" i="11"/>
  <c r="AD757" i="11"/>
  <c r="K757" i="11"/>
  <c r="W757" i="11" s="1"/>
  <c r="Y757" i="11" s="1"/>
  <c r="J757" i="11"/>
  <c r="I757" i="11"/>
  <c r="H757" i="11"/>
  <c r="BG756" i="11"/>
  <c r="AX756" i="11"/>
  <c r="AV756" i="11"/>
  <c r="AN756" i="11"/>
  <c r="AM756" i="11"/>
  <c r="AK756" i="11"/>
  <c r="AJ756" i="11"/>
  <c r="AF756" i="11"/>
  <c r="AE756" i="11"/>
  <c r="AD756" i="11"/>
  <c r="K756" i="11"/>
  <c r="W756" i="11" s="1"/>
  <c r="Y756" i="11" s="1"/>
  <c r="J756" i="11"/>
  <c r="I756" i="11"/>
  <c r="H756" i="11"/>
  <c r="BG755" i="11"/>
  <c r="AX755" i="11"/>
  <c r="AV755" i="11"/>
  <c r="AN755" i="11"/>
  <c r="AM755" i="11"/>
  <c r="AK755" i="11"/>
  <c r="AJ755" i="11"/>
  <c r="AF755" i="11"/>
  <c r="AE755" i="11"/>
  <c r="AD755" i="11"/>
  <c r="K755" i="11"/>
  <c r="W755" i="11" s="1"/>
  <c r="Y755" i="11" s="1"/>
  <c r="J755" i="11"/>
  <c r="I755" i="11"/>
  <c r="H755" i="11"/>
  <c r="BG754" i="11"/>
  <c r="AX754" i="11"/>
  <c r="AV754" i="11"/>
  <c r="AN754" i="11"/>
  <c r="AM754" i="11"/>
  <c r="AK754" i="11"/>
  <c r="AJ754" i="11"/>
  <c r="AF754" i="11"/>
  <c r="AE754" i="11"/>
  <c r="AD754" i="11"/>
  <c r="K754" i="11"/>
  <c r="W754" i="11" s="1"/>
  <c r="Y754" i="11" s="1"/>
  <c r="J754" i="11"/>
  <c r="I754" i="11"/>
  <c r="H754" i="11"/>
  <c r="BG753" i="11"/>
  <c r="AX753" i="11"/>
  <c r="AV753" i="11"/>
  <c r="AN753" i="11"/>
  <c r="AM753" i="11"/>
  <c r="AK753" i="11"/>
  <c r="AJ753" i="11"/>
  <c r="AF753" i="11"/>
  <c r="AE753" i="11"/>
  <c r="AD753" i="11"/>
  <c r="K753" i="11"/>
  <c r="W753" i="11" s="1"/>
  <c r="Y753" i="11" s="1"/>
  <c r="J753" i="11"/>
  <c r="I753" i="11"/>
  <c r="H753" i="11"/>
  <c r="BG752" i="11"/>
  <c r="AX752" i="11"/>
  <c r="AV752" i="11"/>
  <c r="AN752" i="11"/>
  <c r="AM752" i="11"/>
  <c r="AK752" i="11"/>
  <c r="AJ752" i="11"/>
  <c r="AF752" i="11"/>
  <c r="AE752" i="11"/>
  <c r="AD752" i="11"/>
  <c r="K752" i="11"/>
  <c r="W752" i="11" s="1"/>
  <c r="Y752" i="11" s="1"/>
  <c r="J752" i="11"/>
  <c r="I752" i="11"/>
  <c r="H752" i="11"/>
  <c r="BG751" i="11"/>
  <c r="AX751" i="11"/>
  <c r="AV751" i="11"/>
  <c r="AN751" i="11"/>
  <c r="AM751" i="11"/>
  <c r="AK751" i="11"/>
  <c r="AJ751" i="11"/>
  <c r="AF751" i="11"/>
  <c r="AE751" i="11"/>
  <c r="AD751" i="11"/>
  <c r="K751" i="11"/>
  <c r="W751" i="11" s="1"/>
  <c r="Y751" i="11" s="1"/>
  <c r="J751" i="11"/>
  <c r="I751" i="11"/>
  <c r="H751" i="11"/>
  <c r="BG750" i="11"/>
  <c r="AX750" i="11"/>
  <c r="AV750" i="11"/>
  <c r="AN750" i="11"/>
  <c r="AM750" i="11"/>
  <c r="AK750" i="11"/>
  <c r="AJ750" i="11"/>
  <c r="AF750" i="11"/>
  <c r="AE750" i="11"/>
  <c r="AD750" i="11"/>
  <c r="K750" i="11"/>
  <c r="W750" i="11" s="1"/>
  <c r="Y750" i="11" s="1"/>
  <c r="J750" i="11"/>
  <c r="I750" i="11"/>
  <c r="H750" i="11"/>
  <c r="BG749" i="11"/>
  <c r="AX749" i="11"/>
  <c r="AV749" i="11"/>
  <c r="AN749" i="11"/>
  <c r="AM749" i="11"/>
  <c r="AK749" i="11"/>
  <c r="AJ749" i="11"/>
  <c r="AF749" i="11"/>
  <c r="AE749" i="11"/>
  <c r="AD749" i="11"/>
  <c r="K749" i="11"/>
  <c r="W749" i="11" s="1"/>
  <c r="Y749" i="11" s="1"/>
  <c r="J749" i="11"/>
  <c r="I749" i="11"/>
  <c r="H749" i="11"/>
  <c r="BG748" i="11"/>
  <c r="AX748" i="11"/>
  <c r="AV748" i="11"/>
  <c r="AN748" i="11"/>
  <c r="AM748" i="11"/>
  <c r="AK748" i="11"/>
  <c r="AJ748" i="11"/>
  <c r="AF748" i="11"/>
  <c r="AE748" i="11"/>
  <c r="AD748" i="11"/>
  <c r="K748" i="11"/>
  <c r="W748" i="11" s="1"/>
  <c r="Y748" i="11" s="1"/>
  <c r="J748" i="11"/>
  <c r="I748" i="11"/>
  <c r="H748" i="11"/>
  <c r="BG747" i="11"/>
  <c r="AX747" i="11"/>
  <c r="AV747" i="11"/>
  <c r="AN747" i="11"/>
  <c r="AM747" i="11"/>
  <c r="AK747" i="11"/>
  <c r="AJ747" i="11"/>
  <c r="AF747" i="11"/>
  <c r="AE747" i="11"/>
  <c r="AD747" i="11"/>
  <c r="K747" i="11"/>
  <c r="W747" i="11" s="1"/>
  <c r="Y747" i="11" s="1"/>
  <c r="J747" i="11"/>
  <c r="I747" i="11"/>
  <c r="H747" i="11"/>
  <c r="BG746" i="11"/>
  <c r="AX746" i="11"/>
  <c r="AV746" i="11"/>
  <c r="AN746" i="11"/>
  <c r="AM746" i="11"/>
  <c r="AK746" i="11"/>
  <c r="AJ746" i="11"/>
  <c r="AF746" i="11"/>
  <c r="AE746" i="11"/>
  <c r="AD746" i="11"/>
  <c r="K746" i="11"/>
  <c r="W746" i="11" s="1"/>
  <c r="Y746" i="11" s="1"/>
  <c r="J746" i="11"/>
  <c r="I746" i="11"/>
  <c r="H746" i="11"/>
  <c r="BG745" i="11"/>
  <c r="AX745" i="11"/>
  <c r="AV745" i="11"/>
  <c r="AN745" i="11"/>
  <c r="AM745" i="11"/>
  <c r="AK745" i="11"/>
  <c r="AJ745" i="11"/>
  <c r="AF745" i="11"/>
  <c r="AE745" i="11"/>
  <c r="AD745" i="11"/>
  <c r="K745" i="11"/>
  <c r="W745" i="11" s="1"/>
  <c r="Y745" i="11" s="1"/>
  <c r="J745" i="11"/>
  <c r="I745" i="11"/>
  <c r="H745" i="11"/>
  <c r="BG744" i="11"/>
  <c r="AX744" i="11"/>
  <c r="AV744" i="11"/>
  <c r="AN744" i="11"/>
  <c r="AM744" i="11"/>
  <c r="AK744" i="11"/>
  <c r="AJ744" i="11"/>
  <c r="AF744" i="11"/>
  <c r="AE744" i="11"/>
  <c r="AD744" i="11"/>
  <c r="K744" i="11"/>
  <c r="W744" i="11" s="1"/>
  <c r="Y744" i="11" s="1"/>
  <c r="J744" i="11"/>
  <c r="I744" i="11"/>
  <c r="H744" i="11"/>
  <c r="BG743" i="11"/>
  <c r="AX743" i="11"/>
  <c r="AV743" i="11"/>
  <c r="AN743" i="11"/>
  <c r="AM743" i="11"/>
  <c r="AK743" i="11"/>
  <c r="AJ743" i="11"/>
  <c r="AF743" i="11"/>
  <c r="AE743" i="11"/>
  <c r="AD743" i="11"/>
  <c r="K743" i="11"/>
  <c r="W743" i="11" s="1"/>
  <c r="Y743" i="11" s="1"/>
  <c r="J743" i="11"/>
  <c r="I743" i="11"/>
  <c r="H743" i="11"/>
  <c r="BG742" i="11"/>
  <c r="AX742" i="11"/>
  <c r="AV742" i="11"/>
  <c r="AN742" i="11"/>
  <c r="AM742" i="11"/>
  <c r="AK742" i="11"/>
  <c r="AJ742" i="11"/>
  <c r="AF742" i="11"/>
  <c r="AE742" i="11"/>
  <c r="AD742" i="11"/>
  <c r="K742" i="11"/>
  <c r="W742" i="11" s="1"/>
  <c r="Y742" i="11" s="1"/>
  <c r="J742" i="11"/>
  <c r="I742" i="11"/>
  <c r="H742" i="11"/>
  <c r="BG741" i="11"/>
  <c r="AX741" i="11"/>
  <c r="AV741" i="11"/>
  <c r="AN741" i="11"/>
  <c r="AM741" i="11"/>
  <c r="AK741" i="11"/>
  <c r="AJ741" i="11"/>
  <c r="AF741" i="11"/>
  <c r="AE741" i="11"/>
  <c r="AD741" i="11"/>
  <c r="K741" i="11"/>
  <c r="W741" i="11" s="1"/>
  <c r="Y741" i="11" s="1"/>
  <c r="J741" i="11"/>
  <c r="I741" i="11"/>
  <c r="H741" i="11"/>
  <c r="BG740" i="11"/>
  <c r="AX740" i="11"/>
  <c r="AV740" i="11"/>
  <c r="AN740" i="11"/>
  <c r="AM740" i="11"/>
  <c r="AK740" i="11"/>
  <c r="AJ740" i="11"/>
  <c r="AF740" i="11"/>
  <c r="AE740" i="11"/>
  <c r="AD740" i="11"/>
  <c r="K740" i="11"/>
  <c r="W740" i="11" s="1"/>
  <c r="Y740" i="11" s="1"/>
  <c r="J740" i="11"/>
  <c r="I740" i="11"/>
  <c r="H740" i="11"/>
  <c r="BG739" i="11"/>
  <c r="AX739" i="11"/>
  <c r="AV739" i="11"/>
  <c r="AN739" i="11"/>
  <c r="AM739" i="11"/>
  <c r="AK739" i="11"/>
  <c r="AJ739" i="11"/>
  <c r="AF739" i="11"/>
  <c r="AE739" i="11"/>
  <c r="AD739" i="11"/>
  <c r="K739" i="11"/>
  <c r="W739" i="11" s="1"/>
  <c r="Y739" i="11" s="1"/>
  <c r="J739" i="11"/>
  <c r="I739" i="11"/>
  <c r="H739" i="11"/>
  <c r="BG738" i="11"/>
  <c r="AX738" i="11"/>
  <c r="AV738" i="11"/>
  <c r="AN738" i="11"/>
  <c r="AM738" i="11"/>
  <c r="AK738" i="11"/>
  <c r="AJ738" i="11"/>
  <c r="AF738" i="11"/>
  <c r="AE738" i="11"/>
  <c r="AD738" i="11"/>
  <c r="K738" i="11"/>
  <c r="W738" i="11" s="1"/>
  <c r="Y738" i="11" s="1"/>
  <c r="J738" i="11"/>
  <c r="I738" i="11"/>
  <c r="H738" i="11"/>
  <c r="BG737" i="11"/>
  <c r="AX737" i="11"/>
  <c r="AV737" i="11"/>
  <c r="AN737" i="11"/>
  <c r="AM737" i="11"/>
  <c r="AK737" i="11"/>
  <c r="AJ737" i="11"/>
  <c r="AF737" i="11"/>
  <c r="AE737" i="11"/>
  <c r="AD737" i="11"/>
  <c r="K737" i="11"/>
  <c r="W737" i="11" s="1"/>
  <c r="Y737" i="11" s="1"/>
  <c r="J737" i="11"/>
  <c r="I737" i="11"/>
  <c r="H737" i="11"/>
  <c r="BG736" i="11"/>
  <c r="AX736" i="11"/>
  <c r="AV736" i="11"/>
  <c r="AN736" i="11"/>
  <c r="AM736" i="11"/>
  <c r="AK736" i="11"/>
  <c r="AJ736" i="11"/>
  <c r="AF736" i="11"/>
  <c r="AE736" i="11"/>
  <c r="AD736" i="11"/>
  <c r="K736" i="11"/>
  <c r="W736" i="11" s="1"/>
  <c r="Y736" i="11" s="1"/>
  <c r="J736" i="11"/>
  <c r="I736" i="11"/>
  <c r="H736" i="11"/>
  <c r="BG735" i="11"/>
  <c r="AZ735" i="11"/>
  <c r="AX735" i="11"/>
  <c r="AF735" i="11"/>
  <c r="AE735" i="11"/>
  <c r="AD735" i="11"/>
  <c r="K735" i="11"/>
  <c r="W735" i="11" s="1"/>
  <c r="Y735" i="11" s="1"/>
  <c r="J735" i="11"/>
  <c r="I735" i="11"/>
  <c r="H735" i="11"/>
  <c r="BG734" i="11"/>
  <c r="AZ734" i="11"/>
  <c r="AX734" i="11"/>
  <c r="AF734" i="11"/>
  <c r="AE734" i="11"/>
  <c r="AD734" i="11"/>
  <c r="K734" i="11"/>
  <c r="W734" i="11" s="1"/>
  <c r="Y734" i="11" s="1"/>
  <c r="J734" i="11"/>
  <c r="I734" i="11"/>
  <c r="H734" i="11"/>
  <c r="BG733" i="11"/>
  <c r="BE733" i="11"/>
  <c r="BF733" i="11" s="1"/>
  <c r="AV733" i="11"/>
  <c r="AF733" i="11"/>
  <c r="AE733" i="11"/>
  <c r="AD733" i="11"/>
  <c r="K733" i="11"/>
  <c r="W733" i="11" s="1"/>
  <c r="Y733" i="11" s="1"/>
  <c r="J733" i="11"/>
  <c r="I733" i="11"/>
  <c r="H733" i="11"/>
  <c r="BG732" i="11"/>
  <c r="BE732" i="11"/>
  <c r="BF732" i="11" s="1"/>
  <c r="AF732" i="11"/>
  <c r="AE732" i="11"/>
  <c r="AD732" i="11"/>
  <c r="K732" i="11"/>
  <c r="W732" i="11" s="1"/>
  <c r="Y732" i="11" s="1"/>
  <c r="J732" i="11"/>
  <c r="I732" i="11"/>
  <c r="H732" i="11"/>
  <c r="BG731" i="11"/>
  <c r="BE731" i="11"/>
  <c r="BF731" i="11" s="1"/>
  <c r="AF731" i="11"/>
  <c r="AE731" i="11"/>
  <c r="AD731" i="11"/>
  <c r="K731" i="11"/>
  <c r="W731" i="11" s="1"/>
  <c r="Y731" i="11" s="1"/>
  <c r="J731" i="11"/>
  <c r="I731" i="11"/>
  <c r="H731" i="11"/>
  <c r="BG730" i="11"/>
  <c r="BE730" i="11"/>
  <c r="BF730" i="11" s="1"/>
  <c r="AF730" i="11"/>
  <c r="AE730" i="11"/>
  <c r="AD730" i="11"/>
  <c r="K730" i="11"/>
  <c r="W730" i="11" s="1"/>
  <c r="Y730" i="11" s="1"/>
  <c r="J730" i="11"/>
  <c r="I730" i="11"/>
  <c r="H730" i="11"/>
  <c r="BG729" i="11"/>
  <c r="BE729" i="11"/>
  <c r="BF729" i="11" s="1"/>
  <c r="AF729" i="11"/>
  <c r="AE729" i="11"/>
  <c r="AD729" i="11"/>
  <c r="K729" i="11"/>
  <c r="W729" i="11" s="1"/>
  <c r="Y729" i="11" s="1"/>
  <c r="J729" i="11"/>
  <c r="I729" i="11"/>
  <c r="H729" i="11"/>
  <c r="BG728" i="11"/>
  <c r="BE728" i="11"/>
  <c r="BF728" i="11" s="1"/>
  <c r="AF728" i="11"/>
  <c r="AE728" i="11"/>
  <c r="AD728" i="11"/>
  <c r="K728" i="11"/>
  <c r="W728" i="11" s="1"/>
  <c r="Y728" i="11" s="1"/>
  <c r="J728" i="11"/>
  <c r="I728" i="11"/>
  <c r="H728" i="11"/>
  <c r="BG727" i="11"/>
  <c r="BE727" i="11"/>
  <c r="BF727" i="11" s="1"/>
  <c r="AF727" i="11"/>
  <c r="AE727" i="11"/>
  <c r="AD727" i="11"/>
  <c r="K727" i="11"/>
  <c r="W727" i="11" s="1"/>
  <c r="Y727" i="11" s="1"/>
  <c r="J727" i="11"/>
  <c r="I727" i="11"/>
  <c r="H727" i="11"/>
  <c r="BG726" i="11"/>
  <c r="BE726" i="11"/>
  <c r="BF726" i="11" s="1"/>
  <c r="AF726" i="11"/>
  <c r="AE726" i="11"/>
  <c r="AD726" i="11"/>
  <c r="K726" i="11"/>
  <c r="W726" i="11" s="1"/>
  <c r="Y726" i="11" s="1"/>
  <c r="J726" i="11"/>
  <c r="I726" i="11"/>
  <c r="H726" i="11"/>
  <c r="BG725" i="11"/>
  <c r="BE725" i="11"/>
  <c r="BF725" i="11" s="1"/>
  <c r="AF725" i="11"/>
  <c r="AE725" i="11"/>
  <c r="AD725" i="11"/>
  <c r="K725" i="11"/>
  <c r="W725" i="11" s="1"/>
  <c r="Y725" i="11" s="1"/>
  <c r="J725" i="11"/>
  <c r="I725" i="11"/>
  <c r="H725" i="11"/>
  <c r="BG724" i="11"/>
  <c r="BE724" i="11"/>
  <c r="BF724" i="11" s="1"/>
  <c r="AF724" i="11"/>
  <c r="AE724" i="11"/>
  <c r="AD724" i="11"/>
  <c r="K724" i="11"/>
  <c r="W724" i="11" s="1"/>
  <c r="Y724" i="11" s="1"/>
  <c r="J724" i="11"/>
  <c r="I724" i="11"/>
  <c r="H724" i="11"/>
  <c r="BG723" i="11"/>
  <c r="AZ723" i="11"/>
  <c r="AX723" i="11"/>
  <c r="AV723" i="11"/>
  <c r="AN723" i="11"/>
  <c r="AM723" i="11"/>
  <c r="AK723" i="11"/>
  <c r="AJ723" i="11"/>
  <c r="AF723" i="11"/>
  <c r="AE723" i="11"/>
  <c r="AD723" i="11"/>
  <c r="K723" i="11"/>
  <c r="W723" i="11" s="1"/>
  <c r="Y723" i="11" s="1"/>
  <c r="J723" i="11"/>
  <c r="I723" i="11"/>
  <c r="H723" i="11"/>
  <c r="BG722" i="11"/>
  <c r="AZ722" i="11"/>
  <c r="AX722" i="11"/>
  <c r="AV722" i="11"/>
  <c r="AN722" i="11"/>
  <c r="AM722" i="11"/>
  <c r="AK722" i="11"/>
  <c r="AJ722" i="11"/>
  <c r="AF722" i="11"/>
  <c r="AE722" i="11"/>
  <c r="AD722" i="11"/>
  <c r="K722" i="11"/>
  <c r="W722" i="11" s="1"/>
  <c r="Y722" i="11" s="1"/>
  <c r="J722" i="11"/>
  <c r="I722" i="11"/>
  <c r="H722" i="11"/>
  <c r="BG721" i="11"/>
  <c r="AZ721" i="11"/>
  <c r="AX721" i="11"/>
  <c r="AV721" i="11"/>
  <c r="AN721" i="11"/>
  <c r="AM721" i="11"/>
  <c r="AK721" i="11"/>
  <c r="AJ721" i="11"/>
  <c r="AF721" i="11"/>
  <c r="AE721" i="11"/>
  <c r="AD721" i="11"/>
  <c r="K721" i="11"/>
  <c r="W721" i="11" s="1"/>
  <c r="Y721" i="11" s="1"/>
  <c r="J721" i="11"/>
  <c r="I721" i="11"/>
  <c r="H721" i="11"/>
  <c r="BG720" i="11"/>
  <c r="AZ720" i="11"/>
  <c r="AX720" i="11"/>
  <c r="AV720" i="11"/>
  <c r="AN720" i="11"/>
  <c r="AM720" i="11"/>
  <c r="AK720" i="11"/>
  <c r="AJ720" i="11"/>
  <c r="AF720" i="11"/>
  <c r="AE720" i="11"/>
  <c r="AD720" i="11"/>
  <c r="K720" i="11"/>
  <c r="W720" i="11" s="1"/>
  <c r="Y720" i="11" s="1"/>
  <c r="J720" i="11"/>
  <c r="I720" i="11"/>
  <c r="H720" i="11"/>
  <c r="BG719" i="11"/>
  <c r="AZ719" i="11"/>
  <c r="AX719" i="11"/>
  <c r="AV719" i="11"/>
  <c r="AN719" i="11"/>
  <c r="AM719" i="11"/>
  <c r="AK719" i="11"/>
  <c r="AJ719" i="11"/>
  <c r="AF719" i="11"/>
  <c r="AE719" i="11"/>
  <c r="AD719" i="11"/>
  <c r="K719" i="11"/>
  <c r="W719" i="11" s="1"/>
  <c r="Y719" i="11" s="1"/>
  <c r="J719" i="11"/>
  <c r="I719" i="11"/>
  <c r="H719" i="11"/>
  <c r="BG718" i="11"/>
  <c r="AZ718" i="11"/>
  <c r="AX718" i="11"/>
  <c r="AV718" i="11"/>
  <c r="AN718" i="11"/>
  <c r="AM718" i="11"/>
  <c r="AK718" i="11"/>
  <c r="AJ718" i="11"/>
  <c r="AF718" i="11"/>
  <c r="AE718" i="11"/>
  <c r="AD718" i="11"/>
  <c r="K718" i="11"/>
  <c r="W718" i="11" s="1"/>
  <c r="Y718" i="11" s="1"/>
  <c r="J718" i="11"/>
  <c r="I718" i="11"/>
  <c r="H718" i="11"/>
  <c r="BG717" i="11"/>
  <c r="AZ717" i="11"/>
  <c r="AX717" i="11"/>
  <c r="AV717" i="11"/>
  <c r="AN717" i="11"/>
  <c r="AM717" i="11"/>
  <c r="AK717" i="11"/>
  <c r="AJ717" i="11"/>
  <c r="AF717" i="11"/>
  <c r="AE717" i="11"/>
  <c r="AD717" i="11"/>
  <c r="K717" i="11"/>
  <c r="W717" i="11" s="1"/>
  <c r="Y717" i="11" s="1"/>
  <c r="J717" i="11"/>
  <c r="I717" i="11"/>
  <c r="H717" i="11"/>
  <c r="BG716" i="11"/>
  <c r="AZ716" i="11"/>
  <c r="AX716" i="11"/>
  <c r="AV716" i="11"/>
  <c r="AN716" i="11"/>
  <c r="AM716" i="11"/>
  <c r="AK716" i="11"/>
  <c r="AJ716" i="11"/>
  <c r="AF716" i="11"/>
  <c r="AE716" i="11"/>
  <c r="AD716" i="11"/>
  <c r="K716" i="11"/>
  <c r="W716" i="11" s="1"/>
  <c r="Y716" i="11" s="1"/>
  <c r="J716" i="11"/>
  <c r="I716" i="11"/>
  <c r="H716" i="11"/>
  <c r="BG715" i="11"/>
  <c r="AZ715" i="11"/>
  <c r="AX715" i="11"/>
  <c r="AV715" i="11"/>
  <c r="AN715" i="11"/>
  <c r="AM715" i="11"/>
  <c r="AK715" i="11"/>
  <c r="AJ715" i="11"/>
  <c r="AF715" i="11"/>
  <c r="AE715" i="11"/>
  <c r="AD715" i="11"/>
  <c r="K715" i="11"/>
  <c r="W715" i="11" s="1"/>
  <c r="Y715" i="11" s="1"/>
  <c r="J715" i="11"/>
  <c r="I715" i="11"/>
  <c r="H715" i="11"/>
  <c r="BG714" i="11"/>
  <c r="AZ714" i="11"/>
  <c r="AX714" i="11"/>
  <c r="AV714" i="11"/>
  <c r="AN714" i="11"/>
  <c r="AM714" i="11"/>
  <c r="AK714" i="11"/>
  <c r="AJ714" i="11"/>
  <c r="AF714" i="11"/>
  <c r="AE714" i="11"/>
  <c r="AD714" i="11"/>
  <c r="K714" i="11"/>
  <c r="W714" i="11" s="1"/>
  <c r="Y714" i="11" s="1"/>
  <c r="J714" i="11"/>
  <c r="I714" i="11"/>
  <c r="H714" i="11"/>
  <c r="BG713" i="11"/>
  <c r="AZ713" i="11"/>
  <c r="AX713" i="11"/>
  <c r="AV713" i="11"/>
  <c r="AN713" i="11"/>
  <c r="AM713" i="11"/>
  <c r="AK713" i="11"/>
  <c r="AJ713" i="11"/>
  <c r="AF713" i="11"/>
  <c r="AE713" i="11"/>
  <c r="AD713" i="11"/>
  <c r="K713" i="11"/>
  <c r="W713" i="11" s="1"/>
  <c r="Y713" i="11" s="1"/>
  <c r="J713" i="11"/>
  <c r="I713" i="11"/>
  <c r="H713" i="11"/>
  <c r="BG712" i="11"/>
  <c r="AZ712" i="11"/>
  <c r="AX712" i="11"/>
  <c r="AV712" i="11"/>
  <c r="AN712" i="11"/>
  <c r="AM712" i="11"/>
  <c r="AK712" i="11"/>
  <c r="AJ712" i="11"/>
  <c r="AF712" i="11"/>
  <c r="AE712" i="11"/>
  <c r="AD712" i="11"/>
  <c r="K712" i="11"/>
  <c r="W712" i="11" s="1"/>
  <c r="Y712" i="11" s="1"/>
  <c r="J712" i="11"/>
  <c r="I712" i="11"/>
  <c r="H712" i="11"/>
  <c r="BG711" i="11"/>
  <c r="AZ711" i="11"/>
  <c r="AX711" i="11"/>
  <c r="AV711" i="11"/>
  <c r="AN711" i="11"/>
  <c r="AM711" i="11"/>
  <c r="AK711" i="11"/>
  <c r="AJ711" i="11"/>
  <c r="AF711" i="11"/>
  <c r="AE711" i="11"/>
  <c r="AD711" i="11"/>
  <c r="K711" i="11"/>
  <c r="W711" i="11" s="1"/>
  <c r="Y711" i="11" s="1"/>
  <c r="J711" i="11"/>
  <c r="I711" i="11"/>
  <c r="H711" i="11"/>
  <c r="BG710" i="11"/>
  <c r="AZ710" i="11"/>
  <c r="AX710" i="11"/>
  <c r="AV710" i="11"/>
  <c r="AN710" i="11"/>
  <c r="AM710" i="11"/>
  <c r="AK710" i="11"/>
  <c r="AJ710" i="11"/>
  <c r="AF710" i="11"/>
  <c r="AE710" i="11"/>
  <c r="AD710" i="11"/>
  <c r="K710" i="11"/>
  <c r="W710" i="11" s="1"/>
  <c r="Y710" i="11" s="1"/>
  <c r="J710" i="11"/>
  <c r="I710" i="11"/>
  <c r="H710" i="11"/>
  <c r="BG709" i="11"/>
  <c r="AZ709" i="11"/>
  <c r="AX709" i="11"/>
  <c r="AV709" i="11"/>
  <c r="AN709" i="11"/>
  <c r="AM709" i="11"/>
  <c r="AK709" i="11"/>
  <c r="AJ709" i="11"/>
  <c r="AF709" i="11"/>
  <c r="AE709" i="11"/>
  <c r="AD709" i="11"/>
  <c r="K709" i="11"/>
  <c r="W709" i="11" s="1"/>
  <c r="Y709" i="11" s="1"/>
  <c r="J709" i="11"/>
  <c r="I709" i="11"/>
  <c r="H709" i="11"/>
  <c r="BG708" i="11"/>
  <c r="AZ708" i="11"/>
  <c r="AX708" i="11"/>
  <c r="AV708" i="11"/>
  <c r="AN708" i="11"/>
  <c r="AM708" i="11"/>
  <c r="AK708" i="11"/>
  <c r="AJ708" i="11"/>
  <c r="AF708" i="11"/>
  <c r="AE708" i="11"/>
  <c r="AD708" i="11"/>
  <c r="K708" i="11"/>
  <c r="W708" i="11" s="1"/>
  <c r="Y708" i="11" s="1"/>
  <c r="J708" i="11"/>
  <c r="I708" i="11"/>
  <c r="H708" i="11"/>
  <c r="BG707" i="11"/>
  <c r="AZ707" i="11"/>
  <c r="AX707" i="11"/>
  <c r="AV707" i="11"/>
  <c r="AN707" i="11"/>
  <c r="AM707" i="11"/>
  <c r="AK707" i="11"/>
  <c r="AJ707" i="11"/>
  <c r="AF707" i="11"/>
  <c r="AE707" i="11"/>
  <c r="AD707" i="11"/>
  <c r="K707" i="11"/>
  <c r="W707" i="11" s="1"/>
  <c r="Y707" i="11" s="1"/>
  <c r="J707" i="11"/>
  <c r="I707" i="11"/>
  <c r="H707" i="11"/>
  <c r="BG706" i="11"/>
  <c r="AZ706" i="11"/>
  <c r="AX706" i="11"/>
  <c r="AV706" i="11"/>
  <c r="AN706" i="11"/>
  <c r="AM706" i="11"/>
  <c r="AK706" i="11"/>
  <c r="AJ706" i="11"/>
  <c r="AF706" i="11"/>
  <c r="AE706" i="11"/>
  <c r="AD706" i="11"/>
  <c r="K706" i="11"/>
  <c r="W706" i="11" s="1"/>
  <c r="Y706" i="11" s="1"/>
  <c r="J706" i="11"/>
  <c r="I706" i="11"/>
  <c r="H706" i="11"/>
  <c r="BG705" i="11"/>
  <c r="AZ705" i="11"/>
  <c r="AX705" i="11"/>
  <c r="AV705" i="11"/>
  <c r="AN705" i="11"/>
  <c r="AM705" i="11"/>
  <c r="AK705" i="11"/>
  <c r="AJ705" i="11"/>
  <c r="AF705" i="11"/>
  <c r="AE705" i="11"/>
  <c r="AD705" i="11"/>
  <c r="K705" i="11"/>
  <c r="W705" i="11" s="1"/>
  <c r="Y705" i="11" s="1"/>
  <c r="J705" i="11"/>
  <c r="I705" i="11"/>
  <c r="H705" i="11"/>
  <c r="BG704" i="11"/>
  <c r="AZ704" i="11"/>
  <c r="AX704" i="11"/>
  <c r="AF704" i="11"/>
  <c r="AE704" i="11"/>
  <c r="AD704" i="11"/>
  <c r="K704" i="11"/>
  <c r="W704" i="11" s="1"/>
  <c r="Y704" i="11" s="1"/>
  <c r="J704" i="11"/>
  <c r="I704" i="11"/>
  <c r="H704" i="11"/>
  <c r="BG703" i="11"/>
  <c r="AZ703" i="11"/>
  <c r="AX703" i="11"/>
  <c r="AF703" i="11"/>
  <c r="AE703" i="11"/>
  <c r="AD703" i="11"/>
  <c r="K703" i="11"/>
  <c r="W703" i="11" s="1"/>
  <c r="Y703" i="11" s="1"/>
  <c r="J703" i="11"/>
  <c r="I703" i="11"/>
  <c r="H703" i="11"/>
  <c r="BG702" i="11"/>
  <c r="AZ702" i="11"/>
  <c r="AX702" i="11"/>
  <c r="AF702" i="11"/>
  <c r="AE702" i="11"/>
  <c r="AD702" i="11"/>
  <c r="K702" i="11"/>
  <c r="W702" i="11" s="1"/>
  <c r="Y702" i="11" s="1"/>
  <c r="J702" i="11"/>
  <c r="I702" i="11"/>
  <c r="H702" i="11"/>
  <c r="BG701" i="11"/>
  <c r="AZ701" i="11"/>
  <c r="AX701" i="11"/>
  <c r="AF701" i="11"/>
  <c r="AE701" i="11"/>
  <c r="AD701" i="11"/>
  <c r="K701" i="11"/>
  <c r="W701" i="11" s="1"/>
  <c r="Y701" i="11" s="1"/>
  <c r="J701" i="11"/>
  <c r="I701" i="11"/>
  <c r="H701" i="11"/>
  <c r="BG700" i="11"/>
  <c r="AZ700" i="11"/>
  <c r="AX700" i="11"/>
  <c r="AF700" i="11"/>
  <c r="AE700" i="11"/>
  <c r="AD700" i="11"/>
  <c r="K700" i="11"/>
  <c r="W700" i="11" s="1"/>
  <c r="Y700" i="11" s="1"/>
  <c r="J700" i="11"/>
  <c r="I700" i="11"/>
  <c r="H700" i="11"/>
  <c r="BG699" i="11"/>
  <c r="AZ699" i="11"/>
  <c r="AX699" i="11"/>
  <c r="AF699" i="11"/>
  <c r="AE699" i="11"/>
  <c r="AD699" i="11"/>
  <c r="K699" i="11"/>
  <c r="W699" i="11" s="1"/>
  <c r="Y699" i="11" s="1"/>
  <c r="J699" i="11"/>
  <c r="I699" i="11"/>
  <c r="H699" i="11"/>
  <c r="BG698" i="11"/>
  <c r="AZ698" i="11"/>
  <c r="AX698" i="11"/>
  <c r="AF698" i="11"/>
  <c r="AE698" i="11"/>
  <c r="AD698" i="11"/>
  <c r="K698" i="11"/>
  <c r="W698" i="11" s="1"/>
  <c r="Y698" i="11" s="1"/>
  <c r="J698" i="11"/>
  <c r="I698" i="11"/>
  <c r="H698" i="11"/>
  <c r="BG697" i="11"/>
  <c r="AZ697" i="11"/>
  <c r="AW697" i="11"/>
  <c r="AF697" i="11"/>
  <c r="AE697" i="11"/>
  <c r="AD697" i="11"/>
  <c r="K697" i="11"/>
  <c r="W697" i="11" s="1"/>
  <c r="Y697" i="11" s="1"/>
  <c r="J697" i="11"/>
  <c r="I697" i="11"/>
  <c r="H697" i="11"/>
  <c r="BD696" i="11"/>
  <c r="AZ696" i="11"/>
  <c r="AX696" i="11"/>
  <c r="AF696" i="11"/>
  <c r="AE696" i="11"/>
  <c r="AD696" i="11"/>
  <c r="K696" i="11"/>
  <c r="W696" i="11" s="1"/>
  <c r="Y696" i="11" s="1"/>
  <c r="J696" i="11"/>
  <c r="I696" i="11"/>
  <c r="H696" i="11"/>
  <c r="BG695" i="11"/>
  <c r="AF695" i="11"/>
  <c r="AE695" i="11"/>
  <c r="AD695" i="11"/>
  <c r="K695" i="11"/>
  <c r="W695" i="11" s="1"/>
  <c r="Y695" i="11" s="1"/>
  <c r="J695" i="11"/>
  <c r="I695" i="11"/>
  <c r="H695" i="11"/>
  <c r="BG694" i="11"/>
  <c r="AF694" i="11"/>
  <c r="AE694" i="11"/>
  <c r="AD694" i="11"/>
  <c r="K694" i="11"/>
  <c r="W694" i="11" s="1"/>
  <c r="Y694" i="11" s="1"/>
  <c r="J694" i="11"/>
  <c r="I694" i="11"/>
  <c r="H694" i="11"/>
  <c r="BG693" i="11"/>
  <c r="AF693" i="11"/>
  <c r="AE693" i="11"/>
  <c r="AD693" i="11"/>
  <c r="K693" i="11"/>
  <c r="W693" i="11" s="1"/>
  <c r="Y693" i="11" s="1"/>
  <c r="J693" i="11"/>
  <c r="I693" i="11"/>
  <c r="H693" i="11"/>
  <c r="BG682" i="11"/>
  <c r="AZ682" i="11"/>
  <c r="AX682" i="11"/>
  <c r="AF682" i="11"/>
  <c r="AE682" i="11"/>
  <c r="AD682" i="11"/>
  <c r="K682" i="11"/>
  <c r="W682" i="11" s="1"/>
  <c r="Y682" i="11" s="1"/>
  <c r="J682" i="11"/>
  <c r="I682" i="11"/>
  <c r="H682" i="11"/>
  <c r="BG681" i="11"/>
  <c r="AZ681" i="11"/>
  <c r="AX681" i="11"/>
  <c r="AF681" i="11"/>
  <c r="AE681" i="11"/>
  <c r="AD681" i="11"/>
  <c r="K681" i="11"/>
  <c r="W681" i="11" s="1"/>
  <c r="Y681" i="11" s="1"/>
  <c r="J681" i="11"/>
  <c r="I681" i="11"/>
  <c r="H681" i="11"/>
  <c r="BG190" i="11"/>
  <c r="AZ190" i="11"/>
  <c r="AF190" i="11"/>
  <c r="AE190" i="11"/>
  <c r="AD190" i="11"/>
  <c r="K190" i="11"/>
  <c r="W190" i="11" s="1"/>
  <c r="Y190" i="11" s="1"/>
  <c r="J190" i="11"/>
  <c r="I190" i="11"/>
  <c r="H190" i="11"/>
  <c r="BG189" i="11"/>
  <c r="AZ189" i="11"/>
  <c r="AF189" i="11"/>
  <c r="AE189" i="11"/>
  <c r="AD189" i="11"/>
  <c r="K189" i="11"/>
  <c r="W189" i="11" s="1"/>
  <c r="Y189" i="11" s="1"/>
  <c r="J189" i="11"/>
  <c r="I189" i="11"/>
  <c r="H189" i="11"/>
  <c r="BG188" i="11"/>
  <c r="AZ188" i="11"/>
  <c r="AF188" i="11"/>
  <c r="AE188" i="11"/>
  <c r="AD188" i="11"/>
  <c r="K188" i="11"/>
  <c r="W188" i="11" s="1"/>
  <c r="Y188" i="11" s="1"/>
  <c r="J188" i="11"/>
  <c r="I188" i="11"/>
  <c r="H188" i="11"/>
  <c r="BG187" i="11"/>
  <c r="AZ187" i="11"/>
  <c r="AF187" i="11"/>
  <c r="AE187" i="11"/>
  <c r="AD187" i="11"/>
  <c r="K187" i="11"/>
  <c r="W187" i="11" s="1"/>
  <c r="Y187" i="11" s="1"/>
  <c r="J187" i="11"/>
  <c r="I187" i="11"/>
  <c r="H187" i="11"/>
  <c r="BG186" i="11"/>
  <c r="AZ186" i="11"/>
  <c r="AF186" i="11"/>
  <c r="AE186" i="11"/>
  <c r="AD186" i="11"/>
  <c r="K186" i="11"/>
  <c r="W186" i="11" s="1"/>
  <c r="Y186" i="11" s="1"/>
  <c r="J186" i="11"/>
  <c r="I186" i="11"/>
  <c r="H186" i="11"/>
  <c r="BG185" i="11"/>
  <c r="AZ185" i="11"/>
  <c r="AF185" i="11"/>
  <c r="AE185" i="11"/>
  <c r="AD185" i="11"/>
  <c r="K185" i="11"/>
  <c r="W185" i="11" s="1"/>
  <c r="Y185" i="11" s="1"/>
  <c r="J185" i="11"/>
  <c r="I185" i="11"/>
  <c r="H185" i="11"/>
  <c r="BG184" i="11"/>
  <c r="AZ184" i="11"/>
  <c r="AF184" i="11"/>
  <c r="AE184" i="11"/>
  <c r="AD184" i="11"/>
  <c r="K184" i="11"/>
  <c r="W184" i="11" s="1"/>
  <c r="Y184" i="11" s="1"/>
  <c r="J184" i="11"/>
  <c r="I184" i="11"/>
  <c r="H184" i="11"/>
  <c r="BG183" i="11"/>
  <c r="AZ183" i="11"/>
  <c r="AF183" i="11"/>
  <c r="AE183" i="11"/>
  <c r="AD183" i="11"/>
  <c r="K183" i="11"/>
  <c r="W183" i="11" s="1"/>
  <c r="Y183" i="11" s="1"/>
  <c r="J183" i="11"/>
  <c r="I183" i="11"/>
  <c r="H183" i="11"/>
  <c r="BG182" i="11"/>
  <c r="AZ182" i="11"/>
  <c r="AF182" i="11"/>
  <c r="AE182" i="11"/>
  <c r="AD182" i="11"/>
  <c r="K182" i="11"/>
  <c r="W182" i="11" s="1"/>
  <c r="Y182" i="11" s="1"/>
  <c r="J182" i="11"/>
  <c r="I182" i="11"/>
  <c r="H182" i="11"/>
  <c r="BG181" i="11"/>
  <c r="AZ181" i="11"/>
  <c r="AF181" i="11"/>
  <c r="AE181" i="11"/>
  <c r="AD181" i="11"/>
  <c r="K181" i="11"/>
  <c r="W181" i="11" s="1"/>
  <c r="Y181" i="11" s="1"/>
  <c r="J181" i="11"/>
  <c r="I181" i="11"/>
  <c r="H181" i="11"/>
  <c r="BG180" i="11"/>
  <c r="AZ180" i="11"/>
  <c r="AX180" i="11"/>
  <c r="AF180" i="11"/>
  <c r="AE180" i="11"/>
  <c r="AD180" i="11"/>
  <c r="K180" i="11"/>
  <c r="W180" i="11" s="1"/>
  <c r="Y180" i="11" s="1"/>
  <c r="J180" i="11"/>
  <c r="I180" i="11"/>
  <c r="H180" i="11"/>
  <c r="BG179" i="11"/>
  <c r="AZ179" i="11"/>
  <c r="AX179" i="11"/>
  <c r="AF179" i="11"/>
  <c r="AE179" i="11"/>
  <c r="AD179" i="11"/>
  <c r="K179" i="11"/>
  <c r="W179" i="11" s="1"/>
  <c r="Y179" i="11" s="1"/>
  <c r="J179" i="11"/>
  <c r="I179" i="11"/>
  <c r="H179" i="11"/>
  <c r="AZ178" i="11"/>
  <c r="AX178" i="11"/>
  <c r="AF178" i="11"/>
  <c r="AE178" i="11"/>
  <c r="AD178" i="11"/>
  <c r="K178" i="11"/>
  <c r="W178" i="11" s="1"/>
  <c r="Y178" i="11" s="1"/>
  <c r="J178" i="11"/>
  <c r="I178" i="11"/>
  <c r="H178" i="11"/>
  <c r="BG177" i="11"/>
  <c r="AZ177" i="11"/>
  <c r="AX177" i="11"/>
  <c r="AF177" i="11"/>
  <c r="AE177" i="11"/>
  <c r="AD177" i="11"/>
  <c r="K177" i="11"/>
  <c r="W177" i="11" s="1"/>
  <c r="Y177" i="11" s="1"/>
  <c r="J177" i="11"/>
  <c r="I177" i="11"/>
  <c r="H177" i="11"/>
  <c r="BG176" i="11"/>
  <c r="AZ176" i="11"/>
  <c r="AX176" i="11"/>
  <c r="AF176" i="11"/>
  <c r="AE176" i="11"/>
  <c r="AD176" i="11"/>
  <c r="K176" i="11"/>
  <c r="W176" i="11" s="1"/>
  <c r="Y176" i="11" s="1"/>
  <c r="J176" i="11"/>
  <c r="I176" i="11"/>
  <c r="H176" i="11"/>
  <c r="BG175" i="11"/>
  <c r="AZ175" i="11"/>
  <c r="AX175" i="11"/>
  <c r="AF175" i="11"/>
  <c r="AE175" i="11"/>
  <c r="AD175" i="11"/>
  <c r="K175" i="11"/>
  <c r="W175" i="11" s="1"/>
  <c r="Y175" i="11" s="1"/>
  <c r="J175" i="11"/>
  <c r="I175" i="11"/>
  <c r="H175" i="11"/>
  <c r="BG174" i="11"/>
  <c r="AZ174" i="11"/>
  <c r="AX174" i="11"/>
  <c r="AF174" i="11"/>
  <c r="AE174" i="11"/>
  <c r="AD174" i="11"/>
  <c r="K174" i="11"/>
  <c r="W174" i="11" s="1"/>
  <c r="Y174" i="11" s="1"/>
  <c r="J174" i="11"/>
  <c r="I174" i="11"/>
  <c r="H174" i="11"/>
  <c r="BG173" i="11"/>
  <c r="AZ173" i="11"/>
  <c r="AX173" i="11"/>
  <c r="AF173" i="11"/>
  <c r="AE173" i="11"/>
  <c r="AD173" i="11"/>
  <c r="K173" i="11"/>
  <c r="W173" i="11" s="1"/>
  <c r="Y173" i="11" s="1"/>
  <c r="J173" i="11"/>
  <c r="I173" i="11"/>
  <c r="H173" i="11"/>
  <c r="BG172" i="11"/>
  <c r="AZ172" i="11"/>
  <c r="AX172" i="11"/>
  <c r="AF172" i="11"/>
  <c r="AE172" i="11"/>
  <c r="AD172" i="11"/>
  <c r="K172" i="11"/>
  <c r="W172" i="11" s="1"/>
  <c r="Y172" i="11" s="1"/>
  <c r="J172" i="11"/>
  <c r="I172" i="11"/>
  <c r="H172" i="11"/>
  <c r="BG171" i="11"/>
  <c r="AZ171" i="11"/>
  <c r="AX171" i="11"/>
  <c r="AF171" i="11"/>
  <c r="AE171" i="11"/>
  <c r="AD171" i="11"/>
  <c r="K171" i="11"/>
  <c r="W171" i="11" s="1"/>
  <c r="Y171" i="11" s="1"/>
  <c r="J171" i="11"/>
  <c r="I171" i="11"/>
  <c r="H171" i="11"/>
  <c r="BG170" i="11"/>
  <c r="AZ170" i="11"/>
  <c r="AX170" i="11"/>
  <c r="AF170" i="11"/>
  <c r="AE170" i="11"/>
  <c r="AD170" i="11"/>
  <c r="K170" i="11"/>
  <c r="W170" i="11" s="1"/>
  <c r="Y170" i="11" s="1"/>
  <c r="J170" i="11"/>
  <c r="I170" i="11"/>
  <c r="H170" i="11"/>
  <c r="BG169" i="11"/>
  <c r="AF169" i="11"/>
  <c r="AE169" i="11"/>
  <c r="AD169" i="11"/>
  <c r="K169" i="11"/>
  <c r="W169" i="11" s="1"/>
  <c r="Y169" i="11" s="1"/>
  <c r="J169" i="11"/>
  <c r="I169" i="11"/>
  <c r="H169" i="11"/>
  <c r="BG168" i="11"/>
  <c r="AF168" i="11"/>
  <c r="AE168" i="11"/>
  <c r="AD168" i="11"/>
  <c r="K168" i="11"/>
  <c r="W168" i="11" s="1"/>
  <c r="Y168" i="11" s="1"/>
  <c r="J168" i="11"/>
  <c r="I168" i="11"/>
  <c r="H168" i="11"/>
  <c r="BG167" i="11"/>
  <c r="AF167" i="11"/>
  <c r="AE167" i="11"/>
  <c r="AD167" i="11"/>
  <c r="K167" i="11"/>
  <c r="W167" i="11" s="1"/>
  <c r="Y167" i="11" s="1"/>
  <c r="J167" i="11"/>
  <c r="I167" i="11"/>
  <c r="H167" i="11"/>
  <c r="BG166" i="11"/>
  <c r="AZ166" i="11"/>
  <c r="AX166" i="11"/>
  <c r="AF166" i="11"/>
  <c r="AE166" i="11"/>
  <c r="AD166" i="11"/>
  <c r="K166" i="11"/>
  <c r="W166" i="11" s="1"/>
  <c r="Y166" i="11" s="1"/>
  <c r="J166" i="11"/>
  <c r="I166" i="11"/>
  <c r="H166" i="11"/>
  <c r="BG165" i="11"/>
  <c r="AZ165" i="11"/>
  <c r="AX165" i="11"/>
  <c r="AF165" i="11"/>
  <c r="AE165" i="11"/>
  <c r="AD165" i="11"/>
  <c r="K165" i="11"/>
  <c r="W165" i="11" s="1"/>
  <c r="Y165" i="11" s="1"/>
  <c r="J165" i="11"/>
  <c r="I165" i="11"/>
  <c r="H165" i="11"/>
  <c r="BG680" i="11"/>
  <c r="BE680" i="11"/>
  <c r="BF680" i="11" s="1"/>
  <c r="AF680" i="11"/>
  <c r="AE680" i="11"/>
  <c r="AD680" i="11"/>
  <c r="K680" i="11"/>
  <c r="W680" i="11" s="1"/>
  <c r="Y680" i="11" s="1"/>
  <c r="J680" i="11"/>
  <c r="I680" i="11"/>
  <c r="H680" i="11"/>
  <c r="BG679" i="11"/>
  <c r="BE679" i="11"/>
  <c r="BF679" i="11" s="1"/>
  <c r="AF679" i="11"/>
  <c r="AE679" i="11"/>
  <c r="AD679" i="11"/>
  <c r="K679" i="11"/>
  <c r="W679" i="11" s="1"/>
  <c r="Y679" i="11" s="1"/>
  <c r="J679" i="11"/>
  <c r="I679" i="11"/>
  <c r="H679" i="11"/>
  <c r="BG678" i="11"/>
  <c r="BE678" i="11"/>
  <c r="BF678" i="11" s="1"/>
  <c r="AF678" i="11"/>
  <c r="AE678" i="11"/>
  <c r="AD678" i="11"/>
  <c r="K678" i="11"/>
  <c r="W678" i="11" s="1"/>
  <c r="Y678" i="11" s="1"/>
  <c r="J678" i="11"/>
  <c r="I678" i="11"/>
  <c r="H678" i="11"/>
  <c r="BG677" i="11"/>
  <c r="BE677" i="11"/>
  <c r="BF677" i="11" s="1"/>
  <c r="AF677" i="11"/>
  <c r="AE677" i="11"/>
  <c r="AD677" i="11"/>
  <c r="K677" i="11"/>
  <c r="W677" i="11" s="1"/>
  <c r="Y677" i="11" s="1"/>
  <c r="J677" i="11"/>
  <c r="I677" i="11"/>
  <c r="H677" i="11"/>
  <c r="BG676" i="11"/>
  <c r="BE676" i="11"/>
  <c r="BF676" i="11" s="1"/>
  <c r="AF676" i="11"/>
  <c r="AE676" i="11"/>
  <c r="AD676" i="11"/>
  <c r="K676" i="11"/>
  <c r="W676" i="11" s="1"/>
  <c r="Y676" i="11" s="1"/>
  <c r="J676" i="11"/>
  <c r="I676" i="11"/>
  <c r="H676" i="11"/>
  <c r="BG675" i="11"/>
  <c r="BE675" i="11"/>
  <c r="BF675" i="11" s="1"/>
  <c r="AF675" i="11"/>
  <c r="AE675" i="11"/>
  <c r="AD675" i="11"/>
  <c r="K675" i="11"/>
  <c r="W675" i="11" s="1"/>
  <c r="Y675" i="11" s="1"/>
  <c r="J675" i="11"/>
  <c r="I675" i="11"/>
  <c r="H675" i="11"/>
  <c r="BG674" i="11"/>
  <c r="BE674" i="11"/>
  <c r="BF674" i="11" s="1"/>
  <c r="AF674" i="11"/>
  <c r="AE674" i="11"/>
  <c r="AD674" i="11"/>
  <c r="K674" i="11"/>
  <c r="W674" i="11" s="1"/>
  <c r="Y674" i="11" s="1"/>
  <c r="J674" i="11"/>
  <c r="I674" i="11"/>
  <c r="H674" i="11"/>
  <c r="BG673" i="11"/>
  <c r="BE673" i="11"/>
  <c r="BF673" i="11" s="1"/>
  <c r="AF673" i="11"/>
  <c r="AE673" i="11"/>
  <c r="AD673" i="11"/>
  <c r="K673" i="11"/>
  <c r="W673" i="11" s="1"/>
  <c r="Y673" i="11" s="1"/>
  <c r="J673" i="11"/>
  <c r="I673" i="11"/>
  <c r="H673" i="11"/>
  <c r="BG672" i="11"/>
  <c r="BE672" i="11"/>
  <c r="BF672" i="11" s="1"/>
  <c r="AF672" i="11"/>
  <c r="AE672" i="11"/>
  <c r="AD672" i="11"/>
  <c r="K672" i="11"/>
  <c r="W672" i="11" s="1"/>
  <c r="Y672" i="11" s="1"/>
  <c r="J672" i="11"/>
  <c r="I672" i="11"/>
  <c r="H672" i="11"/>
  <c r="BG671" i="11"/>
  <c r="BE671" i="11"/>
  <c r="BF671" i="11" s="1"/>
  <c r="AF671" i="11"/>
  <c r="AE671" i="11"/>
  <c r="AD671" i="11"/>
  <c r="K671" i="11"/>
  <c r="W671" i="11" s="1"/>
  <c r="Y671" i="11" s="1"/>
  <c r="J671" i="11"/>
  <c r="I671" i="11"/>
  <c r="H671" i="11"/>
  <c r="BG670" i="11"/>
  <c r="AZ670" i="11"/>
  <c r="AX670" i="11"/>
  <c r="AF670" i="11"/>
  <c r="AE670" i="11"/>
  <c r="AD670" i="11"/>
  <c r="K670" i="11"/>
  <c r="W670" i="11" s="1"/>
  <c r="Y670" i="11" s="1"/>
  <c r="J670" i="11"/>
  <c r="I670" i="11"/>
  <c r="H670" i="11"/>
  <c r="BG669" i="11"/>
  <c r="AZ669" i="11"/>
  <c r="AX669" i="11"/>
  <c r="AF669" i="11"/>
  <c r="AE669" i="11"/>
  <c r="AD669" i="11"/>
  <c r="K669" i="11"/>
  <c r="W669" i="11" s="1"/>
  <c r="Y669" i="11" s="1"/>
  <c r="J669" i="11"/>
  <c r="I669" i="11"/>
  <c r="H669" i="11"/>
  <c r="BG164" i="11"/>
  <c r="BE164" i="11"/>
  <c r="BF164" i="11" s="1"/>
  <c r="AF164" i="11"/>
  <c r="AE164" i="11"/>
  <c r="AD164" i="11"/>
  <c r="T164" i="11"/>
  <c r="K164" i="11"/>
  <c r="W164" i="11" s="1"/>
  <c r="Y164" i="11" s="1"/>
  <c r="J164" i="11"/>
  <c r="I164" i="11"/>
  <c r="H164" i="11"/>
  <c r="BG163" i="11"/>
  <c r="BE163" i="11"/>
  <c r="BF163" i="11" s="1"/>
  <c r="AF163" i="11"/>
  <c r="AE163" i="11"/>
  <c r="AD163" i="11"/>
  <c r="T163" i="11"/>
  <c r="K163" i="11"/>
  <c r="W163" i="11" s="1"/>
  <c r="Y163" i="11" s="1"/>
  <c r="J163" i="11"/>
  <c r="I163" i="11"/>
  <c r="H163" i="11"/>
  <c r="BG162" i="11"/>
  <c r="BE162" i="11"/>
  <c r="BF162" i="11" s="1"/>
  <c r="AF162" i="11"/>
  <c r="AE162" i="11"/>
  <c r="AD162" i="11"/>
  <c r="T162" i="11"/>
  <c r="K162" i="11"/>
  <c r="W162" i="11" s="1"/>
  <c r="Y162" i="11" s="1"/>
  <c r="J162" i="11"/>
  <c r="I162" i="11"/>
  <c r="H162" i="11"/>
  <c r="BG161" i="11"/>
  <c r="BE161" i="11"/>
  <c r="BF161" i="11" s="1"/>
  <c r="AF161" i="11"/>
  <c r="AE161" i="11"/>
  <c r="AD161" i="11"/>
  <c r="T161" i="11"/>
  <c r="K161" i="11"/>
  <c r="W161" i="11" s="1"/>
  <c r="Y161" i="11" s="1"/>
  <c r="J161" i="11"/>
  <c r="I161" i="11"/>
  <c r="H161" i="11"/>
  <c r="BG160" i="11"/>
  <c r="BE160" i="11"/>
  <c r="BF160" i="11" s="1"/>
  <c r="AF160" i="11"/>
  <c r="AE160" i="11"/>
  <c r="AD160" i="11"/>
  <c r="T160" i="11"/>
  <c r="K160" i="11"/>
  <c r="W160" i="11" s="1"/>
  <c r="Y160" i="11" s="1"/>
  <c r="J160" i="11"/>
  <c r="I160" i="11"/>
  <c r="H160" i="11"/>
  <c r="BG159" i="11"/>
  <c r="BE159" i="11"/>
  <c r="BF159" i="11" s="1"/>
  <c r="AF159" i="11"/>
  <c r="AE159" i="11"/>
  <c r="AD159" i="11"/>
  <c r="T159" i="11"/>
  <c r="K159" i="11"/>
  <c r="W159" i="11" s="1"/>
  <c r="Y159" i="11" s="1"/>
  <c r="J159" i="11"/>
  <c r="I159" i="11"/>
  <c r="H159" i="11"/>
  <c r="BG158" i="11"/>
  <c r="BE158" i="11"/>
  <c r="BF158" i="11" s="1"/>
  <c r="AF158" i="11"/>
  <c r="AE158" i="11"/>
  <c r="AD158" i="11"/>
  <c r="T158" i="11"/>
  <c r="K158" i="11"/>
  <c r="W158" i="11" s="1"/>
  <c r="Y158" i="11" s="1"/>
  <c r="J158" i="11"/>
  <c r="I158" i="11"/>
  <c r="H158" i="11"/>
  <c r="BG157" i="11"/>
  <c r="BE157" i="11"/>
  <c r="BF157" i="11" s="1"/>
  <c r="AF157" i="11"/>
  <c r="AE157" i="11"/>
  <c r="AD157" i="11"/>
  <c r="T157" i="11"/>
  <c r="K157" i="11"/>
  <c r="W157" i="11" s="1"/>
  <c r="Y157" i="11" s="1"/>
  <c r="J157" i="11"/>
  <c r="I157" i="11"/>
  <c r="H157" i="11"/>
  <c r="BG156" i="11"/>
  <c r="BE156" i="11"/>
  <c r="BF156" i="11" s="1"/>
  <c r="AF156" i="11"/>
  <c r="AE156" i="11"/>
  <c r="AD156" i="11"/>
  <c r="T156" i="11"/>
  <c r="K156" i="11"/>
  <c r="W156" i="11" s="1"/>
  <c r="Y156" i="11" s="1"/>
  <c r="J156" i="11"/>
  <c r="I156" i="11"/>
  <c r="H156" i="11"/>
  <c r="BG155" i="11"/>
  <c r="BE155" i="11"/>
  <c r="BF155" i="11" s="1"/>
  <c r="AF155" i="11"/>
  <c r="AE155" i="11"/>
  <c r="AD155" i="11"/>
  <c r="T155" i="11"/>
  <c r="K155" i="11"/>
  <c r="W155" i="11" s="1"/>
  <c r="Y155" i="11" s="1"/>
  <c r="J155" i="11"/>
  <c r="I155" i="11"/>
  <c r="H155" i="11"/>
  <c r="BG145" i="11"/>
  <c r="AZ145" i="11"/>
  <c r="AF145" i="11"/>
  <c r="AE145" i="11"/>
  <c r="AD145" i="11"/>
  <c r="T145" i="11"/>
  <c r="K145" i="11"/>
  <c r="W145" i="11" s="1"/>
  <c r="Y145" i="11" s="1"/>
  <c r="J145" i="11"/>
  <c r="I145" i="11"/>
  <c r="H145" i="11"/>
  <c r="BG144" i="11"/>
  <c r="AZ144" i="11"/>
  <c r="AX144" i="11"/>
  <c r="AV144" i="11"/>
  <c r="AN144" i="11"/>
  <c r="AM144" i="11"/>
  <c r="AK144" i="11"/>
  <c r="AJ144" i="11"/>
  <c r="AF144" i="11"/>
  <c r="AE144" i="11"/>
  <c r="AD144" i="11"/>
  <c r="T144" i="11"/>
  <c r="K144" i="11"/>
  <c r="W144" i="11" s="1"/>
  <c r="Y144" i="11" s="1"/>
  <c r="J144" i="11"/>
  <c r="I144" i="11"/>
  <c r="H144" i="11"/>
  <c r="BG143" i="11"/>
  <c r="AZ143" i="11"/>
  <c r="AX143" i="11"/>
  <c r="AV143" i="11"/>
  <c r="AN143" i="11"/>
  <c r="AM143" i="11"/>
  <c r="AK143" i="11"/>
  <c r="AJ143" i="11"/>
  <c r="AF143" i="11"/>
  <c r="AE143" i="11"/>
  <c r="AD143" i="11"/>
  <c r="T143" i="11"/>
  <c r="K143" i="11"/>
  <c r="W143" i="11" s="1"/>
  <c r="Y143" i="11" s="1"/>
  <c r="J143" i="11"/>
  <c r="I143" i="11"/>
  <c r="H143" i="11"/>
  <c r="AF142" i="11"/>
  <c r="AE142" i="11"/>
  <c r="AD142" i="11"/>
  <c r="T142" i="11"/>
  <c r="K142" i="11"/>
  <c r="W142" i="11" s="1"/>
  <c r="Y142" i="11" s="1"/>
  <c r="J142" i="11"/>
  <c r="I142" i="11"/>
  <c r="H142" i="11"/>
  <c r="BG141" i="11"/>
  <c r="AF141" i="11"/>
  <c r="AE141" i="11"/>
  <c r="AD141" i="11"/>
  <c r="T141" i="11"/>
  <c r="K141" i="11"/>
  <c r="W141" i="11" s="1"/>
  <c r="Y141" i="11" s="1"/>
  <c r="J141" i="11"/>
  <c r="I141" i="11"/>
  <c r="H141" i="11"/>
  <c r="BG140" i="11"/>
  <c r="AF140" i="11"/>
  <c r="AE140" i="11"/>
  <c r="AD140" i="11"/>
  <c r="T140" i="11"/>
  <c r="K140" i="11"/>
  <c r="W140" i="11" s="1"/>
  <c r="Y140" i="11" s="1"/>
  <c r="J140" i="11"/>
  <c r="I140" i="11"/>
  <c r="H140" i="11"/>
  <c r="BG139" i="11"/>
  <c r="AF139" i="11"/>
  <c r="AE139" i="11"/>
  <c r="AD139" i="11"/>
  <c r="T139" i="11"/>
  <c r="K139" i="11"/>
  <c r="W139" i="11" s="1"/>
  <c r="Y139" i="11" s="1"/>
  <c r="J139" i="11"/>
  <c r="I139" i="11"/>
  <c r="H139" i="11"/>
  <c r="BG138" i="11"/>
  <c r="AZ138" i="11"/>
  <c r="AF138" i="11"/>
  <c r="AE138" i="11"/>
  <c r="AD138" i="11"/>
  <c r="T138" i="11"/>
  <c r="K138" i="11"/>
  <c r="W138" i="11" s="1"/>
  <c r="Y138" i="11" s="1"/>
  <c r="J138" i="11"/>
  <c r="I138" i="11"/>
  <c r="H138" i="11"/>
  <c r="BG137" i="11"/>
  <c r="AZ137" i="11"/>
  <c r="AF137" i="11"/>
  <c r="AE137" i="11"/>
  <c r="AD137" i="11"/>
  <c r="T137" i="11"/>
  <c r="K137" i="11"/>
  <c r="W137" i="11" s="1"/>
  <c r="Y137" i="11" s="1"/>
  <c r="J137" i="11"/>
  <c r="I137" i="11"/>
  <c r="H137" i="11"/>
  <c r="BG668" i="11"/>
  <c r="AZ668" i="11"/>
  <c r="AX668" i="11"/>
  <c r="AF668" i="11"/>
  <c r="AE668" i="11"/>
  <c r="AD668" i="11"/>
  <c r="T668" i="11"/>
  <c r="K668" i="11"/>
  <c r="W668" i="11" s="1"/>
  <c r="Y668" i="11" s="1"/>
  <c r="J668" i="11"/>
  <c r="I668" i="11"/>
  <c r="H668" i="11"/>
  <c r="BG667" i="11"/>
  <c r="AZ667" i="11"/>
  <c r="AX667" i="11"/>
  <c r="AF667" i="11"/>
  <c r="AE667" i="11"/>
  <c r="AD667" i="11"/>
  <c r="T667" i="11"/>
  <c r="K667" i="11"/>
  <c r="W667" i="11" s="1"/>
  <c r="Y667" i="11" s="1"/>
  <c r="J667" i="11"/>
  <c r="I667" i="11"/>
  <c r="H667" i="11"/>
  <c r="BG666" i="11"/>
  <c r="AZ666" i="11"/>
  <c r="AX666" i="11"/>
  <c r="AF666" i="11"/>
  <c r="AE666" i="11"/>
  <c r="AD666" i="11"/>
  <c r="T666" i="11"/>
  <c r="K666" i="11"/>
  <c r="W666" i="11" s="1"/>
  <c r="Y666" i="11" s="1"/>
  <c r="J666" i="11"/>
  <c r="I666" i="11"/>
  <c r="H666" i="11"/>
  <c r="BG665" i="11"/>
  <c r="AZ665" i="11"/>
  <c r="AX665" i="11"/>
  <c r="AF665" i="11"/>
  <c r="AE665" i="11"/>
  <c r="AD665" i="11"/>
  <c r="T665" i="11"/>
  <c r="K665" i="11"/>
  <c r="W665" i="11" s="1"/>
  <c r="Y665" i="11" s="1"/>
  <c r="J665" i="11"/>
  <c r="I665" i="11"/>
  <c r="H665" i="11"/>
  <c r="BG664" i="11"/>
  <c r="AZ664" i="11"/>
  <c r="AX664" i="11"/>
  <c r="AF664" i="11"/>
  <c r="AE664" i="11"/>
  <c r="AD664" i="11"/>
  <c r="T664" i="11"/>
  <c r="K664" i="11"/>
  <c r="W664" i="11" s="1"/>
  <c r="Y664" i="11" s="1"/>
  <c r="J664" i="11"/>
  <c r="I664" i="11"/>
  <c r="H664" i="11"/>
  <c r="BG663" i="11"/>
  <c r="AZ663" i="11"/>
  <c r="AX663" i="11"/>
  <c r="AF663" i="11"/>
  <c r="AE663" i="11"/>
  <c r="AD663" i="11"/>
  <c r="T663" i="11"/>
  <c r="K663" i="11"/>
  <c r="W663" i="11" s="1"/>
  <c r="Y663" i="11" s="1"/>
  <c r="J663" i="11"/>
  <c r="I663" i="11"/>
  <c r="H663" i="11"/>
  <c r="BG662" i="11"/>
  <c r="AZ662" i="11"/>
  <c r="AX662" i="11"/>
  <c r="AF662" i="11"/>
  <c r="AE662" i="11"/>
  <c r="AD662" i="11"/>
  <c r="T662" i="11"/>
  <c r="K662" i="11"/>
  <c r="W662" i="11" s="1"/>
  <c r="Y662" i="11" s="1"/>
  <c r="J662" i="11"/>
  <c r="I662" i="11"/>
  <c r="H662" i="11"/>
  <c r="BG661" i="11"/>
  <c r="AZ661" i="11"/>
  <c r="AX661" i="11"/>
  <c r="AF661" i="11"/>
  <c r="AE661" i="11"/>
  <c r="AD661" i="11"/>
  <c r="T661" i="11"/>
  <c r="K661" i="11"/>
  <c r="W661" i="11" s="1"/>
  <c r="Y661" i="11" s="1"/>
  <c r="J661" i="11"/>
  <c r="I661" i="11"/>
  <c r="H661" i="11"/>
  <c r="BG660" i="11"/>
  <c r="AZ660" i="11"/>
  <c r="AX660" i="11"/>
  <c r="AF660" i="11"/>
  <c r="AE660" i="11"/>
  <c r="AD660" i="11"/>
  <c r="T660" i="11"/>
  <c r="K660" i="11"/>
  <c r="W660" i="11" s="1"/>
  <c r="Y660" i="11" s="1"/>
  <c r="J660" i="11"/>
  <c r="I660" i="11"/>
  <c r="H660" i="11"/>
  <c r="BG659" i="11"/>
  <c r="AZ659" i="11"/>
  <c r="AX659" i="11"/>
  <c r="AF659" i="11"/>
  <c r="AE659" i="11"/>
  <c r="AD659" i="11"/>
  <c r="T659" i="11"/>
  <c r="K659" i="11"/>
  <c r="W659" i="11" s="1"/>
  <c r="Y659" i="11" s="1"/>
  <c r="J659" i="11"/>
  <c r="I659" i="11"/>
  <c r="H659" i="11"/>
  <c r="BG658" i="11"/>
  <c r="AZ658" i="11"/>
  <c r="AX658" i="11"/>
  <c r="AF658" i="11"/>
  <c r="AE658" i="11"/>
  <c r="AD658" i="11"/>
  <c r="T658" i="11"/>
  <c r="K658" i="11"/>
  <c r="W658" i="11" s="1"/>
  <c r="Y658" i="11" s="1"/>
  <c r="J658" i="11"/>
  <c r="I658" i="11"/>
  <c r="H658" i="11"/>
  <c r="BG657" i="11"/>
  <c r="AZ657" i="11"/>
  <c r="AX657" i="11"/>
  <c r="AF657" i="11"/>
  <c r="AE657" i="11"/>
  <c r="AD657" i="11"/>
  <c r="T657" i="11"/>
  <c r="K657" i="11"/>
  <c r="W657" i="11" s="1"/>
  <c r="Y657" i="11" s="1"/>
  <c r="J657" i="11"/>
  <c r="I657" i="11"/>
  <c r="H657" i="11"/>
  <c r="BG656" i="11"/>
  <c r="AZ656" i="11"/>
  <c r="AF656" i="11"/>
  <c r="AE656" i="11"/>
  <c r="AD656" i="11"/>
  <c r="T656" i="11"/>
  <c r="K656" i="11"/>
  <c r="W656" i="11" s="1"/>
  <c r="Y656" i="11" s="1"/>
  <c r="J656" i="11"/>
  <c r="I656" i="11"/>
  <c r="H656" i="11"/>
  <c r="BG655" i="11"/>
  <c r="AZ655" i="11"/>
  <c r="AF655" i="11"/>
  <c r="AE655" i="11"/>
  <c r="AD655" i="11"/>
  <c r="T655" i="11"/>
  <c r="K655" i="11"/>
  <c r="W655" i="11" s="1"/>
  <c r="Y655" i="11" s="1"/>
  <c r="J655" i="11"/>
  <c r="I655" i="11"/>
  <c r="H655" i="11"/>
  <c r="BG654" i="11"/>
  <c r="AZ654" i="11"/>
  <c r="AF654" i="11"/>
  <c r="AE654" i="11"/>
  <c r="AD654" i="11"/>
  <c r="T654" i="11"/>
  <c r="K654" i="11"/>
  <c r="W654" i="11" s="1"/>
  <c r="Y654" i="11" s="1"/>
  <c r="J654" i="11"/>
  <c r="I654" i="11"/>
  <c r="H654" i="11"/>
  <c r="BG653" i="11"/>
  <c r="AZ653" i="11"/>
  <c r="AF653" i="11"/>
  <c r="AE653" i="11"/>
  <c r="AD653" i="11"/>
  <c r="T653" i="11"/>
  <c r="K653" i="11"/>
  <c r="W653" i="11" s="1"/>
  <c r="Y653" i="11" s="1"/>
  <c r="J653" i="11"/>
  <c r="I653" i="11"/>
  <c r="H653" i="11"/>
  <c r="BG652" i="11"/>
  <c r="AZ652" i="11"/>
  <c r="AF652" i="11"/>
  <c r="AE652" i="11"/>
  <c r="AD652" i="11"/>
  <c r="T652" i="11"/>
  <c r="K652" i="11"/>
  <c r="W652" i="11" s="1"/>
  <c r="Y652" i="11" s="1"/>
  <c r="J652" i="11"/>
  <c r="I652" i="11"/>
  <c r="H652" i="11"/>
  <c r="BG651" i="11"/>
  <c r="AZ651" i="11"/>
  <c r="AF651" i="11"/>
  <c r="AE651" i="11"/>
  <c r="AD651" i="11"/>
  <c r="T651" i="11"/>
  <c r="K651" i="11"/>
  <c r="W651" i="11" s="1"/>
  <c r="Y651" i="11" s="1"/>
  <c r="J651" i="11"/>
  <c r="I651" i="11"/>
  <c r="H651" i="11"/>
  <c r="BG650" i="11"/>
  <c r="AZ650" i="11"/>
  <c r="AF650" i="11"/>
  <c r="AE650" i="11"/>
  <c r="AD650" i="11"/>
  <c r="T650" i="11"/>
  <c r="K650" i="11"/>
  <c r="W650" i="11" s="1"/>
  <c r="Y650" i="11" s="1"/>
  <c r="J650" i="11"/>
  <c r="I650" i="11"/>
  <c r="H650" i="11"/>
  <c r="AZ649" i="11"/>
  <c r="AX649" i="11"/>
  <c r="AL649" i="11"/>
  <c r="AN649" i="11" s="1"/>
  <c r="AI649" i="11"/>
  <c r="AK649" i="11" s="1"/>
  <c r="AF649" i="11"/>
  <c r="AE649" i="11"/>
  <c r="AD649" i="11"/>
  <c r="T649" i="11"/>
  <c r="K649" i="11"/>
  <c r="W649" i="11" s="1"/>
  <c r="Y649" i="11" s="1"/>
  <c r="J649" i="11"/>
  <c r="I649" i="11"/>
  <c r="H649" i="11"/>
  <c r="AZ648" i="11"/>
  <c r="AX648" i="11"/>
  <c r="AL648" i="11"/>
  <c r="AI648" i="11"/>
  <c r="AK648" i="11" s="1"/>
  <c r="AF648" i="11"/>
  <c r="AE648" i="11"/>
  <c r="AD648" i="11"/>
  <c r="T648" i="11"/>
  <c r="K648" i="11"/>
  <c r="J648" i="11"/>
  <c r="I648" i="11"/>
  <c r="H648" i="11"/>
  <c r="AZ647" i="11"/>
  <c r="AX647" i="11"/>
  <c r="AL647" i="11"/>
  <c r="AI647" i="11"/>
  <c r="AF647" i="11"/>
  <c r="AE647" i="11"/>
  <c r="AD647" i="11"/>
  <c r="T647" i="11"/>
  <c r="K647" i="11"/>
  <c r="W647" i="11" s="1"/>
  <c r="Y647" i="11" s="1"/>
  <c r="J647" i="11"/>
  <c r="I647" i="11"/>
  <c r="H647" i="11"/>
  <c r="AZ646" i="11"/>
  <c r="AX646" i="11"/>
  <c r="AF646" i="11"/>
  <c r="AE646" i="11"/>
  <c r="AD646" i="11"/>
  <c r="T646" i="11"/>
  <c r="K646" i="11"/>
  <c r="W646" i="11" s="1"/>
  <c r="Y646" i="11" s="1"/>
  <c r="J646" i="11"/>
  <c r="I646" i="11"/>
  <c r="H646" i="11"/>
  <c r="BG645" i="11"/>
  <c r="AZ645" i="11"/>
  <c r="AX645" i="11"/>
  <c r="AF645" i="11"/>
  <c r="AE645" i="11"/>
  <c r="AD645" i="11"/>
  <c r="T645" i="11"/>
  <c r="K645" i="11"/>
  <c r="W645" i="11" s="1"/>
  <c r="Y645" i="11" s="1"/>
  <c r="J645" i="11"/>
  <c r="I645" i="11"/>
  <c r="H645" i="11"/>
  <c r="BG644" i="11"/>
  <c r="AZ644" i="11"/>
  <c r="AW644" i="11"/>
  <c r="AF644" i="11"/>
  <c r="AE644" i="11"/>
  <c r="AD644" i="11"/>
  <c r="T644" i="11"/>
  <c r="K644" i="11"/>
  <c r="W644" i="11" s="1"/>
  <c r="Y644" i="11" s="1"/>
  <c r="J644" i="11"/>
  <c r="I644" i="11"/>
  <c r="H644" i="11"/>
  <c r="BG643" i="11"/>
  <c r="AF643" i="11"/>
  <c r="AE643" i="11"/>
  <c r="AD643" i="11"/>
  <c r="T643" i="11"/>
  <c r="K643" i="11"/>
  <c r="W643" i="11" s="1"/>
  <c r="Y643" i="11" s="1"/>
  <c r="J643" i="11"/>
  <c r="I643" i="11"/>
  <c r="H643" i="11"/>
  <c r="BG642" i="11"/>
  <c r="AF642" i="11"/>
  <c r="AE642" i="11"/>
  <c r="AD642" i="11"/>
  <c r="T642" i="11"/>
  <c r="K642" i="11"/>
  <c r="W642" i="11" s="1"/>
  <c r="Y642" i="11" s="1"/>
  <c r="J642" i="11"/>
  <c r="I642" i="11"/>
  <c r="H642" i="11"/>
  <c r="BG641" i="11"/>
  <c r="AF641" i="11"/>
  <c r="AE641" i="11"/>
  <c r="AD641" i="11"/>
  <c r="T641" i="11"/>
  <c r="K641" i="11"/>
  <c r="W641" i="11" s="1"/>
  <c r="Y641" i="11" s="1"/>
  <c r="J641" i="11"/>
  <c r="I641" i="11"/>
  <c r="H641" i="11"/>
  <c r="BG640" i="11"/>
  <c r="AZ640" i="11"/>
  <c r="AX640" i="11"/>
  <c r="AF640" i="11"/>
  <c r="AE640" i="11"/>
  <c r="AD640" i="11"/>
  <c r="T640" i="11"/>
  <c r="K640" i="11"/>
  <c r="W640" i="11" s="1"/>
  <c r="Y640" i="11" s="1"/>
  <c r="J640" i="11"/>
  <c r="I640" i="11"/>
  <c r="H640" i="11"/>
  <c r="BG639" i="11"/>
  <c r="AZ639" i="11"/>
  <c r="AX639" i="11"/>
  <c r="AF639" i="11"/>
  <c r="AE639" i="11"/>
  <c r="AD639" i="11"/>
  <c r="T639" i="11"/>
  <c r="K639" i="11"/>
  <c r="W639" i="11" s="1"/>
  <c r="Y639" i="11" s="1"/>
  <c r="J639" i="11"/>
  <c r="I639" i="11"/>
  <c r="H639" i="11"/>
  <c r="BG632" i="11"/>
  <c r="AZ632" i="11"/>
  <c r="AX632" i="11"/>
  <c r="AF632" i="11"/>
  <c r="AE632" i="11"/>
  <c r="AD632" i="11"/>
  <c r="T632" i="11"/>
  <c r="K632" i="11"/>
  <c r="W632" i="11" s="1"/>
  <c r="Y632" i="11" s="1"/>
  <c r="J632" i="11"/>
  <c r="I632" i="11"/>
  <c r="H632" i="11"/>
  <c r="BG631" i="11"/>
  <c r="AZ631" i="11"/>
  <c r="AX631" i="11"/>
  <c r="AF631" i="11"/>
  <c r="AE631" i="11"/>
  <c r="AD631" i="11"/>
  <c r="T631" i="11"/>
  <c r="K631" i="11"/>
  <c r="W631" i="11" s="1"/>
  <c r="Y631" i="11" s="1"/>
  <c r="J631" i="11"/>
  <c r="I631" i="11"/>
  <c r="H631" i="11"/>
  <c r="BG630" i="11"/>
  <c r="AZ630" i="11"/>
  <c r="AX630" i="11"/>
  <c r="AV630" i="11"/>
  <c r="AN630" i="11"/>
  <c r="AM630" i="11"/>
  <c r="AK630" i="11"/>
  <c r="AJ630" i="11"/>
  <c r="AF630" i="11"/>
  <c r="AE630" i="11"/>
  <c r="AD630" i="11"/>
  <c r="T630" i="11"/>
  <c r="K630" i="11"/>
  <c r="W630" i="11" s="1"/>
  <c r="Y630" i="11" s="1"/>
  <c r="J630" i="11"/>
  <c r="I630" i="11"/>
  <c r="H630" i="11"/>
  <c r="BG629" i="11"/>
  <c r="AZ629" i="11"/>
  <c r="AX629" i="11"/>
  <c r="AV629" i="11"/>
  <c r="AN629" i="11"/>
  <c r="AM629" i="11"/>
  <c r="AK629" i="11"/>
  <c r="AJ629" i="11"/>
  <c r="AF629" i="11"/>
  <c r="AE629" i="11"/>
  <c r="AD629" i="11"/>
  <c r="T629" i="11"/>
  <c r="K629" i="11"/>
  <c r="W629" i="11" s="1"/>
  <c r="Y629" i="11" s="1"/>
  <c r="J629" i="11"/>
  <c r="I629" i="11"/>
  <c r="H629" i="11"/>
  <c r="BG628" i="11"/>
  <c r="AZ628" i="11"/>
  <c r="AX628" i="11"/>
  <c r="AV628" i="11"/>
  <c r="AN628" i="11"/>
  <c r="AM628" i="11"/>
  <c r="AK628" i="11"/>
  <c r="AJ628" i="11"/>
  <c r="AF628" i="11"/>
  <c r="AE628" i="11"/>
  <c r="AD628" i="11"/>
  <c r="T628" i="11"/>
  <c r="K628" i="11"/>
  <c r="W628" i="11" s="1"/>
  <c r="Y628" i="11" s="1"/>
  <c r="J628" i="11"/>
  <c r="I628" i="11"/>
  <c r="H628" i="11"/>
  <c r="BG627" i="11"/>
  <c r="AZ627" i="11"/>
  <c r="AX627" i="11"/>
  <c r="AV627" i="11"/>
  <c r="AN627" i="11"/>
  <c r="AM627" i="11"/>
  <c r="AK627" i="11"/>
  <c r="AJ627" i="11"/>
  <c r="AF627" i="11"/>
  <c r="AE627" i="11"/>
  <c r="AD627" i="11"/>
  <c r="T627" i="11"/>
  <c r="K627" i="11"/>
  <c r="W627" i="11" s="1"/>
  <c r="Y627" i="11" s="1"/>
  <c r="J627" i="11"/>
  <c r="I627" i="11"/>
  <c r="H627" i="11"/>
  <c r="BG626" i="11"/>
  <c r="AZ626" i="11"/>
  <c r="AX626" i="11"/>
  <c r="AV626" i="11"/>
  <c r="AN626" i="11"/>
  <c r="AM626" i="11"/>
  <c r="AK626" i="11"/>
  <c r="AJ626" i="11"/>
  <c r="AF626" i="11"/>
  <c r="AE626" i="11"/>
  <c r="AD626" i="11"/>
  <c r="T626" i="11"/>
  <c r="K626" i="11"/>
  <c r="W626" i="11" s="1"/>
  <c r="Y626" i="11" s="1"/>
  <c r="J626" i="11"/>
  <c r="I626" i="11"/>
  <c r="H626" i="11"/>
  <c r="BG625" i="11"/>
  <c r="AZ625" i="11"/>
  <c r="AX625" i="11"/>
  <c r="AV625" i="11"/>
  <c r="AN625" i="11"/>
  <c r="AM625" i="11"/>
  <c r="AK625" i="11"/>
  <c r="AJ625" i="11"/>
  <c r="AF625" i="11"/>
  <c r="AE625" i="11"/>
  <c r="AD625" i="11"/>
  <c r="T625" i="11"/>
  <c r="K625" i="11"/>
  <c r="W625" i="11" s="1"/>
  <c r="Y625" i="11" s="1"/>
  <c r="J625" i="11"/>
  <c r="I625" i="11"/>
  <c r="H625" i="11"/>
  <c r="BG136" i="11"/>
  <c r="AZ136" i="11"/>
  <c r="AX136" i="11"/>
  <c r="AV136" i="11"/>
  <c r="AF136" i="11"/>
  <c r="AE136" i="11"/>
  <c r="AD136" i="11"/>
  <c r="T136" i="11"/>
  <c r="K136" i="11"/>
  <c r="W136" i="11" s="1"/>
  <c r="Y136" i="11" s="1"/>
  <c r="J136" i="11"/>
  <c r="I136" i="11"/>
  <c r="H136" i="11"/>
  <c r="BG135" i="11"/>
  <c r="AZ135" i="11"/>
  <c r="AX135" i="11"/>
  <c r="AV135" i="11"/>
  <c r="AF135" i="11"/>
  <c r="AE135" i="11"/>
  <c r="AD135" i="11"/>
  <c r="T135" i="11"/>
  <c r="K135" i="11"/>
  <c r="W135" i="11" s="1"/>
  <c r="Y135" i="11" s="1"/>
  <c r="J135" i="11"/>
  <c r="I135" i="11"/>
  <c r="H135" i="11"/>
  <c r="BG134" i="11"/>
  <c r="AZ134" i="11"/>
  <c r="AX134" i="11"/>
  <c r="AV134" i="11"/>
  <c r="AF134" i="11"/>
  <c r="AE134" i="11"/>
  <c r="AD134" i="11"/>
  <c r="T134" i="11"/>
  <c r="K134" i="11"/>
  <c r="W134" i="11" s="1"/>
  <c r="Y134" i="11" s="1"/>
  <c r="J134" i="11"/>
  <c r="I134" i="11"/>
  <c r="H134" i="11"/>
  <c r="BG133" i="11"/>
  <c r="AZ133" i="11"/>
  <c r="AX133" i="11"/>
  <c r="AV133" i="11"/>
  <c r="AF133" i="11"/>
  <c r="AE133" i="11"/>
  <c r="AD133" i="11"/>
  <c r="T133" i="11"/>
  <c r="K133" i="11"/>
  <c r="W133" i="11" s="1"/>
  <c r="Y133" i="11" s="1"/>
  <c r="J133" i="11"/>
  <c r="I133" i="11"/>
  <c r="H133" i="11"/>
  <c r="BG132" i="11"/>
  <c r="AZ132" i="11"/>
  <c r="AX132" i="11"/>
  <c r="AV132" i="11"/>
  <c r="AF132" i="11"/>
  <c r="AE132" i="11"/>
  <c r="AD132" i="11"/>
  <c r="T132" i="11"/>
  <c r="K132" i="11"/>
  <c r="W132" i="11" s="1"/>
  <c r="Y132" i="11" s="1"/>
  <c r="J132" i="11"/>
  <c r="I132" i="11"/>
  <c r="H132" i="11"/>
  <c r="BG131" i="11"/>
  <c r="AZ131" i="11"/>
  <c r="AX131" i="11"/>
  <c r="AV131" i="11"/>
  <c r="AF131" i="11"/>
  <c r="AE131" i="11"/>
  <c r="AD131" i="11"/>
  <c r="T131" i="11"/>
  <c r="K131" i="11"/>
  <c r="W131" i="11" s="1"/>
  <c r="Y131" i="11" s="1"/>
  <c r="J131" i="11"/>
  <c r="I131" i="11"/>
  <c r="H131" i="11"/>
  <c r="BG130" i="11"/>
  <c r="AZ130" i="11"/>
  <c r="AX130" i="11"/>
  <c r="AV130" i="11"/>
  <c r="AF130" i="11"/>
  <c r="AE130" i="11"/>
  <c r="AD130" i="11"/>
  <c r="T130" i="11"/>
  <c r="K130" i="11"/>
  <c r="W130" i="11" s="1"/>
  <c r="Y130" i="11" s="1"/>
  <c r="J130" i="11"/>
  <c r="I130" i="11"/>
  <c r="H130" i="11"/>
  <c r="BG129" i="11"/>
  <c r="AZ129" i="11"/>
  <c r="AX129" i="11"/>
  <c r="AV129" i="11"/>
  <c r="AF129" i="11"/>
  <c r="AE129" i="11"/>
  <c r="AD129" i="11"/>
  <c r="T129" i="11"/>
  <c r="K129" i="11"/>
  <c r="W129" i="11" s="1"/>
  <c r="Y129" i="11" s="1"/>
  <c r="J129" i="11"/>
  <c r="I129" i="11"/>
  <c r="H129" i="11"/>
  <c r="BG128" i="11"/>
  <c r="AZ128" i="11"/>
  <c r="AX128" i="11"/>
  <c r="AV128" i="11"/>
  <c r="AF128" i="11"/>
  <c r="AE128" i="11"/>
  <c r="AD128" i="11"/>
  <c r="T128" i="11"/>
  <c r="K128" i="11"/>
  <c r="W128" i="11" s="1"/>
  <c r="Y128" i="11" s="1"/>
  <c r="J128" i="11"/>
  <c r="I128" i="11"/>
  <c r="H128" i="11"/>
  <c r="BG127" i="11"/>
  <c r="AZ127" i="11"/>
  <c r="AX127" i="11"/>
  <c r="AV127" i="11"/>
  <c r="AF127" i="11"/>
  <c r="AE127" i="11"/>
  <c r="AD127" i="11"/>
  <c r="T127" i="11"/>
  <c r="K127" i="11"/>
  <c r="W127" i="11" s="1"/>
  <c r="Y127" i="11" s="1"/>
  <c r="J127" i="11"/>
  <c r="I127" i="11"/>
  <c r="H127" i="11"/>
  <c r="AZ126" i="11"/>
  <c r="AX126" i="11"/>
  <c r="AL126" i="11"/>
  <c r="AN126" i="11" s="1"/>
  <c r="AI126" i="11"/>
  <c r="AK126" i="11" s="1"/>
  <c r="AF126" i="11"/>
  <c r="AE126" i="11"/>
  <c r="AD126" i="11"/>
  <c r="T126" i="11"/>
  <c r="K126" i="11"/>
  <c r="W126" i="11" s="1"/>
  <c r="Y126" i="11" s="1"/>
  <c r="J126" i="11"/>
  <c r="I126" i="11"/>
  <c r="H126" i="11"/>
  <c r="BG125" i="11"/>
  <c r="AZ125" i="11"/>
  <c r="AX125" i="11"/>
  <c r="AV125" i="11"/>
  <c r="AN125" i="11"/>
  <c r="AM125" i="11"/>
  <c r="AK125" i="11"/>
  <c r="AJ125" i="11"/>
  <c r="AF125" i="11"/>
  <c r="AE125" i="11"/>
  <c r="AD125" i="11"/>
  <c r="T125" i="11"/>
  <c r="K125" i="11"/>
  <c r="W125" i="11" s="1"/>
  <c r="Y125" i="11" s="1"/>
  <c r="J125" i="11"/>
  <c r="I125" i="11"/>
  <c r="H125" i="11"/>
  <c r="BG124" i="11"/>
  <c r="AZ124" i="11"/>
  <c r="AX124" i="11"/>
  <c r="AV124" i="11"/>
  <c r="AN124" i="11"/>
  <c r="AM124" i="11"/>
  <c r="AK124" i="11"/>
  <c r="AJ124" i="11"/>
  <c r="AF124" i="11"/>
  <c r="AE124" i="11"/>
  <c r="AD124" i="11"/>
  <c r="T124" i="11"/>
  <c r="K124" i="11"/>
  <c r="W124" i="11" s="1"/>
  <c r="Y124" i="11" s="1"/>
  <c r="J124" i="11"/>
  <c r="I124" i="11"/>
  <c r="H124" i="11"/>
  <c r="BG123" i="11"/>
  <c r="AZ123" i="11"/>
  <c r="AX123" i="11"/>
  <c r="AV123" i="11"/>
  <c r="AN123" i="11"/>
  <c r="AM123" i="11"/>
  <c r="AK123" i="11"/>
  <c r="AJ123" i="11"/>
  <c r="AF123" i="11"/>
  <c r="AE123" i="11"/>
  <c r="AD123" i="11"/>
  <c r="T123" i="11"/>
  <c r="K123" i="11"/>
  <c r="W123" i="11" s="1"/>
  <c r="Y123" i="11" s="1"/>
  <c r="J123" i="11"/>
  <c r="I123" i="11"/>
  <c r="H123" i="11"/>
  <c r="BG122" i="11"/>
  <c r="AZ122" i="11"/>
  <c r="AX122" i="11"/>
  <c r="AV122" i="11"/>
  <c r="AN122" i="11"/>
  <c r="AM122" i="11"/>
  <c r="AK122" i="11"/>
  <c r="AJ122" i="11"/>
  <c r="AF122" i="11"/>
  <c r="AE122" i="11"/>
  <c r="AD122" i="11"/>
  <c r="T122" i="11"/>
  <c r="K122" i="11"/>
  <c r="W122" i="11" s="1"/>
  <c r="Y122" i="11" s="1"/>
  <c r="J122" i="11"/>
  <c r="I122" i="11"/>
  <c r="H122" i="11"/>
  <c r="BG121" i="11"/>
  <c r="AZ121" i="11"/>
  <c r="AX121" i="11"/>
  <c r="AV121" i="11"/>
  <c r="AN121" i="11"/>
  <c r="AM121" i="11"/>
  <c r="AK121" i="11"/>
  <c r="AJ121" i="11"/>
  <c r="AF121" i="11"/>
  <c r="AE121" i="11"/>
  <c r="AD121" i="11"/>
  <c r="T121" i="11"/>
  <c r="K121" i="11"/>
  <c r="W121" i="11" s="1"/>
  <c r="Y121" i="11" s="1"/>
  <c r="J121" i="11"/>
  <c r="I121" i="11"/>
  <c r="H121" i="11"/>
  <c r="BG120" i="11"/>
  <c r="AZ120" i="11"/>
  <c r="AX120" i="11"/>
  <c r="AV120" i="11"/>
  <c r="AN120" i="11"/>
  <c r="AM120" i="11"/>
  <c r="AK120" i="11"/>
  <c r="AJ120" i="11"/>
  <c r="AF120" i="11"/>
  <c r="AE120" i="11"/>
  <c r="AD120" i="11"/>
  <c r="T120" i="11"/>
  <c r="K120" i="11"/>
  <c r="W120" i="11" s="1"/>
  <c r="Y120" i="11" s="1"/>
  <c r="J120" i="11"/>
  <c r="I120" i="11"/>
  <c r="H120" i="11"/>
  <c r="BG119" i="11"/>
  <c r="AZ119" i="11"/>
  <c r="AX119" i="11"/>
  <c r="AV119" i="11"/>
  <c r="AN119" i="11"/>
  <c r="AM119" i="11"/>
  <c r="AK119" i="11"/>
  <c r="AJ119" i="11"/>
  <c r="AF119" i="11"/>
  <c r="AE119" i="11"/>
  <c r="AD119" i="11"/>
  <c r="T119" i="11"/>
  <c r="K119" i="11"/>
  <c r="W119" i="11" s="1"/>
  <c r="Y119" i="11" s="1"/>
  <c r="J119" i="11"/>
  <c r="I119" i="11"/>
  <c r="H119" i="11"/>
  <c r="BG118" i="11"/>
  <c r="AZ118" i="11"/>
  <c r="AX118" i="11"/>
  <c r="AV118" i="11"/>
  <c r="AN118" i="11"/>
  <c r="AM118" i="11"/>
  <c r="AK118" i="11"/>
  <c r="AJ118" i="11"/>
  <c r="AF118" i="11"/>
  <c r="AE118" i="11"/>
  <c r="AD118" i="11"/>
  <c r="T118" i="11"/>
  <c r="K118" i="11"/>
  <c r="W118" i="11" s="1"/>
  <c r="Y118" i="11" s="1"/>
  <c r="J118" i="11"/>
  <c r="I118" i="11"/>
  <c r="H118" i="11"/>
  <c r="BG117" i="11"/>
  <c r="AZ117" i="11"/>
  <c r="AX117" i="11"/>
  <c r="AV117" i="11"/>
  <c r="AF117" i="11"/>
  <c r="AE117" i="11"/>
  <c r="AD117" i="11"/>
  <c r="T117" i="11"/>
  <c r="K117" i="11"/>
  <c r="W117" i="11" s="1"/>
  <c r="Y117" i="11" s="1"/>
  <c r="J117" i="11"/>
  <c r="I117" i="11"/>
  <c r="H117" i="11"/>
  <c r="BG116" i="11"/>
  <c r="AZ116" i="11"/>
  <c r="AX116" i="11"/>
  <c r="AV116" i="11"/>
  <c r="AN116" i="11"/>
  <c r="AM116" i="11"/>
  <c r="AK116" i="11"/>
  <c r="AJ116" i="11"/>
  <c r="AF116" i="11"/>
  <c r="AE116" i="11"/>
  <c r="AD116" i="11"/>
  <c r="T116" i="11"/>
  <c r="K116" i="11"/>
  <c r="W116" i="11" s="1"/>
  <c r="Y116" i="11" s="1"/>
  <c r="J116" i="11"/>
  <c r="I116" i="11"/>
  <c r="H116" i="11"/>
  <c r="BG114" i="11"/>
  <c r="AZ114" i="11"/>
  <c r="AX114" i="11"/>
  <c r="AV114" i="11"/>
  <c r="AN114" i="11"/>
  <c r="AM114" i="11"/>
  <c r="AK114" i="11"/>
  <c r="AJ114" i="11"/>
  <c r="AE114" i="11"/>
  <c r="AD114" i="11"/>
  <c r="T114" i="11"/>
  <c r="K114" i="11"/>
  <c r="W114" i="11" s="1"/>
  <c r="Y114" i="11" s="1"/>
  <c r="J114" i="11"/>
  <c r="I114" i="11"/>
  <c r="H114" i="11"/>
  <c r="BG113" i="11"/>
  <c r="AZ113" i="11"/>
  <c r="AX113" i="11"/>
  <c r="AV113" i="11"/>
  <c r="AF113" i="11"/>
  <c r="AE113" i="11"/>
  <c r="AD113" i="11"/>
  <c r="T113" i="11"/>
  <c r="K113" i="11"/>
  <c r="W113" i="11" s="1"/>
  <c r="Y113" i="11" s="1"/>
  <c r="J113" i="11"/>
  <c r="I113" i="11"/>
  <c r="H113" i="11"/>
  <c r="BG112" i="11"/>
  <c r="AZ112" i="11"/>
  <c r="AX112" i="11"/>
  <c r="AV112" i="11"/>
  <c r="AD112" i="11"/>
  <c r="AC112" i="11"/>
  <c r="J112" i="11"/>
  <c r="I112" i="11"/>
  <c r="H112" i="11"/>
  <c r="AX1174" i="11"/>
  <c r="AF1174" i="11"/>
  <c r="AE1174" i="11"/>
  <c r="AD1174" i="11"/>
  <c r="K1174" i="11"/>
  <c r="W1174" i="11" s="1"/>
  <c r="Y1174" i="11" s="1"/>
  <c r="J1174" i="11"/>
  <c r="I1174" i="11"/>
  <c r="H1174" i="11"/>
  <c r="BG1173" i="11"/>
  <c r="AX1173" i="11"/>
  <c r="AF1173" i="11"/>
  <c r="AE1173" i="11"/>
  <c r="AD1173" i="11"/>
  <c r="K1173" i="11"/>
  <c r="W1173" i="11" s="1"/>
  <c r="Y1173" i="11" s="1"/>
  <c r="J1173" i="11"/>
  <c r="I1173" i="11"/>
  <c r="H1173" i="11"/>
  <c r="BG1172" i="11"/>
  <c r="AX1172" i="11"/>
  <c r="AF1172" i="11"/>
  <c r="AE1172" i="11"/>
  <c r="AD1172" i="11"/>
  <c r="K1172" i="11"/>
  <c r="W1172" i="11" s="1"/>
  <c r="Y1172" i="11" s="1"/>
  <c r="J1172" i="11"/>
  <c r="I1172" i="11"/>
  <c r="H1172" i="11"/>
  <c r="BG1171" i="11"/>
  <c r="AX1171" i="11"/>
  <c r="AF1171" i="11"/>
  <c r="AE1171" i="11"/>
  <c r="AD1171" i="11"/>
  <c r="K1171" i="11"/>
  <c r="W1171" i="11" s="1"/>
  <c r="Y1171" i="11" s="1"/>
  <c r="J1171" i="11"/>
  <c r="I1171" i="11"/>
  <c r="H1171" i="11"/>
  <c r="BG1170" i="11"/>
  <c r="AX1170" i="11"/>
  <c r="AF1170" i="11"/>
  <c r="AE1170" i="11"/>
  <c r="AD1170" i="11"/>
  <c r="K1170" i="11"/>
  <c r="W1170" i="11" s="1"/>
  <c r="Y1170" i="11" s="1"/>
  <c r="J1170" i="11"/>
  <c r="I1170" i="11"/>
  <c r="H1170" i="11"/>
  <c r="BG1169" i="11"/>
  <c r="AX1169" i="11"/>
  <c r="AF1169" i="11"/>
  <c r="AE1169" i="11"/>
  <c r="AD1169" i="11"/>
  <c r="K1169" i="11"/>
  <c r="W1169" i="11" s="1"/>
  <c r="Y1169" i="11" s="1"/>
  <c r="J1169" i="11"/>
  <c r="I1169" i="11"/>
  <c r="H1169" i="11"/>
  <c r="BG1168" i="11"/>
  <c r="AX1168" i="11"/>
  <c r="AF1168" i="11"/>
  <c r="AE1168" i="11"/>
  <c r="AD1168" i="11"/>
  <c r="K1168" i="11"/>
  <c r="W1168" i="11" s="1"/>
  <c r="Y1168" i="11" s="1"/>
  <c r="J1168" i="11"/>
  <c r="I1168" i="11"/>
  <c r="H1168" i="11"/>
  <c r="BG1167" i="11"/>
  <c r="AX1167" i="11"/>
  <c r="AF1167" i="11"/>
  <c r="AE1167" i="11"/>
  <c r="AD1167" i="11"/>
  <c r="K1167" i="11"/>
  <c r="W1167" i="11" s="1"/>
  <c r="Y1167" i="11" s="1"/>
  <c r="J1167" i="11"/>
  <c r="I1167" i="11"/>
  <c r="H1167" i="11"/>
  <c r="BG1166" i="11"/>
  <c r="AX1166" i="11"/>
  <c r="AF1166" i="11"/>
  <c r="AE1166" i="11"/>
  <c r="AD1166" i="11"/>
  <c r="K1166" i="11"/>
  <c r="W1166" i="11" s="1"/>
  <c r="Y1166" i="11" s="1"/>
  <c r="J1166" i="11"/>
  <c r="I1166" i="11"/>
  <c r="H1166" i="11"/>
  <c r="BG1165" i="11"/>
  <c r="AX1165" i="11"/>
  <c r="AF1165" i="11"/>
  <c r="AE1165" i="11"/>
  <c r="AD1165" i="11"/>
  <c r="K1165" i="11"/>
  <c r="W1165" i="11" s="1"/>
  <c r="Y1165" i="11" s="1"/>
  <c r="J1165" i="11"/>
  <c r="I1165" i="11"/>
  <c r="H1165" i="11"/>
  <c r="BG1164" i="11"/>
  <c r="AZ1164" i="11"/>
  <c r="AX1164" i="11"/>
  <c r="AF1164" i="11"/>
  <c r="AE1164" i="11"/>
  <c r="AD1164" i="11"/>
  <c r="K1164" i="11"/>
  <c r="W1164" i="11" s="1"/>
  <c r="Y1164" i="11" s="1"/>
  <c r="J1164" i="11"/>
  <c r="I1164" i="11"/>
  <c r="H1164" i="11"/>
  <c r="BG1163" i="11"/>
  <c r="AZ1163" i="11"/>
  <c r="AX1163" i="11"/>
  <c r="AF1163" i="11"/>
  <c r="AE1163" i="11"/>
  <c r="AD1163" i="11"/>
  <c r="K1163" i="11"/>
  <c r="W1163" i="11" s="1"/>
  <c r="Y1163" i="11" s="1"/>
  <c r="J1163" i="11"/>
  <c r="I1163" i="11"/>
  <c r="H1163" i="11"/>
  <c r="BG1159" i="11"/>
  <c r="AZ1159" i="11"/>
  <c r="AX1159" i="11"/>
  <c r="AF1159" i="11"/>
  <c r="AE1159" i="11"/>
  <c r="AD1159" i="11"/>
  <c r="K1159" i="11"/>
  <c r="W1159" i="11" s="1"/>
  <c r="Y1159" i="11" s="1"/>
  <c r="J1159" i="11"/>
  <c r="I1159" i="11"/>
  <c r="H1159" i="11"/>
  <c r="BG1158" i="11"/>
  <c r="AZ1158" i="11"/>
  <c r="AX1158" i="11"/>
  <c r="AF1158" i="11"/>
  <c r="AE1158" i="11"/>
  <c r="AD1158" i="11"/>
  <c r="K1158" i="11"/>
  <c r="W1158" i="11" s="1"/>
  <c r="Y1158" i="11" s="1"/>
  <c r="J1158" i="11"/>
  <c r="I1158" i="11"/>
  <c r="H1158" i="11"/>
  <c r="BG1157" i="11"/>
  <c r="AZ1157" i="11"/>
  <c r="AX1157" i="11"/>
  <c r="AF1157" i="11"/>
  <c r="AE1157" i="11"/>
  <c r="AD1157" i="11"/>
  <c r="K1157" i="11"/>
  <c r="W1157" i="11" s="1"/>
  <c r="Y1157" i="11" s="1"/>
  <c r="J1157" i="11"/>
  <c r="I1157" i="11"/>
  <c r="H1157" i="11"/>
  <c r="BG1156" i="11"/>
  <c r="AZ1156" i="11"/>
  <c r="AX1156" i="11"/>
  <c r="AF1156" i="11"/>
  <c r="AE1156" i="11"/>
  <c r="AD1156" i="11"/>
  <c r="K1156" i="11"/>
  <c r="W1156" i="11" s="1"/>
  <c r="Y1156" i="11" s="1"/>
  <c r="J1156" i="11"/>
  <c r="I1156" i="11"/>
  <c r="H1156" i="11"/>
  <c r="BG1155" i="11"/>
  <c r="AZ1155" i="11"/>
  <c r="AX1155" i="11"/>
  <c r="AF1155" i="11"/>
  <c r="AE1155" i="11"/>
  <c r="AD1155" i="11"/>
  <c r="K1155" i="11"/>
  <c r="W1155" i="11" s="1"/>
  <c r="Y1155" i="11" s="1"/>
  <c r="J1155" i="11"/>
  <c r="I1155" i="11"/>
  <c r="H1155" i="11"/>
  <c r="BG1154" i="11"/>
  <c r="AZ1154" i="11"/>
  <c r="AX1154" i="11"/>
  <c r="AF1154" i="11"/>
  <c r="AE1154" i="11"/>
  <c r="AD1154" i="11"/>
  <c r="K1154" i="11"/>
  <c r="W1154" i="11" s="1"/>
  <c r="Y1154" i="11" s="1"/>
  <c r="J1154" i="11"/>
  <c r="I1154" i="11"/>
  <c r="H1154" i="11"/>
  <c r="AZ1153" i="11"/>
  <c r="AX1153" i="11"/>
  <c r="AF1153" i="11"/>
  <c r="AE1153" i="11"/>
  <c r="AD1153" i="11"/>
  <c r="K1153" i="11"/>
  <c r="W1153" i="11" s="1"/>
  <c r="Y1153" i="11" s="1"/>
  <c r="J1153" i="11"/>
  <c r="I1153" i="11"/>
  <c r="H1153" i="11"/>
  <c r="AZ1152" i="11"/>
  <c r="AX1152" i="11"/>
  <c r="AF1152" i="11"/>
  <c r="AE1152" i="11"/>
  <c r="AD1152" i="11"/>
  <c r="K1152" i="11"/>
  <c r="W1152" i="11" s="1"/>
  <c r="Y1152" i="11" s="1"/>
  <c r="J1152" i="11"/>
  <c r="I1152" i="11"/>
  <c r="H1152" i="11"/>
  <c r="AZ1151" i="11"/>
  <c r="AX1151" i="11"/>
  <c r="AF1151" i="11"/>
  <c r="AE1151" i="11"/>
  <c r="AD1151" i="11"/>
  <c r="K1151" i="11"/>
  <c r="W1151" i="11" s="1"/>
  <c r="Y1151" i="11" s="1"/>
  <c r="J1151" i="11"/>
  <c r="I1151" i="11"/>
  <c r="H1151" i="11"/>
  <c r="AZ1150" i="11"/>
  <c r="AX1150" i="11"/>
  <c r="AF1150" i="11"/>
  <c r="AE1150" i="11"/>
  <c r="AD1150" i="11"/>
  <c r="K1150" i="11"/>
  <c r="W1150" i="11" s="1"/>
  <c r="Y1150" i="11" s="1"/>
  <c r="J1150" i="11"/>
  <c r="I1150" i="11"/>
  <c r="H1150" i="11"/>
  <c r="AZ1149" i="11"/>
  <c r="AX1149" i="11"/>
  <c r="AF1149" i="11"/>
  <c r="AE1149" i="11"/>
  <c r="AD1149" i="11"/>
  <c r="T1149" i="11"/>
  <c r="K1149" i="11"/>
  <c r="W1149" i="11" s="1"/>
  <c r="Y1149" i="11" s="1"/>
  <c r="J1149" i="11"/>
  <c r="I1149" i="11"/>
  <c r="H1149" i="11"/>
  <c r="BG1148" i="11"/>
  <c r="AX1148" i="11"/>
  <c r="AF1148" i="11"/>
  <c r="AE1148" i="11"/>
  <c r="AD1148" i="11"/>
  <c r="T1148" i="11"/>
  <c r="K1148" i="11"/>
  <c r="W1148" i="11" s="1"/>
  <c r="Y1148" i="11" s="1"/>
  <c r="J1148" i="11"/>
  <c r="I1148" i="11"/>
  <c r="H1148" i="11"/>
  <c r="BG1147" i="11"/>
  <c r="AX1147" i="11"/>
  <c r="AF1147" i="11"/>
  <c r="AE1147" i="11"/>
  <c r="AD1147" i="11"/>
  <c r="T1147" i="11"/>
  <c r="K1147" i="11"/>
  <c r="W1147" i="11" s="1"/>
  <c r="Y1147" i="11" s="1"/>
  <c r="J1147" i="11"/>
  <c r="I1147" i="11"/>
  <c r="H1147" i="11"/>
  <c r="BG1146" i="11"/>
  <c r="AX1146" i="11"/>
  <c r="AF1146" i="11"/>
  <c r="AE1146" i="11"/>
  <c r="AD1146" i="11"/>
  <c r="T1146" i="11"/>
  <c r="K1146" i="11"/>
  <c r="W1146" i="11" s="1"/>
  <c r="Y1146" i="11" s="1"/>
  <c r="J1146" i="11"/>
  <c r="I1146" i="11"/>
  <c r="H1146" i="11"/>
  <c r="BG1145" i="11"/>
  <c r="AX1145" i="11"/>
  <c r="AF1145" i="11"/>
  <c r="AE1145" i="11"/>
  <c r="AD1145" i="11"/>
  <c r="T1145" i="11"/>
  <c r="K1145" i="11"/>
  <c r="W1145" i="11" s="1"/>
  <c r="Y1145" i="11" s="1"/>
  <c r="J1145" i="11"/>
  <c r="I1145" i="11"/>
  <c r="H1145" i="11"/>
  <c r="BG1144" i="11"/>
  <c r="AX1144" i="11"/>
  <c r="AF1144" i="11"/>
  <c r="AE1144" i="11"/>
  <c r="AD1144" i="11"/>
  <c r="T1144" i="11"/>
  <c r="K1144" i="11"/>
  <c r="W1144" i="11" s="1"/>
  <c r="Y1144" i="11" s="1"/>
  <c r="J1144" i="11"/>
  <c r="I1144" i="11"/>
  <c r="H1144" i="11"/>
  <c r="BG1143" i="11"/>
  <c r="AX1143" i="11"/>
  <c r="AF1143" i="11"/>
  <c r="AE1143" i="11"/>
  <c r="AD1143" i="11"/>
  <c r="T1143" i="11"/>
  <c r="K1143" i="11"/>
  <c r="W1143" i="11" s="1"/>
  <c r="Y1143" i="11" s="1"/>
  <c r="J1143" i="11"/>
  <c r="I1143" i="11"/>
  <c r="H1143" i="11"/>
  <c r="BG1142" i="11"/>
  <c r="AX1142" i="11"/>
  <c r="AF1142" i="11"/>
  <c r="AE1142" i="11"/>
  <c r="AD1142" i="11"/>
  <c r="T1142" i="11"/>
  <c r="K1142" i="11"/>
  <c r="W1142" i="11" s="1"/>
  <c r="Y1142" i="11" s="1"/>
  <c r="J1142" i="11"/>
  <c r="I1142" i="11"/>
  <c r="H1142" i="11"/>
  <c r="BG1141" i="11"/>
  <c r="AX1141" i="11"/>
  <c r="AF1141" i="11"/>
  <c r="AE1141" i="11"/>
  <c r="AD1141" i="11"/>
  <c r="T1141" i="11"/>
  <c r="K1141" i="11"/>
  <c r="W1141" i="11" s="1"/>
  <c r="Y1141" i="11" s="1"/>
  <c r="J1141" i="11"/>
  <c r="I1141" i="11"/>
  <c r="H1141" i="11"/>
  <c r="BG1140" i="11"/>
  <c r="AX1140" i="11"/>
  <c r="AF1140" i="11"/>
  <c r="AE1140" i="11"/>
  <c r="AD1140" i="11"/>
  <c r="T1140" i="11"/>
  <c r="K1140" i="11"/>
  <c r="W1140" i="11" s="1"/>
  <c r="Y1140" i="11" s="1"/>
  <c r="J1140" i="11"/>
  <c r="I1140" i="11"/>
  <c r="H1140" i="11"/>
  <c r="BG1139" i="11"/>
  <c r="AX1139" i="11"/>
  <c r="AF1139" i="11"/>
  <c r="AE1139" i="11"/>
  <c r="AD1139" i="11"/>
  <c r="T1139" i="11"/>
  <c r="K1139" i="11"/>
  <c r="W1139" i="11" s="1"/>
  <c r="Y1139" i="11" s="1"/>
  <c r="J1139" i="11"/>
  <c r="I1139" i="11"/>
  <c r="H1139" i="11"/>
  <c r="BL1138" i="11"/>
  <c r="BN1138" i="11" s="1"/>
  <c r="BO1138" i="11" s="1"/>
  <c r="AZ1138" i="11"/>
  <c r="AX1138" i="11"/>
  <c r="AF1138" i="11"/>
  <c r="AE1138" i="11"/>
  <c r="AD1138" i="11"/>
  <c r="T1138" i="11"/>
  <c r="K1138" i="11"/>
  <c r="W1138" i="11" s="1"/>
  <c r="Y1138" i="11" s="1"/>
  <c r="J1138" i="11"/>
  <c r="I1138" i="11"/>
  <c r="H1138" i="11"/>
  <c r="BG1137" i="11"/>
  <c r="AZ1137" i="11"/>
  <c r="AX1137" i="11"/>
  <c r="AF1137" i="11"/>
  <c r="AE1137" i="11"/>
  <c r="AD1137" i="11"/>
  <c r="T1137" i="11"/>
  <c r="K1137" i="11"/>
  <c r="W1137" i="11" s="1"/>
  <c r="Y1137" i="11" s="1"/>
  <c r="J1137" i="11"/>
  <c r="I1137" i="11"/>
  <c r="H1137" i="11"/>
  <c r="BG1136" i="11"/>
  <c r="AZ1136" i="11"/>
  <c r="AX1136" i="11"/>
  <c r="AF1136" i="11"/>
  <c r="AE1136" i="11"/>
  <c r="AD1136" i="11"/>
  <c r="T1136" i="11"/>
  <c r="K1136" i="11"/>
  <c r="W1136" i="11" s="1"/>
  <c r="Y1136" i="11" s="1"/>
  <c r="J1136" i="11"/>
  <c r="I1136" i="11"/>
  <c r="H1136" i="11"/>
  <c r="BG1132" i="11"/>
  <c r="AZ1132" i="11"/>
  <c r="AX1132" i="11"/>
  <c r="AV1132" i="11"/>
  <c r="AF1132" i="11"/>
  <c r="AE1132" i="11"/>
  <c r="AD1132" i="11"/>
  <c r="T1132" i="11"/>
  <c r="K1132" i="11"/>
  <c r="W1132" i="11" s="1"/>
  <c r="Y1132" i="11" s="1"/>
  <c r="J1132" i="11"/>
  <c r="I1132" i="11"/>
  <c r="H1132" i="11"/>
  <c r="BG1131" i="11"/>
  <c r="AZ1131" i="11"/>
  <c r="AX1131" i="11"/>
  <c r="AV1131" i="11"/>
  <c r="AF1131" i="11"/>
  <c r="AE1131" i="11"/>
  <c r="AD1131" i="11"/>
  <c r="T1131" i="11"/>
  <c r="K1131" i="11"/>
  <c r="W1131" i="11" s="1"/>
  <c r="Y1131" i="11" s="1"/>
  <c r="J1131" i="11"/>
  <c r="I1131" i="11"/>
  <c r="H1131" i="11"/>
  <c r="BG1130" i="11"/>
  <c r="AZ1130" i="11"/>
  <c r="AX1130" i="11"/>
  <c r="AV1130" i="11"/>
  <c r="AF1130" i="11"/>
  <c r="AE1130" i="11"/>
  <c r="AD1130" i="11"/>
  <c r="T1130" i="11"/>
  <c r="K1130" i="11"/>
  <c r="W1130" i="11" s="1"/>
  <c r="Y1130" i="11" s="1"/>
  <c r="J1130" i="11"/>
  <c r="I1130" i="11"/>
  <c r="H1130" i="11"/>
  <c r="BG1129" i="11"/>
  <c r="AZ1129" i="11"/>
  <c r="AX1129" i="11"/>
  <c r="AV1129" i="11"/>
  <c r="AF1129" i="11"/>
  <c r="AE1129" i="11"/>
  <c r="AD1129" i="11"/>
  <c r="T1129" i="11"/>
  <c r="K1129" i="11"/>
  <c r="W1129" i="11" s="1"/>
  <c r="Y1129" i="11" s="1"/>
  <c r="J1129" i="11"/>
  <c r="I1129" i="11"/>
  <c r="H1129" i="11"/>
  <c r="BG1128" i="11"/>
  <c r="AZ1128" i="11"/>
  <c r="AX1128" i="11"/>
  <c r="AV1128" i="11"/>
  <c r="AF1128" i="11"/>
  <c r="AE1128" i="11"/>
  <c r="AD1128" i="11"/>
  <c r="T1128" i="11"/>
  <c r="K1128" i="11"/>
  <c r="W1128" i="11" s="1"/>
  <c r="Y1128" i="11" s="1"/>
  <c r="J1128" i="11"/>
  <c r="I1128" i="11"/>
  <c r="H1128" i="11"/>
  <c r="BG1127" i="11"/>
  <c r="AZ1127" i="11"/>
  <c r="AX1127" i="11"/>
  <c r="AV1127" i="11"/>
  <c r="AF1127" i="11"/>
  <c r="AE1127" i="11"/>
  <c r="AD1127" i="11"/>
  <c r="T1127" i="11"/>
  <c r="K1127" i="11"/>
  <c r="W1127" i="11" s="1"/>
  <c r="Y1127" i="11" s="1"/>
  <c r="J1127" i="11"/>
  <c r="I1127" i="11"/>
  <c r="H1127" i="11"/>
  <c r="AZ1126" i="11"/>
  <c r="AX1126" i="11"/>
  <c r="AF1126" i="11"/>
  <c r="AE1126" i="11"/>
  <c r="AD1126" i="11"/>
  <c r="T1126" i="11"/>
  <c r="K1126" i="11"/>
  <c r="W1126" i="11" s="1"/>
  <c r="Y1126" i="11" s="1"/>
  <c r="J1126" i="11"/>
  <c r="I1126" i="11"/>
  <c r="H1126" i="11"/>
  <c r="AZ1125" i="11"/>
  <c r="AX1125" i="11"/>
  <c r="AF1125" i="11"/>
  <c r="AE1125" i="11"/>
  <c r="AD1125" i="11"/>
  <c r="T1125" i="11"/>
  <c r="K1125" i="11"/>
  <c r="W1125" i="11" s="1"/>
  <c r="Y1125" i="11" s="1"/>
  <c r="J1125" i="11"/>
  <c r="I1125" i="11"/>
  <c r="H1125" i="11"/>
  <c r="AZ1124" i="11"/>
  <c r="AX1124" i="11"/>
  <c r="AF1124" i="11"/>
  <c r="AE1124" i="11"/>
  <c r="AD1124" i="11"/>
  <c r="T1124" i="11"/>
  <c r="K1124" i="11"/>
  <c r="W1124" i="11" s="1"/>
  <c r="Y1124" i="11" s="1"/>
  <c r="J1124" i="11"/>
  <c r="I1124" i="11"/>
  <c r="H1124" i="11"/>
  <c r="AZ1123" i="11"/>
  <c r="AX1123" i="11"/>
  <c r="AF1123" i="11"/>
  <c r="AE1123" i="11"/>
  <c r="AD1123" i="11"/>
  <c r="T1123" i="11"/>
  <c r="K1123" i="11"/>
  <c r="W1123" i="11" s="1"/>
  <c r="Y1123" i="11" s="1"/>
  <c r="J1123" i="11"/>
  <c r="I1123" i="11"/>
  <c r="H1123" i="11"/>
  <c r="AZ1122" i="11"/>
  <c r="AX1122" i="11"/>
  <c r="AF1122" i="11"/>
  <c r="AE1122" i="11"/>
  <c r="AD1122" i="11"/>
  <c r="T1122" i="11"/>
  <c r="K1122" i="11"/>
  <c r="W1122" i="11" s="1"/>
  <c r="Y1122" i="11" s="1"/>
  <c r="J1122" i="11"/>
  <c r="I1122" i="11"/>
  <c r="H1122" i="11"/>
  <c r="BG1121" i="11"/>
  <c r="AX1121" i="11"/>
  <c r="AF1121" i="11"/>
  <c r="AE1121" i="11"/>
  <c r="AD1121" i="11"/>
  <c r="T1121" i="11"/>
  <c r="K1121" i="11"/>
  <c r="W1121" i="11" s="1"/>
  <c r="Y1121" i="11" s="1"/>
  <c r="J1121" i="11"/>
  <c r="I1121" i="11"/>
  <c r="H1121" i="11"/>
  <c r="BG1120" i="11"/>
  <c r="AX1120" i="11"/>
  <c r="AF1120" i="11"/>
  <c r="AE1120" i="11"/>
  <c r="AD1120" i="11"/>
  <c r="T1120" i="11"/>
  <c r="K1120" i="11"/>
  <c r="W1120" i="11" s="1"/>
  <c r="Y1120" i="11" s="1"/>
  <c r="J1120" i="11"/>
  <c r="I1120" i="11"/>
  <c r="H1120" i="11"/>
  <c r="BG1119" i="11"/>
  <c r="AX1119" i="11"/>
  <c r="AF1119" i="11"/>
  <c r="AE1119" i="11"/>
  <c r="AD1119" i="11"/>
  <c r="T1119" i="11"/>
  <c r="K1119" i="11"/>
  <c r="W1119" i="11" s="1"/>
  <c r="Y1119" i="11" s="1"/>
  <c r="J1119" i="11"/>
  <c r="I1119" i="11"/>
  <c r="H1119" i="11"/>
  <c r="BG1118" i="11"/>
  <c r="AX1118" i="11"/>
  <c r="AF1118" i="11"/>
  <c r="AE1118" i="11"/>
  <c r="AD1118" i="11"/>
  <c r="T1118" i="11"/>
  <c r="K1118" i="11"/>
  <c r="W1118" i="11" s="1"/>
  <c r="Y1118" i="11" s="1"/>
  <c r="J1118" i="11"/>
  <c r="I1118" i="11"/>
  <c r="H1118" i="11"/>
  <c r="BG1117" i="11"/>
  <c r="AX1117" i="11"/>
  <c r="AF1117" i="11"/>
  <c r="AE1117" i="11"/>
  <c r="AD1117" i="11"/>
  <c r="T1117" i="11"/>
  <c r="K1117" i="11"/>
  <c r="W1117" i="11" s="1"/>
  <c r="Y1117" i="11" s="1"/>
  <c r="J1117" i="11"/>
  <c r="I1117" i="11"/>
  <c r="H1117" i="11"/>
  <c r="BG1116" i="11"/>
  <c r="AX1116" i="11"/>
  <c r="AF1116" i="11"/>
  <c r="AE1116" i="11"/>
  <c r="AD1116" i="11"/>
  <c r="T1116" i="11"/>
  <c r="K1116" i="11"/>
  <c r="W1116" i="11" s="1"/>
  <c r="Y1116" i="11" s="1"/>
  <c r="J1116" i="11"/>
  <c r="I1116" i="11"/>
  <c r="H1116" i="11"/>
  <c r="BG1115" i="11"/>
  <c r="AX1115" i="11"/>
  <c r="AF1115" i="11"/>
  <c r="AE1115" i="11"/>
  <c r="AD1115" i="11"/>
  <c r="T1115" i="11"/>
  <c r="K1115" i="11"/>
  <c r="W1115" i="11" s="1"/>
  <c r="Y1115" i="11" s="1"/>
  <c r="J1115" i="11"/>
  <c r="I1115" i="11"/>
  <c r="H1115" i="11"/>
  <c r="BG1114" i="11"/>
  <c r="AX1114" i="11"/>
  <c r="AF1114" i="11"/>
  <c r="AE1114" i="11"/>
  <c r="AD1114" i="11"/>
  <c r="T1114" i="11"/>
  <c r="K1114" i="11"/>
  <c r="W1114" i="11" s="1"/>
  <c r="Y1114" i="11" s="1"/>
  <c r="J1114" i="11"/>
  <c r="I1114" i="11"/>
  <c r="H1114" i="11"/>
  <c r="BG1113" i="11"/>
  <c r="AX1113" i="11"/>
  <c r="AF1113" i="11"/>
  <c r="AE1113" i="11"/>
  <c r="AD1113" i="11"/>
  <c r="T1113" i="11"/>
  <c r="K1113" i="11"/>
  <c r="W1113" i="11" s="1"/>
  <c r="Y1113" i="11" s="1"/>
  <c r="J1113" i="11"/>
  <c r="I1113" i="11"/>
  <c r="H1113" i="11"/>
  <c r="BG1112" i="11"/>
  <c r="AX1112" i="11"/>
  <c r="AF1112" i="11"/>
  <c r="AE1112" i="11"/>
  <c r="AD1112" i="11"/>
  <c r="T1112" i="11"/>
  <c r="K1112" i="11"/>
  <c r="W1112" i="11" s="1"/>
  <c r="Y1112" i="11" s="1"/>
  <c r="J1112" i="11"/>
  <c r="I1112" i="11"/>
  <c r="H1112" i="11"/>
  <c r="BG91" i="11"/>
  <c r="BE91" i="11"/>
  <c r="BF91" i="11" s="1"/>
  <c r="BA91" i="11"/>
  <c r="AZ91" i="11"/>
  <c r="AV91" i="11"/>
  <c r="AF91" i="11"/>
  <c r="AE91" i="11"/>
  <c r="AD91" i="11"/>
  <c r="T91" i="11"/>
  <c r="K91" i="11"/>
  <c r="W91" i="11" s="1"/>
  <c r="Y91" i="11" s="1"/>
  <c r="J91" i="11"/>
  <c r="I91" i="11"/>
  <c r="H91" i="11"/>
  <c r="BG90" i="11"/>
  <c r="BE90" i="11"/>
  <c r="BF90" i="11" s="1"/>
  <c r="BA90" i="11"/>
  <c r="AZ90" i="11"/>
  <c r="AV90" i="11"/>
  <c r="AF90" i="11"/>
  <c r="AE90" i="11"/>
  <c r="AD90" i="11"/>
  <c r="T90" i="11"/>
  <c r="K90" i="11"/>
  <c r="W90" i="11" s="1"/>
  <c r="Y90" i="11" s="1"/>
  <c r="J90" i="11"/>
  <c r="I90" i="11"/>
  <c r="H90" i="11"/>
  <c r="BG89" i="11"/>
  <c r="BE89" i="11"/>
  <c r="BF89" i="11" s="1"/>
  <c r="BA89" i="11"/>
  <c r="AZ89" i="11"/>
  <c r="AV89" i="11"/>
  <c r="AF89" i="11"/>
  <c r="AE89" i="11"/>
  <c r="AD89" i="11"/>
  <c r="T89" i="11"/>
  <c r="K89" i="11"/>
  <c r="W89" i="11" s="1"/>
  <c r="Y89" i="11" s="1"/>
  <c r="J89" i="11"/>
  <c r="I89" i="11"/>
  <c r="H89" i="11"/>
  <c r="BG88" i="11"/>
  <c r="BA88" i="11"/>
  <c r="AZ88" i="11"/>
  <c r="AX88" i="11"/>
  <c r="AV88" i="11"/>
  <c r="AF88" i="11"/>
  <c r="AE88" i="11"/>
  <c r="AD88" i="11"/>
  <c r="T88" i="11"/>
  <c r="K88" i="11"/>
  <c r="W88" i="11" s="1"/>
  <c r="Y88" i="11" s="1"/>
  <c r="J88" i="11"/>
  <c r="I88" i="11"/>
  <c r="H88" i="11"/>
  <c r="BG87" i="11"/>
  <c r="BA87" i="11"/>
  <c r="AZ87" i="11"/>
  <c r="AX87" i="11"/>
  <c r="AV87" i="11"/>
  <c r="AF87" i="11"/>
  <c r="AE87" i="11"/>
  <c r="AD87" i="11"/>
  <c r="T87" i="11"/>
  <c r="K87" i="11"/>
  <c r="W87" i="11" s="1"/>
  <c r="Y87" i="11" s="1"/>
  <c r="J87" i="11"/>
  <c r="I87" i="11"/>
  <c r="H87" i="11"/>
  <c r="BG86" i="11"/>
  <c r="BA86" i="11"/>
  <c r="AZ86" i="11"/>
  <c r="AX86" i="11"/>
  <c r="AV86" i="11"/>
  <c r="AF86" i="11"/>
  <c r="AE86" i="11"/>
  <c r="AD86" i="11"/>
  <c r="T86" i="11"/>
  <c r="K86" i="11"/>
  <c r="W86" i="11" s="1"/>
  <c r="Y86" i="11" s="1"/>
  <c r="J86" i="11"/>
  <c r="I86" i="11"/>
  <c r="H86" i="11"/>
  <c r="BG85" i="11"/>
  <c r="BA85" i="11"/>
  <c r="AZ85" i="11"/>
  <c r="AX85" i="11"/>
  <c r="AV85" i="11"/>
  <c r="AF85" i="11"/>
  <c r="AE85" i="11"/>
  <c r="AD85" i="11"/>
  <c r="T85" i="11"/>
  <c r="K85" i="11"/>
  <c r="W85" i="11" s="1"/>
  <c r="Y85" i="11" s="1"/>
  <c r="J85" i="11"/>
  <c r="I85" i="11"/>
  <c r="H85" i="11"/>
  <c r="BG84" i="11"/>
  <c r="BA84" i="11"/>
  <c r="AZ84" i="11"/>
  <c r="AX84" i="11"/>
  <c r="AV84" i="11"/>
  <c r="AF84" i="11"/>
  <c r="AE84" i="11"/>
  <c r="AD84" i="11"/>
  <c r="T84" i="11"/>
  <c r="K84" i="11"/>
  <c r="W84" i="11" s="1"/>
  <c r="Y84" i="11" s="1"/>
  <c r="J84" i="11"/>
  <c r="I84" i="11"/>
  <c r="H84" i="11"/>
  <c r="BG83" i="11"/>
  <c r="BE83" i="11"/>
  <c r="BF83" i="11" s="1"/>
  <c r="BA83" i="11"/>
  <c r="AZ83" i="11"/>
  <c r="AV83" i="11"/>
  <c r="AF83" i="11"/>
  <c r="AE83" i="11"/>
  <c r="AD83" i="11"/>
  <c r="T83" i="11"/>
  <c r="K83" i="11"/>
  <c r="W83" i="11" s="1"/>
  <c r="Y83" i="11" s="1"/>
  <c r="J83" i="11"/>
  <c r="I83" i="11"/>
  <c r="H83" i="11"/>
  <c r="BG82" i="11"/>
  <c r="BE82" i="11"/>
  <c r="BF82" i="11" s="1"/>
  <c r="BA82" i="11"/>
  <c r="AZ82" i="11"/>
  <c r="AV82" i="11"/>
  <c r="AF82" i="11"/>
  <c r="AE82" i="11"/>
  <c r="AD82" i="11"/>
  <c r="T82" i="11"/>
  <c r="K82" i="11"/>
  <c r="W82" i="11" s="1"/>
  <c r="Y82" i="11" s="1"/>
  <c r="J82" i="11"/>
  <c r="I82" i="11"/>
  <c r="H82" i="11"/>
  <c r="BG81" i="11"/>
  <c r="BE81" i="11"/>
  <c r="BF81" i="11" s="1"/>
  <c r="BA81" i="11"/>
  <c r="AZ81" i="11"/>
  <c r="AV81" i="11"/>
  <c r="AF81" i="11"/>
  <c r="AE81" i="11"/>
  <c r="AD81" i="11"/>
  <c r="T81" i="11"/>
  <c r="K81" i="11"/>
  <c r="W81" i="11" s="1"/>
  <c r="Y81" i="11" s="1"/>
  <c r="J81" i="11"/>
  <c r="I81" i="11"/>
  <c r="H81" i="11"/>
  <c r="BG80" i="11"/>
  <c r="BE80" i="11"/>
  <c r="BF80" i="11" s="1"/>
  <c r="BA80" i="11"/>
  <c r="AZ80" i="11"/>
  <c r="AV80" i="11"/>
  <c r="AF80" i="11"/>
  <c r="AE80" i="11"/>
  <c r="AD80" i="11"/>
  <c r="T80" i="11"/>
  <c r="K80" i="11"/>
  <c r="W80" i="11" s="1"/>
  <c r="Y80" i="11" s="1"/>
  <c r="J80" i="11"/>
  <c r="I80" i="11"/>
  <c r="H80" i="11"/>
  <c r="BG1234" i="11"/>
  <c r="AZ1234" i="11"/>
  <c r="AX1234" i="11"/>
  <c r="AV1234" i="11"/>
  <c r="AL1234" i="11"/>
  <c r="AI1234" i="11"/>
  <c r="AF1234" i="11"/>
  <c r="AE1234" i="11"/>
  <c r="AD1234" i="11"/>
  <c r="K1234" i="11"/>
  <c r="W1234" i="11" s="1"/>
  <c r="Y1234" i="11" s="1"/>
  <c r="J1234" i="11"/>
  <c r="I1234" i="11"/>
  <c r="H1234" i="11"/>
  <c r="BG1233" i="11"/>
  <c r="AZ1233" i="11"/>
  <c r="AX1233" i="11"/>
  <c r="AV1233" i="11"/>
  <c r="AL1233" i="11"/>
  <c r="AN1233" i="11" s="1"/>
  <c r="AI1233" i="11"/>
  <c r="AK1233" i="11" s="1"/>
  <c r="AF1233" i="11"/>
  <c r="AE1233" i="11"/>
  <c r="AD1233" i="11"/>
  <c r="K1233" i="11"/>
  <c r="W1233" i="11" s="1"/>
  <c r="Y1233" i="11" s="1"/>
  <c r="J1233" i="11"/>
  <c r="I1233" i="11"/>
  <c r="H1233" i="11"/>
  <c r="BG1232" i="11"/>
  <c r="AZ1232" i="11"/>
  <c r="AX1232" i="11"/>
  <c r="AV1232" i="11"/>
  <c r="AL1232" i="11"/>
  <c r="AM1232" i="11" s="1"/>
  <c r="AI1232" i="11"/>
  <c r="AK1232" i="11" s="1"/>
  <c r="AF1232" i="11"/>
  <c r="AE1232" i="11"/>
  <c r="AD1232" i="11"/>
  <c r="K1232" i="11"/>
  <c r="W1232" i="11" s="1"/>
  <c r="Y1232" i="11" s="1"/>
  <c r="J1232" i="11"/>
  <c r="I1232" i="11"/>
  <c r="H1232" i="11"/>
  <c r="BG1231" i="11"/>
  <c r="AZ1231" i="11"/>
  <c r="AX1231" i="11"/>
  <c r="AV1231" i="11"/>
  <c r="AL1231" i="11"/>
  <c r="AN1231" i="11" s="1"/>
  <c r="AI1231" i="11"/>
  <c r="AK1231" i="11" s="1"/>
  <c r="AF1231" i="11"/>
  <c r="AE1231" i="11"/>
  <c r="AD1231" i="11"/>
  <c r="K1231" i="11"/>
  <c r="W1231" i="11" s="1"/>
  <c r="Y1231" i="11" s="1"/>
  <c r="J1231" i="11"/>
  <c r="I1231" i="11"/>
  <c r="H1231" i="11"/>
  <c r="BG1230" i="11"/>
  <c r="AZ1230" i="11"/>
  <c r="AX1230" i="11"/>
  <c r="AV1230" i="11"/>
  <c r="AL1230" i="11"/>
  <c r="AN1230" i="11" s="1"/>
  <c r="AI1230" i="11"/>
  <c r="AF1230" i="11"/>
  <c r="AE1230" i="11"/>
  <c r="AD1230" i="11"/>
  <c r="K1230" i="11"/>
  <c r="W1230" i="11" s="1"/>
  <c r="Y1230" i="11" s="1"/>
  <c r="J1230" i="11"/>
  <c r="I1230" i="11"/>
  <c r="H1230" i="11"/>
  <c r="BG1229" i="11"/>
  <c r="AZ1229" i="11"/>
  <c r="AX1229" i="11"/>
  <c r="AV1229" i="11"/>
  <c r="AL1229" i="11"/>
  <c r="AM1229" i="11" s="1"/>
  <c r="AI1229" i="11"/>
  <c r="AK1229" i="11" s="1"/>
  <c r="AF1229" i="11"/>
  <c r="AE1229" i="11"/>
  <c r="AD1229" i="11"/>
  <c r="K1229" i="11"/>
  <c r="W1229" i="11" s="1"/>
  <c r="Y1229" i="11" s="1"/>
  <c r="J1229" i="11"/>
  <c r="I1229" i="11"/>
  <c r="H1229" i="11"/>
  <c r="BG1228" i="11"/>
  <c r="AZ1228" i="11"/>
  <c r="AX1228" i="11"/>
  <c r="AV1228" i="11"/>
  <c r="AL1228" i="11"/>
  <c r="AI1228" i="11"/>
  <c r="AF1228" i="11"/>
  <c r="AE1228" i="11"/>
  <c r="AD1228" i="11"/>
  <c r="K1228" i="11"/>
  <c r="W1228" i="11" s="1"/>
  <c r="Y1228" i="11" s="1"/>
  <c r="J1228" i="11"/>
  <c r="I1228" i="11"/>
  <c r="H1228" i="11"/>
  <c r="BG1227" i="11"/>
  <c r="AZ1227" i="11"/>
  <c r="AX1227" i="11"/>
  <c r="AV1227" i="11"/>
  <c r="AL1227" i="11"/>
  <c r="AM1227" i="11" s="1"/>
  <c r="AI1227" i="11"/>
  <c r="AF1227" i="11"/>
  <c r="AE1227" i="11"/>
  <c r="AD1227" i="11"/>
  <c r="K1227" i="11"/>
  <c r="W1227" i="11" s="1"/>
  <c r="Y1227" i="11" s="1"/>
  <c r="J1227" i="11"/>
  <c r="I1227" i="11"/>
  <c r="H1227" i="11"/>
  <c r="BG1226" i="11"/>
  <c r="AZ1226" i="11"/>
  <c r="AX1226" i="11"/>
  <c r="AV1226" i="11"/>
  <c r="AL1226" i="11"/>
  <c r="AI1226" i="11"/>
  <c r="AF1226" i="11"/>
  <c r="AE1226" i="11"/>
  <c r="AD1226" i="11"/>
  <c r="K1226" i="11"/>
  <c r="W1226" i="11" s="1"/>
  <c r="Y1226" i="11" s="1"/>
  <c r="J1226" i="11"/>
  <c r="I1226" i="11"/>
  <c r="H1226" i="11"/>
  <c r="BG1225" i="11"/>
  <c r="AZ1225" i="11"/>
  <c r="AX1225" i="11"/>
  <c r="AV1225" i="11"/>
  <c r="AL1225" i="11"/>
  <c r="AI1225" i="11"/>
  <c r="AK1225" i="11" s="1"/>
  <c r="AF1225" i="11"/>
  <c r="AE1225" i="11"/>
  <c r="AD1225" i="11"/>
  <c r="K1225" i="11"/>
  <c r="W1225" i="11" s="1"/>
  <c r="Y1225" i="11" s="1"/>
  <c r="J1225" i="11"/>
  <c r="I1225" i="11"/>
  <c r="H1225" i="11"/>
  <c r="AZ1224" i="11"/>
  <c r="AX1224" i="11"/>
  <c r="AL1224" i="11"/>
  <c r="AM1224" i="11" s="1"/>
  <c r="AI1224" i="11"/>
  <c r="AK1224" i="11" s="1"/>
  <c r="AF1224" i="11"/>
  <c r="AE1224" i="11"/>
  <c r="AD1224" i="11"/>
  <c r="K1224" i="11"/>
  <c r="W1224" i="11" s="1"/>
  <c r="Y1224" i="11" s="1"/>
  <c r="J1224" i="11"/>
  <c r="I1224" i="11"/>
  <c r="H1224" i="11"/>
  <c r="AZ1223" i="11"/>
  <c r="AX1223" i="11"/>
  <c r="AL1223" i="11"/>
  <c r="AI1223" i="11"/>
  <c r="AK1223" i="11" s="1"/>
  <c r="AF1223" i="11"/>
  <c r="AE1223" i="11"/>
  <c r="AD1223" i="11"/>
  <c r="K1223" i="11"/>
  <c r="W1223" i="11" s="1"/>
  <c r="Y1223" i="11" s="1"/>
  <c r="J1223" i="11"/>
  <c r="I1223" i="11"/>
  <c r="H1223" i="11"/>
  <c r="AZ1222" i="11"/>
  <c r="AX1222" i="11"/>
  <c r="AL1222" i="11"/>
  <c r="AN1222" i="11" s="1"/>
  <c r="AI1222" i="11"/>
  <c r="AK1222" i="11" s="1"/>
  <c r="AF1222" i="11"/>
  <c r="AE1222" i="11"/>
  <c r="AD1222" i="11"/>
  <c r="K1222" i="11"/>
  <c r="W1222" i="11" s="1"/>
  <c r="Y1222" i="11" s="1"/>
  <c r="J1222" i="11"/>
  <c r="I1222" i="11"/>
  <c r="H1222" i="11"/>
  <c r="BG1221" i="11"/>
  <c r="AX1221" i="11"/>
  <c r="AF1221" i="11"/>
  <c r="AE1221" i="11"/>
  <c r="AD1221" i="11"/>
  <c r="K1221" i="11"/>
  <c r="W1221" i="11" s="1"/>
  <c r="Y1221" i="11" s="1"/>
  <c r="J1221" i="11"/>
  <c r="I1221" i="11"/>
  <c r="H1221" i="11"/>
  <c r="BG1220" i="11"/>
  <c r="AX1220" i="11"/>
  <c r="AF1220" i="11"/>
  <c r="AE1220" i="11"/>
  <c r="AD1220" i="11"/>
  <c r="K1220" i="11"/>
  <c r="W1220" i="11" s="1"/>
  <c r="Y1220" i="11" s="1"/>
  <c r="J1220" i="11"/>
  <c r="I1220" i="11"/>
  <c r="H1220" i="11"/>
  <c r="BG1219" i="11"/>
  <c r="AX1219" i="11"/>
  <c r="AF1219" i="11"/>
  <c r="AE1219" i="11"/>
  <c r="AD1219" i="11"/>
  <c r="K1219" i="11"/>
  <c r="W1219" i="11" s="1"/>
  <c r="Y1219" i="11" s="1"/>
  <c r="J1219" i="11"/>
  <c r="I1219" i="11"/>
  <c r="H1219" i="11"/>
  <c r="BG1218" i="11"/>
  <c r="AX1218" i="11"/>
  <c r="AF1218" i="11"/>
  <c r="AE1218" i="11"/>
  <c r="AD1218" i="11"/>
  <c r="K1218" i="11"/>
  <c r="W1218" i="11" s="1"/>
  <c r="Y1218" i="11" s="1"/>
  <c r="J1218" i="11"/>
  <c r="I1218" i="11"/>
  <c r="H1218" i="11"/>
  <c r="BG1217" i="11"/>
  <c r="AX1217" i="11"/>
  <c r="AF1217" i="11"/>
  <c r="AE1217" i="11"/>
  <c r="AD1217" i="11"/>
  <c r="K1217" i="11"/>
  <c r="W1217" i="11" s="1"/>
  <c r="Y1217" i="11" s="1"/>
  <c r="J1217" i="11"/>
  <c r="I1217" i="11"/>
  <c r="H1217" i="11"/>
  <c r="BG1216" i="11"/>
  <c r="AX1216" i="11"/>
  <c r="AF1216" i="11"/>
  <c r="AE1216" i="11"/>
  <c r="AD1216" i="11"/>
  <c r="K1216" i="11"/>
  <c r="W1216" i="11" s="1"/>
  <c r="Y1216" i="11" s="1"/>
  <c r="J1216" i="11"/>
  <c r="I1216" i="11"/>
  <c r="H1216" i="11"/>
  <c r="BG1215" i="11"/>
  <c r="AX1215" i="11"/>
  <c r="AF1215" i="11"/>
  <c r="AE1215" i="11"/>
  <c r="AD1215" i="11"/>
  <c r="K1215" i="11"/>
  <c r="W1215" i="11" s="1"/>
  <c r="Y1215" i="11" s="1"/>
  <c r="J1215" i="11"/>
  <c r="I1215" i="11"/>
  <c r="H1215" i="11"/>
  <c r="BG1214" i="11"/>
  <c r="AX1214" i="11"/>
  <c r="AF1214" i="11"/>
  <c r="AE1214" i="11"/>
  <c r="AD1214" i="11"/>
  <c r="K1214" i="11"/>
  <c r="W1214" i="11" s="1"/>
  <c r="Y1214" i="11" s="1"/>
  <c r="J1214" i="11"/>
  <c r="I1214" i="11"/>
  <c r="H1214" i="11"/>
  <c r="BG1213" i="11"/>
  <c r="AX1213" i="11"/>
  <c r="AF1213" i="11"/>
  <c r="AE1213" i="11"/>
  <c r="AD1213" i="11"/>
  <c r="K1213" i="11"/>
  <c r="W1213" i="11" s="1"/>
  <c r="Y1213" i="11" s="1"/>
  <c r="J1213" i="11"/>
  <c r="I1213" i="11"/>
  <c r="H1213" i="11"/>
  <c r="BG1212" i="11"/>
  <c r="AX1212" i="11"/>
  <c r="AF1212" i="11"/>
  <c r="AE1212" i="11"/>
  <c r="AD1212" i="11"/>
  <c r="K1212" i="11"/>
  <c r="W1212" i="11" s="1"/>
  <c r="Y1212" i="11" s="1"/>
  <c r="J1212" i="11"/>
  <c r="I1212" i="11"/>
  <c r="H1212" i="11"/>
  <c r="AZ1201" i="11"/>
  <c r="AX1201" i="11"/>
  <c r="AL1201" i="11"/>
  <c r="AI1201" i="11"/>
  <c r="AF1201" i="11"/>
  <c r="AE1201" i="11"/>
  <c r="AD1201" i="11"/>
  <c r="K1201" i="11"/>
  <c r="W1201" i="11" s="1"/>
  <c r="Y1201" i="11" s="1"/>
  <c r="J1201" i="11"/>
  <c r="I1201" i="11"/>
  <c r="H1201" i="11"/>
  <c r="AZ1200" i="11"/>
  <c r="AX1200" i="11"/>
  <c r="AL1200" i="11"/>
  <c r="AM1200" i="11" s="1"/>
  <c r="AI1200" i="11"/>
  <c r="AJ1200" i="11" s="1"/>
  <c r="AF1200" i="11"/>
  <c r="AE1200" i="11"/>
  <c r="AD1200" i="11"/>
  <c r="K1200" i="11"/>
  <c r="W1200" i="11" s="1"/>
  <c r="Y1200" i="11" s="1"/>
  <c r="J1200" i="11"/>
  <c r="I1200" i="11"/>
  <c r="H1200" i="11"/>
  <c r="AZ1199" i="11"/>
  <c r="AX1199" i="11"/>
  <c r="AL1199" i="11"/>
  <c r="AI1199" i="11"/>
  <c r="AJ1199" i="11" s="1"/>
  <c r="AF1199" i="11"/>
  <c r="AE1199" i="11"/>
  <c r="AD1199" i="11"/>
  <c r="K1199" i="11"/>
  <c r="W1199" i="11" s="1"/>
  <c r="Y1199" i="11" s="1"/>
  <c r="J1199" i="11"/>
  <c r="I1199" i="11"/>
  <c r="H1199" i="11"/>
  <c r="BD1197" i="11"/>
  <c r="BG1197" i="11" s="1"/>
  <c r="AX1197" i="11"/>
  <c r="AF1197" i="11"/>
  <c r="AE1197" i="11"/>
  <c r="AD1197" i="11"/>
  <c r="K1197" i="11"/>
  <c r="W1197" i="11" s="1"/>
  <c r="Y1197" i="11" s="1"/>
  <c r="J1197" i="11"/>
  <c r="I1197" i="11"/>
  <c r="H1197" i="11"/>
  <c r="BD1196" i="11"/>
  <c r="BG1196" i="11" s="1"/>
  <c r="AX1196" i="11"/>
  <c r="AF1196" i="11"/>
  <c r="AE1196" i="11"/>
  <c r="AD1196" i="11"/>
  <c r="K1196" i="11"/>
  <c r="W1196" i="11" s="1"/>
  <c r="Y1196" i="11" s="1"/>
  <c r="J1196" i="11"/>
  <c r="I1196" i="11"/>
  <c r="H1196" i="11"/>
  <c r="BD1195" i="11"/>
  <c r="BG1195" i="11" s="1"/>
  <c r="AX1195" i="11"/>
  <c r="AF1195" i="11"/>
  <c r="AE1195" i="11"/>
  <c r="AD1195" i="11"/>
  <c r="K1195" i="11"/>
  <c r="W1195" i="11" s="1"/>
  <c r="Y1195" i="11" s="1"/>
  <c r="J1195" i="11"/>
  <c r="I1195" i="11"/>
  <c r="H1195" i="11"/>
  <c r="BG1194" i="11"/>
  <c r="AX1194" i="11"/>
  <c r="AF1194" i="11"/>
  <c r="AE1194" i="11"/>
  <c r="AD1194" i="11"/>
  <c r="K1194" i="11"/>
  <c r="W1194" i="11" s="1"/>
  <c r="Y1194" i="11" s="1"/>
  <c r="J1194" i="11"/>
  <c r="I1194" i="11"/>
  <c r="H1194" i="11"/>
  <c r="BG1193" i="11"/>
  <c r="AX1193" i="11"/>
  <c r="AF1193" i="11"/>
  <c r="AE1193" i="11"/>
  <c r="AD1193" i="11"/>
  <c r="K1193" i="11"/>
  <c r="W1193" i="11" s="1"/>
  <c r="Y1193" i="11" s="1"/>
  <c r="J1193" i="11"/>
  <c r="I1193" i="11"/>
  <c r="H1193" i="11"/>
  <c r="BG1192" i="11"/>
  <c r="AX1192" i="11"/>
  <c r="AF1192" i="11"/>
  <c r="AE1192" i="11"/>
  <c r="AD1192" i="11"/>
  <c r="K1192" i="11"/>
  <c r="W1192" i="11" s="1"/>
  <c r="Y1192" i="11" s="1"/>
  <c r="J1192" i="11"/>
  <c r="I1192" i="11"/>
  <c r="H1192" i="11"/>
  <c r="BG1191" i="11"/>
  <c r="AX1191" i="11"/>
  <c r="AF1191" i="11"/>
  <c r="AE1191" i="11"/>
  <c r="AD1191" i="11"/>
  <c r="K1191" i="11"/>
  <c r="W1191" i="11" s="1"/>
  <c r="Y1191" i="11" s="1"/>
  <c r="J1191" i="11"/>
  <c r="I1191" i="11"/>
  <c r="H1191" i="11"/>
  <c r="BG1190" i="11"/>
  <c r="AX1190" i="11"/>
  <c r="AF1190" i="11"/>
  <c r="AE1190" i="11"/>
  <c r="AD1190" i="11"/>
  <c r="K1190" i="11"/>
  <c r="W1190" i="11" s="1"/>
  <c r="Y1190" i="11" s="1"/>
  <c r="J1190" i="11"/>
  <c r="I1190" i="11"/>
  <c r="H1190" i="11"/>
  <c r="BG1189" i="11"/>
  <c r="AX1189" i="11"/>
  <c r="AF1189" i="11"/>
  <c r="AE1189" i="11"/>
  <c r="AD1189" i="11"/>
  <c r="K1189" i="11"/>
  <c r="W1189" i="11" s="1"/>
  <c r="Y1189" i="11" s="1"/>
  <c r="J1189" i="11"/>
  <c r="I1189" i="11"/>
  <c r="H1189" i="11"/>
  <c r="BG1188" i="11"/>
  <c r="AX1188" i="11"/>
  <c r="AF1188" i="11"/>
  <c r="AE1188" i="11"/>
  <c r="AD1188" i="11"/>
  <c r="K1188" i="11"/>
  <c r="W1188" i="11" s="1"/>
  <c r="Y1188" i="11" s="1"/>
  <c r="J1188" i="11"/>
  <c r="I1188" i="11"/>
  <c r="H1188" i="11"/>
  <c r="BG1187" i="11"/>
  <c r="AX1187" i="11"/>
  <c r="AF1187" i="11"/>
  <c r="AE1187" i="11"/>
  <c r="AD1187" i="11"/>
  <c r="K1187" i="11"/>
  <c r="W1187" i="11" s="1"/>
  <c r="Y1187" i="11" s="1"/>
  <c r="J1187" i="11"/>
  <c r="I1187" i="11"/>
  <c r="H1187" i="11"/>
  <c r="BG1186" i="11"/>
  <c r="AX1186" i="11"/>
  <c r="AF1186" i="11"/>
  <c r="AE1186" i="11"/>
  <c r="AD1186" i="11"/>
  <c r="K1186" i="11"/>
  <c r="W1186" i="11" s="1"/>
  <c r="Y1186" i="11" s="1"/>
  <c r="J1186" i="11"/>
  <c r="I1186" i="11"/>
  <c r="H1186" i="11"/>
  <c r="BG1185" i="11"/>
  <c r="AX1185" i="11"/>
  <c r="AF1185" i="11"/>
  <c r="AE1185" i="11"/>
  <c r="AD1185" i="11"/>
  <c r="K1185" i="11"/>
  <c r="W1185" i="11" s="1"/>
  <c r="Y1185" i="11" s="1"/>
  <c r="J1185" i="11"/>
  <c r="I1185" i="11"/>
  <c r="H1185" i="11"/>
  <c r="BG1184" i="11"/>
  <c r="AX1184" i="11"/>
  <c r="AF1184" i="11"/>
  <c r="AE1184" i="11"/>
  <c r="AD1184" i="11"/>
  <c r="K1184" i="11"/>
  <c r="W1184" i="11" s="1"/>
  <c r="Y1184" i="11" s="1"/>
  <c r="J1184" i="11"/>
  <c r="I1184" i="11"/>
  <c r="H1184" i="11"/>
  <c r="BG1183" i="11"/>
  <c r="AX1183" i="11"/>
  <c r="AF1183" i="11"/>
  <c r="AE1183" i="11"/>
  <c r="AD1183" i="11"/>
  <c r="K1183" i="11"/>
  <c r="W1183" i="11" s="1"/>
  <c r="Y1183" i="11" s="1"/>
  <c r="J1183" i="11"/>
  <c r="I1183" i="11"/>
  <c r="H1183" i="11"/>
  <c r="BG1182" i="11"/>
  <c r="AX1182" i="11"/>
  <c r="AF1182" i="11"/>
  <c r="AE1182" i="11"/>
  <c r="AD1182" i="11"/>
  <c r="K1182" i="11"/>
  <c r="W1182" i="11" s="1"/>
  <c r="Y1182" i="11" s="1"/>
  <c r="J1182" i="11"/>
  <c r="I1182" i="11"/>
  <c r="H1182" i="11"/>
  <c r="BG1181" i="11"/>
  <c r="AX1181" i="11"/>
  <c r="AF1181" i="11"/>
  <c r="AE1181" i="11"/>
  <c r="AD1181" i="11"/>
  <c r="K1181" i="11"/>
  <c r="W1181" i="11" s="1"/>
  <c r="Y1181" i="11" s="1"/>
  <c r="J1181" i="11"/>
  <c r="I1181" i="11"/>
  <c r="H1181" i="11"/>
  <c r="BG1180" i="11"/>
  <c r="AX1180" i="11"/>
  <c r="AF1180" i="11"/>
  <c r="AE1180" i="11"/>
  <c r="AD1180" i="11"/>
  <c r="K1180" i="11"/>
  <c r="W1180" i="11" s="1"/>
  <c r="Y1180" i="11" s="1"/>
  <c r="J1180" i="11"/>
  <c r="I1180" i="11"/>
  <c r="H1180" i="11"/>
  <c r="BG1179" i="11"/>
  <c r="AX1179" i="11"/>
  <c r="AF1179" i="11"/>
  <c r="AE1179" i="11"/>
  <c r="AD1179" i="11"/>
  <c r="K1179" i="11"/>
  <c r="W1179" i="11" s="1"/>
  <c r="Y1179" i="11" s="1"/>
  <c r="J1179" i="11"/>
  <c r="I1179" i="11"/>
  <c r="H1179" i="11"/>
  <c r="BG1178" i="11"/>
  <c r="AX1178" i="11"/>
  <c r="AF1178" i="11"/>
  <c r="AE1178" i="11"/>
  <c r="AD1178" i="11"/>
  <c r="K1178" i="11"/>
  <c r="W1178" i="11" s="1"/>
  <c r="Y1178" i="11" s="1"/>
  <c r="J1178" i="11"/>
  <c r="I1178" i="11"/>
  <c r="H1178" i="11"/>
  <c r="BG1177" i="11"/>
  <c r="AX1177" i="11"/>
  <c r="AF1177" i="11"/>
  <c r="AE1177" i="11"/>
  <c r="AD1177" i="11"/>
  <c r="K1177" i="11"/>
  <c r="W1177" i="11" s="1"/>
  <c r="Y1177" i="11" s="1"/>
  <c r="J1177" i="11"/>
  <c r="I1177" i="11"/>
  <c r="H1177" i="11"/>
  <c r="BG1176" i="11"/>
  <c r="AX1176" i="11"/>
  <c r="AF1176" i="11"/>
  <c r="AE1176" i="11"/>
  <c r="AD1176" i="11"/>
  <c r="K1176" i="11"/>
  <c r="W1176" i="11" s="1"/>
  <c r="Y1176" i="11" s="1"/>
  <c r="J1176" i="11"/>
  <c r="I1176" i="11"/>
  <c r="H1176" i="11"/>
  <c r="BG1175" i="11"/>
  <c r="AX1175" i="11"/>
  <c r="AF1175" i="11"/>
  <c r="AE1175" i="11"/>
  <c r="AD1175" i="11"/>
  <c r="K1175" i="11"/>
  <c r="W1175" i="11" s="1"/>
  <c r="Y1175" i="11" s="1"/>
  <c r="J1175" i="11"/>
  <c r="I1175" i="11"/>
  <c r="H1175" i="11"/>
  <c r="BG1111" i="11"/>
  <c r="AX1111" i="11"/>
  <c r="AF1111" i="11"/>
  <c r="AE1111" i="11"/>
  <c r="AD1111" i="11"/>
  <c r="K1111" i="11"/>
  <c r="W1111" i="11" s="1"/>
  <c r="Y1111" i="11" s="1"/>
  <c r="J1111" i="11"/>
  <c r="I1111" i="11"/>
  <c r="H1111" i="11"/>
  <c r="BG1110" i="11"/>
  <c r="AX1110" i="11"/>
  <c r="AF1110" i="11"/>
  <c r="AE1110" i="11"/>
  <c r="AD1110" i="11"/>
  <c r="K1110" i="11"/>
  <c r="W1110" i="11" s="1"/>
  <c r="Y1110" i="11" s="1"/>
  <c r="J1110" i="11"/>
  <c r="I1110" i="11"/>
  <c r="H1110" i="11"/>
  <c r="BG1109" i="11"/>
  <c r="AX1109" i="11"/>
  <c r="AF1109" i="11"/>
  <c r="AE1109" i="11"/>
  <c r="AD1109" i="11"/>
  <c r="K1109" i="11"/>
  <c r="W1109" i="11" s="1"/>
  <c r="Y1109" i="11" s="1"/>
  <c r="J1109" i="11"/>
  <c r="I1109" i="11"/>
  <c r="H1109" i="11"/>
  <c r="BG1108" i="11"/>
  <c r="AX1108" i="11"/>
  <c r="AF1108" i="11"/>
  <c r="AE1108" i="11"/>
  <c r="AD1108" i="11"/>
  <c r="K1108" i="11"/>
  <c r="W1108" i="11" s="1"/>
  <c r="Y1108" i="11" s="1"/>
  <c r="J1108" i="11"/>
  <c r="I1108" i="11"/>
  <c r="H1108" i="11"/>
  <c r="BG1107" i="11"/>
  <c r="AX1107" i="11"/>
  <c r="AF1107" i="11"/>
  <c r="AE1107" i="11"/>
  <c r="AD1107" i="11"/>
  <c r="K1107" i="11"/>
  <c r="W1107" i="11" s="1"/>
  <c r="Y1107" i="11" s="1"/>
  <c r="J1107" i="11"/>
  <c r="I1107" i="11"/>
  <c r="H1107" i="11"/>
  <c r="BG1106" i="11"/>
  <c r="AX1106" i="11"/>
  <c r="AF1106" i="11"/>
  <c r="AE1106" i="11"/>
  <c r="AD1106" i="11"/>
  <c r="K1106" i="11"/>
  <c r="W1106" i="11" s="1"/>
  <c r="Y1106" i="11" s="1"/>
  <c r="J1106" i="11"/>
  <c r="I1106" i="11"/>
  <c r="H1106" i="11"/>
  <c r="BG1105" i="11"/>
  <c r="AX1105" i="11"/>
  <c r="AF1105" i="11"/>
  <c r="AE1105" i="11"/>
  <c r="AD1105" i="11"/>
  <c r="K1105" i="11"/>
  <c r="W1105" i="11" s="1"/>
  <c r="Y1105" i="11" s="1"/>
  <c r="J1105" i="11"/>
  <c r="I1105" i="11"/>
  <c r="H1105" i="11"/>
  <c r="BG1104" i="11"/>
  <c r="AX1104" i="11"/>
  <c r="AF1104" i="11"/>
  <c r="AE1104" i="11"/>
  <c r="AD1104" i="11"/>
  <c r="K1104" i="11"/>
  <c r="W1104" i="11" s="1"/>
  <c r="Y1104" i="11" s="1"/>
  <c r="J1104" i="11"/>
  <c r="I1104" i="11"/>
  <c r="H1104" i="11"/>
  <c r="BG1103" i="11"/>
  <c r="AX1103" i="11"/>
  <c r="AF1103" i="11"/>
  <c r="AE1103" i="11"/>
  <c r="AD1103" i="11"/>
  <c r="K1103" i="11"/>
  <c r="W1103" i="11" s="1"/>
  <c r="Y1103" i="11" s="1"/>
  <c r="J1103" i="11"/>
  <c r="I1103" i="11"/>
  <c r="H1103" i="11"/>
  <c r="BG1096" i="11"/>
  <c r="AX1096" i="11"/>
  <c r="AF1096" i="11"/>
  <c r="AE1096" i="11"/>
  <c r="AD1096" i="11"/>
  <c r="K1096" i="11"/>
  <c r="W1096" i="11" s="1"/>
  <c r="Y1096" i="11" s="1"/>
  <c r="J1096" i="11"/>
  <c r="I1096" i="11"/>
  <c r="H1096" i="11"/>
  <c r="BG1095" i="11"/>
  <c r="AX1095" i="11"/>
  <c r="AF1095" i="11"/>
  <c r="AE1095" i="11"/>
  <c r="AD1095" i="11"/>
  <c r="K1095" i="11"/>
  <c r="W1095" i="11" s="1"/>
  <c r="Y1095" i="11" s="1"/>
  <c r="J1095" i="11"/>
  <c r="I1095" i="11"/>
  <c r="H1095" i="11"/>
  <c r="BG1094" i="11"/>
  <c r="AX1094" i="11"/>
  <c r="AF1094" i="11"/>
  <c r="AE1094" i="11"/>
  <c r="AD1094" i="11"/>
  <c r="K1094" i="11"/>
  <c r="W1094" i="11" s="1"/>
  <c r="Y1094" i="11" s="1"/>
  <c r="J1094" i="11"/>
  <c r="I1094" i="11"/>
  <c r="H1094" i="11"/>
  <c r="BG1093" i="11"/>
  <c r="AX1093" i="11"/>
  <c r="AF1093" i="11"/>
  <c r="AE1093" i="11"/>
  <c r="AD1093" i="11"/>
  <c r="K1093" i="11"/>
  <c r="W1093" i="11" s="1"/>
  <c r="Y1093" i="11" s="1"/>
  <c r="J1093" i="11"/>
  <c r="I1093" i="11"/>
  <c r="H1093" i="11"/>
  <c r="BG1092" i="11"/>
  <c r="AX1092" i="11"/>
  <c r="AF1092" i="11"/>
  <c r="AE1092" i="11"/>
  <c r="AD1092" i="11"/>
  <c r="K1092" i="11"/>
  <c r="W1092" i="11" s="1"/>
  <c r="Y1092" i="11" s="1"/>
  <c r="J1092" i="11"/>
  <c r="I1092" i="11"/>
  <c r="H1092" i="11"/>
  <c r="BG1091" i="11"/>
  <c r="AX1091" i="11"/>
  <c r="AF1091" i="11"/>
  <c r="AE1091" i="11"/>
  <c r="AD1091" i="11"/>
  <c r="K1091" i="11"/>
  <c r="W1091" i="11" s="1"/>
  <c r="Y1091" i="11" s="1"/>
  <c r="J1091" i="11"/>
  <c r="I1091" i="11"/>
  <c r="H1091" i="11"/>
  <c r="BG1090" i="11"/>
  <c r="AX1090" i="11"/>
  <c r="AF1090" i="11"/>
  <c r="AE1090" i="11"/>
  <c r="AD1090" i="11"/>
  <c r="K1090" i="11"/>
  <c r="W1090" i="11" s="1"/>
  <c r="Y1090" i="11" s="1"/>
  <c r="J1090" i="11"/>
  <c r="I1090" i="11"/>
  <c r="H1090" i="11"/>
  <c r="BG1089" i="11"/>
  <c r="AX1089" i="11"/>
  <c r="AF1089" i="11"/>
  <c r="AE1089" i="11"/>
  <c r="AD1089" i="11"/>
  <c r="K1089" i="11"/>
  <c r="W1089" i="11" s="1"/>
  <c r="Y1089" i="11" s="1"/>
  <c r="J1089" i="11"/>
  <c r="I1089" i="11"/>
  <c r="H1089" i="11"/>
  <c r="BG1088" i="11"/>
  <c r="AX1088" i="11"/>
  <c r="AF1088" i="11"/>
  <c r="AE1088" i="11"/>
  <c r="AD1088" i="11"/>
  <c r="K1088" i="11"/>
  <c r="W1088" i="11" s="1"/>
  <c r="Y1088" i="11" s="1"/>
  <c r="J1088" i="11"/>
  <c r="I1088" i="11"/>
  <c r="H1088" i="11"/>
  <c r="BG1087" i="11"/>
  <c r="AX1087" i="11"/>
  <c r="AF1087" i="11"/>
  <c r="AE1087" i="11"/>
  <c r="AD1087" i="11"/>
  <c r="K1087" i="11"/>
  <c r="W1087" i="11" s="1"/>
  <c r="Y1087" i="11" s="1"/>
  <c r="J1087" i="11"/>
  <c r="I1087" i="11"/>
  <c r="H1087" i="11"/>
  <c r="BG1086" i="11"/>
  <c r="AX1086" i="11"/>
  <c r="AF1086" i="11"/>
  <c r="AE1086" i="11"/>
  <c r="AD1086" i="11"/>
  <c r="K1086" i="11"/>
  <c r="W1086" i="11" s="1"/>
  <c r="Y1086" i="11" s="1"/>
  <c r="J1086" i="11"/>
  <c r="I1086" i="11"/>
  <c r="H1086" i="11"/>
  <c r="BG624" i="11"/>
  <c r="AX624" i="11"/>
  <c r="AF624" i="11"/>
  <c r="AE624" i="11"/>
  <c r="AD624" i="11"/>
  <c r="K624" i="11"/>
  <c r="W624" i="11" s="1"/>
  <c r="Y624" i="11" s="1"/>
  <c r="J624" i="11"/>
  <c r="I624" i="11"/>
  <c r="H624" i="11"/>
  <c r="BG623" i="11"/>
  <c r="AX623" i="11"/>
  <c r="AF623" i="11"/>
  <c r="AE623" i="11"/>
  <c r="AD623" i="11"/>
  <c r="K623" i="11"/>
  <c r="W623" i="11" s="1"/>
  <c r="Y623" i="11" s="1"/>
  <c r="J623" i="11"/>
  <c r="I623" i="11"/>
  <c r="H623" i="11"/>
  <c r="BG622" i="11"/>
  <c r="AX622" i="11"/>
  <c r="AF622" i="11"/>
  <c r="AE622" i="11"/>
  <c r="AD622" i="11"/>
  <c r="K622" i="11"/>
  <c r="W622" i="11" s="1"/>
  <c r="Y622" i="11" s="1"/>
  <c r="J622" i="11"/>
  <c r="I622" i="11"/>
  <c r="H622" i="11"/>
  <c r="BG621" i="11"/>
  <c r="AX621" i="11"/>
  <c r="AF621" i="11"/>
  <c r="AE621" i="11"/>
  <c r="AD621" i="11"/>
  <c r="K621" i="11"/>
  <c r="W621" i="11" s="1"/>
  <c r="Y621" i="11" s="1"/>
  <c r="J621" i="11"/>
  <c r="I621" i="11"/>
  <c r="H621" i="11"/>
  <c r="BG620" i="11"/>
  <c r="AX620" i="11"/>
  <c r="AF620" i="11"/>
  <c r="AE620" i="11"/>
  <c r="AD620" i="11"/>
  <c r="K620" i="11"/>
  <c r="W620" i="11" s="1"/>
  <c r="Y620" i="11" s="1"/>
  <c r="J620" i="11"/>
  <c r="I620" i="11"/>
  <c r="H620" i="11"/>
  <c r="BG619" i="11"/>
  <c r="AX619" i="11"/>
  <c r="AF619" i="11"/>
  <c r="AE619" i="11"/>
  <c r="AD619" i="11"/>
  <c r="K619" i="11"/>
  <c r="W619" i="11" s="1"/>
  <c r="Y619" i="11" s="1"/>
  <c r="J619" i="11"/>
  <c r="I619" i="11"/>
  <c r="H619" i="11"/>
  <c r="BG618" i="11"/>
  <c r="AX618" i="11"/>
  <c r="AF618" i="11"/>
  <c r="AE618" i="11"/>
  <c r="AD618" i="11"/>
  <c r="K618" i="11"/>
  <c r="W618" i="11" s="1"/>
  <c r="Y618" i="11" s="1"/>
  <c r="J618" i="11"/>
  <c r="I618" i="11"/>
  <c r="H618" i="11"/>
  <c r="BG617" i="11"/>
  <c r="AX617" i="11"/>
  <c r="AF617" i="11"/>
  <c r="AE617" i="11"/>
  <c r="AD617" i="11"/>
  <c r="K617" i="11"/>
  <c r="W617" i="11" s="1"/>
  <c r="Y617" i="11" s="1"/>
  <c r="J617" i="11"/>
  <c r="I617" i="11"/>
  <c r="H617" i="11"/>
  <c r="BG616" i="11"/>
  <c r="AX616" i="11"/>
  <c r="AF616" i="11"/>
  <c r="AE616" i="11"/>
  <c r="AD616" i="11"/>
  <c r="K616" i="11"/>
  <c r="W616" i="11" s="1"/>
  <c r="Y616" i="11" s="1"/>
  <c r="J616" i="11"/>
  <c r="I616" i="11"/>
  <c r="H616" i="11"/>
  <c r="BG615" i="11"/>
  <c r="AX615" i="11"/>
  <c r="AF615" i="11"/>
  <c r="AE615" i="11"/>
  <c r="AD615" i="11"/>
  <c r="K615" i="11"/>
  <c r="W615" i="11" s="1"/>
  <c r="Y615" i="11" s="1"/>
  <c r="J615" i="11"/>
  <c r="I615" i="11"/>
  <c r="H615" i="11"/>
  <c r="BG614" i="11"/>
  <c r="AX614" i="11"/>
  <c r="AF614" i="11"/>
  <c r="AE614" i="11"/>
  <c r="AD614" i="11"/>
  <c r="K614" i="11"/>
  <c r="W614" i="11" s="1"/>
  <c r="Y614" i="11" s="1"/>
  <c r="J614" i="11"/>
  <c r="I614" i="11"/>
  <c r="H614" i="11"/>
  <c r="BG613" i="11"/>
  <c r="AX613" i="11"/>
  <c r="AF613" i="11"/>
  <c r="AE613" i="11"/>
  <c r="AD613" i="11"/>
  <c r="K613" i="11"/>
  <c r="W613" i="11" s="1"/>
  <c r="Y613" i="11" s="1"/>
  <c r="J613" i="11"/>
  <c r="I613" i="11"/>
  <c r="H613" i="11"/>
  <c r="BG612" i="11"/>
  <c r="AX612" i="11"/>
  <c r="AF612" i="11"/>
  <c r="AE612" i="11"/>
  <c r="AD612" i="11"/>
  <c r="K612" i="11"/>
  <c r="W612" i="11" s="1"/>
  <c r="Y612" i="11" s="1"/>
  <c r="J612" i="11"/>
  <c r="I612" i="11"/>
  <c r="H612" i="11"/>
  <c r="BG611" i="11"/>
  <c r="AX611" i="11"/>
  <c r="AF611" i="11"/>
  <c r="AE611" i="11"/>
  <c r="AD611" i="11"/>
  <c r="K611" i="11"/>
  <c r="W611" i="11" s="1"/>
  <c r="Y611" i="11" s="1"/>
  <c r="J611" i="11"/>
  <c r="I611" i="11"/>
  <c r="H611" i="11"/>
  <c r="BG610" i="11"/>
  <c r="AX610" i="11"/>
  <c r="AF610" i="11"/>
  <c r="AE610" i="11"/>
  <c r="AD610" i="11"/>
  <c r="K610" i="11"/>
  <c r="W610" i="11" s="1"/>
  <c r="Y610" i="11" s="1"/>
  <c r="J610" i="11"/>
  <c r="I610" i="11"/>
  <c r="H610" i="11"/>
  <c r="BG609" i="11"/>
  <c r="AX609" i="11"/>
  <c r="AF609" i="11"/>
  <c r="AE609" i="11"/>
  <c r="AD609" i="11"/>
  <c r="K609" i="11"/>
  <c r="W609" i="11" s="1"/>
  <c r="Y609" i="11" s="1"/>
  <c r="J609" i="11"/>
  <c r="I609" i="11"/>
  <c r="H609" i="11"/>
  <c r="BG608" i="11"/>
  <c r="AX608" i="11"/>
  <c r="AF608" i="11"/>
  <c r="AE608" i="11"/>
  <c r="AD608" i="11"/>
  <c r="K608" i="11"/>
  <c r="W608" i="11" s="1"/>
  <c r="Y608" i="11" s="1"/>
  <c r="J608" i="11"/>
  <c r="I608" i="11"/>
  <c r="H608" i="11"/>
  <c r="BG607" i="11"/>
  <c r="AX607" i="11"/>
  <c r="AF607" i="11"/>
  <c r="AE607" i="11"/>
  <c r="AD607" i="11"/>
  <c r="K607" i="11"/>
  <c r="W607" i="11" s="1"/>
  <c r="Y607" i="11" s="1"/>
  <c r="J607" i="11"/>
  <c r="I607" i="11"/>
  <c r="H607" i="11"/>
  <c r="BG606" i="11"/>
  <c r="AX606" i="11"/>
  <c r="AF606" i="11"/>
  <c r="AE606" i="11"/>
  <c r="AD606" i="11"/>
  <c r="K606" i="11"/>
  <c r="W606" i="11" s="1"/>
  <c r="Y606" i="11" s="1"/>
  <c r="J606" i="11"/>
  <c r="I606" i="11"/>
  <c r="H606" i="11"/>
  <c r="BD1255" i="11"/>
  <c r="AX1255" i="11"/>
  <c r="AF1255" i="11"/>
  <c r="AE1255" i="11"/>
  <c r="AD1255" i="11"/>
  <c r="K1255" i="11"/>
  <c r="W1255" i="11" s="1"/>
  <c r="Y1255" i="11" s="1"/>
  <c r="J1255" i="11"/>
  <c r="I1255" i="11"/>
  <c r="H1255" i="11"/>
  <c r="BD1254" i="11"/>
  <c r="AX1254" i="11"/>
  <c r="AV1254" i="11"/>
  <c r="AF1254" i="11"/>
  <c r="AE1254" i="11"/>
  <c r="AD1254" i="11"/>
  <c r="K1254" i="11"/>
  <c r="W1254" i="11" s="1"/>
  <c r="Y1254" i="11" s="1"/>
  <c r="J1254" i="11"/>
  <c r="I1254" i="11"/>
  <c r="H1254" i="11"/>
  <c r="BD1253" i="11"/>
  <c r="AX1253" i="11"/>
  <c r="AV1253" i="11"/>
  <c r="AF1253" i="11"/>
  <c r="AE1253" i="11"/>
  <c r="AD1253" i="11"/>
  <c r="K1253" i="11"/>
  <c r="W1253" i="11" s="1"/>
  <c r="Y1253" i="11" s="1"/>
  <c r="J1253" i="11"/>
  <c r="I1253" i="11"/>
  <c r="H1253" i="11"/>
  <c r="BD1252" i="11"/>
  <c r="AX1252" i="11"/>
  <c r="AV1252" i="11"/>
  <c r="AF1252" i="11"/>
  <c r="AE1252" i="11"/>
  <c r="AD1252" i="11"/>
  <c r="K1252" i="11"/>
  <c r="W1252" i="11" s="1"/>
  <c r="Y1252" i="11" s="1"/>
  <c r="J1252" i="11"/>
  <c r="I1252" i="11"/>
  <c r="H1252" i="11"/>
  <c r="BD1251" i="11"/>
  <c r="BG1251" i="11" s="1"/>
  <c r="AX1251" i="11"/>
  <c r="AV1251" i="11"/>
  <c r="AF1251" i="11"/>
  <c r="AE1251" i="11"/>
  <c r="AD1251" i="11"/>
  <c r="K1251" i="11"/>
  <c r="W1251" i="11" s="1"/>
  <c r="Y1251" i="11" s="1"/>
  <c r="J1251" i="11"/>
  <c r="I1251" i="11"/>
  <c r="H1251" i="11"/>
  <c r="BD1250" i="11"/>
  <c r="AX1250" i="11"/>
  <c r="AV1250" i="11"/>
  <c r="AF1250" i="11"/>
  <c r="AE1250" i="11"/>
  <c r="AD1250" i="11"/>
  <c r="K1250" i="11"/>
  <c r="W1250" i="11" s="1"/>
  <c r="Y1250" i="11" s="1"/>
  <c r="J1250" i="11"/>
  <c r="I1250" i="11"/>
  <c r="H1250" i="11"/>
  <c r="BD1249" i="11"/>
  <c r="AZ1249" i="11"/>
  <c r="AX1249" i="11"/>
  <c r="AV1249" i="11"/>
  <c r="AF1249" i="11"/>
  <c r="AE1249" i="11"/>
  <c r="AD1249" i="11"/>
  <c r="K1249" i="11"/>
  <c r="W1249" i="11" s="1"/>
  <c r="Y1249" i="11" s="1"/>
  <c r="J1249" i="11"/>
  <c r="I1249" i="11"/>
  <c r="H1249" i="11"/>
  <c r="BD1248" i="11"/>
  <c r="BG1248" i="11" s="1"/>
  <c r="AX1248" i="11"/>
  <c r="AF1248" i="11"/>
  <c r="AE1248" i="11"/>
  <c r="AD1248" i="11"/>
  <c r="K1248" i="11"/>
  <c r="W1248" i="11" s="1"/>
  <c r="Y1248" i="11" s="1"/>
  <c r="J1248" i="11"/>
  <c r="I1248" i="11"/>
  <c r="H1248" i="11"/>
  <c r="BD1247" i="11"/>
  <c r="AX1247" i="11"/>
  <c r="AV1247" i="11"/>
  <c r="AF1247" i="11"/>
  <c r="AE1247" i="11"/>
  <c r="AD1247" i="11"/>
  <c r="K1247" i="11"/>
  <c r="W1247" i="11" s="1"/>
  <c r="Y1247" i="11" s="1"/>
  <c r="J1247" i="11"/>
  <c r="I1247" i="11"/>
  <c r="H1247" i="11"/>
  <c r="BD1246" i="11"/>
  <c r="BG1246" i="11" s="1"/>
  <c r="AX1246" i="11"/>
  <c r="AV1246" i="11"/>
  <c r="AF1246" i="11"/>
  <c r="AE1246" i="11"/>
  <c r="AD1246" i="11"/>
  <c r="K1246" i="11"/>
  <c r="W1246" i="11" s="1"/>
  <c r="Y1246" i="11" s="1"/>
  <c r="J1246" i="11"/>
  <c r="I1246" i="11"/>
  <c r="H1246" i="11"/>
  <c r="BD1245" i="11"/>
  <c r="AX1245" i="11"/>
  <c r="AV1245" i="11"/>
  <c r="AF1245" i="11"/>
  <c r="AE1245" i="11"/>
  <c r="AD1245" i="11"/>
  <c r="K1245" i="11"/>
  <c r="W1245" i="11" s="1"/>
  <c r="Y1245" i="11" s="1"/>
  <c r="J1245" i="11"/>
  <c r="I1245" i="11"/>
  <c r="H1245" i="11"/>
  <c r="BD1244" i="11"/>
  <c r="BG1244" i="11" s="1"/>
  <c r="AX1244" i="11"/>
  <c r="AV1244" i="11"/>
  <c r="AF1244" i="11"/>
  <c r="AE1244" i="11"/>
  <c r="AD1244" i="11"/>
  <c r="K1244" i="11"/>
  <c r="W1244" i="11" s="1"/>
  <c r="Y1244" i="11" s="1"/>
  <c r="J1244" i="11"/>
  <c r="I1244" i="11"/>
  <c r="H1244" i="11"/>
  <c r="BD1243" i="11"/>
  <c r="BG1243" i="11" s="1"/>
  <c r="AX1243" i="11"/>
  <c r="AV1243" i="11"/>
  <c r="AF1243" i="11"/>
  <c r="AE1243" i="11"/>
  <c r="AD1243" i="11"/>
  <c r="K1243" i="11"/>
  <c r="W1243" i="11" s="1"/>
  <c r="Y1243" i="11" s="1"/>
  <c r="J1243" i="11"/>
  <c r="I1243" i="11"/>
  <c r="H1243" i="11"/>
  <c r="BD1242" i="11"/>
  <c r="AZ1242" i="11"/>
  <c r="AX1242" i="11"/>
  <c r="AV1242" i="11"/>
  <c r="AF1242" i="11"/>
  <c r="AE1242" i="11"/>
  <c r="AD1242" i="11"/>
  <c r="K1242" i="11"/>
  <c r="W1242" i="11" s="1"/>
  <c r="Y1242" i="11" s="1"/>
  <c r="J1242" i="11"/>
  <c r="I1242" i="11"/>
  <c r="H1242" i="11"/>
  <c r="BD1241" i="11"/>
  <c r="BG1241" i="11" s="1"/>
  <c r="AX1241" i="11"/>
  <c r="AF1241" i="11"/>
  <c r="AE1241" i="11"/>
  <c r="AD1241" i="11"/>
  <c r="K1241" i="11"/>
  <c r="W1241" i="11" s="1"/>
  <c r="Y1241" i="11" s="1"/>
  <c r="J1241" i="11"/>
  <c r="I1241" i="11"/>
  <c r="H1241" i="11"/>
  <c r="BD1240" i="11"/>
  <c r="BG1240" i="11" s="1"/>
  <c r="AX1240" i="11"/>
  <c r="AV1240" i="11"/>
  <c r="AF1240" i="11"/>
  <c r="AE1240" i="11"/>
  <c r="AD1240" i="11"/>
  <c r="K1240" i="11"/>
  <c r="W1240" i="11" s="1"/>
  <c r="Y1240" i="11" s="1"/>
  <c r="J1240" i="11"/>
  <c r="I1240" i="11"/>
  <c r="H1240" i="11"/>
  <c r="BD1239" i="11"/>
  <c r="AX1239" i="11"/>
  <c r="AV1239" i="11"/>
  <c r="AF1239" i="11"/>
  <c r="AE1239" i="11"/>
  <c r="AD1239" i="11"/>
  <c r="K1239" i="11"/>
  <c r="W1239" i="11" s="1"/>
  <c r="Y1239" i="11" s="1"/>
  <c r="J1239" i="11"/>
  <c r="I1239" i="11"/>
  <c r="H1239" i="11"/>
  <c r="BD1238" i="11"/>
  <c r="AX1238" i="11"/>
  <c r="AV1238" i="11"/>
  <c r="AF1238" i="11"/>
  <c r="AE1238" i="11"/>
  <c r="AD1238" i="11"/>
  <c r="K1238" i="11"/>
  <c r="W1238" i="11" s="1"/>
  <c r="Y1238" i="11" s="1"/>
  <c r="J1238" i="11"/>
  <c r="I1238" i="11"/>
  <c r="H1238" i="11"/>
  <c r="BD1237" i="11"/>
  <c r="BG1237" i="11" s="1"/>
  <c r="AX1237" i="11"/>
  <c r="AV1237" i="11"/>
  <c r="AF1237" i="11"/>
  <c r="AE1237" i="11"/>
  <c r="AD1237" i="11"/>
  <c r="K1237" i="11"/>
  <c r="W1237" i="11" s="1"/>
  <c r="Y1237" i="11" s="1"/>
  <c r="J1237" i="11"/>
  <c r="I1237" i="11"/>
  <c r="H1237" i="11"/>
  <c r="BD1236" i="11"/>
  <c r="BG1236" i="11" s="1"/>
  <c r="AX1236" i="11"/>
  <c r="AV1236" i="11"/>
  <c r="AF1236" i="11"/>
  <c r="AE1236" i="11"/>
  <c r="AD1236" i="11"/>
  <c r="K1236" i="11"/>
  <c r="W1236" i="11" s="1"/>
  <c r="Y1236" i="11" s="1"/>
  <c r="J1236" i="11"/>
  <c r="I1236" i="11"/>
  <c r="H1236" i="11"/>
  <c r="BD1235" i="11"/>
  <c r="BG1235" i="11" s="1"/>
  <c r="AZ1235" i="11"/>
  <c r="AX1235" i="11"/>
  <c r="AV1235" i="11"/>
  <c r="AF1235" i="11"/>
  <c r="AE1235" i="11"/>
  <c r="AD1235" i="11"/>
  <c r="T1235" i="11"/>
  <c r="K1235" i="11"/>
  <c r="W1235" i="11" s="1"/>
  <c r="Y1235" i="11" s="1"/>
  <c r="J1235" i="11"/>
  <c r="I1235" i="11"/>
  <c r="H1235" i="11"/>
  <c r="BG79" i="11"/>
  <c r="AX79" i="11"/>
  <c r="AF79" i="11"/>
  <c r="AE79" i="11"/>
  <c r="AD79" i="11"/>
  <c r="Q79" i="11"/>
  <c r="K79" i="11"/>
  <c r="J79" i="11"/>
  <c r="I79" i="11"/>
  <c r="H79" i="11"/>
  <c r="BG78" i="11"/>
  <c r="AX78" i="11"/>
  <c r="AF78" i="11"/>
  <c r="AE78" i="11"/>
  <c r="AD78" i="11"/>
  <c r="Q78" i="11"/>
  <c r="K78" i="11"/>
  <c r="J78" i="11"/>
  <c r="I78" i="11"/>
  <c r="H78" i="11"/>
  <c r="BG77" i="11"/>
  <c r="AX77" i="11"/>
  <c r="AF77" i="11"/>
  <c r="AE77" i="11"/>
  <c r="AD77" i="11"/>
  <c r="Q77" i="11"/>
  <c r="K77" i="11"/>
  <c r="J77" i="11"/>
  <c r="I77" i="11"/>
  <c r="H77" i="11"/>
  <c r="BG76" i="11"/>
  <c r="AX76" i="11"/>
  <c r="AF76" i="11"/>
  <c r="AE76" i="11"/>
  <c r="AD76" i="11"/>
  <c r="Q76" i="11"/>
  <c r="K76" i="11"/>
  <c r="J76" i="11"/>
  <c r="I76" i="11"/>
  <c r="H76" i="11"/>
  <c r="BG75" i="11"/>
  <c r="AX75" i="11"/>
  <c r="AF75" i="11"/>
  <c r="AE75" i="11"/>
  <c r="AD75" i="11"/>
  <c r="Q75" i="11"/>
  <c r="K75" i="11"/>
  <c r="J75" i="11"/>
  <c r="I75" i="11"/>
  <c r="H75" i="11"/>
  <c r="BG74" i="11"/>
  <c r="AX74" i="11"/>
  <c r="AF74" i="11"/>
  <c r="AE74" i="11"/>
  <c r="AD74" i="11"/>
  <c r="Q74" i="11"/>
  <c r="K74" i="11"/>
  <c r="J74" i="11"/>
  <c r="I74" i="11"/>
  <c r="H74" i="11"/>
  <c r="BG73" i="11"/>
  <c r="AX73" i="11"/>
  <c r="AF73" i="11"/>
  <c r="AE73" i="11"/>
  <c r="AD73" i="11"/>
  <c r="Q73" i="11"/>
  <c r="K73" i="11"/>
  <c r="J73" i="11"/>
  <c r="I73" i="11"/>
  <c r="H73" i="11"/>
  <c r="BG72" i="11"/>
  <c r="AX72" i="11"/>
  <c r="AF72" i="11"/>
  <c r="AE72" i="11"/>
  <c r="AD72" i="11"/>
  <c r="K72" i="11"/>
  <c r="J72" i="11"/>
  <c r="I72" i="11"/>
  <c r="H72" i="11"/>
  <c r="BG71" i="11"/>
  <c r="AX71" i="11"/>
  <c r="AF71" i="11"/>
  <c r="AE71" i="11"/>
  <c r="AD71" i="11"/>
  <c r="Q71" i="11"/>
  <c r="K71" i="11"/>
  <c r="J71" i="11"/>
  <c r="I71" i="11"/>
  <c r="H71" i="11"/>
  <c r="BG70" i="11"/>
  <c r="AX70" i="11"/>
  <c r="AF70" i="11"/>
  <c r="AE70" i="11"/>
  <c r="AD70" i="11"/>
  <c r="K70" i="11"/>
  <c r="W70" i="11" s="1"/>
  <c r="Y70" i="11" s="1"/>
  <c r="J70" i="11"/>
  <c r="I70" i="11"/>
  <c r="H70" i="11"/>
  <c r="BG69" i="11"/>
  <c r="AX69" i="11"/>
  <c r="AF69" i="11"/>
  <c r="AE69" i="11"/>
  <c r="AD69" i="11"/>
  <c r="K69" i="11"/>
  <c r="W69" i="11" s="1"/>
  <c r="Y69" i="11" s="1"/>
  <c r="J69" i="11"/>
  <c r="I69" i="11"/>
  <c r="H69" i="11"/>
  <c r="BG68" i="11"/>
  <c r="AX68" i="11"/>
  <c r="AF68" i="11"/>
  <c r="AE68" i="11"/>
  <c r="AD68" i="11"/>
  <c r="K68" i="11"/>
  <c r="W68" i="11" s="1"/>
  <c r="Y68" i="11" s="1"/>
  <c r="J68" i="11"/>
  <c r="I68" i="11"/>
  <c r="H68" i="11"/>
  <c r="BG67" i="11"/>
  <c r="AX67" i="11"/>
  <c r="AF67" i="11"/>
  <c r="AE67" i="11"/>
  <c r="AD67" i="11"/>
  <c r="K67" i="11"/>
  <c r="W67" i="11" s="1"/>
  <c r="Y67" i="11" s="1"/>
  <c r="J67" i="11"/>
  <c r="I67" i="11"/>
  <c r="H67" i="11"/>
  <c r="BG66" i="11"/>
  <c r="AX66" i="11"/>
  <c r="AF66" i="11"/>
  <c r="AE66" i="11"/>
  <c r="AD66" i="11"/>
  <c r="K66" i="11"/>
  <c r="W66" i="11" s="1"/>
  <c r="Y66" i="11" s="1"/>
  <c r="J66" i="11"/>
  <c r="I66" i="11"/>
  <c r="H66" i="11"/>
  <c r="BG65" i="11"/>
  <c r="AX65" i="11"/>
  <c r="AF65" i="11"/>
  <c r="AE65" i="11"/>
  <c r="AD65" i="11"/>
  <c r="K65" i="11"/>
  <c r="W65" i="11" s="1"/>
  <c r="Y65" i="11" s="1"/>
  <c r="J65" i="11"/>
  <c r="I65" i="11"/>
  <c r="H65" i="11"/>
  <c r="BG64" i="11"/>
  <c r="AX64" i="11"/>
  <c r="AF64" i="11"/>
  <c r="AE64" i="11"/>
  <c r="AD64" i="11"/>
  <c r="K64" i="11"/>
  <c r="W64" i="11" s="1"/>
  <c r="Y64" i="11" s="1"/>
  <c r="J64" i="11"/>
  <c r="I64" i="11"/>
  <c r="H64" i="11"/>
  <c r="BG63" i="11"/>
  <c r="AX63" i="11"/>
  <c r="AF63" i="11"/>
  <c r="AE63" i="11"/>
  <c r="AD63" i="11"/>
  <c r="K63" i="11"/>
  <c r="W63" i="11" s="1"/>
  <c r="Y63" i="11" s="1"/>
  <c r="J63" i="11"/>
  <c r="I63" i="11"/>
  <c r="H63" i="11"/>
  <c r="BG62" i="11"/>
  <c r="AX62" i="11"/>
  <c r="AF62" i="11"/>
  <c r="AE62" i="11"/>
  <c r="AD62" i="11"/>
  <c r="K62" i="11"/>
  <c r="W62" i="11" s="1"/>
  <c r="Y62" i="11" s="1"/>
  <c r="J62" i="11"/>
  <c r="I62" i="11"/>
  <c r="H62" i="11"/>
  <c r="BG61" i="11"/>
  <c r="AX61" i="11"/>
  <c r="AF61" i="11"/>
  <c r="AE61" i="11"/>
  <c r="AD61" i="11"/>
  <c r="K61" i="11"/>
  <c r="W61" i="11" s="1"/>
  <c r="Y61" i="11" s="1"/>
  <c r="J61" i="11"/>
  <c r="I61" i="11"/>
  <c r="H61" i="11"/>
  <c r="BG60" i="11"/>
  <c r="AX60" i="11"/>
  <c r="AF60" i="11"/>
  <c r="AE60" i="11"/>
  <c r="AD60" i="11"/>
  <c r="K60" i="11"/>
  <c r="W60" i="11" s="1"/>
  <c r="Y60" i="11" s="1"/>
  <c r="J60" i="11"/>
  <c r="I60" i="11"/>
  <c r="H60" i="11"/>
  <c r="BI59" i="11"/>
  <c r="AX59" i="11"/>
  <c r="AF59" i="11"/>
  <c r="AE59" i="11"/>
  <c r="AD59" i="11"/>
  <c r="K59" i="11"/>
  <c r="W59" i="11" s="1"/>
  <c r="Y59" i="11" s="1"/>
  <c r="J59" i="11"/>
  <c r="I59" i="11"/>
  <c r="H59" i="11"/>
  <c r="BI58" i="11"/>
  <c r="AX58" i="11"/>
  <c r="AF58" i="11"/>
  <c r="AE58" i="11"/>
  <c r="AD58" i="11"/>
  <c r="K58" i="11"/>
  <c r="W58" i="11" s="1"/>
  <c r="Y58" i="11" s="1"/>
  <c r="J58" i="11"/>
  <c r="I58" i="11"/>
  <c r="H58" i="11"/>
  <c r="BI57" i="11"/>
  <c r="AX57" i="11"/>
  <c r="AF57" i="11"/>
  <c r="AE57" i="11"/>
  <c r="AD57" i="11"/>
  <c r="K57" i="11"/>
  <c r="W57" i="11" s="1"/>
  <c r="Y57" i="11" s="1"/>
  <c r="J57" i="11"/>
  <c r="I57" i="11"/>
  <c r="H57" i="11"/>
  <c r="BI56" i="11"/>
  <c r="AX56" i="11"/>
  <c r="AF56" i="11"/>
  <c r="AE56" i="11"/>
  <c r="AD56" i="11"/>
  <c r="K56" i="11"/>
  <c r="W56" i="11" s="1"/>
  <c r="Y56" i="11" s="1"/>
  <c r="J56" i="11"/>
  <c r="I56" i="11"/>
  <c r="H56" i="11"/>
  <c r="BI55" i="11"/>
  <c r="AX55" i="11"/>
  <c r="AF55" i="11"/>
  <c r="AE55" i="11"/>
  <c r="AD55" i="11"/>
  <c r="K55" i="11"/>
  <c r="W55" i="11" s="1"/>
  <c r="Y55" i="11" s="1"/>
  <c r="J55" i="11"/>
  <c r="I55" i="11"/>
  <c r="H55" i="11"/>
  <c r="AZ54" i="11"/>
  <c r="AX54" i="11"/>
  <c r="AF54" i="11"/>
  <c r="AE54" i="11"/>
  <c r="AD54" i="11"/>
  <c r="K54" i="11"/>
  <c r="W54" i="11" s="1"/>
  <c r="Y54" i="11" s="1"/>
  <c r="J54" i="11"/>
  <c r="I54" i="11"/>
  <c r="H54" i="11"/>
  <c r="AZ53" i="11"/>
  <c r="AX53" i="11"/>
  <c r="AF53" i="11"/>
  <c r="AE53" i="11"/>
  <c r="AD53" i="11"/>
  <c r="K53" i="11"/>
  <c r="W53" i="11" s="1"/>
  <c r="Y53" i="11" s="1"/>
  <c r="J53" i="11"/>
  <c r="I53" i="11"/>
  <c r="H53" i="11"/>
  <c r="AZ52" i="11"/>
  <c r="AX52" i="11"/>
  <c r="AF52" i="11"/>
  <c r="AE52" i="11"/>
  <c r="AD52" i="11"/>
  <c r="K52" i="11"/>
  <c r="W52" i="11" s="1"/>
  <c r="Y52" i="11" s="1"/>
  <c r="J52" i="11"/>
  <c r="I52" i="11"/>
  <c r="H52" i="11"/>
  <c r="AZ51" i="11"/>
  <c r="AX51" i="11"/>
  <c r="AF51" i="11"/>
  <c r="AE51" i="11"/>
  <c r="AD51" i="11"/>
  <c r="K51" i="11"/>
  <c r="W51" i="11" s="1"/>
  <c r="Y51" i="11" s="1"/>
  <c r="J51" i="11"/>
  <c r="I51" i="11"/>
  <c r="H51" i="11"/>
  <c r="AZ50" i="11"/>
  <c r="AX50" i="11"/>
  <c r="AF50" i="11"/>
  <c r="AE50" i="11"/>
  <c r="AD50" i="11"/>
  <c r="K50" i="11"/>
  <c r="W50" i="11" s="1"/>
  <c r="Y50" i="11" s="1"/>
  <c r="J50" i="11"/>
  <c r="I50" i="11"/>
  <c r="H50" i="11"/>
  <c r="BD49" i="11"/>
  <c r="BG49" i="11" s="1"/>
  <c r="AZ49" i="11"/>
  <c r="AX49" i="11"/>
  <c r="AF49" i="11"/>
  <c r="AE49" i="11"/>
  <c r="AD49" i="11"/>
  <c r="K49" i="11"/>
  <c r="W49" i="11" s="1"/>
  <c r="Y49" i="11" s="1"/>
  <c r="J49" i="11"/>
  <c r="I49" i="11"/>
  <c r="H49" i="11"/>
  <c r="AX48" i="11"/>
  <c r="AF48" i="11"/>
  <c r="AE48" i="11"/>
  <c r="AD48" i="11"/>
  <c r="N48" i="11"/>
  <c r="K48" i="11"/>
  <c r="AC48" i="11" s="1"/>
  <c r="J48" i="11"/>
  <c r="I48" i="11"/>
  <c r="H48" i="11"/>
  <c r="AX47" i="11"/>
  <c r="AF47" i="11"/>
  <c r="AE47" i="11"/>
  <c r="AD47" i="11"/>
  <c r="N47" i="11"/>
  <c r="K47" i="11"/>
  <c r="AC47" i="11" s="1"/>
  <c r="J47" i="11"/>
  <c r="I47" i="11"/>
  <c r="H47" i="11"/>
  <c r="AX46" i="11"/>
  <c r="AF46" i="11"/>
  <c r="AE46" i="11"/>
  <c r="AD46" i="11"/>
  <c r="O46" i="11"/>
  <c r="V46" i="11" s="1"/>
  <c r="K46" i="11"/>
  <c r="AC46" i="11" s="1"/>
  <c r="J46" i="11"/>
  <c r="I46" i="11"/>
  <c r="H46" i="11"/>
  <c r="AX45" i="11"/>
  <c r="AF45" i="11"/>
  <c r="AE45" i="11"/>
  <c r="AD45" i="11"/>
  <c r="K45" i="11"/>
  <c r="AC45" i="11" s="1"/>
  <c r="J45" i="11"/>
  <c r="I45" i="11"/>
  <c r="H45" i="11"/>
  <c r="AX44" i="11"/>
  <c r="AF44" i="11"/>
  <c r="AE44" i="11"/>
  <c r="AD44" i="11"/>
  <c r="O44" i="11"/>
  <c r="V44" i="11" s="1"/>
  <c r="K44" i="11"/>
  <c r="AC44" i="11" s="1"/>
  <c r="J44" i="11"/>
  <c r="I44" i="11"/>
  <c r="H44" i="11"/>
  <c r="AZ43" i="11"/>
  <c r="AX43" i="11"/>
  <c r="AF43" i="11"/>
  <c r="AE43" i="11"/>
  <c r="AD43" i="11"/>
  <c r="N43" i="11"/>
  <c r="K43" i="11"/>
  <c r="BC43" i="11" s="1"/>
  <c r="J43" i="11"/>
  <c r="I43" i="11"/>
  <c r="H43" i="11"/>
  <c r="AZ42" i="11"/>
  <c r="AX42" i="11"/>
  <c r="AF42" i="11"/>
  <c r="AE42" i="11"/>
  <c r="AD42" i="11"/>
  <c r="O42" i="11"/>
  <c r="V42" i="11" s="1"/>
  <c r="K42" i="11"/>
  <c r="J42" i="11"/>
  <c r="I42" i="11"/>
  <c r="H42" i="11"/>
  <c r="AZ41" i="11"/>
  <c r="AX41" i="11"/>
  <c r="AF41" i="11"/>
  <c r="AE41" i="11"/>
  <c r="AD41" i="11"/>
  <c r="O41" i="11"/>
  <c r="V41" i="11" s="1"/>
  <c r="K41" i="11"/>
  <c r="BC41" i="11" s="1"/>
  <c r="J41" i="11"/>
  <c r="I41" i="11"/>
  <c r="H41" i="11"/>
  <c r="AZ40" i="11"/>
  <c r="AX40" i="11"/>
  <c r="AF40" i="11"/>
  <c r="AE40" i="11"/>
  <c r="AD40" i="11"/>
  <c r="O40" i="11"/>
  <c r="V40" i="11" s="1"/>
  <c r="K40" i="11"/>
  <c r="BB40" i="11" s="1"/>
  <c r="J40" i="11"/>
  <c r="I40" i="11"/>
  <c r="H40" i="11"/>
  <c r="AZ39" i="11"/>
  <c r="AX39" i="11"/>
  <c r="AF39" i="11"/>
  <c r="AE39" i="11"/>
  <c r="AD39" i="11"/>
  <c r="N39" i="11"/>
  <c r="K39" i="11"/>
  <c r="J39" i="11"/>
  <c r="I39" i="11"/>
  <c r="H39" i="11"/>
  <c r="BD38" i="11"/>
  <c r="BG38" i="11" s="1"/>
  <c r="AZ38" i="11"/>
  <c r="AX38" i="11"/>
  <c r="AF38" i="11"/>
  <c r="AE38" i="11"/>
  <c r="AD38" i="11"/>
  <c r="O38" i="11"/>
  <c r="V38" i="11" s="1"/>
  <c r="K38" i="11"/>
  <c r="AC38" i="11" s="1"/>
  <c r="J38" i="11"/>
  <c r="I38" i="11"/>
  <c r="H38" i="11"/>
  <c r="AZ37" i="11"/>
  <c r="AX37" i="11"/>
  <c r="AF37" i="11"/>
  <c r="AE37" i="11"/>
  <c r="AD37" i="11"/>
  <c r="K37" i="11"/>
  <c r="BC37" i="11" s="1"/>
  <c r="J37" i="11"/>
  <c r="I37" i="11"/>
  <c r="H37" i="11"/>
  <c r="AZ36" i="11"/>
  <c r="AX36" i="11"/>
  <c r="AF36" i="11"/>
  <c r="AE36" i="11"/>
  <c r="AD36" i="11"/>
  <c r="K36" i="11"/>
  <c r="AC36" i="11" s="1"/>
  <c r="J36" i="11"/>
  <c r="I36" i="11"/>
  <c r="H36" i="11"/>
  <c r="AZ35" i="11"/>
  <c r="AX35" i="11"/>
  <c r="AF35" i="11"/>
  <c r="AE35" i="11"/>
  <c r="AD35" i="11"/>
  <c r="K35" i="11"/>
  <c r="J35" i="11"/>
  <c r="I35" i="11"/>
  <c r="H35" i="11"/>
  <c r="AZ34" i="11"/>
  <c r="AX34" i="11"/>
  <c r="AF34" i="11"/>
  <c r="AE34" i="11"/>
  <c r="AD34" i="11"/>
  <c r="K34" i="11"/>
  <c r="AC34" i="11" s="1"/>
  <c r="J34" i="11"/>
  <c r="I34" i="11"/>
  <c r="H34" i="11"/>
  <c r="AZ33" i="11"/>
  <c r="AX33" i="11"/>
  <c r="AF33" i="11"/>
  <c r="AE33" i="11"/>
  <c r="AD33" i="11"/>
  <c r="K33" i="11"/>
  <c r="BC33" i="11" s="1"/>
  <c r="J33" i="11"/>
  <c r="I33" i="11"/>
  <c r="H33" i="11"/>
  <c r="BG32" i="11"/>
  <c r="AZ32" i="11"/>
  <c r="AX32" i="11"/>
  <c r="AF32" i="11"/>
  <c r="AE32" i="11"/>
  <c r="AD32" i="11"/>
  <c r="K32" i="11"/>
  <c r="BC32" i="11" s="1"/>
  <c r="J32" i="11"/>
  <c r="I32" i="11"/>
  <c r="H32" i="11"/>
  <c r="BG31" i="11"/>
  <c r="AZ31" i="11"/>
  <c r="AX31" i="11"/>
  <c r="AF31" i="11"/>
  <c r="AE31" i="11"/>
  <c r="AD31" i="11"/>
  <c r="K31" i="11"/>
  <c r="BC31" i="11" s="1"/>
  <c r="J31" i="11"/>
  <c r="I31" i="11"/>
  <c r="H31" i="11"/>
  <c r="BG30" i="11"/>
  <c r="AZ30" i="11"/>
  <c r="AX30" i="11"/>
  <c r="AF30" i="11"/>
  <c r="AE30" i="11"/>
  <c r="AD30" i="11"/>
  <c r="K30" i="11"/>
  <c r="BC30" i="11" s="1"/>
  <c r="J30" i="11"/>
  <c r="I30" i="11"/>
  <c r="H30" i="11"/>
  <c r="BG29" i="11"/>
  <c r="AZ29" i="11"/>
  <c r="AX29" i="11"/>
  <c r="AF29" i="11"/>
  <c r="AE29" i="11"/>
  <c r="AD29" i="11"/>
  <c r="K29" i="11"/>
  <c r="BB29" i="11" s="1"/>
  <c r="J29" i="11"/>
  <c r="I29" i="11"/>
  <c r="H29" i="11"/>
  <c r="BG28" i="11"/>
  <c r="AZ28" i="11"/>
  <c r="AX28" i="11"/>
  <c r="AF28" i="11"/>
  <c r="AE28" i="11"/>
  <c r="AD28" i="11"/>
  <c r="K28" i="11"/>
  <c r="BC28" i="11" s="1"/>
  <c r="J28" i="11"/>
  <c r="I28" i="11"/>
  <c r="H28" i="11"/>
  <c r="BG27" i="11"/>
  <c r="AZ27" i="11"/>
  <c r="AX27" i="11"/>
  <c r="AF27" i="11"/>
  <c r="AE27" i="11"/>
  <c r="AD27" i="11"/>
  <c r="K27" i="11"/>
  <c r="AC27" i="11" s="1"/>
  <c r="J27" i="11"/>
  <c r="I27" i="11"/>
  <c r="H27" i="11"/>
  <c r="BG26" i="11"/>
  <c r="AZ26" i="11"/>
  <c r="AX26" i="11"/>
  <c r="AF26" i="11"/>
  <c r="AE26" i="11"/>
  <c r="AD26" i="11"/>
  <c r="K26" i="11"/>
  <c r="J26" i="11"/>
  <c r="I26" i="11"/>
  <c r="H26" i="11"/>
  <c r="BG25" i="11"/>
  <c r="AZ25" i="11"/>
  <c r="AX25" i="11"/>
  <c r="AF25" i="11"/>
  <c r="AE25" i="11"/>
  <c r="AD25" i="11"/>
  <c r="K25" i="11"/>
  <c r="AC25" i="11" s="1"/>
  <c r="J25" i="11"/>
  <c r="I25" i="11"/>
  <c r="H25" i="11"/>
  <c r="BG24" i="11"/>
  <c r="AZ24" i="11"/>
  <c r="AX24" i="11"/>
  <c r="AF24" i="11"/>
  <c r="AD24" i="11"/>
  <c r="K24" i="11"/>
  <c r="BC24" i="11" s="1"/>
  <c r="J24" i="11"/>
  <c r="I24" i="11"/>
  <c r="H24" i="11"/>
  <c r="BG23" i="11"/>
  <c r="AZ23" i="11"/>
  <c r="AX23" i="11"/>
  <c r="AF23" i="11"/>
  <c r="AD23" i="11"/>
  <c r="K23" i="11"/>
  <c r="BB23" i="11" s="1"/>
  <c r="J23" i="11"/>
  <c r="I23" i="11"/>
  <c r="H23" i="11"/>
  <c r="BG22" i="11"/>
  <c r="AZ22" i="11"/>
  <c r="AX22" i="11"/>
  <c r="AF22" i="11"/>
  <c r="AD22" i="11"/>
  <c r="K22" i="11"/>
  <c r="J22" i="11"/>
  <c r="I22" i="11"/>
  <c r="H22" i="11"/>
  <c r="BG21" i="11"/>
  <c r="AZ21" i="11"/>
  <c r="AX21" i="11"/>
  <c r="AF21" i="11"/>
  <c r="AD21" i="11"/>
  <c r="K21" i="11"/>
  <c r="J21" i="11"/>
  <c r="I21" i="11"/>
  <c r="H21" i="11"/>
  <c r="BG20" i="11"/>
  <c r="AZ20" i="11"/>
  <c r="AX20" i="11"/>
  <c r="AF20" i="11"/>
  <c r="AD20" i="11"/>
  <c r="K20" i="11"/>
  <c r="J20" i="11"/>
  <c r="I20" i="11"/>
  <c r="H20" i="11"/>
  <c r="BG19" i="11"/>
  <c r="AZ19" i="11"/>
  <c r="AX19" i="11"/>
  <c r="AF19" i="11"/>
  <c r="AD19" i="11"/>
  <c r="K19" i="11"/>
  <c r="BB19" i="11" s="1"/>
  <c r="J19" i="11"/>
  <c r="I19" i="11"/>
  <c r="H19" i="11"/>
  <c r="BG18" i="11"/>
  <c r="AX18" i="11"/>
  <c r="AF18" i="11"/>
  <c r="AD18" i="11"/>
  <c r="K18" i="11"/>
  <c r="AC18" i="11" s="1"/>
  <c r="J18" i="11"/>
  <c r="I18" i="11"/>
  <c r="H18" i="11"/>
  <c r="BG17" i="11"/>
  <c r="AX17" i="11"/>
  <c r="AF17" i="11"/>
  <c r="AD17" i="11"/>
  <c r="K17" i="11"/>
  <c r="J17" i="11"/>
  <c r="I17" i="11"/>
  <c r="H17" i="11"/>
  <c r="BG16" i="11"/>
  <c r="AX16" i="11"/>
  <c r="AF16" i="11"/>
  <c r="AD16" i="11"/>
  <c r="K16" i="11"/>
  <c r="AC16" i="11" s="1"/>
  <c r="J16" i="11"/>
  <c r="I16" i="11"/>
  <c r="H16" i="11"/>
  <c r="BG15" i="11"/>
  <c r="AX15" i="11"/>
  <c r="AF15" i="11"/>
  <c r="AD15" i="11"/>
  <c r="K15" i="11"/>
  <c r="AC15" i="11" s="1"/>
  <c r="J15" i="11"/>
  <c r="I15" i="11"/>
  <c r="H15" i="11"/>
  <c r="BG14" i="11"/>
  <c r="AX14" i="11"/>
  <c r="AF14" i="11"/>
  <c r="AD14" i="11"/>
  <c r="K14" i="11"/>
  <c r="AC14" i="11" s="1"/>
  <c r="J14" i="11"/>
  <c r="I14" i="11"/>
  <c r="H14" i="11"/>
  <c r="BG13" i="11"/>
  <c r="AX13" i="11"/>
  <c r="AF13" i="11"/>
  <c r="AD13" i="11"/>
  <c r="K13" i="11"/>
  <c r="AC13" i="11" s="1"/>
  <c r="J13" i="11"/>
  <c r="I13" i="11"/>
  <c r="H13" i="11"/>
  <c r="BG12" i="11"/>
  <c r="AX12" i="11"/>
  <c r="AF12" i="11"/>
  <c r="AD12" i="11"/>
  <c r="K12" i="11"/>
  <c r="AC12" i="11" s="1"/>
  <c r="J12" i="11"/>
  <c r="I12" i="11"/>
  <c r="H12" i="11"/>
  <c r="BG11" i="11"/>
  <c r="AX11" i="11"/>
  <c r="AF11" i="11"/>
  <c r="AD11" i="11"/>
  <c r="K11" i="11"/>
  <c r="AC11" i="11" s="1"/>
  <c r="J11" i="11"/>
  <c r="I11" i="11"/>
  <c r="H11" i="11"/>
  <c r="BG10" i="11"/>
  <c r="AX10" i="11"/>
  <c r="AF10" i="11"/>
  <c r="AD10" i="11"/>
  <c r="K10" i="11"/>
  <c r="AC10" i="11" s="1"/>
  <c r="J10" i="11"/>
  <c r="I10" i="11"/>
  <c r="H10" i="11"/>
  <c r="BG9" i="11"/>
  <c r="AX9" i="11"/>
  <c r="AF9" i="11"/>
  <c r="AD9" i="11"/>
  <c r="K9" i="11"/>
  <c r="AC9" i="11" s="1"/>
  <c r="J9" i="11"/>
  <c r="I9" i="11"/>
  <c r="H9" i="11"/>
  <c r="BD8" i="11"/>
  <c r="BG8" i="11" s="1"/>
  <c r="AZ8" i="11"/>
  <c r="AX8" i="11"/>
  <c r="AF8" i="11"/>
  <c r="AD8" i="11"/>
  <c r="K8" i="11"/>
  <c r="AC8" i="11" s="1"/>
  <c r="J8" i="11"/>
  <c r="I8" i="11"/>
  <c r="H8" i="11"/>
  <c r="AZ7" i="11"/>
  <c r="AX7" i="11"/>
  <c r="AF7" i="11"/>
  <c r="AD7" i="11"/>
  <c r="K7" i="11"/>
  <c r="J7" i="11"/>
  <c r="I7" i="11"/>
  <c r="H7" i="11"/>
  <c r="AZ6" i="11"/>
  <c r="AX6" i="11"/>
  <c r="AF6" i="11"/>
  <c r="AD6" i="11"/>
  <c r="K6" i="11"/>
  <c r="J6" i="11"/>
  <c r="I6" i="11"/>
  <c r="H6" i="11"/>
  <c r="AZ5" i="11"/>
  <c r="AX5" i="11"/>
  <c r="AF5" i="11"/>
  <c r="AD5" i="11"/>
  <c r="K5" i="11"/>
  <c r="AC5" i="11" s="1"/>
  <c r="J5" i="11"/>
  <c r="I5" i="11"/>
  <c r="H5" i="11"/>
  <c r="AZ4" i="11"/>
  <c r="AX4" i="11"/>
  <c r="AF4" i="11"/>
  <c r="AD4" i="11"/>
  <c r="K4" i="11"/>
  <c r="J4" i="11"/>
  <c r="I4" i="11"/>
  <c r="H4" i="11"/>
  <c r="AZ3" i="11"/>
  <c r="AX3" i="11"/>
  <c r="AF3" i="11"/>
  <c r="AD3" i="11"/>
  <c r="K3" i="11"/>
  <c r="J3" i="11"/>
  <c r="I3" i="11"/>
  <c r="H3" i="11"/>
  <c r="W648" i="11" l="1"/>
  <c r="Y648" i="11" s="1"/>
  <c r="BB648" i="11"/>
  <c r="W763" i="11"/>
  <c r="Y763" i="11" s="1"/>
  <c r="BB763" i="11"/>
  <c r="W888" i="11"/>
  <c r="Y888" i="11" s="1"/>
  <c r="BB888" i="11"/>
  <c r="W765" i="11"/>
  <c r="Y765" i="11" s="1"/>
  <c r="BB765" i="11"/>
  <c r="W887" i="11"/>
  <c r="Y887" i="11" s="1"/>
  <c r="BB887" i="11"/>
  <c r="W558" i="11"/>
  <c r="Y558" i="11" s="1"/>
  <c r="BB558" i="11"/>
  <c r="W764" i="11"/>
  <c r="Y764" i="11" s="1"/>
  <c r="BB764" i="11"/>
  <c r="W886" i="11"/>
  <c r="Y886" i="11" s="1"/>
  <c r="BB886" i="11"/>
  <c r="BE1179" i="11"/>
  <c r="BF1179" i="11" s="1"/>
  <c r="BE1187" i="11"/>
  <c r="BF1187" i="11" s="1"/>
  <c r="BD1199" i="11"/>
  <c r="BE1218" i="11"/>
  <c r="BF1218" i="11" s="1"/>
  <c r="BE1184" i="11"/>
  <c r="BF1184" i="11" s="1"/>
  <c r="BE1182" i="11"/>
  <c r="BF1182" i="11" s="1"/>
  <c r="BE1181" i="11"/>
  <c r="BF1181" i="11" s="1"/>
  <c r="BE1189" i="11"/>
  <c r="BF1189" i="11" s="1"/>
  <c r="BD1200" i="11"/>
  <c r="BE1212" i="11"/>
  <c r="BF1212" i="11" s="1"/>
  <c r="BE1220" i="11"/>
  <c r="BF1220" i="11" s="1"/>
  <c r="BE1178" i="11"/>
  <c r="BF1178" i="11" s="1"/>
  <c r="BE1186" i="11"/>
  <c r="BF1186" i="11" s="1"/>
  <c r="BE1194" i="11"/>
  <c r="BF1194" i="11" s="1"/>
  <c r="BD1224" i="11"/>
  <c r="BG1224" i="11" s="1"/>
  <c r="BE1225" i="11"/>
  <c r="BF1225" i="11" s="1"/>
  <c r="BE1217" i="11"/>
  <c r="BF1217" i="11" s="1"/>
  <c r="BE1226" i="11"/>
  <c r="BF1226" i="11" s="1"/>
  <c r="BE1175" i="11"/>
  <c r="BF1175" i="11" s="1"/>
  <c r="BE1191" i="11"/>
  <c r="BF1191" i="11" s="1"/>
  <c r="BE1227" i="11"/>
  <c r="BF1227" i="11" s="1"/>
  <c r="BE1190" i="11"/>
  <c r="BF1190" i="11" s="1"/>
  <c r="BE1233" i="11"/>
  <c r="BF1233" i="11" s="1"/>
  <c r="BE1214" i="11"/>
  <c r="BF1214" i="11" s="1"/>
  <c r="BD1223" i="11"/>
  <c r="BG1223" i="11" s="1"/>
  <c r="BE1228" i="11"/>
  <c r="BF1228" i="11" s="1"/>
  <c r="BE1221" i="11"/>
  <c r="BF1221" i="11" s="1"/>
  <c r="BE1180" i="11"/>
  <c r="BF1180" i="11" s="1"/>
  <c r="BE1188" i="11"/>
  <c r="BF1188" i="11" s="1"/>
  <c r="BE1229" i="11"/>
  <c r="BF1229" i="11" s="1"/>
  <c r="BE1219" i="11"/>
  <c r="BF1219" i="11" s="1"/>
  <c r="BE1230" i="11"/>
  <c r="BF1230" i="11" s="1"/>
  <c r="BE1177" i="11"/>
  <c r="BF1177" i="11" s="1"/>
  <c r="BE1185" i="11"/>
  <c r="BF1185" i="11" s="1"/>
  <c r="BE1193" i="11"/>
  <c r="BF1193" i="11" s="1"/>
  <c r="BD1222" i="11"/>
  <c r="BE1231" i="11"/>
  <c r="BF1231" i="11" s="1"/>
  <c r="BE1213" i="11"/>
  <c r="BF1213" i="11" s="1"/>
  <c r="BE1216" i="11"/>
  <c r="BF1216" i="11" s="1"/>
  <c r="BE1232" i="11"/>
  <c r="BF1232" i="11" s="1"/>
  <c r="AX837" i="11"/>
  <c r="AX1057" i="11"/>
  <c r="AX697" i="11"/>
  <c r="AX644" i="11"/>
  <c r="AX844" i="11"/>
  <c r="AX201" i="11"/>
  <c r="AX410" i="11"/>
  <c r="BD1125" i="11"/>
  <c r="BE1125" i="11" s="1"/>
  <c r="BF1125" i="11" s="1"/>
  <c r="BE27" i="11"/>
  <c r="BF27" i="11" s="1"/>
  <c r="BE64" i="11"/>
  <c r="BF64" i="11" s="1"/>
  <c r="BD1124" i="11"/>
  <c r="BG1124" i="11" s="1"/>
  <c r="BE1143" i="11"/>
  <c r="BF1143" i="11" s="1"/>
  <c r="BE26" i="11"/>
  <c r="BF26" i="11" s="1"/>
  <c r="BE72" i="11"/>
  <c r="BF72" i="11" s="1"/>
  <c r="BD1123" i="11"/>
  <c r="BE1123" i="11" s="1"/>
  <c r="BF1123" i="11" s="1"/>
  <c r="BE1136" i="11"/>
  <c r="BF1136" i="11" s="1"/>
  <c r="BE1142" i="11"/>
  <c r="BF1142" i="11" s="1"/>
  <c r="BD1126" i="11"/>
  <c r="BG1126" i="11" s="1"/>
  <c r="BE25" i="11"/>
  <c r="BF25" i="11" s="1"/>
  <c r="BD37" i="11"/>
  <c r="BG37" i="11" s="1"/>
  <c r="BE63" i="11"/>
  <c r="BF63" i="11" s="1"/>
  <c r="BD1122" i="11"/>
  <c r="BG1122" i="11" s="1"/>
  <c r="BE1141" i="11"/>
  <c r="BF1141" i="11" s="1"/>
  <c r="BD54" i="11"/>
  <c r="BG54" i="11" s="1"/>
  <c r="BE71" i="11"/>
  <c r="BF71" i="11" s="1"/>
  <c r="BE1121" i="11"/>
  <c r="BF1121" i="11" s="1"/>
  <c r="BE1140" i="11"/>
  <c r="BF1140" i="11" s="1"/>
  <c r="BD40" i="11"/>
  <c r="BG40" i="11" s="1"/>
  <c r="BD36" i="11"/>
  <c r="BG36" i="11" s="1"/>
  <c r="BE62" i="11"/>
  <c r="BF62" i="11" s="1"/>
  <c r="BE70" i="11"/>
  <c r="BF70" i="11" s="1"/>
  <c r="BE1120" i="11"/>
  <c r="BF1120" i="11" s="1"/>
  <c r="BE1139" i="11"/>
  <c r="BF1139" i="11" s="1"/>
  <c r="BE75" i="11"/>
  <c r="BF75" i="11" s="1"/>
  <c r="BD39" i="11"/>
  <c r="BG39" i="11" s="1"/>
  <c r="BD53" i="11"/>
  <c r="BE53" i="11" s="1"/>
  <c r="BF53" i="11" s="1"/>
  <c r="BE1137" i="11"/>
  <c r="BF1137" i="11" s="1"/>
  <c r="BE28" i="11"/>
  <c r="BF28" i="11" s="1"/>
  <c r="BD35" i="11"/>
  <c r="BG35" i="11" s="1"/>
  <c r="BE61" i="11"/>
  <c r="BF61" i="11" s="1"/>
  <c r="BE69" i="11"/>
  <c r="BF69" i="11" s="1"/>
  <c r="BE1118" i="11"/>
  <c r="BF1118" i="11" s="1"/>
  <c r="BE1117" i="11"/>
  <c r="BF1117" i="11" s="1"/>
  <c r="BE29" i="11"/>
  <c r="BF29" i="11" s="1"/>
  <c r="BD34" i="11"/>
  <c r="BE34" i="11" s="1"/>
  <c r="BF34" i="11" s="1"/>
  <c r="BE60" i="11"/>
  <c r="BF60" i="11" s="1"/>
  <c r="BE68" i="11"/>
  <c r="BF68" i="11" s="1"/>
  <c r="BE1116" i="11"/>
  <c r="BF1116" i="11" s="1"/>
  <c r="BD51" i="11"/>
  <c r="BE1115" i="11"/>
  <c r="BF1115" i="11" s="1"/>
  <c r="BD33" i="11"/>
  <c r="BG33" i="11" s="1"/>
  <c r="BE67" i="11"/>
  <c r="BF67" i="11" s="1"/>
  <c r="BE79" i="11"/>
  <c r="BF79" i="11" s="1"/>
  <c r="BE1114" i="11"/>
  <c r="BF1114" i="11" s="1"/>
  <c r="BE65" i="11"/>
  <c r="BF65" i="11" s="1"/>
  <c r="BE74" i="11"/>
  <c r="BF74" i="11" s="1"/>
  <c r="BD43" i="11"/>
  <c r="BG43" i="11" s="1"/>
  <c r="BE78" i="11"/>
  <c r="BF78" i="11" s="1"/>
  <c r="BE1113" i="11"/>
  <c r="BF1113" i="11" s="1"/>
  <c r="BE31" i="11"/>
  <c r="BF31" i="11" s="1"/>
  <c r="BD42" i="11"/>
  <c r="BE42" i="11" s="1"/>
  <c r="BF42" i="11" s="1"/>
  <c r="BE66" i="11"/>
  <c r="BF66" i="11" s="1"/>
  <c r="BE77" i="11"/>
  <c r="BF77" i="11" s="1"/>
  <c r="BE1112" i="11"/>
  <c r="BF1112" i="11" s="1"/>
  <c r="BE30" i="11"/>
  <c r="BF30" i="11" s="1"/>
  <c r="BD41" i="11"/>
  <c r="BE76" i="11"/>
  <c r="BF76" i="11" s="1"/>
  <c r="BE1128" i="11"/>
  <c r="BF1128" i="11" s="1"/>
  <c r="BE1129" i="11"/>
  <c r="BF1129" i="11" s="1"/>
  <c r="BE1130" i="11"/>
  <c r="BF1130" i="11" s="1"/>
  <c r="BE1131" i="11"/>
  <c r="BF1131" i="11" s="1"/>
  <c r="BE1132" i="11"/>
  <c r="BF1132" i="11" s="1"/>
  <c r="BE1145" i="11"/>
  <c r="BF1145" i="11" s="1"/>
  <c r="BE1156" i="11"/>
  <c r="BF1156" i="11" s="1"/>
  <c r="BE1163" i="11"/>
  <c r="BF1163" i="11" s="1"/>
  <c r="BE1166" i="11"/>
  <c r="BF1166" i="11" s="1"/>
  <c r="BE1174" i="11"/>
  <c r="BF1174" i="11" s="1"/>
  <c r="BE1144" i="11"/>
  <c r="BF1144" i="11" s="1"/>
  <c r="BE1155" i="11"/>
  <c r="BF1155" i="11" s="1"/>
  <c r="BE1154" i="11"/>
  <c r="BF1154" i="11" s="1"/>
  <c r="BE1165" i="11"/>
  <c r="BF1165" i="11" s="1"/>
  <c r="BE1173" i="11"/>
  <c r="BF1173" i="11" s="1"/>
  <c r="BE1164" i="11"/>
  <c r="BF1164" i="11" s="1"/>
  <c r="BD1153" i="11"/>
  <c r="BG1153" i="11" s="1"/>
  <c r="BE1172" i="11"/>
  <c r="BF1172" i="11" s="1"/>
  <c r="BD1152" i="11"/>
  <c r="BG1152" i="11" s="1"/>
  <c r="BE1171" i="11"/>
  <c r="BF1171" i="11" s="1"/>
  <c r="BD1151" i="11"/>
  <c r="BG1151" i="11" s="1"/>
  <c r="BE1170" i="11"/>
  <c r="BF1170" i="11" s="1"/>
  <c r="BD1150" i="11"/>
  <c r="BG1150" i="11" s="1"/>
  <c r="BD1149" i="11"/>
  <c r="BE1168" i="11"/>
  <c r="BF1168" i="11" s="1"/>
  <c r="BE1148" i="11"/>
  <c r="BF1148" i="11" s="1"/>
  <c r="BE1159" i="11"/>
  <c r="BF1159" i="11" s="1"/>
  <c r="BE1147" i="11"/>
  <c r="BF1147" i="11" s="1"/>
  <c r="BE1158" i="11"/>
  <c r="BF1158" i="11" s="1"/>
  <c r="BE1167" i="11"/>
  <c r="BF1167" i="11" s="1"/>
  <c r="BE1146" i="11"/>
  <c r="BF1146" i="11" s="1"/>
  <c r="BE1157" i="11"/>
  <c r="BF1157" i="11" s="1"/>
  <c r="BE1095" i="11"/>
  <c r="BF1095" i="11" s="1"/>
  <c r="BE1093" i="11"/>
  <c r="BF1093" i="11" s="1"/>
  <c r="BE1107" i="11"/>
  <c r="BF1107" i="11" s="1"/>
  <c r="BE1092" i="11"/>
  <c r="BF1092" i="11" s="1"/>
  <c r="BE1106" i="11"/>
  <c r="BF1106" i="11" s="1"/>
  <c r="BE1091" i="11"/>
  <c r="BF1091" i="11" s="1"/>
  <c r="BE1105" i="11"/>
  <c r="BF1105" i="11" s="1"/>
  <c r="BE1090" i="11"/>
  <c r="BF1090" i="11" s="1"/>
  <c r="BE1104" i="11"/>
  <c r="BF1104" i="11" s="1"/>
  <c r="BE1094" i="11"/>
  <c r="BF1094" i="11" s="1"/>
  <c r="BE1089" i="11"/>
  <c r="BF1089" i="11" s="1"/>
  <c r="BE1103" i="11"/>
  <c r="BF1103" i="11" s="1"/>
  <c r="BE1111" i="11"/>
  <c r="BF1111" i="11" s="1"/>
  <c r="BE1096" i="11"/>
  <c r="BF1096" i="11" s="1"/>
  <c r="BE1086" i="11"/>
  <c r="BF1086" i="11" s="1"/>
  <c r="BE618" i="11"/>
  <c r="BF618" i="11" s="1"/>
  <c r="BE609" i="11"/>
  <c r="BF609" i="11" s="1"/>
  <c r="BE617" i="11"/>
  <c r="BF617" i="11" s="1"/>
  <c r="BE608" i="11"/>
  <c r="BF608" i="11" s="1"/>
  <c r="BE616" i="11"/>
  <c r="BF616" i="11" s="1"/>
  <c r="BE624" i="11"/>
  <c r="BF624" i="11" s="1"/>
  <c r="BE607" i="11"/>
  <c r="BF607" i="11" s="1"/>
  <c r="BE615" i="11"/>
  <c r="BF615" i="11" s="1"/>
  <c r="BE623" i="11"/>
  <c r="BF623" i="11" s="1"/>
  <c r="BE606" i="11"/>
  <c r="BF606" i="11" s="1"/>
  <c r="BE614" i="11"/>
  <c r="BF614" i="11" s="1"/>
  <c r="BE622" i="11"/>
  <c r="BF622" i="11" s="1"/>
  <c r="BE613" i="11"/>
  <c r="BF613" i="11" s="1"/>
  <c r="BE621" i="11"/>
  <c r="BF621" i="11" s="1"/>
  <c r="BE612" i="11"/>
  <c r="BF612" i="11" s="1"/>
  <c r="BE620" i="11"/>
  <c r="BF620" i="11" s="1"/>
  <c r="BE619" i="11"/>
  <c r="BF619" i="11" s="1"/>
  <c r="BE129" i="11"/>
  <c r="BF129" i="11" s="1"/>
  <c r="AC72" i="11"/>
  <c r="AC71" i="11"/>
  <c r="AC17" i="11"/>
  <c r="AC79" i="11"/>
  <c r="AC78" i="11"/>
  <c r="AC73" i="11"/>
  <c r="AC77" i="11"/>
  <c r="AC75" i="11"/>
  <c r="AC76" i="11"/>
  <c r="AC74" i="11"/>
  <c r="AC618" i="11"/>
  <c r="AC1087" i="11"/>
  <c r="AC1095" i="11"/>
  <c r="AC1109" i="11"/>
  <c r="AC1212" i="11"/>
  <c r="AC1220" i="11"/>
  <c r="AC85" i="11"/>
  <c r="AC1123" i="11"/>
  <c r="AC1136" i="11"/>
  <c r="AC1142" i="11"/>
  <c r="AC1165" i="11"/>
  <c r="AC1173" i="11"/>
  <c r="AC1255" i="11"/>
  <c r="AC1195" i="11"/>
  <c r="AC64" i="11"/>
  <c r="AC1247" i="11"/>
  <c r="AC1254" i="11"/>
  <c r="AC1185" i="11"/>
  <c r="AC1186" i="11"/>
  <c r="AC1194" i="11"/>
  <c r="AC80" i="11"/>
  <c r="AC1143" i="11"/>
  <c r="AC609" i="11"/>
  <c r="AC617" i="11"/>
  <c r="AC1086" i="11"/>
  <c r="AC1094" i="11"/>
  <c r="AC1108" i="11"/>
  <c r="AC1184" i="11"/>
  <c r="AC1219" i="11"/>
  <c r="AC91" i="11"/>
  <c r="AC1125" i="11"/>
  <c r="AC1144" i="11"/>
  <c r="AC1153" i="11"/>
  <c r="AC1172" i="11"/>
  <c r="AC65" i="11"/>
  <c r="AC1241" i="11"/>
  <c r="BC1233" i="11"/>
  <c r="AC63" i="11"/>
  <c r="AC1239" i="11"/>
  <c r="AC1246" i="11"/>
  <c r="AC1253" i="11"/>
  <c r="AC1183" i="11"/>
  <c r="AC1193" i="11"/>
  <c r="AC86" i="11"/>
  <c r="AC608" i="11"/>
  <c r="AC624" i="11"/>
  <c r="AC1107" i="11"/>
  <c r="AC1182" i="11"/>
  <c r="AC1218" i="11"/>
  <c r="AC81" i="11"/>
  <c r="AC1127" i="11"/>
  <c r="AC1146" i="11"/>
  <c r="BC1152" i="11"/>
  <c r="AC1171" i="11"/>
  <c r="AC62" i="11"/>
  <c r="AC70" i="11"/>
  <c r="AC1238" i="11"/>
  <c r="AC1245" i="11"/>
  <c r="AC1252" i="11"/>
  <c r="AC1181" i="11"/>
  <c r="AC1192" i="11"/>
  <c r="AC1112" i="11"/>
  <c r="AC1147" i="11"/>
  <c r="AC607" i="11"/>
  <c r="AC615" i="11"/>
  <c r="AC623" i="11"/>
  <c r="AC1106" i="11"/>
  <c r="AC1180" i="11"/>
  <c r="AC1217" i="11"/>
  <c r="BC1225" i="11"/>
  <c r="AC87" i="11"/>
  <c r="AC1113" i="11"/>
  <c r="BC1128" i="11"/>
  <c r="AC1137" i="11"/>
  <c r="AC1148" i="11"/>
  <c r="BB1151" i="11"/>
  <c r="AC1170" i="11"/>
  <c r="AC61" i="11"/>
  <c r="AC69" i="11"/>
  <c r="AC1237" i="11"/>
  <c r="AC1244" i="11"/>
  <c r="AC1251" i="11"/>
  <c r="AC1178" i="11"/>
  <c r="AC1179" i="11"/>
  <c r="AC1191" i="11"/>
  <c r="AC82" i="11"/>
  <c r="AC1114" i="11"/>
  <c r="AC606" i="11"/>
  <c r="AC614" i="11"/>
  <c r="AC622" i="11"/>
  <c r="AC1091" i="11"/>
  <c r="AC1105" i="11"/>
  <c r="AC1177" i="11"/>
  <c r="AC1216" i="11"/>
  <c r="AC1115" i="11"/>
  <c r="AC1129" i="11"/>
  <c r="BB1150" i="11"/>
  <c r="AC1169" i="11"/>
  <c r="AC68" i="11"/>
  <c r="AC1235" i="11"/>
  <c r="AC1236" i="11"/>
  <c r="AC1243" i="11"/>
  <c r="AC1250" i="11"/>
  <c r="AC1176" i="11"/>
  <c r="AC1190" i="11"/>
  <c r="AC1199" i="11"/>
  <c r="AC1227" i="11"/>
  <c r="AC88" i="11"/>
  <c r="AC1116" i="11"/>
  <c r="AC90" i="11"/>
  <c r="AC1242" i="11"/>
  <c r="AC1249" i="11"/>
  <c r="AC613" i="11"/>
  <c r="AC621" i="11"/>
  <c r="AC1090" i="11"/>
  <c r="AC1104" i="11"/>
  <c r="AC1175" i="11"/>
  <c r="AC1215" i="11"/>
  <c r="AC1223" i="11"/>
  <c r="AC1228" i="11"/>
  <c r="AC83" i="11"/>
  <c r="AC1117" i="11"/>
  <c r="BB1130" i="11"/>
  <c r="AC1163" i="11"/>
  <c r="AC1168" i="11"/>
  <c r="AC1187" i="11"/>
  <c r="AC1141" i="11"/>
  <c r="AC67" i="11"/>
  <c r="AC1189" i="11"/>
  <c r="AC1197" i="11"/>
  <c r="BC1229" i="11"/>
  <c r="AC1118" i="11"/>
  <c r="AC612" i="11"/>
  <c r="AC620" i="11"/>
  <c r="AC1089" i="11"/>
  <c r="AC1103" i="11"/>
  <c r="AC1111" i="11"/>
  <c r="AC1214" i="11"/>
  <c r="BB1230" i="11"/>
  <c r="AC89" i="11"/>
  <c r="AC1119" i="11"/>
  <c r="BB1131" i="11"/>
  <c r="AC1138" i="11"/>
  <c r="BC1158" i="11"/>
  <c r="AC1167" i="11"/>
  <c r="AC66" i="11"/>
  <c r="AC1188" i="11"/>
  <c r="AC1196" i="11"/>
  <c r="BC1231" i="11"/>
  <c r="AC84" i="11"/>
  <c r="AC1120" i="11"/>
  <c r="AC1139" i="11"/>
  <c r="AC1157" i="11"/>
  <c r="AC1164" i="11"/>
  <c r="AC1248" i="11"/>
  <c r="AC611" i="11"/>
  <c r="AC619" i="11"/>
  <c r="AC1088" i="11"/>
  <c r="AC1096" i="11"/>
  <c r="AC1110" i="11"/>
  <c r="AC1213" i="11"/>
  <c r="AC1221" i="11"/>
  <c r="BB1232" i="11"/>
  <c r="AC1121" i="11"/>
  <c r="AC1140" i="11"/>
  <c r="AC1166" i="11"/>
  <c r="AC1174" i="11"/>
  <c r="BC52" i="11"/>
  <c r="AC57" i="11"/>
  <c r="AC60" i="11"/>
  <c r="BC51" i="11"/>
  <c r="BC50" i="11"/>
  <c r="AC56" i="11"/>
  <c r="AC59" i="11"/>
  <c r="AC49" i="11"/>
  <c r="AC55" i="11"/>
  <c r="AC58" i="11"/>
  <c r="BL48" i="11"/>
  <c r="BN48" i="11" s="1"/>
  <c r="BO48" i="11" s="1"/>
  <c r="BD48" i="11" s="1"/>
  <c r="BN927" i="11"/>
  <c r="BO927" i="11" s="1"/>
  <c r="BD927" i="11" s="1"/>
  <c r="BN930" i="11"/>
  <c r="BO930" i="11" s="1"/>
  <c r="BD930" i="11" s="1"/>
  <c r="BN986" i="11"/>
  <c r="BO986" i="11" s="1"/>
  <c r="BD986" i="11" s="1"/>
  <c r="BN1018" i="11"/>
  <c r="BO1018" i="11" s="1"/>
  <c r="BD1018" i="11" s="1"/>
  <c r="BN987" i="11"/>
  <c r="BO987" i="11" s="1"/>
  <c r="BD987" i="11" s="1"/>
  <c r="BN1003" i="11"/>
  <c r="BO1003" i="11" s="1"/>
  <c r="BD1003" i="11" s="1"/>
  <c r="BN933" i="11"/>
  <c r="BO933" i="11" s="1"/>
  <c r="BD933" i="11" s="1"/>
  <c r="BN989" i="11"/>
  <c r="BO989" i="11" s="1"/>
  <c r="BD989" i="11" s="1"/>
  <c r="BN1021" i="11"/>
  <c r="BO1021" i="11" s="1"/>
  <c r="BD1021" i="11" s="1"/>
  <c r="BN915" i="11"/>
  <c r="BO915" i="11" s="1"/>
  <c r="BD915" i="11" s="1"/>
  <c r="BN990" i="11"/>
  <c r="BO990" i="11" s="1"/>
  <c r="BD990" i="11" s="1"/>
  <c r="BE87" i="11"/>
  <c r="BF87" i="11" s="1"/>
  <c r="BN1007" i="11"/>
  <c r="BO1007" i="11" s="1"/>
  <c r="BD1007" i="11" s="1"/>
  <c r="BE84" i="11"/>
  <c r="BF84" i="11" s="1"/>
  <c r="BN917" i="11"/>
  <c r="BO917" i="11" s="1"/>
  <c r="BD917" i="11" s="1"/>
  <c r="BN937" i="11"/>
  <c r="BO937" i="11" s="1"/>
  <c r="BD937" i="11" s="1"/>
  <c r="BN957" i="11"/>
  <c r="BO957" i="11" s="1"/>
  <c r="BD957" i="11" s="1"/>
  <c r="BE86" i="11"/>
  <c r="BF86" i="11" s="1"/>
  <c r="BN918" i="11"/>
  <c r="BO918" i="11" s="1"/>
  <c r="BD918" i="11" s="1"/>
  <c r="BN958" i="11"/>
  <c r="BO958" i="11" s="1"/>
  <c r="BD958" i="11" s="1"/>
  <c r="BN976" i="11"/>
  <c r="BO976" i="11" s="1"/>
  <c r="BD976" i="11" s="1"/>
  <c r="BN1009" i="11"/>
  <c r="BO1009" i="11" s="1"/>
  <c r="BD1009" i="11" s="1"/>
  <c r="BN919" i="11"/>
  <c r="BO919" i="11" s="1"/>
  <c r="BD919" i="11" s="1"/>
  <c r="BN994" i="11"/>
  <c r="BO994" i="11" s="1"/>
  <c r="BD994" i="11" s="1"/>
  <c r="BN1010" i="11"/>
  <c r="BO1010" i="11" s="1"/>
  <c r="BD1010" i="11" s="1"/>
  <c r="BN962" i="11"/>
  <c r="BO962" i="11" s="1"/>
  <c r="BD962" i="11" s="1"/>
  <c r="BE88" i="11"/>
  <c r="BF88" i="11" s="1"/>
  <c r="BN921" i="11"/>
  <c r="BO921" i="11" s="1"/>
  <c r="BD921" i="11" s="1"/>
  <c r="BE85" i="11"/>
  <c r="BF85" i="11" s="1"/>
  <c r="BN943" i="11"/>
  <c r="BO943" i="11" s="1"/>
  <c r="BD943" i="11" s="1"/>
  <c r="BN964" i="11"/>
  <c r="BO964" i="11" s="1"/>
  <c r="BD964" i="11" s="1"/>
  <c r="BN923" i="11"/>
  <c r="BO923" i="11" s="1"/>
  <c r="BD923" i="11" s="1"/>
  <c r="BN946" i="11"/>
  <c r="BO946" i="11" s="1"/>
  <c r="BD946" i="11" s="1"/>
  <c r="BN965" i="11"/>
  <c r="BO965" i="11" s="1"/>
  <c r="BD965" i="11" s="1"/>
  <c r="BN908" i="11"/>
  <c r="BO908" i="11" s="1"/>
  <c r="BD908" i="11" s="1"/>
  <c r="BN947" i="11"/>
  <c r="BO947" i="11" s="1"/>
  <c r="BD947" i="11" s="1"/>
  <c r="BN949" i="11"/>
  <c r="BO949" i="11" s="1"/>
  <c r="BD949" i="11" s="1"/>
  <c r="BN985" i="11"/>
  <c r="BO985" i="11" s="1"/>
  <c r="BD985" i="11" s="1"/>
  <c r="BN1001" i="11"/>
  <c r="BO1001" i="11" s="1"/>
  <c r="BD1001" i="11" s="1"/>
  <c r="BN1017" i="11"/>
  <c r="BO1017" i="11" s="1"/>
  <c r="BD1017" i="11" s="1"/>
  <c r="BE244" i="11"/>
  <c r="BF244" i="11" s="1"/>
  <c r="BE300" i="11"/>
  <c r="BF300" i="11" s="1"/>
  <c r="BE431" i="11"/>
  <c r="BF431" i="11" s="1"/>
  <c r="BE463" i="11"/>
  <c r="BF463" i="11" s="1"/>
  <c r="BE482" i="11"/>
  <c r="BF482" i="11" s="1"/>
  <c r="BE228" i="11"/>
  <c r="BF228" i="11" s="1"/>
  <c r="BE240" i="11"/>
  <c r="BF240" i="11" s="1"/>
  <c r="BE245" i="11"/>
  <c r="BF245" i="11" s="1"/>
  <c r="BE269" i="11"/>
  <c r="BF269" i="11" s="1"/>
  <c r="BE284" i="11"/>
  <c r="BF284" i="11" s="1"/>
  <c r="BE299" i="11"/>
  <c r="BF299" i="11" s="1"/>
  <c r="BE327" i="11"/>
  <c r="BF327" i="11" s="1"/>
  <c r="BE343" i="11"/>
  <c r="BF343" i="11" s="1"/>
  <c r="BE369" i="11"/>
  <c r="BF369" i="11" s="1"/>
  <c r="BE385" i="11"/>
  <c r="BF385" i="11" s="1"/>
  <c r="BE416" i="11"/>
  <c r="BF416" i="11" s="1"/>
  <c r="BE440" i="11"/>
  <c r="BF440" i="11" s="1"/>
  <c r="BE464" i="11"/>
  <c r="BF464" i="11" s="1"/>
  <c r="BE805" i="11"/>
  <c r="BF805" i="11" s="1"/>
  <c r="S825" i="11"/>
  <c r="Q825" i="11"/>
  <c r="V825" i="11" s="1"/>
  <c r="BE829" i="11"/>
  <c r="BF829" i="11" s="1"/>
  <c r="BE831" i="11"/>
  <c r="BF831" i="11" s="1"/>
  <c r="BE855" i="11"/>
  <c r="BF855" i="11" s="1"/>
  <c r="BE1034" i="11"/>
  <c r="BF1034" i="11" s="1"/>
  <c r="BE1042" i="11"/>
  <c r="BF1042" i="11" s="1"/>
  <c r="BE1050" i="11"/>
  <c r="BF1050" i="11" s="1"/>
  <c r="BD524" i="11"/>
  <c r="BG524" i="11" s="1"/>
  <c r="BE1073" i="11"/>
  <c r="BF1073" i="11" s="1"/>
  <c r="BE202" i="11"/>
  <c r="BF202" i="11" s="1"/>
  <c r="BE793" i="11"/>
  <c r="BF793" i="11" s="1"/>
  <c r="BE810" i="11"/>
  <c r="BF810" i="11" s="1"/>
  <c r="S826" i="11"/>
  <c r="Q826" i="11"/>
  <c r="V826" i="11" s="1"/>
  <c r="BE844" i="11"/>
  <c r="BF844" i="11" s="1"/>
  <c r="BE552" i="11"/>
  <c r="BF552" i="11" s="1"/>
  <c r="BE219" i="11"/>
  <c r="BF219" i="11" s="1"/>
  <c r="BE229" i="11"/>
  <c r="BF229" i="11" s="1"/>
  <c r="BE246" i="11"/>
  <c r="BF246" i="11" s="1"/>
  <c r="BE283" i="11"/>
  <c r="BF283" i="11" s="1"/>
  <c r="BE298" i="11"/>
  <c r="BF298" i="11" s="1"/>
  <c r="BE326" i="11"/>
  <c r="BF326" i="11" s="1"/>
  <c r="BE342" i="11"/>
  <c r="BF342" i="11" s="1"/>
  <c r="BE380" i="11"/>
  <c r="BF380" i="11" s="1"/>
  <c r="BE396" i="11"/>
  <c r="BF396" i="11" s="1"/>
  <c r="BE424" i="11"/>
  <c r="BF424" i="11" s="1"/>
  <c r="BE432" i="11"/>
  <c r="BF432" i="11" s="1"/>
  <c r="BE465" i="11"/>
  <c r="BF465" i="11" s="1"/>
  <c r="BE488" i="11"/>
  <c r="BF488" i="11" s="1"/>
  <c r="Q824" i="11"/>
  <c r="V824" i="11" s="1"/>
  <c r="S824" i="11"/>
  <c r="BE828" i="11"/>
  <c r="BF828" i="11" s="1"/>
  <c r="BE832" i="11"/>
  <c r="BF832" i="11" s="1"/>
  <c r="BE850" i="11"/>
  <c r="BF850" i="11" s="1"/>
  <c r="BE865" i="11"/>
  <c r="BF865" i="11" s="1"/>
  <c r="BE884" i="11"/>
  <c r="BF884" i="11" s="1"/>
  <c r="BE553" i="11"/>
  <c r="BF553" i="11" s="1"/>
  <c r="BE830" i="11"/>
  <c r="BF830" i="11" s="1"/>
  <c r="BD886" i="11"/>
  <c r="BE886" i="11" s="1"/>
  <c r="BF886" i="11" s="1"/>
  <c r="BE230" i="11"/>
  <c r="BF230" i="11" s="1"/>
  <c r="BE247" i="11"/>
  <c r="BF247" i="11" s="1"/>
  <c r="BE267" i="11"/>
  <c r="BF267" i="11" s="1"/>
  <c r="BE282" i="11"/>
  <c r="BF282" i="11" s="1"/>
  <c r="BE297" i="11"/>
  <c r="BF297" i="11" s="1"/>
  <c r="BE325" i="11"/>
  <c r="BF325" i="11" s="1"/>
  <c r="BE341" i="11"/>
  <c r="BF341" i="11" s="1"/>
  <c r="BE375" i="11"/>
  <c r="BF375" i="11" s="1"/>
  <c r="BE391" i="11"/>
  <c r="BF391" i="11" s="1"/>
  <c r="BE417" i="11"/>
  <c r="BF417" i="11" s="1"/>
  <c r="BE441" i="11"/>
  <c r="BF441" i="11" s="1"/>
  <c r="BE462" i="11"/>
  <c r="BF462" i="11" s="1"/>
  <c r="BE466" i="11"/>
  <c r="BF466" i="11" s="1"/>
  <c r="BE483" i="11"/>
  <c r="BF483" i="11" s="1"/>
  <c r="BE794" i="11"/>
  <c r="BF794" i="11" s="1"/>
  <c r="BE799" i="11"/>
  <c r="BF799" i="11" s="1"/>
  <c r="BE811" i="11"/>
  <c r="BF811" i="11" s="1"/>
  <c r="S823" i="11"/>
  <c r="Q823" i="11"/>
  <c r="V823" i="11" s="1"/>
  <c r="BE827" i="11"/>
  <c r="BF827" i="11" s="1"/>
  <c r="BE833" i="11"/>
  <c r="BF833" i="11" s="1"/>
  <c r="BE843" i="11"/>
  <c r="BF843" i="11" s="1"/>
  <c r="BE845" i="11"/>
  <c r="BF845" i="11" s="1"/>
  <c r="BE861" i="11"/>
  <c r="BF861" i="11" s="1"/>
  <c r="BE1035" i="11"/>
  <c r="BF1035" i="11" s="1"/>
  <c r="BE1043" i="11"/>
  <c r="BF1043" i="11" s="1"/>
  <c r="BE1051" i="11"/>
  <c r="BF1051" i="11" s="1"/>
  <c r="BE494" i="11"/>
  <c r="BF494" i="11" s="1"/>
  <c r="BD523" i="11"/>
  <c r="BG523" i="11" s="1"/>
  <c r="BE1074" i="11"/>
  <c r="BF1074" i="11" s="1"/>
  <c r="BE312" i="11"/>
  <c r="BF312" i="11" s="1"/>
  <c r="BE493" i="11"/>
  <c r="BF493" i="11" s="1"/>
  <c r="BE248" i="11"/>
  <c r="BF248" i="11" s="1"/>
  <c r="BE266" i="11"/>
  <c r="BF266" i="11" s="1"/>
  <c r="BE281" i="11"/>
  <c r="BF281" i="11" s="1"/>
  <c r="BE296" i="11"/>
  <c r="BF296" i="11" s="1"/>
  <c r="BE311" i="11"/>
  <c r="BF311" i="11" s="1"/>
  <c r="BE324" i="11"/>
  <c r="BF324" i="11" s="1"/>
  <c r="BE340" i="11"/>
  <c r="BF340" i="11" s="1"/>
  <c r="BE370" i="11"/>
  <c r="BF370" i="11" s="1"/>
  <c r="BE386" i="11"/>
  <c r="BF386" i="11" s="1"/>
  <c r="BE425" i="11"/>
  <c r="BF425" i="11" s="1"/>
  <c r="BE433" i="11"/>
  <c r="BF433" i="11" s="1"/>
  <c r="BE457" i="11"/>
  <c r="BF457" i="11" s="1"/>
  <c r="BE789" i="11"/>
  <c r="BF789" i="11" s="1"/>
  <c r="BE795" i="11"/>
  <c r="BF795" i="11" s="1"/>
  <c r="BE806" i="11"/>
  <c r="BF806" i="11" s="1"/>
  <c r="S822" i="11"/>
  <c r="Q822" i="11"/>
  <c r="V822" i="11" s="1"/>
  <c r="BE826" i="11"/>
  <c r="BF826" i="11" s="1"/>
  <c r="BE834" i="11"/>
  <c r="BF834" i="11" s="1"/>
  <c r="BE856" i="11"/>
  <c r="BF856" i="11" s="1"/>
  <c r="BD883" i="11"/>
  <c r="BG883" i="11" s="1"/>
  <c r="BE512" i="11"/>
  <c r="BF512" i="11" s="1"/>
  <c r="BE554" i="11"/>
  <c r="BF554" i="11" s="1"/>
  <c r="BE576" i="11"/>
  <c r="BF576" i="11" s="1"/>
  <c r="BE580" i="11"/>
  <c r="BF580" i="11" s="1"/>
  <c r="BE767" i="11"/>
  <c r="BF767" i="11" s="1"/>
  <c r="BE860" i="11"/>
  <c r="BF860" i="11" s="1"/>
  <c r="BE239" i="11"/>
  <c r="BF239" i="11" s="1"/>
  <c r="BE249" i="11"/>
  <c r="BF249" i="11" s="1"/>
  <c r="BE265" i="11"/>
  <c r="BF265" i="11" s="1"/>
  <c r="BE280" i="11"/>
  <c r="BF280" i="11" s="1"/>
  <c r="BE295" i="11"/>
  <c r="BF295" i="11" s="1"/>
  <c r="BE310" i="11"/>
  <c r="BF310" i="11" s="1"/>
  <c r="BE323" i="11"/>
  <c r="BF323" i="11" s="1"/>
  <c r="BE339" i="11"/>
  <c r="BF339" i="11" s="1"/>
  <c r="BE365" i="11"/>
  <c r="BF365" i="11" s="1"/>
  <c r="BE381" i="11"/>
  <c r="BF381" i="11" s="1"/>
  <c r="BD401" i="11"/>
  <c r="BG401" i="11" s="1"/>
  <c r="BE418" i="11"/>
  <c r="BF418" i="11" s="1"/>
  <c r="BE442" i="11"/>
  <c r="BF442" i="11" s="1"/>
  <c r="BE456" i="11"/>
  <c r="BF456" i="11" s="1"/>
  <c r="BE489" i="11"/>
  <c r="BF489" i="11" s="1"/>
  <c r="BE796" i="11"/>
  <c r="BF796" i="11" s="1"/>
  <c r="S821" i="11"/>
  <c r="Q821" i="11"/>
  <c r="V821" i="11" s="1"/>
  <c r="BE825" i="11"/>
  <c r="BF825" i="11" s="1"/>
  <c r="BE835" i="11"/>
  <c r="BF835" i="11" s="1"/>
  <c r="BE851" i="11"/>
  <c r="BF851" i="11" s="1"/>
  <c r="BD864" i="11"/>
  <c r="BE864" i="11" s="1"/>
  <c r="BF864" i="11" s="1"/>
  <c r="BE1036" i="11"/>
  <c r="BF1036" i="11" s="1"/>
  <c r="BE1044" i="11"/>
  <c r="BF1044" i="11" s="1"/>
  <c r="BE1052" i="11"/>
  <c r="BF1052" i="11" s="1"/>
  <c r="BE513" i="11"/>
  <c r="BF513" i="11" s="1"/>
  <c r="BD522" i="11"/>
  <c r="BE522" i="11" s="1"/>
  <c r="BF522" i="11" s="1"/>
  <c r="BD558" i="11"/>
  <c r="BG558" i="11" s="1"/>
  <c r="BE390" i="11"/>
  <c r="BF390" i="11" s="1"/>
  <c r="BE423" i="11"/>
  <c r="BF423" i="11" s="1"/>
  <c r="BE866" i="11"/>
  <c r="BF866" i="11" s="1"/>
  <c r="BE196" i="11"/>
  <c r="BF196" i="11" s="1"/>
  <c r="BE218" i="11"/>
  <c r="BF218" i="11" s="1"/>
  <c r="BE222" i="11"/>
  <c r="BF222" i="11" s="1"/>
  <c r="BE237" i="11"/>
  <c r="BF237" i="11" s="1"/>
  <c r="BE250" i="11"/>
  <c r="BF250" i="11" s="1"/>
  <c r="BE264" i="11"/>
  <c r="BF264" i="11" s="1"/>
  <c r="BE279" i="11"/>
  <c r="BF279" i="11" s="1"/>
  <c r="BE294" i="11"/>
  <c r="BF294" i="11" s="1"/>
  <c r="BE309" i="11"/>
  <c r="BF309" i="11" s="1"/>
  <c r="BE322" i="11"/>
  <c r="BF322" i="11" s="1"/>
  <c r="BE338" i="11"/>
  <c r="BF338" i="11" s="1"/>
  <c r="BE376" i="11"/>
  <c r="BF376" i="11" s="1"/>
  <c r="BE392" i="11"/>
  <c r="BF392" i="11" s="1"/>
  <c r="BE411" i="11"/>
  <c r="BF411" i="11" s="1"/>
  <c r="BE426" i="11"/>
  <c r="BF426" i="11" s="1"/>
  <c r="BE434" i="11"/>
  <c r="BF434" i="11" s="1"/>
  <c r="BD455" i="11"/>
  <c r="BG455" i="11" s="1"/>
  <c r="BE484" i="11"/>
  <c r="BF484" i="11" s="1"/>
  <c r="BE797" i="11"/>
  <c r="BF797" i="11" s="1"/>
  <c r="BE812" i="11"/>
  <c r="BF812" i="11" s="1"/>
  <c r="S820" i="11"/>
  <c r="Q820" i="11"/>
  <c r="V820" i="11" s="1"/>
  <c r="BE824" i="11"/>
  <c r="BF824" i="11" s="1"/>
  <c r="BE836" i="11"/>
  <c r="BF836" i="11" s="1"/>
  <c r="BE846" i="11"/>
  <c r="BF846" i="11" s="1"/>
  <c r="BE862" i="11"/>
  <c r="BF862" i="11" s="1"/>
  <c r="BD882" i="11"/>
  <c r="BG882" i="11" s="1"/>
  <c r="BE514" i="11"/>
  <c r="BF514" i="11" s="1"/>
  <c r="BE555" i="11"/>
  <c r="BF555" i="11" s="1"/>
  <c r="BE556" i="11"/>
  <c r="BF556" i="11" s="1"/>
  <c r="BE374" i="11"/>
  <c r="BF374" i="11" s="1"/>
  <c r="BE413" i="11"/>
  <c r="BF413" i="11" s="1"/>
  <c r="BE191" i="11"/>
  <c r="BF191" i="11" s="1"/>
  <c r="BE203" i="11"/>
  <c r="BF203" i="11" s="1"/>
  <c r="BE251" i="11"/>
  <c r="BF251" i="11" s="1"/>
  <c r="BE263" i="11"/>
  <c r="BF263" i="11" s="1"/>
  <c r="BE278" i="11"/>
  <c r="BF278" i="11" s="1"/>
  <c r="BE293" i="11"/>
  <c r="BF293" i="11" s="1"/>
  <c r="BE308" i="11"/>
  <c r="BF308" i="11" s="1"/>
  <c r="BE321" i="11"/>
  <c r="BF321" i="11" s="1"/>
  <c r="BE337" i="11"/>
  <c r="BF337" i="11" s="1"/>
  <c r="BE353" i="11"/>
  <c r="BF353" i="11" s="1"/>
  <c r="BE371" i="11"/>
  <c r="BF371" i="11" s="1"/>
  <c r="BE387" i="11"/>
  <c r="BF387" i="11" s="1"/>
  <c r="BD400" i="11"/>
  <c r="BG400" i="11" s="1"/>
  <c r="BE419" i="11"/>
  <c r="BF419" i="11" s="1"/>
  <c r="BE443" i="11"/>
  <c r="BF443" i="11" s="1"/>
  <c r="BE458" i="11"/>
  <c r="BF458" i="11" s="1"/>
  <c r="BE790" i="11"/>
  <c r="BF790" i="11" s="1"/>
  <c r="BE798" i="11"/>
  <c r="BF798" i="11" s="1"/>
  <c r="BE802" i="11"/>
  <c r="BF802" i="11" s="1"/>
  <c r="Q819" i="11"/>
  <c r="V819" i="11" s="1"/>
  <c r="S819" i="11"/>
  <c r="BE823" i="11"/>
  <c r="BF823" i="11" s="1"/>
  <c r="BE857" i="11"/>
  <c r="BF857" i="11" s="1"/>
  <c r="BE1037" i="11"/>
  <c r="BF1037" i="11" s="1"/>
  <c r="BE1045" i="11"/>
  <c r="BF1045" i="11" s="1"/>
  <c r="BE1053" i="11"/>
  <c r="BF1053" i="11" s="1"/>
  <c r="BE490" i="11"/>
  <c r="BF490" i="11" s="1"/>
  <c r="BE515" i="11"/>
  <c r="BF515" i="11" s="1"/>
  <c r="BD521" i="11"/>
  <c r="BE521" i="11" s="1"/>
  <c r="BF521" i="11" s="1"/>
  <c r="BE575" i="11"/>
  <c r="BF575" i="11" s="1"/>
  <c r="BE194" i="11"/>
  <c r="BF194" i="11" s="1"/>
  <c r="BE262" i="11"/>
  <c r="BF262" i="11" s="1"/>
  <c r="BE277" i="11"/>
  <c r="BF277" i="11" s="1"/>
  <c r="BE292" i="11"/>
  <c r="BF292" i="11" s="1"/>
  <c r="BE307" i="11"/>
  <c r="BF307" i="11" s="1"/>
  <c r="BE320" i="11"/>
  <c r="BF320" i="11" s="1"/>
  <c r="BE336" i="11"/>
  <c r="BF336" i="11" s="1"/>
  <c r="BE352" i="11"/>
  <c r="BF352" i="11" s="1"/>
  <c r="BE366" i="11"/>
  <c r="BF366" i="11" s="1"/>
  <c r="BE382" i="11"/>
  <c r="BF382" i="11" s="1"/>
  <c r="BE427" i="11"/>
  <c r="BF427" i="11" s="1"/>
  <c r="BE435" i="11"/>
  <c r="BF435" i="11" s="1"/>
  <c r="S818" i="11"/>
  <c r="Q818" i="11"/>
  <c r="V818" i="11" s="1"/>
  <c r="BE822" i="11"/>
  <c r="BF822" i="11" s="1"/>
  <c r="BE852" i="11"/>
  <c r="BF852" i="11" s="1"/>
  <c r="BD881" i="11"/>
  <c r="BE881" i="11" s="1"/>
  <c r="BF881" i="11" s="1"/>
  <c r="BE890" i="11"/>
  <c r="BF890" i="11" s="1"/>
  <c r="BE516" i="11"/>
  <c r="BF516" i="11" s="1"/>
  <c r="BE520" i="11"/>
  <c r="BF520" i="11" s="1"/>
  <c r="BE572" i="11"/>
  <c r="BF572" i="11" s="1"/>
  <c r="BE573" i="11"/>
  <c r="BF573" i="11" s="1"/>
  <c r="BE577" i="11"/>
  <c r="BF577" i="11" s="1"/>
  <c r="BE766" i="11"/>
  <c r="BF766" i="11" s="1"/>
  <c r="BE223" i="11"/>
  <c r="BF223" i="11" s="1"/>
  <c r="BE238" i="11"/>
  <c r="BF238" i="11" s="1"/>
  <c r="BE261" i="11"/>
  <c r="BF261" i="11" s="1"/>
  <c r="BE276" i="11"/>
  <c r="BF276" i="11" s="1"/>
  <c r="BE291" i="11"/>
  <c r="BF291" i="11" s="1"/>
  <c r="BE306" i="11"/>
  <c r="BF306" i="11" s="1"/>
  <c r="BE319" i="11"/>
  <c r="BF319" i="11" s="1"/>
  <c r="BE335" i="11"/>
  <c r="BF335" i="11" s="1"/>
  <c r="BE351" i="11"/>
  <c r="BF351" i="11" s="1"/>
  <c r="BE377" i="11"/>
  <c r="BF377" i="11" s="1"/>
  <c r="BE393" i="11"/>
  <c r="BF393" i="11" s="1"/>
  <c r="BE420" i="11"/>
  <c r="BF420" i="11" s="1"/>
  <c r="BE444" i="11"/>
  <c r="BF444" i="11" s="1"/>
  <c r="BE485" i="11"/>
  <c r="BF485" i="11" s="1"/>
  <c r="BE813" i="11"/>
  <c r="BF813" i="11" s="1"/>
  <c r="S817" i="11"/>
  <c r="Q817" i="11"/>
  <c r="V817" i="11" s="1"/>
  <c r="BE821" i="11"/>
  <c r="BF821" i="11" s="1"/>
  <c r="BE847" i="11"/>
  <c r="BF847" i="11" s="1"/>
  <c r="BE863" i="11"/>
  <c r="BF863" i="11" s="1"/>
  <c r="BE1030" i="11"/>
  <c r="BF1030" i="11" s="1"/>
  <c r="BE1038" i="11"/>
  <c r="BF1038" i="11" s="1"/>
  <c r="BE1046" i="11"/>
  <c r="BF1046" i="11" s="1"/>
  <c r="BE1054" i="11"/>
  <c r="BF1054" i="11" s="1"/>
  <c r="BE1058" i="11"/>
  <c r="BF1058" i="11" s="1"/>
  <c r="BE519" i="11"/>
  <c r="BF519" i="11" s="1"/>
  <c r="BE579" i="11"/>
  <c r="BF579" i="11" s="1"/>
  <c r="AC114" i="11"/>
  <c r="BE192" i="11"/>
  <c r="BF192" i="11" s="1"/>
  <c r="BE221" i="11"/>
  <c r="BF221" i="11" s="1"/>
  <c r="BE260" i="11"/>
  <c r="BF260" i="11" s="1"/>
  <c r="BE290" i="11"/>
  <c r="BF290" i="11" s="1"/>
  <c r="BE305" i="11"/>
  <c r="BF305" i="11" s="1"/>
  <c r="BE318" i="11"/>
  <c r="BF318" i="11" s="1"/>
  <c r="BE334" i="11"/>
  <c r="BF334" i="11" s="1"/>
  <c r="BE350" i="11"/>
  <c r="BF350" i="11" s="1"/>
  <c r="BE372" i="11"/>
  <c r="BF372" i="11" s="1"/>
  <c r="BE388" i="11"/>
  <c r="BF388" i="11" s="1"/>
  <c r="BD399" i="11"/>
  <c r="BE399" i="11" s="1"/>
  <c r="BF399" i="11" s="1"/>
  <c r="BE409" i="11"/>
  <c r="BF409" i="11" s="1"/>
  <c r="BE428" i="11"/>
  <c r="BF428" i="11" s="1"/>
  <c r="BE436" i="11"/>
  <c r="BF436" i="11" s="1"/>
  <c r="BE459" i="11"/>
  <c r="BF459" i="11" s="1"/>
  <c r="BE791" i="11"/>
  <c r="BF791" i="11" s="1"/>
  <c r="BE808" i="11"/>
  <c r="BF808" i="11" s="1"/>
  <c r="S816" i="11"/>
  <c r="Q816" i="11"/>
  <c r="V816" i="11" s="1"/>
  <c r="BE820" i="11"/>
  <c r="BF820" i="11" s="1"/>
  <c r="BE858" i="11"/>
  <c r="BF858" i="11" s="1"/>
  <c r="BD880" i="11"/>
  <c r="BG880" i="11" s="1"/>
  <c r="BD888" i="11"/>
  <c r="BG888" i="11" s="1"/>
  <c r="BE491" i="11"/>
  <c r="BF491" i="11" s="1"/>
  <c r="BE518" i="11"/>
  <c r="BF518" i="11" s="1"/>
  <c r="BE259" i="11"/>
  <c r="BF259" i="11" s="1"/>
  <c r="BE289" i="11"/>
  <c r="BF289" i="11" s="1"/>
  <c r="BE317" i="11"/>
  <c r="BF317" i="11" s="1"/>
  <c r="BE333" i="11"/>
  <c r="BF333" i="11" s="1"/>
  <c r="BE349" i="11"/>
  <c r="BF349" i="11" s="1"/>
  <c r="BE383" i="11"/>
  <c r="BF383" i="11" s="1"/>
  <c r="BE408" i="11"/>
  <c r="BF408" i="11" s="1"/>
  <c r="BE445" i="11"/>
  <c r="BF445" i="11" s="1"/>
  <c r="BD480" i="11"/>
  <c r="BE480" i="11" s="1"/>
  <c r="BF480" i="11" s="1"/>
  <c r="BE803" i="11"/>
  <c r="BF803" i="11" s="1"/>
  <c r="BE819" i="11"/>
  <c r="BF819" i="11" s="1"/>
  <c r="BE853" i="11"/>
  <c r="BF853" i="11" s="1"/>
  <c r="BE1031" i="11"/>
  <c r="BF1031" i="11" s="1"/>
  <c r="BE1039" i="11"/>
  <c r="BF1039" i="11" s="1"/>
  <c r="BE1055" i="11"/>
  <c r="BF1055" i="11" s="1"/>
  <c r="BE517" i="11"/>
  <c r="BF517" i="11" s="1"/>
  <c r="BE1070" i="11"/>
  <c r="BF1070" i="11" s="1"/>
  <c r="BE224" i="11"/>
  <c r="BF224" i="11" s="1"/>
  <c r="BE226" i="11"/>
  <c r="BF226" i="11" s="1"/>
  <c r="BE258" i="11"/>
  <c r="BF258" i="11" s="1"/>
  <c r="BE273" i="11"/>
  <c r="BF273" i="11" s="1"/>
  <c r="BE288" i="11"/>
  <c r="BF288" i="11" s="1"/>
  <c r="BE304" i="11"/>
  <c r="BF304" i="11" s="1"/>
  <c r="BE316" i="11"/>
  <c r="BF316" i="11" s="1"/>
  <c r="BE332" i="11"/>
  <c r="BF332" i="11" s="1"/>
  <c r="BE348" i="11"/>
  <c r="BF348" i="11" s="1"/>
  <c r="BE378" i="11"/>
  <c r="BF378" i="11" s="1"/>
  <c r="BE394" i="11"/>
  <c r="BF394" i="11" s="1"/>
  <c r="BE421" i="11"/>
  <c r="BF421" i="11" s="1"/>
  <c r="BE429" i="11"/>
  <c r="BF429" i="11" s="1"/>
  <c r="BE486" i="11"/>
  <c r="BF486" i="11" s="1"/>
  <c r="BE787" i="11"/>
  <c r="BF787" i="11" s="1"/>
  <c r="BE814" i="11"/>
  <c r="BF814" i="11" s="1"/>
  <c r="BE818" i="11"/>
  <c r="BF818" i="11" s="1"/>
  <c r="S830" i="11"/>
  <c r="Q830" i="11"/>
  <c r="V830" i="11" s="1"/>
  <c r="BE848" i="11"/>
  <c r="BF848" i="11" s="1"/>
  <c r="BD879" i="11"/>
  <c r="BE879" i="11" s="1"/>
  <c r="BF879" i="11" s="1"/>
  <c r="BE540" i="11"/>
  <c r="BF540" i="11" s="1"/>
  <c r="BE574" i="11"/>
  <c r="BF574" i="11" s="1"/>
  <c r="BE578" i="11"/>
  <c r="BF578" i="11" s="1"/>
  <c r="BE285" i="11"/>
  <c r="BF285" i="11" s="1"/>
  <c r="BE328" i="11"/>
  <c r="BF328" i="11" s="1"/>
  <c r="BE32" i="11"/>
  <c r="BF32" i="11" s="1"/>
  <c r="BE197" i="11"/>
  <c r="BF197" i="11" s="1"/>
  <c r="BD198" i="11"/>
  <c r="BG198" i="11" s="1"/>
  <c r="BE241" i="11"/>
  <c r="BF241" i="11" s="1"/>
  <c r="BE257" i="11"/>
  <c r="BF257" i="11" s="1"/>
  <c r="BE272" i="11"/>
  <c r="BF272" i="11" s="1"/>
  <c r="BE315" i="11"/>
  <c r="BF315" i="11" s="1"/>
  <c r="BE331" i="11"/>
  <c r="BF331" i="11" s="1"/>
  <c r="BE347" i="11"/>
  <c r="BF347" i="11" s="1"/>
  <c r="BE373" i="11"/>
  <c r="BF373" i="11" s="1"/>
  <c r="BE389" i="11"/>
  <c r="BF389" i="11" s="1"/>
  <c r="BD398" i="11"/>
  <c r="BG398" i="11" s="1"/>
  <c r="BE438" i="11"/>
  <c r="BF438" i="11" s="1"/>
  <c r="BE460" i="11"/>
  <c r="BF460" i="11" s="1"/>
  <c r="BE481" i="11"/>
  <c r="BF481" i="11" s="1"/>
  <c r="BE792" i="11"/>
  <c r="BF792" i="11" s="1"/>
  <c r="BE809" i="11"/>
  <c r="BF809" i="11" s="1"/>
  <c r="BE817" i="11"/>
  <c r="BF817" i="11" s="1"/>
  <c r="S829" i="11"/>
  <c r="Q829" i="11"/>
  <c r="V829" i="11" s="1"/>
  <c r="BE859" i="11"/>
  <c r="BF859" i="11" s="1"/>
  <c r="BE1032" i="11"/>
  <c r="BF1032" i="11" s="1"/>
  <c r="BE1040" i="11"/>
  <c r="BF1040" i="11" s="1"/>
  <c r="BE1048" i="11"/>
  <c r="BF1048" i="11" s="1"/>
  <c r="BE1059" i="11"/>
  <c r="BF1059" i="11" s="1"/>
  <c r="BE492" i="11"/>
  <c r="BF492" i="11" s="1"/>
  <c r="BE1071" i="11"/>
  <c r="BF1071" i="11" s="1"/>
  <c r="BD397" i="11"/>
  <c r="BE397" i="11" s="1"/>
  <c r="BF397" i="11" s="1"/>
  <c r="BE204" i="11"/>
  <c r="BF204" i="11" s="1"/>
  <c r="BE242" i="11"/>
  <c r="BF242" i="11" s="1"/>
  <c r="BE256" i="11"/>
  <c r="BF256" i="11" s="1"/>
  <c r="BE286" i="11"/>
  <c r="BF286" i="11" s="1"/>
  <c r="BE302" i="11"/>
  <c r="BF302" i="11" s="1"/>
  <c r="BE314" i="11"/>
  <c r="BF314" i="11" s="1"/>
  <c r="BE330" i="11"/>
  <c r="BF330" i="11" s="1"/>
  <c r="BE346" i="11"/>
  <c r="BF346" i="11" s="1"/>
  <c r="BE368" i="11"/>
  <c r="BF368" i="11" s="1"/>
  <c r="BE384" i="11"/>
  <c r="BF384" i="11" s="1"/>
  <c r="BE422" i="11"/>
  <c r="BF422" i="11" s="1"/>
  <c r="BE430" i="11"/>
  <c r="BF430" i="11" s="1"/>
  <c r="BE804" i="11"/>
  <c r="BF804" i="11" s="1"/>
  <c r="BE816" i="11"/>
  <c r="BF816" i="11" s="1"/>
  <c r="Q828" i="11"/>
  <c r="V828" i="11" s="1"/>
  <c r="S828" i="11"/>
  <c r="BE838" i="11"/>
  <c r="BF838" i="11" s="1"/>
  <c r="BE854" i="11"/>
  <c r="BF854" i="11" s="1"/>
  <c r="BE867" i="11"/>
  <c r="BF867" i="11" s="1"/>
  <c r="BE551" i="11"/>
  <c r="BF551" i="11" s="1"/>
  <c r="BE344" i="11"/>
  <c r="BF344" i="11" s="1"/>
  <c r="BE195" i="11"/>
  <c r="BF195" i="11" s="1"/>
  <c r="BE227" i="11"/>
  <c r="BF227" i="11" s="1"/>
  <c r="BE243" i="11"/>
  <c r="BF243" i="11" s="1"/>
  <c r="BE255" i="11"/>
  <c r="BF255" i="11" s="1"/>
  <c r="BE270" i="11"/>
  <c r="BF270" i="11" s="1"/>
  <c r="BE301" i="11"/>
  <c r="BF301" i="11" s="1"/>
  <c r="BE313" i="11"/>
  <c r="BF313" i="11" s="1"/>
  <c r="BE329" i="11"/>
  <c r="BF329" i="11" s="1"/>
  <c r="BE345" i="11"/>
  <c r="BF345" i="11" s="1"/>
  <c r="BE379" i="11"/>
  <c r="BF379" i="11" s="1"/>
  <c r="BE395" i="11"/>
  <c r="BF395" i="11" s="1"/>
  <c r="BE415" i="11"/>
  <c r="BF415" i="11" s="1"/>
  <c r="BE439" i="11"/>
  <c r="BF439" i="11" s="1"/>
  <c r="BE487" i="11"/>
  <c r="BF487" i="11" s="1"/>
  <c r="BE800" i="11"/>
  <c r="BF800" i="11" s="1"/>
  <c r="BE815" i="11"/>
  <c r="BF815" i="11" s="1"/>
  <c r="Q827" i="11"/>
  <c r="V827" i="11" s="1"/>
  <c r="S827" i="11"/>
  <c r="BE849" i="11"/>
  <c r="BF849" i="11" s="1"/>
  <c r="BE1033" i="11"/>
  <c r="BF1033" i="11" s="1"/>
  <c r="BE1041" i="11"/>
  <c r="BF1041" i="11" s="1"/>
  <c r="BE1049" i="11"/>
  <c r="BF1049" i="11" s="1"/>
  <c r="BD525" i="11"/>
  <c r="BG525" i="11" s="1"/>
  <c r="BE1072" i="11"/>
  <c r="BF1072" i="11" s="1"/>
  <c r="AC594" i="11"/>
  <c r="AC767" i="11"/>
  <c r="AC475" i="11"/>
  <c r="AC486" i="11"/>
  <c r="AC814" i="11"/>
  <c r="AC822" i="11"/>
  <c r="AC848" i="11"/>
  <c r="AC864" i="11"/>
  <c r="AC889" i="11"/>
  <c r="AC899" i="11"/>
  <c r="AC907" i="11"/>
  <c r="AC910" i="11"/>
  <c r="AC950" i="11"/>
  <c r="AC968" i="11"/>
  <c r="AC985" i="11"/>
  <c r="AC1001" i="11"/>
  <c r="AC1017" i="11"/>
  <c r="AC1027" i="11"/>
  <c r="AC1059" i="11"/>
  <c r="AC1064" i="11"/>
  <c r="AC520" i="11"/>
  <c r="BC1070" i="11"/>
  <c r="AC1085" i="11"/>
  <c r="AC593" i="11"/>
  <c r="AC193" i="11"/>
  <c r="AC214" i="11"/>
  <c r="AC773" i="11"/>
  <c r="AC460" i="11"/>
  <c r="AC481" i="11"/>
  <c r="AC792" i="11"/>
  <c r="AC809" i="11"/>
  <c r="AC821" i="11"/>
  <c r="AC859" i="11"/>
  <c r="AC911" i="11"/>
  <c r="AC927" i="11"/>
  <c r="AC930" i="11"/>
  <c r="AC951" i="11"/>
  <c r="AC986" i="11"/>
  <c r="AC1002" i="11"/>
  <c r="AC1018" i="11"/>
  <c r="AC1026" i="11"/>
  <c r="AC1056" i="11"/>
  <c r="AC1063" i="11"/>
  <c r="AC492" i="11"/>
  <c r="AC519" i="11"/>
  <c r="AC531" i="11"/>
  <c r="AC539" i="11"/>
  <c r="AC571" i="11"/>
  <c r="AC1084" i="11"/>
  <c r="AC592" i="11"/>
  <c r="AC474" i="11"/>
  <c r="AC802" i="11"/>
  <c r="AC804" i="11"/>
  <c r="AC820" i="11"/>
  <c r="AC854" i="11"/>
  <c r="BC880" i="11"/>
  <c r="AC898" i="11"/>
  <c r="AC906" i="11"/>
  <c r="AC912" i="11"/>
  <c r="AC928" i="11"/>
  <c r="AC931" i="11"/>
  <c r="AC952" i="11"/>
  <c r="AC970" i="11"/>
  <c r="AC987" i="11"/>
  <c r="AC1003" i="11"/>
  <c r="AC1019" i="11"/>
  <c r="AC1025" i="11"/>
  <c r="AC1062" i="11"/>
  <c r="AC518" i="11"/>
  <c r="AC570" i="11"/>
  <c r="BC1071" i="11"/>
  <c r="AC1083" i="11"/>
  <c r="AC591" i="11"/>
  <c r="AC201" i="11"/>
  <c r="AC215" i="11"/>
  <c r="AC774" i="11"/>
  <c r="AC487" i="11"/>
  <c r="AC788" i="11"/>
  <c r="AC815" i="11"/>
  <c r="AC819" i="11"/>
  <c r="AC849" i="11"/>
  <c r="AC888" i="11"/>
  <c r="AC913" i="11"/>
  <c r="AC929" i="11"/>
  <c r="AC932" i="11"/>
  <c r="AC953" i="11"/>
  <c r="AC971" i="11"/>
  <c r="AC988" i="11"/>
  <c r="AC1004" i="11"/>
  <c r="AC1020" i="11"/>
  <c r="AC1024" i="11"/>
  <c r="AC1033" i="11"/>
  <c r="AC1041" i="11"/>
  <c r="AC1049" i="11"/>
  <c r="AC1061" i="11"/>
  <c r="AC530" i="11"/>
  <c r="AC538" i="11"/>
  <c r="BB551" i="11"/>
  <c r="AC569" i="11"/>
  <c r="AC1082" i="11"/>
  <c r="AC575" i="11"/>
  <c r="AC579" i="11"/>
  <c r="AC590" i="11"/>
  <c r="AC198" i="11"/>
  <c r="AC202" i="11"/>
  <c r="AC473" i="11"/>
  <c r="AC482" i="11"/>
  <c r="AC793" i="11"/>
  <c r="AC810" i="11"/>
  <c r="AC818" i="11"/>
  <c r="AC860" i="11"/>
  <c r="BB879" i="11"/>
  <c r="AC905" i="11"/>
  <c r="AC914" i="11"/>
  <c r="AC933" i="11"/>
  <c r="AC954" i="11"/>
  <c r="AC972" i="11"/>
  <c r="AC989" i="11"/>
  <c r="AC1005" i="11"/>
  <c r="AC1021" i="11"/>
  <c r="AC1023" i="11"/>
  <c r="AC1060" i="11"/>
  <c r="AC493" i="11"/>
  <c r="AC568" i="11"/>
  <c r="BC1072" i="11"/>
  <c r="AC1081" i="11"/>
  <c r="AC589" i="11"/>
  <c r="AC789" i="11"/>
  <c r="AC853" i="11"/>
  <c r="AC984" i="11"/>
  <c r="AC1028" i="11"/>
  <c r="AC1039" i="11"/>
  <c r="AC1065" i="11"/>
  <c r="AC208" i="11"/>
  <c r="AC216" i="11"/>
  <c r="AC775" i="11"/>
  <c r="AC805" i="11"/>
  <c r="AC817" i="11"/>
  <c r="BL839" i="11"/>
  <c r="BN839" i="11" s="1"/>
  <c r="AC855" i="11"/>
  <c r="AC915" i="11"/>
  <c r="AC934" i="11"/>
  <c r="AC973" i="11"/>
  <c r="AC990" i="11"/>
  <c r="AC1006" i="11"/>
  <c r="AC1022" i="11"/>
  <c r="AC1034" i="11"/>
  <c r="AC1042" i="11"/>
  <c r="AC1050" i="11"/>
  <c r="AC526" i="11"/>
  <c r="AC537" i="11"/>
  <c r="BB552" i="11"/>
  <c r="AC567" i="11"/>
  <c r="AC1080" i="11"/>
  <c r="AC588" i="11"/>
  <c r="AC925" i="11"/>
  <c r="AC1000" i="11"/>
  <c r="AC540" i="11"/>
  <c r="AC196" i="11"/>
  <c r="AC472" i="11"/>
  <c r="AC480" i="11"/>
  <c r="AC488" i="11"/>
  <c r="AC801" i="11"/>
  <c r="AC816" i="11"/>
  <c r="AC850" i="11"/>
  <c r="AC867" i="11"/>
  <c r="AC887" i="11"/>
  <c r="AC904" i="11"/>
  <c r="AC916" i="11"/>
  <c r="AC936" i="11"/>
  <c r="AC956" i="11"/>
  <c r="AC974" i="11"/>
  <c r="AC991" i="11"/>
  <c r="AC1007" i="11"/>
  <c r="AC566" i="11"/>
  <c r="BC1073" i="11"/>
  <c r="AC1079" i="11"/>
  <c r="AC1016" i="11"/>
  <c r="AC532" i="11"/>
  <c r="AC203" i="11"/>
  <c r="AC209" i="11"/>
  <c r="AC217" i="11"/>
  <c r="AC768" i="11"/>
  <c r="AC776" i="11"/>
  <c r="AC462" i="11"/>
  <c r="BC464" i="11"/>
  <c r="AC469" i="11"/>
  <c r="AC483" i="11"/>
  <c r="AC787" i="11"/>
  <c r="AC794" i="11"/>
  <c r="AC811" i="11"/>
  <c r="AC831" i="11"/>
  <c r="BL840" i="11"/>
  <c r="BN840" i="11" s="1"/>
  <c r="AC845" i="11"/>
  <c r="AC861" i="11"/>
  <c r="AC917" i="11"/>
  <c r="AC937" i="11"/>
  <c r="AC975" i="11"/>
  <c r="AC992" i="11"/>
  <c r="AC1008" i="11"/>
  <c r="AC1035" i="11"/>
  <c r="AC1043" i="11"/>
  <c r="AC1051" i="11"/>
  <c r="AC536" i="11"/>
  <c r="BB553" i="11"/>
  <c r="AC565" i="11"/>
  <c r="AC1078" i="11"/>
  <c r="AC576" i="11"/>
  <c r="AC580" i="11"/>
  <c r="AC949" i="11"/>
  <c r="AC194" i="11"/>
  <c r="BB465" i="11"/>
  <c r="AC471" i="11"/>
  <c r="AC479" i="11"/>
  <c r="AC806" i="11"/>
  <c r="AC830" i="11"/>
  <c r="AC832" i="11"/>
  <c r="AC856" i="11"/>
  <c r="AC866" i="11"/>
  <c r="AC903" i="11"/>
  <c r="AC918" i="11"/>
  <c r="AC938" i="11"/>
  <c r="AC958" i="11"/>
  <c r="AC993" i="11"/>
  <c r="AC1009" i="11"/>
  <c r="AC564" i="11"/>
  <c r="BC1074" i="11"/>
  <c r="AC1077" i="11"/>
  <c r="AC210" i="11"/>
  <c r="AC766" i="11"/>
  <c r="AC769" i="11"/>
  <c r="AC777" i="11"/>
  <c r="BC466" i="11"/>
  <c r="AC468" i="11"/>
  <c r="AC489" i="11"/>
  <c r="AC829" i="11"/>
  <c r="AC833" i="11"/>
  <c r="AC838" i="11"/>
  <c r="AC841" i="11"/>
  <c r="AC851" i="11"/>
  <c r="AC886" i="11"/>
  <c r="AC919" i="11"/>
  <c r="AC939" i="11"/>
  <c r="AC959" i="11"/>
  <c r="AC977" i="11"/>
  <c r="AC994" i="11"/>
  <c r="AC1010" i="11"/>
  <c r="AC1036" i="11"/>
  <c r="AC1044" i="11"/>
  <c r="AC1052" i="11"/>
  <c r="AC535" i="11"/>
  <c r="BB554" i="11"/>
  <c r="AC563" i="11"/>
  <c r="AC1076" i="11"/>
  <c r="AC581" i="11"/>
  <c r="AC823" i="11"/>
  <c r="AC463" i="11"/>
  <c r="AC467" i="11"/>
  <c r="AC470" i="11"/>
  <c r="AC478" i="11"/>
  <c r="AC484" i="11"/>
  <c r="BB795" i="11"/>
  <c r="AC800" i="11"/>
  <c r="AC812" i="11"/>
  <c r="AC828" i="11"/>
  <c r="AC844" i="11"/>
  <c r="AC846" i="11"/>
  <c r="AC862" i="11"/>
  <c r="AC865" i="11"/>
  <c r="AC884" i="11"/>
  <c r="AC902" i="11"/>
  <c r="AC920" i="11"/>
  <c r="AC940" i="11"/>
  <c r="AC960" i="11"/>
  <c r="AC962" i="11"/>
  <c r="AC978" i="11"/>
  <c r="AC995" i="11"/>
  <c r="AC1011" i="11"/>
  <c r="AC490" i="11"/>
  <c r="BB512" i="11"/>
  <c r="AC562" i="11"/>
  <c r="AC1075" i="11"/>
  <c r="AC578" i="11"/>
  <c r="AC770" i="11"/>
  <c r="AC778" i="11"/>
  <c r="AC458" i="11"/>
  <c r="AC786" i="11"/>
  <c r="AC790" i="11"/>
  <c r="BB796" i="11"/>
  <c r="AC807" i="11"/>
  <c r="AC827" i="11"/>
  <c r="AC835" i="11"/>
  <c r="AC843" i="11"/>
  <c r="AC857" i="11"/>
  <c r="AC921" i="11"/>
  <c r="AC941" i="11"/>
  <c r="AC961" i="11"/>
  <c r="AC963" i="11"/>
  <c r="AC979" i="11"/>
  <c r="AC996" i="11"/>
  <c r="AC1012" i="11"/>
  <c r="AC1037" i="11"/>
  <c r="AC1045" i="11"/>
  <c r="AC1053" i="11"/>
  <c r="AC1069" i="11"/>
  <c r="BB513" i="11"/>
  <c r="BB523" i="11"/>
  <c r="AC534" i="11"/>
  <c r="BB555" i="11"/>
  <c r="AC561" i="11"/>
  <c r="AC577" i="11"/>
  <c r="AC191" i="11"/>
  <c r="AC456" i="11"/>
  <c r="AC457" i="11"/>
  <c r="AC779" i="11"/>
  <c r="BB797" i="11"/>
  <c r="AC826" i="11"/>
  <c r="AC836" i="11"/>
  <c r="AC842" i="11"/>
  <c r="AC852" i="11"/>
  <c r="AC890" i="11"/>
  <c r="AC901" i="11"/>
  <c r="AC922" i="11"/>
  <c r="AC964" i="11"/>
  <c r="AC980" i="11"/>
  <c r="AC997" i="11"/>
  <c r="AC1013" i="11"/>
  <c r="AC1058" i="11"/>
  <c r="AC1068" i="11"/>
  <c r="BB514" i="11"/>
  <c r="AC597" i="11"/>
  <c r="AC803" i="11"/>
  <c r="AC967" i="11"/>
  <c r="AC1031" i="11"/>
  <c r="AC1055" i="11"/>
  <c r="AC197" i="11"/>
  <c r="AC212" i="11"/>
  <c r="AC771" i="11"/>
  <c r="AC218" i="11"/>
  <c r="AC485" i="11"/>
  <c r="AC780" i="11"/>
  <c r="AC781" i="11"/>
  <c r="AC782" i="11"/>
  <c r="AC783" i="11"/>
  <c r="AC784" i="11"/>
  <c r="BB798" i="11"/>
  <c r="AC813" i="11"/>
  <c r="AC825" i="11"/>
  <c r="AC837" i="11"/>
  <c r="AC847" i="11"/>
  <c r="AC863" i="11"/>
  <c r="AC923" i="11"/>
  <c r="AC944" i="11"/>
  <c r="AC946" i="11"/>
  <c r="AC965" i="11"/>
  <c r="AC981" i="11"/>
  <c r="AC998" i="11"/>
  <c r="AC1014" i="11"/>
  <c r="AC1030" i="11"/>
  <c r="AC1038" i="11"/>
  <c r="AC1046" i="11"/>
  <c r="AC1067" i="11"/>
  <c r="BB515" i="11"/>
  <c r="AC533" i="11"/>
  <c r="AC556" i="11"/>
  <c r="AC557" i="11"/>
  <c r="AC558" i="11"/>
  <c r="AC596" i="11"/>
  <c r="AC213" i="11"/>
  <c r="AC772" i="11"/>
  <c r="AC909" i="11"/>
  <c r="AC948" i="11"/>
  <c r="AC1047" i="11"/>
  <c r="AC521" i="11"/>
  <c r="AC572" i="11"/>
  <c r="AC573" i="11"/>
  <c r="AC574" i="11"/>
  <c r="AC192" i="11"/>
  <c r="AC204" i="11"/>
  <c r="AC459" i="11"/>
  <c r="AC476" i="11"/>
  <c r="AC791" i="11"/>
  <c r="AC799" i="11"/>
  <c r="AC808" i="11"/>
  <c r="AC824" i="11"/>
  <c r="AC858" i="11"/>
  <c r="BB882" i="11"/>
  <c r="AC900" i="11"/>
  <c r="AC908" i="11"/>
  <c r="AC924" i="11"/>
  <c r="AC945" i="11"/>
  <c r="AC947" i="11"/>
  <c r="AC966" i="11"/>
  <c r="AC983" i="11"/>
  <c r="AC999" i="11"/>
  <c r="AC1015" i="11"/>
  <c r="AC1029" i="11"/>
  <c r="AC1066" i="11"/>
  <c r="AC491" i="11"/>
  <c r="AC595" i="11"/>
  <c r="N8" i="11"/>
  <c r="BD4" i="11"/>
  <c r="BG4" i="11" s="1"/>
  <c r="BE20" i="11"/>
  <c r="BF20" i="11" s="1"/>
  <c r="BE21" i="11"/>
  <c r="BF21" i="11" s="1"/>
  <c r="BE141" i="11"/>
  <c r="BF141" i="11" s="1"/>
  <c r="BE702" i="11"/>
  <c r="BF702" i="11" s="1"/>
  <c r="BE714" i="11"/>
  <c r="BF714" i="11" s="1"/>
  <c r="BE22" i="11"/>
  <c r="BF22" i="11" s="1"/>
  <c r="BD7" i="11"/>
  <c r="BG7" i="11" s="1"/>
  <c r="BE131" i="11"/>
  <c r="BF131" i="11" s="1"/>
  <c r="BE23" i="11"/>
  <c r="BF23" i="11" s="1"/>
  <c r="BE710" i="11"/>
  <c r="BF710" i="11" s="1"/>
  <c r="BE145" i="11"/>
  <c r="BF145" i="11" s="1"/>
  <c r="BE698" i="11"/>
  <c r="BF698" i="11" s="1"/>
  <c r="BE718" i="11"/>
  <c r="BF718" i="11" s="1"/>
  <c r="BD5" i="11"/>
  <c r="BG5" i="11" s="1"/>
  <c r="BE24" i="11"/>
  <c r="BF24" i="11" s="1"/>
  <c r="BD3" i="11"/>
  <c r="BD142" i="11"/>
  <c r="BD6" i="11"/>
  <c r="BG6" i="11" s="1"/>
  <c r="BE706" i="11"/>
  <c r="BF706" i="11" s="1"/>
  <c r="BE722" i="11"/>
  <c r="BF722" i="11" s="1"/>
  <c r="BE750" i="11"/>
  <c r="BF750" i="11" s="1"/>
  <c r="BE9" i="11"/>
  <c r="BF9" i="11" s="1"/>
  <c r="BE10" i="11"/>
  <c r="BF10" i="11" s="1"/>
  <c r="BE11" i="11"/>
  <c r="BF11" i="11" s="1"/>
  <c r="BE12" i="11"/>
  <c r="BF12" i="11" s="1"/>
  <c r="BE13" i="11"/>
  <c r="BF13" i="11" s="1"/>
  <c r="BE14" i="11"/>
  <c r="BF14" i="11" s="1"/>
  <c r="BE15" i="11"/>
  <c r="BF15" i="11" s="1"/>
  <c r="BE16" i="11"/>
  <c r="BF16" i="11" s="1"/>
  <c r="BE17" i="11"/>
  <c r="BF17" i="11" s="1"/>
  <c r="BE18" i="11"/>
  <c r="BF18" i="11" s="1"/>
  <c r="BE19" i="11"/>
  <c r="BF19" i="11" s="1"/>
  <c r="BE664" i="11"/>
  <c r="BF664" i="11" s="1"/>
  <c r="BE745" i="11"/>
  <c r="BF745" i="11" s="1"/>
  <c r="BE761" i="11"/>
  <c r="BF761" i="11" s="1"/>
  <c r="BD126" i="11"/>
  <c r="BG126" i="11" s="1"/>
  <c r="BE629" i="11"/>
  <c r="BF629" i="11" s="1"/>
  <c r="BE643" i="11"/>
  <c r="BF643" i="11" s="1"/>
  <c r="BE655" i="11"/>
  <c r="BF655" i="11" s="1"/>
  <c r="BE659" i="11"/>
  <c r="BF659" i="11" s="1"/>
  <c r="BE139" i="11"/>
  <c r="BF139" i="11" s="1"/>
  <c r="BE165" i="11"/>
  <c r="BF165" i="11" s="1"/>
  <c r="BE171" i="11"/>
  <c r="BF171" i="11" s="1"/>
  <c r="BE175" i="11"/>
  <c r="BF175" i="11" s="1"/>
  <c r="BE693" i="11"/>
  <c r="BF693" i="11" s="1"/>
  <c r="BE735" i="11"/>
  <c r="BF735" i="11" s="1"/>
  <c r="BE740" i="11"/>
  <c r="BF740" i="11" s="1"/>
  <c r="BE756" i="11"/>
  <c r="BF756" i="11" s="1"/>
  <c r="BE132" i="11"/>
  <c r="BF132" i="11" s="1"/>
  <c r="BE751" i="11"/>
  <c r="BF751" i="11" s="1"/>
  <c r="BE121" i="11"/>
  <c r="BF121" i="11" s="1"/>
  <c r="BE127" i="11"/>
  <c r="BF127" i="11" s="1"/>
  <c r="BE627" i="11"/>
  <c r="BF627" i="11" s="1"/>
  <c r="BE653" i="11"/>
  <c r="BF653" i="11" s="1"/>
  <c r="BE665" i="11"/>
  <c r="BF665" i="11" s="1"/>
  <c r="BE699" i="11"/>
  <c r="BF699" i="11" s="1"/>
  <c r="BE703" i="11"/>
  <c r="BF703" i="11" s="1"/>
  <c r="BE707" i="11"/>
  <c r="BF707" i="11" s="1"/>
  <c r="BE711" i="11"/>
  <c r="BF711" i="11" s="1"/>
  <c r="BE715" i="11"/>
  <c r="BF715" i="11" s="1"/>
  <c r="BE719" i="11"/>
  <c r="BF719" i="11" s="1"/>
  <c r="BE723" i="11"/>
  <c r="BF723" i="11" s="1"/>
  <c r="BE116" i="11"/>
  <c r="BF116" i="11" s="1"/>
  <c r="BE668" i="11"/>
  <c r="BF668" i="11" s="1"/>
  <c r="BE741" i="11"/>
  <c r="BF741" i="11" s="1"/>
  <c r="BE757" i="11"/>
  <c r="BF757" i="11" s="1"/>
  <c r="BE112" i="11"/>
  <c r="BF112" i="11" s="1"/>
  <c r="BE119" i="11"/>
  <c r="BF119" i="11" s="1"/>
  <c r="BE133" i="11"/>
  <c r="BF133" i="11" s="1"/>
  <c r="BE625" i="11"/>
  <c r="BF625" i="11" s="1"/>
  <c r="BE639" i="11"/>
  <c r="BF639" i="11" s="1"/>
  <c r="BE645" i="11"/>
  <c r="BF645" i="11" s="1"/>
  <c r="BD646" i="11"/>
  <c r="BG646" i="11" s="1"/>
  <c r="BE651" i="11"/>
  <c r="BF651" i="11" s="1"/>
  <c r="BE143" i="11"/>
  <c r="BF143" i="11" s="1"/>
  <c r="BE167" i="11"/>
  <c r="BF167" i="11" s="1"/>
  <c r="BE172" i="11"/>
  <c r="BF172" i="11" s="1"/>
  <c r="BE176" i="11"/>
  <c r="BF176" i="11" s="1"/>
  <c r="BE694" i="11"/>
  <c r="BF694" i="11" s="1"/>
  <c r="BE736" i="11"/>
  <c r="BF736" i="11" s="1"/>
  <c r="BE752" i="11"/>
  <c r="BF752" i="11" s="1"/>
  <c r="BE128" i="11"/>
  <c r="BF128" i="11" s="1"/>
  <c r="BD647" i="11"/>
  <c r="BE647" i="11" s="1"/>
  <c r="BF647" i="11" s="1"/>
  <c r="BE666" i="11"/>
  <c r="BF666" i="11" s="1"/>
  <c r="BD178" i="11"/>
  <c r="BE178" i="11" s="1"/>
  <c r="BF178" i="11" s="1"/>
  <c r="BE747" i="11"/>
  <c r="BF747" i="11" s="1"/>
  <c r="BE117" i="11"/>
  <c r="BF117" i="11" s="1"/>
  <c r="BD648" i="11"/>
  <c r="BG648" i="11" s="1"/>
  <c r="BE661" i="11"/>
  <c r="BF661" i="11" s="1"/>
  <c r="BE669" i="11"/>
  <c r="BF669" i="11" s="1"/>
  <c r="BE700" i="11"/>
  <c r="BF700" i="11" s="1"/>
  <c r="BE704" i="11"/>
  <c r="BF704" i="11" s="1"/>
  <c r="BE708" i="11"/>
  <c r="BF708" i="11" s="1"/>
  <c r="BE712" i="11"/>
  <c r="BF712" i="11" s="1"/>
  <c r="BE716" i="11"/>
  <c r="BF716" i="11" s="1"/>
  <c r="BE720" i="11"/>
  <c r="BF720" i="11" s="1"/>
  <c r="BE742" i="11"/>
  <c r="BF742" i="11" s="1"/>
  <c r="BE758" i="11"/>
  <c r="BF758" i="11" s="1"/>
  <c r="BE113" i="11"/>
  <c r="BF113" i="11" s="1"/>
  <c r="BE134" i="11"/>
  <c r="BF134" i="11" s="1"/>
  <c r="BE630" i="11"/>
  <c r="BF630" i="11" s="1"/>
  <c r="BD649" i="11"/>
  <c r="BG649" i="11" s="1"/>
  <c r="BE656" i="11"/>
  <c r="BF656" i="11" s="1"/>
  <c r="BE140" i="11"/>
  <c r="BF140" i="11" s="1"/>
  <c r="BE737" i="11"/>
  <c r="BF737" i="11" s="1"/>
  <c r="BE753" i="11"/>
  <c r="BF753" i="11" s="1"/>
  <c r="BE168" i="11"/>
  <c r="BF168" i="11" s="1"/>
  <c r="BE173" i="11"/>
  <c r="BF173" i="11" s="1"/>
  <c r="BE177" i="11"/>
  <c r="BF177" i="11" s="1"/>
  <c r="BE179" i="11"/>
  <c r="BF179" i="11" s="1"/>
  <c r="BE695" i="11"/>
  <c r="BF695" i="11" s="1"/>
  <c r="BE748" i="11"/>
  <c r="BF748" i="11" s="1"/>
  <c r="BE122" i="11"/>
  <c r="BF122" i="11" s="1"/>
  <c r="BE628" i="11"/>
  <c r="BF628" i="11" s="1"/>
  <c r="BE642" i="11"/>
  <c r="BF642" i="11" s="1"/>
  <c r="BE654" i="11"/>
  <c r="BF654" i="11" s="1"/>
  <c r="BE662" i="11"/>
  <c r="BF662" i="11" s="1"/>
  <c r="BE138" i="11"/>
  <c r="BF138" i="11" s="1"/>
  <c r="BE743" i="11"/>
  <c r="BF743" i="11" s="1"/>
  <c r="BE759" i="11"/>
  <c r="BF759" i="11" s="1"/>
  <c r="BD765" i="11"/>
  <c r="BE765" i="11" s="1"/>
  <c r="BF765" i="11" s="1"/>
  <c r="BE135" i="11"/>
  <c r="BF135" i="11" s="1"/>
  <c r="BE631" i="11"/>
  <c r="BF631" i="11" s="1"/>
  <c r="BE657" i="11"/>
  <c r="BF657" i="11" s="1"/>
  <c r="BE670" i="11"/>
  <c r="BF670" i="11" s="1"/>
  <c r="BE701" i="11"/>
  <c r="BF701" i="11" s="1"/>
  <c r="BE705" i="11"/>
  <c r="BF705" i="11" s="1"/>
  <c r="BE709" i="11"/>
  <c r="BF709" i="11" s="1"/>
  <c r="BE713" i="11"/>
  <c r="BF713" i="11" s="1"/>
  <c r="BE717" i="11"/>
  <c r="BF717" i="11" s="1"/>
  <c r="BE721" i="11"/>
  <c r="BF721" i="11" s="1"/>
  <c r="BE738" i="11"/>
  <c r="BF738" i="11" s="1"/>
  <c r="BE754" i="11"/>
  <c r="BF754" i="11" s="1"/>
  <c r="BE120" i="11"/>
  <c r="BF120" i="11" s="1"/>
  <c r="BE130" i="11"/>
  <c r="BF130" i="11" s="1"/>
  <c r="BE626" i="11"/>
  <c r="BF626" i="11" s="1"/>
  <c r="BE640" i="11"/>
  <c r="BF640" i="11" s="1"/>
  <c r="BE652" i="11"/>
  <c r="BF652" i="11" s="1"/>
  <c r="BE144" i="11"/>
  <c r="BF144" i="11" s="1"/>
  <c r="BE749" i="11"/>
  <c r="BF749" i="11" s="1"/>
  <c r="BD764" i="11"/>
  <c r="BG764" i="11" s="1"/>
  <c r="BE114" i="11"/>
  <c r="BF114" i="11" s="1"/>
  <c r="BE663" i="11"/>
  <c r="BF663" i="11" s="1"/>
  <c r="BE667" i="11"/>
  <c r="BF667" i="11" s="1"/>
  <c r="BE169" i="11"/>
  <c r="BF169" i="11" s="1"/>
  <c r="BE170" i="11"/>
  <c r="BF170" i="11" s="1"/>
  <c r="BE174" i="11"/>
  <c r="BF174" i="11" s="1"/>
  <c r="BE180" i="11"/>
  <c r="BF180" i="11" s="1"/>
  <c r="BE181" i="11"/>
  <c r="BF181" i="11" s="1"/>
  <c r="BE182" i="11"/>
  <c r="BF182" i="11" s="1"/>
  <c r="BE183" i="11"/>
  <c r="BF183" i="11" s="1"/>
  <c r="BE184" i="11"/>
  <c r="BF184" i="11" s="1"/>
  <c r="BE185" i="11"/>
  <c r="BF185" i="11" s="1"/>
  <c r="BE186" i="11"/>
  <c r="BF186" i="11" s="1"/>
  <c r="BE187" i="11"/>
  <c r="BF187" i="11" s="1"/>
  <c r="BE189" i="11"/>
  <c r="BF189" i="11" s="1"/>
  <c r="BE190" i="11"/>
  <c r="BF190" i="11" s="1"/>
  <c r="BE681" i="11"/>
  <c r="BF681" i="11" s="1"/>
  <c r="BE734" i="11"/>
  <c r="BF734" i="11" s="1"/>
  <c r="BE744" i="11"/>
  <c r="BF744" i="11" s="1"/>
  <c r="BE760" i="11"/>
  <c r="BF760" i="11" s="1"/>
  <c r="BE118" i="11"/>
  <c r="BF118" i="11" s="1"/>
  <c r="BE136" i="11"/>
  <c r="BF136" i="11" s="1"/>
  <c r="BE632" i="11"/>
  <c r="BF632" i="11" s="1"/>
  <c r="BE650" i="11"/>
  <c r="BF650" i="11" s="1"/>
  <c r="BE658" i="11"/>
  <c r="BF658" i="11" s="1"/>
  <c r="BE739" i="11"/>
  <c r="BF739" i="11" s="1"/>
  <c r="BE755" i="11"/>
  <c r="BF755" i="11" s="1"/>
  <c r="BD763" i="11"/>
  <c r="BG763" i="11" s="1"/>
  <c r="AC117" i="11"/>
  <c r="AC647" i="11"/>
  <c r="AC661" i="11"/>
  <c r="AC137" i="11"/>
  <c r="AC678" i="11"/>
  <c r="AC737" i="11"/>
  <c r="AC753" i="11"/>
  <c r="AC720" i="11"/>
  <c r="AC129" i="11"/>
  <c r="AC667" i="11"/>
  <c r="AC676" i="11"/>
  <c r="AC743" i="11"/>
  <c r="AC759" i="11"/>
  <c r="AC122" i="11"/>
  <c r="AC716" i="11"/>
  <c r="AC724" i="11"/>
  <c r="AC118" i="11"/>
  <c r="AC650" i="11"/>
  <c r="AC662" i="11"/>
  <c r="AC670" i="11"/>
  <c r="AC675" i="11"/>
  <c r="AC701" i="11"/>
  <c r="AC705" i="11"/>
  <c r="AC709" i="11"/>
  <c r="AC713" i="11"/>
  <c r="AC717" i="11"/>
  <c r="AC721" i="11"/>
  <c r="AC738" i="11"/>
  <c r="AC754" i="11"/>
  <c r="AC134" i="11"/>
  <c r="AC646" i="11"/>
  <c r="AC748" i="11"/>
  <c r="AC125" i="11"/>
  <c r="AC135" i="11"/>
  <c r="AC631" i="11"/>
  <c r="AC657" i="11"/>
  <c r="AC141" i="11"/>
  <c r="AC749" i="11"/>
  <c r="AC654" i="11"/>
  <c r="AC157" i="11"/>
  <c r="AC120" i="11"/>
  <c r="AC626" i="11"/>
  <c r="AC130" i="11"/>
  <c r="AC160" i="11"/>
  <c r="AC673" i="11"/>
  <c r="AC169" i="11"/>
  <c r="AC174" i="11"/>
  <c r="AC178" i="11"/>
  <c r="AC180" i="11"/>
  <c r="AC696" i="11"/>
  <c r="AC734" i="11"/>
  <c r="AC744" i="11"/>
  <c r="AC760" i="11"/>
  <c r="AC168" i="11"/>
  <c r="AC123" i="11"/>
  <c r="AC629" i="11"/>
  <c r="AC643" i="11"/>
  <c r="AC655" i="11"/>
  <c r="AC663" i="11"/>
  <c r="AC139" i="11"/>
  <c r="AC672" i="11"/>
  <c r="AC733" i="11"/>
  <c r="AC755" i="11"/>
  <c r="AC642" i="11"/>
  <c r="AC708" i="11"/>
  <c r="AC113" i="11"/>
  <c r="AC652" i="11"/>
  <c r="AC144" i="11"/>
  <c r="AC136" i="11"/>
  <c r="AC632" i="11"/>
  <c r="AC658" i="11"/>
  <c r="AC161" i="11"/>
  <c r="AC671" i="11"/>
  <c r="AC698" i="11"/>
  <c r="AC702" i="11"/>
  <c r="AC706" i="11"/>
  <c r="AC710" i="11"/>
  <c r="AC714" i="11"/>
  <c r="AC718" i="11"/>
  <c r="AC722" i="11"/>
  <c r="AC732" i="11"/>
  <c r="AC750" i="11"/>
  <c r="AC765" i="11"/>
  <c r="AC669" i="11"/>
  <c r="AC679" i="11"/>
  <c r="AC742" i="11"/>
  <c r="AC173" i="11"/>
  <c r="AC121" i="11"/>
  <c r="AC131" i="11"/>
  <c r="AC627" i="11"/>
  <c r="AC653" i="11"/>
  <c r="AC145" i="11"/>
  <c r="AC731" i="11"/>
  <c r="AC745" i="11"/>
  <c r="AC761" i="11"/>
  <c r="AC666" i="11"/>
  <c r="AC758" i="11"/>
  <c r="AC664" i="11"/>
  <c r="AC668" i="11"/>
  <c r="AC162" i="11"/>
  <c r="AC171" i="11"/>
  <c r="AC175" i="11"/>
  <c r="AC181" i="11"/>
  <c r="AC183" i="11"/>
  <c r="AC184" i="11"/>
  <c r="AC185" i="11"/>
  <c r="AC186" i="11"/>
  <c r="AC187" i="11"/>
  <c r="AC188" i="11"/>
  <c r="AC189" i="11"/>
  <c r="AC190" i="11"/>
  <c r="AC681" i="11"/>
  <c r="AC682" i="11"/>
  <c r="AC693" i="11"/>
  <c r="AC697" i="11"/>
  <c r="AC730" i="11"/>
  <c r="AC735" i="11"/>
  <c r="AC740" i="11"/>
  <c r="AC756" i="11"/>
  <c r="AC764" i="11"/>
  <c r="AC700" i="11"/>
  <c r="AC119" i="11"/>
  <c r="AC625" i="11"/>
  <c r="AC651" i="11"/>
  <c r="AC659" i="11"/>
  <c r="AC143" i="11"/>
  <c r="AC729" i="11"/>
  <c r="AC751" i="11"/>
  <c r="AC712" i="11"/>
  <c r="AC640" i="11"/>
  <c r="AC126" i="11"/>
  <c r="AC132" i="11"/>
  <c r="AC155" i="11"/>
  <c r="AC163" i="11"/>
  <c r="AC699" i="11"/>
  <c r="AC703" i="11"/>
  <c r="AC707" i="11"/>
  <c r="AC711" i="11"/>
  <c r="AC715" i="11"/>
  <c r="AC719" i="11"/>
  <c r="AC723" i="11"/>
  <c r="AC728" i="11"/>
  <c r="AC746" i="11"/>
  <c r="AC628" i="11"/>
  <c r="AC179" i="11"/>
  <c r="AC127" i="11"/>
  <c r="AC727" i="11"/>
  <c r="AC741" i="11"/>
  <c r="AC757" i="11"/>
  <c r="AC128" i="11"/>
  <c r="AC124" i="11"/>
  <c r="AC630" i="11"/>
  <c r="AC644" i="11"/>
  <c r="AC656" i="11"/>
  <c r="AC660" i="11"/>
  <c r="AC156" i="11"/>
  <c r="AC164" i="11"/>
  <c r="AC165" i="11"/>
  <c r="AC167" i="11"/>
  <c r="AC172" i="11"/>
  <c r="AC176" i="11"/>
  <c r="AC694" i="11"/>
  <c r="AC726" i="11"/>
  <c r="AC736" i="11"/>
  <c r="AC752" i="11"/>
  <c r="AC158" i="11"/>
  <c r="AC677" i="11"/>
  <c r="AC177" i="11"/>
  <c r="AC695" i="11"/>
  <c r="AC133" i="11"/>
  <c r="AC645" i="11"/>
  <c r="AC680" i="11"/>
  <c r="AC725" i="11"/>
  <c r="AC747" i="11"/>
  <c r="AK1199" i="11"/>
  <c r="AN552" i="11"/>
  <c r="P14" i="11"/>
  <c r="P15" i="11"/>
  <c r="N24" i="11"/>
  <c r="AJ1229" i="11"/>
  <c r="BE1235" i="11"/>
  <c r="BF1235" i="11" s="1"/>
  <c r="AM514" i="11"/>
  <c r="AJ555" i="11"/>
  <c r="AN1224" i="11"/>
  <c r="BE33" i="11"/>
  <c r="BF33" i="11" s="1"/>
  <c r="BE1239" i="11"/>
  <c r="BF1239" i="11" s="1"/>
  <c r="AV825" i="11"/>
  <c r="AN1232" i="11"/>
  <c r="AK798" i="11"/>
  <c r="AM796" i="11"/>
  <c r="AM229" i="11"/>
  <c r="AN248" i="11"/>
  <c r="AN798" i="11"/>
  <c r="BE1195" i="11"/>
  <c r="BF1195" i="11" s="1"/>
  <c r="BD581" i="11"/>
  <c r="BG581" i="11" s="1"/>
  <c r="BE1196" i="11"/>
  <c r="BF1196" i="11" s="1"/>
  <c r="AJ553" i="11"/>
  <c r="AJ1233" i="11"/>
  <c r="AJ1231" i="11"/>
  <c r="AM763" i="11"/>
  <c r="AM247" i="11"/>
  <c r="BC798" i="11"/>
  <c r="AJ243" i="11"/>
  <c r="AM249" i="11"/>
  <c r="BE1247" i="11"/>
  <c r="BF1247" i="11" s="1"/>
  <c r="BE1244" i="11"/>
  <c r="BF1244" i="11" s="1"/>
  <c r="BE782" i="11"/>
  <c r="BF782" i="11" s="1"/>
  <c r="BO1019" i="11"/>
  <c r="BD1019" i="11" s="1"/>
  <c r="BG1019" i="11" s="1"/>
  <c r="O30" i="11"/>
  <c r="BE1246" i="11"/>
  <c r="BF1246" i="11" s="1"/>
  <c r="AJ1226" i="11"/>
  <c r="AK1226" i="11"/>
  <c r="P22" i="11"/>
  <c r="BE49" i="11"/>
  <c r="BF49" i="11" s="1"/>
  <c r="BE38" i="11"/>
  <c r="BF38" i="11" s="1"/>
  <c r="AC1225" i="11"/>
  <c r="N7" i="11"/>
  <c r="AM1222" i="11"/>
  <c r="O13" i="11"/>
  <c r="BE1249" i="11"/>
  <c r="BF1249" i="11" s="1"/>
  <c r="AK647" i="11"/>
  <c r="AJ647" i="11"/>
  <c r="BO980" i="11"/>
  <c r="BD980" i="11" s="1"/>
  <c r="BG980" i="11" s="1"/>
  <c r="AJ251" i="11"/>
  <c r="AC1150" i="11"/>
  <c r="AV819" i="11"/>
  <c r="AJ832" i="11"/>
  <c r="BE889" i="11"/>
  <c r="BF889" i="11" s="1"/>
  <c r="BE1255" i="11"/>
  <c r="BF1255" i="11" s="1"/>
  <c r="AJ512" i="11"/>
  <c r="BG468" i="11"/>
  <c r="AM553" i="11"/>
  <c r="AK836" i="11"/>
  <c r="AK516" i="11"/>
  <c r="AM797" i="11"/>
  <c r="AK834" i="11"/>
  <c r="AM512" i="11"/>
  <c r="AJ242" i="11"/>
  <c r="AJ244" i="11"/>
  <c r="AV824" i="11"/>
  <c r="AN887" i="11"/>
  <c r="AK552" i="11"/>
  <c r="BC1150" i="11"/>
  <c r="AJ1225" i="11"/>
  <c r="BG1123" i="11"/>
  <c r="BE407" i="11"/>
  <c r="BF407" i="11" s="1"/>
  <c r="BE469" i="11"/>
  <c r="BF469" i="11" s="1"/>
  <c r="AV828" i="11"/>
  <c r="AJ833" i="11"/>
  <c r="AJ1070" i="11"/>
  <c r="AM1230" i="11"/>
  <c r="BG407" i="11"/>
  <c r="AM888" i="11"/>
  <c r="AJ649" i="11"/>
  <c r="AV818" i="11"/>
  <c r="AK515" i="11"/>
  <c r="BE1197" i="11"/>
  <c r="BF1197" i="11" s="1"/>
  <c r="AM554" i="11"/>
  <c r="AC1233" i="11"/>
  <c r="AC23" i="11"/>
  <c r="BC882" i="11"/>
  <c r="O26" i="11"/>
  <c r="N18" i="11"/>
  <c r="AC880" i="11"/>
  <c r="BC25" i="11"/>
  <c r="AC30" i="11"/>
  <c r="Q32" i="11"/>
  <c r="V32" i="11" s="1"/>
  <c r="AC648" i="11"/>
  <c r="P25" i="11"/>
  <c r="BB36" i="11"/>
  <c r="AC795" i="11"/>
  <c r="BC36" i="11"/>
  <c r="AC24" i="11"/>
  <c r="O48" i="11"/>
  <c r="V48" i="11" s="1"/>
  <c r="AC52" i="11"/>
  <c r="BB1123" i="11"/>
  <c r="BC1123" i="11"/>
  <c r="BB400" i="11"/>
  <c r="AC1232" i="11"/>
  <c r="AC879" i="11"/>
  <c r="P33" i="11"/>
  <c r="AC882" i="11"/>
  <c r="P34" i="11"/>
  <c r="BC647" i="11"/>
  <c r="BC555" i="11"/>
  <c r="BC23" i="11"/>
  <c r="BB30" i="11"/>
  <c r="BB1223" i="11"/>
  <c r="N5" i="11"/>
  <c r="N22" i="11"/>
  <c r="O37" i="11"/>
  <c r="BB52" i="11"/>
  <c r="O9" i="11"/>
  <c r="P23" i="11"/>
  <c r="AC1071" i="11"/>
  <c r="P11" i="11"/>
  <c r="AC116" i="11"/>
  <c r="N31" i="11"/>
  <c r="BC879" i="11"/>
  <c r="BB525" i="11"/>
  <c r="P16" i="11"/>
  <c r="AC50" i="11"/>
  <c r="BB1222" i="11"/>
  <c r="BB1127" i="11"/>
  <c r="BB647" i="11"/>
  <c r="AC465" i="11"/>
  <c r="AC834" i="11"/>
  <c r="AC891" i="11"/>
  <c r="BC1222" i="11"/>
  <c r="BB1155" i="11"/>
  <c r="P19" i="11"/>
  <c r="BC1230" i="11"/>
  <c r="BB466" i="11"/>
  <c r="BL47" i="11"/>
  <c r="BN47" i="11" s="1"/>
  <c r="BO47" i="11" s="1"/>
  <c r="BD47" i="11" s="1"/>
  <c r="P3" i="11"/>
  <c r="BC1228" i="11"/>
  <c r="P27" i="11"/>
  <c r="P21" i="11"/>
  <c r="BL58" i="11"/>
  <c r="BN58" i="11" s="1"/>
  <c r="BO58" i="11" s="1"/>
  <c r="BD58" i="11" s="1"/>
  <c r="BE58" i="11" s="1"/>
  <c r="BF58" i="11" s="1"/>
  <c r="AC1222" i="11"/>
  <c r="BC551" i="11"/>
  <c r="AC1070" i="11"/>
  <c r="P35" i="11"/>
  <c r="O6" i="11"/>
  <c r="BC1232" i="11"/>
  <c r="BL46" i="11"/>
  <c r="BN46" i="11" s="1"/>
  <c r="BO46" i="11" s="1"/>
  <c r="BD46" i="11" s="1"/>
  <c r="P4" i="11"/>
  <c r="P20" i="11"/>
  <c r="BB1224" i="11"/>
  <c r="AC159" i="11"/>
  <c r="P8" i="11"/>
  <c r="P9" i="11"/>
  <c r="P10" i="11"/>
  <c r="N12" i="11"/>
  <c r="BB43" i="11"/>
  <c r="BL45" i="11"/>
  <c r="BN45" i="11" s="1"/>
  <c r="BO45" i="11" s="1"/>
  <c r="BD45" i="11" s="1"/>
  <c r="O24" i="11"/>
  <c r="BC1126" i="11"/>
  <c r="BC1154" i="11"/>
  <c r="BC465" i="11"/>
  <c r="N14" i="11"/>
  <c r="O43" i="11"/>
  <c r="V43" i="11" s="1"/>
  <c r="AC400" i="11"/>
  <c r="AC798" i="11"/>
  <c r="BL44" i="11"/>
  <c r="BN44" i="11" s="1"/>
  <c r="BC1129" i="11"/>
  <c r="BB1157" i="11"/>
  <c r="T1175" i="11"/>
  <c r="BO768" i="11"/>
  <c r="BD768" i="11" s="1"/>
  <c r="BG768" i="11" s="1"/>
  <c r="P13" i="11"/>
  <c r="O18" i="11"/>
  <c r="N19" i="11"/>
  <c r="BB24" i="11"/>
  <c r="P30" i="11"/>
  <c r="AC40" i="11"/>
  <c r="AC54" i="11"/>
  <c r="BL56" i="11"/>
  <c r="BN56" i="11" s="1"/>
  <c r="BO56" i="11" s="1"/>
  <c r="BD56" i="11" s="1"/>
  <c r="BE56" i="11" s="1"/>
  <c r="BF56" i="11" s="1"/>
  <c r="O78" i="11"/>
  <c r="W78" i="11" s="1"/>
  <c r="BG1247" i="11"/>
  <c r="BG1249" i="11"/>
  <c r="BE1251" i="11"/>
  <c r="BF1251" i="11" s="1"/>
  <c r="BC1201" i="11"/>
  <c r="AC1201" i="11"/>
  <c r="BG1149" i="11"/>
  <c r="BE1149" i="11"/>
  <c r="BF1149" i="11" s="1"/>
  <c r="P18" i="11"/>
  <c r="AC32" i="11"/>
  <c r="O19" i="11"/>
  <c r="P24" i="11"/>
  <c r="O73" i="11"/>
  <c r="BG1239" i="11"/>
  <c r="BE1248" i="11"/>
  <c r="BF1248" i="11" s="1"/>
  <c r="BE1108" i="11"/>
  <c r="BF1108" i="11" s="1"/>
  <c r="AC1145" i="11"/>
  <c r="O4" i="11"/>
  <c r="AC22" i="11"/>
  <c r="BB26" i="11"/>
  <c r="BE1234" i="11"/>
  <c r="BF1234" i="11" s="1"/>
  <c r="T1222" i="11"/>
  <c r="N33" i="11"/>
  <c r="O79" i="11"/>
  <c r="P28" i="11"/>
  <c r="BC29" i="11"/>
  <c r="P31" i="11"/>
  <c r="AC41" i="11"/>
  <c r="AC51" i="11"/>
  <c r="O74" i="11"/>
  <c r="W74" i="11" s="1"/>
  <c r="BE1237" i="11"/>
  <c r="BF1237" i="11" s="1"/>
  <c r="AN1229" i="11"/>
  <c r="O14" i="11"/>
  <c r="P26" i="11"/>
  <c r="AC33" i="11"/>
  <c r="BC1199" i="11"/>
  <c r="BB1199" i="11"/>
  <c r="BC26" i="11"/>
  <c r="N15" i="11"/>
  <c r="O20" i="11"/>
  <c r="BB35" i="11"/>
  <c r="P37" i="11"/>
  <c r="AN1200" i="11"/>
  <c r="BD1138" i="11"/>
  <c r="BG1138" i="11" s="1"/>
  <c r="AC31" i="11"/>
  <c r="O10" i="11"/>
  <c r="BB25" i="11"/>
  <c r="BB27" i="11"/>
  <c r="O34" i="11"/>
  <c r="BB54" i="11"/>
  <c r="O71" i="11"/>
  <c r="O76" i="11"/>
  <c r="AC26" i="11"/>
  <c r="N25" i="11"/>
  <c r="BC27" i="11"/>
  <c r="N35" i="11"/>
  <c r="BC54" i="11"/>
  <c r="AK1228" i="11"/>
  <c r="AJ1228" i="11"/>
  <c r="AN1228" i="11"/>
  <c r="AM1228" i="11"/>
  <c r="BB22" i="11"/>
  <c r="O39" i="11"/>
  <c r="V39" i="11" s="1"/>
  <c r="N44" i="11"/>
  <c r="AK1234" i="11"/>
  <c r="AJ1234" i="11"/>
  <c r="AC1159" i="11"/>
  <c r="BC1159" i="11"/>
  <c r="BB32" i="11"/>
  <c r="BC40" i="11"/>
  <c r="BE8" i="11"/>
  <c r="BF8" i="11" s="1"/>
  <c r="O25" i="11"/>
  <c r="O12" i="11"/>
  <c r="O22" i="11"/>
  <c r="BC22" i="11"/>
  <c r="N27" i="11"/>
  <c r="BG1255" i="11"/>
  <c r="AN1223" i="11"/>
  <c r="AM1223" i="11"/>
  <c r="AC1122" i="11"/>
  <c r="BB1122" i="11"/>
  <c r="AC142" i="11"/>
  <c r="BE696" i="11"/>
  <c r="BF696" i="11" s="1"/>
  <c r="BG696" i="11"/>
  <c r="BC1224" i="11"/>
  <c r="AJ648" i="11"/>
  <c r="BE275" i="11"/>
  <c r="BF275" i="11" s="1"/>
  <c r="AK763" i="11"/>
  <c r="AJ763" i="11"/>
  <c r="BE1153" i="11"/>
  <c r="BF1153" i="11" s="1"/>
  <c r="BC1155" i="11"/>
  <c r="AC1224" i="11"/>
  <c r="BB1132" i="11"/>
  <c r="BE682" i="11"/>
  <c r="BF682" i="11" s="1"/>
  <c r="BC1127" i="11"/>
  <c r="BC1132" i="11"/>
  <c r="AN244" i="11"/>
  <c r="AM244" i="11"/>
  <c r="AC665" i="11"/>
  <c r="BB1228" i="11"/>
  <c r="AC1155" i="11"/>
  <c r="BC1157" i="11"/>
  <c r="AM649" i="11"/>
  <c r="BB1229" i="11"/>
  <c r="AM764" i="11"/>
  <c r="AN764" i="11"/>
  <c r="AC1132" i="11"/>
  <c r="BE367" i="11"/>
  <c r="BF367" i="11" s="1"/>
  <c r="BC1131" i="11"/>
  <c r="BE837" i="11"/>
  <c r="BF837" i="11" s="1"/>
  <c r="BO910" i="11"/>
  <c r="BD910" i="11" s="1"/>
  <c r="BG910" i="11" s="1"/>
  <c r="AC399" i="11"/>
  <c r="BC399" i="11"/>
  <c r="AM246" i="11"/>
  <c r="AJ796" i="11"/>
  <c r="AK796" i="11"/>
  <c r="BE220" i="11"/>
  <c r="BF220" i="11" s="1"/>
  <c r="AK250" i="11"/>
  <c r="BD887" i="11"/>
  <c r="BD225" i="11"/>
  <c r="BG225" i="11" s="1"/>
  <c r="AM242" i="11"/>
  <c r="AC270" i="11"/>
  <c r="BL403" i="11"/>
  <c r="BN403" i="11" s="1"/>
  <c r="BO403" i="11" s="1"/>
  <c r="BD403" i="11" s="1"/>
  <c r="BE403" i="11" s="1"/>
  <c r="BF403" i="11" s="1"/>
  <c r="AC228" i="11"/>
  <c r="AJ229" i="11"/>
  <c r="AJ230" i="11"/>
  <c r="AJ247" i="11"/>
  <c r="AK248" i="11"/>
  <c r="AC286" i="11"/>
  <c r="BG412" i="11"/>
  <c r="BE412" i="11"/>
  <c r="BF412" i="11" s="1"/>
  <c r="BO782" i="11"/>
  <c r="AC398" i="11"/>
  <c r="BC398" i="11"/>
  <c r="AJ764" i="11"/>
  <c r="BE780" i="11"/>
  <c r="BF780" i="11" s="1"/>
  <c r="BB883" i="11"/>
  <c r="BO979" i="11"/>
  <c r="BD979" i="11" s="1"/>
  <c r="BG979" i="11" s="1"/>
  <c r="BL404" i="11"/>
  <c r="BN404" i="11" s="1"/>
  <c r="BO404" i="11" s="1"/>
  <c r="BD404" i="11" s="1"/>
  <c r="BE404" i="11" s="1"/>
  <c r="BF404" i="11" s="1"/>
  <c r="BO1005" i="11"/>
  <c r="BD1005" i="11" s="1"/>
  <c r="BG1005" i="11" s="1"/>
  <c r="BO1025" i="11"/>
  <c r="BD1025" i="11" s="1"/>
  <c r="BG1025" i="11" s="1"/>
  <c r="AC466" i="11"/>
  <c r="BO926" i="11"/>
  <c r="BD926" i="11" s="1"/>
  <c r="BE926" i="11" s="1"/>
  <c r="BF926" i="11" s="1"/>
  <c r="BO961" i="11"/>
  <c r="BD961" i="11" s="1"/>
  <c r="BE961" i="11" s="1"/>
  <c r="BF961" i="11" s="1"/>
  <c r="BO1012" i="11"/>
  <c r="BD1012" i="11" s="1"/>
  <c r="BG1012" i="11" s="1"/>
  <c r="BG521" i="11"/>
  <c r="AV827" i="11"/>
  <c r="AN834" i="11"/>
  <c r="BE841" i="11"/>
  <c r="BF841" i="11" s="1"/>
  <c r="AJ888" i="11"/>
  <c r="BO977" i="11"/>
  <c r="BD977" i="11" s="1"/>
  <c r="BG977" i="11" s="1"/>
  <c r="BO996" i="11"/>
  <c r="BD996" i="11" s="1"/>
  <c r="BG996" i="11" s="1"/>
  <c r="BO1022" i="11"/>
  <c r="BD1022" i="11" s="1"/>
  <c r="BG1022" i="11" s="1"/>
  <c r="AV817" i="11"/>
  <c r="AV822" i="11"/>
  <c r="BO966" i="11"/>
  <c r="BD966" i="11" s="1"/>
  <c r="BE966" i="11" s="1"/>
  <c r="BF966" i="11" s="1"/>
  <c r="BO1029" i="11"/>
  <c r="BD1029" i="11" s="1"/>
  <c r="BG1029" i="11" s="1"/>
  <c r="AC1040" i="11"/>
  <c r="AV1056" i="11"/>
  <c r="BC400" i="11"/>
  <c r="AK466" i="11"/>
  <c r="BO951" i="11"/>
  <c r="BD951" i="11" s="1"/>
  <c r="BG951" i="11" s="1"/>
  <c r="BE788" i="11"/>
  <c r="BF788" i="11" s="1"/>
  <c r="AK1073" i="11"/>
  <c r="AJ1073" i="11"/>
  <c r="AC797" i="11"/>
  <c r="BO1013" i="11"/>
  <c r="BD1013" i="11" s="1"/>
  <c r="BG1013" i="11" s="1"/>
  <c r="AC840" i="11"/>
  <c r="AJ465" i="11"/>
  <c r="BE779" i="11"/>
  <c r="BF779" i="11" s="1"/>
  <c r="BE781" i="11"/>
  <c r="BF781" i="11" s="1"/>
  <c r="BE783" i="11"/>
  <c r="BF783" i="11" s="1"/>
  <c r="BC796" i="11"/>
  <c r="BE891" i="11"/>
  <c r="BF891" i="11" s="1"/>
  <c r="BO960" i="11"/>
  <c r="BD960" i="11" s="1"/>
  <c r="BE960" i="11" s="1"/>
  <c r="BF960" i="11" s="1"/>
  <c r="BC401" i="11"/>
  <c r="AM831" i="11"/>
  <c r="AM835" i="11"/>
  <c r="AC1054" i="11"/>
  <c r="AJ464" i="11"/>
  <c r="BO779" i="11"/>
  <c r="BC795" i="11"/>
  <c r="BO954" i="11"/>
  <c r="BD954" i="11" s="1"/>
  <c r="BE954" i="11" s="1"/>
  <c r="BF954" i="11" s="1"/>
  <c r="BO963" i="11"/>
  <c r="BD963" i="11" s="1"/>
  <c r="BG963" i="11" s="1"/>
  <c r="AJ551" i="11"/>
  <c r="BO999" i="11"/>
  <c r="BD999" i="11" s="1"/>
  <c r="BG999" i="11" s="1"/>
  <c r="BE1047" i="11"/>
  <c r="BF1047" i="11" s="1"/>
  <c r="AJ513" i="11"/>
  <c r="AM551" i="11"/>
  <c r="AN558" i="11"/>
  <c r="AJ1072" i="11"/>
  <c r="BB521" i="11"/>
  <c r="BC523" i="11"/>
  <c r="BO1004" i="11"/>
  <c r="BD1004" i="11" s="1"/>
  <c r="BC525" i="11"/>
  <c r="AJ1071" i="11"/>
  <c r="BC554" i="11"/>
  <c r="AC523" i="11"/>
  <c r="AC1074" i="11"/>
  <c r="BC553" i="11"/>
  <c r="AC525" i="11"/>
  <c r="AM515" i="11"/>
  <c r="BC552" i="11"/>
  <c r="AJ554" i="11"/>
  <c r="AM555" i="11"/>
  <c r="AC1073" i="11"/>
  <c r="AJ514" i="11"/>
  <c r="AJ1074" i="11"/>
  <c r="AC1072" i="11"/>
  <c r="O36" i="11"/>
  <c r="N36" i="11"/>
  <c r="O45" i="11"/>
  <c r="V45" i="11" s="1"/>
  <c r="N45" i="11"/>
  <c r="N11" i="11"/>
  <c r="N13" i="11"/>
  <c r="AC19" i="11"/>
  <c r="BC19" i="11"/>
  <c r="P36" i="11"/>
  <c r="AC20" i="11"/>
  <c r="AC21" i="11"/>
  <c r="BB21" i="11"/>
  <c r="O11" i="11"/>
  <c r="N21" i="11"/>
  <c r="AC4" i="11"/>
  <c r="BB4" i="11"/>
  <c r="BB20" i="11"/>
  <c r="BC21" i="11"/>
  <c r="O29" i="11"/>
  <c r="N29" i="11"/>
  <c r="BB3" i="11"/>
  <c r="N3" i="11"/>
  <c r="BB5" i="11"/>
  <c r="AC6" i="11"/>
  <c r="BB6" i="11"/>
  <c r="N9" i="11"/>
  <c r="O16" i="11"/>
  <c r="N16" i="11"/>
  <c r="N20" i="11"/>
  <c r="BC20" i="11"/>
  <c r="O21" i="11"/>
  <c r="P29" i="11"/>
  <c r="BB7" i="11"/>
  <c r="AC7" i="11"/>
  <c r="BB28" i="11"/>
  <c r="BB37" i="11"/>
  <c r="AC37" i="11"/>
  <c r="O3" i="11"/>
  <c r="P6" i="11"/>
  <c r="N4" i="11"/>
  <c r="P5" i="11"/>
  <c r="BC4" i="11"/>
  <c r="BC5" i="11"/>
  <c r="BC7" i="11"/>
  <c r="BC3" i="11"/>
  <c r="O8" i="11"/>
  <c r="O5" i="11"/>
  <c r="N6" i="11"/>
  <c r="P7" i="11"/>
  <c r="N23" i="11"/>
  <c r="BC6" i="11"/>
  <c r="O7" i="11"/>
  <c r="P12" i="11"/>
  <c r="O23" i="11"/>
  <c r="BE41" i="11"/>
  <c r="BF41" i="11" s="1"/>
  <c r="BG41" i="11"/>
  <c r="N10" i="11"/>
  <c r="P17" i="11"/>
  <c r="O17" i="11"/>
  <c r="BE51" i="11"/>
  <c r="BF51" i="11" s="1"/>
  <c r="BG51" i="11"/>
  <c r="AC3" i="11"/>
  <c r="AC28" i="11"/>
  <c r="BC53" i="11"/>
  <c r="O77" i="11"/>
  <c r="N40" i="11"/>
  <c r="T70" i="11"/>
  <c r="BG1242" i="11"/>
  <c r="BE1242" i="11"/>
  <c r="BF1242" i="11" s="1"/>
  <c r="AC1092" i="11"/>
  <c r="AC1093" i="11"/>
  <c r="AC29" i="11"/>
  <c r="BE73" i="11"/>
  <c r="BF73" i="11" s="1"/>
  <c r="O75" i="11"/>
  <c r="W75" i="11" s="1"/>
  <c r="BE1250" i="11"/>
  <c r="BF1250" i="11" s="1"/>
  <c r="BG1250" i="11"/>
  <c r="BE1200" i="11"/>
  <c r="BF1200" i="11" s="1"/>
  <c r="BG1200" i="11"/>
  <c r="BB50" i="11"/>
  <c r="AC53" i="11"/>
  <c r="AC1200" i="11"/>
  <c r="BB1200" i="11"/>
  <c r="N42" i="11"/>
  <c r="AC43" i="11"/>
  <c r="BD50" i="11"/>
  <c r="O35" i="11"/>
  <c r="N34" i="11"/>
  <c r="BE36" i="11"/>
  <c r="BF36" i="11" s="1"/>
  <c r="N38" i="11"/>
  <c r="BB42" i="11"/>
  <c r="BD52" i="11"/>
  <c r="BG1238" i="11"/>
  <c r="BE1238" i="11"/>
  <c r="BF1238" i="11" s="1"/>
  <c r="N32" i="11"/>
  <c r="BC42" i="11"/>
  <c r="BE1252" i="11"/>
  <c r="BF1252" i="11" s="1"/>
  <c r="BG1252" i="11"/>
  <c r="AC616" i="11"/>
  <c r="BG1254" i="11"/>
  <c r="BE1254" i="11"/>
  <c r="BF1254" i="11" s="1"/>
  <c r="N30" i="11"/>
  <c r="O31" i="11"/>
  <c r="O33" i="11"/>
  <c r="BC35" i="11"/>
  <c r="BB39" i="11"/>
  <c r="BB34" i="11"/>
  <c r="BC39" i="11"/>
  <c r="N41" i="11"/>
  <c r="AC42" i="11"/>
  <c r="BL57" i="11"/>
  <c r="BN57" i="11" s="1"/>
  <c r="BO57" i="11" s="1"/>
  <c r="BD57" i="11" s="1"/>
  <c r="AC1240" i="11"/>
  <c r="BE1192" i="11"/>
  <c r="BF1192" i="11" s="1"/>
  <c r="N28" i="11"/>
  <c r="BC34" i="11"/>
  <c r="N37" i="11"/>
  <c r="N46" i="11"/>
  <c r="BL59" i="11"/>
  <c r="BN59" i="11" s="1"/>
  <c r="BO59" i="11" s="1"/>
  <c r="BD59" i="11" s="1"/>
  <c r="BE611" i="11"/>
  <c r="BF611" i="11" s="1"/>
  <c r="O28" i="11"/>
  <c r="BB31" i="11"/>
  <c r="BB33" i="11"/>
  <c r="AC35" i="11"/>
  <c r="O47" i="11"/>
  <c r="V47" i="11" s="1"/>
  <c r="BB51" i="11"/>
  <c r="Q72" i="11"/>
  <c r="O72" i="11"/>
  <c r="O15" i="11"/>
  <c r="N26" i="11"/>
  <c r="O27" i="11"/>
  <c r="BB41" i="11"/>
  <c r="AC39" i="11"/>
  <c r="BL55" i="11"/>
  <c r="BN55" i="11" s="1"/>
  <c r="BO55" i="11" s="1"/>
  <c r="BD55" i="11" s="1"/>
  <c r="BE1236" i="11"/>
  <c r="BF1236" i="11" s="1"/>
  <c r="AC610" i="11"/>
  <c r="BB53" i="11"/>
  <c r="BE1243" i="11"/>
  <c r="BF1243" i="11" s="1"/>
  <c r="BE1110" i="11"/>
  <c r="BF1110" i="11" s="1"/>
  <c r="BE1199" i="11"/>
  <c r="BF1199" i="11" s="1"/>
  <c r="BG1199" i="11"/>
  <c r="T1225" i="11"/>
  <c r="AK1227" i="11"/>
  <c r="AJ1227" i="11"/>
  <c r="BE1253" i="11"/>
  <c r="BF1253" i="11" s="1"/>
  <c r="BE1176" i="11"/>
  <c r="BF1176" i="11" s="1"/>
  <c r="BE1240" i="11"/>
  <c r="BF1240" i="11" s="1"/>
  <c r="BE610" i="11"/>
  <c r="BF610" i="11" s="1"/>
  <c r="AK1200" i="11"/>
  <c r="T1224" i="11"/>
  <c r="BE1241" i="11"/>
  <c r="BF1241" i="11" s="1"/>
  <c r="BE1215" i="11"/>
  <c r="BF1215" i="11" s="1"/>
  <c r="BE1127" i="11"/>
  <c r="BF1127" i="11" s="1"/>
  <c r="BE1183" i="11"/>
  <c r="BF1183" i="11" s="1"/>
  <c r="BE1087" i="11"/>
  <c r="BF1087" i="11" s="1"/>
  <c r="AN1226" i="11"/>
  <c r="AM1226" i="11"/>
  <c r="AN1199" i="11"/>
  <c r="AM1199" i="11"/>
  <c r="BE1223" i="11"/>
  <c r="BF1223" i="11" s="1"/>
  <c r="BE1245" i="11"/>
  <c r="BF1245" i="11" s="1"/>
  <c r="AN1225" i="11"/>
  <c r="AM1225" i="11"/>
  <c r="BE1088" i="11"/>
  <c r="BF1088" i="11" s="1"/>
  <c r="AK1201" i="11"/>
  <c r="AJ1201" i="11"/>
  <c r="BC1226" i="11"/>
  <c r="BB1226" i="11"/>
  <c r="AC1226" i="11"/>
  <c r="BG1245" i="11"/>
  <c r="BE1109" i="11"/>
  <c r="BF1109" i="11" s="1"/>
  <c r="AN1201" i="11"/>
  <c r="AM1201" i="11"/>
  <c r="T1223" i="11"/>
  <c r="AK1230" i="11"/>
  <c r="AJ1230" i="11"/>
  <c r="BG1222" i="11"/>
  <c r="BE1222" i="11"/>
  <c r="BF1222" i="11" s="1"/>
  <c r="BC1149" i="11"/>
  <c r="AC1149" i="11"/>
  <c r="BB1149" i="11"/>
  <c r="BD1201" i="11"/>
  <c r="AC1124" i="11"/>
  <c r="BC1124" i="11"/>
  <c r="BB1124" i="11"/>
  <c r="BG1253" i="11"/>
  <c r="AN1227" i="11"/>
  <c r="AC1231" i="11"/>
  <c r="BB1231" i="11"/>
  <c r="AC1130" i="11"/>
  <c r="BC1130" i="11"/>
  <c r="AC1230" i="11"/>
  <c r="BE1119" i="11"/>
  <c r="BF1119" i="11" s="1"/>
  <c r="AC641" i="11"/>
  <c r="BG647" i="11"/>
  <c r="BE137" i="11"/>
  <c r="BF137" i="11" s="1"/>
  <c r="AJ1222" i="11"/>
  <c r="BC1156" i="11"/>
  <c r="BB1156" i="11"/>
  <c r="BB1227" i="11"/>
  <c r="BC1227" i="11"/>
  <c r="AC1229" i="11"/>
  <c r="AM1233" i="11"/>
  <c r="AC1151" i="11"/>
  <c r="BC1151" i="11"/>
  <c r="AC639" i="11"/>
  <c r="AN1234" i="11"/>
  <c r="AM1234" i="11"/>
  <c r="BB1125" i="11"/>
  <c r="AC166" i="11"/>
  <c r="BB1201" i="11"/>
  <c r="BC1234" i="11"/>
  <c r="BB1234" i="11"/>
  <c r="AC1234" i="11"/>
  <c r="BC1125" i="11"/>
  <c r="BC1153" i="11"/>
  <c r="BB1153" i="11"/>
  <c r="AC1156" i="11"/>
  <c r="AC649" i="11"/>
  <c r="BB649" i="11"/>
  <c r="BE166" i="11"/>
  <c r="BF166" i="11" s="1"/>
  <c r="AC182" i="11"/>
  <c r="BC1122" i="11"/>
  <c r="AC1128" i="11"/>
  <c r="AC1152" i="11"/>
  <c r="BB1154" i="11"/>
  <c r="AC1158" i="11"/>
  <c r="BE1169" i="11"/>
  <c r="BF1169" i="11" s="1"/>
  <c r="AC1131" i="11"/>
  <c r="BE123" i="11"/>
  <c r="BF123" i="11" s="1"/>
  <c r="BC649" i="11"/>
  <c r="AC674" i="11"/>
  <c r="AC704" i="11"/>
  <c r="BB1225" i="11"/>
  <c r="AJ1232" i="11"/>
  <c r="BB1233" i="11"/>
  <c r="AC1154" i="11"/>
  <c r="BE641" i="11"/>
  <c r="BF641" i="11" s="1"/>
  <c r="BG142" i="11"/>
  <c r="BE142" i="11"/>
  <c r="BF142" i="11" s="1"/>
  <c r="AJ1223" i="11"/>
  <c r="AM1231" i="11"/>
  <c r="AN648" i="11"/>
  <c r="AM648" i="11"/>
  <c r="AJ1224" i="11"/>
  <c r="AC138" i="11"/>
  <c r="BB1126" i="11"/>
  <c r="BB1129" i="11"/>
  <c r="BB1159" i="11"/>
  <c r="BE660" i="11"/>
  <c r="BF660" i="11" s="1"/>
  <c r="AC170" i="11"/>
  <c r="BE125" i="11"/>
  <c r="BF125" i="11" s="1"/>
  <c r="AC140" i="11"/>
  <c r="AC1126" i="11"/>
  <c r="AN647" i="11"/>
  <c r="AM647" i="11"/>
  <c r="AK765" i="11"/>
  <c r="AJ765" i="11"/>
  <c r="BB1128" i="11"/>
  <c r="BB1152" i="11"/>
  <c r="BB1158" i="11"/>
  <c r="BE124" i="11"/>
  <c r="BF124" i="11" s="1"/>
  <c r="AC763" i="11"/>
  <c r="BE746" i="11"/>
  <c r="BF746" i="11" s="1"/>
  <c r="AC195" i="11"/>
  <c r="BE201" i="11"/>
  <c r="BF201" i="11" s="1"/>
  <c r="BE188" i="11"/>
  <c r="BF188" i="11" s="1"/>
  <c r="AC739" i="11"/>
  <c r="AC211" i="11"/>
  <c r="BE271" i="11"/>
  <c r="BF271" i="11" s="1"/>
  <c r="AC305" i="11"/>
  <c r="BE193" i="11"/>
  <c r="BF193" i="11" s="1"/>
  <c r="AM243" i="11"/>
  <c r="AM245" i="11"/>
  <c r="AM251" i="11"/>
  <c r="BE287" i="11"/>
  <c r="BF287" i="11" s="1"/>
  <c r="BE354" i="11"/>
  <c r="BF354" i="11" s="1"/>
  <c r="AM765" i="11"/>
  <c r="AJ246" i="11"/>
  <c r="BE274" i="11"/>
  <c r="BF274" i="11" s="1"/>
  <c r="BE268" i="11"/>
  <c r="BF268" i="11" s="1"/>
  <c r="AM230" i="11"/>
  <c r="AK245" i="11"/>
  <c r="AJ245" i="11"/>
  <c r="BE303" i="11"/>
  <c r="BF303" i="11" s="1"/>
  <c r="AC405" i="11"/>
  <c r="BL405" i="11"/>
  <c r="BN405" i="11" s="1"/>
  <c r="BO405" i="11" s="1"/>
  <c r="BD405" i="11" s="1"/>
  <c r="BO781" i="11"/>
  <c r="AM250" i="11"/>
  <c r="AJ249" i="11"/>
  <c r="BN402" i="11"/>
  <c r="BO402" i="11" s="1"/>
  <c r="BD402" i="11" s="1"/>
  <c r="BB398" i="11"/>
  <c r="AC401" i="11"/>
  <c r="AC407" i="11"/>
  <c r="AC421" i="11"/>
  <c r="BE461" i="11"/>
  <c r="BF461" i="11" s="1"/>
  <c r="AN466" i="11"/>
  <c r="AM466" i="11"/>
  <c r="AV413" i="11"/>
  <c r="BE414" i="11"/>
  <c r="BF414" i="11" s="1"/>
  <c r="BE467" i="11"/>
  <c r="BF467" i="11" s="1"/>
  <c r="BB397" i="11"/>
  <c r="AM464" i="11"/>
  <c r="BO784" i="11"/>
  <c r="BD784" i="11" s="1"/>
  <c r="BC397" i="11"/>
  <c r="BE807" i="11"/>
  <c r="BF807" i="11" s="1"/>
  <c r="AC437" i="11"/>
  <c r="AC464" i="11"/>
  <c r="BB464" i="11"/>
  <c r="AC477" i="11"/>
  <c r="BE786" i="11"/>
  <c r="BF786" i="11" s="1"/>
  <c r="AC397" i="11"/>
  <c r="BB399" i="11"/>
  <c r="BE437" i="11"/>
  <c r="BF437" i="11" s="1"/>
  <c r="BL406" i="11"/>
  <c r="BN406" i="11" s="1"/>
  <c r="BO406" i="11" s="1"/>
  <c r="BD406" i="11" s="1"/>
  <c r="BO780" i="11"/>
  <c r="AC461" i="11"/>
  <c r="BE801" i="11"/>
  <c r="BF801" i="11" s="1"/>
  <c r="AV829" i="11"/>
  <c r="AN836" i="11"/>
  <c r="AM836" i="11"/>
  <c r="BO934" i="11"/>
  <c r="BD934" i="11" s="1"/>
  <c r="BO931" i="11"/>
  <c r="BD931" i="11" s="1"/>
  <c r="BO911" i="11"/>
  <c r="BD911" i="11" s="1"/>
  <c r="BO909" i="11"/>
  <c r="BD909" i="11" s="1"/>
  <c r="BO944" i="11"/>
  <c r="BD944" i="11" s="1"/>
  <c r="AN832" i="11"/>
  <c r="AM832" i="11"/>
  <c r="AM833" i="11"/>
  <c r="BO940" i="11"/>
  <c r="BD940" i="11" s="1"/>
  <c r="AK795" i="11"/>
  <c r="BO913" i="11"/>
  <c r="BD913" i="11" s="1"/>
  <c r="AV821" i="11"/>
  <c r="AC881" i="11"/>
  <c r="AM465" i="11"/>
  <c r="AM795" i="11"/>
  <c r="AV816" i="11"/>
  <c r="AC839" i="11"/>
  <c r="BB881" i="11"/>
  <c r="BC797" i="11"/>
  <c r="BE842" i="11"/>
  <c r="BF842" i="11" s="1"/>
  <c r="BC881" i="11"/>
  <c r="BO916" i="11"/>
  <c r="BD916" i="11" s="1"/>
  <c r="BO939" i="11"/>
  <c r="BD939" i="11" s="1"/>
  <c r="AC796" i="11"/>
  <c r="AK797" i="11"/>
  <c r="BO932" i="11"/>
  <c r="BD932" i="11" s="1"/>
  <c r="BO941" i="11"/>
  <c r="BD941" i="11" s="1"/>
  <c r="BO967" i="11"/>
  <c r="BD967" i="11" s="1"/>
  <c r="BO984" i="11"/>
  <c r="BD984" i="11" s="1"/>
  <c r="BO948" i="11"/>
  <c r="BD948" i="11" s="1"/>
  <c r="BO972" i="11"/>
  <c r="BD972" i="11" s="1"/>
  <c r="BO938" i="11"/>
  <c r="BD938" i="11" s="1"/>
  <c r="BO936" i="11"/>
  <c r="BD936" i="11" s="1"/>
  <c r="BO969" i="11"/>
  <c r="BD969" i="11" s="1"/>
  <c r="BO953" i="11"/>
  <c r="BD953" i="11" s="1"/>
  <c r="BC883" i="11"/>
  <c r="AJ886" i="11"/>
  <c r="AC955" i="11"/>
  <c r="BO983" i="11"/>
  <c r="BD983" i="11" s="1"/>
  <c r="AV826" i="11"/>
  <c r="AJ831" i="11"/>
  <c r="AJ835" i="11"/>
  <c r="BO912" i="11"/>
  <c r="BD912" i="11" s="1"/>
  <c r="AC883" i="11"/>
  <c r="AN886" i="11"/>
  <c r="AK887" i="11"/>
  <c r="AJ887" i="11"/>
  <c r="BO952" i="11"/>
  <c r="BD952" i="11" s="1"/>
  <c r="AV820" i="11"/>
  <c r="BB880" i="11"/>
  <c r="AC926" i="11"/>
  <c r="BO929" i="11"/>
  <c r="BD929" i="11" s="1"/>
  <c r="BO955" i="11"/>
  <c r="BD955" i="11" s="1"/>
  <c r="BO968" i="11"/>
  <c r="BD968" i="11" s="1"/>
  <c r="BO992" i="11"/>
  <c r="BD992" i="11" s="1"/>
  <c r="BO924" i="11"/>
  <c r="BD924" i="11" s="1"/>
  <c r="BO925" i="11"/>
  <c r="BD925" i="11" s="1"/>
  <c r="BO945" i="11"/>
  <c r="BD945" i="11" s="1"/>
  <c r="BO950" i="11"/>
  <c r="BD950" i="11" s="1"/>
  <c r="BO970" i="11"/>
  <c r="BD970" i="11" s="1"/>
  <c r="BO914" i="11"/>
  <c r="BD914" i="11" s="1"/>
  <c r="BO920" i="11"/>
  <c r="BD920" i="11" s="1"/>
  <c r="BO922" i="11"/>
  <c r="BD922" i="11" s="1"/>
  <c r="BO928" i="11"/>
  <c r="BD928" i="11" s="1"/>
  <c r="AC943" i="11"/>
  <c r="BO981" i="11"/>
  <c r="BD981" i="11" s="1"/>
  <c r="AC957" i="11"/>
  <c r="AC976" i="11"/>
  <c r="BO956" i="11"/>
  <c r="BD956" i="11" s="1"/>
  <c r="BO971" i="11"/>
  <c r="BD971" i="11" s="1"/>
  <c r="BO995" i="11"/>
  <c r="BD995" i="11" s="1"/>
  <c r="BO1002" i="11"/>
  <c r="BD1002" i="11" s="1"/>
  <c r="BO973" i="11"/>
  <c r="BD973" i="11" s="1"/>
  <c r="BO998" i="11"/>
  <c r="BD998" i="11" s="1"/>
  <c r="AV948" i="11"/>
  <c r="BO974" i="11"/>
  <c r="BD974" i="11" s="1"/>
  <c r="BO1008" i="11"/>
  <c r="BD1008" i="11" s="1"/>
  <c r="BO975" i="11"/>
  <c r="BD975" i="11" s="1"/>
  <c r="BO997" i="11"/>
  <c r="BD997" i="11" s="1"/>
  <c r="BO993" i="11"/>
  <c r="BD993" i="11" s="1"/>
  <c r="BO978" i="11"/>
  <c r="BD978" i="11" s="1"/>
  <c r="BO1000" i="11"/>
  <c r="BD1000" i="11" s="1"/>
  <c r="BG1026" i="11"/>
  <c r="BE1026" i="11"/>
  <c r="BF1026" i="11" s="1"/>
  <c r="BO959" i="11"/>
  <c r="BD959" i="11" s="1"/>
  <c r="AC969" i="11"/>
  <c r="BO991" i="11"/>
  <c r="BD991" i="11" s="1"/>
  <c r="BO1011" i="11"/>
  <c r="BD1011" i="11" s="1"/>
  <c r="BG1028" i="11"/>
  <c r="BE1028" i="11"/>
  <c r="BF1028" i="11" s="1"/>
  <c r="BO1006" i="11"/>
  <c r="BD1006" i="11" s="1"/>
  <c r="BO526" i="11"/>
  <c r="BD526" i="11" s="1"/>
  <c r="AC1032" i="11"/>
  <c r="BO1020" i="11"/>
  <c r="BD1020" i="11" s="1"/>
  <c r="BO1024" i="11"/>
  <c r="BD1024" i="11" s="1"/>
  <c r="BO1056" i="11"/>
  <c r="BD1056" i="11" s="1"/>
  <c r="BG1027" i="11"/>
  <c r="BE1027" i="11"/>
  <c r="BF1027" i="11" s="1"/>
  <c r="BO988" i="11"/>
  <c r="BD988" i="11" s="1"/>
  <c r="AC1048" i="11"/>
  <c r="BO1016" i="11"/>
  <c r="BD1016" i="11" s="1"/>
  <c r="BE1023" i="11"/>
  <c r="BF1023" i="11" s="1"/>
  <c r="BG1023" i="11"/>
  <c r="BO1057" i="11"/>
  <c r="BD1057" i="11" s="1"/>
  <c r="BO1014" i="11"/>
  <c r="BD1014" i="11" s="1"/>
  <c r="BO1015" i="11"/>
  <c r="BD1015" i="11" s="1"/>
  <c r="AC1057" i="11"/>
  <c r="BE557" i="11"/>
  <c r="BF557" i="11" s="1"/>
  <c r="BC514" i="11"/>
  <c r="AC514" i="11"/>
  <c r="AM516" i="11"/>
  <c r="BC515" i="11"/>
  <c r="AC515" i="11"/>
  <c r="BC516" i="11"/>
  <c r="AC516" i="11"/>
  <c r="AC517" i="11"/>
  <c r="AC522" i="11"/>
  <c r="BC522" i="11"/>
  <c r="BB522" i="11"/>
  <c r="BB516" i="11"/>
  <c r="AC494" i="11"/>
  <c r="BC512" i="11"/>
  <c r="AC512" i="11"/>
  <c r="AM513" i="11"/>
  <c r="BG1075" i="11"/>
  <c r="BE1075" i="11"/>
  <c r="BF1075" i="11" s="1"/>
  <c r="BC513" i="11"/>
  <c r="AC513" i="11"/>
  <c r="BO561" i="11"/>
  <c r="BD561" i="11" s="1"/>
  <c r="BG561" i="11" s="1"/>
  <c r="AM1070" i="11"/>
  <c r="AM1071" i="11"/>
  <c r="AM1072" i="11"/>
  <c r="AM1073" i="11"/>
  <c r="AM1074" i="11"/>
  <c r="AJ558" i="11"/>
  <c r="BB524" i="11"/>
  <c r="BC524" i="11"/>
  <c r="BC521" i="11"/>
  <c r="BE524" i="11"/>
  <c r="BF524" i="11" s="1"/>
  <c r="AC551" i="11"/>
  <c r="AC552" i="11"/>
  <c r="AC553" i="11"/>
  <c r="AC554" i="11"/>
  <c r="AC555" i="11"/>
  <c r="AC524" i="11"/>
  <c r="BB1070" i="11"/>
  <c r="BB1071" i="11"/>
  <c r="BB1072" i="11"/>
  <c r="BB1073" i="11"/>
  <c r="BB1074" i="11"/>
  <c r="BE1224" i="11" l="1"/>
  <c r="BF1224" i="11" s="1"/>
  <c r="BG1125" i="11"/>
  <c r="BG3" i="11"/>
  <c r="BE3" i="11"/>
  <c r="BF3" i="11" s="1"/>
  <c r="BE883" i="11"/>
  <c r="BF883" i="11" s="1"/>
  <c r="V3" i="11"/>
  <c r="BO44" i="11"/>
  <c r="BD44" i="11" s="1"/>
  <c r="BE882" i="11"/>
  <c r="BF882" i="11" s="1"/>
  <c r="BE54" i="11"/>
  <c r="BF54" i="11" s="1"/>
  <c r="BE43" i="11"/>
  <c r="BF43" i="11" s="1"/>
  <c r="W3" i="11"/>
  <c r="U3" i="11"/>
  <c r="BG53" i="11"/>
  <c r="BE1152" i="11"/>
  <c r="BF1152" i="11" s="1"/>
  <c r="BE1122" i="11"/>
  <c r="BF1122" i="11" s="1"/>
  <c r="BE400" i="11"/>
  <c r="BF400" i="11" s="1"/>
  <c r="BG399" i="11"/>
  <c r="BG42" i="11"/>
  <c r="BE1150" i="11"/>
  <c r="BF1150" i="11" s="1"/>
  <c r="BE697" i="11"/>
  <c r="BF697" i="11" s="1"/>
  <c r="BE410" i="11"/>
  <c r="BF410" i="11" s="1"/>
  <c r="BE5" i="11"/>
  <c r="BF5" i="11" s="1"/>
  <c r="BE1151" i="11"/>
  <c r="BF1151" i="11" s="1"/>
  <c r="BG34" i="11"/>
  <c r="BE1126" i="11"/>
  <c r="BF1126" i="11" s="1"/>
  <c r="BE644" i="11"/>
  <c r="BF644" i="11" s="1"/>
  <c r="BE1124" i="11"/>
  <c r="BF1124" i="11" s="1"/>
  <c r="BE40" i="11"/>
  <c r="BF40" i="11" s="1"/>
  <c r="BE39" i="11"/>
  <c r="BF39" i="11" s="1"/>
  <c r="BE35" i="11"/>
  <c r="BF35" i="11" s="1"/>
  <c r="BE37" i="11"/>
  <c r="BF37" i="11" s="1"/>
  <c r="BE558" i="11"/>
  <c r="BF558" i="11" s="1"/>
  <c r="BE581" i="11"/>
  <c r="BF581" i="11" s="1"/>
  <c r="BE764" i="11"/>
  <c r="BF764" i="11" s="1"/>
  <c r="BE198" i="11"/>
  <c r="BF198" i="11" s="1"/>
  <c r="BE880" i="11"/>
  <c r="BF880" i="11" s="1"/>
  <c r="BE6" i="11"/>
  <c r="BF6" i="11" s="1"/>
  <c r="BE646" i="11"/>
  <c r="BF646" i="11" s="1"/>
  <c r="BE398" i="11"/>
  <c r="BF398" i="11" s="1"/>
  <c r="BG879" i="11"/>
  <c r="BG397" i="11"/>
  <c r="BE525" i="11"/>
  <c r="BF525" i="11" s="1"/>
  <c r="V11" i="11"/>
  <c r="V33" i="11"/>
  <c r="V35" i="11"/>
  <c r="V21" i="11"/>
  <c r="V23" i="11"/>
  <c r="V16" i="11"/>
  <c r="V22" i="11"/>
  <c r="V28" i="11"/>
  <c r="V15" i="11"/>
  <c r="V34" i="11"/>
  <c r="V27" i="11"/>
  <c r="V8" i="11"/>
  <c r="BG886" i="11"/>
  <c r="V20" i="11"/>
  <c r="W17" i="11"/>
  <c r="V29" i="11"/>
  <c r="V6" i="11"/>
  <c r="V31" i="11"/>
  <c r="BE455" i="11"/>
  <c r="BF455" i="11" s="1"/>
  <c r="V24" i="11"/>
  <c r="BO840" i="11"/>
  <c r="BD840" i="11" s="1"/>
  <c r="BG840" i="11" s="1"/>
  <c r="V19" i="11"/>
  <c r="V4" i="11"/>
  <c r="W30" i="11"/>
  <c r="U30" i="11"/>
  <c r="W38" i="11"/>
  <c r="U38" i="11"/>
  <c r="W20" i="11"/>
  <c r="U20" i="11"/>
  <c r="W13" i="11"/>
  <c r="U13" i="11"/>
  <c r="U44" i="11"/>
  <c r="W44" i="11"/>
  <c r="U15" i="11"/>
  <c r="W15" i="11"/>
  <c r="V79" i="11"/>
  <c r="U79" i="11"/>
  <c r="W39" i="11"/>
  <c r="V72" i="11"/>
  <c r="U72" i="11"/>
  <c r="W28" i="11"/>
  <c r="U28" i="11"/>
  <c r="W10" i="11"/>
  <c r="U10" i="11"/>
  <c r="W16" i="11"/>
  <c r="U16" i="11"/>
  <c r="W21" i="11"/>
  <c r="U21" i="11"/>
  <c r="W11" i="11"/>
  <c r="U11" i="11"/>
  <c r="W33" i="11"/>
  <c r="U33" i="11"/>
  <c r="W820" i="11"/>
  <c r="Y820" i="11" s="1"/>
  <c r="W822" i="11"/>
  <c r="Y822" i="11" s="1"/>
  <c r="W827" i="11"/>
  <c r="Y827" i="11" s="1"/>
  <c r="U39" i="11"/>
  <c r="U34" i="11"/>
  <c r="W34" i="11"/>
  <c r="V77" i="11"/>
  <c r="U77" i="11"/>
  <c r="W12" i="11"/>
  <c r="U12" i="11"/>
  <c r="W821" i="11"/>
  <c r="Y821" i="11" s="1"/>
  <c r="W830" i="11"/>
  <c r="Y830" i="11" s="1"/>
  <c r="V75" i="11"/>
  <c r="U75" i="11"/>
  <c r="U9" i="11"/>
  <c r="W9" i="11"/>
  <c r="U45" i="11"/>
  <c r="W45" i="11"/>
  <c r="W816" i="11"/>
  <c r="Y816" i="11" s="1"/>
  <c r="W829" i="11"/>
  <c r="Y829" i="11" s="1"/>
  <c r="U76" i="11"/>
  <c r="V76" i="11"/>
  <c r="W819" i="11"/>
  <c r="Y819" i="11" s="1"/>
  <c r="U4" i="11"/>
  <c r="W4" i="11"/>
  <c r="W36" i="11"/>
  <c r="U36" i="11"/>
  <c r="U71" i="11"/>
  <c r="V71" i="11"/>
  <c r="V74" i="11"/>
  <c r="U74" i="11"/>
  <c r="W8" i="11"/>
  <c r="U8" i="11"/>
  <c r="W41" i="11"/>
  <c r="U41" i="11"/>
  <c r="V36" i="11"/>
  <c r="W31" i="11"/>
  <c r="U31" i="11"/>
  <c r="V13" i="11"/>
  <c r="W824" i="11"/>
  <c r="Y824" i="11" s="1"/>
  <c r="W42" i="11"/>
  <c r="U42" i="11"/>
  <c r="W27" i="11"/>
  <c r="U27" i="11"/>
  <c r="W32" i="11"/>
  <c r="U32" i="11"/>
  <c r="V7" i="11"/>
  <c r="W35" i="11"/>
  <c r="U35" i="11"/>
  <c r="V30" i="11"/>
  <c r="W817" i="11"/>
  <c r="Y817" i="11" s="1"/>
  <c r="U47" i="11"/>
  <c r="V14" i="11"/>
  <c r="W76" i="11"/>
  <c r="W77" i="11"/>
  <c r="W47" i="11"/>
  <c r="W828" i="11"/>
  <c r="Y828" i="11" s="1"/>
  <c r="V17" i="11"/>
  <c r="U17" i="11"/>
  <c r="W5" i="11"/>
  <c r="U5" i="11"/>
  <c r="W23" i="11"/>
  <c r="U23" i="11"/>
  <c r="W25" i="11"/>
  <c r="U25" i="11"/>
  <c r="U19" i="11"/>
  <c r="W19" i="11"/>
  <c r="W18" i="11"/>
  <c r="U18" i="11"/>
  <c r="W37" i="11"/>
  <c r="U37" i="11"/>
  <c r="V73" i="11"/>
  <c r="U73" i="11"/>
  <c r="U29" i="11"/>
  <c r="W29" i="11"/>
  <c r="V12" i="11"/>
  <c r="V18" i="11"/>
  <c r="U14" i="11"/>
  <c r="W14" i="11"/>
  <c r="V9" i="11"/>
  <c r="V26" i="11"/>
  <c r="U24" i="11"/>
  <c r="W24" i="11"/>
  <c r="U43" i="11"/>
  <c r="W79" i="11"/>
  <c r="W826" i="11"/>
  <c r="Y826" i="11" s="1"/>
  <c r="W71" i="11"/>
  <c r="W43" i="11"/>
  <c r="W823" i="11"/>
  <c r="Y823" i="11" s="1"/>
  <c r="W825" i="11"/>
  <c r="Y825" i="11" s="1"/>
  <c r="U48" i="11"/>
  <c r="W26" i="11"/>
  <c r="U26" i="11"/>
  <c r="W6" i="11"/>
  <c r="U6" i="11"/>
  <c r="V10" i="11"/>
  <c r="V37" i="11"/>
  <c r="W7" i="11"/>
  <c r="U7" i="11"/>
  <c r="W818" i="11"/>
  <c r="Y818" i="11" s="1"/>
  <c r="W73" i="11"/>
  <c r="W48" i="11"/>
  <c r="W46" i="11"/>
  <c r="U46" i="11"/>
  <c r="W40" i="11"/>
  <c r="U40" i="11"/>
  <c r="V5" i="11"/>
  <c r="V25" i="11"/>
  <c r="V78" i="11"/>
  <c r="U78" i="11"/>
  <c r="W22" i="11"/>
  <c r="U22" i="11"/>
  <c r="W72" i="11"/>
  <c r="T48" i="11"/>
  <c r="T73" i="11"/>
  <c r="T79" i="11"/>
  <c r="T64" i="11"/>
  <c r="T76" i="11"/>
  <c r="T71" i="11"/>
  <c r="BE523" i="11"/>
  <c r="BF523" i="11" s="1"/>
  <c r="BE401" i="11"/>
  <c r="BF401" i="11" s="1"/>
  <c r="BE126" i="11"/>
  <c r="BF126" i="11" s="1"/>
  <c r="BG178" i="11"/>
  <c r="BO839" i="11"/>
  <c r="BD839" i="11" s="1"/>
  <c r="BG839" i="11" s="1"/>
  <c r="BG881" i="11"/>
  <c r="BE763" i="11"/>
  <c r="BF763" i="11" s="1"/>
  <c r="BG58" i="11"/>
  <c r="BG765" i="11"/>
  <c r="BG784" i="11"/>
  <c r="BE784" i="11"/>
  <c r="BF784" i="11" s="1"/>
  <c r="BG864" i="11"/>
  <c r="BG985" i="11"/>
  <c r="BE985" i="11"/>
  <c r="BF985" i="11" s="1"/>
  <c r="BG965" i="11"/>
  <c r="BE965" i="11"/>
  <c r="BF965" i="11" s="1"/>
  <c r="BG946" i="11"/>
  <c r="BE946" i="11"/>
  <c r="BF946" i="11" s="1"/>
  <c r="BG923" i="11"/>
  <c r="BE923" i="11"/>
  <c r="BF923" i="11" s="1"/>
  <c r="BG1021" i="11"/>
  <c r="BE1021" i="11"/>
  <c r="BF1021" i="11" s="1"/>
  <c r="BE919" i="11"/>
  <c r="BF919" i="11" s="1"/>
  <c r="BG919" i="11"/>
  <c r="BG994" i="11"/>
  <c r="BE994" i="11"/>
  <c r="BF994" i="11" s="1"/>
  <c r="BG1017" i="11"/>
  <c r="BE1017" i="11"/>
  <c r="BF1017" i="11" s="1"/>
  <c r="BG1001" i="11"/>
  <c r="BE1001" i="11"/>
  <c r="BF1001" i="11" s="1"/>
  <c r="BG964" i="11"/>
  <c r="BE964" i="11"/>
  <c r="BF964" i="11" s="1"/>
  <c r="BG921" i="11"/>
  <c r="BE921" i="11"/>
  <c r="BF921" i="11" s="1"/>
  <c r="BG917" i="11"/>
  <c r="BE917" i="11"/>
  <c r="BF917" i="11" s="1"/>
  <c r="BE987" i="11"/>
  <c r="BF987" i="11" s="1"/>
  <c r="BG987" i="11"/>
  <c r="BG1018" i="11"/>
  <c r="BE1018" i="11"/>
  <c r="BF1018" i="11" s="1"/>
  <c r="BG986" i="11"/>
  <c r="BE986" i="11"/>
  <c r="BF986" i="11" s="1"/>
  <c r="BG962" i="11"/>
  <c r="BE962" i="11"/>
  <c r="BF962" i="11" s="1"/>
  <c r="BG930" i="11"/>
  <c r="BE930" i="11"/>
  <c r="BF930" i="11" s="1"/>
  <c r="BG1010" i="11"/>
  <c r="BE1010" i="11"/>
  <c r="BF1010" i="11" s="1"/>
  <c r="BG927" i="11"/>
  <c r="BE927" i="11"/>
  <c r="BF927" i="11" s="1"/>
  <c r="BG480" i="11"/>
  <c r="BG961" i="11"/>
  <c r="BE888" i="11"/>
  <c r="BF888" i="11" s="1"/>
  <c r="BG918" i="11"/>
  <c r="BE918" i="11"/>
  <c r="BF918" i="11" s="1"/>
  <c r="BG949" i="11"/>
  <c r="BE949" i="11"/>
  <c r="BF949" i="11" s="1"/>
  <c r="BG947" i="11"/>
  <c r="BE947" i="11"/>
  <c r="BF947" i="11" s="1"/>
  <c r="BE908" i="11"/>
  <c r="BF908" i="11" s="1"/>
  <c r="BG908" i="11"/>
  <c r="BG957" i="11"/>
  <c r="BE957" i="11"/>
  <c r="BF957" i="11" s="1"/>
  <c r="BG989" i="11"/>
  <c r="BE989" i="11"/>
  <c r="BF989" i="11" s="1"/>
  <c r="BE937" i="11"/>
  <c r="BF937" i="11" s="1"/>
  <c r="BG937" i="11"/>
  <c r="BG933" i="11"/>
  <c r="BE933" i="11"/>
  <c r="BF933" i="11" s="1"/>
  <c r="BE1003" i="11"/>
  <c r="BF1003" i="11" s="1"/>
  <c r="BG1003" i="11"/>
  <c r="BG1007" i="11"/>
  <c r="BE1007" i="11"/>
  <c r="BF1007" i="11" s="1"/>
  <c r="BG943" i="11"/>
  <c r="BE943" i="11"/>
  <c r="BF943" i="11" s="1"/>
  <c r="BG1009" i="11"/>
  <c r="BE1009" i="11"/>
  <c r="BF1009" i="11" s="1"/>
  <c r="BG976" i="11"/>
  <c r="BE976" i="11"/>
  <c r="BF976" i="11" s="1"/>
  <c r="BE990" i="11"/>
  <c r="BF990" i="11" s="1"/>
  <c r="BG990" i="11"/>
  <c r="BE958" i="11"/>
  <c r="BF958" i="11" s="1"/>
  <c r="BG958" i="11"/>
  <c r="BG915" i="11"/>
  <c r="BE915" i="11"/>
  <c r="BF915" i="11" s="1"/>
  <c r="BE996" i="11"/>
  <c r="BF996" i="11" s="1"/>
  <c r="T821" i="11"/>
  <c r="T824" i="11"/>
  <c r="BG56" i="11"/>
  <c r="T830" i="11"/>
  <c r="BG522" i="11"/>
  <c r="T826" i="11"/>
  <c r="BE7" i="11"/>
  <c r="BF7" i="11" s="1"/>
  <c r="T816" i="11"/>
  <c r="BE649" i="11"/>
  <c r="BF649" i="11" s="1"/>
  <c r="T823" i="11"/>
  <c r="T825" i="11"/>
  <c r="BE4" i="11"/>
  <c r="BF4" i="11" s="1"/>
  <c r="T828" i="11"/>
  <c r="T822" i="11"/>
  <c r="T63" i="11"/>
  <c r="T817" i="11"/>
  <c r="BE648" i="11"/>
  <c r="BF648" i="11" s="1"/>
  <c r="T827" i="11"/>
  <c r="T829" i="11"/>
  <c r="T820" i="11"/>
  <c r="T818" i="11"/>
  <c r="T819" i="11"/>
  <c r="T44" i="11"/>
  <c r="BE910" i="11"/>
  <c r="BF910" i="11" s="1"/>
  <c r="T18" i="11"/>
  <c r="BG404" i="11"/>
  <c r="BG954" i="11"/>
  <c r="BG966" i="11"/>
  <c r="BE963" i="11"/>
  <c r="BF963" i="11" s="1"/>
  <c r="BE1019" i="11"/>
  <c r="BF1019" i="11" s="1"/>
  <c r="BE999" i="11"/>
  <c r="BF999" i="11" s="1"/>
  <c r="BG926" i="11"/>
  <c r="BE980" i="11"/>
  <c r="BF980" i="11" s="1"/>
  <c r="BE768" i="11"/>
  <c r="BF768" i="11" s="1"/>
  <c r="BE1025" i="11"/>
  <c r="BF1025" i="11" s="1"/>
  <c r="T35" i="11"/>
  <c r="T15" i="11"/>
  <c r="BE1138" i="11"/>
  <c r="BF1138" i="11" s="1"/>
  <c r="BE1029" i="11"/>
  <c r="BF1029" i="11" s="1"/>
  <c r="BE1012" i="11"/>
  <c r="BF1012" i="11" s="1"/>
  <c r="BE1022" i="11"/>
  <c r="BF1022" i="11" s="1"/>
  <c r="BE1005" i="11"/>
  <c r="BF1005" i="11" s="1"/>
  <c r="BE1013" i="11"/>
  <c r="BF1013" i="11" s="1"/>
  <c r="BE977" i="11"/>
  <c r="BF977" i="11" s="1"/>
  <c r="T25" i="11"/>
  <c r="BG403" i="11"/>
  <c r="T39" i="11"/>
  <c r="BG960" i="11"/>
  <c r="T14" i="11"/>
  <c r="BE979" i="11"/>
  <c r="BF979" i="11" s="1"/>
  <c r="BG48" i="11"/>
  <c r="BE48" i="11"/>
  <c r="BF48" i="11" s="1"/>
  <c r="BE951" i="11"/>
  <c r="BF951" i="11" s="1"/>
  <c r="BE225" i="11"/>
  <c r="BF225" i="11" s="1"/>
  <c r="T24" i="11"/>
  <c r="T22" i="11"/>
  <c r="T66" i="11"/>
  <c r="T65" i="11"/>
  <c r="T43" i="11"/>
  <c r="T7" i="11"/>
  <c r="BG1004" i="11"/>
  <c r="BE1004" i="11"/>
  <c r="BF1004" i="11" s="1"/>
  <c r="T19" i="11"/>
  <c r="T74" i="11"/>
  <c r="BG887" i="11"/>
  <c r="BE887" i="11"/>
  <c r="BF887" i="11" s="1"/>
  <c r="T78" i="11"/>
  <c r="T12" i="11"/>
  <c r="BE45" i="11"/>
  <c r="BF45" i="11" s="1"/>
  <c r="BG45" i="11"/>
  <c r="T68" i="11"/>
  <c r="T47" i="11"/>
  <c r="BE1014" i="11"/>
  <c r="BF1014" i="11" s="1"/>
  <c r="BG1014" i="11"/>
  <c r="BG974" i="11"/>
  <c r="BE974" i="11"/>
  <c r="BF974" i="11" s="1"/>
  <c r="BG920" i="11"/>
  <c r="BE920" i="11"/>
  <c r="BF920" i="11" s="1"/>
  <c r="BG931" i="11"/>
  <c r="BE931" i="11"/>
  <c r="BF931" i="11" s="1"/>
  <c r="T13" i="11"/>
  <c r="BG1056" i="11"/>
  <c r="BE1056" i="11"/>
  <c r="BF1056" i="11" s="1"/>
  <c r="BE1011" i="11"/>
  <c r="BF1011" i="11" s="1"/>
  <c r="BG1011" i="11"/>
  <c r="BE973" i="11"/>
  <c r="BF973" i="11" s="1"/>
  <c r="BG973" i="11"/>
  <c r="BG914" i="11"/>
  <c r="BE914" i="11"/>
  <c r="BF914" i="11" s="1"/>
  <c r="BE970" i="11"/>
  <c r="BF970" i="11" s="1"/>
  <c r="BG970" i="11"/>
  <c r="BG924" i="11"/>
  <c r="BE924" i="11"/>
  <c r="BF924" i="11" s="1"/>
  <c r="BG912" i="11"/>
  <c r="BE912" i="11"/>
  <c r="BF912" i="11" s="1"/>
  <c r="BG953" i="11"/>
  <c r="BE953" i="11"/>
  <c r="BF953" i="11" s="1"/>
  <c r="BG967" i="11"/>
  <c r="BE967" i="11"/>
  <c r="BF967" i="11" s="1"/>
  <c r="BG932" i="11"/>
  <c r="BE932" i="11"/>
  <c r="BF932" i="11" s="1"/>
  <c r="BG406" i="11"/>
  <c r="BE406" i="11"/>
  <c r="BF406" i="11" s="1"/>
  <c r="BE405" i="11"/>
  <c r="BF405" i="11" s="1"/>
  <c r="BG405" i="11"/>
  <c r="T11" i="11"/>
  <c r="T45" i="11"/>
  <c r="BE561" i="11"/>
  <c r="BF561" i="11" s="1"/>
  <c r="BE991" i="11"/>
  <c r="BF991" i="11" s="1"/>
  <c r="BG991" i="11"/>
  <c r="BG978" i="11"/>
  <c r="BE978" i="11"/>
  <c r="BF978" i="11" s="1"/>
  <c r="BG997" i="11"/>
  <c r="BE997" i="11"/>
  <c r="BF997" i="11" s="1"/>
  <c r="BG909" i="11"/>
  <c r="BE909" i="11"/>
  <c r="BF909" i="11" s="1"/>
  <c r="T72" i="11"/>
  <c r="T30" i="11"/>
  <c r="T20" i="11"/>
  <c r="BG988" i="11"/>
  <c r="BE988" i="11"/>
  <c r="BF988" i="11" s="1"/>
  <c r="BG1002" i="11"/>
  <c r="BE1002" i="11"/>
  <c r="BF1002" i="11" s="1"/>
  <c r="BG992" i="11"/>
  <c r="BE992" i="11"/>
  <c r="BF992" i="11" s="1"/>
  <c r="BG50" i="11"/>
  <c r="BE50" i="11"/>
  <c r="BF50" i="11" s="1"/>
  <c r="T16" i="11"/>
  <c r="BG916" i="11"/>
  <c r="BE916" i="11"/>
  <c r="BF916" i="11" s="1"/>
  <c r="BE402" i="11"/>
  <c r="BF402" i="11" s="1"/>
  <c r="BG402" i="11"/>
  <c r="T62" i="11"/>
  <c r="T36" i="11"/>
  <c r="BE972" i="11"/>
  <c r="BF972" i="11" s="1"/>
  <c r="BG972" i="11"/>
  <c r="T69" i="11"/>
  <c r="T6" i="11"/>
  <c r="T9" i="11"/>
  <c r="BG59" i="11"/>
  <c r="BE59" i="11"/>
  <c r="BF59" i="11" s="1"/>
  <c r="T67" i="11"/>
  <c r="T42" i="11"/>
  <c r="T40" i="11"/>
  <c r="T10" i="11"/>
  <c r="BE1006" i="11"/>
  <c r="BF1006" i="11" s="1"/>
  <c r="BG1006" i="11"/>
  <c r="BG1020" i="11"/>
  <c r="BE1020" i="11"/>
  <c r="BF1020" i="11" s="1"/>
  <c r="BE950" i="11"/>
  <c r="BF950" i="11" s="1"/>
  <c r="BG950" i="11"/>
  <c r="BE929" i="11"/>
  <c r="BF929" i="11" s="1"/>
  <c r="BG929" i="11"/>
  <c r="BE944" i="11"/>
  <c r="BF944" i="11" s="1"/>
  <c r="BG944" i="11"/>
  <c r="T27" i="11"/>
  <c r="T75" i="11"/>
  <c r="T8" i="11"/>
  <c r="BE995" i="11"/>
  <c r="BF995" i="11" s="1"/>
  <c r="BG995" i="11"/>
  <c r="BG969" i="11"/>
  <c r="BE969" i="11"/>
  <c r="BF969" i="11" s="1"/>
  <c r="BE941" i="11"/>
  <c r="BF941" i="11" s="1"/>
  <c r="BG941" i="11"/>
  <c r="BG939" i="11"/>
  <c r="BE939" i="11"/>
  <c r="BF939" i="11" s="1"/>
  <c r="BE57" i="11"/>
  <c r="BF57" i="11" s="1"/>
  <c r="BG57" i="11"/>
  <c r="BG52" i="11"/>
  <c r="BE52" i="11"/>
  <c r="BF52" i="11" s="1"/>
  <c r="BE983" i="11"/>
  <c r="BF983" i="11" s="1"/>
  <c r="BG983" i="11"/>
  <c r="BG938" i="11"/>
  <c r="BE938" i="11"/>
  <c r="BF938" i="11" s="1"/>
  <c r="BE913" i="11"/>
  <c r="BF913" i="11" s="1"/>
  <c r="BG913" i="11"/>
  <c r="BG940" i="11"/>
  <c r="BE940" i="11"/>
  <c r="BF940" i="11" s="1"/>
  <c r="BE911" i="11"/>
  <c r="BF911" i="11" s="1"/>
  <c r="BG911" i="11"/>
  <c r="BE934" i="11"/>
  <c r="BF934" i="11" s="1"/>
  <c r="BG934" i="11"/>
  <c r="BG1201" i="11"/>
  <c r="BE1201" i="11"/>
  <c r="BF1201" i="11" s="1"/>
  <c r="T26" i="11"/>
  <c r="T61" i="11"/>
  <c r="T4" i="11"/>
  <c r="BE1024" i="11"/>
  <c r="BF1024" i="11" s="1"/>
  <c r="BG1024" i="11"/>
  <c r="BG975" i="11"/>
  <c r="BE975" i="11"/>
  <c r="BF975" i="11" s="1"/>
  <c r="BE998" i="11"/>
  <c r="BF998" i="11" s="1"/>
  <c r="BG998" i="11"/>
  <c r="BG981" i="11"/>
  <c r="BE981" i="11"/>
  <c r="BF981" i="11" s="1"/>
  <c r="BG928" i="11"/>
  <c r="BE928" i="11"/>
  <c r="BF928" i="11" s="1"/>
  <c r="BG948" i="11"/>
  <c r="BE948" i="11"/>
  <c r="BF948" i="11" s="1"/>
  <c r="BG47" i="11"/>
  <c r="BE47" i="11"/>
  <c r="BF47" i="11" s="1"/>
  <c r="BG46" i="11"/>
  <c r="BE46" i="11"/>
  <c r="BF46" i="11" s="1"/>
  <c r="T32" i="11"/>
  <c r="BG1008" i="11"/>
  <c r="BE1008" i="11"/>
  <c r="BF1008" i="11" s="1"/>
  <c r="BG945" i="11"/>
  <c r="BE945" i="11"/>
  <c r="BF945" i="11" s="1"/>
  <c r="BG936" i="11"/>
  <c r="BE936" i="11"/>
  <c r="BF936" i="11" s="1"/>
  <c r="T46" i="11"/>
  <c r="T41" i="11"/>
  <c r="T5" i="11"/>
  <c r="BG922" i="11"/>
  <c r="BE922" i="11"/>
  <c r="BF922" i="11" s="1"/>
  <c r="BG968" i="11"/>
  <c r="BE968" i="11"/>
  <c r="BF968" i="11" s="1"/>
  <c r="BG952" i="11"/>
  <c r="BE952" i="11"/>
  <c r="BF952" i="11" s="1"/>
  <c r="T38" i="11"/>
  <c r="T77" i="11"/>
  <c r="T29" i="11"/>
  <c r="BG1057" i="11"/>
  <c r="BE1057" i="11"/>
  <c r="BF1057" i="11" s="1"/>
  <c r="BG526" i="11"/>
  <c r="BE526" i="11"/>
  <c r="BF526" i="11" s="1"/>
  <c r="BG959" i="11"/>
  <c r="BE959" i="11"/>
  <c r="BF959" i="11" s="1"/>
  <c r="BG1000" i="11"/>
  <c r="BE1000" i="11"/>
  <c r="BF1000" i="11" s="1"/>
  <c r="BG971" i="11"/>
  <c r="BE971" i="11"/>
  <c r="BF971" i="11" s="1"/>
  <c r="BE55" i="11"/>
  <c r="BF55" i="11" s="1"/>
  <c r="BG55" i="11"/>
  <c r="T37" i="11"/>
  <c r="T17" i="11"/>
  <c r="T3" i="11"/>
  <c r="T21" i="11"/>
  <c r="BG1015" i="11"/>
  <c r="BE1015" i="11"/>
  <c r="BF1015" i="11" s="1"/>
  <c r="T34" i="11"/>
  <c r="BG1016" i="11"/>
  <c r="BE1016" i="11"/>
  <c r="BF1016" i="11" s="1"/>
  <c r="BG993" i="11"/>
  <c r="BE993" i="11"/>
  <c r="BF993" i="11" s="1"/>
  <c r="BE956" i="11"/>
  <c r="BF956" i="11" s="1"/>
  <c r="BG956" i="11"/>
  <c r="BG925" i="11"/>
  <c r="BE925" i="11"/>
  <c r="BF925" i="11" s="1"/>
  <c r="BG955" i="11"/>
  <c r="BE955" i="11"/>
  <c r="BF955" i="11" s="1"/>
  <c r="BG984" i="11"/>
  <c r="BE984" i="11"/>
  <c r="BF984" i="11" s="1"/>
  <c r="T28" i="11"/>
  <c r="T33" i="11"/>
  <c r="T31" i="11"/>
  <c r="T23" i="11"/>
  <c r="BG44" i="11" l="1"/>
  <c r="BE44" i="11"/>
  <c r="BF44" i="11" s="1"/>
  <c r="Y3" i="11"/>
  <c r="Y34" i="11"/>
  <c r="BE839" i="11"/>
  <c r="BF839" i="11" s="1"/>
  <c r="BE840" i="11"/>
  <c r="BF840" i="11" s="1"/>
  <c r="Y45" i="11"/>
  <c r="Y24" i="11"/>
  <c r="Y10" i="11"/>
  <c r="Y33" i="11"/>
  <c r="Y8" i="11"/>
  <c r="Y22" i="11"/>
  <c r="Y18" i="11"/>
  <c r="Y15" i="11"/>
  <c r="Y6" i="11"/>
  <c r="Y48" i="11"/>
  <c r="Y27" i="11"/>
  <c r="Y21" i="11"/>
  <c r="Y16" i="11"/>
  <c r="Y31" i="11"/>
  <c r="Y28" i="11"/>
  <c r="Y7" i="11"/>
  <c r="Y32" i="11"/>
  <c r="Y78" i="11"/>
  <c r="Y20" i="11"/>
  <c r="Y19" i="11"/>
  <c r="Y30" i="11"/>
  <c r="Y23" i="11"/>
  <c r="Y35" i="11"/>
  <c r="Y76" i="11"/>
  <c r="Y41" i="11"/>
  <c r="Y29" i="11"/>
  <c r="Y17" i="11"/>
  <c r="Y72" i="11"/>
  <c r="Y39" i="11"/>
  <c r="Y37" i="11"/>
  <c r="Y47" i="11"/>
  <c r="Y13" i="11"/>
  <c r="Y11" i="11"/>
  <c r="Y75" i="11"/>
  <c r="Y4" i="11"/>
  <c r="Y79" i="11"/>
  <c r="Y36" i="11"/>
  <c r="Y12" i="11"/>
  <c r="Y73" i="11"/>
  <c r="Y44" i="11"/>
  <c r="Y25" i="11"/>
  <c r="Y43" i="11"/>
  <c r="Y77" i="11"/>
  <c r="Y5" i="11"/>
  <c r="Y14" i="11"/>
  <c r="Y40" i="11"/>
  <c r="Y26" i="11"/>
  <c r="Y74" i="11"/>
  <c r="Y38" i="11"/>
  <c r="Y42" i="11"/>
  <c r="Y71" i="11"/>
  <c r="Y46" i="11"/>
  <c r="Y9" i="11"/>
  <c r="BF200" i="11" l="1"/>
  <c r="BF199" i="11"/>
  <c r="BG199" i="11" l="1"/>
</calcChain>
</file>

<file path=xl/sharedStrings.xml><?xml version="1.0" encoding="utf-8"?>
<sst xmlns="http://schemas.openxmlformats.org/spreadsheetml/2006/main" count="45426" uniqueCount="894">
  <si>
    <t>PFBA</t>
  </si>
  <si>
    <t>PFBS</t>
  </si>
  <si>
    <t>PFHxA</t>
  </si>
  <si>
    <t>PFHxS</t>
  </si>
  <si>
    <t>PFOA</t>
  </si>
  <si>
    <t>PFOS</t>
  </si>
  <si>
    <t>PFNA</t>
  </si>
  <si>
    <t>PFDoA</t>
  </si>
  <si>
    <t>PFPeA</t>
  </si>
  <si>
    <t>PFHpA</t>
  </si>
  <si>
    <t>PFDA</t>
  </si>
  <si>
    <t>PFDS</t>
  </si>
  <si>
    <t>log</t>
  </si>
  <si>
    <t>PFAS</t>
  </si>
  <si>
    <t>Kow</t>
  </si>
  <si>
    <t>%</t>
  </si>
  <si>
    <t>matrix</t>
  </si>
  <si>
    <t>pH</t>
  </si>
  <si>
    <t>Fe</t>
  </si>
  <si>
    <t>Al</t>
  </si>
  <si>
    <t>Silt</t>
  </si>
  <si>
    <t>Clay</t>
  </si>
  <si>
    <t>Corg</t>
  </si>
  <si>
    <t>foc</t>
  </si>
  <si>
    <t>Kd</t>
  </si>
  <si>
    <t>abreviation</t>
  </si>
  <si>
    <t>(g/kg)</t>
  </si>
  <si>
    <t>(mmol/kg)</t>
  </si>
  <si>
    <t>L/Kg</t>
  </si>
  <si>
    <t>soil</t>
  </si>
  <si>
    <t>ALM</t>
  </si>
  <si>
    <t>Asc / OA</t>
  </si>
  <si>
    <t>0,01 M CaCl2 + 0,1 % NaN3</t>
  </si>
  <si>
    <t>DELTA2</t>
  </si>
  <si>
    <t>OVI01</t>
  </si>
  <si>
    <t>UIAR</t>
  </si>
  <si>
    <t>BRA</t>
  </si>
  <si>
    <t>DUBLIN</t>
  </si>
  <si>
    <t>KOM</t>
  </si>
  <si>
    <t>Lower Layer</t>
  </si>
  <si>
    <t>Sandy Clay Loam C</t>
  </si>
  <si>
    <t>CBD</t>
  </si>
  <si>
    <t>AGW + 1g/L NaN3</t>
  </si>
  <si>
    <t>Upper layer</t>
  </si>
  <si>
    <t>Agripolis soil</t>
  </si>
  <si>
    <t>0,01 M CaCl2 + 1 g/L NaN3</t>
  </si>
  <si>
    <t>Loamy sand A</t>
  </si>
  <si>
    <t>organic soil horitzon</t>
  </si>
  <si>
    <t>0,1 M HNO3</t>
  </si>
  <si>
    <t>MIXTURE EXPERIMENTS</t>
  </si>
  <si>
    <t>Loam B</t>
  </si>
  <si>
    <t>ASCO</t>
  </si>
  <si>
    <t>Sj. Odde</t>
  </si>
  <si>
    <t>0,1 M CaCl2</t>
  </si>
  <si>
    <t>Jynnevard</t>
  </si>
  <si>
    <t>-</t>
  </si>
  <si>
    <t>GOLOSO</t>
  </si>
  <si>
    <t>S2</t>
  </si>
  <si>
    <t>S3</t>
  </si>
  <si>
    <t>S4</t>
  </si>
  <si>
    <t>S6</t>
  </si>
  <si>
    <t>S5</t>
  </si>
  <si>
    <t>S1</t>
  </si>
  <si>
    <t>sediment</t>
  </si>
  <si>
    <t>fresh sediment</t>
  </si>
  <si>
    <t>1 mM NaHCO3 + 1 mM NaCl</t>
  </si>
  <si>
    <t>N1</t>
  </si>
  <si>
    <t>15 PSU ASW</t>
  </si>
  <si>
    <t>N4</t>
  </si>
  <si>
    <t>N7</t>
  </si>
  <si>
    <t>N9-FC</t>
  </si>
  <si>
    <t>N10-TC</t>
  </si>
  <si>
    <t>N12</t>
  </si>
  <si>
    <t>N13</t>
  </si>
  <si>
    <t>N14</t>
  </si>
  <si>
    <t>N15</t>
  </si>
  <si>
    <t>N16</t>
  </si>
  <si>
    <t>S7</t>
  </si>
  <si>
    <t>S9</t>
  </si>
  <si>
    <t>S11</t>
  </si>
  <si>
    <t>S13</t>
  </si>
  <si>
    <t>Syd1</t>
  </si>
  <si>
    <t>Syd2</t>
  </si>
  <si>
    <t>Syd4</t>
  </si>
  <si>
    <t>Syd5</t>
  </si>
  <si>
    <t>1:5 Water</t>
  </si>
  <si>
    <t>OA</t>
  </si>
  <si>
    <t>0,5 mM CaCl2</t>
  </si>
  <si>
    <t>B</t>
  </si>
  <si>
    <t>D</t>
  </si>
  <si>
    <t>S</t>
  </si>
  <si>
    <t>K</t>
  </si>
  <si>
    <t>L</t>
  </si>
  <si>
    <t>DCB</t>
  </si>
  <si>
    <t>APH</t>
  </si>
  <si>
    <t>Commercial ASM</t>
  </si>
  <si>
    <t>YG</t>
  </si>
  <si>
    <t>WD</t>
  </si>
  <si>
    <t>S10</t>
  </si>
  <si>
    <t>XRD</t>
  </si>
  <si>
    <t>0,01 M KNO3 + 0,001 M NaN3</t>
  </si>
  <si>
    <t>S09</t>
  </si>
  <si>
    <t>S08</t>
  </si>
  <si>
    <t>S07</t>
  </si>
  <si>
    <t>S06</t>
  </si>
  <si>
    <t>S05</t>
  </si>
  <si>
    <t>S04</t>
  </si>
  <si>
    <t>S03</t>
  </si>
  <si>
    <t>S02</t>
  </si>
  <si>
    <t>S01</t>
  </si>
  <si>
    <t>BS</t>
  </si>
  <si>
    <t>2 mM NaHCO3 + 1 mM NaCl + 3,1 mM NaN3</t>
  </si>
  <si>
    <t>NF</t>
  </si>
  <si>
    <t>SW</t>
  </si>
  <si>
    <t>CE</t>
  </si>
  <si>
    <t>UND</t>
  </si>
  <si>
    <t>ID1</t>
  </si>
  <si>
    <t>ID2</t>
  </si>
  <si>
    <t>ID3</t>
  </si>
  <si>
    <t>ID4</t>
  </si>
  <si>
    <t>ID5</t>
  </si>
  <si>
    <t>N!6</t>
  </si>
  <si>
    <t>CaCl2</t>
  </si>
  <si>
    <t>0,01 M CaCl2</t>
  </si>
  <si>
    <t>paddy soil</t>
  </si>
  <si>
    <t>0,01 M KCl + 0,3 % NaN3</t>
  </si>
  <si>
    <t>Sediment 1</t>
  </si>
  <si>
    <t>Millipore Water</t>
  </si>
  <si>
    <t>Sediment 2</t>
  </si>
  <si>
    <t>Peat</t>
  </si>
  <si>
    <t>Sediment 3</t>
  </si>
  <si>
    <t>CME</t>
  </si>
  <si>
    <t>10 mM NaCl</t>
  </si>
  <si>
    <t>CQ</t>
  </si>
  <si>
    <t>NJ</t>
  </si>
  <si>
    <t>CMW</t>
  </si>
  <si>
    <t>ZG</t>
  </si>
  <si>
    <t>WH</t>
  </si>
  <si>
    <t>ASW</t>
  </si>
  <si>
    <t>Lake Michigan</t>
  </si>
  <si>
    <t>KNO3</t>
  </si>
  <si>
    <t>TH9</t>
  </si>
  <si>
    <t>0,005 M CaCl2</t>
  </si>
  <si>
    <t>TH10</t>
  </si>
  <si>
    <t>TH8</t>
  </si>
  <si>
    <t>TH7</t>
  </si>
  <si>
    <t>MY5</t>
  </si>
  <si>
    <t>MY2</t>
  </si>
  <si>
    <t>MY3</t>
  </si>
  <si>
    <t>MY4</t>
  </si>
  <si>
    <t>TH6</t>
  </si>
  <si>
    <t>TH5</t>
  </si>
  <si>
    <t>TH4</t>
  </si>
  <si>
    <t>TH3</t>
  </si>
  <si>
    <t>TH1</t>
  </si>
  <si>
    <t>TH2</t>
  </si>
  <si>
    <t>MY1</t>
  </si>
  <si>
    <t>Modified DSW</t>
  </si>
  <si>
    <t>JS</t>
  </si>
  <si>
    <t>JX</t>
  </si>
  <si>
    <t>GX</t>
  </si>
  <si>
    <t>HLJ</t>
  </si>
  <si>
    <t>GD</t>
  </si>
  <si>
    <t>1:2 Water</t>
  </si>
  <si>
    <t>Vintun</t>
  </si>
  <si>
    <t>5 M HNO3</t>
  </si>
  <si>
    <t>SGW</t>
  </si>
  <si>
    <t>Eustis</t>
  </si>
  <si>
    <t>Paddyfield</t>
  </si>
  <si>
    <t>BNA</t>
  </si>
  <si>
    <t>soill:water 1:5</t>
  </si>
  <si>
    <t>STA</t>
  </si>
  <si>
    <t>BDA</t>
  </si>
  <si>
    <t>MTA</t>
  </si>
  <si>
    <t>I</t>
  </si>
  <si>
    <t>TXA</t>
  </si>
  <si>
    <t>GIA</t>
  </si>
  <si>
    <t>SGA</t>
  </si>
  <si>
    <t>PFUnA</t>
  </si>
  <si>
    <t>PFTrA</t>
  </si>
  <si>
    <t>PFTeA</t>
  </si>
  <si>
    <t>Nguyen</t>
  </si>
  <si>
    <t>S8</t>
  </si>
  <si>
    <t>1:10 CaCl2</t>
  </si>
  <si>
    <t>10 mM CaCl2</t>
  </si>
  <si>
    <t>g/L</t>
  </si>
  <si>
    <t>PFPeS</t>
  </si>
  <si>
    <t>PFHpS</t>
  </si>
  <si>
    <t>PFNS</t>
  </si>
  <si>
    <t>Umeh</t>
  </si>
  <si>
    <t>1:5 MQ</t>
  </si>
  <si>
    <t>1/n</t>
  </si>
  <si>
    <t>ppb</t>
  </si>
  <si>
    <t>First author</t>
  </si>
  <si>
    <t>name</t>
  </si>
  <si>
    <t>Campos-Pereira</t>
  </si>
  <si>
    <t>year</t>
  </si>
  <si>
    <t>Journal</t>
  </si>
  <si>
    <t>DOI</t>
  </si>
  <si>
    <t>Chemosphere</t>
  </si>
  <si>
    <t>Fabregat-Palau</t>
  </si>
  <si>
    <t>Science of the Total Environment</t>
  </si>
  <si>
    <t>McLachlan</t>
  </si>
  <si>
    <t>Environmental Science and Technology</t>
  </si>
  <si>
    <t>Guelfo</t>
  </si>
  <si>
    <t>Environmental Pollution</t>
  </si>
  <si>
    <t>Gredelj</t>
  </si>
  <si>
    <t>Milinovic</t>
  </si>
  <si>
    <t>10.1007/s00216-010-4066-0</t>
  </si>
  <si>
    <t>Analytical Bioanalytical Chemistry</t>
  </si>
  <si>
    <t>Enevoldsen</t>
  </si>
  <si>
    <t>Aly</t>
  </si>
  <si>
    <t>Env Sci WR&amp;T</t>
  </si>
  <si>
    <t>10.1039/c9ew00426b</t>
  </si>
  <si>
    <t>Cai</t>
  </si>
  <si>
    <t>Clarke Hill</t>
  </si>
  <si>
    <t>1:5 CaCl2</t>
  </si>
  <si>
    <t>???</t>
  </si>
  <si>
    <t>500 mM CaCl2</t>
  </si>
  <si>
    <t>Oliver</t>
  </si>
  <si>
    <t>Jeon</t>
  </si>
  <si>
    <t>Huiting Chen</t>
  </si>
  <si>
    <t>10.1080/19443994.2013.792145</t>
  </si>
  <si>
    <t>Desalination and Water Treatment</t>
  </si>
  <si>
    <t>YanYin Chen</t>
  </si>
  <si>
    <t>10.1021/es061000n</t>
  </si>
  <si>
    <t>10.1039/c0em00791a</t>
  </si>
  <si>
    <t>Journal of Environmental Monitoring</t>
  </si>
  <si>
    <t>Miao</t>
  </si>
  <si>
    <t>Ecotoxicology &amp; Environmental Safety</t>
  </si>
  <si>
    <t>XIao</t>
  </si>
  <si>
    <t>10.1021/acs.est.9b05379</t>
  </si>
  <si>
    <t>6:2 FTS</t>
  </si>
  <si>
    <t>Minatoro</t>
  </si>
  <si>
    <t>Chao Yin</t>
  </si>
  <si>
    <t>8:2 FTS</t>
  </si>
  <si>
    <t>4:2 FTS</t>
  </si>
  <si>
    <t>Peat Oi</t>
  </si>
  <si>
    <t>Peat Oe</t>
  </si>
  <si>
    <t>Mor Oe</t>
  </si>
  <si>
    <t>10 mM  NaNO3</t>
  </si>
  <si>
    <t>Knight</t>
  </si>
  <si>
    <t>Yue Zhi</t>
  </si>
  <si>
    <t>Chemical Engeneering Journal</t>
  </si>
  <si>
    <t>10.1021/acs.jafc.8b03492</t>
  </si>
  <si>
    <t>J. Agricultural Food Chemistry</t>
  </si>
  <si>
    <t>10.1016/j.chemosphere.2011.06.046</t>
  </si>
  <si>
    <t>Lutz Ahrens</t>
  </si>
  <si>
    <t>Lei Xiang</t>
  </si>
  <si>
    <t>ChengLiang Li</t>
  </si>
  <si>
    <t>10.1039/c2em30394a</t>
  </si>
  <si>
    <t>Cw</t>
  </si>
  <si>
    <t>Cs</t>
  </si>
  <si>
    <t>Hong Chen</t>
  </si>
  <si>
    <t>Marine Pollution Bulletin</t>
  </si>
  <si>
    <t>Jounral of Chemical Engeneering Data</t>
  </si>
  <si>
    <t>10.1021/je060285g</t>
  </si>
  <si>
    <t>Jhonson</t>
  </si>
  <si>
    <t xml:space="preserve">Chun You </t>
  </si>
  <si>
    <t>doi:10.1016/j.envpol.2010.01.009</t>
  </si>
  <si>
    <t>Kwadijk</t>
  </si>
  <si>
    <t>Changlong Wei</t>
  </si>
  <si>
    <t>Gang Pan</t>
  </si>
  <si>
    <t>doi:10.1016/j.envpol.2008.06.035</t>
  </si>
  <si>
    <t>Mark L. Brusseau</t>
  </si>
  <si>
    <t>10.1021/acs.est.9b02343</t>
  </si>
  <si>
    <t>doi:10.1016/j.chemosphere.2009.09.008</t>
  </si>
  <si>
    <t>Jin Qian</t>
  </si>
  <si>
    <t>Xiao-Ting Chen</t>
  </si>
  <si>
    <t>Yanju Liu</t>
  </si>
  <si>
    <t>Environmental Technology &amp; Innovation</t>
  </si>
  <si>
    <t>MW</t>
  </si>
  <si>
    <t>Mean Kd value at the certain condition reported in Table S9</t>
  </si>
  <si>
    <t>ug/L</t>
  </si>
  <si>
    <t>F</t>
  </si>
  <si>
    <t>Contact solution</t>
  </si>
  <si>
    <t>F number</t>
  </si>
  <si>
    <t>%F</t>
  </si>
  <si>
    <t>C number</t>
  </si>
  <si>
    <t>C/F</t>
  </si>
  <si>
    <t>C8H5F13O3S</t>
  </si>
  <si>
    <t>0 psu salinity</t>
  </si>
  <si>
    <t>C10H5F17O3S</t>
  </si>
  <si>
    <t>Jinxia Liu</t>
  </si>
  <si>
    <t>10.1021/es051125c</t>
  </si>
  <si>
    <t>EPA-14</t>
  </si>
  <si>
    <t>Drummer-6</t>
  </si>
  <si>
    <t>Oakville-24</t>
  </si>
  <si>
    <t>7CB2</t>
  </si>
  <si>
    <t>SK96109 8</t>
  </si>
  <si>
    <t>8:2 FTOH</t>
  </si>
  <si>
    <t>4:2 FTOH</t>
  </si>
  <si>
    <t>10.1021/es070228n</t>
  </si>
  <si>
    <t>6:2 FTOH</t>
  </si>
  <si>
    <t>Brazen-Hanson</t>
  </si>
  <si>
    <t>artificial groundwater</t>
  </si>
  <si>
    <t>C6H5F9O</t>
  </si>
  <si>
    <t>FBSA</t>
  </si>
  <si>
    <t>C4H2F9NO2S</t>
  </si>
  <si>
    <t>FHxSA</t>
  </si>
  <si>
    <t>C6H2F13NO2S</t>
  </si>
  <si>
    <t>PFOSA</t>
  </si>
  <si>
    <t>C8H2F17NO2S</t>
  </si>
  <si>
    <t>C10H5F17O</t>
  </si>
  <si>
    <t xml:space="preserve">Empirical </t>
  </si>
  <si>
    <t>Formula</t>
  </si>
  <si>
    <t>[g/mol]</t>
  </si>
  <si>
    <t>[-]</t>
  </si>
  <si>
    <t>[n]</t>
  </si>
  <si>
    <t>[%]</t>
  </si>
  <si>
    <t>C4HF7O2</t>
  </si>
  <si>
    <t>C4HF9O3S</t>
  </si>
  <si>
    <t>C5HF9O2</t>
  </si>
  <si>
    <t>C5HF11O3S</t>
  </si>
  <si>
    <t>8:2 FtSaB</t>
  </si>
  <si>
    <t>10:2 FtSaB</t>
  </si>
  <si>
    <t>6:2 FtSaAm</t>
  </si>
  <si>
    <t>AmPr-FHxSA</t>
  </si>
  <si>
    <t>C11H13F13N2O2S</t>
  </si>
  <si>
    <t>TAmPr-FHxSA</t>
  </si>
  <si>
    <t>C12H15F13N2O2S</t>
  </si>
  <si>
    <t>PFOAAmS</t>
  </si>
  <si>
    <t>(umol/kg)/(umol/L)N</t>
  </si>
  <si>
    <t>log Kd</t>
  </si>
  <si>
    <t>PFOAB</t>
  </si>
  <si>
    <t>Subfamily</t>
  </si>
  <si>
    <t>C15H19F13N2O4S</t>
  </si>
  <si>
    <t>CEC</t>
  </si>
  <si>
    <t>cmol+/kg</t>
  </si>
  <si>
    <t>(nmol/kg)/(nmol/L)^N</t>
  </si>
  <si>
    <t>(umol/kg)/(umol/L)^N</t>
  </si>
  <si>
    <t>f(+)</t>
  </si>
  <si>
    <t>f(-)</t>
  </si>
  <si>
    <t>sum</t>
  </si>
  <si>
    <t>pKa1</t>
  </si>
  <si>
    <t>pKa2</t>
  </si>
  <si>
    <t>f(+-)</t>
  </si>
  <si>
    <t>assumed</t>
  </si>
  <si>
    <t>Cin min</t>
  </si>
  <si>
    <t>SL min</t>
  </si>
  <si>
    <t>SL max</t>
  </si>
  <si>
    <t>Cin max</t>
  </si>
  <si>
    <t>50 mM CaCl2 + 0.2 g/L NaN3</t>
  </si>
  <si>
    <t>Calculated in this study from reported Koc at Cw = 10 nM</t>
  </si>
  <si>
    <t>5 mM CaCl2 + 0.2 g/L NaN3</t>
  </si>
  <si>
    <t xml:space="preserve">Reported Kd at the soil pH condition </t>
  </si>
  <si>
    <t>Reported Kd at Cw = 0.5 ppb</t>
  </si>
  <si>
    <t>ug/kg</t>
  </si>
  <si>
    <t>L/kg</t>
  </si>
  <si>
    <t>(ug/g)/(ug/L)^N</t>
  </si>
  <si>
    <t>6:2 FtSaB</t>
  </si>
  <si>
    <t>C17H19F17N2O4S</t>
  </si>
  <si>
    <t>Reported Kd at Cw = 8.8 nM</t>
  </si>
  <si>
    <t>Reported Kd at Cw = 110 nM</t>
  </si>
  <si>
    <t>C19H19F21N2O4S</t>
  </si>
  <si>
    <t>Figure S1</t>
  </si>
  <si>
    <t>PFOSB</t>
  </si>
  <si>
    <t>C15H15F17N2O4S</t>
  </si>
  <si>
    <t>Lee and Mabury</t>
  </si>
  <si>
    <t>10.1021/acs.est.6b04395</t>
  </si>
  <si>
    <t>A</t>
  </si>
  <si>
    <t>E</t>
  </si>
  <si>
    <t>G</t>
  </si>
  <si>
    <t>Non reported</t>
  </si>
  <si>
    <t>10 mM CaCl2 + 0.1 mM HgCl2</t>
  </si>
  <si>
    <t>C</t>
  </si>
  <si>
    <t>(ng/g)/(ng/mL)^N</t>
  </si>
  <si>
    <t>Reported Kd at Cin = 10 mg/L</t>
  </si>
  <si>
    <t>N-MeFOSAA</t>
  </si>
  <si>
    <t>N-EtFOSAA</t>
  </si>
  <si>
    <t>C11H6F17NO4S</t>
  </si>
  <si>
    <t>C12H8F17NO4S</t>
  </si>
  <si>
    <t>(mg/kg)/(mg/L)^N</t>
  </si>
  <si>
    <t>Linear isotehrm (TS3) reported in log but actually is Kd</t>
  </si>
  <si>
    <t>Reported Kd at 0.5 mM Ca condition (from Table S5)</t>
  </si>
  <si>
    <t>Beibu Gulf sediment</t>
  </si>
  <si>
    <t>(ng/g)/(ng/L)^N</t>
  </si>
  <si>
    <t>(ug/kg)/(ug/L)^N</t>
  </si>
  <si>
    <t>Reported Kd at 5 mM Ca condition (from Table S5)</t>
  </si>
  <si>
    <t>Reported Kd at 1 mM Na condition (from Table S5)</t>
  </si>
  <si>
    <t>Reported Kd at 10 mM Ca condition (from Table S5)</t>
  </si>
  <si>
    <t>EtFOSA</t>
  </si>
  <si>
    <t>f (0)</t>
  </si>
  <si>
    <t>C10H6F17NO2S</t>
  </si>
  <si>
    <t>f(- -)</t>
  </si>
  <si>
    <t>f(- + -)</t>
  </si>
  <si>
    <t>10:2 FTOH</t>
  </si>
  <si>
    <t>Linear isotehrm (TS3) reported in log but actually is Kd; data with 10% cosolvent</t>
  </si>
  <si>
    <t>Linear isotehrm (TS3) reported in log but actually is Kd; data with 20% cosolvent</t>
  </si>
  <si>
    <t>From direct measurement (T4)</t>
  </si>
  <si>
    <t>Reported Kd at Cw = 2.5 ppb</t>
  </si>
  <si>
    <t>5 or 7.5</t>
  </si>
  <si>
    <t>0psu</t>
  </si>
  <si>
    <t>C8HF17O3S</t>
  </si>
  <si>
    <t>Reported Kd</t>
  </si>
  <si>
    <t>10 mM NaNO3</t>
  </si>
  <si>
    <t>Soil1</t>
  </si>
  <si>
    <t>Soil2</t>
  </si>
  <si>
    <t>Soil3</t>
  </si>
  <si>
    <t>Soil4</t>
  </si>
  <si>
    <t>Soil5</t>
  </si>
  <si>
    <t>Soil6</t>
  </si>
  <si>
    <t>Soil7</t>
  </si>
  <si>
    <t>Soil8</t>
  </si>
  <si>
    <t>Soil9</t>
  </si>
  <si>
    <t>Soil10</t>
  </si>
  <si>
    <t>Soil11</t>
  </si>
  <si>
    <t>Soil12</t>
  </si>
  <si>
    <t>Soil13</t>
  </si>
  <si>
    <t>Soil14</t>
  </si>
  <si>
    <t>Soil15</t>
  </si>
  <si>
    <t>Soil16</t>
  </si>
  <si>
    <t>Soil17</t>
  </si>
  <si>
    <t>Soil18</t>
  </si>
  <si>
    <t>Soil19</t>
  </si>
  <si>
    <t>Soil20</t>
  </si>
  <si>
    <t>Soil21</t>
  </si>
  <si>
    <t>Soil22</t>
  </si>
  <si>
    <t>Soil23</t>
  </si>
  <si>
    <t>Soil24</t>
  </si>
  <si>
    <t>Soil25</t>
  </si>
  <si>
    <t>Soil26</t>
  </si>
  <si>
    <t>Soil27</t>
  </si>
  <si>
    <t>Soil28</t>
  </si>
  <si>
    <t>Soil29</t>
  </si>
  <si>
    <t>Soil30</t>
  </si>
  <si>
    <t>Soil31</t>
  </si>
  <si>
    <t>Soil32</t>
  </si>
  <si>
    <t>Soil33</t>
  </si>
  <si>
    <t>Soil34</t>
  </si>
  <si>
    <t>Soil35</t>
  </si>
  <si>
    <t>Soil36</t>
  </si>
  <si>
    <t>Soil37</t>
  </si>
  <si>
    <t>Soil38</t>
  </si>
  <si>
    <t>Soil39</t>
  </si>
  <si>
    <t>Soil40</t>
  </si>
  <si>
    <t>Soil41</t>
  </si>
  <si>
    <t>Soil42</t>
  </si>
  <si>
    <t>Soil43</t>
  </si>
  <si>
    <t>Soil44</t>
  </si>
  <si>
    <t>Soil45</t>
  </si>
  <si>
    <t>Soil46</t>
  </si>
  <si>
    <t>Soil47</t>
  </si>
  <si>
    <t>Soil48</t>
  </si>
  <si>
    <t>Soil49</t>
  </si>
  <si>
    <t>Soil50</t>
  </si>
  <si>
    <t>Soil51</t>
  </si>
  <si>
    <t>Soil52</t>
  </si>
  <si>
    <t>Soil53</t>
  </si>
  <si>
    <t>Soil54</t>
  </si>
  <si>
    <t>Soil55</t>
  </si>
  <si>
    <t>Soil56</t>
  </si>
  <si>
    <t>Soil57</t>
  </si>
  <si>
    <t>Soil58</t>
  </si>
  <si>
    <t>Soil59</t>
  </si>
  <si>
    <t>Soil60</t>
  </si>
  <si>
    <t>Soil61</t>
  </si>
  <si>
    <t>Soil62</t>
  </si>
  <si>
    <t>Soil63</t>
  </si>
  <si>
    <t>Soil64</t>
  </si>
  <si>
    <t>Soil65</t>
  </si>
  <si>
    <t>Soil66</t>
  </si>
  <si>
    <t>Soil67</t>
  </si>
  <si>
    <t>Soil68</t>
  </si>
  <si>
    <t>Soil69</t>
  </si>
  <si>
    <t>Soil70</t>
  </si>
  <si>
    <t>Soil71</t>
  </si>
  <si>
    <t>Soil72</t>
  </si>
  <si>
    <t>Soil73</t>
  </si>
  <si>
    <t>Soil74</t>
  </si>
  <si>
    <t>Soil75</t>
  </si>
  <si>
    <t>Soil76</t>
  </si>
  <si>
    <t>Soil77</t>
  </si>
  <si>
    <t>Soil78</t>
  </si>
  <si>
    <t>Soil79</t>
  </si>
  <si>
    <t>Soil80</t>
  </si>
  <si>
    <t>Soil81</t>
  </si>
  <si>
    <t>Soil82</t>
  </si>
  <si>
    <t>Soil83</t>
  </si>
  <si>
    <t>Soil84</t>
  </si>
  <si>
    <t>Soil85</t>
  </si>
  <si>
    <t>Soil86</t>
  </si>
  <si>
    <t>Soil87</t>
  </si>
  <si>
    <t>Soil88</t>
  </si>
  <si>
    <t>Soil89</t>
  </si>
  <si>
    <t>Soil90</t>
  </si>
  <si>
    <t>Soil91</t>
  </si>
  <si>
    <t>Soil92</t>
  </si>
  <si>
    <t>Soil93</t>
  </si>
  <si>
    <t>Soil94</t>
  </si>
  <si>
    <t>Soil95</t>
  </si>
  <si>
    <t>Soil96</t>
  </si>
  <si>
    <t>Soil97</t>
  </si>
  <si>
    <t>Soil98</t>
  </si>
  <si>
    <t>Soil99</t>
  </si>
  <si>
    <t>Soil100</t>
  </si>
  <si>
    <t>Soil101</t>
  </si>
  <si>
    <t>Soil102</t>
  </si>
  <si>
    <t>Soil103</t>
  </si>
  <si>
    <t>Soil104</t>
  </si>
  <si>
    <t>Soil105</t>
  </si>
  <si>
    <t>Soil106</t>
  </si>
  <si>
    <t>Soil107</t>
  </si>
  <si>
    <t>Soil108</t>
  </si>
  <si>
    <t>Soil109</t>
  </si>
  <si>
    <t>Soil110</t>
  </si>
  <si>
    <t>Soil111</t>
  </si>
  <si>
    <t>Soil112</t>
  </si>
  <si>
    <t>Soil113</t>
  </si>
  <si>
    <t>Soil114</t>
  </si>
  <si>
    <t>Environmental Science &amp; Technology</t>
  </si>
  <si>
    <t>10 mM NaNO3 + 200 ppm NaN3</t>
  </si>
  <si>
    <t>Koc</t>
  </si>
  <si>
    <t>L/Kg OC</t>
  </si>
  <si>
    <t>PFAS abbreviation</t>
  </si>
  <si>
    <t>subfamily</t>
  </si>
  <si>
    <t>Empirical formula</t>
  </si>
  <si>
    <t>CAS number</t>
  </si>
  <si>
    <t>34455-29-3</t>
  </si>
  <si>
    <t>Molecular weight</t>
  </si>
  <si>
    <t>n CF2</t>
  </si>
  <si>
    <t>C13H17F13N2O2S</t>
  </si>
  <si>
    <t>1383438-86-5</t>
  </si>
  <si>
    <t>C14H16F15N2O+</t>
  </si>
  <si>
    <t>45305-66-6</t>
  </si>
  <si>
    <t>90179-39-8</t>
  </si>
  <si>
    <t>Reported Kd at the soil pH condition</t>
  </si>
  <si>
    <t>C10H2F21O3P</t>
  </si>
  <si>
    <t>52299-26-0</t>
  </si>
  <si>
    <t>C8H2F17O3P</t>
  </si>
  <si>
    <t>40143-78-0</t>
  </si>
  <si>
    <t>C6H2F13O3P</t>
  </si>
  <si>
    <t>40143-76-8</t>
  </si>
  <si>
    <t>C6/6 PFPiA</t>
  </si>
  <si>
    <t>C12F26HO2P</t>
  </si>
  <si>
    <t>C8/8 PFPiA</t>
  </si>
  <si>
    <t>C16F34HO2P</t>
  </si>
  <si>
    <t>C6/8 PFPiA</t>
  </si>
  <si>
    <t>C14F30HO2P</t>
  </si>
  <si>
    <t>GenX</t>
  </si>
  <si>
    <t>C6HF11O3</t>
  </si>
  <si>
    <t>13252-13-6</t>
  </si>
  <si>
    <t>ADONA</t>
  </si>
  <si>
    <t>C7H2F12O4</t>
  </si>
  <si>
    <t xml:space="preserve">919005-14-4 </t>
  </si>
  <si>
    <t>PFEtCHxS</t>
  </si>
  <si>
    <t>646-83-3</t>
  </si>
  <si>
    <t>C8HF15O3S</t>
  </si>
  <si>
    <t>C8HClF16O4S</t>
  </si>
  <si>
    <t>756426-58-1</t>
  </si>
  <si>
    <t>30334-69-1</t>
  </si>
  <si>
    <t>41997-13-1</t>
  </si>
  <si>
    <t>754-91-6</t>
  </si>
  <si>
    <t>charge [+] / mol</t>
  </si>
  <si>
    <t>charge [-] / mol</t>
  </si>
  <si>
    <t>4151-50-2</t>
  </si>
  <si>
    <t>2355-31-9</t>
  </si>
  <si>
    <t>2991-50-6</t>
  </si>
  <si>
    <t>647-42-7</t>
  </si>
  <si>
    <t xml:space="preserve">2043-47-2 </t>
  </si>
  <si>
    <t>865-86-1</t>
  </si>
  <si>
    <t>678-39-7</t>
  </si>
  <si>
    <t>757124-72-4</t>
  </si>
  <si>
    <t>27619-97-2</t>
  </si>
  <si>
    <t>39108-34-4</t>
  </si>
  <si>
    <t>acid</t>
  </si>
  <si>
    <t>375-22-4</t>
  </si>
  <si>
    <t>375-73-5</t>
  </si>
  <si>
    <t>2706-90-3</t>
  </si>
  <si>
    <t>2706-91-4</t>
  </si>
  <si>
    <t>C6HF11O2</t>
  </si>
  <si>
    <t>307-24-4</t>
  </si>
  <si>
    <t>C7HF13O2</t>
  </si>
  <si>
    <t>375-85-9</t>
  </si>
  <si>
    <t xml:space="preserve">375-92-8 </t>
  </si>
  <si>
    <t>335-67-1</t>
  </si>
  <si>
    <t>375-95-1</t>
  </si>
  <si>
    <t>1763-23-1</t>
  </si>
  <si>
    <t>307-55-1</t>
  </si>
  <si>
    <t>C10HF19O2</t>
  </si>
  <si>
    <t>335-76-2</t>
  </si>
  <si>
    <t>2058-94-8</t>
  </si>
  <si>
    <t>335-77-3</t>
  </si>
  <si>
    <t>C13HF25O2</t>
  </si>
  <si>
    <t>72629-94-8</t>
  </si>
  <si>
    <t>C14HF27O2</t>
  </si>
  <si>
    <t>376-06-7</t>
  </si>
  <si>
    <t>log Koc</t>
  </si>
  <si>
    <t>Kd derived in this study from calculated mean Koc value at Ca pH 4</t>
  </si>
  <si>
    <t>34455-21-5</t>
  </si>
  <si>
    <t>34455-35-1</t>
  </si>
  <si>
    <t>75046-16-1</t>
  </si>
  <si>
    <t>50598-28-2</t>
  </si>
  <si>
    <t>40143-77-9</t>
  </si>
  <si>
    <t>158986-67-5</t>
  </si>
  <si>
    <t>40143-79-1</t>
  </si>
  <si>
    <t>C6F13O3SH</t>
  </si>
  <si>
    <t>355-46-4</t>
  </si>
  <si>
    <t>C8HF15O2</t>
  </si>
  <si>
    <t>C9HF17O2</t>
  </si>
  <si>
    <t>68259-12-1</t>
  </si>
  <si>
    <t>Effective MW</t>
  </si>
  <si>
    <t>Cw at X% S</t>
  </si>
  <si>
    <t>S (ug/L)</t>
  </si>
  <si>
    <t>log S (ug/L)</t>
  </si>
  <si>
    <t>Mean reported Kd value  in Table S9</t>
  </si>
  <si>
    <t>Cw (ug/L)</t>
  </si>
  <si>
    <t>Smiles</t>
  </si>
  <si>
    <t>C[N+](C)(CCCNS(=O)(=O)CCC(C(C(C(C(C(F)(F)F)(F)F)(F)F)(F)F)(F)F)(F)F)CC(=O)[O-]</t>
  </si>
  <si>
    <t>log Kow</t>
  </si>
  <si>
    <t>C(C(C(C(C(F)(F)S(=O)(=O)O)(F)F)(F)F)(F)F)(C(C(C(F)(F)F)(F)F)(F)F)(F)F</t>
  </si>
  <si>
    <t>C(=O)(C(C(C(F)(F)F)(F)F)(F)F)O</t>
  </si>
  <si>
    <t>C(C(C(F)(F)S(=O)(=O)O)(F)F)(C(F)(F)F)(F)F</t>
  </si>
  <si>
    <t>C(=O)(C(C(C(C(F)(F)F)(F)F)(F)F)(F)F)O</t>
  </si>
  <si>
    <t>C(C(C(F)(F)F)(F)F)(C(C(F)(F)S(=O)(=O)O)(F)F)(F)F</t>
  </si>
  <si>
    <t>C(=O)(C(C(C(C(C(F)(F)F)(F)F)(F)F)(F)F)(F)F)O</t>
  </si>
  <si>
    <t>C(C(C(C(F)(F)S(=O)(=O)O)(F)F)(F)F)(C(C(F)(F)F)(F)F)(F)F</t>
  </si>
  <si>
    <t>C(=O)(C(C(C(C(C(C(F)(F)F)(F)F)(F)F)(F)F)(F)F)(F)F)O</t>
  </si>
  <si>
    <t>C(C(C(C(F)(F)F)(F)F)(F)F)(C(C(C(F)(F)S(=O)(=O)O)(F)F)(F)F)(F)F</t>
  </si>
  <si>
    <t>C(=O)(C(C(C(C(C(C(C(F)(F)F)(F)F)(F)F)(F)F)(F)F)(F)F)(F)F)O</t>
  </si>
  <si>
    <t>C(=O)(C(C(C(C(C(C(C(C(F)(F)F)(F)F)(F)F)(F)F)(F)F)(F)F)(F)F)(F)F)O</t>
  </si>
  <si>
    <t>C(C(C(C(C(F)(F)F)(F)F)(F)F)(F)F)(C(C(C(C(F)(F)S(=O)(=O)O)(F)F)(F)F)(F)F)(F)F</t>
  </si>
  <si>
    <t>C(=O)(C(C(C(C(C(C(C(C(C(F)(F)F)(F)F)(F)F)(F)F)(F)F)(F)F)(F)F)(F)F)(F)F)O</t>
  </si>
  <si>
    <t>C(C(C(C(C(C(F)(F)F)(F)F)(F)F)(F)F)(F)F)(C(C(C(C(C(O)=O)(F)F)(F)F)(F)F)(F)F)(F)F</t>
  </si>
  <si>
    <t>C(C(C(C(C(C(F)(F)S(=O)(=O)O)(F)F)(F)F)(F)F)(F)F)(C(C(C(C(F)(F)F)(F)F)(F)F)(F)F)(F)F</t>
  </si>
  <si>
    <t>C(=O)(C(C(C(C(C(C(C(C(C(C(C(F)(F)F)(F)F)(F)F)(F)F)(F)F)(F)F)(F)F)(F)F)(F)F)(F)F)(F)F)O</t>
  </si>
  <si>
    <t>Faraday</t>
  </si>
  <si>
    <t>C/mol</t>
  </si>
  <si>
    <t>C[N+](C)(CCCNS(=O)(=O)CCC(C(C(C(C(C(C(C(C(C(F)(F)F)(F)F)(F)F)(F)F)(F)F)(F)F)(F)F)(F)F)(F)F)(F)F)CC(=O)[O-]</t>
  </si>
  <si>
    <t>C[NH](C)CCCNS(=O)(=O)CCC(C(C(C(C(C(F)(F)F)(F)F)(F)F)(F)F)(F)F)(F)F</t>
  </si>
  <si>
    <t>Entries discarted based on expert judgement because anormally high or low Kd</t>
  </si>
  <si>
    <t>Whole group PFAS compounds discarted because discrepant patterns</t>
  </si>
  <si>
    <t>C(C(C(F)(F)S(=O)(=O)N)(F)F)(C(F)(F)F)(F)F</t>
  </si>
  <si>
    <t>C(C(C(C(F)(F)S(=O)(=O)N)(F)F)(F)F)(C(C(F)(F)F)(F)F)(F)F</t>
  </si>
  <si>
    <t>C(C(C(C(C(F)(F)S(=O)(=O)N)(F)F)(F)F)(F)F)(C(C(C(F)(F)F)(F)F)(F)F)(F)F</t>
  </si>
  <si>
    <t>CCNS(=O)(=O)C(C(C(C(C(C(C(C(F)(F)F)(F)F)(F)F)(F)F)(F)F)(F)F)(F)F)(F)F</t>
  </si>
  <si>
    <t>C(CO)C(C(C(C(F)(F)F)(F)F)(F)F)(F)F</t>
  </si>
  <si>
    <t>C(CO)C(C(C(C(C(C(F)(F)F)(F)F)(F)F)(F)F)(F)F)(F)F</t>
  </si>
  <si>
    <t>C(CO)C(C(C(C(C(C(C(C(F)(F)F)(F)F)(F)F)(F)F)(F)F)(F)F)(F)F)(F)F</t>
  </si>
  <si>
    <t>C(CO)C(C(C(C(C(C(C(C(C(C(F)(F)F)(F)F)(F)F)(F)F)(F)F)(F)F)(F)F)(F)F)(F)F)(F)F</t>
  </si>
  <si>
    <t>C(CS(=O)(=O)O)C(C(C(C(F)(F)F)(F)F)(F)F)(F)F</t>
  </si>
  <si>
    <t>C(CS(=O)(=O)O)C(C(C(C(C(C(F)(F)F)(F)F)(F)F)(F)F)(F)F)(F)F</t>
  </si>
  <si>
    <t>Entries discarted because reported OC = 0</t>
  </si>
  <si>
    <t>C[N+](C)(C)CCCNC(=O)C(C(C(C(C(C(C(F)(F)F)(F)F)(F)F)(F)F)(F)F)(F)F)(F)F</t>
  </si>
  <si>
    <t>C[N+](C)(CCCNC(=O)C(C(C(C(C(C(C(F)(F)F)(F)F)(F)F)(F)F)(F)F)(F)F)(F)F)CC(=O)[O-]</t>
  </si>
  <si>
    <t>Kd derived in this study from calculated Koc value at the Ca pH 3 condition</t>
  </si>
  <si>
    <t xml:space="preserve">Kd is derived from reported log Koc at Cw = 10 </t>
  </si>
  <si>
    <t>C(C(C(C(F)(F)P(=O)(C(C(C(C(C(C(F)(F)F)(F)F)(F)F)(F)F)(F)F)(F)F)O)(F)F)(F)F)(C(C(F)(F)F)(F)F)(F)F</t>
  </si>
  <si>
    <t>C(C(C(C(F)(F)F)(F)F)(F)F)(C(C(C(F)(F)P(=O)(C(C(C(C(C(C(C(F)(F)F)(F)F)(F)F)(F)F)(F)F)(F)F)(F)F)O)(F)F)(F)F)(F)F</t>
  </si>
  <si>
    <t>C(C(C(C(C(F)(F)P(=O)(C(C(C(C(C(C(C(C(F)(F)F)(F)F)(F)F)(F)F)(F)F)(F)F)(F)F)(F)F)O)(F)F)(F)F)(F)F)(C(C(C(F)(F)F)(F)F)(F)F)(F)F</t>
  </si>
  <si>
    <t>C(=O)(C(C(C(C(C(C(C(C(C(C(C(C(F)(F)F)(F)F)(F)F)(F)F)(F)F)(F)F)(F)F)(F)F)(F)F)(F)F)(F)F)(F)F)O</t>
  </si>
  <si>
    <t>C(C(C(=O)O)(F)F)(OC(C(C(OC(F)(F)F)(F)F)(F)F)(F)F)F</t>
  </si>
  <si>
    <t>Not reported</t>
  </si>
  <si>
    <t>Richey</t>
  </si>
  <si>
    <t>TFA</t>
  </si>
  <si>
    <t>0.01 M CaCl2</t>
  </si>
  <si>
    <t>76-05-1</t>
  </si>
  <si>
    <t>C2HF3O2</t>
  </si>
  <si>
    <t>deionized water</t>
  </si>
  <si>
    <t>method</t>
  </si>
  <si>
    <t>Texture</t>
  </si>
  <si>
    <t>not reported</t>
  </si>
  <si>
    <t>ENTRY</t>
  </si>
  <si>
    <t>NUMBER</t>
  </si>
  <si>
    <t>Pipette</t>
  </si>
  <si>
    <t>Sand</t>
  </si>
  <si>
    <t>% mineral</t>
  </si>
  <si>
    <t>Sum</t>
  </si>
  <si>
    <t>Bonanza Creek, AK, organic horitzon</t>
  </si>
  <si>
    <t>Bonanza Creek, AK, mineral horitzon</t>
  </si>
  <si>
    <t>Coweeta, NC, A horitzon (mesic)</t>
  </si>
  <si>
    <t>Coweeta, NC, AB horitzon (mesic)</t>
  </si>
  <si>
    <t>Coweeta, NC, A horitzon (frigid)</t>
  </si>
  <si>
    <t>Lzsina, Czech Republic, Oa horitzon</t>
  </si>
  <si>
    <t>Lzsina, Czech Republic, E horitzon</t>
  </si>
  <si>
    <t>Lzsina, Czech Republic, BS1 horitzon</t>
  </si>
  <si>
    <t>Lzsina, Czech Republic, BS2 horitzon</t>
  </si>
  <si>
    <t>Lzsina, Czech Republic, C horitzon</t>
  </si>
  <si>
    <t>Reported Kd in Table 1</t>
  </si>
  <si>
    <t>Hubbard Brook, NH, Oa horizon</t>
  </si>
  <si>
    <t>Hubbard Brook, NH, E horizon</t>
  </si>
  <si>
    <t>Hubbard Brook, NH, Bh horizon</t>
  </si>
  <si>
    <t>Hubbard Brook, NH, Bs1 horizon</t>
  </si>
  <si>
    <t>Hubbard Brook, NH, Bs2 horizon</t>
  </si>
  <si>
    <t>Hubbard Brook, NH, wetland</t>
  </si>
  <si>
    <t>Lake Agassiz, MN, peat core</t>
  </si>
  <si>
    <t>Konza Prairie, KS, surface soil</t>
  </si>
  <si>
    <t>Niwot Ridge, CO, organic horitzon</t>
  </si>
  <si>
    <t>Niwot Ridge, CO, mineral horitzon</t>
  </si>
  <si>
    <t>BaCl2-TEA (pH 8.2)</t>
  </si>
  <si>
    <t>Campos Pereira</t>
  </si>
  <si>
    <t>Kungsangen (0-10cm)</t>
  </si>
  <si>
    <t>Paskalampa Bs</t>
  </si>
  <si>
    <t>Arboga (field-contaminated)</t>
  </si>
  <si>
    <t>Fors</t>
  </si>
  <si>
    <t>Nantuna</t>
  </si>
  <si>
    <t>Krusenberg</t>
  </si>
  <si>
    <t>Paskalampa E</t>
  </si>
  <si>
    <t>Kungsangen (70-80cm)</t>
  </si>
  <si>
    <t>Hogasa (subsoil)</t>
  </si>
  <si>
    <t>Riddarhyttan</t>
  </si>
  <si>
    <t>ISO 10390:2005</t>
  </si>
  <si>
    <t>CoHex</t>
  </si>
  <si>
    <t>ISO 11277:2020</t>
  </si>
  <si>
    <t>10 mM NO3</t>
  </si>
  <si>
    <t>Oxalate</t>
  </si>
  <si>
    <t>Wang</t>
  </si>
  <si>
    <t>Aubbeenaubbee-Capac</t>
  </si>
  <si>
    <t>Colwood-Brookston</t>
  </si>
  <si>
    <t>Riddles-Hillsdale</t>
  </si>
  <si>
    <t>E. A.</t>
  </si>
  <si>
    <t>NH4Cl (pH 7 or 8)</t>
  </si>
  <si>
    <t>Summation (pH7)</t>
  </si>
  <si>
    <t>soil S1</t>
  </si>
  <si>
    <t>soil S2</t>
  </si>
  <si>
    <t>soil S3</t>
  </si>
  <si>
    <t>soil S4</t>
  </si>
  <si>
    <t>soil S5</t>
  </si>
  <si>
    <t>soil S6</t>
  </si>
  <si>
    <t>Chanlong Wei</t>
  </si>
  <si>
    <t>Li</t>
  </si>
  <si>
    <t>C(C(C(C(F)(F)P(=O)(O)O)(F)F)(F)F)(C(C(F)(F)F)(F)F)(F)F</t>
  </si>
  <si>
    <t>PFHxPA</t>
  </si>
  <si>
    <t>PFOPA</t>
  </si>
  <si>
    <t>C(C(C(C(C(F)(F)P(=O)(O)O)(F)F)(F)F)(F)F)(C(C(C(F)(F)F)(F)F)(F)F)(F)F</t>
  </si>
  <si>
    <t>PFDPA</t>
  </si>
  <si>
    <t>C(C(C(C(C(C(F)(F)P(=O)(O)O)(F)F)(F)F)(F)F)(F)F)(C(C(C(C(F)(F)F)(F)F)(F)F)(F)F)(F)F</t>
  </si>
  <si>
    <t>CN(CC(=O)O)S(=O)(=O)C(C(C(C(C(C(C(C(F)(F)F)(F)F)(F)F)(F)F)(F)F)(F)F)(F)F)(F)F</t>
  </si>
  <si>
    <t>CCN(CC(=O)O)S(=O)(=O)C(C(C(C(C(C(C(C(F)(F)F)(F)F)(F)F)(F)F)(F)F)(F)F)(F)F)(F)F</t>
  </si>
  <si>
    <t>C(=O)(C(F)(F)F)O</t>
  </si>
  <si>
    <t>C1(C(C(C(C(C1(F)F)(F)F)(F)S(=O)(=O)O)(F)F)(F)F)(C(C(F)(F)F)(F)F)F</t>
  </si>
  <si>
    <t>C(=O)(C(C(C(C(C(C(C(C(C(C(C(C(C(F)(F)F)(F)F)(F)F)(F)F)(F)F)(F)F)(F)F)(F)F)(F)F)(F)F)(F)F)(F)F)(F)F)O</t>
  </si>
  <si>
    <t>C(C(C(C(F)(F)Cl)(F)F)(F)F)(C(C(OC(C(F)(F)S(=O)(=O)O)(F)F)(F)F)(F)F)(F)F</t>
  </si>
  <si>
    <t>C(=O)(C(C(F)(F)F)(OC(C(C(F)(F)F)(F)F)(F)F)F)O</t>
  </si>
  <si>
    <t>C(CS(=O)(=O)O)C(C(C(C(C(C(C(C(F)(F)F)(F)F)(F)F)(F)F)(F)F)(F)F)(F)F)(F)F</t>
  </si>
  <si>
    <t>C[N+](C)(CCCNS(=O)(=O)C(C(C(C(C(C(C(C(F)(F)F)(F)F)(F)F)(F)F)(F)F)(F)F)(F)F)(F)F)CC(=O)[O-]</t>
  </si>
  <si>
    <t>CN(C)CCCNS(=O)(=O)C(C(C(C(C(C(F)(F)F)(F)F)(F)F)(F)F)(F)F)(F)F</t>
  </si>
  <si>
    <t>38850-51-0</t>
  </si>
  <si>
    <t>C[N+](C)(C)CCC[N-]S(=O)(=O)C(C(C(C(C(C(F)(F)F)(F)F)(F)F)(F)F)(F)F)(F)F</t>
  </si>
  <si>
    <t>PFPA</t>
  </si>
  <si>
    <t>PFPiA</t>
  </si>
  <si>
    <t>FOSA</t>
  </si>
  <si>
    <t>FOSAA</t>
  </si>
  <si>
    <t>PFCA</t>
  </si>
  <si>
    <t>PFSA</t>
  </si>
  <si>
    <t>PFECA</t>
  </si>
  <si>
    <t>PFAES</t>
  </si>
  <si>
    <t>FTOH</t>
  </si>
  <si>
    <t>FTS</t>
  </si>
  <si>
    <t>Betaine</t>
  </si>
  <si>
    <t>10 mM NaN3</t>
  </si>
  <si>
    <t>8:2 Cl-PFAES</t>
  </si>
  <si>
    <t>KNN input</t>
  </si>
  <si>
    <t>C11HF21O2</t>
  </si>
  <si>
    <t>C12HF23O2</t>
  </si>
  <si>
    <t>C7HF15O3S</t>
  </si>
  <si>
    <t>Black data is accepted data</t>
  </si>
  <si>
    <t>These data are KNN inputed</t>
  </si>
  <si>
    <t>C9HF19O3S</t>
  </si>
  <si>
    <t>C10HF21O3S</t>
  </si>
  <si>
    <t>C8H5F13O</t>
  </si>
  <si>
    <t>C12H5F21O</t>
  </si>
  <si>
    <t>C6H5F9O3S</t>
  </si>
  <si>
    <t>Set % solubility criteria</t>
  </si>
  <si>
    <t>Criteria setting</t>
  </si>
  <si>
    <t>H number</t>
  </si>
  <si>
    <t>N number</t>
  </si>
  <si>
    <t>S number</t>
  </si>
  <si>
    <t>O number</t>
  </si>
  <si>
    <t>PFAS physicochemical properties</t>
  </si>
  <si>
    <t>EPISuite</t>
  </si>
  <si>
    <t>Pubchem</t>
  </si>
  <si>
    <t>See Table S1</t>
  </si>
  <si>
    <t>N.A.</t>
  </si>
  <si>
    <t>C15H15F15N2O3</t>
  </si>
  <si>
    <t>Mejia-Avendaño</t>
  </si>
  <si>
    <t>publication</t>
  </si>
  <si>
    <t>Sample name</t>
  </si>
  <si>
    <t>tag</t>
  </si>
  <si>
    <t>CF2</t>
  </si>
  <si>
    <t>Comments on the derivation of Kd</t>
  </si>
  <si>
    <t>from literature studies</t>
  </si>
  <si>
    <t>Calculated in this study at Cw = 10% S</t>
  </si>
  <si>
    <t>KFr</t>
  </si>
  <si>
    <t>Harmonized KFr</t>
  </si>
  <si>
    <t>reported units</t>
  </si>
  <si>
    <t xml:space="preserve"> 10.1021/acs.est.9b04989</t>
  </si>
  <si>
    <t xml:space="preserve"> 10.1021/acs.est.0c05705</t>
  </si>
  <si>
    <t xml:space="preserve"> 10.1016/j.cej.2018.04.042</t>
  </si>
  <si>
    <t xml:space="preserve"> 10.1021/acs.est.7b03452</t>
  </si>
  <si>
    <t xml:space="preserve"> 10.1021/es960649x</t>
  </si>
  <si>
    <t xml:space="preserve"> 10.1016/j.chemosphere.2019.02.012</t>
  </si>
  <si>
    <t xml:space="preserve"> 10.1021/es3048043</t>
  </si>
  <si>
    <t xml:space="preserve"> 10.1016/j.scitotenv.2019.134766</t>
  </si>
  <si>
    <t xml:space="preserve"> 10.1016/j.scitotenv.2021.149343</t>
  </si>
  <si>
    <t xml:space="preserve"> 10.1016/j.chemosphere.2018.05.012</t>
  </si>
  <si>
    <t xml:space="preserve"> 10.1016/j.chemosphere.2021.133224</t>
  </si>
  <si>
    <t xml:space="preserve"> 10.1016/j.scitotenv.2018.08.209</t>
  </si>
  <si>
    <t xml:space="preserve"> 10.1016/j.chemosphere.2022.134167</t>
  </si>
  <si>
    <t xml:space="preserve"> 10.1016/j.envpol.2022.118957</t>
  </si>
  <si>
    <t xml:space="preserve"> 10.1016/j.scitotenv.2019.05.339</t>
  </si>
  <si>
    <t xml:space="preserve"> 10.1016/j.scitotenv.2020.1372630048-9697</t>
  </si>
  <si>
    <t xml:space="preserve"> 10.1016/j.envpol.2019.113726</t>
  </si>
  <si>
    <t xml:space="preserve"> 10.1016/j.chemosphere.2023.138133</t>
  </si>
  <si>
    <t xml:space="preserve"> 10.1021/acs.est.0c07202</t>
  </si>
  <si>
    <t xml:space="preserve"> 10.1016/j.eti.2020.100965</t>
  </si>
  <si>
    <t xml:space="preserve"> 10.1016/j.ecoenv.2020.111105</t>
  </si>
  <si>
    <t xml:space="preserve"> 10.1016/j.chemosphere.2018.10.098</t>
  </si>
  <si>
    <t xml:space="preserve"> 10.1016/j.scitotenv.2022.152975</t>
  </si>
  <si>
    <t xml:space="preserve"> 10.1016/j.ecoenv.2017.01.022</t>
  </si>
  <si>
    <t xml:space="preserve"> 10.1016/j.scitotenv.2014.12.017</t>
  </si>
  <si>
    <t xml:space="preserve"> 10.1016/j.chemosphere.2015.10.055</t>
  </si>
  <si>
    <t xml:space="preserve"> 10.1016/j.marpolbul.2012.03.012</t>
  </si>
  <si>
    <t xml:space="preserve"> 10.1016/j.ecoenv.2017.03.040</t>
  </si>
  <si>
    <t xml:space="preserve"> 10.1016/j.chemosphere.2012.08.041</t>
  </si>
  <si>
    <t xml:space="preserve"> 10.1016/j.chemosphere.2016.11.114</t>
  </si>
  <si>
    <t>Fe/Al</t>
  </si>
  <si>
    <t>measured</t>
  </si>
  <si>
    <t>Batch information</t>
  </si>
  <si>
    <t>Kd value reported for Ca-saturated soil</t>
  </si>
  <si>
    <t xml:space="preserve"> Kd is derived in this study from reported Koc at the Ca / pH 3 / 3 mM condition (Table S7)</t>
  </si>
  <si>
    <t xml:space="preserve"> Kd is derived in this study from reported Koc at the Ca / pH 4 / 3 mM condition (Table S7)</t>
  </si>
  <si>
    <t xml:space="preserve"> Kd is derived in this study from reported Koc at the Ca / pH 4 / 5 mM condition (Table S7)</t>
  </si>
  <si>
    <t xml:space="preserve"> Kd is derived in this study from reported Koc at the Ca / pH 5 / 3 mM condition (Table S8)</t>
  </si>
  <si>
    <t xml:space="preserve"> Kd is derived in this study from reported Koc at the Ca / pH 3 condition (Table S8)</t>
  </si>
  <si>
    <t xml:space="preserve"> Kd is derived in this study from reported Koc at the Ca / pH 4 condition</t>
  </si>
  <si>
    <t xml:space="preserve"> Kd is derived in this study from reported Koc at the Ca / pH 3 condition</t>
  </si>
  <si>
    <t xml:space="preserve"> Kd is derived in this study from reported Koc at the Ca / pH 5 / 5 mM condition (Table S7)</t>
  </si>
  <si>
    <t xml:space="preserve"> Kd is derived in this study from reported Koc at the Ca / pH 4 condition (Table S8)</t>
  </si>
  <si>
    <t>0,01 M NaHCO3</t>
  </si>
  <si>
    <t>1:10 deionized water</t>
  </si>
  <si>
    <t>1:100 deionized water</t>
  </si>
  <si>
    <t>deionized water 40g/L</t>
  </si>
  <si>
    <t>1:2,5 deionized water</t>
  </si>
  <si>
    <t>1:25 deionized water</t>
  </si>
  <si>
    <t>Kd value reported for Kd value reported for Ca-saturated soil</t>
  </si>
  <si>
    <t>Kd value reported from resulting Reported Kd originated from a linear isotherm</t>
  </si>
  <si>
    <t>Reported Kd originated from a linear isotherm</t>
  </si>
  <si>
    <t>Reported Kd resulting from Reported Kd originated from a linear isotherm</t>
  </si>
  <si>
    <t>Deionized water</t>
  </si>
  <si>
    <t>Kd extracted in this work from original Figure 3</t>
  </si>
  <si>
    <t>Reported Kd originated from a single spiked concentration</t>
  </si>
  <si>
    <t>Reported Kd stated in the main text</t>
  </si>
  <si>
    <t>Reported Kd originated from a linear isotherm at the low concentration range</t>
  </si>
  <si>
    <t>Reported Kd was interpolated in the examined study at Cw = 5 pM</t>
  </si>
  <si>
    <t>Kd calculated in this study from avegraged log Koc values at different conditions</t>
  </si>
  <si>
    <t xml:space="preserve"> log Kd values reported in Table S7 at pH 5.6</t>
  </si>
  <si>
    <t xml:space="preserve"> log Kd values reported in Table S7 at pH 5.7</t>
  </si>
  <si>
    <t xml:space="preserve"> log Kd values reported in Table S7 at pH 8.3</t>
  </si>
  <si>
    <t xml:space="preserve"> log Kd values reported in Table S7 at pH 5.4</t>
  </si>
  <si>
    <t xml:space="preserve"> log Kd values reported in Table S7 at pH 7.3</t>
  </si>
  <si>
    <t xml:space="preserve"> log Kd values reported in Table S7 at pH 5.5</t>
  </si>
  <si>
    <t xml:space="preserve"> log Kd values reported in Table S7 at pH 6.6</t>
  </si>
  <si>
    <t xml:space="preserve"> log Kd values reported in Table S7 at pH 6.0</t>
  </si>
  <si>
    <t xml:space="preserve"> log Kd values reported in Table S7 at pH 6.8</t>
  </si>
  <si>
    <t>reported Kd value originated from a linear isotherm</t>
  </si>
  <si>
    <t>Kd value originated from a linear isotherm</t>
  </si>
  <si>
    <t>Kd derived in this study from reported Koc value at Ca and pH 4 conditions</t>
  </si>
  <si>
    <t>Kd derived in this study from reported Koc value at Ca and pH 5 conditions</t>
  </si>
  <si>
    <t>Reported Kd originated from a single spiked concentration value</t>
  </si>
  <si>
    <t>Kd approximately extracted from Figure 3</t>
  </si>
  <si>
    <t>Kd reportet as L/g is actually L/kg</t>
  </si>
  <si>
    <t>Kd approximately extracted from Figure 1 at pH 6</t>
  </si>
  <si>
    <t>Kd reported at Cw = 0.1 ppm. Value reported in L/g is actually L/kg</t>
  </si>
  <si>
    <t>Kd ir calculated in this study from reported log Koc at Cw = 5 ppb</t>
  </si>
  <si>
    <t>Kd rported in Figure 1</t>
  </si>
  <si>
    <t>Kd rported in Figure S1</t>
  </si>
  <si>
    <t>Kd rported in Figure S2</t>
  </si>
  <si>
    <t>Calculated in this study at Cw = 10% S (at Na condition)</t>
  </si>
  <si>
    <t>Cl number</t>
  </si>
  <si>
    <t>Kd calculated from Lanmguir parameters</t>
  </si>
  <si>
    <t>Mean Kd value from Table S6</t>
  </si>
  <si>
    <t>Kd derived in this study from calculated mean Koc value at the Ca and pH 4 conditions</t>
  </si>
  <si>
    <t>Higgins and Luthy</t>
  </si>
  <si>
    <t>P number</t>
  </si>
  <si>
    <t>Color Legend</t>
  </si>
  <si>
    <t>Scientific</t>
  </si>
  <si>
    <t>number</t>
  </si>
  <si>
    <t>used</t>
  </si>
  <si>
    <t>[C/mol]</t>
  </si>
  <si>
    <t>[C/g]</t>
  </si>
  <si>
    <t>net charge density</t>
  </si>
  <si>
    <t>Colored data are considered outlier data based on Kd vs OC and Koc vs Kow relationships</t>
  </si>
  <si>
    <t>Source</t>
  </si>
  <si>
    <t>URL</t>
  </si>
  <si>
    <t>Longitude</t>
  </si>
  <si>
    <t>Latitude</t>
  </si>
  <si>
    <t>SoilGrids</t>
  </si>
  <si>
    <t>https://soilgrids.org</t>
  </si>
  <si>
    <r>
      <t xml:space="preserve">Kd vs OC sheet: </t>
    </r>
    <r>
      <rPr>
        <b/>
        <sz val="11"/>
        <color rgb="FFFF0000"/>
        <rFont val="Calibri"/>
        <family val="2"/>
        <scheme val="minor"/>
      </rPr>
      <t>X</t>
    </r>
    <r>
      <rPr>
        <sz val="11"/>
        <rFont val="Calibri"/>
        <family val="2"/>
        <scheme val="minor"/>
      </rPr>
      <t xml:space="preserve"> is deleted data; </t>
    </r>
    <r>
      <rPr>
        <b/>
        <sz val="11"/>
        <color rgb="FF0070C0"/>
        <rFont val="Calibri"/>
        <family val="2"/>
        <scheme val="minor"/>
      </rPr>
      <t>O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is PFAS accepted data (</t>
    </r>
    <r>
      <rPr>
        <b/>
        <sz val="11"/>
        <color rgb="FF00B050"/>
        <rFont val="Calibri"/>
        <family val="2"/>
        <scheme val="minor"/>
      </rPr>
      <t>O</t>
    </r>
    <r>
      <rPr>
        <sz val="11"/>
        <rFont val="Calibri"/>
        <family val="2"/>
        <scheme val="minor"/>
      </rPr>
      <t xml:space="preserve"> referers to Betaine PFAS)</t>
    </r>
  </si>
  <si>
    <t>reported</t>
  </si>
  <si>
    <t>(ug/kg)/(ug/L)^(1/n)</t>
  </si>
  <si>
    <t>For further comments on the spreadsheet: joel.fabregat-palau@uni-tuebingen.de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</si>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</sst>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.000000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92D050"/>
      <name val="Calibri"/>
      <family val="2"/>
      <scheme val="minor"/>
    </font>
    <font>
      <b/>
      <sz val="11"/>
      <color rgb="FF92D05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trike/>
      <sz val="11"/>
      <name val="Calibri"/>
      <family val="2"/>
      <scheme val="minor"/>
    </font>
    <font>
      <b/>
      <strike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Arial"/>
      <family val="2"/>
    </font>
    <font>
      <b/>
      <sz val="11"/>
      <color theme="7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name val="Times New Roman"/>
      <family val="1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22" fillId="0" borderId="0"/>
  </cellStyleXfs>
  <cellXfs count="169">
    <xf numFmtId="0" fontId="0" fillId="0" borderId="0" xfId="0"/>
    <xf numFmtId="0" fontId="0" fillId="2" borderId="0" xfId="0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164" fontId="0" fillId="2" borderId="0" xfId="0" applyNumberForma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65" fontId="0" fillId="2" borderId="0" xfId="0" applyNumberFormat="1" applyFill="1" applyBorder="1" applyAlignment="1">
      <alignment horizontal="center"/>
    </xf>
    <xf numFmtId="2" fontId="0" fillId="2" borderId="0" xfId="0" applyNumberForma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2" fontId="2" fillId="2" borderId="0" xfId="0" applyNumberFormat="1" applyFont="1" applyFill="1" applyBorder="1" applyAlignment="1">
      <alignment horizontal="center"/>
    </xf>
    <xf numFmtId="165" fontId="4" fillId="2" borderId="0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/>
    </xf>
    <xf numFmtId="0" fontId="0" fillId="2" borderId="0" xfId="0" applyFill="1" applyBorder="1"/>
    <xf numFmtId="166" fontId="2" fillId="2" borderId="0" xfId="0" applyNumberFormat="1" applyFont="1" applyFill="1" applyBorder="1" applyAlignment="1">
      <alignment horizontal="center"/>
    </xf>
    <xf numFmtId="165" fontId="2" fillId="2" borderId="0" xfId="0" applyNumberFormat="1" applyFont="1" applyFill="1" applyBorder="1" applyAlignment="1">
      <alignment horizontal="center"/>
    </xf>
    <xf numFmtId="0" fontId="2" fillId="2" borderId="0" xfId="0" applyFont="1" applyFill="1" applyBorder="1"/>
    <xf numFmtId="164" fontId="2" fillId="2" borderId="0" xfId="0" applyNumberFormat="1" applyFont="1" applyFill="1" applyBorder="1" applyAlignment="1">
      <alignment horizontal="center"/>
    </xf>
    <xf numFmtId="1" fontId="2" fillId="2" borderId="0" xfId="0" applyNumberFormat="1" applyFont="1" applyFill="1" applyBorder="1" applyAlignment="1">
      <alignment horizontal="center"/>
    </xf>
    <xf numFmtId="165" fontId="3" fillId="2" borderId="0" xfId="0" applyNumberFormat="1" applyFont="1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/>
    </xf>
    <xf numFmtId="165" fontId="5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165" fontId="1" fillId="2" borderId="0" xfId="0" applyNumberFormat="1" applyFont="1" applyFill="1" applyBorder="1" applyAlignment="1">
      <alignment horizontal="center"/>
    </xf>
    <xf numFmtId="0" fontId="2" fillId="2" borderId="0" xfId="1" applyNumberFormat="1" applyFont="1" applyFill="1" applyBorder="1" applyAlignment="1">
      <alignment horizontal="center"/>
    </xf>
    <xf numFmtId="0" fontId="0" fillId="0" borderId="0" xfId="0" applyBorder="1"/>
    <xf numFmtId="164" fontId="3" fillId="2" borderId="0" xfId="0" applyNumberFormat="1" applyFont="1" applyFill="1" applyBorder="1" applyAlignment="1">
      <alignment horizontal="center"/>
    </xf>
    <xf numFmtId="1" fontId="3" fillId="2" borderId="0" xfId="0" applyNumberFormat="1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" fontId="1" fillId="2" borderId="0" xfId="0" applyNumberFormat="1" applyFont="1" applyFill="1" applyBorder="1" applyAlignment="1">
      <alignment horizontal="center"/>
    </xf>
    <xf numFmtId="0" fontId="7" fillId="2" borderId="0" xfId="1" applyNumberFormat="1" applyFont="1" applyFill="1" applyBorder="1" applyAlignment="1">
      <alignment horizontal="center"/>
    </xf>
    <xf numFmtId="166" fontId="0" fillId="2" borderId="0" xfId="0" applyNumberFormat="1" applyFill="1" applyBorder="1" applyAlignment="1">
      <alignment horizontal="center"/>
    </xf>
    <xf numFmtId="2" fontId="0" fillId="2" borderId="0" xfId="0" applyNumberFormat="1" applyFont="1" applyFill="1" applyBorder="1" applyAlignment="1">
      <alignment horizontal="center"/>
    </xf>
    <xf numFmtId="0" fontId="0" fillId="0" borderId="0" xfId="0" applyFont="1" applyBorder="1"/>
    <xf numFmtId="11" fontId="2" fillId="2" borderId="0" xfId="0" applyNumberFormat="1" applyFont="1" applyFill="1" applyBorder="1" applyAlignment="1">
      <alignment horizontal="center"/>
    </xf>
    <xf numFmtId="0" fontId="6" fillId="2" borderId="0" xfId="1" applyNumberFormat="1" applyFill="1" applyBorder="1" applyAlignment="1">
      <alignment horizontal="center"/>
    </xf>
    <xf numFmtId="3" fontId="2" fillId="2" borderId="0" xfId="0" applyNumberFormat="1" applyFont="1" applyFill="1" applyBorder="1" applyAlignment="1">
      <alignment horizontal="center"/>
    </xf>
    <xf numFmtId="0" fontId="1" fillId="0" borderId="0" xfId="0" applyFont="1" applyBorder="1"/>
    <xf numFmtId="1" fontId="2" fillId="0" borderId="0" xfId="0" applyNumberFormat="1" applyFont="1" applyFill="1" applyBorder="1" applyAlignment="1">
      <alignment horizontal="center"/>
    </xf>
    <xf numFmtId="0" fontId="0" fillId="2" borderId="0" xfId="0" applyFont="1" applyFill="1" applyBorder="1"/>
    <xf numFmtId="1" fontId="0" fillId="2" borderId="0" xfId="0" applyNumberFormat="1" applyFill="1" applyBorder="1" applyAlignment="1">
      <alignment horizontal="center"/>
    </xf>
    <xf numFmtId="0" fontId="1" fillId="2" borderId="0" xfId="0" applyFont="1" applyFill="1" applyBorder="1"/>
    <xf numFmtId="0" fontId="2" fillId="2" borderId="0" xfId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1" fontId="2" fillId="2" borderId="0" xfId="0" quotePrefix="1" applyNumberFormat="1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NumberFormat="1" applyFont="1" applyFill="1" applyBorder="1"/>
    <xf numFmtId="0" fontId="4" fillId="2" borderId="0" xfId="0" applyFont="1" applyFill="1" applyBorder="1"/>
    <xf numFmtId="2" fontId="8" fillId="2" borderId="0" xfId="0" applyNumberFormat="1" applyFont="1" applyFill="1" applyBorder="1" applyAlignment="1">
      <alignment horizontal="center"/>
    </xf>
    <xf numFmtId="165" fontId="8" fillId="2" borderId="0" xfId="0" applyNumberFormat="1" applyFont="1" applyFill="1" applyBorder="1" applyAlignment="1">
      <alignment horizontal="center"/>
    </xf>
    <xf numFmtId="164" fontId="8" fillId="2" borderId="0" xfId="0" applyNumberFormat="1" applyFont="1" applyFill="1" applyBorder="1" applyAlignment="1">
      <alignment horizontal="center"/>
    </xf>
    <xf numFmtId="2" fontId="9" fillId="2" borderId="0" xfId="0" applyNumberFormat="1" applyFont="1" applyFill="1" applyBorder="1" applyAlignment="1">
      <alignment horizontal="center"/>
    </xf>
    <xf numFmtId="1" fontId="8" fillId="2" borderId="0" xfId="0" applyNumberFormat="1" applyFont="1" applyFill="1" applyBorder="1" applyAlignment="1">
      <alignment horizontal="center"/>
    </xf>
    <xf numFmtId="164" fontId="9" fillId="2" borderId="0" xfId="0" applyNumberFormat="1" applyFont="1" applyFill="1" applyBorder="1" applyAlignment="1">
      <alignment horizontal="center"/>
    </xf>
    <xf numFmtId="1" fontId="9" fillId="2" borderId="0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165" fontId="9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1" fontId="2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1" fontId="2" fillId="5" borderId="0" xfId="0" applyNumberFormat="1" applyFont="1" applyFill="1" applyBorder="1" applyAlignment="1">
      <alignment horizontal="center"/>
    </xf>
    <xf numFmtId="2" fontId="3" fillId="5" borderId="0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1" fontId="2" fillId="6" borderId="0" xfId="0" applyNumberFormat="1" applyFont="1" applyFill="1" applyBorder="1" applyAlignment="1">
      <alignment horizontal="center"/>
    </xf>
    <xf numFmtId="164" fontId="2" fillId="6" borderId="0" xfId="0" applyNumberFormat="1" applyFont="1" applyFill="1" applyBorder="1" applyAlignment="1">
      <alignment horizontal="center"/>
    </xf>
    <xf numFmtId="164" fontId="0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2" fillId="0" borderId="0" xfId="0" applyNumberFormat="1" applyFont="1" applyBorder="1"/>
    <xf numFmtId="1" fontId="0" fillId="2" borderId="0" xfId="0" applyNumberFormat="1" applyFill="1" applyBorder="1"/>
    <xf numFmtId="164" fontId="0" fillId="2" borderId="0" xfId="0" applyNumberFormat="1" applyFill="1" applyBorder="1"/>
    <xf numFmtId="2" fontId="0" fillId="2" borderId="0" xfId="0" applyNumberFormat="1" applyFill="1" applyBorder="1"/>
    <xf numFmtId="2" fontId="2" fillId="7" borderId="0" xfId="0" applyNumberFormat="1" applyFont="1" applyFill="1" applyBorder="1" applyAlignment="1">
      <alignment horizontal="center"/>
    </xf>
    <xf numFmtId="2" fontId="2" fillId="6" borderId="0" xfId="0" applyNumberFormat="1" applyFont="1" applyFill="1" applyBorder="1" applyAlignment="1">
      <alignment horizontal="center"/>
    </xf>
    <xf numFmtId="165" fontId="2" fillId="6" borderId="0" xfId="0" applyNumberFormat="1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0" fontId="16" fillId="2" borderId="0" xfId="0" applyNumberFormat="1" applyFont="1" applyFill="1" applyBorder="1" applyAlignment="1">
      <alignment horizontal="center"/>
    </xf>
    <xf numFmtId="2" fontId="15" fillId="2" borderId="0" xfId="0" applyNumberFormat="1" applyFont="1" applyFill="1" applyBorder="1" applyAlignment="1">
      <alignment horizontal="center"/>
    </xf>
    <xf numFmtId="11" fontId="16" fillId="2" borderId="0" xfId="0" applyNumberFormat="1" applyFont="1" applyFill="1" applyBorder="1" applyAlignment="1">
      <alignment horizontal="center"/>
    </xf>
    <xf numFmtId="2" fontId="16" fillId="2" borderId="0" xfId="0" applyNumberFormat="1" applyFont="1" applyFill="1" applyBorder="1" applyAlignment="1">
      <alignment horizontal="center"/>
    </xf>
    <xf numFmtId="1" fontId="16" fillId="2" borderId="0" xfId="0" applyNumberFormat="1" applyFont="1" applyFill="1" applyBorder="1" applyAlignment="1">
      <alignment horizontal="center"/>
    </xf>
    <xf numFmtId="164" fontId="16" fillId="2" borderId="0" xfId="0" applyNumberFormat="1" applyFont="1" applyFill="1" applyBorder="1" applyAlignment="1">
      <alignment horizontal="center"/>
    </xf>
    <xf numFmtId="165" fontId="16" fillId="2" borderId="0" xfId="0" applyNumberFormat="1" applyFont="1" applyFill="1" applyBorder="1" applyAlignment="1">
      <alignment horizontal="center"/>
    </xf>
    <xf numFmtId="164" fontId="16" fillId="6" borderId="0" xfId="0" applyNumberFormat="1" applyFont="1" applyFill="1" applyBorder="1" applyAlignment="1">
      <alignment horizontal="center"/>
    </xf>
    <xf numFmtId="164" fontId="15" fillId="2" borderId="0" xfId="0" applyNumberFormat="1" applyFont="1" applyFill="1" applyBorder="1" applyAlignment="1">
      <alignment horizontal="center"/>
    </xf>
    <xf numFmtId="0" fontId="16" fillId="2" borderId="0" xfId="0" applyFont="1" applyFill="1" applyBorder="1"/>
    <xf numFmtId="166" fontId="16" fillId="2" borderId="0" xfId="0" applyNumberFormat="1" applyFont="1" applyFill="1" applyBorder="1" applyAlignment="1">
      <alignment horizontal="center"/>
    </xf>
    <xf numFmtId="1" fontId="16" fillId="6" borderId="0" xfId="0" applyNumberFormat="1" applyFont="1" applyFill="1" applyBorder="1" applyAlignment="1">
      <alignment horizontal="center"/>
    </xf>
    <xf numFmtId="165" fontId="15" fillId="2" borderId="0" xfId="0" applyNumberFormat="1" applyFont="1" applyFill="1" applyBorder="1" applyAlignment="1">
      <alignment horizontal="center"/>
    </xf>
    <xf numFmtId="0" fontId="16" fillId="2" borderId="0" xfId="1" applyNumberFormat="1" applyFont="1" applyFill="1" applyBorder="1" applyAlignment="1">
      <alignment horizontal="center"/>
    </xf>
    <xf numFmtId="1" fontId="15" fillId="2" borderId="0" xfId="0" applyNumberFormat="1" applyFont="1" applyFill="1" applyBorder="1" applyAlignment="1">
      <alignment horizontal="center"/>
    </xf>
    <xf numFmtId="0" fontId="16" fillId="2" borderId="0" xfId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/>
    </xf>
    <xf numFmtId="1" fontId="2" fillId="8" borderId="0" xfId="0" applyNumberFormat="1" applyFont="1" applyFill="1" applyBorder="1" applyAlignment="1">
      <alignment horizontal="center"/>
    </xf>
    <xf numFmtId="2" fontId="3" fillId="8" borderId="0" xfId="0" applyNumberFormat="1" applyFont="1" applyFill="1" applyBorder="1" applyAlignment="1">
      <alignment horizontal="center"/>
    </xf>
    <xf numFmtId="2" fontId="2" fillId="8" borderId="0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/>
    </xf>
    <xf numFmtId="0" fontId="10" fillId="2" borderId="0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2" fontId="2" fillId="6" borderId="0" xfId="0" applyNumberFormat="1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0" fontId="0" fillId="2" borderId="0" xfId="0" applyFill="1"/>
    <xf numFmtId="0" fontId="17" fillId="9" borderId="1" xfId="0" applyFont="1" applyFill="1" applyBorder="1" applyAlignment="1">
      <alignment horizontal="center"/>
    </xf>
    <xf numFmtId="0" fontId="17" fillId="9" borderId="2" xfId="0" applyFont="1" applyFill="1" applyBorder="1" applyAlignment="1">
      <alignment horizontal="center"/>
    </xf>
    <xf numFmtId="166" fontId="2" fillId="2" borderId="1" xfId="0" applyNumberFormat="1" applyFont="1" applyFill="1" applyBorder="1" applyAlignment="1">
      <alignment horizontal="center"/>
    </xf>
    <xf numFmtId="167" fontId="2" fillId="2" borderId="1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164" fontId="3" fillId="6" borderId="0" xfId="0" applyNumberFormat="1" applyFont="1" applyFill="1" applyBorder="1" applyAlignment="1">
      <alignment horizontal="center"/>
    </xf>
    <xf numFmtId="164" fontId="15" fillId="6" borderId="0" xfId="0" applyNumberFormat="1" applyFont="1" applyFill="1" applyBorder="1" applyAlignment="1">
      <alignment horizontal="center"/>
    </xf>
    <xf numFmtId="164" fontId="1" fillId="2" borderId="0" xfId="0" applyNumberFormat="1" applyFont="1" applyFill="1" applyBorder="1"/>
    <xf numFmtId="0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/>
    <xf numFmtId="0" fontId="4" fillId="2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1" fontId="0" fillId="2" borderId="0" xfId="0" applyNumberFormat="1" applyFont="1" applyFill="1" applyBorder="1" applyAlignment="1">
      <alignment horizontal="center"/>
    </xf>
    <xf numFmtId="165" fontId="0" fillId="2" borderId="0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2" xfId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2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center"/>
    </xf>
    <xf numFmtId="0" fontId="16" fillId="2" borderId="6" xfId="0" applyFont="1" applyFill="1" applyBorder="1" applyAlignment="1">
      <alignment horizontal="left"/>
    </xf>
    <xf numFmtId="2" fontId="2" fillId="6" borderId="6" xfId="0" applyNumberFormat="1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left"/>
    </xf>
    <xf numFmtId="0" fontId="2" fillId="8" borderId="5" xfId="0" applyFont="1" applyFill="1" applyBorder="1" applyAlignment="1">
      <alignment horizontal="center"/>
    </xf>
    <xf numFmtId="0" fontId="2" fillId="8" borderId="10" xfId="0" applyFont="1" applyFill="1" applyBorder="1" applyAlignment="1">
      <alignment horizontal="center"/>
    </xf>
    <xf numFmtId="0" fontId="23" fillId="3" borderId="0" xfId="2" applyFont="1" applyFill="1" applyBorder="1" applyAlignment="1">
      <alignment horizontal="center" vertical="center"/>
    </xf>
    <xf numFmtId="2" fontId="23" fillId="3" borderId="0" xfId="2" applyNumberFormat="1" applyFont="1" applyFill="1" applyBorder="1" applyAlignment="1">
      <alignment horizontal="center" vertical="center"/>
    </xf>
    <xf numFmtId="0" fontId="22" fillId="2" borderId="0" xfId="2" applyFill="1" applyBorder="1"/>
    <xf numFmtId="0" fontId="24" fillId="2" borderId="0" xfId="2" applyFont="1" applyFill="1" applyBorder="1" applyAlignment="1">
      <alignment horizontal="center" vertical="center"/>
    </xf>
    <xf numFmtId="0" fontId="22" fillId="2" borderId="0" xfId="2" applyFill="1" applyBorder="1" applyAlignment="1">
      <alignment horizontal="center" vertical="center"/>
    </xf>
    <xf numFmtId="166" fontId="24" fillId="2" borderId="0" xfId="2" applyNumberFormat="1" applyFont="1" applyFill="1" applyBorder="1" applyAlignment="1">
      <alignment horizontal="center" vertical="center"/>
    </xf>
    <xf numFmtId="164" fontId="22" fillId="2" borderId="0" xfId="2" applyNumberFormat="1" applyFill="1" applyBorder="1" applyAlignment="1">
      <alignment horizontal="center" vertical="center"/>
    </xf>
    <xf numFmtId="2" fontId="22" fillId="2" borderId="0" xfId="2" applyNumberFormat="1" applyFill="1" applyBorder="1" applyAlignment="1">
      <alignment horizontal="center" vertical="center"/>
    </xf>
    <xf numFmtId="1" fontId="22" fillId="2" borderId="0" xfId="2" applyNumberFormat="1" applyFill="1" applyBorder="1" applyAlignment="1">
      <alignment horizontal="center" vertical="center"/>
    </xf>
    <xf numFmtId="0" fontId="3" fillId="2" borderId="0" xfId="0" applyFont="1" applyFill="1" applyAlignment="1">
      <alignment horizontal="left"/>
    </xf>
    <xf numFmtId="1" fontId="3" fillId="6" borderId="0" xfId="0" applyNumberFormat="1" applyFont="1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</cellXfs>
  <cellStyles count="3">
    <cellStyle name="Hyperlink" xfId="1" builtinId="8"/>
    <cellStyle name="Normal" xfId="0" builtinId="0"/>
    <cellStyle name="Normal 2" xfId="2" xr:uid="{EACED736-FB14-4678-AB4F-5ACBAC0F6CFD}"/>
  </cellStyles>
  <dxfs count="173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dk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6763667219885945"/>
                  <c:y val="-4.58562492966387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'PFAS Properties'!$P$15:$P$65</c:f>
              <c:numCache>
                <c:formatCode>0</c:formatCode>
                <c:ptCount val="51"/>
                <c:pt idx="0">
                  <c:v>570.08529999999996</c:v>
                </c:pt>
                <c:pt idx="1">
                  <c:v>670.07889999999998</c:v>
                </c:pt>
                <c:pt idx="2">
                  <c:v>770.07249999999999</c:v>
                </c:pt>
                <c:pt idx="3">
                  <c:v>512.07989999999995</c:v>
                </c:pt>
                <c:pt idx="4">
                  <c:v>642.04769999999996</c:v>
                </c:pt>
                <c:pt idx="5">
                  <c:v>513.1019</c:v>
                </c:pt>
                <c:pt idx="6">
                  <c:v>556.08389999999997</c:v>
                </c:pt>
                <c:pt idx="7">
                  <c:v>484.0487</c:v>
                </c:pt>
                <c:pt idx="8">
                  <c:v>498.0643</c:v>
                </c:pt>
                <c:pt idx="9">
                  <c:v>264.01949999999999</c:v>
                </c:pt>
                <c:pt idx="10">
                  <c:v>364.01309999999995</c:v>
                </c:pt>
                <c:pt idx="11">
                  <c:v>464.00669999999997</c:v>
                </c:pt>
                <c:pt idx="12">
                  <c:v>564.00030000000004</c:v>
                </c:pt>
                <c:pt idx="13">
                  <c:v>113.9928</c:v>
                </c:pt>
                <c:pt idx="14">
                  <c:v>213.9864</c:v>
                </c:pt>
                <c:pt idx="15">
                  <c:v>263.98320000000001</c:v>
                </c:pt>
                <c:pt idx="16">
                  <c:v>313.97999999999996</c:v>
                </c:pt>
                <c:pt idx="17">
                  <c:v>363.97679999999997</c:v>
                </c:pt>
                <c:pt idx="18">
                  <c:v>413.97359999999998</c:v>
                </c:pt>
                <c:pt idx="19">
                  <c:v>463.97039999999998</c:v>
                </c:pt>
                <c:pt idx="20">
                  <c:v>513.96719999999993</c:v>
                </c:pt>
                <c:pt idx="21">
                  <c:v>563.96399999999994</c:v>
                </c:pt>
                <c:pt idx="22">
                  <c:v>613.96079999999995</c:v>
                </c:pt>
                <c:pt idx="23">
                  <c:v>663.95759999999996</c:v>
                </c:pt>
                <c:pt idx="24">
                  <c:v>713.95439999999996</c:v>
                </c:pt>
                <c:pt idx="25">
                  <c:v>329.97489999999993</c:v>
                </c:pt>
                <c:pt idx="26">
                  <c:v>377.976</c:v>
                </c:pt>
                <c:pt idx="27">
                  <c:v>299.9502</c:v>
                </c:pt>
                <c:pt idx="28">
                  <c:v>349.94699999999995</c:v>
                </c:pt>
                <c:pt idx="29">
                  <c:v>399.94379999999995</c:v>
                </c:pt>
                <c:pt idx="30">
                  <c:v>449.94059999999996</c:v>
                </c:pt>
                <c:pt idx="31">
                  <c:v>499.93739999999997</c:v>
                </c:pt>
                <c:pt idx="32">
                  <c:v>549.93420000000003</c:v>
                </c:pt>
                <c:pt idx="33">
                  <c:v>599.93099999999993</c:v>
                </c:pt>
                <c:pt idx="34">
                  <c:v>461.94059999999996</c:v>
                </c:pt>
                <c:pt idx="35">
                  <c:v>531.90269999999998</c:v>
                </c:pt>
                <c:pt idx="36">
                  <c:v>327.98139999999995</c:v>
                </c:pt>
                <c:pt idx="37">
                  <c:v>427.97499999999997</c:v>
                </c:pt>
                <c:pt idx="38">
                  <c:v>527.96860000000004</c:v>
                </c:pt>
                <c:pt idx="39">
                  <c:v>298.96620000000001</c:v>
                </c:pt>
                <c:pt idx="40">
                  <c:v>398.95980000000003</c:v>
                </c:pt>
                <c:pt idx="41">
                  <c:v>498.95340000000004</c:v>
                </c:pt>
                <c:pt idx="42">
                  <c:v>526.9846</c:v>
                </c:pt>
                <c:pt idx="43">
                  <c:v>570.97440000000006</c:v>
                </c:pt>
                <c:pt idx="44">
                  <c:v>584.99</c:v>
                </c:pt>
                <c:pt idx="45">
                  <c:v>399.95329999999996</c:v>
                </c:pt>
                <c:pt idx="46">
                  <c:v>499.94689999999997</c:v>
                </c:pt>
                <c:pt idx="47">
                  <c:v>599.94049999999993</c:v>
                </c:pt>
                <c:pt idx="48">
                  <c:v>701.92979999999989</c:v>
                </c:pt>
                <c:pt idx="49">
                  <c:v>801.9233999999999</c:v>
                </c:pt>
                <c:pt idx="50">
                  <c:v>901.91699999999992</c:v>
                </c:pt>
              </c:numCache>
            </c:numRef>
          </c:xVal>
          <c:yVal>
            <c:numRef>
              <c:f>'PFAS Properties'!$Q$15:$Q$65</c:f>
              <c:numCache>
                <c:formatCode>0.00</c:formatCode>
                <c:ptCount val="51"/>
                <c:pt idx="0">
                  <c:v>1.81</c:v>
                </c:pt>
                <c:pt idx="1">
                  <c:v>2.54</c:v>
                </c:pt>
                <c:pt idx="2">
                  <c:v>3.3</c:v>
                </c:pt>
                <c:pt idx="3">
                  <c:v>2.71</c:v>
                </c:pt>
                <c:pt idx="4">
                  <c:v>2.83</c:v>
                </c:pt>
                <c:pt idx="5">
                  <c:v>2.96</c:v>
                </c:pt>
                <c:pt idx="6">
                  <c:v>1.78</c:v>
                </c:pt>
                <c:pt idx="7">
                  <c:v>3.83</c:v>
                </c:pt>
                <c:pt idx="8">
                  <c:v>3.27</c:v>
                </c:pt>
                <c:pt idx="9">
                  <c:v>2.34</c:v>
                </c:pt>
                <c:pt idx="10">
                  <c:v>3.02</c:v>
                </c:pt>
                <c:pt idx="11">
                  <c:v>3.6</c:v>
                </c:pt>
                <c:pt idx="12">
                  <c:v>4.43</c:v>
                </c:pt>
                <c:pt idx="13">
                  <c:v>0.43</c:v>
                </c:pt>
                <c:pt idx="14">
                  <c:v>1.34</c:v>
                </c:pt>
                <c:pt idx="15">
                  <c:v>1.71</c:v>
                </c:pt>
                <c:pt idx="16">
                  <c:v>2.08</c:v>
                </c:pt>
                <c:pt idx="17">
                  <c:v>2.4500000000000002</c:v>
                </c:pt>
                <c:pt idx="18">
                  <c:v>2.82</c:v>
                </c:pt>
                <c:pt idx="19">
                  <c:v>3.19</c:v>
                </c:pt>
                <c:pt idx="20">
                  <c:v>3.56</c:v>
                </c:pt>
                <c:pt idx="21">
                  <c:v>3.93</c:v>
                </c:pt>
                <c:pt idx="22">
                  <c:v>4.3</c:v>
                </c:pt>
                <c:pt idx="23">
                  <c:v>4.67</c:v>
                </c:pt>
                <c:pt idx="24">
                  <c:v>5.04</c:v>
                </c:pt>
                <c:pt idx="25">
                  <c:v>1.92</c:v>
                </c:pt>
                <c:pt idx="26">
                  <c:v>1.94</c:v>
                </c:pt>
                <c:pt idx="27">
                  <c:v>1.93</c:v>
                </c:pt>
                <c:pt idx="28">
                  <c:v>2.2999999999999998</c:v>
                </c:pt>
                <c:pt idx="29">
                  <c:v>2.67</c:v>
                </c:pt>
                <c:pt idx="30">
                  <c:v>3.04</c:v>
                </c:pt>
                <c:pt idx="31">
                  <c:v>3.41</c:v>
                </c:pt>
                <c:pt idx="32">
                  <c:v>3.78</c:v>
                </c:pt>
                <c:pt idx="33">
                  <c:v>4.1500000000000004</c:v>
                </c:pt>
                <c:pt idx="34">
                  <c:v>3.37</c:v>
                </c:pt>
                <c:pt idx="35">
                  <c:v>3.73</c:v>
                </c:pt>
                <c:pt idx="36">
                  <c:v>1.66</c:v>
                </c:pt>
                <c:pt idx="37">
                  <c:v>2.4</c:v>
                </c:pt>
                <c:pt idx="38">
                  <c:v>3.14</c:v>
                </c:pt>
                <c:pt idx="39">
                  <c:v>2.82</c:v>
                </c:pt>
                <c:pt idx="40">
                  <c:v>3.55</c:v>
                </c:pt>
                <c:pt idx="41">
                  <c:v>4.3</c:v>
                </c:pt>
                <c:pt idx="42">
                  <c:v>4.8</c:v>
                </c:pt>
                <c:pt idx="43">
                  <c:v>3.44</c:v>
                </c:pt>
                <c:pt idx="44">
                  <c:v>3.71</c:v>
                </c:pt>
                <c:pt idx="45">
                  <c:v>2.72</c:v>
                </c:pt>
                <c:pt idx="46">
                  <c:v>3.46</c:v>
                </c:pt>
                <c:pt idx="47">
                  <c:v>4.2</c:v>
                </c:pt>
                <c:pt idx="48">
                  <c:v>4.88</c:v>
                </c:pt>
                <c:pt idx="49">
                  <c:v>5.62</c:v>
                </c:pt>
                <c:pt idx="50">
                  <c:v>6.36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041-48E2-A449-2D8196FBF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2163288"/>
        <c:axId val="842166240"/>
      </c:scatterChart>
      <c:valAx>
        <c:axId val="8421632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Molecular weight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2166240"/>
        <c:crosses val="autoZero"/>
        <c:crossBetween val="midCat"/>
      </c:valAx>
      <c:valAx>
        <c:axId val="84216624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log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Koc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2163288"/>
        <c:crosses val="autoZero"/>
        <c:crossBetween val="midCat"/>
      </c:valAx>
      <c:spPr>
        <a:solidFill>
          <a:schemeClr val="lt1"/>
        </a:solidFill>
        <a:ln w="12700" cap="flat" cmpd="sng" algn="ctr">
          <a:solidFill>
            <a:schemeClr val="dk1"/>
          </a:solidFill>
          <a:prstDash val="solid"/>
          <a:miter lim="800000"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PFHxA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chemeClr val="dk1"/>
                </a:solidFill>
              </a:ln>
              <a:effectLst/>
            </c:spPr>
          </c:marker>
          <c:dPt>
            <c:idx val="6"/>
            <c:marker>
              <c:symbol val="circle"/>
              <c:size val="5"/>
              <c:spPr>
                <a:solidFill>
                  <a:srgbClr val="0070C0"/>
                </a:solidFill>
                <a:ln w="9525">
                  <a:solidFill>
                    <a:schemeClr val="dk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D04B-480E-8875-D3AB460E0036}"/>
              </c:ext>
            </c:extLst>
          </c:dPt>
          <c:xVal>
            <c:numRef>
              <c:f>'All data'!$AX$165:$AX$190</c:f>
              <c:numCache>
                <c:formatCode>0.000</c:formatCode>
                <c:ptCount val="26"/>
                <c:pt idx="0">
                  <c:v>4.0000000000000001E-3</c:v>
                </c:pt>
                <c:pt idx="1">
                  <c:v>9.300000000000001E-3</c:v>
                </c:pt>
                <c:pt idx="2">
                  <c:v>1.7000000000000001E-2</c:v>
                </c:pt>
                <c:pt idx="3">
                  <c:v>4.4999999999999998E-2</c:v>
                </c:pt>
                <c:pt idx="4">
                  <c:v>8.0000000000000002E-3</c:v>
                </c:pt>
                <c:pt idx="5">
                  <c:v>1.43E-2</c:v>
                </c:pt>
                <c:pt idx="6">
                  <c:v>1.6E-2</c:v>
                </c:pt>
                <c:pt idx="7">
                  <c:v>7.6999999999999999E-2</c:v>
                </c:pt>
                <c:pt idx="8">
                  <c:v>9.4E-2</c:v>
                </c:pt>
                <c:pt idx="9">
                  <c:v>0.27</c:v>
                </c:pt>
                <c:pt idx="10">
                  <c:v>0.32</c:v>
                </c:pt>
                <c:pt idx="11">
                  <c:v>0.39</c:v>
                </c:pt>
                <c:pt idx="12">
                  <c:v>0.41</c:v>
                </c:pt>
                <c:pt idx="13">
                  <c:v>0.45</c:v>
                </c:pt>
                <c:pt idx="14">
                  <c:v>4.9000000000000002E-2</c:v>
                </c:pt>
                <c:pt idx="15">
                  <c:v>2.6000000000000002E-2</c:v>
                </c:pt>
                <c:pt idx="16">
                  <c:v>6.9999999999999993E-3</c:v>
                </c:pt>
                <c:pt idx="17">
                  <c:v>3.7000000000000002E-3</c:v>
                </c:pt>
                <c:pt idx="18">
                  <c:v>8.0000000000000004E-4</c:v>
                </c:pt>
                <c:pt idx="19">
                  <c:v>2.5000000000000001E-3</c:v>
                </c:pt>
                <c:pt idx="20">
                  <c:v>2.23E-2</c:v>
                </c:pt>
                <c:pt idx="21">
                  <c:v>4.9000000000000002E-2</c:v>
                </c:pt>
                <c:pt idx="22">
                  <c:v>1.2999999999999999E-3</c:v>
                </c:pt>
                <c:pt idx="23">
                  <c:v>4.0000000000000001E-3</c:v>
                </c:pt>
                <c:pt idx="24">
                  <c:v>1.1899999999999999E-2</c:v>
                </c:pt>
                <c:pt idx="25">
                  <c:v>1.7000000000000001E-3</c:v>
                </c:pt>
              </c:numCache>
            </c:numRef>
          </c:xVal>
          <c:yVal>
            <c:numRef>
              <c:f>'All data'!$BD$165:$BD$190</c:f>
              <c:numCache>
                <c:formatCode>0.00</c:formatCode>
                <c:ptCount val="26"/>
                <c:pt idx="0">
                  <c:v>0.28000000000000003</c:v>
                </c:pt>
                <c:pt idx="1">
                  <c:v>0.38</c:v>
                </c:pt>
                <c:pt idx="2">
                  <c:v>0.24</c:v>
                </c:pt>
                <c:pt idx="3">
                  <c:v>0.36</c:v>
                </c:pt>
                <c:pt idx="4">
                  <c:v>0.53</c:v>
                </c:pt>
                <c:pt idx="5" formatCode="General">
                  <c:v>0.96</c:v>
                </c:pt>
                <c:pt idx="6" formatCode="General">
                  <c:v>2.9</c:v>
                </c:pt>
                <c:pt idx="7" formatCode="General">
                  <c:v>2.5</c:v>
                </c:pt>
                <c:pt idx="8" formatCode="General">
                  <c:v>1.2</c:v>
                </c:pt>
                <c:pt idx="9" formatCode="General">
                  <c:v>2.6</c:v>
                </c:pt>
                <c:pt idx="10" formatCode="General">
                  <c:v>5.4</c:v>
                </c:pt>
                <c:pt idx="11" formatCode="General">
                  <c:v>5.0999999999999996</c:v>
                </c:pt>
                <c:pt idx="12" formatCode="General">
                  <c:v>6.5</c:v>
                </c:pt>
                <c:pt idx="13" formatCode="0">
                  <c:v>7.1320193660750117</c:v>
                </c:pt>
                <c:pt idx="14" formatCode="General">
                  <c:v>0.42</c:v>
                </c:pt>
                <c:pt idx="15" formatCode="General">
                  <c:v>0.17</c:v>
                </c:pt>
                <c:pt idx="16">
                  <c:v>0.39</c:v>
                </c:pt>
                <c:pt idx="17" formatCode="General">
                  <c:v>0.35</c:v>
                </c:pt>
                <c:pt idx="18" formatCode="General">
                  <c:v>0.24</c:v>
                </c:pt>
                <c:pt idx="19">
                  <c:v>0.17</c:v>
                </c:pt>
                <c:pt idx="20" formatCode="General">
                  <c:v>0.31</c:v>
                </c:pt>
                <c:pt idx="21" formatCode="General">
                  <c:v>0.52</c:v>
                </c:pt>
                <c:pt idx="22" formatCode="General">
                  <c:v>0.21</c:v>
                </c:pt>
                <c:pt idx="23" formatCode="General">
                  <c:v>0.05</c:v>
                </c:pt>
                <c:pt idx="24" formatCode="General">
                  <c:v>0.22</c:v>
                </c:pt>
                <c:pt idx="25" formatCode="General">
                  <c:v>0.28999999999999998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04B-480E-8875-D3AB460E0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6953632"/>
        <c:axId val="816955600"/>
      </c:scatterChart>
      <c:valAx>
        <c:axId val="816953632"/>
        <c:scaling>
          <c:orientation val="minMax"/>
          <c:max val="0.60000000000000009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foc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955600"/>
        <c:crossesAt val="1.0000000000000002E-2"/>
        <c:crossBetween val="midCat"/>
      </c:valAx>
      <c:valAx>
        <c:axId val="816955600"/>
        <c:scaling>
          <c:orientation val="minMax"/>
          <c:max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Kd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953632"/>
        <c:crosses val="autoZero"/>
        <c:crossBetween val="midCat"/>
        <c:majorUnit val="2"/>
      </c:valAx>
      <c:spPr>
        <a:solidFill>
          <a:schemeClr val="lt1"/>
        </a:solidFill>
        <a:ln w="12700" cap="flat" cmpd="sng" algn="ctr">
          <a:solidFill>
            <a:schemeClr val="dk1"/>
          </a:solidFill>
          <a:prstDash val="solid"/>
          <a:miter lim="800000"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PFHpA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chemeClr val="dk1"/>
                </a:solidFill>
              </a:ln>
              <a:effectLst/>
            </c:spPr>
          </c:marker>
          <c:dPt>
            <c:idx val="14"/>
            <c:marker>
              <c:symbol val="x"/>
              <c:size val="5"/>
              <c:spPr>
                <a:solidFill>
                  <a:srgbClr val="FF0000"/>
                </a:solidFill>
                <a:ln w="9525">
                  <a:solidFill>
                    <a:schemeClr val="dk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E25-4557-B01A-72637086899A}"/>
              </c:ext>
            </c:extLst>
          </c:dPt>
          <c:dPt>
            <c:idx val="15"/>
            <c:marker>
              <c:symbol val="x"/>
              <c:size val="5"/>
              <c:spPr>
                <a:solidFill>
                  <a:srgbClr val="FF0000"/>
                </a:solidFill>
                <a:ln w="9525">
                  <a:solidFill>
                    <a:schemeClr val="dk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E25-4557-B01A-72637086899A}"/>
              </c:ext>
            </c:extLst>
          </c:dPt>
          <c:dPt>
            <c:idx val="16"/>
            <c:marker>
              <c:symbol val="x"/>
              <c:size val="5"/>
              <c:spPr>
                <a:solidFill>
                  <a:srgbClr val="FF0000"/>
                </a:solidFill>
                <a:ln w="9525">
                  <a:solidFill>
                    <a:schemeClr val="dk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AE25-4557-B01A-72637086899A}"/>
              </c:ext>
            </c:extLst>
          </c:dPt>
          <c:xVal>
            <c:numRef>
              <c:f>'All data'!$AX$191:$AX$217</c:f>
              <c:numCache>
                <c:formatCode>0.000</c:formatCode>
                <c:ptCount val="27"/>
                <c:pt idx="0">
                  <c:v>4.0000000000000001E-3</c:v>
                </c:pt>
                <c:pt idx="1">
                  <c:v>9.300000000000001E-3</c:v>
                </c:pt>
                <c:pt idx="2">
                  <c:v>1.7000000000000001E-2</c:v>
                </c:pt>
                <c:pt idx="3">
                  <c:v>4.4999999999999998E-2</c:v>
                </c:pt>
                <c:pt idx="4">
                  <c:v>8.0000000000000002E-3</c:v>
                </c:pt>
                <c:pt idx="5">
                  <c:v>4.1999999999999997E-3</c:v>
                </c:pt>
                <c:pt idx="6">
                  <c:v>0.01</c:v>
                </c:pt>
                <c:pt idx="7">
                  <c:v>0.45</c:v>
                </c:pt>
                <c:pt idx="8">
                  <c:v>0.44900000000000001</c:v>
                </c:pt>
                <c:pt idx="9">
                  <c:v>0.53600000000000003</c:v>
                </c:pt>
                <c:pt idx="10">
                  <c:v>1.4433333333333333E-2</c:v>
                </c:pt>
                <c:pt idx="11">
                  <c:v>1.43E-2</c:v>
                </c:pt>
                <c:pt idx="12">
                  <c:v>4.9000000000000002E-2</c:v>
                </c:pt>
                <c:pt idx="13">
                  <c:v>2.6000000000000002E-2</c:v>
                </c:pt>
                <c:pt idx="14">
                  <c:v>0.04</c:v>
                </c:pt>
                <c:pt idx="15">
                  <c:v>0.02</c:v>
                </c:pt>
                <c:pt idx="16">
                  <c:v>2.2000000000000002E-2</c:v>
                </c:pt>
                <c:pt idx="17">
                  <c:v>6.9999999999999993E-3</c:v>
                </c:pt>
                <c:pt idx="18">
                  <c:v>3.7000000000000002E-3</c:v>
                </c:pt>
                <c:pt idx="19">
                  <c:v>8.0000000000000004E-4</c:v>
                </c:pt>
                <c:pt idx="20">
                  <c:v>2.5000000000000001E-3</c:v>
                </c:pt>
                <c:pt idx="21">
                  <c:v>2.23E-2</c:v>
                </c:pt>
                <c:pt idx="22">
                  <c:v>4.9000000000000002E-2</c:v>
                </c:pt>
                <c:pt idx="23">
                  <c:v>1.2999999999999999E-3</c:v>
                </c:pt>
                <c:pt idx="24">
                  <c:v>4.0000000000000001E-3</c:v>
                </c:pt>
                <c:pt idx="25">
                  <c:v>1.1899999999999999E-2</c:v>
                </c:pt>
                <c:pt idx="26">
                  <c:v>1.7000000000000001E-3</c:v>
                </c:pt>
              </c:numCache>
            </c:numRef>
          </c:xVal>
          <c:yVal>
            <c:numRef>
              <c:f>'All data'!$BD$191:$BD$217</c:f>
              <c:numCache>
                <c:formatCode>0.00</c:formatCode>
                <c:ptCount val="27"/>
                <c:pt idx="0">
                  <c:v>0.56000000000000005</c:v>
                </c:pt>
                <c:pt idx="1">
                  <c:v>2</c:v>
                </c:pt>
                <c:pt idx="2">
                  <c:v>0.19</c:v>
                </c:pt>
                <c:pt idx="3">
                  <c:v>0.49</c:v>
                </c:pt>
                <c:pt idx="4">
                  <c:v>0.33</c:v>
                </c:pt>
                <c:pt idx="5">
                  <c:v>0.63</c:v>
                </c:pt>
                <c:pt idx="6">
                  <c:v>0.63</c:v>
                </c:pt>
                <c:pt idx="7" formatCode="0">
                  <c:v>17.914822674907391</c:v>
                </c:pt>
                <c:pt idx="8" formatCode="0">
                  <c:v>59.189727561182742</c:v>
                </c:pt>
                <c:pt idx="9" formatCode="0">
                  <c:v>46.683648421645927</c:v>
                </c:pt>
                <c:pt idx="10" formatCode="General">
                  <c:v>0.43</c:v>
                </c:pt>
                <c:pt idx="11" formatCode="General">
                  <c:v>1.64</c:v>
                </c:pt>
                <c:pt idx="12" formatCode="General">
                  <c:v>1.17</c:v>
                </c:pt>
                <c:pt idx="13" formatCode="General">
                  <c:v>0.17</c:v>
                </c:pt>
                <c:pt idx="14" formatCode="0.0">
                  <c:v>53.9</c:v>
                </c:pt>
                <c:pt idx="15" formatCode="0.0">
                  <c:v>43</c:v>
                </c:pt>
                <c:pt idx="16" formatCode="0.0">
                  <c:v>34.6</c:v>
                </c:pt>
                <c:pt idx="17">
                  <c:v>0.55000000000000004</c:v>
                </c:pt>
                <c:pt idx="18" formatCode="General">
                  <c:v>0.61</c:v>
                </c:pt>
                <c:pt idx="19" formatCode="General">
                  <c:v>0.5</c:v>
                </c:pt>
                <c:pt idx="20">
                  <c:v>0.46</c:v>
                </c:pt>
                <c:pt idx="21" formatCode="General">
                  <c:v>0.55000000000000004</c:v>
                </c:pt>
                <c:pt idx="22" formatCode="General">
                  <c:v>1.41</c:v>
                </c:pt>
                <c:pt idx="23" formatCode="General">
                  <c:v>0.47</c:v>
                </c:pt>
                <c:pt idx="24" formatCode="General">
                  <c:v>0.3</c:v>
                </c:pt>
                <c:pt idx="25" formatCode="General">
                  <c:v>1.92</c:v>
                </c:pt>
                <c:pt idx="26" formatCode="General">
                  <c:v>0.84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C06-468F-8DB9-E46E29348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6953632"/>
        <c:axId val="816955600"/>
      </c:scatterChart>
      <c:valAx>
        <c:axId val="8169536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955600"/>
        <c:crossesAt val="0.1"/>
        <c:crossBetween val="midCat"/>
      </c:valAx>
      <c:valAx>
        <c:axId val="81695560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Kd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953632"/>
        <c:crossesAt val="0"/>
        <c:crossBetween val="midCat"/>
      </c:valAx>
      <c:spPr>
        <a:solidFill>
          <a:schemeClr val="lt1"/>
        </a:solidFill>
        <a:ln w="12700" cap="flat" cmpd="sng" algn="ctr">
          <a:solidFill>
            <a:schemeClr val="dk1"/>
          </a:solidFill>
          <a:prstDash val="solid"/>
          <a:miter lim="800000"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</a:rPr>
              <a:t>PFOA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chemeClr val="dk1"/>
                </a:solidFill>
              </a:ln>
              <a:effectLst/>
            </c:spPr>
          </c:marker>
          <c:dPt>
            <c:idx val="34"/>
            <c:marker>
              <c:symbol val="circle"/>
              <c:size val="5"/>
              <c:spPr>
                <a:solidFill>
                  <a:srgbClr val="0070C0"/>
                </a:solidFill>
                <a:ln w="9525">
                  <a:solidFill>
                    <a:schemeClr val="dk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F8D5-4272-B2BD-3927763A7BCE}"/>
              </c:ext>
            </c:extLst>
          </c:dPt>
          <c:dPt>
            <c:idx val="35"/>
            <c:marker>
              <c:symbol val="circle"/>
              <c:size val="5"/>
              <c:spPr>
                <a:solidFill>
                  <a:srgbClr val="0070C0"/>
                </a:solidFill>
                <a:ln w="9525">
                  <a:solidFill>
                    <a:schemeClr val="dk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F8D5-4272-B2BD-3927763A7BCE}"/>
              </c:ext>
            </c:extLst>
          </c:dPt>
          <c:dPt>
            <c:idx val="36"/>
            <c:marker>
              <c:symbol val="circle"/>
              <c:size val="5"/>
              <c:spPr>
                <a:solidFill>
                  <a:srgbClr val="0070C0"/>
                </a:solidFill>
                <a:ln w="9525">
                  <a:solidFill>
                    <a:schemeClr val="dk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8D5-4272-B2BD-3927763A7BCE}"/>
              </c:ext>
            </c:extLst>
          </c:dPt>
          <c:xVal>
            <c:numRef>
              <c:f>'All data'!$AX$218:$AX$455</c:f>
              <c:numCache>
                <c:formatCode>0.000</c:formatCode>
                <c:ptCount val="238"/>
                <c:pt idx="0">
                  <c:v>2.5000000000000001E-2</c:v>
                </c:pt>
                <c:pt idx="1">
                  <c:v>5.2000000000000005E-2</c:v>
                </c:pt>
                <c:pt idx="2">
                  <c:v>0.16</c:v>
                </c:pt>
                <c:pt idx="3">
                  <c:v>5.1999999999999998E-3</c:v>
                </c:pt>
                <c:pt idx="4">
                  <c:v>2.1000000000000001E-2</c:v>
                </c:pt>
                <c:pt idx="5">
                  <c:v>4.1999999999999997E-3</c:v>
                </c:pt>
                <c:pt idx="6">
                  <c:v>0.01</c:v>
                </c:pt>
                <c:pt idx="7">
                  <c:v>3.7000000000000002E-3</c:v>
                </c:pt>
                <c:pt idx="8">
                  <c:v>1.7000000000000001E-2</c:v>
                </c:pt>
                <c:pt idx="9">
                  <c:v>4.4999999999999998E-2</c:v>
                </c:pt>
                <c:pt idx="10">
                  <c:v>8.0000000000000002E-3</c:v>
                </c:pt>
                <c:pt idx="11">
                  <c:v>2.4799999999999999E-2</c:v>
                </c:pt>
                <c:pt idx="12">
                  <c:v>9.6600000000000005E-2</c:v>
                </c:pt>
                <c:pt idx="13">
                  <c:v>3.8199999999999998E-2</c:v>
                </c:pt>
                <c:pt idx="14">
                  <c:v>5.1999999999999998E-3</c:v>
                </c:pt>
                <c:pt idx="15">
                  <c:v>2.5800000000000003E-3</c:v>
                </c:pt>
                <c:pt idx="16">
                  <c:v>9.2800000000000001E-3</c:v>
                </c:pt>
                <c:pt idx="17">
                  <c:v>2.4799999999999999E-2</c:v>
                </c:pt>
                <c:pt idx="18">
                  <c:v>9.9299999999999996E-3</c:v>
                </c:pt>
                <c:pt idx="19">
                  <c:v>4.9000000000000002E-2</c:v>
                </c:pt>
                <c:pt idx="20">
                  <c:v>2.6000000000000002E-2</c:v>
                </c:pt>
                <c:pt idx="21">
                  <c:v>2.0999999999999999E-3</c:v>
                </c:pt>
                <c:pt idx="22">
                  <c:v>4.3E-3</c:v>
                </c:pt>
                <c:pt idx="23">
                  <c:v>5.4999999999999997E-3</c:v>
                </c:pt>
                <c:pt idx="24">
                  <c:v>5.1999999999999998E-3</c:v>
                </c:pt>
                <c:pt idx="25">
                  <c:v>1.0500000000000001E-2</c:v>
                </c:pt>
                <c:pt idx="26">
                  <c:v>1.4800000000000001E-2</c:v>
                </c:pt>
                <c:pt idx="27">
                  <c:v>1.7000000000000001E-2</c:v>
                </c:pt>
                <c:pt idx="28">
                  <c:v>2.4700000000000003E-2</c:v>
                </c:pt>
                <c:pt idx="29">
                  <c:v>3.0200000000000001E-2</c:v>
                </c:pt>
                <c:pt idx="30">
                  <c:v>3.61E-2</c:v>
                </c:pt>
                <c:pt idx="31">
                  <c:v>4.8000000000000001E-2</c:v>
                </c:pt>
                <c:pt idx="32">
                  <c:v>5.0599999999999999E-2</c:v>
                </c:pt>
                <c:pt idx="33">
                  <c:v>5.7599999999999998E-2</c:v>
                </c:pt>
                <c:pt idx="34">
                  <c:v>0.45</c:v>
                </c:pt>
                <c:pt idx="35">
                  <c:v>0.44900000000000001</c:v>
                </c:pt>
                <c:pt idx="36">
                  <c:v>0.53600000000000003</c:v>
                </c:pt>
                <c:pt idx="37">
                  <c:v>1.6E-2</c:v>
                </c:pt>
                <c:pt idx="38">
                  <c:v>3.0000000000000001E-3</c:v>
                </c:pt>
                <c:pt idx="39">
                  <c:v>2E-3</c:v>
                </c:pt>
                <c:pt idx="40">
                  <c:v>1E-3</c:v>
                </c:pt>
                <c:pt idx="41">
                  <c:v>1E-3</c:v>
                </c:pt>
                <c:pt idx="42">
                  <c:v>1E-3</c:v>
                </c:pt>
                <c:pt idx="43">
                  <c:v>6.0000000000000001E-3</c:v>
                </c:pt>
                <c:pt idx="44">
                  <c:v>1.3000000000000001E-2</c:v>
                </c:pt>
                <c:pt idx="45">
                  <c:v>2E-3</c:v>
                </c:pt>
                <c:pt idx="46">
                  <c:v>8.0000000000000002E-3</c:v>
                </c:pt>
                <c:pt idx="47">
                  <c:v>1E-3</c:v>
                </c:pt>
                <c:pt idx="48">
                  <c:v>4.0000000000000001E-3</c:v>
                </c:pt>
                <c:pt idx="49">
                  <c:v>1E-3</c:v>
                </c:pt>
                <c:pt idx="50">
                  <c:v>1E-3</c:v>
                </c:pt>
                <c:pt idx="51">
                  <c:v>1E-3</c:v>
                </c:pt>
                <c:pt idx="52">
                  <c:v>1E-3</c:v>
                </c:pt>
                <c:pt idx="53">
                  <c:v>2E-3</c:v>
                </c:pt>
                <c:pt idx="54">
                  <c:v>1E-3</c:v>
                </c:pt>
                <c:pt idx="55">
                  <c:v>5.0000000000000001E-3</c:v>
                </c:pt>
                <c:pt idx="56">
                  <c:v>1E-3</c:v>
                </c:pt>
                <c:pt idx="57">
                  <c:v>1.4000000000000002E-3</c:v>
                </c:pt>
                <c:pt idx="58">
                  <c:v>1.1000000000000001E-2</c:v>
                </c:pt>
                <c:pt idx="59">
                  <c:v>2E-3</c:v>
                </c:pt>
                <c:pt idx="60">
                  <c:v>2E-3</c:v>
                </c:pt>
                <c:pt idx="61">
                  <c:v>1E-3</c:v>
                </c:pt>
                <c:pt idx="62">
                  <c:v>1.1000000000000001E-2</c:v>
                </c:pt>
                <c:pt idx="63">
                  <c:v>1E-3</c:v>
                </c:pt>
                <c:pt idx="64">
                  <c:v>1E-3</c:v>
                </c:pt>
                <c:pt idx="65">
                  <c:v>1E-3</c:v>
                </c:pt>
                <c:pt idx="66">
                  <c:v>5.0000000000000001E-3</c:v>
                </c:pt>
                <c:pt idx="67">
                  <c:v>1.1000000000000001E-2</c:v>
                </c:pt>
                <c:pt idx="68">
                  <c:v>2E-3</c:v>
                </c:pt>
                <c:pt idx="69">
                  <c:v>1E-3</c:v>
                </c:pt>
                <c:pt idx="70">
                  <c:v>3.5000000000000003E-2</c:v>
                </c:pt>
                <c:pt idx="71">
                  <c:v>8.0000000000000002E-3</c:v>
                </c:pt>
                <c:pt idx="72">
                  <c:v>3.0000000000000001E-3</c:v>
                </c:pt>
                <c:pt idx="73">
                  <c:v>1E-3</c:v>
                </c:pt>
                <c:pt idx="74">
                  <c:v>1E-3</c:v>
                </c:pt>
                <c:pt idx="75">
                  <c:v>3.0000000000000001E-3</c:v>
                </c:pt>
                <c:pt idx="76">
                  <c:v>1E-3</c:v>
                </c:pt>
                <c:pt idx="77">
                  <c:v>1.7000000000000001E-2</c:v>
                </c:pt>
                <c:pt idx="78">
                  <c:v>1E-3</c:v>
                </c:pt>
                <c:pt idx="79">
                  <c:v>0.01</c:v>
                </c:pt>
                <c:pt idx="80">
                  <c:v>2E-3</c:v>
                </c:pt>
                <c:pt idx="81">
                  <c:v>2E-3</c:v>
                </c:pt>
                <c:pt idx="82">
                  <c:v>9.0000000000000011E-3</c:v>
                </c:pt>
                <c:pt idx="83">
                  <c:v>5.0000000000000001E-3</c:v>
                </c:pt>
                <c:pt idx="84">
                  <c:v>1.7000000000000001E-2</c:v>
                </c:pt>
                <c:pt idx="85">
                  <c:v>2E-3</c:v>
                </c:pt>
                <c:pt idx="86">
                  <c:v>4.0000000000000001E-3</c:v>
                </c:pt>
                <c:pt idx="87">
                  <c:v>6.0000000000000001E-3</c:v>
                </c:pt>
                <c:pt idx="88">
                  <c:v>2E-3</c:v>
                </c:pt>
                <c:pt idx="89">
                  <c:v>3.4000000000000002E-2</c:v>
                </c:pt>
                <c:pt idx="90">
                  <c:v>0.01</c:v>
                </c:pt>
                <c:pt idx="91">
                  <c:v>6.0000000000000001E-3</c:v>
                </c:pt>
                <c:pt idx="92">
                  <c:v>3.0000000000000001E-3</c:v>
                </c:pt>
                <c:pt idx="93">
                  <c:v>6.9999999999999993E-3</c:v>
                </c:pt>
                <c:pt idx="94">
                  <c:v>4.0000000000000001E-3</c:v>
                </c:pt>
                <c:pt idx="95">
                  <c:v>5.0000000000000001E-3</c:v>
                </c:pt>
                <c:pt idx="96">
                  <c:v>1E-3</c:v>
                </c:pt>
                <c:pt idx="97">
                  <c:v>1E-3</c:v>
                </c:pt>
                <c:pt idx="98">
                  <c:v>1.4999999999999999E-2</c:v>
                </c:pt>
                <c:pt idx="99">
                  <c:v>6.0000000000000001E-3</c:v>
                </c:pt>
                <c:pt idx="100">
                  <c:v>9.0000000000000011E-3</c:v>
                </c:pt>
                <c:pt idx="101">
                  <c:v>2E-3</c:v>
                </c:pt>
                <c:pt idx="102">
                  <c:v>4.0000000000000001E-3</c:v>
                </c:pt>
                <c:pt idx="103">
                  <c:v>2E-3</c:v>
                </c:pt>
                <c:pt idx="104">
                  <c:v>2E-3</c:v>
                </c:pt>
                <c:pt idx="105">
                  <c:v>6.9999999999999993E-3</c:v>
                </c:pt>
                <c:pt idx="106">
                  <c:v>4.0000000000000001E-3</c:v>
                </c:pt>
                <c:pt idx="107">
                  <c:v>3.0000000000000001E-3</c:v>
                </c:pt>
                <c:pt idx="108">
                  <c:v>6.0000000000000001E-3</c:v>
                </c:pt>
                <c:pt idx="109">
                  <c:v>4.0000000000000001E-3</c:v>
                </c:pt>
                <c:pt idx="110">
                  <c:v>1.3000000000000001E-2</c:v>
                </c:pt>
                <c:pt idx="111">
                  <c:v>9.0000000000000011E-3</c:v>
                </c:pt>
                <c:pt idx="112">
                  <c:v>2E-3</c:v>
                </c:pt>
                <c:pt idx="113">
                  <c:v>5.0000000000000001E-3</c:v>
                </c:pt>
                <c:pt idx="114">
                  <c:v>1.1000000000000001E-2</c:v>
                </c:pt>
                <c:pt idx="115">
                  <c:v>4.0000000000000001E-3</c:v>
                </c:pt>
                <c:pt idx="116">
                  <c:v>2E-3</c:v>
                </c:pt>
                <c:pt idx="117">
                  <c:v>4.0000000000000001E-3</c:v>
                </c:pt>
                <c:pt idx="118">
                  <c:v>2E-3</c:v>
                </c:pt>
                <c:pt idx="119">
                  <c:v>1.6E-2</c:v>
                </c:pt>
                <c:pt idx="120">
                  <c:v>3.0000000000000001E-3</c:v>
                </c:pt>
                <c:pt idx="121">
                  <c:v>2E-3</c:v>
                </c:pt>
                <c:pt idx="122">
                  <c:v>1E-3</c:v>
                </c:pt>
                <c:pt idx="123">
                  <c:v>1E-3</c:v>
                </c:pt>
                <c:pt idx="124">
                  <c:v>2E-3</c:v>
                </c:pt>
                <c:pt idx="125">
                  <c:v>2E-3</c:v>
                </c:pt>
                <c:pt idx="126">
                  <c:v>1E-3</c:v>
                </c:pt>
                <c:pt idx="127">
                  <c:v>6.0000000000000001E-3</c:v>
                </c:pt>
                <c:pt idx="128">
                  <c:v>2E-3</c:v>
                </c:pt>
                <c:pt idx="129">
                  <c:v>6.9999999999999993E-3</c:v>
                </c:pt>
                <c:pt idx="130">
                  <c:v>2E-3</c:v>
                </c:pt>
                <c:pt idx="131">
                  <c:v>5.0000000000000001E-3</c:v>
                </c:pt>
                <c:pt idx="132">
                  <c:v>3.0000000000000001E-3</c:v>
                </c:pt>
                <c:pt idx="133">
                  <c:v>4.0000000000000001E-3</c:v>
                </c:pt>
                <c:pt idx="134">
                  <c:v>2E-3</c:v>
                </c:pt>
                <c:pt idx="135">
                  <c:v>6.9999999999999993E-3</c:v>
                </c:pt>
                <c:pt idx="136">
                  <c:v>2E-3</c:v>
                </c:pt>
                <c:pt idx="137">
                  <c:v>6.9999999999999993E-3</c:v>
                </c:pt>
                <c:pt idx="138">
                  <c:v>3.7000000000000002E-3</c:v>
                </c:pt>
                <c:pt idx="139">
                  <c:v>8.0000000000000004E-4</c:v>
                </c:pt>
                <c:pt idx="140">
                  <c:v>2.5000000000000001E-3</c:v>
                </c:pt>
                <c:pt idx="141">
                  <c:v>2.23E-2</c:v>
                </c:pt>
                <c:pt idx="142">
                  <c:v>4.9000000000000002E-2</c:v>
                </c:pt>
                <c:pt idx="143">
                  <c:v>1.2999999999999999E-3</c:v>
                </c:pt>
                <c:pt idx="144">
                  <c:v>4.0000000000000001E-3</c:v>
                </c:pt>
                <c:pt idx="145">
                  <c:v>1.1899999999999999E-2</c:v>
                </c:pt>
                <c:pt idx="146">
                  <c:v>1.7000000000000001E-3</c:v>
                </c:pt>
                <c:pt idx="147">
                  <c:v>1.6E-2</c:v>
                </c:pt>
                <c:pt idx="148">
                  <c:v>5.0000000000000001E-3</c:v>
                </c:pt>
                <c:pt idx="149">
                  <c:v>2.7000000000000003E-2</c:v>
                </c:pt>
                <c:pt idx="150">
                  <c:v>1.1000000000000001E-2</c:v>
                </c:pt>
                <c:pt idx="151">
                  <c:v>0.05</c:v>
                </c:pt>
                <c:pt idx="152">
                  <c:v>1.1000000000000001E-2</c:v>
                </c:pt>
                <c:pt idx="153">
                  <c:v>3.0000000000000001E-3</c:v>
                </c:pt>
                <c:pt idx="154">
                  <c:v>3.6000000000000004E-2</c:v>
                </c:pt>
                <c:pt idx="155">
                  <c:v>6.9999999999999993E-3</c:v>
                </c:pt>
                <c:pt idx="156">
                  <c:v>4.8000000000000001E-2</c:v>
                </c:pt>
                <c:pt idx="157">
                  <c:v>2.8999999999999998E-2</c:v>
                </c:pt>
                <c:pt idx="158">
                  <c:v>5.7000000000000002E-2</c:v>
                </c:pt>
                <c:pt idx="159">
                  <c:v>1E-3</c:v>
                </c:pt>
                <c:pt idx="160">
                  <c:v>0.11</c:v>
                </c:pt>
                <c:pt idx="161">
                  <c:v>5.9000000000000004E-2</c:v>
                </c:pt>
                <c:pt idx="162">
                  <c:v>3.2000000000000001E-2</c:v>
                </c:pt>
                <c:pt idx="163">
                  <c:v>0.1</c:v>
                </c:pt>
                <c:pt idx="164">
                  <c:v>0.10099999999999999</c:v>
                </c:pt>
                <c:pt idx="165">
                  <c:v>5.5999999999999994E-2</c:v>
                </c:pt>
                <c:pt idx="166">
                  <c:v>1.6E-2</c:v>
                </c:pt>
                <c:pt idx="167">
                  <c:v>7.6999999999999999E-2</c:v>
                </c:pt>
                <c:pt idx="168">
                  <c:v>9.4E-2</c:v>
                </c:pt>
                <c:pt idx="169">
                  <c:v>0.27</c:v>
                </c:pt>
                <c:pt idx="170">
                  <c:v>0.32</c:v>
                </c:pt>
                <c:pt idx="171">
                  <c:v>0.39</c:v>
                </c:pt>
                <c:pt idx="172">
                  <c:v>0.41</c:v>
                </c:pt>
                <c:pt idx="173">
                  <c:v>2E-3</c:v>
                </c:pt>
                <c:pt idx="174">
                  <c:v>1.6E-2</c:v>
                </c:pt>
                <c:pt idx="175">
                  <c:v>3.9E-2</c:v>
                </c:pt>
                <c:pt idx="176">
                  <c:v>7.6999999999999999E-2</c:v>
                </c:pt>
                <c:pt idx="177">
                  <c:v>9.4E-2</c:v>
                </c:pt>
                <c:pt idx="178">
                  <c:v>0.39</c:v>
                </c:pt>
                <c:pt idx="179">
                  <c:v>3.4000000000000002E-2</c:v>
                </c:pt>
                <c:pt idx="180">
                  <c:v>1.7000000000000001E-2</c:v>
                </c:pt>
                <c:pt idx="181">
                  <c:v>2.8999999999999998E-2</c:v>
                </c:pt>
                <c:pt idx="182">
                  <c:v>7.2999999999999995E-2</c:v>
                </c:pt>
                <c:pt idx="183">
                  <c:v>1.8000000000000002E-2</c:v>
                </c:pt>
                <c:pt idx="184">
                  <c:v>1E-3</c:v>
                </c:pt>
                <c:pt idx="185">
                  <c:v>1E-3</c:v>
                </c:pt>
                <c:pt idx="186">
                  <c:v>9.0000000000000011E-3</c:v>
                </c:pt>
                <c:pt idx="187">
                  <c:v>1.2E-2</c:v>
                </c:pt>
                <c:pt idx="188">
                  <c:v>5.2999999999999999E-2</c:v>
                </c:pt>
                <c:pt idx="189">
                  <c:v>2.52E-2</c:v>
                </c:pt>
                <c:pt idx="190">
                  <c:v>4.0000000000000001E-3</c:v>
                </c:pt>
                <c:pt idx="191">
                  <c:v>9.300000000000001E-3</c:v>
                </c:pt>
                <c:pt idx="192">
                  <c:v>1.4433333333333333E-2</c:v>
                </c:pt>
                <c:pt idx="193">
                  <c:v>1.43E-2</c:v>
                </c:pt>
                <c:pt idx="194">
                  <c:v>0.46899999999999997</c:v>
                </c:pt>
                <c:pt idx="195">
                  <c:v>1.38E-2</c:v>
                </c:pt>
                <c:pt idx="196">
                  <c:v>2.9999999999999997E-4</c:v>
                </c:pt>
                <c:pt idx="197">
                  <c:v>2.8000000000000004E-3</c:v>
                </c:pt>
                <c:pt idx="198">
                  <c:v>6.5000000000000006E-3</c:v>
                </c:pt>
                <c:pt idx="199">
                  <c:v>6.9999999999999993E-3</c:v>
                </c:pt>
                <c:pt idx="200">
                  <c:v>7.4999999999999997E-3</c:v>
                </c:pt>
                <c:pt idx="201">
                  <c:v>9.3999999999999986E-3</c:v>
                </c:pt>
                <c:pt idx="202">
                  <c:v>9.5999999999999992E-3</c:v>
                </c:pt>
                <c:pt idx="203">
                  <c:v>1.8000000000000002E-2</c:v>
                </c:pt>
                <c:pt idx="204">
                  <c:v>2.1000000000000001E-2</c:v>
                </c:pt>
                <c:pt idx="205">
                  <c:v>6.0000000000000001E-3</c:v>
                </c:pt>
                <c:pt idx="206">
                  <c:v>1.8000000000000002E-2</c:v>
                </c:pt>
                <c:pt idx="207">
                  <c:v>1.4999999999999999E-2</c:v>
                </c:pt>
                <c:pt idx="208">
                  <c:v>9.0000000000000011E-3</c:v>
                </c:pt>
                <c:pt idx="209">
                  <c:v>1.1000000000000001E-2</c:v>
                </c:pt>
                <c:pt idx="210">
                  <c:v>1.7000000000000001E-2</c:v>
                </c:pt>
                <c:pt idx="211">
                  <c:v>1.3000000000000001E-2</c:v>
                </c:pt>
                <c:pt idx="212">
                  <c:v>1.6E-2</c:v>
                </c:pt>
                <c:pt idx="213">
                  <c:v>1.2E-2</c:v>
                </c:pt>
                <c:pt idx="214">
                  <c:v>1.4999999999999999E-2</c:v>
                </c:pt>
                <c:pt idx="215">
                  <c:v>0.01</c:v>
                </c:pt>
                <c:pt idx="216">
                  <c:v>1.6E-2</c:v>
                </c:pt>
                <c:pt idx="217">
                  <c:v>4.8000000000000001E-2</c:v>
                </c:pt>
                <c:pt idx="218">
                  <c:v>8.0000000000000002E-3</c:v>
                </c:pt>
                <c:pt idx="219">
                  <c:v>0.01</c:v>
                </c:pt>
                <c:pt idx="220">
                  <c:v>3.5000000000000003E-2</c:v>
                </c:pt>
                <c:pt idx="221">
                  <c:v>1.1000000000000001E-2</c:v>
                </c:pt>
                <c:pt idx="222">
                  <c:v>1.3000000000000001E-2</c:v>
                </c:pt>
                <c:pt idx="223">
                  <c:v>1.3000000000000001E-2</c:v>
                </c:pt>
                <c:pt idx="224">
                  <c:v>9.0000000000000011E-3</c:v>
                </c:pt>
                <c:pt idx="225">
                  <c:v>1.3000000000000001E-2</c:v>
                </c:pt>
                <c:pt idx="226">
                  <c:v>0.02</c:v>
                </c:pt>
                <c:pt idx="227">
                  <c:v>1.8000000000000002E-2</c:v>
                </c:pt>
                <c:pt idx="228">
                  <c:v>3.1E-2</c:v>
                </c:pt>
                <c:pt idx="229">
                  <c:v>2.2000000000000002E-2</c:v>
                </c:pt>
                <c:pt idx="230">
                  <c:v>1.6E-2</c:v>
                </c:pt>
                <c:pt idx="231">
                  <c:v>1.3000000000000001E-2</c:v>
                </c:pt>
                <c:pt idx="232">
                  <c:v>1.2E-2</c:v>
                </c:pt>
                <c:pt idx="233">
                  <c:v>1.2E-2</c:v>
                </c:pt>
                <c:pt idx="234">
                  <c:v>1.1000000000000001E-2</c:v>
                </c:pt>
                <c:pt idx="235">
                  <c:v>9.1000000000000004E-3</c:v>
                </c:pt>
                <c:pt idx="236">
                  <c:v>3.0000000000000001E-3</c:v>
                </c:pt>
                <c:pt idx="237">
                  <c:v>0.45</c:v>
                </c:pt>
              </c:numCache>
            </c:numRef>
          </c:xVal>
          <c:yVal>
            <c:numRef>
              <c:f>'All data'!$BD$218:$BD$455</c:f>
              <c:numCache>
                <c:formatCode>0.00</c:formatCode>
                <c:ptCount val="238"/>
                <c:pt idx="0">
                  <c:v>3.53</c:v>
                </c:pt>
                <c:pt idx="1">
                  <c:v>5.07</c:v>
                </c:pt>
                <c:pt idx="2">
                  <c:v>16.100000000000001</c:v>
                </c:pt>
                <c:pt idx="3">
                  <c:v>2.33</c:v>
                </c:pt>
                <c:pt idx="4">
                  <c:v>3.08</c:v>
                </c:pt>
                <c:pt idx="5">
                  <c:v>1.8</c:v>
                </c:pt>
                <c:pt idx="6">
                  <c:v>1.5</c:v>
                </c:pt>
                <c:pt idx="7">
                  <c:v>1.2820298578406237</c:v>
                </c:pt>
                <c:pt idx="8">
                  <c:v>0.74</c:v>
                </c:pt>
                <c:pt idx="9">
                  <c:v>3.48</c:v>
                </c:pt>
                <c:pt idx="10">
                  <c:v>0.64</c:v>
                </c:pt>
                <c:pt idx="11">
                  <c:v>2.6</c:v>
                </c:pt>
                <c:pt idx="12">
                  <c:v>11.93</c:v>
                </c:pt>
                <c:pt idx="13">
                  <c:v>2.6320763040501265</c:v>
                </c:pt>
                <c:pt idx="14">
                  <c:v>2.3146709943277841</c:v>
                </c:pt>
                <c:pt idx="15">
                  <c:v>1.8927048354968559</c:v>
                </c:pt>
                <c:pt idx="16">
                  <c:v>2.4071498742100945</c:v>
                </c:pt>
                <c:pt idx="17">
                  <c:v>2.1647917891389721</c:v>
                </c:pt>
                <c:pt idx="18">
                  <c:v>2.2252659618075876</c:v>
                </c:pt>
                <c:pt idx="19">
                  <c:v>4.2699999999999996</c:v>
                </c:pt>
                <c:pt idx="20">
                  <c:v>3.43</c:v>
                </c:pt>
                <c:pt idx="21">
                  <c:v>1.6</c:v>
                </c:pt>
                <c:pt idx="22">
                  <c:v>1.8</c:v>
                </c:pt>
                <c:pt idx="23">
                  <c:v>2.65</c:v>
                </c:pt>
                <c:pt idx="24">
                  <c:v>0.48699999999999999</c:v>
                </c:pt>
                <c:pt idx="25">
                  <c:v>0.63900000000000001</c:v>
                </c:pt>
                <c:pt idx="26">
                  <c:v>0.66100000000000003</c:v>
                </c:pt>
                <c:pt idx="27">
                  <c:v>0.77</c:v>
                </c:pt>
                <c:pt idx="28">
                  <c:v>0.89100000000000001</c:v>
                </c:pt>
                <c:pt idx="29">
                  <c:v>0.91900000000000004</c:v>
                </c:pt>
                <c:pt idx="30">
                  <c:v>1.1499999999999999</c:v>
                </c:pt>
                <c:pt idx="31">
                  <c:v>1.2</c:v>
                </c:pt>
                <c:pt idx="32">
                  <c:v>1.28</c:v>
                </c:pt>
                <c:pt idx="33">
                  <c:v>1.48</c:v>
                </c:pt>
                <c:pt idx="34">
                  <c:v>62.117291907129875</c:v>
                </c:pt>
                <c:pt idx="35">
                  <c:v>126.54539361377405</c:v>
                </c:pt>
                <c:pt idx="36">
                  <c:v>102.1326944828301</c:v>
                </c:pt>
                <c:pt idx="37">
                  <c:v>11.8</c:v>
                </c:pt>
                <c:pt idx="38">
                  <c:v>5.8</c:v>
                </c:pt>
                <c:pt idx="39">
                  <c:v>4.9000000000000004</c:v>
                </c:pt>
                <c:pt idx="40">
                  <c:v>3.9</c:v>
                </c:pt>
                <c:pt idx="41">
                  <c:v>4.2</c:v>
                </c:pt>
                <c:pt idx="42">
                  <c:v>1.5</c:v>
                </c:pt>
                <c:pt idx="43">
                  <c:v>7.3</c:v>
                </c:pt>
                <c:pt idx="44">
                  <c:v>9.3000000000000007</c:v>
                </c:pt>
                <c:pt idx="45">
                  <c:v>5.2</c:v>
                </c:pt>
                <c:pt idx="46">
                  <c:v>7.8</c:v>
                </c:pt>
                <c:pt idx="47">
                  <c:v>3.4</c:v>
                </c:pt>
                <c:pt idx="48">
                  <c:v>6.2</c:v>
                </c:pt>
                <c:pt idx="49">
                  <c:v>3.2</c:v>
                </c:pt>
                <c:pt idx="50">
                  <c:v>2.2000000000000002</c:v>
                </c:pt>
                <c:pt idx="51">
                  <c:v>1.5</c:v>
                </c:pt>
                <c:pt idx="52">
                  <c:v>2.7</c:v>
                </c:pt>
                <c:pt idx="53">
                  <c:v>5.6</c:v>
                </c:pt>
                <c:pt idx="54">
                  <c:v>1.2</c:v>
                </c:pt>
                <c:pt idx="55">
                  <c:v>6.5</c:v>
                </c:pt>
                <c:pt idx="56">
                  <c:v>1.6</c:v>
                </c:pt>
                <c:pt idx="57">
                  <c:v>3.7</c:v>
                </c:pt>
                <c:pt idx="58">
                  <c:v>8.4</c:v>
                </c:pt>
                <c:pt idx="59">
                  <c:v>3.2</c:v>
                </c:pt>
                <c:pt idx="60">
                  <c:v>2.2000000000000002</c:v>
                </c:pt>
                <c:pt idx="61">
                  <c:v>1.6</c:v>
                </c:pt>
                <c:pt idx="62">
                  <c:v>7.6</c:v>
                </c:pt>
                <c:pt idx="63">
                  <c:v>3.3</c:v>
                </c:pt>
                <c:pt idx="64">
                  <c:v>5</c:v>
                </c:pt>
                <c:pt idx="65">
                  <c:v>3.9</c:v>
                </c:pt>
                <c:pt idx="66">
                  <c:v>11.7</c:v>
                </c:pt>
                <c:pt idx="67">
                  <c:v>10.5</c:v>
                </c:pt>
                <c:pt idx="68">
                  <c:v>7.7</c:v>
                </c:pt>
                <c:pt idx="69">
                  <c:v>2.9</c:v>
                </c:pt>
                <c:pt idx="70">
                  <c:v>10</c:v>
                </c:pt>
                <c:pt idx="71">
                  <c:v>6.7</c:v>
                </c:pt>
                <c:pt idx="72">
                  <c:v>4.2</c:v>
                </c:pt>
                <c:pt idx="73">
                  <c:v>0.6</c:v>
                </c:pt>
                <c:pt idx="74">
                  <c:v>2.6</c:v>
                </c:pt>
                <c:pt idx="75">
                  <c:v>5.3</c:v>
                </c:pt>
                <c:pt idx="76">
                  <c:v>1.6</c:v>
                </c:pt>
                <c:pt idx="77">
                  <c:v>8.8000000000000007</c:v>
                </c:pt>
                <c:pt idx="78">
                  <c:v>1.6</c:v>
                </c:pt>
                <c:pt idx="79">
                  <c:v>8</c:v>
                </c:pt>
                <c:pt idx="80">
                  <c:v>14.8</c:v>
                </c:pt>
                <c:pt idx="81">
                  <c:v>5.0999999999999996</c:v>
                </c:pt>
                <c:pt idx="82">
                  <c:v>7</c:v>
                </c:pt>
                <c:pt idx="83">
                  <c:v>4.3</c:v>
                </c:pt>
                <c:pt idx="84">
                  <c:v>9.4</c:v>
                </c:pt>
                <c:pt idx="85">
                  <c:v>5</c:v>
                </c:pt>
                <c:pt idx="86">
                  <c:v>5</c:v>
                </c:pt>
                <c:pt idx="87">
                  <c:v>4.5999999999999996</c:v>
                </c:pt>
                <c:pt idx="88">
                  <c:v>1.3</c:v>
                </c:pt>
                <c:pt idx="89">
                  <c:v>10.6</c:v>
                </c:pt>
                <c:pt idx="90">
                  <c:v>7.4</c:v>
                </c:pt>
                <c:pt idx="91">
                  <c:v>10.3</c:v>
                </c:pt>
                <c:pt idx="92">
                  <c:v>5.4</c:v>
                </c:pt>
                <c:pt idx="93">
                  <c:v>9</c:v>
                </c:pt>
                <c:pt idx="94">
                  <c:v>6.8</c:v>
                </c:pt>
                <c:pt idx="95">
                  <c:v>6.8</c:v>
                </c:pt>
                <c:pt idx="96">
                  <c:v>3.9</c:v>
                </c:pt>
                <c:pt idx="97">
                  <c:v>1.9</c:v>
                </c:pt>
                <c:pt idx="98">
                  <c:v>9.8000000000000007</c:v>
                </c:pt>
                <c:pt idx="99">
                  <c:v>5.7</c:v>
                </c:pt>
                <c:pt idx="100">
                  <c:v>6.6</c:v>
                </c:pt>
                <c:pt idx="101">
                  <c:v>1.7</c:v>
                </c:pt>
                <c:pt idx="102">
                  <c:v>6</c:v>
                </c:pt>
                <c:pt idx="103">
                  <c:v>2.9</c:v>
                </c:pt>
                <c:pt idx="104">
                  <c:v>2.2999999999999998</c:v>
                </c:pt>
                <c:pt idx="105">
                  <c:v>11.7</c:v>
                </c:pt>
                <c:pt idx="106">
                  <c:v>6.3</c:v>
                </c:pt>
                <c:pt idx="107">
                  <c:v>6</c:v>
                </c:pt>
                <c:pt idx="108">
                  <c:v>7</c:v>
                </c:pt>
                <c:pt idx="109">
                  <c:v>3.4</c:v>
                </c:pt>
                <c:pt idx="110">
                  <c:v>9</c:v>
                </c:pt>
                <c:pt idx="111">
                  <c:v>8.6999999999999993</c:v>
                </c:pt>
                <c:pt idx="112">
                  <c:v>3.7</c:v>
                </c:pt>
                <c:pt idx="113">
                  <c:v>7.8</c:v>
                </c:pt>
                <c:pt idx="114">
                  <c:v>10.3</c:v>
                </c:pt>
                <c:pt idx="115">
                  <c:v>7.9</c:v>
                </c:pt>
                <c:pt idx="116">
                  <c:v>2.2999999999999998</c:v>
                </c:pt>
                <c:pt idx="117">
                  <c:v>3.3</c:v>
                </c:pt>
                <c:pt idx="118">
                  <c:v>1.5</c:v>
                </c:pt>
                <c:pt idx="119">
                  <c:v>8.4</c:v>
                </c:pt>
                <c:pt idx="120">
                  <c:v>8.8000000000000007</c:v>
                </c:pt>
                <c:pt idx="121">
                  <c:v>3.8</c:v>
                </c:pt>
                <c:pt idx="122">
                  <c:v>5</c:v>
                </c:pt>
                <c:pt idx="123">
                  <c:v>2.9</c:v>
                </c:pt>
                <c:pt idx="124">
                  <c:v>4</c:v>
                </c:pt>
                <c:pt idx="125">
                  <c:v>3.4</c:v>
                </c:pt>
                <c:pt idx="126">
                  <c:v>3</c:v>
                </c:pt>
                <c:pt idx="127">
                  <c:v>3.9</c:v>
                </c:pt>
                <c:pt idx="128">
                  <c:v>2.8</c:v>
                </c:pt>
                <c:pt idx="129">
                  <c:v>11.4</c:v>
                </c:pt>
                <c:pt idx="130">
                  <c:v>3.3</c:v>
                </c:pt>
                <c:pt idx="131">
                  <c:v>5.7</c:v>
                </c:pt>
                <c:pt idx="132">
                  <c:v>4.0999999999999996</c:v>
                </c:pt>
                <c:pt idx="133">
                  <c:v>8.8000000000000007</c:v>
                </c:pt>
                <c:pt idx="134">
                  <c:v>2.9</c:v>
                </c:pt>
                <c:pt idx="135">
                  <c:v>9.4</c:v>
                </c:pt>
                <c:pt idx="136">
                  <c:v>14.8</c:v>
                </c:pt>
                <c:pt idx="137">
                  <c:v>1.04</c:v>
                </c:pt>
                <c:pt idx="138">
                  <c:v>0.68</c:v>
                </c:pt>
                <c:pt idx="139">
                  <c:v>0.81</c:v>
                </c:pt>
                <c:pt idx="140">
                  <c:v>0.64</c:v>
                </c:pt>
                <c:pt idx="141">
                  <c:v>0.74</c:v>
                </c:pt>
                <c:pt idx="142">
                  <c:v>2.84</c:v>
                </c:pt>
                <c:pt idx="143">
                  <c:v>1.42</c:v>
                </c:pt>
                <c:pt idx="144">
                  <c:v>0.53</c:v>
                </c:pt>
                <c:pt idx="145">
                  <c:v>1.18</c:v>
                </c:pt>
                <c:pt idx="146">
                  <c:v>0.86</c:v>
                </c:pt>
                <c:pt idx="147">
                  <c:v>1.86</c:v>
                </c:pt>
                <c:pt idx="148">
                  <c:v>1.4</c:v>
                </c:pt>
                <c:pt idx="149">
                  <c:v>4.34</c:v>
                </c:pt>
                <c:pt idx="150">
                  <c:v>1.82</c:v>
                </c:pt>
                <c:pt idx="151">
                  <c:v>6.63</c:v>
                </c:pt>
                <c:pt idx="152">
                  <c:v>2.2200000000000002</c:v>
                </c:pt>
                <c:pt idx="153">
                  <c:v>1.1299999999999999</c:v>
                </c:pt>
                <c:pt idx="154">
                  <c:v>2.64</c:v>
                </c:pt>
                <c:pt idx="155">
                  <c:v>1.3</c:v>
                </c:pt>
                <c:pt idx="156">
                  <c:v>2.68</c:v>
                </c:pt>
                <c:pt idx="157">
                  <c:v>5.52</c:v>
                </c:pt>
                <c:pt idx="158">
                  <c:v>6.12</c:v>
                </c:pt>
                <c:pt idx="159">
                  <c:v>0.93</c:v>
                </c:pt>
                <c:pt idx="160">
                  <c:v>14.66</c:v>
                </c:pt>
                <c:pt idx="161">
                  <c:v>4.3899999999999997</c:v>
                </c:pt>
                <c:pt idx="162">
                  <c:v>3.34</c:v>
                </c:pt>
                <c:pt idx="163">
                  <c:v>12.24</c:v>
                </c:pt>
                <c:pt idx="164">
                  <c:v>11.22</c:v>
                </c:pt>
                <c:pt idx="165">
                  <c:v>9.7100000000000009</c:v>
                </c:pt>
                <c:pt idx="166">
                  <c:v>5.88</c:v>
                </c:pt>
                <c:pt idx="167">
                  <c:v>10.18</c:v>
                </c:pt>
                <c:pt idx="168">
                  <c:v>12.96</c:v>
                </c:pt>
                <c:pt idx="169">
                  <c:v>40.630000000000003</c:v>
                </c:pt>
                <c:pt idx="170">
                  <c:v>26.1</c:v>
                </c:pt>
                <c:pt idx="171">
                  <c:v>26.77</c:v>
                </c:pt>
                <c:pt idx="172">
                  <c:v>36.590000000000003</c:v>
                </c:pt>
                <c:pt idx="173">
                  <c:v>2.2000000000000002</c:v>
                </c:pt>
                <c:pt idx="174">
                  <c:v>2.6</c:v>
                </c:pt>
                <c:pt idx="175">
                  <c:v>2.7</c:v>
                </c:pt>
                <c:pt idx="176">
                  <c:v>3.9</c:v>
                </c:pt>
                <c:pt idx="177">
                  <c:v>7.1</c:v>
                </c:pt>
                <c:pt idx="178">
                  <c:v>38</c:v>
                </c:pt>
                <c:pt idx="179">
                  <c:v>3.8386000000000005</c:v>
                </c:pt>
                <c:pt idx="180">
                  <c:v>2.9104000000000001</c:v>
                </c:pt>
                <c:pt idx="181">
                  <c:v>8.3751999999999995</c:v>
                </c:pt>
                <c:pt idx="182">
                  <c:v>20.213699999999996</c:v>
                </c:pt>
                <c:pt idx="183">
                  <c:v>0.48600000000000004</c:v>
                </c:pt>
                <c:pt idx="184">
                  <c:v>8.9796337074491426</c:v>
                </c:pt>
                <c:pt idx="185">
                  <c:v>15.511425964038613</c:v>
                </c:pt>
                <c:pt idx="186">
                  <c:v>3.9810717055349731</c:v>
                </c:pt>
                <c:pt idx="187">
                  <c:v>10.828344646452289</c:v>
                </c:pt>
                <c:pt idx="188">
                  <c:v>5.2323471624199085</c:v>
                </c:pt>
                <c:pt idx="189">
                  <c:v>2.8183829312644542</c:v>
                </c:pt>
                <c:pt idx="190">
                  <c:v>0.22</c:v>
                </c:pt>
                <c:pt idx="191">
                  <c:v>0.92</c:v>
                </c:pt>
                <c:pt idx="192">
                  <c:v>1.62</c:v>
                </c:pt>
                <c:pt idx="193">
                  <c:v>1.1599999999999999</c:v>
                </c:pt>
                <c:pt idx="194">
                  <c:v>70.794578438413865</c:v>
                </c:pt>
                <c:pt idx="195">
                  <c:v>8</c:v>
                </c:pt>
                <c:pt idx="196">
                  <c:v>5.73</c:v>
                </c:pt>
                <c:pt idx="197">
                  <c:v>0.12</c:v>
                </c:pt>
                <c:pt idx="198">
                  <c:v>0.17</c:v>
                </c:pt>
                <c:pt idx="199">
                  <c:v>0.13</c:v>
                </c:pt>
                <c:pt idx="200">
                  <c:v>0.15</c:v>
                </c:pt>
                <c:pt idx="201">
                  <c:v>0.24</c:v>
                </c:pt>
                <c:pt idx="202">
                  <c:v>0.19</c:v>
                </c:pt>
                <c:pt idx="203">
                  <c:v>0.33</c:v>
                </c:pt>
                <c:pt idx="204">
                  <c:v>0.20699999999999999</c:v>
                </c:pt>
                <c:pt idx="205">
                  <c:v>4.88</c:v>
                </c:pt>
                <c:pt idx="206">
                  <c:v>3.22</c:v>
                </c:pt>
                <c:pt idx="207">
                  <c:v>4.8099999999999996</c:v>
                </c:pt>
                <c:pt idx="208">
                  <c:v>0.42</c:v>
                </c:pt>
                <c:pt idx="209">
                  <c:v>2.74</c:v>
                </c:pt>
                <c:pt idx="210">
                  <c:v>0.22</c:v>
                </c:pt>
                <c:pt idx="211">
                  <c:v>0.1</c:v>
                </c:pt>
                <c:pt idx="212">
                  <c:v>0.33</c:v>
                </c:pt>
                <c:pt idx="213">
                  <c:v>2.88</c:v>
                </c:pt>
                <c:pt idx="214">
                  <c:v>3.65</c:v>
                </c:pt>
                <c:pt idx="215">
                  <c:v>1.6</c:v>
                </c:pt>
                <c:pt idx="216">
                  <c:v>0.5</c:v>
                </c:pt>
                <c:pt idx="217">
                  <c:v>3.94</c:v>
                </c:pt>
                <c:pt idx="218">
                  <c:v>0.61</c:v>
                </c:pt>
                <c:pt idx="219">
                  <c:v>3.71</c:v>
                </c:pt>
                <c:pt idx="220">
                  <c:v>0.92</c:v>
                </c:pt>
                <c:pt idx="221">
                  <c:v>0.5</c:v>
                </c:pt>
                <c:pt idx="222">
                  <c:v>0.16</c:v>
                </c:pt>
                <c:pt idx="223">
                  <c:v>0.59</c:v>
                </c:pt>
                <c:pt idx="224">
                  <c:v>1.57</c:v>
                </c:pt>
                <c:pt idx="225">
                  <c:v>1.47</c:v>
                </c:pt>
                <c:pt idx="226">
                  <c:v>2.0499999999999998</c:v>
                </c:pt>
                <c:pt idx="227">
                  <c:v>3.57</c:v>
                </c:pt>
                <c:pt idx="228">
                  <c:v>2.8840315031266059</c:v>
                </c:pt>
                <c:pt idx="229">
                  <c:v>7.5857757502918375</c:v>
                </c:pt>
                <c:pt idx="230">
                  <c:v>6.0255958607435796</c:v>
                </c:pt>
                <c:pt idx="231">
                  <c:v>4.2657951880159271</c:v>
                </c:pt>
                <c:pt idx="232">
                  <c:v>5.3088444423098844</c:v>
                </c:pt>
                <c:pt idx="233">
                  <c:v>3.8904514499428067</c:v>
                </c:pt>
                <c:pt idx="234">
                  <c:v>2.2908676527677732</c:v>
                </c:pt>
                <c:pt idx="235">
                  <c:v>0.72443596007499</c:v>
                </c:pt>
                <c:pt idx="236">
                  <c:v>4.4668359215096318</c:v>
                </c:pt>
                <c:pt idx="237">
                  <c:v>56.651643530737545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914-4489-A3A0-4BD51D870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6953632"/>
        <c:axId val="816955600"/>
      </c:scatterChart>
      <c:valAx>
        <c:axId val="8169536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955600"/>
        <c:crossesAt val="1.0000000000000002E-2"/>
        <c:crossBetween val="midCat"/>
      </c:valAx>
      <c:valAx>
        <c:axId val="816955600"/>
        <c:scaling>
          <c:orientation val="minMax"/>
          <c:max val="1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Kd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953632"/>
        <c:crosses val="autoZero"/>
        <c:crossBetween val="midCat"/>
      </c:valAx>
      <c:spPr>
        <a:solidFill>
          <a:schemeClr val="lt1"/>
        </a:solidFill>
        <a:ln w="12700" cap="flat" cmpd="sng" algn="ctr">
          <a:solidFill>
            <a:schemeClr val="dk1"/>
          </a:solidFill>
          <a:prstDash val="solid"/>
          <a:miter lim="800000"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PFNA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chemeClr val="dk1"/>
                </a:solidFill>
              </a:ln>
              <a:effectLst/>
            </c:spPr>
          </c:marker>
          <c:dPt>
            <c:idx val="24"/>
            <c:marker>
              <c:symbol val="x"/>
              <c:size val="5"/>
              <c:spPr>
                <a:solidFill>
                  <a:srgbClr val="FF0000"/>
                </a:solidFill>
                <a:ln w="9525">
                  <a:solidFill>
                    <a:schemeClr val="dk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F182-4572-821A-AACE9C5D7791}"/>
              </c:ext>
            </c:extLst>
          </c:dPt>
          <c:xVal>
            <c:numRef>
              <c:f>'All data'!$AX$456:$AX$489</c:f>
              <c:numCache>
                <c:formatCode>0.000</c:formatCode>
                <c:ptCount val="34"/>
                <c:pt idx="0">
                  <c:v>4.0000000000000001E-3</c:v>
                </c:pt>
                <c:pt idx="1">
                  <c:v>9.300000000000001E-3</c:v>
                </c:pt>
                <c:pt idx="2">
                  <c:v>4.1999999999999997E-3</c:v>
                </c:pt>
                <c:pt idx="3">
                  <c:v>0.01</c:v>
                </c:pt>
                <c:pt idx="4">
                  <c:v>1.7000000000000001E-2</c:v>
                </c:pt>
                <c:pt idx="5">
                  <c:v>4.4999999999999998E-2</c:v>
                </c:pt>
                <c:pt idx="6">
                  <c:v>8.0000000000000002E-3</c:v>
                </c:pt>
                <c:pt idx="7">
                  <c:v>1.4433333333333333E-2</c:v>
                </c:pt>
                <c:pt idx="8">
                  <c:v>2.4799999999999999E-2</c:v>
                </c:pt>
                <c:pt idx="9">
                  <c:v>4.3400000000000001E-2</c:v>
                </c:pt>
                <c:pt idx="10">
                  <c:v>9.6600000000000005E-2</c:v>
                </c:pt>
                <c:pt idx="11">
                  <c:v>1.43E-2</c:v>
                </c:pt>
                <c:pt idx="12">
                  <c:v>3.7000000000000002E-3</c:v>
                </c:pt>
                <c:pt idx="13">
                  <c:v>2.52E-2</c:v>
                </c:pt>
                <c:pt idx="14">
                  <c:v>6.9999999999999993E-3</c:v>
                </c:pt>
                <c:pt idx="15">
                  <c:v>3.7000000000000002E-3</c:v>
                </c:pt>
                <c:pt idx="16">
                  <c:v>8.0000000000000004E-4</c:v>
                </c:pt>
                <c:pt idx="17">
                  <c:v>2.5000000000000001E-3</c:v>
                </c:pt>
                <c:pt idx="18">
                  <c:v>2.23E-2</c:v>
                </c:pt>
                <c:pt idx="19">
                  <c:v>4.9000000000000002E-2</c:v>
                </c:pt>
                <c:pt idx="20">
                  <c:v>1.2999999999999999E-3</c:v>
                </c:pt>
                <c:pt idx="21">
                  <c:v>4.0000000000000001E-3</c:v>
                </c:pt>
                <c:pt idx="22">
                  <c:v>1.1899999999999999E-2</c:v>
                </c:pt>
                <c:pt idx="23">
                  <c:v>1.7000000000000001E-3</c:v>
                </c:pt>
                <c:pt idx="24">
                  <c:v>0.45</c:v>
                </c:pt>
                <c:pt idx="25">
                  <c:v>1.6E-2</c:v>
                </c:pt>
                <c:pt idx="26">
                  <c:v>7.6999999999999999E-2</c:v>
                </c:pt>
                <c:pt idx="27">
                  <c:v>9.4E-2</c:v>
                </c:pt>
                <c:pt idx="28">
                  <c:v>0.27</c:v>
                </c:pt>
                <c:pt idx="29">
                  <c:v>0.32</c:v>
                </c:pt>
                <c:pt idx="30">
                  <c:v>0.39</c:v>
                </c:pt>
                <c:pt idx="31">
                  <c:v>0.41</c:v>
                </c:pt>
                <c:pt idx="32">
                  <c:v>4.9000000000000002E-2</c:v>
                </c:pt>
                <c:pt idx="33">
                  <c:v>2.6000000000000002E-2</c:v>
                </c:pt>
              </c:numCache>
            </c:numRef>
          </c:xVal>
          <c:yVal>
            <c:numRef>
              <c:f>'All data'!$BD$456:$BD$489</c:f>
              <c:numCache>
                <c:formatCode>0.00</c:formatCode>
                <c:ptCount val="34"/>
                <c:pt idx="0">
                  <c:v>10.3</c:v>
                </c:pt>
                <c:pt idx="1">
                  <c:v>3.3</c:v>
                </c:pt>
                <c:pt idx="2">
                  <c:v>1.5</c:v>
                </c:pt>
                <c:pt idx="3">
                  <c:v>1.1000000000000001</c:v>
                </c:pt>
                <c:pt idx="4">
                  <c:v>2.0499999999999998</c:v>
                </c:pt>
                <c:pt idx="5">
                  <c:v>11.06</c:v>
                </c:pt>
                <c:pt idx="6">
                  <c:v>1.89</c:v>
                </c:pt>
                <c:pt idx="7" formatCode="General">
                  <c:v>0.72</c:v>
                </c:pt>
                <c:pt idx="8" formatCode="0.0">
                  <c:v>7.62</c:v>
                </c:pt>
                <c:pt idx="9" formatCode="0.0">
                  <c:v>7.19</c:v>
                </c:pt>
                <c:pt idx="10" formatCode="0.0">
                  <c:v>28.66</c:v>
                </c:pt>
                <c:pt idx="11" formatCode="General">
                  <c:v>5.1100000000000003</c:v>
                </c:pt>
                <c:pt idx="12">
                  <c:v>2.9846761555089598</c:v>
                </c:pt>
                <c:pt idx="13">
                  <c:v>16.218100973589298</c:v>
                </c:pt>
                <c:pt idx="14">
                  <c:v>2.35</c:v>
                </c:pt>
                <c:pt idx="15">
                  <c:v>1.57</c:v>
                </c:pt>
                <c:pt idx="16">
                  <c:v>1.31</c:v>
                </c:pt>
                <c:pt idx="17">
                  <c:v>2</c:v>
                </c:pt>
                <c:pt idx="18">
                  <c:v>2.1</c:v>
                </c:pt>
                <c:pt idx="19">
                  <c:v>10.69</c:v>
                </c:pt>
                <c:pt idx="20">
                  <c:v>1.77</c:v>
                </c:pt>
                <c:pt idx="21">
                  <c:v>1.27</c:v>
                </c:pt>
                <c:pt idx="22">
                  <c:v>4.29</c:v>
                </c:pt>
                <c:pt idx="23">
                  <c:v>2.46</c:v>
                </c:pt>
                <c:pt idx="24" formatCode="0">
                  <c:v>357.44770562592697</c:v>
                </c:pt>
                <c:pt idx="25">
                  <c:v>11</c:v>
                </c:pt>
                <c:pt idx="26">
                  <c:v>35</c:v>
                </c:pt>
                <c:pt idx="27">
                  <c:v>39</c:v>
                </c:pt>
                <c:pt idx="28">
                  <c:v>96</c:v>
                </c:pt>
                <c:pt idx="29">
                  <c:v>117</c:v>
                </c:pt>
                <c:pt idx="30">
                  <c:v>122</c:v>
                </c:pt>
                <c:pt idx="31">
                  <c:v>128</c:v>
                </c:pt>
                <c:pt idx="32">
                  <c:v>6</c:v>
                </c:pt>
                <c:pt idx="33">
                  <c:v>2.75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182-4572-821A-AACE9C5D77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6953632"/>
        <c:axId val="816955600"/>
      </c:scatterChart>
      <c:valAx>
        <c:axId val="8169536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955600"/>
        <c:crossesAt val="0.1"/>
        <c:crossBetween val="midCat"/>
      </c:valAx>
      <c:valAx>
        <c:axId val="81695560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Kd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953632"/>
        <c:crosses val="autoZero"/>
        <c:crossBetween val="midCat"/>
      </c:valAx>
      <c:spPr>
        <a:solidFill>
          <a:schemeClr val="lt1"/>
        </a:solidFill>
        <a:ln w="12700" cap="flat" cmpd="sng" algn="ctr">
          <a:solidFill>
            <a:schemeClr val="dk1"/>
          </a:solidFill>
          <a:prstDash val="solid"/>
          <a:miter lim="800000"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PFDA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chemeClr val="dk1"/>
                </a:solidFill>
              </a:ln>
              <a:effectLst/>
            </c:spPr>
          </c:marker>
          <c:dPt>
            <c:idx val="5"/>
            <c:marker>
              <c:symbol val="circle"/>
              <c:size val="5"/>
              <c:spPr>
                <a:solidFill>
                  <a:srgbClr val="0070C0"/>
                </a:solidFill>
                <a:ln w="9525">
                  <a:solidFill>
                    <a:schemeClr val="dk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EB75-4A5B-930E-BFD488AD00F0}"/>
              </c:ext>
            </c:extLst>
          </c:dPt>
          <c:dPt>
            <c:idx val="17"/>
            <c:marker>
              <c:symbol val="circle"/>
              <c:size val="5"/>
              <c:spPr>
                <a:solidFill>
                  <a:srgbClr val="0070C0"/>
                </a:solidFill>
                <a:ln w="9525">
                  <a:solidFill>
                    <a:schemeClr val="dk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CE5-4139-B283-104DA511C455}"/>
              </c:ext>
            </c:extLst>
          </c:dPt>
          <c:dPt>
            <c:idx val="18"/>
            <c:marker>
              <c:symbol val="circle"/>
              <c:size val="5"/>
              <c:spPr>
                <a:solidFill>
                  <a:srgbClr val="0070C0"/>
                </a:solidFill>
                <a:ln w="9525">
                  <a:solidFill>
                    <a:schemeClr val="dk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CE5-4139-B283-104DA511C455}"/>
              </c:ext>
            </c:extLst>
          </c:dPt>
          <c:dPt>
            <c:idx val="19"/>
            <c:marker>
              <c:symbol val="circle"/>
              <c:size val="5"/>
              <c:spPr>
                <a:solidFill>
                  <a:srgbClr val="0070C0"/>
                </a:solidFill>
                <a:ln w="9525">
                  <a:solidFill>
                    <a:schemeClr val="dk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CE5-4139-B283-104DA511C455}"/>
              </c:ext>
            </c:extLst>
          </c:dPt>
          <c:dPt>
            <c:idx val="20"/>
            <c:marker>
              <c:symbol val="circle"/>
              <c:size val="5"/>
              <c:spPr>
                <a:solidFill>
                  <a:srgbClr val="0070C0"/>
                </a:solidFill>
                <a:ln w="9525">
                  <a:solidFill>
                    <a:schemeClr val="dk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CE5-4139-B283-104DA511C455}"/>
              </c:ext>
            </c:extLst>
          </c:dPt>
          <c:dPt>
            <c:idx val="21"/>
            <c:marker>
              <c:symbol val="circle"/>
              <c:size val="5"/>
              <c:spPr>
                <a:solidFill>
                  <a:srgbClr val="0070C0"/>
                </a:solidFill>
                <a:ln w="9525">
                  <a:solidFill>
                    <a:schemeClr val="dk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CE5-4139-B283-104DA511C455}"/>
              </c:ext>
            </c:extLst>
          </c:dPt>
          <c:dPt>
            <c:idx val="27"/>
            <c:marker>
              <c:symbol val="circle"/>
              <c:size val="5"/>
              <c:spPr>
                <a:solidFill>
                  <a:srgbClr val="0070C0"/>
                </a:solidFill>
                <a:ln w="9525">
                  <a:solidFill>
                    <a:schemeClr val="dk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048-4F9F-89F4-9EAF47D39439}"/>
              </c:ext>
            </c:extLst>
          </c:dPt>
          <c:xVal>
            <c:numRef>
              <c:f>'All data'!$AX$490:$AX$539</c:f>
              <c:numCache>
                <c:formatCode>0.000</c:formatCode>
                <c:ptCount val="50"/>
                <c:pt idx="0">
                  <c:v>4.1999999999999997E-3</c:v>
                </c:pt>
                <c:pt idx="1">
                  <c:v>0.01</c:v>
                </c:pt>
                <c:pt idx="2">
                  <c:v>1.7000000000000001E-2</c:v>
                </c:pt>
                <c:pt idx="3">
                  <c:v>4.4999999999999998E-2</c:v>
                </c:pt>
                <c:pt idx="4">
                  <c:v>8.0000000000000002E-3</c:v>
                </c:pt>
                <c:pt idx="5">
                  <c:v>0.45</c:v>
                </c:pt>
                <c:pt idx="6">
                  <c:v>3.1E-2</c:v>
                </c:pt>
                <c:pt idx="7">
                  <c:v>2.2000000000000002E-2</c:v>
                </c:pt>
                <c:pt idx="8">
                  <c:v>1.6E-2</c:v>
                </c:pt>
                <c:pt idx="9">
                  <c:v>1.3000000000000001E-2</c:v>
                </c:pt>
                <c:pt idx="10">
                  <c:v>1.2E-2</c:v>
                </c:pt>
                <c:pt idx="11">
                  <c:v>1.2E-2</c:v>
                </c:pt>
                <c:pt idx="12">
                  <c:v>1.1000000000000001E-2</c:v>
                </c:pt>
                <c:pt idx="13">
                  <c:v>9.1000000000000004E-3</c:v>
                </c:pt>
                <c:pt idx="14">
                  <c:v>3.0000000000000001E-3</c:v>
                </c:pt>
                <c:pt idx="15">
                  <c:v>1.9E-3</c:v>
                </c:pt>
                <c:pt idx="16">
                  <c:v>3.8199999999999998E-2</c:v>
                </c:pt>
                <c:pt idx="17">
                  <c:v>5.1999999999999998E-3</c:v>
                </c:pt>
                <c:pt idx="18">
                  <c:v>2.5800000000000003E-3</c:v>
                </c:pt>
                <c:pt idx="19">
                  <c:v>9.2800000000000001E-3</c:v>
                </c:pt>
                <c:pt idx="20">
                  <c:v>2.4799999999999999E-2</c:v>
                </c:pt>
                <c:pt idx="21">
                  <c:v>9.9299999999999996E-3</c:v>
                </c:pt>
                <c:pt idx="22">
                  <c:v>2.4799999999999999E-2</c:v>
                </c:pt>
                <c:pt idx="23">
                  <c:v>1.0200000000000001E-2</c:v>
                </c:pt>
                <c:pt idx="24">
                  <c:v>4.3400000000000001E-2</c:v>
                </c:pt>
                <c:pt idx="25">
                  <c:v>5.6000000000000008E-3</c:v>
                </c:pt>
                <c:pt idx="26">
                  <c:v>9.6600000000000005E-2</c:v>
                </c:pt>
                <c:pt idx="27">
                  <c:v>2.52E-2</c:v>
                </c:pt>
                <c:pt idx="28">
                  <c:v>4.0000000000000001E-3</c:v>
                </c:pt>
                <c:pt idx="29">
                  <c:v>9.300000000000001E-3</c:v>
                </c:pt>
                <c:pt idx="30">
                  <c:v>1.43E-2</c:v>
                </c:pt>
                <c:pt idx="31">
                  <c:v>3.4000000000000002E-2</c:v>
                </c:pt>
                <c:pt idx="32">
                  <c:v>1.7000000000000001E-2</c:v>
                </c:pt>
                <c:pt idx="33">
                  <c:v>2.8999999999999998E-2</c:v>
                </c:pt>
                <c:pt idx="34">
                  <c:v>7.2999999999999995E-2</c:v>
                </c:pt>
                <c:pt idx="35">
                  <c:v>1.8000000000000002E-2</c:v>
                </c:pt>
                <c:pt idx="36">
                  <c:v>3.7000000000000002E-3</c:v>
                </c:pt>
                <c:pt idx="37">
                  <c:v>0.04</c:v>
                </c:pt>
                <c:pt idx="38">
                  <c:v>0.02</c:v>
                </c:pt>
                <c:pt idx="39">
                  <c:v>2.2000000000000002E-2</c:v>
                </c:pt>
                <c:pt idx="40">
                  <c:v>6.9999999999999993E-3</c:v>
                </c:pt>
                <c:pt idx="41">
                  <c:v>3.7000000000000002E-3</c:v>
                </c:pt>
                <c:pt idx="42">
                  <c:v>8.0000000000000004E-4</c:v>
                </c:pt>
                <c:pt idx="43">
                  <c:v>2.5000000000000001E-3</c:v>
                </c:pt>
                <c:pt idx="44">
                  <c:v>2.23E-2</c:v>
                </c:pt>
                <c:pt idx="45">
                  <c:v>4.9000000000000002E-2</c:v>
                </c:pt>
                <c:pt idx="46">
                  <c:v>1.2999999999999999E-3</c:v>
                </c:pt>
                <c:pt idx="47">
                  <c:v>4.0000000000000001E-3</c:v>
                </c:pt>
                <c:pt idx="48">
                  <c:v>1.1899999999999999E-2</c:v>
                </c:pt>
                <c:pt idx="49">
                  <c:v>1.7000000000000001E-3</c:v>
                </c:pt>
              </c:numCache>
            </c:numRef>
          </c:xVal>
          <c:yVal>
            <c:numRef>
              <c:f>'All data'!$BD$490:$BD$539</c:f>
              <c:numCache>
                <c:formatCode>0.00</c:formatCode>
                <c:ptCount val="50"/>
                <c:pt idx="0">
                  <c:v>33</c:v>
                </c:pt>
                <c:pt idx="1">
                  <c:v>30</c:v>
                </c:pt>
                <c:pt idx="2">
                  <c:v>8.69</c:v>
                </c:pt>
                <c:pt idx="3">
                  <c:v>58.91</c:v>
                </c:pt>
                <c:pt idx="4">
                  <c:v>5.36</c:v>
                </c:pt>
                <c:pt idx="5" formatCode="0">
                  <c:v>11303.488941793137</c:v>
                </c:pt>
                <c:pt idx="6" formatCode="0.0">
                  <c:v>36.307805477010156</c:v>
                </c:pt>
                <c:pt idx="7" formatCode="0.0">
                  <c:v>88.104887300801408</c:v>
                </c:pt>
                <c:pt idx="8" formatCode="0.0">
                  <c:v>7.7624711662869199</c:v>
                </c:pt>
                <c:pt idx="9" formatCode="0.0">
                  <c:v>26.915348039269158</c:v>
                </c:pt>
                <c:pt idx="10" formatCode="0.0">
                  <c:v>77.624711662869217</c:v>
                </c:pt>
                <c:pt idx="11" formatCode="0.0">
                  <c:v>20.183663636815627</c:v>
                </c:pt>
                <c:pt idx="12" formatCode="0.0">
                  <c:v>5.7543993733715713</c:v>
                </c:pt>
                <c:pt idx="13" formatCode="0.0">
                  <c:v>10</c:v>
                </c:pt>
                <c:pt idx="14" formatCode="0.0">
                  <c:v>2.3988329190194908</c:v>
                </c:pt>
                <c:pt idx="15" formatCode="0.0">
                  <c:v>10.232929922807543</c:v>
                </c:pt>
                <c:pt idx="16" formatCode="0">
                  <c:v>92.063582231332973</c:v>
                </c:pt>
                <c:pt idx="17" formatCode="0">
                  <c:v>55.456542401191811</c:v>
                </c:pt>
                <c:pt idx="18" formatCode="0">
                  <c:v>42.132706546744231</c:v>
                </c:pt>
                <c:pt idx="19" formatCode="0">
                  <c:v>64.932812890225378</c:v>
                </c:pt>
                <c:pt idx="20" formatCode="0">
                  <c:v>34.325008919980988</c:v>
                </c:pt>
                <c:pt idx="21" formatCode="0">
                  <c:v>30.142062490297587</c:v>
                </c:pt>
                <c:pt idx="22" formatCode="0.0">
                  <c:v>27.35</c:v>
                </c:pt>
                <c:pt idx="23" formatCode="0.0">
                  <c:v>3.81</c:v>
                </c:pt>
                <c:pt idx="24" formatCode="0.0">
                  <c:v>29.05</c:v>
                </c:pt>
                <c:pt idx="25" formatCode="0.0">
                  <c:v>1.5</c:v>
                </c:pt>
                <c:pt idx="26" formatCode="0.0">
                  <c:v>78.62</c:v>
                </c:pt>
                <c:pt idx="27">
                  <c:v>95.499258602143655</c:v>
                </c:pt>
                <c:pt idx="28">
                  <c:v>16.600000000000001</c:v>
                </c:pt>
                <c:pt idx="29">
                  <c:v>50</c:v>
                </c:pt>
                <c:pt idx="30" formatCode="General">
                  <c:v>40.090000000000003</c:v>
                </c:pt>
                <c:pt idx="31" formatCode="0.0">
                  <c:v>10.4788</c:v>
                </c:pt>
                <c:pt idx="32" formatCode="0.0">
                  <c:v>3.6006000000000005</c:v>
                </c:pt>
                <c:pt idx="33" formatCode="0.0">
                  <c:v>16.5764</c:v>
                </c:pt>
                <c:pt idx="34" formatCode="0.0">
                  <c:v>50.888300000000001</c:v>
                </c:pt>
                <c:pt idx="35" formatCode="0.0">
                  <c:v>9.1098000000000017</c:v>
                </c:pt>
                <c:pt idx="36">
                  <c:v>15.992105138697276</c:v>
                </c:pt>
                <c:pt idx="37" formatCode="0.0">
                  <c:v>61.6</c:v>
                </c:pt>
                <c:pt idx="38" formatCode="0.0">
                  <c:v>44.7</c:v>
                </c:pt>
                <c:pt idx="39" formatCode="0.0">
                  <c:v>37.799999999999997</c:v>
                </c:pt>
                <c:pt idx="40">
                  <c:v>9.5299999999999994</c:v>
                </c:pt>
                <c:pt idx="41" formatCode="General">
                  <c:v>0.86</c:v>
                </c:pt>
                <c:pt idx="42" formatCode="General">
                  <c:v>16.87</c:v>
                </c:pt>
                <c:pt idx="43">
                  <c:v>12.3</c:v>
                </c:pt>
                <c:pt idx="44" formatCode="General">
                  <c:v>8.52</c:v>
                </c:pt>
                <c:pt idx="45" formatCode="General">
                  <c:v>45.75</c:v>
                </c:pt>
                <c:pt idx="46" formatCode="General">
                  <c:v>7.96</c:v>
                </c:pt>
                <c:pt idx="47" formatCode="General">
                  <c:v>7.53</c:v>
                </c:pt>
                <c:pt idx="48" formatCode="General">
                  <c:v>25.34</c:v>
                </c:pt>
                <c:pt idx="49" formatCode="General">
                  <c:v>11.46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DF5-4089-BB60-3829FA2B54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6953632"/>
        <c:axId val="816955600"/>
      </c:scatterChart>
      <c:valAx>
        <c:axId val="816953632"/>
        <c:scaling>
          <c:orientation val="minMax"/>
          <c:max val="0.60000000000000009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955600"/>
        <c:crossesAt val="0.1"/>
        <c:crossBetween val="midCat"/>
      </c:valAx>
      <c:valAx>
        <c:axId val="816955600"/>
        <c:scaling>
          <c:orientation val="minMax"/>
          <c:max val="10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Kd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953632"/>
        <c:crosses val="autoZero"/>
        <c:crossBetween val="midCat"/>
        <c:majorUnit val="200"/>
      </c:valAx>
      <c:spPr>
        <a:solidFill>
          <a:schemeClr val="lt1"/>
        </a:solidFill>
        <a:ln w="12700" cap="flat" cmpd="sng" algn="ctr">
          <a:solidFill>
            <a:schemeClr val="dk1"/>
          </a:solidFill>
          <a:prstDash val="solid"/>
          <a:miter lim="800000"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6:2 FTS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chemeClr val="dk1"/>
                </a:solidFill>
              </a:ln>
              <a:effectLst/>
            </c:spPr>
          </c:marker>
          <c:xVal>
            <c:numRef>
              <c:f>'All data'!$AX$1122:$AX$1148</c:f>
              <c:numCache>
                <c:formatCode>0.00</c:formatCode>
                <c:ptCount val="27"/>
                <c:pt idx="0">
                  <c:v>3.4000000000000002E-2</c:v>
                </c:pt>
                <c:pt idx="1">
                  <c:v>1.7000000000000001E-2</c:v>
                </c:pt>
                <c:pt idx="2">
                  <c:v>2.8999999999999998E-2</c:v>
                </c:pt>
                <c:pt idx="3">
                  <c:v>7.2999999999999995E-2</c:v>
                </c:pt>
                <c:pt idx="4">
                  <c:v>1.8000000000000002E-2</c:v>
                </c:pt>
                <c:pt idx="5">
                  <c:v>1.4999999999999999E-2</c:v>
                </c:pt>
                <c:pt idx="6">
                  <c:v>1.1999999999999999E-3</c:v>
                </c:pt>
                <c:pt idx="7">
                  <c:v>2.3E-2</c:v>
                </c:pt>
                <c:pt idx="8">
                  <c:v>7.6999999999999999E-2</c:v>
                </c:pt>
                <c:pt idx="9">
                  <c:v>0.01</c:v>
                </c:pt>
                <c:pt idx="10">
                  <c:v>9.7999999999999997E-4</c:v>
                </c:pt>
                <c:pt idx="11">
                  <c:v>0.44900000000000001</c:v>
                </c:pt>
                <c:pt idx="12">
                  <c:v>0.46600000000000003</c:v>
                </c:pt>
                <c:pt idx="13">
                  <c:v>0.53600000000000003</c:v>
                </c:pt>
                <c:pt idx="14">
                  <c:v>4.9000000000000002E-2</c:v>
                </c:pt>
                <c:pt idx="15">
                  <c:v>2.6000000000000002E-2</c:v>
                </c:pt>
                <c:pt idx="16">
                  <c:v>3.7000000000000002E-3</c:v>
                </c:pt>
                <c:pt idx="17">
                  <c:v>6.9999999999999993E-3</c:v>
                </c:pt>
                <c:pt idx="18">
                  <c:v>3.7000000000000002E-3</c:v>
                </c:pt>
                <c:pt idx="19">
                  <c:v>8.0000000000000004E-4</c:v>
                </c:pt>
                <c:pt idx="20">
                  <c:v>2.5000000000000001E-3</c:v>
                </c:pt>
                <c:pt idx="21">
                  <c:v>2.23E-2</c:v>
                </c:pt>
                <c:pt idx="22">
                  <c:v>4.9000000000000002E-2</c:v>
                </c:pt>
                <c:pt idx="23">
                  <c:v>1.2999999999999999E-3</c:v>
                </c:pt>
                <c:pt idx="24">
                  <c:v>4.0000000000000001E-3</c:v>
                </c:pt>
                <c:pt idx="25">
                  <c:v>1.1899999999999999E-2</c:v>
                </c:pt>
                <c:pt idx="26">
                  <c:v>1.7000000000000001E-3</c:v>
                </c:pt>
              </c:numCache>
            </c:numRef>
          </c:xVal>
          <c:yVal>
            <c:numRef>
              <c:f>'All data'!$BD$1122:$BD$1148</c:f>
              <c:numCache>
                <c:formatCode>0.0</c:formatCode>
                <c:ptCount val="27"/>
                <c:pt idx="0">
                  <c:v>6.1846000000000005</c:v>
                </c:pt>
                <c:pt idx="1">
                  <c:v>1.4501000000000002</c:v>
                </c:pt>
                <c:pt idx="2">
                  <c:v>3.0652999999999997</c:v>
                </c:pt>
                <c:pt idx="3">
                  <c:v>6.0735999999999999</c:v>
                </c:pt>
                <c:pt idx="4">
                  <c:v>0.2646</c:v>
                </c:pt>
                <c:pt idx="5">
                  <c:v>5.9</c:v>
                </c:pt>
                <c:pt idx="6">
                  <c:v>5.7</c:v>
                </c:pt>
                <c:pt idx="7">
                  <c:v>6.2</c:v>
                </c:pt>
                <c:pt idx="8">
                  <c:v>13</c:v>
                </c:pt>
                <c:pt idx="9">
                  <c:v>6.4</c:v>
                </c:pt>
                <c:pt idx="10">
                  <c:v>6.6</c:v>
                </c:pt>
                <c:pt idx="11" formatCode="0">
                  <c:v>18.717435317818069</c:v>
                </c:pt>
                <c:pt idx="12" formatCode="0">
                  <c:v>34.545057244622789</c:v>
                </c:pt>
                <c:pt idx="13" formatCode="0">
                  <c:v>35.413168813207157</c:v>
                </c:pt>
                <c:pt idx="14" formatCode="General">
                  <c:v>0.64</c:v>
                </c:pt>
                <c:pt idx="15" formatCode="General">
                  <c:v>0.3</c:v>
                </c:pt>
                <c:pt idx="16" formatCode="0.00">
                  <c:v>1.0856475858869954</c:v>
                </c:pt>
                <c:pt idx="17" formatCode="General">
                  <c:v>0.87</c:v>
                </c:pt>
                <c:pt idx="18" formatCode="General">
                  <c:v>0.61</c:v>
                </c:pt>
                <c:pt idx="19" formatCode="General">
                  <c:v>0.51</c:v>
                </c:pt>
                <c:pt idx="20" formatCode="0.00">
                  <c:v>0.48</c:v>
                </c:pt>
                <c:pt idx="21" formatCode="General">
                  <c:v>0.47</c:v>
                </c:pt>
                <c:pt idx="22" formatCode="General">
                  <c:v>1.77</c:v>
                </c:pt>
                <c:pt idx="23" formatCode="General">
                  <c:v>0.64</c:v>
                </c:pt>
                <c:pt idx="24" formatCode="General">
                  <c:v>0.19</c:v>
                </c:pt>
                <c:pt idx="25" formatCode="General">
                  <c:v>0.64</c:v>
                </c:pt>
                <c:pt idx="26" formatCode="General">
                  <c:v>0.87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683-4F53-822C-1499B88D6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6953632"/>
        <c:axId val="816955600"/>
      </c:scatterChart>
      <c:valAx>
        <c:axId val="8169536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foc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955600"/>
        <c:crosses val="autoZero"/>
        <c:crossBetween val="midCat"/>
      </c:valAx>
      <c:valAx>
        <c:axId val="81695560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953632"/>
        <c:crosses val="autoZero"/>
        <c:crossBetween val="midCat"/>
      </c:valAx>
      <c:spPr>
        <a:solidFill>
          <a:schemeClr val="lt1"/>
        </a:solidFill>
        <a:ln w="12700" cap="flat" cmpd="sng" algn="ctr">
          <a:solidFill>
            <a:schemeClr val="dk1"/>
          </a:solidFill>
          <a:prstDash val="solid"/>
          <a:miter lim="800000"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PFUnA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chemeClr val="dk1"/>
                </a:solidFill>
              </a:ln>
              <a:effectLst/>
            </c:spPr>
          </c:marker>
          <c:dPt>
            <c:idx val="19"/>
            <c:marker>
              <c:symbol val="x"/>
              <c:size val="5"/>
              <c:spPr>
                <a:solidFill>
                  <a:srgbClr val="FF0000"/>
                </a:solidFill>
                <a:ln w="9525">
                  <a:solidFill>
                    <a:schemeClr val="dk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AD2E-4EEA-97ED-09961F10B7AA}"/>
              </c:ext>
            </c:extLst>
          </c:dPt>
          <c:dPt>
            <c:idx val="20"/>
            <c:marker>
              <c:symbol val="x"/>
              <c:size val="5"/>
              <c:spPr>
                <a:solidFill>
                  <a:srgbClr val="FF0000"/>
                </a:solidFill>
                <a:ln w="9525">
                  <a:solidFill>
                    <a:schemeClr val="dk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D2E-4EEA-97ED-09961F10B7AA}"/>
              </c:ext>
            </c:extLst>
          </c:dPt>
          <c:xVal>
            <c:numRef>
              <c:f>'All data'!$AX$540:$AX$571</c:f>
              <c:numCache>
                <c:formatCode>0.000</c:formatCode>
                <c:ptCount val="32"/>
                <c:pt idx="0">
                  <c:v>1.7000000000000001E-2</c:v>
                </c:pt>
                <c:pt idx="1">
                  <c:v>3.1E-2</c:v>
                </c:pt>
                <c:pt idx="2">
                  <c:v>2.2000000000000002E-2</c:v>
                </c:pt>
                <c:pt idx="3">
                  <c:v>1.6E-2</c:v>
                </c:pt>
                <c:pt idx="4">
                  <c:v>1.3000000000000001E-2</c:v>
                </c:pt>
                <c:pt idx="5">
                  <c:v>1.2E-2</c:v>
                </c:pt>
                <c:pt idx="6">
                  <c:v>1.2E-2</c:v>
                </c:pt>
                <c:pt idx="7">
                  <c:v>1.1000000000000001E-2</c:v>
                </c:pt>
                <c:pt idx="8">
                  <c:v>9.1000000000000004E-3</c:v>
                </c:pt>
                <c:pt idx="9">
                  <c:v>3.0000000000000001E-3</c:v>
                </c:pt>
                <c:pt idx="10">
                  <c:v>1.9E-3</c:v>
                </c:pt>
                <c:pt idx="11">
                  <c:v>2.4799999999999999E-2</c:v>
                </c:pt>
                <c:pt idx="12">
                  <c:v>1.0200000000000001E-2</c:v>
                </c:pt>
                <c:pt idx="13">
                  <c:v>4.3400000000000001E-2</c:v>
                </c:pt>
                <c:pt idx="14">
                  <c:v>5.6000000000000008E-3</c:v>
                </c:pt>
                <c:pt idx="15">
                  <c:v>9.6600000000000005E-2</c:v>
                </c:pt>
                <c:pt idx="16">
                  <c:v>4.0000000000000001E-3</c:v>
                </c:pt>
                <c:pt idx="17">
                  <c:v>9.300000000000001E-3</c:v>
                </c:pt>
                <c:pt idx="18">
                  <c:v>0.44900000000000001</c:v>
                </c:pt>
                <c:pt idx="19">
                  <c:v>0.46600000000000003</c:v>
                </c:pt>
                <c:pt idx="20">
                  <c:v>0.53600000000000003</c:v>
                </c:pt>
                <c:pt idx="21">
                  <c:v>3.7000000000000002E-3</c:v>
                </c:pt>
                <c:pt idx="22">
                  <c:v>6.9999999999999993E-3</c:v>
                </c:pt>
                <c:pt idx="23">
                  <c:v>3.7000000000000002E-3</c:v>
                </c:pt>
                <c:pt idx="24">
                  <c:v>8.0000000000000004E-4</c:v>
                </c:pt>
                <c:pt idx="25">
                  <c:v>2.5000000000000001E-3</c:v>
                </c:pt>
                <c:pt idx="26">
                  <c:v>2.23E-2</c:v>
                </c:pt>
                <c:pt idx="27">
                  <c:v>4.9000000000000002E-2</c:v>
                </c:pt>
                <c:pt idx="28">
                  <c:v>1.2999999999999999E-3</c:v>
                </c:pt>
                <c:pt idx="29">
                  <c:v>4.0000000000000001E-3</c:v>
                </c:pt>
                <c:pt idx="30">
                  <c:v>1.1899999999999999E-2</c:v>
                </c:pt>
                <c:pt idx="31">
                  <c:v>1.7000000000000001E-3</c:v>
                </c:pt>
              </c:numCache>
            </c:numRef>
          </c:xVal>
          <c:yVal>
            <c:numRef>
              <c:f>'All data'!$BD$540:$BD$571</c:f>
              <c:numCache>
                <c:formatCode>0.0</c:formatCode>
                <c:ptCount val="32"/>
                <c:pt idx="0" formatCode="0.00">
                  <c:v>36.409999999999997</c:v>
                </c:pt>
                <c:pt idx="1">
                  <c:v>125.89254117941677</c:v>
                </c:pt>
                <c:pt idx="2">
                  <c:v>134.89628825916537</c:v>
                </c:pt>
                <c:pt idx="3">
                  <c:v>28.183829312644548</c:v>
                </c:pt>
                <c:pt idx="4">
                  <c:v>71.614341021290201</c:v>
                </c:pt>
                <c:pt idx="5">
                  <c:v>213.79620895022339</c:v>
                </c:pt>
                <c:pt idx="6">
                  <c:v>43.651583224016612</c:v>
                </c:pt>
                <c:pt idx="7">
                  <c:v>21.877616239495538</c:v>
                </c:pt>
                <c:pt idx="8">
                  <c:v>25.118864315095799</c:v>
                </c:pt>
                <c:pt idx="9">
                  <c:v>16.982436524617448</c:v>
                </c:pt>
                <c:pt idx="10">
                  <c:v>66.069344800759623</c:v>
                </c:pt>
                <c:pt idx="11">
                  <c:v>91.36</c:v>
                </c:pt>
                <c:pt idx="12">
                  <c:v>13.31</c:v>
                </c:pt>
                <c:pt idx="13">
                  <c:v>101.59</c:v>
                </c:pt>
                <c:pt idx="14">
                  <c:v>5.47</c:v>
                </c:pt>
                <c:pt idx="15">
                  <c:v>276.89</c:v>
                </c:pt>
                <c:pt idx="16" formatCode="0.00">
                  <c:v>84</c:v>
                </c:pt>
                <c:pt idx="17" formatCode="0.00">
                  <c:v>109</c:v>
                </c:pt>
                <c:pt idx="18" formatCode="0">
                  <c:v>1127.8370077478019</c:v>
                </c:pt>
                <c:pt idx="19" formatCode="0">
                  <c:v>396.63032580230799</c:v>
                </c:pt>
                <c:pt idx="20" formatCode="0">
                  <c:v>134.63711272891354</c:v>
                </c:pt>
                <c:pt idx="21" formatCode="0.00">
                  <c:v>91.557961004249648</c:v>
                </c:pt>
                <c:pt idx="22" formatCode="0.00">
                  <c:v>19.059999999999999</c:v>
                </c:pt>
                <c:pt idx="23" formatCode="General">
                  <c:v>32.619999999999997</c:v>
                </c:pt>
                <c:pt idx="24" formatCode="General">
                  <c:v>24.15</c:v>
                </c:pt>
                <c:pt idx="25" formatCode="0.00">
                  <c:v>31.01</c:v>
                </c:pt>
                <c:pt idx="26" formatCode="General">
                  <c:v>20.71</c:v>
                </c:pt>
                <c:pt idx="27" formatCode="General">
                  <c:v>131.33000000000001</c:v>
                </c:pt>
                <c:pt idx="28" formatCode="General">
                  <c:v>23.32</c:v>
                </c:pt>
                <c:pt idx="29" formatCode="General">
                  <c:v>11.73</c:v>
                </c:pt>
                <c:pt idx="30" formatCode="General">
                  <c:v>68.03</c:v>
                </c:pt>
                <c:pt idx="31" formatCode="General">
                  <c:v>45.09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E9A-4806-A7D9-C17092841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6953632"/>
        <c:axId val="816955600"/>
      </c:scatterChart>
      <c:valAx>
        <c:axId val="8169536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foc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955600"/>
        <c:crosses val="autoZero"/>
        <c:crossBetween val="midCat"/>
      </c:valAx>
      <c:valAx>
        <c:axId val="81695560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Kd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953632"/>
        <c:crosses val="autoZero"/>
        <c:crossBetween val="midCat"/>
      </c:valAx>
      <c:spPr>
        <a:solidFill>
          <a:schemeClr val="lt1"/>
        </a:solidFill>
        <a:ln w="12700" cap="flat" cmpd="sng" algn="ctr">
          <a:solidFill>
            <a:schemeClr val="dk1"/>
          </a:solidFill>
          <a:prstDash val="solid"/>
          <a:miter lim="800000"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8:2 FtSaB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chemeClr val="dk1"/>
                </a:solidFill>
              </a:ln>
              <a:effectLst/>
            </c:spPr>
          </c:marker>
          <c:xVal>
            <c:numRef>
              <c:f>'All data'!$AX$25:$AX$29</c:f>
              <c:numCache>
                <c:formatCode>0.000</c:formatCode>
                <c:ptCount val="5"/>
                <c:pt idx="0">
                  <c:v>1.4999999999999999E-2</c:v>
                </c:pt>
                <c:pt idx="1">
                  <c:v>1.1999999999999999E-3</c:v>
                </c:pt>
                <c:pt idx="2">
                  <c:v>2.3E-2</c:v>
                </c:pt>
                <c:pt idx="3">
                  <c:v>7.6999999999999999E-2</c:v>
                </c:pt>
                <c:pt idx="4">
                  <c:v>9.7999999999999997E-4</c:v>
                </c:pt>
              </c:numCache>
            </c:numRef>
          </c:xVal>
          <c:yVal>
            <c:numRef>
              <c:f>'All data'!$BD$25:$BD$29</c:f>
              <c:numCache>
                <c:formatCode>0</c:formatCode>
                <c:ptCount val="5"/>
                <c:pt idx="0">
                  <c:v>120</c:v>
                </c:pt>
                <c:pt idx="1">
                  <c:v>170</c:v>
                </c:pt>
                <c:pt idx="2">
                  <c:v>34</c:v>
                </c:pt>
                <c:pt idx="3">
                  <c:v>61</c:v>
                </c:pt>
                <c:pt idx="4">
                  <c:v>400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AFA-411E-B559-E6E05D29C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6953632"/>
        <c:axId val="816955600"/>
      </c:scatterChart>
      <c:valAx>
        <c:axId val="816953632"/>
        <c:scaling>
          <c:orientation val="minMax"/>
          <c:max val="0.60000000000000009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955600"/>
        <c:crosses val="autoZero"/>
        <c:crossBetween val="midCat"/>
      </c:valAx>
      <c:valAx>
        <c:axId val="81695560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Kd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953632"/>
        <c:crosses val="autoZero"/>
        <c:crossBetween val="midCat"/>
        <c:majorUnit val="100"/>
      </c:valAx>
      <c:spPr>
        <a:solidFill>
          <a:schemeClr val="lt1"/>
        </a:solidFill>
        <a:ln w="12700" cap="flat" cmpd="sng" algn="ctr">
          <a:solidFill>
            <a:schemeClr val="dk1"/>
          </a:solidFill>
          <a:prstDash val="solid"/>
          <a:miter lim="800000"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PFOSB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chemeClr val="dk1"/>
                </a:solidFill>
              </a:ln>
              <a:effectLst/>
            </c:spPr>
          </c:marker>
          <c:xVal>
            <c:numRef>
              <c:f>'All data'!$AX$33:$AX$37</c:f>
              <c:numCache>
                <c:formatCode>0.000</c:formatCode>
                <c:ptCount val="5"/>
                <c:pt idx="0">
                  <c:v>3.4000000000000002E-2</c:v>
                </c:pt>
                <c:pt idx="1">
                  <c:v>1.7000000000000001E-2</c:v>
                </c:pt>
                <c:pt idx="2">
                  <c:v>2.8999999999999998E-2</c:v>
                </c:pt>
                <c:pt idx="3">
                  <c:v>7.2999999999999995E-2</c:v>
                </c:pt>
                <c:pt idx="4">
                  <c:v>1.8000000000000002E-2</c:v>
                </c:pt>
              </c:numCache>
            </c:numRef>
          </c:xVal>
          <c:yVal>
            <c:numRef>
              <c:f>'All data'!$BD$33:$BD$37</c:f>
              <c:numCache>
                <c:formatCode>0.0</c:formatCode>
                <c:ptCount val="5"/>
                <c:pt idx="0" formatCode="0.00">
                  <c:v>0.59500000000000008</c:v>
                </c:pt>
                <c:pt idx="1">
                  <c:v>3.8403000000000005</c:v>
                </c:pt>
                <c:pt idx="2" formatCode="0">
                  <c:v>86.205399999999997</c:v>
                </c:pt>
                <c:pt idx="3" formatCode="0">
                  <c:v>78.058899999999994</c:v>
                </c:pt>
                <c:pt idx="4">
                  <c:v>3.0816000000000003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E43-4174-B5E5-CAA7CBCD96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6953632"/>
        <c:axId val="816955600"/>
      </c:scatterChart>
      <c:valAx>
        <c:axId val="816953632"/>
        <c:scaling>
          <c:orientation val="minMax"/>
          <c:max val="0.60000000000000009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955600"/>
        <c:crosses val="autoZero"/>
        <c:crossBetween val="midCat"/>
      </c:valAx>
      <c:valAx>
        <c:axId val="816955600"/>
        <c:scaling>
          <c:orientation val="minMax"/>
          <c:max val="6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Kd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953632"/>
        <c:crosses val="autoZero"/>
        <c:crossBetween val="midCat"/>
        <c:majorUnit val="100"/>
      </c:valAx>
      <c:spPr>
        <a:solidFill>
          <a:schemeClr val="lt1"/>
        </a:solidFill>
        <a:ln w="12700" cap="flat" cmpd="sng" algn="ctr">
          <a:solidFill>
            <a:schemeClr val="dk1"/>
          </a:solidFill>
          <a:prstDash val="solid"/>
          <a:miter lim="800000"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TFA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dk1"/>
                </a:solidFill>
              </a:ln>
              <a:effectLst/>
            </c:spPr>
          </c:marker>
          <c:dPt>
            <c:idx val="16"/>
            <c:marker>
              <c:symbol val="circle"/>
              <c:size val="5"/>
              <c:spPr>
                <a:solidFill>
                  <a:schemeClr val="accent1"/>
                </a:solidFill>
                <a:ln w="9525">
                  <a:solidFill>
                    <a:schemeClr val="dk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7EA-4D59-AA6D-39E8EA6DBDA8}"/>
              </c:ext>
            </c:extLst>
          </c:dPt>
          <c:xVal>
            <c:numRef>
              <c:f>'All data'!$AX$92:$AX$111</c:f>
              <c:numCache>
                <c:formatCode>0.000</c:formatCode>
                <c:ptCount val="20"/>
                <c:pt idx="0">
                  <c:v>0.41249999999999998</c:v>
                </c:pt>
                <c:pt idx="1">
                  <c:v>0.1515</c:v>
                </c:pt>
                <c:pt idx="2">
                  <c:v>4.7E-2</c:v>
                </c:pt>
                <c:pt idx="3">
                  <c:v>3.1E-2</c:v>
                </c:pt>
                <c:pt idx="4">
                  <c:v>0.124</c:v>
                </c:pt>
                <c:pt idx="5">
                  <c:v>0.1925</c:v>
                </c:pt>
                <c:pt idx="6">
                  <c:v>1.4499999999999999E-2</c:v>
                </c:pt>
                <c:pt idx="7">
                  <c:v>3.95E-2</c:v>
                </c:pt>
                <c:pt idx="8">
                  <c:v>3.5499999999999997E-2</c:v>
                </c:pt>
                <c:pt idx="9">
                  <c:v>0.02</c:v>
                </c:pt>
                <c:pt idx="10">
                  <c:v>0.39750000000000002</c:v>
                </c:pt>
                <c:pt idx="11">
                  <c:v>6.9999999999999993E-3</c:v>
                </c:pt>
                <c:pt idx="12">
                  <c:v>8.5000000000000006E-2</c:v>
                </c:pt>
                <c:pt idx="13">
                  <c:v>4.0500000000000001E-2</c:v>
                </c:pt>
                <c:pt idx="14">
                  <c:v>2.5000000000000001E-3</c:v>
                </c:pt>
                <c:pt idx="15">
                  <c:v>0.376</c:v>
                </c:pt>
                <c:pt idx="16">
                  <c:v>0.46649999999999997</c:v>
                </c:pt>
                <c:pt idx="17">
                  <c:v>5.0499999999999996E-2</c:v>
                </c:pt>
                <c:pt idx="18">
                  <c:v>9.3000000000000013E-2</c:v>
                </c:pt>
                <c:pt idx="19">
                  <c:v>3.0499999999999999E-2</c:v>
                </c:pt>
              </c:numCache>
            </c:numRef>
          </c:xVal>
          <c:yVal>
            <c:numRef>
              <c:f>'All data'!$BD$92:$BD$111</c:f>
              <c:numCache>
                <c:formatCode>General</c:formatCode>
                <c:ptCount val="20"/>
                <c:pt idx="0">
                  <c:v>11</c:v>
                </c:pt>
                <c:pt idx="1">
                  <c:v>0.86</c:v>
                </c:pt>
                <c:pt idx="2">
                  <c:v>1.5</c:v>
                </c:pt>
                <c:pt idx="3">
                  <c:v>0.68</c:v>
                </c:pt>
                <c:pt idx="4">
                  <c:v>1.2</c:v>
                </c:pt>
                <c:pt idx="5">
                  <c:v>0.71</c:v>
                </c:pt>
                <c:pt idx="6" formatCode="0.00">
                  <c:v>0.3</c:v>
                </c:pt>
                <c:pt idx="7">
                  <c:v>0.54</c:v>
                </c:pt>
                <c:pt idx="8">
                  <c:v>0.53</c:v>
                </c:pt>
                <c:pt idx="9" formatCode="0.00">
                  <c:v>0.6</c:v>
                </c:pt>
                <c:pt idx="10">
                  <c:v>3.9</c:v>
                </c:pt>
                <c:pt idx="11">
                  <c:v>0.34</c:v>
                </c:pt>
                <c:pt idx="12">
                  <c:v>0.68</c:v>
                </c:pt>
                <c:pt idx="13">
                  <c:v>0.42</c:v>
                </c:pt>
                <c:pt idx="14">
                  <c:v>0.17</c:v>
                </c:pt>
                <c:pt idx="15">
                  <c:v>5.8</c:v>
                </c:pt>
                <c:pt idx="16">
                  <c:v>20</c:v>
                </c:pt>
                <c:pt idx="17">
                  <c:v>1.5</c:v>
                </c:pt>
                <c:pt idx="18">
                  <c:v>0.19</c:v>
                </c:pt>
                <c:pt idx="19">
                  <c:v>0.32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7EA-4D59-AA6D-39E8EA6DB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6953632"/>
        <c:axId val="816955600"/>
      </c:scatterChart>
      <c:valAx>
        <c:axId val="816953632"/>
        <c:scaling>
          <c:orientation val="minMax"/>
          <c:max val="0.60000000000000009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955600"/>
        <c:crossesAt val="0"/>
        <c:crossBetween val="midCat"/>
      </c:valAx>
      <c:valAx>
        <c:axId val="816955600"/>
        <c:scaling>
          <c:orientation val="minMax"/>
          <c:max val="2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Kd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953632"/>
        <c:crossesAt val="0"/>
        <c:crossBetween val="midCat"/>
      </c:valAx>
      <c:spPr>
        <a:solidFill>
          <a:schemeClr val="lt1"/>
        </a:solidFill>
        <a:ln w="12700" cap="flat" cmpd="sng" algn="ctr">
          <a:solidFill>
            <a:schemeClr val="dk1"/>
          </a:solidFill>
          <a:prstDash val="solid"/>
          <a:miter lim="800000"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dk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0056586167419699"/>
                  <c:y val="-1.603869162924281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'PFAS Properties'!$P$15:$P$65</c:f>
              <c:numCache>
                <c:formatCode>0</c:formatCode>
                <c:ptCount val="51"/>
                <c:pt idx="0">
                  <c:v>570.08529999999996</c:v>
                </c:pt>
                <c:pt idx="1">
                  <c:v>670.07889999999998</c:v>
                </c:pt>
                <c:pt idx="2">
                  <c:v>770.07249999999999</c:v>
                </c:pt>
                <c:pt idx="3">
                  <c:v>512.07989999999995</c:v>
                </c:pt>
                <c:pt idx="4">
                  <c:v>642.04769999999996</c:v>
                </c:pt>
                <c:pt idx="5">
                  <c:v>513.1019</c:v>
                </c:pt>
                <c:pt idx="6">
                  <c:v>556.08389999999997</c:v>
                </c:pt>
                <c:pt idx="7">
                  <c:v>484.0487</c:v>
                </c:pt>
                <c:pt idx="8">
                  <c:v>498.0643</c:v>
                </c:pt>
                <c:pt idx="9">
                  <c:v>264.01949999999999</c:v>
                </c:pt>
                <c:pt idx="10">
                  <c:v>364.01309999999995</c:v>
                </c:pt>
                <c:pt idx="11">
                  <c:v>464.00669999999997</c:v>
                </c:pt>
                <c:pt idx="12">
                  <c:v>564.00030000000004</c:v>
                </c:pt>
                <c:pt idx="13">
                  <c:v>113.9928</c:v>
                </c:pt>
                <c:pt idx="14">
                  <c:v>213.9864</c:v>
                </c:pt>
                <c:pt idx="15">
                  <c:v>263.98320000000001</c:v>
                </c:pt>
                <c:pt idx="16">
                  <c:v>313.97999999999996</c:v>
                </c:pt>
                <c:pt idx="17">
                  <c:v>363.97679999999997</c:v>
                </c:pt>
                <c:pt idx="18">
                  <c:v>413.97359999999998</c:v>
                </c:pt>
                <c:pt idx="19">
                  <c:v>463.97039999999998</c:v>
                </c:pt>
                <c:pt idx="20">
                  <c:v>513.96719999999993</c:v>
                </c:pt>
                <c:pt idx="21">
                  <c:v>563.96399999999994</c:v>
                </c:pt>
                <c:pt idx="22">
                  <c:v>613.96079999999995</c:v>
                </c:pt>
                <c:pt idx="23">
                  <c:v>663.95759999999996</c:v>
                </c:pt>
                <c:pt idx="24">
                  <c:v>713.95439999999996</c:v>
                </c:pt>
                <c:pt idx="25">
                  <c:v>329.97489999999993</c:v>
                </c:pt>
                <c:pt idx="26">
                  <c:v>377.976</c:v>
                </c:pt>
                <c:pt idx="27">
                  <c:v>299.9502</c:v>
                </c:pt>
                <c:pt idx="28">
                  <c:v>349.94699999999995</c:v>
                </c:pt>
                <c:pt idx="29">
                  <c:v>399.94379999999995</c:v>
                </c:pt>
                <c:pt idx="30">
                  <c:v>449.94059999999996</c:v>
                </c:pt>
                <c:pt idx="31">
                  <c:v>499.93739999999997</c:v>
                </c:pt>
                <c:pt idx="32">
                  <c:v>549.93420000000003</c:v>
                </c:pt>
                <c:pt idx="33">
                  <c:v>599.93099999999993</c:v>
                </c:pt>
                <c:pt idx="34">
                  <c:v>461.94059999999996</c:v>
                </c:pt>
                <c:pt idx="35">
                  <c:v>531.90269999999998</c:v>
                </c:pt>
                <c:pt idx="36">
                  <c:v>327.98139999999995</c:v>
                </c:pt>
                <c:pt idx="37">
                  <c:v>427.97499999999997</c:v>
                </c:pt>
                <c:pt idx="38">
                  <c:v>527.96860000000004</c:v>
                </c:pt>
                <c:pt idx="39">
                  <c:v>298.96620000000001</c:v>
                </c:pt>
                <c:pt idx="40">
                  <c:v>398.95980000000003</c:v>
                </c:pt>
                <c:pt idx="41">
                  <c:v>498.95340000000004</c:v>
                </c:pt>
                <c:pt idx="42">
                  <c:v>526.9846</c:v>
                </c:pt>
                <c:pt idx="43">
                  <c:v>570.97440000000006</c:v>
                </c:pt>
                <c:pt idx="44">
                  <c:v>584.99</c:v>
                </c:pt>
                <c:pt idx="45">
                  <c:v>399.95329999999996</c:v>
                </c:pt>
                <c:pt idx="46">
                  <c:v>499.94689999999997</c:v>
                </c:pt>
                <c:pt idx="47">
                  <c:v>599.94049999999993</c:v>
                </c:pt>
                <c:pt idx="48">
                  <c:v>701.92979999999989</c:v>
                </c:pt>
                <c:pt idx="49">
                  <c:v>801.9233999999999</c:v>
                </c:pt>
                <c:pt idx="50">
                  <c:v>901.91699999999992</c:v>
                </c:pt>
              </c:numCache>
            </c:numRef>
          </c:xVal>
          <c:yVal>
            <c:numRef>
              <c:f>'PFAS Properties'!$S$15:$S$65</c:f>
              <c:numCache>
                <c:formatCode>0.00</c:formatCode>
                <c:ptCount val="51"/>
                <c:pt idx="0">
                  <c:v>3.3010299956639813</c:v>
                </c:pt>
                <c:pt idx="1">
                  <c:v>1.4999618655961902</c:v>
                </c:pt>
                <c:pt idx="2">
                  <c:v>-0.30980391997148632</c:v>
                </c:pt>
                <c:pt idx="3">
                  <c:v>3.1189257528257768</c:v>
                </c:pt>
                <c:pt idx="4">
                  <c:v>1.2615007731982801</c:v>
                </c:pt>
                <c:pt idx="5">
                  <c:v>2.4449811120879446</c:v>
                </c:pt>
                <c:pt idx="6">
                  <c:v>2.7971289877965524</c:v>
                </c:pt>
                <c:pt idx="7">
                  <c:v>2.592953571547866</c:v>
                </c:pt>
                <c:pt idx="8">
                  <c:v>2.3111178426625059</c:v>
                </c:pt>
                <c:pt idx="9">
                  <c:v>4.9869507878585164</c:v>
                </c:pt>
                <c:pt idx="10">
                  <c:v>3.3394514413064407</c:v>
                </c:pt>
                <c:pt idx="11">
                  <c:v>1.8286598965353198</c:v>
                </c:pt>
                <c:pt idx="12">
                  <c:v>-0.10237290870955855</c:v>
                </c:pt>
                <c:pt idx="13">
                  <c:v>7.9887818434536406</c:v>
                </c:pt>
                <c:pt idx="14">
                  <c:v>6.1376705372367555</c:v>
                </c:pt>
                <c:pt idx="15">
                  <c:v>5.2933625547114458</c:v>
                </c:pt>
                <c:pt idx="16">
                  <c:v>4.4332896851950254</c:v>
                </c:pt>
                <c:pt idx="17">
                  <c:v>3.5619357633137811</c:v>
                </c:pt>
                <c:pt idx="18">
                  <c:v>2.6821450763738319</c:v>
                </c:pt>
                <c:pt idx="19">
                  <c:v>1.7965743332104296</c:v>
                </c:pt>
                <c:pt idx="20">
                  <c:v>0.90308998699194354</c:v>
                </c:pt>
                <c:pt idx="21">
                  <c:v>8.6001717619175692E-3</c:v>
                </c:pt>
                <c:pt idx="22">
                  <c:v>-0.88605664769316317</c:v>
                </c:pt>
                <c:pt idx="23">
                  <c:v>-1.7896814801737682</c:v>
                </c:pt>
                <c:pt idx="24">
                  <c:v>-2.6937894918322383</c:v>
                </c:pt>
                <c:pt idx="25">
                  <c:v>4.4345689040341991</c:v>
                </c:pt>
                <c:pt idx="26">
                  <c:v>3.9716932389498609</c:v>
                </c:pt>
                <c:pt idx="27">
                  <c:v>5.53655844257153</c:v>
                </c:pt>
                <c:pt idx="28">
                  <c:v>4.6680129716418319</c:v>
                </c:pt>
                <c:pt idx="29">
                  <c:v>3.7905666251460763</c:v>
                </c:pt>
                <c:pt idx="30">
                  <c:v>2.9063350418050908</c:v>
                </c:pt>
                <c:pt idx="31">
                  <c:v>2.0166155475571776</c:v>
                </c:pt>
                <c:pt idx="32">
                  <c:v>1.1238516409670858</c:v>
                </c:pt>
                <c:pt idx="33">
                  <c:v>0.22530928172586284</c:v>
                </c:pt>
                <c:pt idx="34">
                  <c:v>2.3222192947339191</c:v>
                </c:pt>
                <c:pt idx="35">
                  <c:v>1.1664301138432827</c:v>
                </c:pt>
                <c:pt idx="36">
                  <c:v>5.7954628943903801</c:v>
                </c:pt>
                <c:pt idx="37">
                  <c:v>4.0402066275747108</c:v>
                </c:pt>
                <c:pt idx="38">
                  <c:v>2.2600713879850747</c:v>
                </c:pt>
                <c:pt idx="39">
                  <c:v>4.4252080511386565</c:v>
                </c:pt>
                <c:pt idx="40">
                  <c:v>2.6794278966121188</c:v>
                </c:pt>
                <c:pt idx="41">
                  <c:v>0.90525604874845123</c:v>
                </c:pt>
                <c:pt idx="42">
                  <c:v>-9.1514981121350217E-2</c:v>
                </c:pt>
                <c:pt idx="43">
                  <c:v>0.89209460269048035</c:v>
                </c:pt>
                <c:pt idx="44">
                  <c:v>0.38021124171160603</c:v>
                </c:pt>
                <c:pt idx="45">
                  <c:v>3.8720979742742268</c:v>
                </c:pt>
                <c:pt idx="46">
                  <c:v>2.0969100130080562</c:v>
                </c:pt>
                <c:pt idx="47">
                  <c:v>0.30535136944662378</c:v>
                </c:pt>
                <c:pt idx="48">
                  <c:v>-1.4135252214286034</c:v>
                </c:pt>
                <c:pt idx="49">
                  <c:v>-3.2265792767093902</c:v>
                </c:pt>
                <c:pt idx="50">
                  <c:v>-5.0477889418913309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319-499C-9DAA-9E87D449B7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2163288"/>
        <c:axId val="842166240"/>
      </c:scatterChart>
      <c:valAx>
        <c:axId val="8421632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Molecular weight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2166240"/>
        <c:crossesAt val="-6"/>
        <c:crossBetween val="midCat"/>
      </c:valAx>
      <c:valAx>
        <c:axId val="84216624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log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S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2163288"/>
        <c:crosses val="autoZero"/>
        <c:crossBetween val="midCat"/>
      </c:valAx>
      <c:spPr>
        <a:solidFill>
          <a:schemeClr val="lt1"/>
        </a:solidFill>
        <a:ln w="12700" cap="flat" cmpd="sng" algn="ctr">
          <a:solidFill>
            <a:schemeClr val="dk1"/>
          </a:solidFill>
          <a:prstDash val="solid"/>
          <a:miter lim="800000"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PFDoA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chemeClr val="dk1"/>
                </a:solidFill>
              </a:ln>
              <a:effectLst/>
            </c:spPr>
          </c:marker>
          <c:dPt>
            <c:idx val="14"/>
            <c:marker>
              <c:symbol val="x"/>
              <c:size val="5"/>
              <c:spPr>
                <a:solidFill>
                  <a:srgbClr val="FF0000"/>
                </a:solidFill>
                <a:ln w="9525">
                  <a:solidFill>
                    <a:schemeClr val="dk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2E2-4108-B538-9E419AE5DD91}"/>
              </c:ext>
            </c:extLst>
          </c:dPt>
          <c:dPt>
            <c:idx val="15"/>
            <c:marker>
              <c:symbol val="x"/>
              <c:size val="5"/>
              <c:spPr>
                <a:solidFill>
                  <a:srgbClr val="FF0000"/>
                </a:solidFill>
                <a:ln w="9525">
                  <a:solidFill>
                    <a:schemeClr val="dk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2E2-4108-B538-9E419AE5DD91}"/>
              </c:ext>
            </c:extLst>
          </c:dPt>
          <c:xVal>
            <c:numRef>
              <c:f>'All data'!$AX$572:$AX$597</c:f>
              <c:numCache>
                <c:formatCode>0.000</c:formatCode>
                <c:ptCount val="26"/>
                <c:pt idx="0">
                  <c:v>4.0000000000000001E-3</c:v>
                </c:pt>
                <c:pt idx="1">
                  <c:v>9.300000000000001E-3</c:v>
                </c:pt>
                <c:pt idx="2">
                  <c:v>1.6E-2</c:v>
                </c:pt>
                <c:pt idx="3">
                  <c:v>7.6999999999999999E-2</c:v>
                </c:pt>
                <c:pt idx="4">
                  <c:v>9.4E-2</c:v>
                </c:pt>
                <c:pt idx="5">
                  <c:v>0.27</c:v>
                </c:pt>
                <c:pt idx="6">
                  <c:v>0.32</c:v>
                </c:pt>
                <c:pt idx="7">
                  <c:v>0.39</c:v>
                </c:pt>
                <c:pt idx="8">
                  <c:v>0.41</c:v>
                </c:pt>
                <c:pt idx="9">
                  <c:v>0.45</c:v>
                </c:pt>
                <c:pt idx="10">
                  <c:v>0.44900000000000001</c:v>
                </c:pt>
                <c:pt idx="11">
                  <c:v>0.04</c:v>
                </c:pt>
                <c:pt idx="12">
                  <c:v>0.02</c:v>
                </c:pt>
                <c:pt idx="13">
                  <c:v>2.2000000000000002E-2</c:v>
                </c:pt>
                <c:pt idx="14">
                  <c:v>0.46600000000000003</c:v>
                </c:pt>
                <c:pt idx="15">
                  <c:v>0.53600000000000003</c:v>
                </c:pt>
                <c:pt idx="16">
                  <c:v>6.9999999999999993E-3</c:v>
                </c:pt>
                <c:pt idx="17">
                  <c:v>3.7000000000000002E-3</c:v>
                </c:pt>
                <c:pt idx="18">
                  <c:v>8.0000000000000004E-4</c:v>
                </c:pt>
                <c:pt idx="19">
                  <c:v>2.5000000000000001E-3</c:v>
                </c:pt>
                <c:pt idx="20">
                  <c:v>2.23E-2</c:v>
                </c:pt>
                <c:pt idx="21">
                  <c:v>4.9000000000000002E-2</c:v>
                </c:pt>
                <c:pt idx="22">
                  <c:v>1.2999999999999999E-3</c:v>
                </c:pt>
                <c:pt idx="23">
                  <c:v>4.0000000000000001E-3</c:v>
                </c:pt>
                <c:pt idx="24">
                  <c:v>1.1899999999999999E-2</c:v>
                </c:pt>
                <c:pt idx="25">
                  <c:v>1.7000000000000001E-3</c:v>
                </c:pt>
              </c:numCache>
            </c:numRef>
          </c:xVal>
          <c:yVal>
            <c:numRef>
              <c:f>'All data'!$BD$572:$BD$597</c:f>
              <c:numCache>
                <c:formatCode>0</c:formatCode>
                <c:ptCount val="26"/>
                <c:pt idx="0">
                  <c:v>466</c:v>
                </c:pt>
                <c:pt idx="1">
                  <c:v>156</c:v>
                </c:pt>
                <c:pt idx="2">
                  <c:v>422.10343778209977</c:v>
                </c:pt>
                <c:pt idx="3">
                  <c:v>623.39706536121787</c:v>
                </c:pt>
                <c:pt idx="4">
                  <c:v>737.76328416656997</c:v>
                </c:pt>
                <c:pt idx="5">
                  <c:v>1300.245176010332</c:v>
                </c:pt>
                <c:pt idx="6">
                  <c:v>2034.1110558530734</c:v>
                </c:pt>
                <c:pt idx="7">
                  <c:v>1836.7021804336111</c:v>
                </c:pt>
                <c:pt idx="8">
                  <c:v>3081.7894994592593</c:v>
                </c:pt>
                <c:pt idx="9">
                  <c:v>5665.164353073752</c:v>
                </c:pt>
                <c:pt idx="10">
                  <c:v>1829.1374473404683</c:v>
                </c:pt>
                <c:pt idx="11" formatCode="0.0">
                  <c:v>102.8</c:v>
                </c:pt>
                <c:pt idx="12" formatCode="0.0">
                  <c:v>63.2</c:v>
                </c:pt>
                <c:pt idx="13" formatCode="0.0">
                  <c:v>77.5</c:v>
                </c:pt>
                <c:pt idx="14">
                  <c:v>300.87487073014967</c:v>
                </c:pt>
                <c:pt idx="15">
                  <c:v>140.98236436559247</c:v>
                </c:pt>
                <c:pt idx="16">
                  <c:v>820.29</c:v>
                </c:pt>
                <c:pt idx="17">
                  <c:v>293.56</c:v>
                </c:pt>
                <c:pt idx="18">
                  <c:v>929.03</c:v>
                </c:pt>
                <c:pt idx="19">
                  <c:v>1167.4100000000001</c:v>
                </c:pt>
                <c:pt idx="20">
                  <c:v>904.98</c:v>
                </c:pt>
                <c:pt idx="21">
                  <c:v>1391.13</c:v>
                </c:pt>
                <c:pt idx="22">
                  <c:v>162.38999999999999</c:v>
                </c:pt>
                <c:pt idx="23">
                  <c:v>93.05</c:v>
                </c:pt>
                <c:pt idx="24">
                  <c:v>1269.5899999999999</c:v>
                </c:pt>
                <c:pt idx="25">
                  <c:v>187.8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2E2-4108-B538-9E419AE5D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6953632"/>
        <c:axId val="816955600"/>
      </c:scatterChart>
      <c:valAx>
        <c:axId val="8169536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955600"/>
        <c:crosses val="autoZero"/>
        <c:crossBetween val="midCat"/>
      </c:valAx>
      <c:valAx>
        <c:axId val="81695560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Kd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953632"/>
        <c:crosses val="autoZero"/>
        <c:crossBetween val="midCat"/>
      </c:valAx>
      <c:spPr>
        <a:solidFill>
          <a:schemeClr val="lt1"/>
        </a:solidFill>
        <a:ln w="12700" cap="flat" cmpd="sng" algn="ctr">
          <a:solidFill>
            <a:schemeClr val="dk1"/>
          </a:solidFill>
          <a:prstDash val="solid"/>
          <a:miter lim="800000"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PFTeA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chemeClr val="dk1"/>
                </a:solidFill>
              </a:ln>
              <a:effectLst/>
            </c:spPr>
          </c:marker>
          <c:dPt>
            <c:idx val="3"/>
            <c:marker>
              <c:symbol val="x"/>
              <c:size val="5"/>
              <c:spPr>
                <a:solidFill>
                  <a:srgbClr val="FF0000"/>
                </a:solidFill>
                <a:ln w="9525">
                  <a:solidFill>
                    <a:schemeClr val="dk1"/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A0-46CC-B32A-6A43A3DC5596}"/>
              </c:ext>
            </c:extLst>
          </c:dPt>
          <c:dPt>
            <c:idx val="4"/>
            <c:marker>
              <c:symbol val="x"/>
              <c:size val="5"/>
              <c:spPr>
                <a:solidFill>
                  <a:srgbClr val="FF0000"/>
                </a:solidFill>
                <a:ln w="9525">
                  <a:solidFill>
                    <a:schemeClr val="dk1"/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C2A0-46CC-B32A-6A43A3DC5596}"/>
              </c:ext>
            </c:extLst>
          </c:dPt>
          <c:dPt>
            <c:idx val="5"/>
            <c:marker>
              <c:symbol val="x"/>
              <c:size val="5"/>
              <c:spPr>
                <a:solidFill>
                  <a:srgbClr val="FF0000"/>
                </a:solidFill>
                <a:ln w="9525">
                  <a:solidFill>
                    <a:schemeClr val="dk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2A0-46CC-B32A-6A43A3DC5596}"/>
              </c:ext>
            </c:extLst>
          </c:dPt>
          <c:xVal>
            <c:numRef>
              <c:f>'All data'!$AX$598:$AX$603</c:f>
              <c:numCache>
                <c:formatCode>0.000</c:formatCode>
                <c:ptCount val="6"/>
                <c:pt idx="0">
                  <c:v>4.0000000000000001E-3</c:v>
                </c:pt>
                <c:pt idx="1">
                  <c:v>9.300000000000001E-3</c:v>
                </c:pt>
                <c:pt idx="2">
                  <c:v>0.45</c:v>
                </c:pt>
                <c:pt idx="3">
                  <c:v>0.44900000000000001</c:v>
                </c:pt>
                <c:pt idx="4">
                  <c:v>0.46600000000000003</c:v>
                </c:pt>
                <c:pt idx="5">
                  <c:v>0.53600000000000003</c:v>
                </c:pt>
              </c:numCache>
            </c:numRef>
          </c:xVal>
          <c:yVal>
            <c:numRef>
              <c:f>'All data'!$BD$598:$BD$603</c:f>
              <c:numCache>
                <c:formatCode>0</c:formatCode>
                <c:ptCount val="6"/>
                <c:pt idx="0">
                  <c:v>1535</c:v>
                </c:pt>
                <c:pt idx="1">
                  <c:v>262</c:v>
                </c:pt>
                <c:pt idx="2">
                  <c:v>8978.6804173599576</c:v>
                </c:pt>
                <c:pt idx="3">
                  <c:v>539.81673114321882</c:v>
                </c:pt>
                <c:pt idx="4">
                  <c:v>208.15455394234891</c:v>
                </c:pt>
                <c:pt idx="5">
                  <c:v>122.79050618835272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2A0-46CC-B32A-6A43A3DC5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6953632"/>
        <c:axId val="816955600"/>
      </c:scatterChart>
      <c:valAx>
        <c:axId val="8169536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955600"/>
        <c:crosses val="autoZero"/>
        <c:crossBetween val="midCat"/>
      </c:valAx>
      <c:valAx>
        <c:axId val="81695560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Kd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953632"/>
        <c:crosses val="autoZero"/>
        <c:crossBetween val="midCat"/>
        <c:majorUnit val="2000"/>
      </c:valAx>
      <c:spPr>
        <a:solidFill>
          <a:schemeClr val="lt1"/>
        </a:solidFill>
        <a:ln w="12700" cap="flat" cmpd="sng" algn="ctr">
          <a:solidFill>
            <a:schemeClr val="dk1"/>
          </a:solidFill>
          <a:prstDash val="solid"/>
          <a:miter lim="800000"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PFBS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chemeClr val="dk1"/>
                </a:solidFill>
              </a:ln>
              <a:effectLst/>
            </c:spPr>
          </c:marker>
          <c:dPt>
            <c:idx val="24"/>
            <c:marker>
              <c:symbol val="circle"/>
              <c:size val="5"/>
              <c:spPr>
                <a:solidFill>
                  <a:srgbClr val="0070C0"/>
                </a:solidFill>
                <a:ln w="9525">
                  <a:solidFill>
                    <a:schemeClr val="dk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D6CB-4985-9317-BA90717E2238}"/>
              </c:ext>
            </c:extLst>
          </c:dPt>
          <c:xVal>
            <c:numRef>
              <c:f>'All data'!$AX$625:$AX$668</c:f>
              <c:numCache>
                <c:formatCode>0.00</c:formatCode>
                <c:ptCount val="44"/>
                <c:pt idx="0">
                  <c:v>2E-3</c:v>
                </c:pt>
                <c:pt idx="1">
                  <c:v>1.6E-2</c:v>
                </c:pt>
                <c:pt idx="2">
                  <c:v>3.9E-2</c:v>
                </c:pt>
                <c:pt idx="3">
                  <c:v>7.6999999999999999E-2</c:v>
                </c:pt>
                <c:pt idx="4">
                  <c:v>9.4E-2</c:v>
                </c:pt>
                <c:pt idx="5">
                  <c:v>0.39</c:v>
                </c:pt>
                <c:pt idx="6">
                  <c:v>4.0000000000000001E-3</c:v>
                </c:pt>
                <c:pt idx="7">
                  <c:v>9.300000000000001E-3</c:v>
                </c:pt>
                <c:pt idx="8">
                  <c:v>3.8199999999999998E-2</c:v>
                </c:pt>
                <c:pt idx="9">
                  <c:v>5.1999999999999998E-3</c:v>
                </c:pt>
                <c:pt idx="10">
                  <c:v>2.5800000000000003E-3</c:v>
                </c:pt>
                <c:pt idx="11">
                  <c:v>9.2800000000000001E-3</c:v>
                </c:pt>
                <c:pt idx="12">
                  <c:v>2.4799999999999999E-2</c:v>
                </c:pt>
                <c:pt idx="13">
                  <c:v>9.9299999999999996E-3</c:v>
                </c:pt>
                <c:pt idx="14">
                  <c:v>4.1999999999999997E-3</c:v>
                </c:pt>
                <c:pt idx="15">
                  <c:v>0.01</c:v>
                </c:pt>
                <c:pt idx="16" formatCode="0.000">
                  <c:v>1.7000000000000001E-2</c:v>
                </c:pt>
                <c:pt idx="17" formatCode="0.000">
                  <c:v>4.4999999999999998E-2</c:v>
                </c:pt>
                <c:pt idx="18" formatCode="0.000">
                  <c:v>8.0000000000000002E-3</c:v>
                </c:pt>
                <c:pt idx="19">
                  <c:v>1.4433333333333333E-2</c:v>
                </c:pt>
                <c:pt idx="20">
                  <c:v>1.43E-2</c:v>
                </c:pt>
                <c:pt idx="21">
                  <c:v>0.45</c:v>
                </c:pt>
                <c:pt idx="22">
                  <c:v>0.44900000000000001</c:v>
                </c:pt>
                <c:pt idx="23">
                  <c:v>0.46600000000000003</c:v>
                </c:pt>
                <c:pt idx="24">
                  <c:v>0.53600000000000003</c:v>
                </c:pt>
                <c:pt idx="25">
                  <c:v>1.6E-2</c:v>
                </c:pt>
                <c:pt idx="26">
                  <c:v>7.6999999999999999E-2</c:v>
                </c:pt>
                <c:pt idx="27">
                  <c:v>9.4E-2</c:v>
                </c:pt>
                <c:pt idx="28">
                  <c:v>0.27</c:v>
                </c:pt>
                <c:pt idx="29">
                  <c:v>0.32</c:v>
                </c:pt>
                <c:pt idx="30">
                  <c:v>0.39</c:v>
                </c:pt>
                <c:pt idx="31">
                  <c:v>0.41</c:v>
                </c:pt>
                <c:pt idx="32">
                  <c:v>6.9999999999999993E-3</c:v>
                </c:pt>
                <c:pt idx="33">
                  <c:v>3.7000000000000002E-3</c:v>
                </c:pt>
                <c:pt idx="34">
                  <c:v>8.0000000000000004E-4</c:v>
                </c:pt>
                <c:pt idx="35">
                  <c:v>2.5000000000000001E-3</c:v>
                </c:pt>
                <c:pt idx="36">
                  <c:v>2.23E-2</c:v>
                </c:pt>
                <c:pt idx="37">
                  <c:v>4.9000000000000002E-2</c:v>
                </c:pt>
                <c:pt idx="38">
                  <c:v>1.2999999999999999E-3</c:v>
                </c:pt>
                <c:pt idx="39">
                  <c:v>4.0000000000000001E-3</c:v>
                </c:pt>
                <c:pt idx="40">
                  <c:v>1.1899999999999999E-2</c:v>
                </c:pt>
                <c:pt idx="41">
                  <c:v>1.7000000000000001E-3</c:v>
                </c:pt>
                <c:pt idx="42">
                  <c:v>4.9000000000000002E-2</c:v>
                </c:pt>
                <c:pt idx="43">
                  <c:v>2.6000000000000002E-2</c:v>
                </c:pt>
              </c:numCache>
            </c:numRef>
          </c:xVal>
          <c:yVal>
            <c:numRef>
              <c:f>'All data'!$BD$625:$BD$668</c:f>
              <c:numCache>
                <c:formatCode>0.00</c:formatCode>
                <c:ptCount val="44"/>
                <c:pt idx="0">
                  <c:v>0.4</c:v>
                </c:pt>
                <c:pt idx="1">
                  <c:v>0.6</c:v>
                </c:pt>
                <c:pt idx="2">
                  <c:v>0.8</c:v>
                </c:pt>
                <c:pt idx="3">
                  <c:v>1.6</c:v>
                </c:pt>
                <c:pt idx="4">
                  <c:v>1.4</c:v>
                </c:pt>
                <c:pt idx="5">
                  <c:v>6.8</c:v>
                </c:pt>
                <c:pt idx="6">
                  <c:v>0.44</c:v>
                </c:pt>
                <c:pt idx="7">
                  <c:v>0.5</c:v>
                </c:pt>
                <c:pt idx="8" formatCode="0">
                  <c:v>5.2308627122060837E-2</c:v>
                </c:pt>
                <c:pt idx="9" formatCode="0">
                  <c:v>0.16079225313649834</c:v>
                </c:pt>
                <c:pt idx="10" formatCode="0">
                  <c:v>0.3369368952072429</c:v>
                </c:pt>
                <c:pt idx="11" formatCode="0">
                  <c:v>9.9977504056658936E-2</c:v>
                </c:pt>
                <c:pt idx="12" formatCode="0">
                  <c:v>0.17915211210893206</c:v>
                </c:pt>
                <c:pt idx="13" formatCode="0">
                  <c:v>0.2336439031150106</c:v>
                </c:pt>
                <c:pt idx="14">
                  <c:v>7.0000000000000007E-2</c:v>
                </c:pt>
                <c:pt idx="15">
                  <c:v>0.41</c:v>
                </c:pt>
                <c:pt idx="16">
                  <c:v>0.8</c:v>
                </c:pt>
                <c:pt idx="17" formatCode="0.0">
                  <c:v>2.35</c:v>
                </c:pt>
                <c:pt idx="18">
                  <c:v>0.46</c:v>
                </c:pt>
                <c:pt idx="19" formatCode="General">
                  <c:v>0.62</c:v>
                </c:pt>
                <c:pt idx="20" formatCode="General">
                  <c:v>0.8</c:v>
                </c:pt>
                <c:pt idx="21" formatCode="0">
                  <c:v>5.6651643530737559</c:v>
                </c:pt>
                <c:pt idx="22" formatCode="0">
                  <c:v>6.3422935753561669</c:v>
                </c:pt>
                <c:pt idx="23" formatCode="0">
                  <c:v>7.2174854441321648</c:v>
                </c:pt>
                <c:pt idx="24" formatCode="0">
                  <c:v>7.3988596582714647</c:v>
                </c:pt>
                <c:pt idx="25" formatCode="General">
                  <c:v>0.6</c:v>
                </c:pt>
                <c:pt idx="26" formatCode="General">
                  <c:v>1.6</c:v>
                </c:pt>
                <c:pt idx="27" formatCode="General">
                  <c:v>1.4</c:v>
                </c:pt>
                <c:pt idx="28" formatCode="General">
                  <c:v>1.5</c:v>
                </c:pt>
                <c:pt idx="29" formatCode="General">
                  <c:v>3</c:v>
                </c:pt>
                <c:pt idx="30" formatCode="General">
                  <c:v>6.8</c:v>
                </c:pt>
                <c:pt idx="31" formatCode="General">
                  <c:v>3</c:v>
                </c:pt>
                <c:pt idx="32">
                  <c:v>0.41</c:v>
                </c:pt>
                <c:pt idx="33" formatCode="General">
                  <c:v>0.36</c:v>
                </c:pt>
                <c:pt idx="34" formatCode="General">
                  <c:v>0.25</c:v>
                </c:pt>
                <c:pt idx="35">
                  <c:v>0.17</c:v>
                </c:pt>
                <c:pt idx="36" formatCode="General">
                  <c:v>0.34</c:v>
                </c:pt>
                <c:pt idx="37" formatCode="General">
                  <c:v>0.5</c:v>
                </c:pt>
                <c:pt idx="38" formatCode="General">
                  <c:v>0.2</c:v>
                </c:pt>
                <c:pt idx="39" formatCode="General">
                  <c:v>0.05</c:v>
                </c:pt>
                <c:pt idx="40" formatCode="General">
                  <c:v>0.24</c:v>
                </c:pt>
                <c:pt idx="41" formatCode="General">
                  <c:v>0.31</c:v>
                </c:pt>
                <c:pt idx="42" formatCode="General">
                  <c:v>7.0000000000000007E-2</c:v>
                </c:pt>
                <c:pt idx="43" formatCode="General">
                  <c:v>0.19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C61-499A-B783-72AD3EE89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6953632"/>
        <c:axId val="816955600"/>
      </c:scatterChart>
      <c:valAx>
        <c:axId val="8169536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955600"/>
        <c:crosses val="autoZero"/>
        <c:crossBetween val="midCat"/>
      </c:valAx>
      <c:valAx>
        <c:axId val="81695560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Kd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953632"/>
        <c:crosses val="autoZero"/>
        <c:crossBetween val="midCat"/>
      </c:valAx>
      <c:spPr>
        <a:solidFill>
          <a:schemeClr val="lt1"/>
        </a:solidFill>
        <a:ln w="12700" cap="flat" cmpd="sng" algn="ctr">
          <a:solidFill>
            <a:schemeClr val="dk1"/>
          </a:solidFill>
          <a:prstDash val="solid"/>
          <a:miter lim="800000"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PFPeS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chemeClr val="dk1"/>
                </a:solidFill>
              </a:ln>
              <a:effectLst/>
            </c:spPr>
          </c:marker>
          <c:xVal>
            <c:numRef>
              <c:f>'All data'!$AX$669:$AX$680</c:f>
              <c:numCache>
                <c:formatCode>0.00</c:formatCode>
                <c:ptCount val="12"/>
                <c:pt idx="0">
                  <c:v>4.9000000000000002E-2</c:v>
                </c:pt>
                <c:pt idx="1">
                  <c:v>2.6000000000000002E-2</c:v>
                </c:pt>
                <c:pt idx="2">
                  <c:v>6.9999999999999993E-3</c:v>
                </c:pt>
                <c:pt idx="3">
                  <c:v>3.7000000000000002E-3</c:v>
                </c:pt>
                <c:pt idx="4">
                  <c:v>8.0000000000000004E-4</c:v>
                </c:pt>
                <c:pt idx="5">
                  <c:v>2.5000000000000001E-3</c:v>
                </c:pt>
                <c:pt idx="6">
                  <c:v>2.23E-2</c:v>
                </c:pt>
                <c:pt idx="7">
                  <c:v>4.9000000000000002E-2</c:v>
                </c:pt>
                <c:pt idx="8">
                  <c:v>1.2999999999999999E-3</c:v>
                </c:pt>
                <c:pt idx="9">
                  <c:v>4.0000000000000001E-3</c:v>
                </c:pt>
                <c:pt idx="10">
                  <c:v>1.1899999999999999E-2</c:v>
                </c:pt>
                <c:pt idx="11">
                  <c:v>1.7000000000000001E-3</c:v>
                </c:pt>
              </c:numCache>
            </c:numRef>
          </c:xVal>
          <c:yVal>
            <c:numRef>
              <c:f>'All data'!$BD$669:$BD$680</c:f>
              <c:numCache>
                <c:formatCode>General</c:formatCode>
                <c:ptCount val="12"/>
                <c:pt idx="0">
                  <c:v>0.83</c:v>
                </c:pt>
                <c:pt idx="1">
                  <c:v>0.54</c:v>
                </c:pt>
                <c:pt idx="2" formatCode="0.00">
                  <c:v>0.46</c:v>
                </c:pt>
                <c:pt idx="3">
                  <c:v>0.4</c:v>
                </c:pt>
                <c:pt idx="4">
                  <c:v>0.28000000000000003</c:v>
                </c:pt>
                <c:pt idx="5" formatCode="0.00">
                  <c:v>0.18</c:v>
                </c:pt>
                <c:pt idx="6">
                  <c:v>0.37</c:v>
                </c:pt>
                <c:pt idx="7">
                  <c:v>0.81</c:v>
                </c:pt>
                <c:pt idx="8">
                  <c:v>0.21</c:v>
                </c:pt>
                <c:pt idx="9">
                  <c:v>0.1</c:v>
                </c:pt>
                <c:pt idx="10">
                  <c:v>0.3</c:v>
                </c:pt>
                <c:pt idx="11">
                  <c:v>0.35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2EF-425C-8973-095D62BDF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6953632"/>
        <c:axId val="816955600"/>
      </c:scatterChart>
      <c:valAx>
        <c:axId val="816953632"/>
        <c:scaling>
          <c:orientation val="minMax"/>
          <c:max val="0.60000000000000009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955600"/>
        <c:crosses val="autoZero"/>
        <c:crossBetween val="midCat"/>
      </c:valAx>
      <c:valAx>
        <c:axId val="816955600"/>
        <c:scaling>
          <c:orientation val="minMax"/>
          <c:max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Kd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953632"/>
        <c:crosses val="autoZero"/>
        <c:crossBetween val="midCat"/>
        <c:majorUnit val="2"/>
      </c:valAx>
      <c:spPr>
        <a:solidFill>
          <a:schemeClr val="lt1"/>
        </a:solidFill>
        <a:ln w="12700" cap="flat" cmpd="sng" algn="ctr">
          <a:solidFill>
            <a:schemeClr val="dk1"/>
          </a:solidFill>
          <a:prstDash val="solid"/>
          <a:miter lim="800000"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PFHxS</a:t>
            </a:r>
            <a:endParaRPr lang="en-US" b="1">
              <a:solidFill>
                <a:sysClr val="windowText" lastClr="000000"/>
              </a:solidFill>
            </a:endParaRPr>
          </a:p>
        </c:rich>
      </c:tx>
      <c:overlay val="0"/>
      <c:spPr>
        <a:solidFill>
          <a:schemeClr val="lt1"/>
        </a:solidFill>
        <a:ln w="12700" cap="flat" cmpd="sng" algn="ctr">
          <a:noFill/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chemeClr val="dk1"/>
                </a:solidFill>
              </a:ln>
              <a:effectLst/>
            </c:spPr>
          </c:marker>
          <c:dPt>
            <c:idx val="81"/>
            <c:marker>
              <c:symbol val="circle"/>
              <c:size val="5"/>
              <c:spPr>
                <a:solidFill>
                  <a:srgbClr val="0070C0"/>
                </a:solidFill>
                <a:ln w="9525">
                  <a:solidFill>
                    <a:schemeClr val="dk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9580-4FCF-931F-E453E39D8C0B}"/>
              </c:ext>
            </c:extLst>
          </c:dPt>
          <c:xVal>
            <c:numRef>
              <c:f>'All data'!$AX$681:$AX$765</c:f>
              <c:numCache>
                <c:formatCode>0.00</c:formatCode>
                <c:ptCount val="85"/>
                <c:pt idx="0">
                  <c:v>4.0000000000000001E-3</c:v>
                </c:pt>
                <c:pt idx="1">
                  <c:v>9.300000000000001E-3</c:v>
                </c:pt>
                <c:pt idx="2">
                  <c:v>3.1E-2</c:v>
                </c:pt>
                <c:pt idx="3">
                  <c:v>2.2000000000000002E-2</c:v>
                </c:pt>
                <c:pt idx="4">
                  <c:v>1.7000000000000001E-2</c:v>
                </c:pt>
                <c:pt idx="5">
                  <c:v>1.6E-2</c:v>
                </c:pt>
                <c:pt idx="6">
                  <c:v>1.3000000000000001E-2</c:v>
                </c:pt>
                <c:pt idx="7">
                  <c:v>1.2E-2</c:v>
                </c:pt>
                <c:pt idx="8">
                  <c:v>1.2E-2</c:v>
                </c:pt>
                <c:pt idx="9">
                  <c:v>1.1000000000000001E-2</c:v>
                </c:pt>
                <c:pt idx="10">
                  <c:v>9.1000000000000004E-3</c:v>
                </c:pt>
                <c:pt idx="11">
                  <c:v>3.0000000000000001E-3</c:v>
                </c:pt>
                <c:pt idx="12" formatCode="0.000">
                  <c:v>1.7000000000000001E-2</c:v>
                </c:pt>
                <c:pt idx="13" formatCode="0.000">
                  <c:v>4.4999999999999998E-2</c:v>
                </c:pt>
                <c:pt idx="14" formatCode="0.000">
                  <c:v>8.0000000000000002E-3</c:v>
                </c:pt>
                <c:pt idx="15">
                  <c:v>2.52E-2</c:v>
                </c:pt>
                <c:pt idx="16">
                  <c:v>1.4433333333333333E-2</c:v>
                </c:pt>
                <c:pt idx="17">
                  <c:v>1.6E-2</c:v>
                </c:pt>
                <c:pt idx="18">
                  <c:v>7.6999999999999999E-2</c:v>
                </c:pt>
                <c:pt idx="19">
                  <c:v>9.4E-2</c:v>
                </c:pt>
                <c:pt idx="20">
                  <c:v>0.27</c:v>
                </c:pt>
                <c:pt idx="21">
                  <c:v>0.32</c:v>
                </c:pt>
                <c:pt idx="22">
                  <c:v>0.39</c:v>
                </c:pt>
                <c:pt idx="23">
                  <c:v>0.41</c:v>
                </c:pt>
                <c:pt idx="24">
                  <c:v>1.6E-2</c:v>
                </c:pt>
                <c:pt idx="25">
                  <c:v>5.0000000000000001E-3</c:v>
                </c:pt>
                <c:pt idx="26">
                  <c:v>2.7000000000000003E-2</c:v>
                </c:pt>
                <c:pt idx="27">
                  <c:v>1.1000000000000001E-2</c:v>
                </c:pt>
                <c:pt idx="28">
                  <c:v>0.05</c:v>
                </c:pt>
                <c:pt idx="29">
                  <c:v>1.1000000000000001E-2</c:v>
                </c:pt>
                <c:pt idx="30">
                  <c:v>3.0000000000000001E-3</c:v>
                </c:pt>
                <c:pt idx="31">
                  <c:v>3.6000000000000004E-2</c:v>
                </c:pt>
                <c:pt idx="32">
                  <c:v>6.9999999999999993E-3</c:v>
                </c:pt>
                <c:pt idx="33">
                  <c:v>4.8000000000000001E-2</c:v>
                </c:pt>
                <c:pt idx="34">
                  <c:v>2.8999999999999998E-2</c:v>
                </c:pt>
                <c:pt idx="35">
                  <c:v>5.7000000000000002E-2</c:v>
                </c:pt>
                <c:pt idx="36">
                  <c:v>1E-3</c:v>
                </c:pt>
                <c:pt idx="37">
                  <c:v>0.11</c:v>
                </c:pt>
                <c:pt idx="38">
                  <c:v>5.9000000000000004E-2</c:v>
                </c:pt>
                <c:pt idx="39">
                  <c:v>3.2000000000000001E-2</c:v>
                </c:pt>
                <c:pt idx="40">
                  <c:v>0.1</c:v>
                </c:pt>
                <c:pt idx="41">
                  <c:v>0.10099999999999999</c:v>
                </c:pt>
                <c:pt idx="42">
                  <c:v>5.5999999999999994E-2</c:v>
                </c:pt>
                <c:pt idx="43">
                  <c:v>6.9999999999999993E-3</c:v>
                </c:pt>
                <c:pt idx="44">
                  <c:v>3.7000000000000002E-3</c:v>
                </c:pt>
                <c:pt idx="45">
                  <c:v>8.0000000000000004E-4</c:v>
                </c:pt>
                <c:pt idx="46">
                  <c:v>2.5000000000000001E-3</c:v>
                </c:pt>
                <c:pt idx="47">
                  <c:v>2.23E-2</c:v>
                </c:pt>
                <c:pt idx="48">
                  <c:v>4.9000000000000002E-2</c:v>
                </c:pt>
                <c:pt idx="49">
                  <c:v>1.2999999999999999E-3</c:v>
                </c:pt>
                <c:pt idx="50">
                  <c:v>4.0000000000000001E-3</c:v>
                </c:pt>
                <c:pt idx="51">
                  <c:v>1.1899999999999999E-2</c:v>
                </c:pt>
                <c:pt idx="52">
                  <c:v>1.7000000000000001E-3</c:v>
                </c:pt>
                <c:pt idx="53">
                  <c:v>4.9000000000000002E-2</c:v>
                </c:pt>
                <c:pt idx="54">
                  <c:v>2.6000000000000002E-2</c:v>
                </c:pt>
                <c:pt idx="55">
                  <c:v>1.8000000000000002E-2</c:v>
                </c:pt>
                <c:pt idx="56">
                  <c:v>2.1000000000000001E-2</c:v>
                </c:pt>
                <c:pt idx="57">
                  <c:v>6.0000000000000001E-3</c:v>
                </c:pt>
                <c:pt idx="58">
                  <c:v>1.8000000000000002E-2</c:v>
                </c:pt>
                <c:pt idx="59">
                  <c:v>1.4999999999999999E-2</c:v>
                </c:pt>
                <c:pt idx="60">
                  <c:v>9.0000000000000011E-3</c:v>
                </c:pt>
                <c:pt idx="61">
                  <c:v>9.0000000000000011E-3</c:v>
                </c:pt>
                <c:pt idx="62">
                  <c:v>1.1000000000000001E-2</c:v>
                </c:pt>
                <c:pt idx="63">
                  <c:v>1.6E-2</c:v>
                </c:pt>
                <c:pt idx="64">
                  <c:v>1.7000000000000001E-2</c:v>
                </c:pt>
                <c:pt idx="65">
                  <c:v>1.6E-2</c:v>
                </c:pt>
                <c:pt idx="66">
                  <c:v>1.2E-2</c:v>
                </c:pt>
                <c:pt idx="67">
                  <c:v>1.4999999999999999E-2</c:v>
                </c:pt>
                <c:pt idx="68">
                  <c:v>0.01</c:v>
                </c:pt>
                <c:pt idx="69">
                  <c:v>1.6E-2</c:v>
                </c:pt>
                <c:pt idx="70">
                  <c:v>4.8000000000000001E-2</c:v>
                </c:pt>
                <c:pt idx="71">
                  <c:v>8.0000000000000002E-3</c:v>
                </c:pt>
                <c:pt idx="72">
                  <c:v>0.01</c:v>
                </c:pt>
                <c:pt idx="73">
                  <c:v>3.5000000000000003E-2</c:v>
                </c:pt>
                <c:pt idx="74">
                  <c:v>1.1000000000000001E-2</c:v>
                </c:pt>
                <c:pt idx="75">
                  <c:v>1.3000000000000001E-2</c:v>
                </c:pt>
                <c:pt idx="76">
                  <c:v>1.3000000000000001E-2</c:v>
                </c:pt>
                <c:pt idx="77">
                  <c:v>9.0000000000000011E-3</c:v>
                </c:pt>
                <c:pt idx="78">
                  <c:v>1.3000000000000001E-2</c:v>
                </c:pt>
                <c:pt idx="79">
                  <c:v>0.02</c:v>
                </c:pt>
                <c:pt idx="80">
                  <c:v>1.8000000000000002E-2</c:v>
                </c:pt>
                <c:pt idx="81">
                  <c:v>0.45</c:v>
                </c:pt>
                <c:pt idx="82">
                  <c:v>0.44900000000000001</c:v>
                </c:pt>
                <c:pt idx="83">
                  <c:v>0.46600000000000003</c:v>
                </c:pt>
                <c:pt idx="84">
                  <c:v>0.53600000000000003</c:v>
                </c:pt>
              </c:numCache>
            </c:numRef>
          </c:xVal>
          <c:yVal>
            <c:numRef>
              <c:f>'All data'!$BD$681:$BD$765</c:f>
              <c:numCache>
                <c:formatCode>0.00</c:formatCode>
                <c:ptCount val="85"/>
                <c:pt idx="0">
                  <c:v>0.56000000000000005</c:v>
                </c:pt>
                <c:pt idx="1">
                  <c:v>2</c:v>
                </c:pt>
                <c:pt idx="2" formatCode="0.0">
                  <c:v>5.1286138399136494</c:v>
                </c:pt>
                <c:pt idx="3" formatCode="0.0">
                  <c:v>9.1201083935590983</c:v>
                </c:pt>
                <c:pt idx="4" formatCode="0.0">
                  <c:v>0.34673685045253166</c:v>
                </c:pt>
                <c:pt idx="5" formatCode="0.0">
                  <c:v>4.5708818961487507</c:v>
                </c:pt>
                <c:pt idx="6" formatCode="0.0">
                  <c:v>4.7315125896148054</c:v>
                </c:pt>
                <c:pt idx="7" formatCode="0.0">
                  <c:v>2.1627185237270203</c:v>
                </c:pt>
                <c:pt idx="8" formatCode="0.0">
                  <c:v>7.9432823472428176</c:v>
                </c:pt>
                <c:pt idx="9" formatCode="0.0">
                  <c:v>2.5118864315095806</c:v>
                </c:pt>
                <c:pt idx="10" formatCode="0.0">
                  <c:v>0.54954087385762451</c:v>
                </c:pt>
                <c:pt idx="11" formatCode="0.0">
                  <c:v>4.5708818961487507</c:v>
                </c:pt>
                <c:pt idx="12">
                  <c:v>1.04</c:v>
                </c:pt>
                <c:pt idx="13">
                  <c:v>6.27</c:v>
                </c:pt>
                <c:pt idx="14">
                  <c:v>0.8</c:v>
                </c:pt>
                <c:pt idx="15">
                  <c:v>1.6595869074375607</c:v>
                </c:pt>
                <c:pt idx="16">
                  <c:v>0.45</c:v>
                </c:pt>
                <c:pt idx="17" formatCode="General">
                  <c:v>2.4</c:v>
                </c:pt>
                <c:pt idx="18" formatCode="General">
                  <c:v>4.0999999999999996</c:v>
                </c:pt>
                <c:pt idx="19" formatCode="General">
                  <c:v>5.4</c:v>
                </c:pt>
                <c:pt idx="20" formatCode="General">
                  <c:v>18</c:v>
                </c:pt>
                <c:pt idx="21" formatCode="General">
                  <c:v>17</c:v>
                </c:pt>
                <c:pt idx="22" formatCode="General">
                  <c:v>21</c:v>
                </c:pt>
                <c:pt idx="23" formatCode="General">
                  <c:v>18</c:v>
                </c:pt>
                <c:pt idx="24">
                  <c:v>0.98</c:v>
                </c:pt>
                <c:pt idx="25">
                  <c:v>0.87</c:v>
                </c:pt>
                <c:pt idx="26">
                  <c:v>2.29</c:v>
                </c:pt>
                <c:pt idx="27">
                  <c:v>1.08</c:v>
                </c:pt>
                <c:pt idx="28">
                  <c:v>5.69</c:v>
                </c:pt>
                <c:pt idx="29">
                  <c:v>1.83</c:v>
                </c:pt>
                <c:pt idx="30">
                  <c:v>0.44</c:v>
                </c:pt>
                <c:pt idx="31">
                  <c:v>3.19</c:v>
                </c:pt>
                <c:pt idx="32">
                  <c:v>0.73</c:v>
                </c:pt>
                <c:pt idx="33">
                  <c:v>2.41</c:v>
                </c:pt>
                <c:pt idx="34">
                  <c:v>3.47</c:v>
                </c:pt>
                <c:pt idx="35">
                  <c:v>3.46</c:v>
                </c:pt>
                <c:pt idx="36">
                  <c:v>0.35</c:v>
                </c:pt>
                <c:pt idx="37">
                  <c:v>7.71</c:v>
                </c:pt>
                <c:pt idx="38">
                  <c:v>4.18</c:v>
                </c:pt>
                <c:pt idx="39">
                  <c:v>2.83</c:v>
                </c:pt>
                <c:pt idx="40">
                  <c:v>8.18</c:v>
                </c:pt>
                <c:pt idx="41">
                  <c:v>6.21</c:v>
                </c:pt>
                <c:pt idx="42">
                  <c:v>6.21</c:v>
                </c:pt>
                <c:pt idx="43">
                  <c:v>0.77</c:v>
                </c:pt>
                <c:pt idx="44" formatCode="General">
                  <c:v>0.69</c:v>
                </c:pt>
                <c:pt idx="45" formatCode="General">
                  <c:v>0.4</c:v>
                </c:pt>
                <c:pt idx="46">
                  <c:v>0.45</c:v>
                </c:pt>
                <c:pt idx="47" formatCode="General">
                  <c:v>0.52</c:v>
                </c:pt>
                <c:pt idx="48" formatCode="General">
                  <c:v>2.12</c:v>
                </c:pt>
                <c:pt idx="49" formatCode="General">
                  <c:v>0.39</c:v>
                </c:pt>
                <c:pt idx="50" formatCode="General">
                  <c:v>0.28000000000000003</c:v>
                </c:pt>
                <c:pt idx="51" formatCode="General">
                  <c:v>0.56999999999999995</c:v>
                </c:pt>
                <c:pt idx="52" formatCode="General">
                  <c:v>0.63</c:v>
                </c:pt>
                <c:pt idx="53" formatCode="General">
                  <c:v>1.43</c:v>
                </c:pt>
                <c:pt idx="54" formatCode="General">
                  <c:v>0.69</c:v>
                </c:pt>
                <c:pt idx="55" formatCode="General">
                  <c:v>0.08</c:v>
                </c:pt>
                <c:pt idx="56" formatCode="General">
                  <c:v>0.06</c:v>
                </c:pt>
                <c:pt idx="57" formatCode="General">
                  <c:v>3.92</c:v>
                </c:pt>
                <c:pt idx="58" formatCode="General">
                  <c:v>5.63</c:v>
                </c:pt>
                <c:pt idx="59" formatCode="General">
                  <c:v>3.39</c:v>
                </c:pt>
                <c:pt idx="60" formatCode="General">
                  <c:v>0.32</c:v>
                </c:pt>
                <c:pt idx="61" formatCode="General">
                  <c:v>0.28000000000000003</c:v>
                </c:pt>
                <c:pt idx="62" formatCode="General">
                  <c:v>2.71</c:v>
                </c:pt>
                <c:pt idx="63" formatCode="General">
                  <c:v>0.63</c:v>
                </c:pt>
                <c:pt idx="64" formatCode="General">
                  <c:v>0.13</c:v>
                </c:pt>
                <c:pt idx="65" formatCode="General">
                  <c:v>0.2</c:v>
                </c:pt>
                <c:pt idx="66" formatCode="General">
                  <c:v>1.47</c:v>
                </c:pt>
                <c:pt idx="67" formatCode="General">
                  <c:v>1.85</c:v>
                </c:pt>
                <c:pt idx="68" formatCode="General">
                  <c:v>1.7</c:v>
                </c:pt>
                <c:pt idx="69" formatCode="General">
                  <c:v>0.21</c:v>
                </c:pt>
                <c:pt idx="70" formatCode="General">
                  <c:v>1.96</c:v>
                </c:pt>
                <c:pt idx="71" formatCode="General">
                  <c:v>0.67</c:v>
                </c:pt>
                <c:pt idx="72" formatCode="General">
                  <c:v>2.5</c:v>
                </c:pt>
                <c:pt idx="73" formatCode="General">
                  <c:v>0.52</c:v>
                </c:pt>
                <c:pt idx="74" formatCode="General">
                  <c:v>0.24</c:v>
                </c:pt>
                <c:pt idx="75" formatCode="General">
                  <c:v>0.05</c:v>
                </c:pt>
                <c:pt idx="76" formatCode="General">
                  <c:v>0.12</c:v>
                </c:pt>
                <c:pt idx="77" formatCode="General">
                  <c:v>0.66</c:v>
                </c:pt>
                <c:pt idx="78" formatCode="General">
                  <c:v>0.52</c:v>
                </c:pt>
                <c:pt idx="79" formatCode="General">
                  <c:v>1.37</c:v>
                </c:pt>
                <c:pt idx="80" formatCode="General">
                  <c:v>1.28</c:v>
                </c:pt>
                <c:pt idx="81" formatCode="0">
                  <c:v>35.744770562592691</c:v>
                </c:pt>
                <c:pt idx="82" formatCode="0">
                  <c:v>15.568484585318679</c:v>
                </c:pt>
                <c:pt idx="83" formatCode="0">
                  <c:v>15.079464412920681</c:v>
                </c:pt>
                <c:pt idx="84" formatCode="0">
                  <c:v>28.129679869387825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580-4FCF-931F-E453E39D8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6953632"/>
        <c:axId val="816955600"/>
      </c:scatterChart>
      <c:valAx>
        <c:axId val="8169536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955600"/>
        <c:crosses val="autoZero"/>
        <c:crossBetween val="midCat"/>
      </c:valAx>
      <c:valAx>
        <c:axId val="81695560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Kd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953632"/>
        <c:crosses val="autoZero"/>
        <c:crossBetween val="midCat"/>
      </c:valAx>
      <c:spPr>
        <a:solidFill>
          <a:schemeClr val="lt1"/>
        </a:solidFill>
        <a:ln w="12700" cap="flat" cmpd="sng" algn="ctr">
          <a:solidFill>
            <a:schemeClr val="dk1"/>
          </a:solidFill>
          <a:prstDash val="solid"/>
          <a:miter lim="800000"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PFHpS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chemeClr val="dk1"/>
                </a:solidFill>
              </a:ln>
              <a:effectLst/>
            </c:spPr>
          </c:marker>
          <c:dPt>
            <c:idx val="7"/>
            <c:marker>
              <c:symbol val="circle"/>
              <c:size val="5"/>
              <c:spPr>
                <a:solidFill>
                  <a:srgbClr val="0070C0"/>
                </a:solidFill>
                <a:ln w="9525">
                  <a:solidFill>
                    <a:schemeClr val="dk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0ACC-4206-84C8-50346E24B560}"/>
              </c:ext>
            </c:extLst>
          </c:dPt>
          <c:xVal>
            <c:numRef>
              <c:f>'All data'!$AX$766:$AX$778</c:f>
              <c:numCache>
                <c:formatCode>0.00</c:formatCode>
                <c:ptCount val="13"/>
                <c:pt idx="0">
                  <c:v>4.9000000000000002E-2</c:v>
                </c:pt>
                <c:pt idx="1">
                  <c:v>2.6000000000000002E-2</c:v>
                </c:pt>
                <c:pt idx="2">
                  <c:v>3.7000000000000002E-3</c:v>
                </c:pt>
                <c:pt idx="3">
                  <c:v>6.9999999999999993E-3</c:v>
                </c:pt>
                <c:pt idx="4">
                  <c:v>3.7000000000000002E-3</c:v>
                </c:pt>
                <c:pt idx="5">
                  <c:v>8.0000000000000004E-4</c:v>
                </c:pt>
                <c:pt idx="6">
                  <c:v>2.5000000000000001E-3</c:v>
                </c:pt>
                <c:pt idx="7">
                  <c:v>2.23E-2</c:v>
                </c:pt>
                <c:pt idx="8">
                  <c:v>4.9000000000000002E-2</c:v>
                </c:pt>
                <c:pt idx="9">
                  <c:v>1.2999999999999999E-3</c:v>
                </c:pt>
                <c:pt idx="10">
                  <c:v>4.0000000000000001E-3</c:v>
                </c:pt>
                <c:pt idx="11">
                  <c:v>1.1899999999999999E-2</c:v>
                </c:pt>
                <c:pt idx="12">
                  <c:v>1.7000000000000001E-3</c:v>
                </c:pt>
              </c:numCache>
            </c:numRef>
          </c:xVal>
          <c:yVal>
            <c:numRef>
              <c:f>'All data'!$BD$766:$BD$778</c:f>
              <c:numCache>
                <c:formatCode>General</c:formatCode>
                <c:ptCount val="13"/>
                <c:pt idx="0">
                  <c:v>11.21</c:v>
                </c:pt>
                <c:pt idx="1">
                  <c:v>8.6</c:v>
                </c:pt>
                <c:pt idx="2" formatCode="0.00">
                  <c:v>1.8058753075728713</c:v>
                </c:pt>
                <c:pt idx="3" formatCode="0.00">
                  <c:v>2.02</c:v>
                </c:pt>
                <c:pt idx="4">
                  <c:v>1.89</c:v>
                </c:pt>
                <c:pt idx="5">
                  <c:v>0.84</c:v>
                </c:pt>
                <c:pt idx="6" formatCode="0.00">
                  <c:v>1.53</c:v>
                </c:pt>
                <c:pt idx="7">
                  <c:v>1.08</c:v>
                </c:pt>
                <c:pt idx="8">
                  <c:v>7.48</c:v>
                </c:pt>
                <c:pt idx="9">
                  <c:v>1.1399999999999999</c:v>
                </c:pt>
                <c:pt idx="10">
                  <c:v>0.95</c:v>
                </c:pt>
                <c:pt idx="11">
                  <c:v>1.88</c:v>
                </c:pt>
                <c:pt idx="12">
                  <c:v>2.73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ACC-4206-84C8-50346E24B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6953632"/>
        <c:axId val="816955600"/>
      </c:scatterChart>
      <c:valAx>
        <c:axId val="816953632"/>
        <c:scaling>
          <c:orientation val="minMax"/>
          <c:max val="0.60000000000000009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955600"/>
        <c:crosses val="autoZero"/>
        <c:crossBetween val="midCat"/>
      </c:valAx>
      <c:valAx>
        <c:axId val="816955600"/>
        <c:scaling>
          <c:orientation val="minMax"/>
          <c:max val="1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Kd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953632"/>
        <c:crosses val="autoZero"/>
        <c:crossBetween val="midCat"/>
      </c:valAx>
      <c:spPr>
        <a:solidFill>
          <a:schemeClr val="lt1"/>
        </a:solidFill>
        <a:ln w="12700" cap="flat" cmpd="sng" algn="ctr">
          <a:solidFill>
            <a:schemeClr val="dk1"/>
          </a:solidFill>
          <a:prstDash val="solid"/>
          <a:miter lim="800000"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PFOS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chemeClr val="dk1"/>
                </a:solidFill>
              </a:ln>
              <a:effectLst/>
            </c:spPr>
          </c:marker>
          <c:dPt>
            <c:idx val="6"/>
            <c:marker>
              <c:symbol val="x"/>
              <c:size val="5"/>
              <c:spPr>
                <a:solidFill>
                  <a:srgbClr val="FF0000"/>
                </a:solidFill>
                <a:ln w="9525">
                  <a:solidFill>
                    <a:schemeClr val="dk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AB74-4799-A805-8AE0B9B0BC85}"/>
              </c:ext>
            </c:extLst>
          </c:dPt>
          <c:dPt>
            <c:idx val="106"/>
            <c:marker>
              <c:symbol val="x"/>
              <c:size val="5"/>
              <c:spPr>
                <a:solidFill>
                  <a:srgbClr val="FF0000"/>
                </a:solidFill>
                <a:ln w="9525">
                  <a:solidFill>
                    <a:schemeClr val="dk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AB74-4799-A805-8AE0B9B0BC85}"/>
              </c:ext>
            </c:extLst>
          </c:dPt>
          <c:dPt>
            <c:idx val="203"/>
            <c:marker>
              <c:symbol val="x"/>
              <c:size val="5"/>
              <c:spPr>
                <a:solidFill>
                  <a:srgbClr val="FF0000"/>
                </a:solidFill>
                <a:ln w="9525">
                  <a:solidFill>
                    <a:schemeClr val="dk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064-4D70-A446-DC98FFCA309A}"/>
              </c:ext>
            </c:extLst>
          </c:dPt>
          <c:xVal>
            <c:numRef>
              <c:f>'All data'!$AX$779:$AX$1057</c:f>
              <c:numCache>
                <c:formatCode>0.00</c:formatCode>
                <c:ptCount val="279"/>
                <c:pt idx="0">
                  <c:v>4.1999999999999997E-3</c:v>
                </c:pt>
                <c:pt idx="1">
                  <c:v>7.4999999999999997E-3</c:v>
                </c:pt>
                <c:pt idx="2">
                  <c:v>8.1000000000000013E-3</c:v>
                </c:pt>
                <c:pt idx="3">
                  <c:v>9.8999999999999991E-3</c:v>
                </c:pt>
                <c:pt idx="4">
                  <c:v>1.43E-2</c:v>
                </c:pt>
                <c:pt idx="5">
                  <c:v>3.7000000000000002E-3</c:v>
                </c:pt>
                <c:pt idx="6">
                  <c:v>0.16</c:v>
                </c:pt>
                <c:pt idx="7">
                  <c:v>2.5000000000000001E-2</c:v>
                </c:pt>
                <c:pt idx="8">
                  <c:v>5.2000000000000005E-2</c:v>
                </c:pt>
                <c:pt idx="9">
                  <c:v>5.1999999999999998E-3</c:v>
                </c:pt>
                <c:pt idx="10">
                  <c:v>2.1000000000000001E-2</c:v>
                </c:pt>
                <c:pt idx="11">
                  <c:v>4.1999999999999997E-3</c:v>
                </c:pt>
                <c:pt idx="12">
                  <c:v>0.01</c:v>
                </c:pt>
                <c:pt idx="13" formatCode="0.000">
                  <c:v>1.7000000000000001E-2</c:v>
                </c:pt>
                <c:pt idx="14" formatCode="0.000">
                  <c:v>4.4999999999999998E-2</c:v>
                </c:pt>
                <c:pt idx="15" formatCode="0.000">
                  <c:v>8.0000000000000002E-3</c:v>
                </c:pt>
                <c:pt idx="16">
                  <c:v>2.4799999999999999E-2</c:v>
                </c:pt>
                <c:pt idx="17">
                  <c:v>1.0200000000000001E-2</c:v>
                </c:pt>
                <c:pt idx="18">
                  <c:v>4.3400000000000001E-2</c:v>
                </c:pt>
                <c:pt idx="19">
                  <c:v>9.6600000000000005E-2</c:v>
                </c:pt>
                <c:pt idx="20">
                  <c:v>2.0999999999999999E-3</c:v>
                </c:pt>
                <c:pt idx="21">
                  <c:v>4.3E-3</c:v>
                </c:pt>
                <c:pt idx="22">
                  <c:v>5.4999999999999997E-3</c:v>
                </c:pt>
                <c:pt idx="23">
                  <c:v>2.5000000000000001E-2</c:v>
                </c:pt>
                <c:pt idx="24">
                  <c:v>2E-3</c:v>
                </c:pt>
                <c:pt idx="25">
                  <c:v>1.6E-2</c:v>
                </c:pt>
                <c:pt idx="26">
                  <c:v>3.9E-2</c:v>
                </c:pt>
                <c:pt idx="27">
                  <c:v>7.6999999999999999E-2</c:v>
                </c:pt>
                <c:pt idx="28">
                  <c:v>9.4E-2</c:v>
                </c:pt>
                <c:pt idx="29">
                  <c:v>0.39</c:v>
                </c:pt>
                <c:pt idx="30">
                  <c:v>1.6E-2</c:v>
                </c:pt>
                <c:pt idx="31">
                  <c:v>7.6999999999999999E-2</c:v>
                </c:pt>
                <c:pt idx="32">
                  <c:v>9.4E-2</c:v>
                </c:pt>
                <c:pt idx="33">
                  <c:v>0.27</c:v>
                </c:pt>
                <c:pt idx="34">
                  <c:v>0.32</c:v>
                </c:pt>
                <c:pt idx="35">
                  <c:v>0.39</c:v>
                </c:pt>
                <c:pt idx="36">
                  <c:v>0.41</c:v>
                </c:pt>
                <c:pt idx="37">
                  <c:v>1.49E-2</c:v>
                </c:pt>
                <c:pt idx="38">
                  <c:v>6.7000000000000002E-3</c:v>
                </c:pt>
                <c:pt idx="39">
                  <c:v>7.4999999999999997E-3</c:v>
                </c:pt>
                <c:pt idx="40">
                  <c:v>8.5000000000000006E-3</c:v>
                </c:pt>
                <c:pt idx="41">
                  <c:v>6.3E-3</c:v>
                </c:pt>
                <c:pt idx="42">
                  <c:v>1.2699999999999999E-2</c:v>
                </c:pt>
                <c:pt idx="43">
                  <c:v>1.3100000000000001E-2</c:v>
                </c:pt>
                <c:pt idx="44">
                  <c:v>1.2500000000000001E-2</c:v>
                </c:pt>
                <c:pt idx="45">
                  <c:v>1.21E-2</c:v>
                </c:pt>
                <c:pt idx="46">
                  <c:v>1.1399999999999999E-2</c:v>
                </c:pt>
                <c:pt idx="47">
                  <c:v>9.300000000000001E-3</c:v>
                </c:pt>
                <c:pt idx="48">
                  <c:v>5.5000000000000005E-3</c:v>
                </c:pt>
                <c:pt idx="49">
                  <c:v>1.8E-3</c:v>
                </c:pt>
                <c:pt idx="50">
                  <c:v>1.6000000000000001E-3</c:v>
                </c:pt>
                <c:pt idx="51">
                  <c:v>1.6000000000000001E-3</c:v>
                </c:pt>
                <c:pt idx="52">
                  <c:v>8.6999999999999994E-3</c:v>
                </c:pt>
                <c:pt idx="53">
                  <c:v>9.8999999999999991E-3</c:v>
                </c:pt>
                <c:pt idx="54">
                  <c:v>1.2699999999999999E-2</c:v>
                </c:pt>
                <c:pt idx="55">
                  <c:v>1.46E-2</c:v>
                </c:pt>
                <c:pt idx="56">
                  <c:v>2.2499999999999999E-2</c:v>
                </c:pt>
                <c:pt idx="57">
                  <c:v>2.7099999999999999E-2</c:v>
                </c:pt>
                <c:pt idx="58">
                  <c:v>2.6000000000000002E-2</c:v>
                </c:pt>
                <c:pt idx="59">
                  <c:v>7.4999999999999997E-3</c:v>
                </c:pt>
                <c:pt idx="60">
                  <c:v>1E-3</c:v>
                </c:pt>
                <c:pt idx="61">
                  <c:v>3.8E-3</c:v>
                </c:pt>
                <c:pt idx="62">
                  <c:v>2.52E-2</c:v>
                </c:pt>
                <c:pt idx="63">
                  <c:v>4.0000000000000001E-3</c:v>
                </c:pt>
                <c:pt idx="64">
                  <c:v>9.300000000000001E-3</c:v>
                </c:pt>
                <c:pt idx="65">
                  <c:v>1.4433333333333333E-2</c:v>
                </c:pt>
                <c:pt idx="66">
                  <c:v>1.6E-2</c:v>
                </c:pt>
                <c:pt idx="67">
                  <c:v>5.0000000000000001E-3</c:v>
                </c:pt>
                <c:pt idx="68">
                  <c:v>2.7000000000000003E-2</c:v>
                </c:pt>
                <c:pt idx="69">
                  <c:v>1.1000000000000001E-2</c:v>
                </c:pt>
                <c:pt idx="70">
                  <c:v>0.05</c:v>
                </c:pt>
                <c:pt idx="71">
                  <c:v>1.1000000000000001E-2</c:v>
                </c:pt>
                <c:pt idx="72">
                  <c:v>3.0000000000000001E-3</c:v>
                </c:pt>
                <c:pt idx="73">
                  <c:v>3.6000000000000004E-2</c:v>
                </c:pt>
                <c:pt idx="74">
                  <c:v>6.9999999999999993E-3</c:v>
                </c:pt>
                <c:pt idx="75">
                  <c:v>4.8000000000000001E-2</c:v>
                </c:pt>
                <c:pt idx="76">
                  <c:v>2.8999999999999998E-2</c:v>
                </c:pt>
                <c:pt idx="77">
                  <c:v>5.7000000000000002E-2</c:v>
                </c:pt>
                <c:pt idx="78">
                  <c:v>1E-3</c:v>
                </c:pt>
                <c:pt idx="79">
                  <c:v>0.11</c:v>
                </c:pt>
                <c:pt idx="80">
                  <c:v>5.9000000000000004E-2</c:v>
                </c:pt>
                <c:pt idx="81">
                  <c:v>3.2000000000000001E-2</c:v>
                </c:pt>
                <c:pt idx="82">
                  <c:v>0.1</c:v>
                </c:pt>
                <c:pt idx="83">
                  <c:v>0.10099999999999999</c:v>
                </c:pt>
                <c:pt idx="84">
                  <c:v>5.5999999999999994E-2</c:v>
                </c:pt>
                <c:pt idx="85">
                  <c:v>9.1000000000000004E-3</c:v>
                </c:pt>
                <c:pt idx="86">
                  <c:v>2.9999999999999997E-4</c:v>
                </c:pt>
                <c:pt idx="87">
                  <c:v>1.6E-2</c:v>
                </c:pt>
                <c:pt idx="88">
                  <c:v>1.1000000000000001E-2</c:v>
                </c:pt>
                <c:pt idx="89">
                  <c:v>3.1E-2</c:v>
                </c:pt>
                <c:pt idx="90">
                  <c:v>2.2000000000000002E-2</c:v>
                </c:pt>
                <c:pt idx="91">
                  <c:v>1.7000000000000001E-2</c:v>
                </c:pt>
                <c:pt idx="92">
                  <c:v>1.6E-2</c:v>
                </c:pt>
                <c:pt idx="93">
                  <c:v>1.3000000000000001E-2</c:v>
                </c:pt>
                <c:pt idx="94">
                  <c:v>1.2E-2</c:v>
                </c:pt>
                <c:pt idx="95">
                  <c:v>1.2E-2</c:v>
                </c:pt>
                <c:pt idx="96">
                  <c:v>1.1000000000000001E-2</c:v>
                </c:pt>
                <c:pt idx="97">
                  <c:v>9.1000000000000004E-3</c:v>
                </c:pt>
                <c:pt idx="98">
                  <c:v>3.0000000000000001E-3</c:v>
                </c:pt>
                <c:pt idx="99">
                  <c:v>1.9E-3</c:v>
                </c:pt>
                <c:pt idx="100">
                  <c:v>3.4000000000000002E-2</c:v>
                </c:pt>
                <c:pt idx="101">
                  <c:v>1.7000000000000001E-2</c:v>
                </c:pt>
                <c:pt idx="102">
                  <c:v>2.8999999999999998E-2</c:v>
                </c:pt>
                <c:pt idx="103">
                  <c:v>7.2999999999999995E-2</c:v>
                </c:pt>
                <c:pt idx="104">
                  <c:v>1.8000000000000002E-2</c:v>
                </c:pt>
                <c:pt idx="105">
                  <c:v>1.43E-2</c:v>
                </c:pt>
                <c:pt idx="106">
                  <c:v>0.45</c:v>
                </c:pt>
                <c:pt idx="107">
                  <c:v>0.44900000000000001</c:v>
                </c:pt>
                <c:pt idx="108">
                  <c:v>0.46600000000000003</c:v>
                </c:pt>
                <c:pt idx="109">
                  <c:v>0.53600000000000003</c:v>
                </c:pt>
                <c:pt idx="110">
                  <c:v>0.46899999999999997</c:v>
                </c:pt>
                <c:pt idx="111">
                  <c:v>4.9000000000000002E-2</c:v>
                </c:pt>
                <c:pt idx="112">
                  <c:v>2.6000000000000002E-2</c:v>
                </c:pt>
                <c:pt idx="113">
                  <c:v>3.8199999999999998E-2</c:v>
                </c:pt>
                <c:pt idx="114">
                  <c:v>5.1999999999999998E-3</c:v>
                </c:pt>
                <c:pt idx="115">
                  <c:v>2.5800000000000003E-3</c:v>
                </c:pt>
                <c:pt idx="116">
                  <c:v>9.2800000000000001E-3</c:v>
                </c:pt>
                <c:pt idx="117">
                  <c:v>2.4799999999999999E-2</c:v>
                </c:pt>
                <c:pt idx="118">
                  <c:v>9.9299999999999996E-3</c:v>
                </c:pt>
                <c:pt idx="119">
                  <c:v>6.9999999999999993E-3</c:v>
                </c:pt>
                <c:pt idx="120">
                  <c:v>3.7000000000000002E-3</c:v>
                </c:pt>
                <c:pt idx="121">
                  <c:v>8.0000000000000004E-4</c:v>
                </c:pt>
                <c:pt idx="122">
                  <c:v>2.5000000000000001E-3</c:v>
                </c:pt>
                <c:pt idx="123">
                  <c:v>2.23E-2</c:v>
                </c:pt>
                <c:pt idx="124">
                  <c:v>4.9000000000000002E-2</c:v>
                </c:pt>
                <c:pt idx="125">
                  <c:v>1.2999999999999999E-3</c:v>
                </c:pt>
                <c:pt idx="126">
                  <c:v>4.0000000000000001E-3</c:v>
                </c:pt>
                <c:pt idx="127">
                  <c:v>1.1899999999999999E-2</c:v>
                </c:pt>
                <c:pt idx="128">
                  <c:v>1.7000000000000001E-3</c:v>
                </c:pt>
                <c:pt idx="129" formatCode="0.000">
                  <c:v>8.0000000000000002E-3</c:v>
                </c:pt>
                <c:pt idx="130" formatCode="0.000">
                  <c:v>3.3000000000000002E-2</c:v>
                </c:pt>
                <c:pt idx="131" formatCode="0.000">
                  <c:v>2.7000000000000003E-2</c:v>
                </c:pt>
                <c:pt idx="132" formatCode="0.000">
                  <c:v>0.05</c:v>
                </c:pt>
                <c:pt idx="133" formatCode="0.000">
                  <c:v>5.0999999999999997E-2</c:v>
                </c:pt>
                <c:pt idx="134" formatCode="0.000">
                  <c:v>7.4999999999999997E-2</c:v>
                </c:pt>
                <c:pt idx="135" formatCode="0.000">
                  <c:v>2.8999999999999998E-2</c:v>
                </c:pt>
                <c:pt idx="136" formatCode="0.000">
                  <c:v>1.9E-2</c:v>
                </c:pt>
                <c:pt idx="137" formatCode="0.000">
                  <c:v>1.4999999999999999E-2</c:v>
                </c:pt>
                <c:pt idx="138" formatCode="0.000">
                  <c:v>6.9999999999999993E-3</c:v>
                </c:pt>
                <c:pt idx="139" formatCode="0.000">
                  <c:v>8.4000000000000005E-2</c:v>
                </c:pt>
                <c:pt idx="140" formatCode="0.000">
                  <c:v>3.9E-2</c:v>
                </c:pt>
                <c:pt idx="141" formatCode="0.000">
                  <c:v>0.03</c:v>
                </c:pt>
                <c:pt idx="142" formatCode="0.000">
                  <c:v>2.4E-2</c:v>
                </c:pt>
                <c:pt idx="143" formatCode="0.000">
                  <c:v>4.0000000000000001E-3</c:v>
                </c:pt>
                <c:pt idx="144" formatCode="0.000">
                  <c:v>1.3999999999999999E-2</c:v>
                </c:pt>
                <c:pt idx="145" formatCode="0.000">
                  <c:v>8.0000000000000002E-3</c:v>
                </c:pt>
                <c:pt idx="146" formatCode="0.000">
                  <c:v>0.01</c:v>
                </c:pt>
                <c:pt idx="147" formatCode="0.000">
                  <c:v>0.01</c:v>
                </c:pt>
                <c:pt idx="148" formatCode="0.000">
                  <c:v>0.03</c:v>
                </c:pt>
                <c:pt idx="149" formatCode="0.000">
                  <c:v>6.0000000000000001E-3</c:v>
                </c:pt>
                <c:pt idx="150" formatCode="0.000">
                  <c:v>0.106</c:v>
                </c:pt>
                <c:pt idx="151" formatCode="0.000">
                  <c:v>1.1000000000000001E-2</c:v>
                </c:pt>
                <c:pt idx="152" formatCode="0.000">
                  <c:v>1.1000000000000001E-2</c:v>
                </c:pt>
                <c:pt idx="153" formatCode="0.000">
                  <c:v>1E-3</c:v>
                </c:pt>
                <c:pt idx="154" formatCode="0.000">
                  <c:v>1.1000000000000001E-2</c:v>
                </c:pt>
                <c:pt idx="155" formatCode="0.000">
                  <c:v>1.6E-2</c:v>
                </c:pt>
                <c:pt idx="156" formatCode="0.000">
                  <c:v>0</c:v>
                </c:pt>
                <c:pt idx="157" formatCode="0.000">
                  <c:v>1.4999999999999999E-2</c:v>
                </c:pt>
                <c:pt idx="158" formatCode="0.000">
                  <c:v>1.7000000000000001E-2</c:v>
                </c:pt>
                <c:pt idx="159" formatCode="0.000">
                  <c:v>3.2000000000000001E-2</c:v>
                </c:pt>
                <c:pt idx="160" formatCode="0.000">
                  <c:v>3.5000000000000003E-2</c:v>
                </c:pt>
                <c:pt idx="161" formatCode="0.000">
                  <c:v>3.5000000000000003E-2</c:v>
                </c:pt>
                <c:pt idx="162" formatCode="0.000">
                  <c:v>2E-3</c:v>
                </c:pt>
                <c:pt idx="163" formatCode="0.000">
                  <c:v>0</c:v>
                </c:pt>
                <c:pt idx="164" formatCode="General">
                  <c:v>3.7000000000000005E-2</c:v>
                </c:pt>
                <c:pt idx="165" formatCode="General">
                  <c:v>9.0000000000000011E-3</c:v>
                </c:pt>
                <c:pt idx="166" formatCode="General">
                  <c:v>2.8999999999999998E-2</c:v>
                </c:pt>
                <c:pt idx="167" formatCode="General">
                  <c:v>1.8000000000000002E-2</c:v>
                </c:pt>
                <c:pt idx="168" formatCode="General">
                  <c:v>2.7000000000000003E-2</c:v>
                </c:pt>
                <c:pt idx="169" formatCode="General">
                  <c:v>3.3000000000000002E-2</c:v>
                </c:pt>
                <c:pt idx="170" formatCode="General">
                  <c:v>3.4000000000000002E-2</c:v>
                </c:pt>
                <c:pt idx="171" formatCode="General">
                  <c:v>3.7000000000000005E-2</c:v>
                </c:pt>
                <c:pt idx="172" formatCode="General">
                  <c:v>2.7999999999999997E-2</c:v>
                </c:pt>
                <c:pt idx="173" formatCode="General">
                  <c:v>6.9999999999999993E-3</c:v>
                </c:pt>
                <c:pt idx="174" formatCode="General">
                  <c:v>0.03</c:v>
                </c:pt>
                <c:pt idx="175" formatCode="General">
                  <c:v>6.9000000000000006E-2</c:v>
                </c:pt>
                <c:pt idx="176" formatCode="General">
                  <c:v>2E-3</c:v>
                </c:pt>
                <c:pt idx="177" formatCode="General">
                  <c:v>1.2E-2</c:v>
                </c:pt>
                <c:pt idx="178" formatCode="General">
                  <c:v>2.4E-2</c:v>
                </c:pt>
                <c:pt idx="179" formatCode="General">
                  <c:v>6.0000000000000001E-3</c:v>
                </c:pt>
                <c:pt idx="180" formatCode="General">
                  <c:v>3.4000000000000002E-2</c:v>
                </c:pt>
                <c:pt idx="181" formatCode="General">
                  <c:v>2.1000000000000001E-2</c:v>
                </c:pt>
                <c:pt idx="182" formatCode="General">
                  <c:v>3.0000000000000001E-3</c:v>
                </c:pt>
                <c:pt idx="183" formatCode="General">
                  <c:v>2.7000000000000003E-2</c:v>
                </c:pt>
                <c:pt idx="184" formatCode="General">
                  <c:v>1.3999999999999999E-2</c:v>
                </c:pt>
                <c:pt idx="185" formatCode="General">
                  <c:v>1.9E-2</c:v>
                </c:pt>
                <c:pt idx="186" formatCode="General">
                  <c:v>2.6000000000000002E-2</c:v>
                </c:pt>
                <c:pt idx="187" formatCode="General">
                  <c:v>5.4000000000000006E-2</c:v>
                </c:pt>
                <c:pt idx="188" formatCode="General">
                  <c:v>2.7999999999999997E-2</c:v>
                </c:pt>
                <c:pt idx="189" formatCode="General">
                  <c:v>3.1E-2</c:v>
                </c:pt>
                <c:pt idx="190" formatCode="General">
                  <c:v>1.7000000000000001E-2</c:v>
                </c:pt>
                <c:pt idx="191" formatCode="General">
                  <c:v>1.8000000000000002E-2</c:v>
                </c:pt>
                <c:pt idx="192" formatCode="General">
                  <c:v>1.6E-2</c:v>
                </c:pt>
                <c:pt idx="193" formatCode="General">
                  <c:v>1.3000000000000001E-2</c:v>
                </c:pt>
                <c:pt idx="194" formatCode="General">
                  <c:v>0.01</c:v>
                </c:pt>
                <c:pt idx="195" formatCode="General">
                  <c:v>3.9E-2</c:v>
                </c:pt>
                <c:pt idx="196" formatCode="General">
                  <c:v>9.0000000000000011E-3</c:v>
                </c:pt>
                <c:pt idx="197" formatCode="General">
                  <c:v>2.1000000000000001E-2</c:v>
                </c:pt>
                <c:pt idx="198" formatCode="General">
                  <c:v>0.03</c:v>
                </c:pt>
                <c:pt idx="199" formatCode="General">
                  <c:v>2.8999999999999998E-2</c:v>
                </c:pt>
                <c:pt idx="200" formatCode="General">
                  <c:v>0.03</c:v>
                </c:pt>
                <c:pt idx="201" formatCode="General">
                  <c:v>2.5000000000000001E-2</c:v>
                </c:pt>
                <c:pt idx="202" formatCode="General">
                  <c:v>2.6000000000000002E-2</c:v>
                </c:pt>
                <c:pt idx="203" formatCode="General">
                  <c:v>5.2000000000000005E-2</c:v>
                </c:pt>
                <c:pt idx="204" formatCode="General">
                  <c:v>1.7000000000000001E-2</c:v>
                </c:pt>
                <c:pt idx="205" formatCode="General">
                  <c:v>1.3000000000000001E-2</c:v>
                </c:pt>
                <c:pt idx="206" formatCode="General">
                  <c:v>3.5000000000000003E-2</c:v>
                </c:pt>
                <c:pt idx="207" formatCode="General">
                  <c:v>1.4999999999999999E-2</c:v>
                </c:pt>
                <c:pt idx="208" formatCode="General">
                  <c:v>1.9E-2</c:v>
                </c:pt>
                <c:pt idx="209" formatCode="General">
                  <c:v>2.8999999999999998E-2</c:v>
                </c:pt>
                <c:pt idx="210" formatCode="General">
                  <c:v>2.4E-2</c:v>
                </c:pt>
                <c:pt idx="211" formatCode="General">
                  <c:v>1.6E-2</c:v>
                </c:pt>
                <c:pt idx="212" formatCode="General">
                  <c:v>2.5000000000000001E-2</c:v>
                </c:pt>
                <c:pt idx="213" formatCode="General">
                  <c:v>1.6E-2</c:v>
                </c:pt>
                <c:pt idx="214" formatCode="General">
                  <c:v>2.2000000000000002E-2</c:v>
                </c:pt>
                <c:pt idx="215" formatCode="General">
                  <c:v>2.2000000000000002E-2</c:v>
                </c:pt>
                <c:pt idx="216" formatCode="General">
                  <c:v>2.2000000000000002E-2</c:v>
                </c:pt>
                <c:pt idx="217" formatCode="General">
                  <c:v>2.7999999999999997E-2</c:v>
                </c:pt>
                <c:pt idx="218" formatCode="General">
                  <c:v>1.9E-2</c:v>
                </c:pt>
                <c:pt idx="219" formatCode="General">
                  <c:v>1.6E-2</c:v>
                </c:pt>
                <c:pt idx="220" formatCode="General">
                  <c:v>0.02</c:v>
                </c:pt>
                <c:pt idx="221" formatCode="General">
                  <c:v>1.9E-2</c:v>
                </c:pt>
                <c:pt idx="222" formatCode="General">
                  <c:v>1.4999999999999999E-2</c:v>
                </c:pt>
                <c:pt idx="223" formatCode="General">
                  <c:v>1.3000000000000001E-2</c:v>
                </c:pt>
                <c:pt idx="224" formatCode="General">
                  <c:v>0.01</c:v>
                </c:pt>
                <c:pt idx="225" formatCode="General">
                  <c:v>1.1000000000000001E-2</c:v>
                </c:pt>
                <c:pt idx="226" formatCode="General">
                  <c:v>2.4E-2</c:v>
                </c:pt>
                <c:pt idx="227" formatCode="General">
                  <c:v>0.01</c:v>
                </c:pt>
                <c:pt idx="228" formatCode="General">
                  <c:v>2.4E-2</c:v>
                </c:pt>
                <c:pt idx="229" formatCode="General">
                  <c:v>2.8999999999999998E-2</c:v>
                </c:pt>
                <c:pt idx="230" formatCode="General">
                  <c:v>1.9E-2</c:v>
                </c:pt>
                <c:pt idx="231" formatCode="General">
                  <c:v>1.3999999999999999E-2</c:v>
                </c:pt>
                <c:pt idx="232" formatCode="General">
                  <c:v>1.3000000000000001E-2</c:v>
                </c:pt>
                <c:pt idx="233" formatCode="General">
                  <c:v>0.03</c:v>
                </c:pt>
                <c:pt idx="234" formatCode="General">
                  <c:v>2.2000000000000002E-2</c:v>
                </c:pt>
                <c:pt idx="235" formatCode="General">
                  <c:v>3.4000000000000002E-2</c:v>
                </c:pt>
                <c:pt idx="236" formatCode="General">
                  <c:v>3.2000000000000001E-2</c:v>
                </c:pt>
                <c:pt idx="237" formatCode="General">
                  <c:v>0.02</c:v>
                </c:pt>
                <c:pt idx="238" formatCode="General">
                  <c:v>0.02</c:v>
                </c:pt>
                <c:pt idx="239" formatCode="General">
                  <c:v>1.7000000000000001E-2</c:v>
                </c:pt>
                <c:pt idx="240" formatCode="General">
                  <c:v>1.3000000000000001E-2</c:v>
                </c:pt>
                <c:pt idx="241" formatCode="General">
                  <c:v>1.9E-2</c:v>
                </c:pt>
                <c:pt idx="242" formatCode="General">
                  <c:v>2.6000000000000002E-2</c:v>
                </c:pt>
                <c:pt idx="243">
                  <c:v>3.7000000000000002E-3</c:v>
                </c:pt>
                <c:pt idx="244">
                  <c:v>1.3500000000000002E-2</c:v>
                </c:pt>
                <c:pt idx="245">
                  <c:v>3.27E-2</c:v>
                </c:pt>
                <c:pt idx="246">
                  <c:v>7.4999999999999997E-2</c:v>
                </c:pt>
                <c:pt idx="247">
                  <c:v>5.0599999999999999E-2</c:v>
                </c:pt>
                <c:pt idx="248">
                  <c:v>9.5999999999999992E-3</c:v>
                </c:pt>
                <c:pt idx="249">
                  <c:v>7.8000000000000005E-3</c:v>
                </c:pt>
                <c:pt idx="250">
                  <c:v>8.199999999999999E-3</c:v>
                </c:pt>
                <c:pt idx="251">
                  <c:v>1.8000000000000002E-2</c:v>
                </c:pt>
                <c:pt idx="252">
                  <c:v>2.1000000000000001E-2</c:v>
                </c:pt>
                <c:pt idx="253">
                  <c:v>6.0000000000000001E-3</c:v>
                </c:pt>
                <c:pt idx="254">
                  <c:v>1.8000000000000002E-2</c:v>
                </c:pt>
                <c:pt idx="255">
                  <c:v>1.4999999999999999E-2</c:v>
                </c:pt>
                <c:pt idx="256">
                  <c:v>9.0000000000000011E-3</c:v>
                </c:pt>
                <c:pt idx="257">
                  <c:v>9.0000000000000011E-3</c:v>
                </c:pt>
                <c:pt idx="258">
                  <c:v>1.1000000000000001E-2</c:v>
                </c:pt>
                <c:pt idx="259">
                  <c:v>1.6E-2</c:v>
                </c:pt>
                <c:pt idx="260">
                  <c:v>1.6E-2</c:v>
                </c:pt>
                <c:pt idx="261">
                  <c:v>1.7000000000000001E-2</c:v>
                </c:pt>
                <c:pt idx="262">
                  <c:v>1.3000000000000001E-2</c:v>
                </c:pt>
                <c:pt idx="263">
                  <c:v>1.6E-2</c:v>
                </c:pt>
                <c:pt idx="264">
                  <c:v>1.2E-2</c:v>
                </c:pt>
                <c:pt idx="265">
                  <c:v>1.4999999999999999E-2</c:v>
                </c:pt>
                <c:pt idx="266">
                  <c:v>0.01</c:v>
                </c:pt>
                <c:pt idx="267">
                  <c:v>1.6E-2</c:v>
                </c:pt>
                <c:pt idx="268">
                  <c:v>4.8000000000000001E-2</c:v>
                </c:pt>
                <c:pt idx="269">
                  <c:v>8.0000000000000002E-3</c:v>
                </c:pt>
                <c:pt idx="270">
                  <c:v>0.01</c:v>
                </c:pt>
                <c:pt idx="271">
                  <c:v>3.5000000000000003E-2</c:v>
                </c:pt>
                <c:pt idx="272">
                  <c:v>1.1000000000000001E-2</c:v>
                </c:pt>
                <c:pt idx="273">
                  <c:v>1.3000000000000001E-2</c:v>
                </c:pt>
                <c:pt idx="274">
                  <c:v>1.3000000000000001E-2</c:v>
                </c:pt>
                <c:pt idx="275">
                  <c:v>0.02</c:v>
                </c:pt>
                <c:pt idx="276">
                  <c:v>1.8000000000000002E-2</c:v>
                </c:pt>
                <c:pt idx="277">
                  <c:v>1.38E-2</c:v>
                </c:pt>
                <c:pt idx="278">
                  <c:v>2.4550000000000002E-3</c:v>
                </c:pt>
              </c:numCache>
            </c:numRef>
          </c:xVal>
          <c:yVal>
            <c:numRef>
              <c:f>'All data'!$BD$779:$BD$1057</c:f>
              <c:numCache>
                <c:formatCode>0.0</c:formatCode>
                <c:ptCount val="279"/>
                <c:pt idx="0">
                  <c:v>38.018939632056139</c:v>
                </c:pt>
                <c:pt idx="1">
                  <c:v>25.703957827688647</c:v>
                </c:pt>
                <c:pt idx="2">
                  <c:v>25.118864315095799</c:v>
                </c:pt>
                <c:pt idx="3">
                  <c:v>19.952623149688804</c:v>
                </c:pt>
                <c:pt idx="4">
                  <c:v>15.848931924611136</c:v>
                </c:pt>
                <c:pt idx="5" formatCode="0.00">
                  <c:v>6.7908931729122619</c:v>
                </c:pt>
                <c:pt idx="6" formatCode="0.00">
                  <c:v>16.100000000000001</c:v>
                </c:pt>
                <c:pt idx="7" formatCode="0.00">
                  <c:v>7.28</c:v>
                </c:pt>
                <c:pt idx="8" formatCode="0.00">
                  <c:v>14.2</c:v>
                </c:pt>
                <c:pt idx="9" formatCode="0.00">
                  <c:v>40.299999999999997</c:v>
                </c:pt>
                <c:pt idx="10" formatCode="0.00">
                  <c:v>115</c:v>
                </c:pt>
                <c:pt idx="11" formatCode="0.00">
                  <c:v>15</c:v>
                </c:pt>
                <c:pt idx="12" formatCode="0.00">
                  <c:v>17</c:v>
                </c:pt>
                <c:pt idx="13" formatCode="0.00">
                  <c:v>4.6500000000000004</c:v>
                </c:pt>
                <c:pt idx="14" formatCode="0.00">
                  <c:v>36.630000000000003</c:v>
                </c:pt>
                <c:pt idx="15" formatCode="0.00">
                  <c:v>5.1100000000000003</c:v>
                </c:pt>
                <c:pt idx="16">
                  <c:v>17.16</c:v>
                </c:pt>
                <c:pt idx="17">
                  <c:v>1.82</c:v>
                </c:pt>
                <c:pt idx="18">
                  <c:v>14.24</c:v>
                </c:pt>
                <c:pt idx="19">
                  <c:v>45.83</c:v>
                </c:pt>
                <c:pt idx="20">
                  <c:v>2.6</c:v>
                </c:pt>
                <c:pt idx="21">
                  <c:v>2.6</c:v>
                </c:pt>
                <c:pt idx="22">
                  <c:v>3</c:v>
                </c:pt>
                <c:pt idx="23">
                  <c:v>7.52</c:v>
                </c:pt>
                <c:pt idx="24" formatCode="0">
                  <c:v>19</c:v>
                </c:pt>
                <c:pt idx="25" formatCode="0">
                  <c:v>32</c:v>
                </c:pt>
                <c:pt idx="26" formatCode="0">
                  <c:v>38</c:v>
                </c:pt>
                <c:pt idx="27" formatCode="0">
                  <c:v>76</c:v>
                </c:pt>
                <c:pt idx="28" formatCode="0">
                  <c:v>110</c:v>
                </c:pt>
                <c:pt idx="29" formatCode="0">
                  <c:v>295</c:v>
                </c:pt>
                <c:pt idx="30" formatCode="0">
                  <c:v>32</c:v>
                </c:pt>
                <c:pt idx="31" formatCode="0">
                  <c:v>76</c:v>
                </c:pt>
                <c:pt idx="32" formatCode="0">
                  <c:v>110</c:v>
                </c:pt>
                <c:pt idx="33" formatCode="0">
                  <c:v>144</c:v>
                </c:pt>
                <c:pt idx="34" formatCode="0">
                  <c:v>171</c:v>
                </c:pt>
                <c:pt idx="35" formatCode="0">
                  <c:v>295</c:v>
                </c:pt>
                <c:pt idx="36" formatCode="0">
                  <c:v>207</c:v>
                </c:pt>
                <c:pt idx="37">
                  <c:v>23.5</c:v>
                </c:pt>
                <c:pt idx="38">
                  <c:v>10</c:v>
                </c:pt>
                <c:pt idx="39">
                  <c:v>6.93</c:v>
                </c:pt>
                <c:pt idx="40">
                  <c:v>10.5</c:v>
                </c:pt>
                <c:pt idx="41">
                  <c:v>8.23</c:v>
                </c:pt>
                <c:pt idx="42">
                  <c:v>15.4</c:v>
                </c:pt>
                <c:pt idx="43">
                  <c:v>19.8</c:v>
                </c:pt>
                <c:pt idx="44">
                  <c:v>15.9</c:v>
                </c:pt>
                <c:pt idx="45">
                  <c:v>13.5</c:v>
                </c:pt>
                <c:pt idx="46">
                  <c:v>14.1</c:v>
                </c:pt>
                <c:pt idx="47">
                  <c:v>10.199999999999999</c:v>
                </c:pt>
                <c:pt idx="48">
                  <c:v>7.54</c:v>
                </c:pt>
                <c:pt idx="49">
                  <c:v>2.0099999999999998</c:v>
                </c:pt>
                <c:pt idx="50">
                  <c:v>1.85</c:v>
                </c:pt>
                <c:pt idx="51">
                  <c:v>2.23</c:v>
                </c:pt>
                <c:pt idx="52">
                  <c:v>18</c:v>
                </c:pt>
                <c:pt idx="53">
                  <c:v>29</c:v>
                </c:pt>
                <c:pt idx="54">
                  <c:v>48</c:v>
                </c:pt>
                <c:pt idx="55">
                  <c:v>14</c:v>
                </c:pt>
                <c:pt idx="56">
                  <c:v>66</c:v>
                </c:pt>
                <c:pt idx="57">
                  <c:v>63</c:v>
                </c:pt>
                <c:pt idx="58">
                  <c:v>15.848931924611136</c:v>
                </c:pt>
                <c:pt idx="59">
                  <c:v>17.98</c:v>
                </c:pt>
                <c:pt idx="60">
                  <c:v>2.5885627679954286</c:v>
                </c:pt>
                <c:pt idx="61">
                  <c:v>2.6324054048362351</c:v>
                </c:pt>
                <c:pt idx="62" formatCode="0.00">
                  <c:v>2.8183829312644542</c:v>
                </c:pt>
                <c:pt idx="63" formatCode="0.00">
                  <c:v>12.6</c:v>
                </c:pt>
                <c:pt idx="64" formatCode="0.00">
                  <c:v>3.6</c:v>
                </c:pt>
                <c:pt idx="65" formatCode="General">
                  <c:v>1.4</c:v>
                </c:pt>
                <c:pt idx="66" formatCode="0.00">
                  <c:v>14.41</c:v>
                </c:pt>
                <c:pt idx="67" formatCode="0.00">
                  <c:v>10.69</c:v>
                </c:pt>
                <c:pt idx="68" formatCode="0.00">
                  <c:v>24.69</c:v>
                </c:pt>
                <c:pt idx="69" formatCode="0.00">
                  <c:v>9.76</c:v>
                </c:pt>
                <c:pt idx="70" formatCode="0.00">
                  <c:v>35.04</c:v>
                </c:pt>
                <c:pt idx="71" formatCode="0.00">
                  <c:v>17.25</c:v>
                </c:pt>
                <c:pt idx="72" formatCode="0.00">
                  <c:v>4.6100000000000003</c:v>
                </c:pt>
                <c:pt idx="73" formatCode="0.00">
                  <c:v>30.37</c:v>
                </c:pt>
                <c:pt idx="74" formatCode="0.00">
                  <c:v>9.52</c:v>
                </c:pt>
                <c:pt idx="75" formatCode="0.00">
                  <c:v>18.05</c:v>
                </c:pt>
                <c:pt idx="76" formatCode="0.00">
                  <c:v>34.72</c:v>
                </c:pt>
                <c:pt idx="77" formatCode="0.00">
                  <c:v>37.200000000000003</c:v>
                </c:pt>
                <c:pt idx="78" formatCode="0.00">
                  <c:v>3.8</c:v>
                </c:pt>
                <c:pt idx="79" formatCode="0.00">
                  <c:v>102.56</c:v>
                </c:pt>
                <c:pt idx="80" formatCode="0.00">
                  <c:v>44.9</c:v>
                </c:pt>
                <c:pt idx="81" formatCode="0.00">
                  <c:v>35.1</c:v>
                </c:pt>
                <c:pt idx="82" formatCode="0.00">
                  <c:v>86.75</c:v>
                </c:pt>
                <c:pt idx="83" formatCode="0.00">
                  <c:v>71.08</c:v>
                </c:pt>
                <c:pt idx="84" formatCode="0.00">
                  <c:v>51.79</c:v>
                </c:pt>
                <c:pt idx="85" formatCode="0.00">
                  <c:v>12.275562231584052</c:v>
                </c:pt>
                <c:pt idx="86" formatCode="0">
                  <c:v>12.4</c:v>
                </c:pt>
                <c:pt idx="87" formatCode="General">
                  <c:v>13.25</c:v>
                </c:pt>
                <c:pt idx="88" formatCode="0">
                  <c:v>55.09</c:v>
                </c:pt>
                <c:pt idx="89">
                  <c:v>26.302679918953825</c:v>
                </c:pt>
                <c:pt idx="90">
                  <c:v>58.210321777087195</c:v>
                </c:pt>
                <c:pt idx="91">
                  <c:v>12.302687708123818</c:v>
                </c:pt>
                <c:pt idx="92">
                  <c:v>6.4565422903465572</c:v>
                </c:pt>
                <c:pt idx="93">
                  <c:v>13.645831365889249</c:v>
                </c:pt>
                <c:pt idx="94">
                  <c:v>16.788040181225607</c:v>
                </c:pt>
                <c:pt idx="95">
                  <c:v>11.091748152624014</c:v>
                </c:pt>
                <c:pt idx="96">
                  <c:v>4.0738027780411281</c:v>
                </c:pt>
                <c:pt idx="97">
                  <c:v>5.6885293084384152</c:v>
                </c:pt>
                <c:pt idx="98">
                  <c:v>5.2480746024977263</c:v>
                </c:pt>
                <c:pt idx="99">
                  <c:v>6.0255958607435796</c:v>
                </c:pt>
                <c:pt idx="100">
                  <c:v>16.082000000000001</c:v>
                </c:pt>
                <c:pt idx="101">
                  <c:v>15.842300000000002</c:v>
                </c:pt>
                <c:pt idx="102">
                  <c:v>15.9123</c:v>
                </c:pt>
                <c:pt idx="103">
                  <c:v>55.545699999999997</c:v>
                </c:pt>
                <c:pt idx="104">
                  <c:v>9.664200000000001</c:v>
                </c:pt>
                <c:pt idx="105" formatCode="General">
                  <c:v>25.09</c:v>
                </c:pt>
                <c:pt idx="106" formatCode="0">
                  <c:v>14230</c:v>
                </c:pt>
                <c:pt idx="107" formatCode="0">
                  <c:v>492.31871006829067</c:v>
                </c:pt>
                <c:pt idx="108" formatCode="0">
                  <c:v>476.85453440283169</c:v>
                </c:pt>
                <c:pt idx="109" formatCode="0">
                  <c:v>354.1316881320717</c:v>
                </c:pt>
                <c:pt idx="110" formatCode="0">
                  <c:v>323.59365692962825</c:v>
                </c:pt>
                <c:pt idx="111" formatCode="General">
                  <c:v>11.11</c:v>
                </c:pt>
                <c:pt idx="112" formatCode="General">
                  <c:v>10.85</c:v>
                </c:pt>
                <c:pt idx="113" formatCode="0">
                  <c:v>9.0726349204607804</c:v>
                </c:pt>
                <c:pt idx="114" formatCode="0">
                  <c:v>10.964729176281976</c:v>
                </c:pt>
                <c:pt idx="115" formatCode="0">
                  <c:v>6.0618613268278274</c:v>
                </c:pt>
                <c:pt idx="116" formatCode="0">
                  <c:v>13.21041749697422</c:v>
                </c:pt>
                <c:pt idx="117" formatCode="0">
                  <c:v>8.3800437069553233</c:v>
                </c:pt>
                <c:pt idx="118" formatCode="0">
                  <c:v>7.4174364006418578</c:v>
                </c:pt>
                <c:pt idx="119" formatCode="0.00">
                  <c:v>5.92</c:v>
                </c:pt>
                <c:pt idx="120" formatCode="General">
                  <c:v>3.45</c:v>
                </c:pt>
                <c:pt idx="121" formatCode="General">
                  <c:v>3.15</c:v>
                </c:pt>
                <c:pt idx="122" formatCode="0.00">
                  <c:v>4.18</c:v>
                </c:pt>
                <c:pt idx="123" formatCode="General">
                  <c:v>3.71</c:v>
                </c:pt>
                <c:pt idx="124" formatCode="General">
                  <c:v>34.299999999999997</c:v>
                </c:pt>
                <c:pt idx="125" formatCode="General">
                  <c:v>3.52</c:v>
                </c:pt>
                <c:pt idx="126" formatCode="General">
                  <c:v>3.22</c:v>
                </c:pt>
                <c:pt idx="127" formatCode="General">
                  <c:v>8.7799999999999994</c:v>
                </c:pt>
                <c:pt idx="128" formatCode="General">
                  <c:v>5.66</c:v>
                </c:pt>
                <c:pt idx="129">
                  <c:v>6.445130730740674</c:v>
                </c:pt>
                <c:pt idx="130">
                  <c:v>8.6786688987404048</c:v>
                </c:pt>
                <c:pt idx="131">
                  <c:v>10.4</c:v>
                </c:pt>
                <c:pt idx="132">
                  <c:v>30.500000000000004</c:v>
                </c:pt>
                <c:pt idx="133">
                  <c:v>13.774887248053599</c:v>
                </c:pt>
                <c:pt idx="134">
                  <c:v>63.469410623551454</c:v>
                </c:pt>
                <c:pt idx="135">
                  <c:v>16.428764607770347</c:v>
                </c:pt>
                <c:pt idx="136">
                  <c:v>15.923264158300489</c:v>
                </c:pt>
                <c:pt idx="137">
                  <c:v>20.349804975180433</c:v>
                </c:pt>
                <c:pt idx="138">
                  <c:v>16.775454915803529</c:v>
                </c:pt>
                <c:pt idx="139">
                  <c:v>63.05308803078983</c:v>
                </c:pt>
                <c:pt idx="140">
                  <c:v>52.067213842446805</c:v>
                </c:pt>
                <c:pt idx="141">
                  <c:v>7.0770062925779946</c:v>
                </c:pt>
                <c:pt idx="142">
                  <c:v>20.019764592916474</c:v>
                </c:pt>
                <c:pt idx="143">
                  <c:v>4.7</c:v>
                </c:pt>
                <c:pt idx="144">
                  <c:v>10.682483083176775</c:v>
                </c:pt>
                <c:pt idx="145">
                  <c:v>20.573671123155268</c:v>
                </c:pt>
                <c:pt idx="146">
                  <c:v>24.371887330507015</c:v>
                </c:pt>
                <c:pt idx="147">
                  <c:v>9.2253832028248866</c:v>
                </c:pt>
                <c:pt idx="148">
                  <c:v>44.938919153443535</c:v>
                </c:pt>
                <c:pt idx="149">
                  <c:v>19.22273885347813</c:v>
                </c:pt>
                <c:pt idx="150">
                  <c:v>175.82575859865773</c:v>
                </c:pt>
                <c:pt idx="151">
                  <c:v>16.609495786924757</c:v>
                </c:pt>
                <c:pt idx="152">
                  <c:v>31.177024702012218</c:v>
                </c:pt>
                <c:pt idx="153">
                  <c:v>19.78237607995699</c:v>
                </c:pt>
                <c:pt idx="154">
                  <c:v>28.724010068097549</c:v>
                </c:pt>
                <c:pt idx="155">
                  <c:v>27.5</c:v>
                </c:pt>
                <c:pt idx="156">
                  <c:v>21.453750819670397</c:v>
                </c:pt>
                <c:pt idx="157">
                  <c:v>48.8</c:v>
                </c:pt>
                <c:pt idx="158">
                  <c:v>44.694968168689336</c:v>
                </c:pt>
                <c:pt idx="159">
                  <c:v>40.511765596743814</c:v>
                </c:pt>
                <c:pt idx="160">
                  <c:v>75.964324147034844</c:v>
                </c:pt>
                <c:pt idx="161">
                  <c:v>91.668044565120468</c:v>
                </c:pt>
                <c:pt idx="162">
                  <c:v>21.915174588655852</c:v>
                </c:pt>
                <c:pt idx="163">
                  <c:v>19.228469549718195</c:v>
                </c:pt>
                <c:pt idx="164">
                  <c:v>22.246499117856835</c:v>
                </c:pt>
                <c:pt idx="165">
                  <c:v>29.303719164259817</c:v>
                </c:pt>
                <c:pt idx="166">
                  <c:v>20.890189140434583</c:v>
                </c:pt>
                <c:pt idx="167">
                  <c:v>51.97456029984815</c:v>
                </c:pt>
                <c:pt idx="168">
                  <c:v>28.882269076737206</c:v>
                </c:pt>
                <c:pt idx="169">
                  <c:v>43.204782251160715</c:v>
                </c:pt>
                <c:pt idx="170">
                  <c:v>32.254946382460574</c:v>
                </c:pt>
                <c:pt idx="171">
                  <c:v>44.393882238162853</c:v>
                </c:pt>
                <c:pt idx="172">
                  <c:v>26.804801832428836</c:v>
                </c:pt>
                <c:pt idx="173">
                  <c:v>12.209882985108258</c:v>
                </c:pt>
                <c:pt idx="174">
                  <c:v>47.069430204819582</c:v>
                </c:pt>
                <c:pt idx="175">
                  <c:v>85.715909741408282</c:v>
                </c:pt>
                <c:pt idx="176">
                  <c:v>13.476721069169395</c:v>
                </c:pt>
                <c:pt idx="177">
                  <c:v>9.6537995270190109</c:v>
                </c:pt>
                <c:pt idx="178">
                  <c:v>16.458936898524218</c:v>
                </c:pt>
                <c:pt idx="179">
                  <c:v>9.6</c:v>
                </c:pt>
                <c:pt idx="180">
                  <c:v>37.700000000000003</c:v>
                </c:pt>
                <c:pt idx="181">
                  <c:v>22.710167739790624</c:v>
                </c:pt>
                <c:pt idx="182">
                  <c:v>17.406910101846648</c:v>
                </c:pt>
                <c:pt idx="183">
                  <c:v>51.67156632084766</c:v>
                </c:pt>
                <c:pt idx="184">
                  <c:v>81.117453370296147</c:v>
                </c:pt>
                <c:pt idx="185">
                  <c:v>68.563189070223302</c:v>
                </c:pt>
                <c:pt idx="186">
                  <c:v>57.210631623235614</c:v>
                </c:pt>
                <c:pt idx="187">
                  <c:v>140.85051768929378</c:v>
                </c:pt>
                <c:pt idx="188">
                  <c:v>47.952479617815747</c:v>
                </c:pt>
                <c:pt idx="189">
                  <c:v>51.038530286289038</c:v>
                </c:pt>
                <c:pt idx="190">
                  <c:v>63.05308803078983</c:v>
                </c:pt>
                <c:pt idx="191">
                  <c:v>42.139749994758247</c:v>
                </c:pt>
                <c:pt idx="192">
                  <c:v>30.18032614780606</c:v>
                </c:pt>
                <c:pt idx="193">
                  <c:v>28.740186103408671</c:v>
                </c:pt>
                <c:pt idx="194">
                  <c:v>55.163625178873723</c:v>
                </c:pt>
                <c:pt idx="195">
                  <c:v>114.4034887820299</c:v>
                </c:pt>
                <c:pt idx="196">
                  <c:v>37.193182016175925</c:v>
                </c:pt>
                <c:pt idx="197">
                  <c:v>43.997530549347147</c:v>
                </c:pt>
                <c:pt idx="198">
                  <c:v>67.086324734027073</c:v>
                </c:pt>
                <c:pt idx="199">
                  <c:v>49.52829457036222</c:v>
                </c:pt>
                <c:pt idx="200">
                  <c:v>35.627812402700506</c:v>
                </c:pt>
                <c:pt idx="201">
                  <c:v>24.451016834826838</c:v>
                </c:pt>
                <c:pt idx="202">
                  <c:v>35.189508910927394</c:v>
                </c:pt>
                <c:pt idx="203" formatCode="0">
                  <c:v>232.8</c:v>
                </c:pt>
                <c:pt idx="204">
                  <c:v>43.016356978304479</c:v>
                </c:pt>
                <c:pt idx="205">
                  <c:v>31.709931927457401</c:v>
                </c:pt>
                <c:pt idx="206">
                  <c:v>62.677399323555726</c:v>
                </c:pt>
                <c:pt idx="207">
                  <c:v>53.786099919015356</c:v>
                </c:pt>
                <c:pt idx="208">
                  <c:v>40.636995165821851</c:v>
                </c:pt>
                <c:pt idx="209">
                  <c:v>65.550374906290855</c:v>
                </c:pt>
                <c:pt idx="210">
                  <c:v>48.060365577552624</c:v>
                </c:pt>
                <c:pt idx="211">
                  <c:v>37.631485507949044</c:v>
                </c:pt>
                <c:pt idx="212">
                  <c:v>30.917183629270966</c:v>
                </c:pt>
                <c:pt idx="213">
                  <c:v>30.994318346813273</c:v>
                </c:pt>
                <c:pt idx="214">
                  <c:v>40.826537356601413</c:v>
                </c:pt>
                <c:pt idx="215">
                  <c:v>25.985135583691932</c:v>
                </c:pt>
                <c:pt idx="216">
                  <c:v>18.972279715322067</c:v>
                </c:pt>
                <c:pt idx="217">
                  <c:v>21.226411958726665</c:v>
                </c:pt>
                <c:pt idx="218">
                  <c:v>21.839743192272518</c:v>
                </c:pt>
                <c:pt idx="219">
                  <c:v>19.410583207095179</c:v>
                </c:pt>
                <c:pt idx="220">
                  <c:v>33.624139297451975</c:v>
                </c:pt>
                <c:pt idx="221">
                  <c:v>30.669449786087707</c:v>
                </c:pt>
                <c:pt idx="222">
                  <c:v>16.405073549222376</c:v>
                </c:pt>
                <c:pt idx="223">
                  <c:v>13.775252598583677</c:v>
                </c:pt>
                <c:pt idx="224">
                  <c:v>23.042240710358147</c:v>
                </c:pt>
                <c:pt idx="225">
                  <c:v>18.972279715322067</c:v>
                </c:pt>
                <c:pt idx="226">
                  <c:v>32.872761882983774</c:v>
                </c:pt>
                <c:pt idx="227">
                  <c:v>22.393649722511313</c:v>
                </c:pt>
                <c:pt idx="228">
                  <c:v>43.016356978304479</c:v>
                </c:pt>
                <c:pt idx="229">
                  <c:v>31.370007054047374</c:v>
                </c:pt>
                <c:pt idx="230">
                  <c:v>18.784435361705015</c:v>
                </c:pt>
                <c:pt idx="231">
                  <c:v>17.09197293308284</c:v>
                </c:pt>
                <c:pt idx="232">
                  <c:v>29.992481794189008</c:v>
                </c:pt>
                <c:pt idx="233">
                  <c:v>34.12505757376411</c:v>
                </c:pt>
                <c:pt idx="234">
                  <c:v>34.975240909363961</c:v>
                </c:pt>
                <c:pt idx="235">
                  <c:v>46.961088404262533</c:v>
                </c:pt>
                <c:pt idx="236">
                  <c:v>56.973243110276137</c:v>
                </c:pt>
                <c:pt idx="237">
                  <c:v>44.233392914783835</c:v>
                </c:pt>
                <c:pt idx="238">
                  <c:v>32.443096771129468</c:v>
                </c:pt>
                <c:pt idx="239">
                  <c:v>13.9</c:v>
                </c:pt>
                <c:pt idx="240">
                  <c:v>24.767534852106152</c:v>
                </c:pt>
                <c:pt idx="241">
                  <c:v>25.796218408263918</c:v>
                </c:pt>
                <c:pt idx="242">
                  <c:v>49.6</c:v>
                </c:pt>
                <c:pt idx="243" formatCode="0.00">
                  <c:v>14.891608583335721</c:v>
                </c:pt>
                <c:pt idx="244" formatCode="0.00">
                  <c:v>16.472620713738735</c:v>
                </c:pt>
                <c:pt idx="245" formatCode="0.00">
                  <c:v>44.850585259786328</c:v>
                </c:pt>
                <c:pt idx="246" formatCode="0.00">
                  <c:v>64.69895178517713</c:v>
                </c:pt>
                <c:pt idx="247" formatCode="0.00">
                  <c:v>68.939471870425336</c:v>
                </c:pt>
                <c:pt idx="248" formatCode="0.00">
                  <c:v>31.353363716067875</c:v>
                </c:pt>
                <c:pt idx="249" formatCode="0.00">
                  <c:v>34.677155813274517</c:v>
                </c:pt>
                <c:pt idx="250" formatCode="0.00">
                  <c:v>35.441717115070212</c:v>
                </c:pt>
                <c:pt idx="251" formatCode="General">
                  <c:v>4.2300000000000004</c:v>
                </c:pt>
                <c:pt idx="252" formatCode="General">
                  <c:v>3.99</c:v>
                </c:pt>
                <c:pt idx="253" formatCode="General">
                  <c:v>22.41</c:v>
                </c:pt>
                <c:pt idx="254" formatCode="General">
                  <c:v>8.67</c:v>
                </c:pt>
                <c:pt idx="255" formatCode="General">
                  <c:v>2.42</c:v>
                </c:pt>
                <c:pt idx="256" formatCode="General">
                  <c:v>4.1900000000000004</c:v>
                </c:pt>
                <c:pt idx="257" formatCode="General">
                  <c:v>2.33</c:v>
                </c:pt>
                <c:pt idx="258" formatCode="General">
                  <c:v>5.0999999999999996</c:v>
                </c:pt>
                <c:pt idx="259" formatCode="General">
                  <c:v>4.7300000000000004</c:v>
                </c:pt>
                <c:pt idx="260" formatCode="General">
                  <c:v>6.11</c:v>
                </c:pt>
                <c:pt idx="261" formatCode="General">
                  <c:v>3.7</c:v>
                </c:pt>
                <c:pt idx="262" formatCode="General">
                  <c:v>4.0999999999999996</c:v>
                </c:pt>
                <c:pt idx="263" formatCode="General">
                  <c:v>3.8</c:v>
                </c:pt>
                <c:pt idx="264" formatCode="General">
                  <c:v>3.77</c:v>
                </c:pt>
                <c:pt idx="265" formatCode="General">
                  <c:v>12.07</c:v>
                </c:pt>
                <c:pt idx="266" formatCode="General">
                  <c:v>7.49</c:v>
                </c:pt>
                <c:pt idx="267" formatCode="General">
                  <c:v>5.44</c:v>
                </c:pt>
                <c:pt idx="268" formatCode="General">
                  <c:v>31.6</c:v>
                </c:pt>
                <c:pt idx="269" formatCode="General">
                  <c:v>7.01</c:v>
                </c:pt>
                <c:pt idx="270" formatCode="General">
                  <c:v>19.96</c:v>
                </c:pt>
                <c:pt idx="271" formatCode="General">
                  <c:v>7.36</c:v>
                </c:pt>
                <c:pt idx="272" formatCode="General">
                  <c:v>5.18</c:v>
                </c:pt>
                <c:pt idx="273" formatCode="General">
                  <c:v>2.69</c:v>
                </c:pt>
                <c:pt idx="274" formatCode="General">
                  <c:v>1.3</c:v>
                </c:pt>
                <c:pt idx="275" formatCode="General">
                  <c:v>3.36</c:v>
                </c:pt>
                <c:pt idx="276" formatCode="General">
                  <c:v>7.47</c:v>
                </c:pt>
                <c:pt idx="277">
                  <c:v>55.707171041158894</c:v>
                </c:pt>
                <c:pt idx="278">
                  <c:v>14.111334630934246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B74-4799-A805-8AE0B9B0B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6953632"/>
        <c:axId val="816955600"/>
      </c:scatterChart>
      <c:valAx>
        <c:axId val="8169536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955600"/>
        <c:crosses val="autoZero"/>
        <c:crossBetween val="midCat"/>
      </c:valAx>
      <c:valAx>
        <c:axId val="816955600"/>
        <c:scaling>
          <c:orientation val="minMax"/>
          <c:max val="200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Kd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953632"/>
        <c:crosses val="autoZero"/>
        <c:crossBetween val="midCat"/>
        <c:majorUnit val="5000"/>
      </c:valAx>
      <c:spPr>
        <a:solidFill>
          <a:schemeClr val="lt1"/>
        </a:solidFill>
        <a:ln w="12700" cap="flat" cmpd="sng" algn="ctr">
          <a:solidFill>
            <a:schemeClr val="dk1"/>
          </a:solidFill>
          <a:prstDash val="solid"/>
          <a:miter lim="800000"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PFNS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chemeClr val="dk1"/>
                </a:solidFill>
              </a:ln>
              <a:effectLst/>
            </c:spPr>
          </c:marker>
          <c:xVal>
            <c:numRef>
              <c:f>'All data'!$AX$1058:$AX$1069</c:f>
              <c:numCache>
                <c:formatCode>0.00</c:formatCode>
                <c:ptCount val="12"/>
                <c:pt idx="0">
                  <c:v>4.9000000000000002E-2</c:v>
                </c:pt>
                <c:pt idx="1">
                  <c:v>2.6000000000000002E-2</c:v>
                </c:pt>
                <c:pt idx="2">
                  <c:v>6.9999999999999993E-3</c:v>
                </c:pt>
                <c:pt idx="3">
                  <c:v>3.7000000000000002E-3</c:v>
                </c:pt>
                <c:pt idx="4">
                  <c:v>8.0000000000000004E-4</c:v>
                </c:pt>
                <c:pt idx="5">
                  <c:v>2.5000000000000001E-3</c:v>
                </c:pt>
                <c:pt idx="6">
                  <c:v>2.23E-2</c:v>
                </c:pt>
                <c:pt idx="7">
                  <c:v>4.9000000000000002E-2</c:v>
                </c:pt>
                <c:pt idx="8">
                  <c:v>1.2999999999999999E-3</c:v>
                </c:pt>
                <c:pt idx="9">
                  <c:v>4.0000000000000001E-3</c:v>
                </c:pt>
                <c:pt idx="10">
                  <c:v>1.1899999999999999E-2</c:v>
                </c:pt>
                <c:pt idx="11">
                  <c:v>1.7000000000000001E-3</c:v>
                </c:pt>
              </c:numCache>
            </c:numRef>
          </c:xVal>
          <c:yVal>
            <c:numRef>
              <c:f>'All data'!$BD$1058:$BD$1069</c:f>
              <c:numCache>
                <c:formatCode>General</c:formatCode>
                <c:ptCount val="12"/>
                <c:pt idx="0">
                  <c:v>46.55</c:v>
                </c:pt>
                <c:pt idx="1">
                  <c:v>16.21</c:v>
                </c:pt>
                <c:pt idx="2">
                  <c:v>15.54</c:v>
                </c:pt>
                <c:pt idx="3">
                  <c:v>25.22</c:v>
                </c:pt>
                <c:pt idx="4">
                  <c:v>12.2</c:v>
                </c:pt>
                <c:pt idx="5" formatCode="0.00">
                  <c:v>5.88</c:v>
                </c:pt>
                <c:pt idx="6">
                  <c:v>13.73</c:v>
                </c:pt>
                <c:pt idx="7">
                  <c:v>119.76</c:v>
                </c:pt>
                <c:pt idx="8">
                  <c:v>9.4600000000000009</c:v>
                </c:pt>
                <c:pt idx="9">
                  <c:v>6.26</c:v>
                </c:pt>
                <c:pt idx="10">
                  <c:v>21.39</c:v>
                </c:pt>
                <c:pt idx="11">
                  <c:v>9.57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A52-4119-9B29-154241033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6953632"/>
        <c:axId val="816955600"/>
      </c:scatterChart>
      <c:valAx>
        <c:axId val="816953632"/>
        <c:scaling>
          <c:orientation val="minMax"/>
          <c:max val="0.60000000000000009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955600"/>
        <c:crosses val="autoZero"/>
        <c:crossBetween val="midCat"/>
      </c:valAx>
      <c:valAx>
        <c:axId val="816955600"/>
        <c:scaling>
          <c:orientation val="minMax"/>
          <c:max val="6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Kd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953632"/>
        <c:crosses val="autoZero"/>
        <c:crossBetween val="midCat"/>
      </c:valAx>
      <c:spPr>
        <a:solidFill>
          <a:schemeClr val="lt1"/>
        </a:solidFill>
        <a:ln w="12700" cap="flat" cmpd="sng" algn="ctr">
          <a:solidFill>
            <a:schemeClr val="dk1"/>
          </a:solidFill>
          <a:prstDash val="solid"/>
          <a:miter lim="800000"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PFDS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chemeClr val="dk1"/>
                </a:solidFill>
              </a:ln>
              <a:effectLst/>
            </c:spPr>
          </c:marker>
          <c:xVal>
            <c:numRef>
              <c:f>'All data'!$AX$1070:$AX$1085</c:f>
              <c:numCache>
                <c:formatCode>0.00</c:formatCode>
                <c:ptCount val="16"/>
                <c:pt idx="0">
                  <c:v>2.4799999999999999E-2</c:v>
                </c:pt>
                <c:pt idx="1">
                  <c:v>1.0200000000000001E-2</c:v>
                </c:pt>
                <c:pt idx="2">
                  <c:v>4.3400000000000001E-2</c:v>
                </c:pt>
                <c:pt idx="3">
                  <c:v>5.6000000000000008E-3</c:v>
                </c:pt>
                <c:pt idx="4">
                  <c:v>9.6600000000000005E-2</c:v>
                </c:pt>
                <c:pt idx="5">
                  <c:v>3.7000000000000002E-3</c:v>
                </c:pt>
                <c:pt idx="6">
                  <c:v>6.9999999999999993E-3</c:v>
                </c:pt>
                <c:pt idx="7">
                  <c:v>3.7000000000000002E-3</c:v>
                </c:pt>
                <c:pt idx="8">
                  <c:v>8.0000000000000004E-4</c:v>
                </c:pt>
                <c:pt idx="9">
                  <c:v>2.5000000000000001E-3</c:v>
                </c:pt>
                <c:pt idx="10">
                  <c:v>2.23E-2</c:v>
                </c:pt>
                <c:pt idx="11">
                  <c:v>4.9000000000000002E-2</c:v>
                </c:pt>
                <c:pt idx="12">
                  <c:v>1.2999999999999999E-3</c:v>
                </c:pt>
                <c:pt idx="13">
                  <c:v>4.0000000000000001E-3</c:v>
                </c:pt>
                <c:pt idx="14">
                  <c:v>1.1899999999999999E-2</c:v>
                </c:pt>
                <c:pt idx="15">
                  <c:v>1.7000000000000001E-3</c:v>
                </c:pt>
              </c:numCache>
            </c:numRef>
          </c:xVal>
          <c:yVal>
            <c:numRef>
              <c:f>'All data'!$BD$1070:$BD$1085</c:f>
              <c:numCache>
                <c:formatCode>0.0</c:formatCode>
                <c:ptCount val="16"/>
                <c:pt idx="0">
                  <c:v>177.07</c:v>
                </c:pt>
                <c:pt idx="1">
                  <c:v>13.31</c:v>
                </c:pt>
                <c:pt idx="2">
                  <c:v>101.59</c:v>
                </c:pt>
                <c:pt idx="3">
                  <c:v>9.1999999999999993</c:v>
                </c:pt>
                <c:pt idx="4">
                  <c:v>438.9</c:v>
                </c:pt>
                <c:pt idx="5" formatCode="0.00">
                  <c:v>191.48682646544191</c:v>
                </c:pt>
                <c:pt idx="6" formatCode="0.00">
                  <c:v>41.98</c:v>
                </c:pt>
                <c:pt idx="7" formatCode="General">
                  <c:v>124.51</c:v>
                </c:pt>
                <c:pt idx="8" formatCode="General">
                  <c:v>56.23</c:v>
                </c:pt>
                <c:pt idx="9" formatCode="0.00">
                  <c:v>10.36</c:v>
                </c:pt>
                <c:pt idx="10" formatCode="General">
                  <c:v>66.5</c:v>
                </c:pt>
                <c:pt idx="11" formatCode="General">
                  <c:v>324.98</c:v>
                </c:pt>
                <c:pt idx="12" formatCode="General">
                  <c:v>28.93</c:v>
                </c:pt>
                <c:pt idx="13" formatCode="General">
                  <c:v>27.34</c:v>
                </c:pt>
                <c:pt idx="14" formatCode="General">
                  <c:v>76.739999999999995</c:v>
                </c:pt>
                <c:pt idx="15" formatCode="General">
                  <c:v>13.61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44D-4154-8C55-EBEA3A920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6953632"/>
        <c:axId val="816955600"/>
      </c:scatterChart>
      <c:valAx>
        <c:axId val="816953632"/>
        <c:scaling>
          <c:orientation val="minMax"/>
          <c:max val="0.60000000000000009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955600"/>
        <c:crosses val="autoZero"/>
        <c:crossBetween val="midCat"/>
      </c:valAx>
      <c:valAx>
        <c:axId val="816955600"/>
        <c:scaling>
          <c:orientation val="minMax"/>
          <c:max val="14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Kd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953632"/>
        <c:crosses val="autoZero"/>
        <c:crossBetween val="midCat"/>
      </c:valAx>
      <c:spPr>
        <a:solidFill>
          <a:schemeClr val="lt1"/>
        </a:solidFill>
        <a:ln w="12700" cap="flat" cmpd="sng" algn="ctr">
          <a:solidFill>
            <a:schemeClr val="dk1"/>
          </a:solidFill>
          <a:prstDash val="solid"/>
          <a:miter lim="800000"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8:2 Cl-PFAES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chemeClr val="dk1"/>
                </a:solidFill>
              </a:ln>
              <a:effectLst/>
            </c:spPr>
          </c:marker>
          <c:dPt>
            <c:idx val="4"/>
            <c:marker>
              <c:symbol val="x"/>
              <c:size val="5"/>
              <c:spPr>
                <a:solidFill>
                  <a:srgbClr val="FF0000"/>
                </a:solidFill>
                <a:ln w="9525">
                  <a:solidFill>
                    <a:schemeClr val="dk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2A0-47F6-8E50-18CCC06E6E3E}"/>
              </c:ext>
            </c:extLst>
          </c:dPt>
          <c:xVal>
            <c:numRef>
              <c:f>'All data'!$AX$1096:$AX$1111</c:f>
              <c:numCache>
                <c:formatCode>0.00</c:formatCode>
                <c:ptCount val="16"/>
                <c:pt idx="0">
                  <c:v>6.9999999999999993E-3</c:v>
                </c:pt>
                <c:pt idx="1">
                  <c:v>1.2699999999999999E-2</c:v>
                </c:pt>
                <c:pt idx="2">
                  <c:v>2.2499999999999999E-2</c:v>
                </c:pt>
                <c:pt idx="3">
                  <c:v>8.6999999999999994E-3</c:v>
                </c:pt>
                <c:pt idx="4">
                  <c:v>9.8999999999999991E-3</c:v>
                </c:pt>
                <c:pt idx="5">
                  <c:v>2.7099999999999999E-2</c:v>
                </c:pt>
                <c:pt idx="6">
                  <c:v>1.46E-2</c:v>
                </c:pt>
                <c:pt idx="7">
                  <c:v>3.7000000000000002E-3</c:v>
                </c:pt>
                <c:pt idx="8">
                  <c:v>8.0000000000000004E-4</c:v>
                </c:pt>
                <c:pt idx="9">
                  <c:v>2.5000000000000001E-3</c:v>
                </c:pt>
                <c:pt idx="10">
                  <c:v>2.23E-2</c:v>
                </c:pt>
                <c:pt idx="11">
                  <c:v>4.9000000000000002E-2</c:v>
                </c:pt>
                <c:pt idx="12">
                  <c:v>1.2999999999999999E-3</c:v>
                </c:pt>
                <c:pt idx="13">
                  <c:v>4.0000000000000001E-3</c:v>
                </c:pt>
                <c:pt idx="14">
                  <c:v>1.1899999999999999E-2</c:v>
                </c:pt>
                <c:pt idx="15">
                  <c:v>1.7000000000000001E-3</c:v>
                </c:pt>
              </c:numCache>
            </c:numRef>
          </c:xVal>
          <c:yVal>
            <c:numRef>
              <c:f>'All data'!$BD$1096:$BD$1111</c:f>
              <c:numCache>
                <c:formatCode>0</c:formatCode>
                <c:ptCount val="16"/>
                <c:pt idx="0" formatCode="0.00">
                  <c:v>157.32</c:v>
                </c:pt>
                <c:pt idx="1">
                  <c:v>133.328</c:v>
                </c:pt>
                <c:pt idx="2">
                  <c:v>306.88800000000003</c:v>
                </c:pt>
                <c:pt idx="3">
                  <c:v>298.35000000000002</c:v>
                </c:pt>
                <c:pt idx="4">
                  <c:v>681.30000000000007</c:v>
                </c:pt>
                <c:pt idx="5">
                  <c:v>212.42799999999997</c:v>
                </c:pt>
                <c:pt idx="6">
                  <c:v>215.11799999999999</c:v>
                </c:pt>
                <c:pt idx="7" formatCode="General">
                  <c:v>147.41</c:v>
                </c:pt>
                <c:pt idx="8" formatCode="General">
                  <c:v>85.56</c:v>
                </c:pt>
                <c:pt idx="9" formatCode="0.00">
                  <c:v>39.659999999999997</c:v>
                </c:pt>
                <c:pt idx="10" formatCode="General">
                  <c:v>117.1</c:v>
                </c:pt>
                <c:pt idx="11" formatCode="General">
                  <c:v>307.52999999999997</c:v>
                </c:pt>
                <c:pt idx="12" formatCode="General">
                  <c:v>4.09</c:v>
                </c:pt>
                <c:pt idx="13" formatCode="General">
                  <c:v>68.25</c:v>
                </c:pt>
                <c:pt idx="14" formatCode="General">
                  <c:v>103.84</c:v>
                </c:pt>
                <c:pt idx="15" formatCode="General">
                  <c:v>2.42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2A0-47F6-8E50-18CCC06E6E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6953632"/>
        <c:axId val="816955600"/>
      </c:scatterChart>
      <c:valAx>
        <c:axId val="816953632"/>
        <c:scaling>
          <c:orientation val="minMax"/>
          <c:max val="0.60000000000000009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955600"/>
        <c:crosses val="autoZero"/>
        <c:crossBetween val="midCat"/>
      </c:valAx>
      <c:valAx>
        <c:axId val="816955600"/>
        <c:scaling>
          <c:orientation val="minMax"/>
          <c:max val="25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953632"/>
        <c:crosses val="autoZero"/>
        <c:crossBetween val="midCat"/>
        <c:majorUnit val="500"/>
      </c:valAx>
      <c:spPr>
        <a:solidFill>
          <a:schemeClr val="lt1"/>
        </a:solidFill>
        <a:ln w="12700" cap="flat" cmpd="sng" algn="ctr">
          <a:solidFill>
            <a:schemeClr val="dk1"/>
          </a:solidFill>
          <a:prstDash val="solid"/>
          <a:miter lim="800000"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dk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9897835172307041"/>
                  <c:y val="-2.491949917048750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'PFAS Properties'!$P$15:$P$65</c:f>
              <c:numCache>
                <c:formatCode>0</c:formatCode>
                <c:ptCount val="51"/>
                <c:pt idx="0">
                  <c:v>570.08529999999996</c:v>
                </c:pt>
                <c:pt idx="1">
                  <c:v>670.07889999999998</c:v>
                </c:pt>
                <c:pt idx="2">
                  <c:v>770.07249999999999</c:v>
                </c:pt>
                <c:pt idx="3">
                  <c:v>512.07989999999995</c:v>
                </c:pt>
                <c:pt idx="4">
                  <c:v>642.04769999999996</c:v>
                </c:pt>
                <c:pt idx="5">
                  <c:v>513.1019</c:v>
                </c:pt>
                <c:pt idx="6">
                  <c:v>556.08389999999997</c:v>
                </c:pt>
                <c:pt idx="7">
                  <c:v>484.0487</c:v>
                </c:pt>
                <c:pt idx="8">
                  <c:v>498.0643</c:v>
                </c:pt>
                <c:pt idx="9">
                  <c:v>264.01949999999999</c:v>
                </c:pt>
                <c:pt idx="10">
                  <c:v>364.01309999999995</c:v>
                </c:pt>
                <c:pt idx="11">
                  <c:v>464.00669999999997</c:v>
                </c:pt>
                <c:pt idx="12">
                  <c:v>564.00030000000004</c:v>
                </c:pt>
                <c:pt idx="13">
                  <c:v>113.9928</c:v>
                </c:pt>
                <c:pt idx="14">
                  <c:v>213.9864</c:v>
                </c:pt>
                <c:pt idx="15">
                  <c:v>263.98320000000001</c:v>
                </c:pt>
                <c:pt idx="16">
                  <c:v>313.97999999999996</c:v>
                </c:pt>
                <c:pt idx="17">
                  <c:v>363.97679999999997</c:v>
                </c:pt>
                <c:pt idx="18">
                  <c:v>413.97359999999998</c:v>
                </c:pt>
                <c:pt idx="19">
                  <c:v>463.97039999999998</c:v>
                </c:pt>
                <c:pt idx="20">
                  <c:v>513.96719999999993</c:v>
                </c:pt>
                <c:pt idx="21">
                  <c:v>563.96399999999994</c:v>
                </c:pt>
                <c:pt idx="22">
                  <c:v>613.96079999999995</c:v>
                </c:pt>
                <c:pt idx="23">
                  <c:v>663.95759999999996</c:v>
                </c:pt>
                <c:pt idx="24">
                  <c:v>713.95439999999996</c:v>
                </c:pt>
                <c:pt idx="25">
                  <c:v>329.97489999999993</c:v>
                </c:pt>
                <c:pt idx="26">
                  <c:v>377.976</c:v>
                </c:pt>
                <c:pt idx="27">
                  <c:v>299.9502</c:v>
                </c:pt>
                <c:pt idx="28">
                  <c:v>349.94699999999995</c:v>
                </c:pt>
                <c:pt idx="29">
                  <c:v>399.94379999999995</c:v>
                </c:pt>
                <c:pt idx="30">
                  <c:v>449.94059999999996</c:v>
                </c:pt>
                <c:pt idx="31">
                  <c:v>499.93739999999997</c:v>
                </c:pt>
                <c:pt idx="32">
                  <c:v>549.93420000000003</c:v>
                </c:pt>
                <c:pt idx="33">
                  <c:v>599.93099999999993</c:v>
                </c:pt>
                <c:pt idx="34">
                  <c:v>461.94059999999996</c:v>
                </c:pt>
                <c:pt idx="35">
                  <c:v>531.90269999999998</c:v>
                </c:pt>
                <c:pt idx="36">
                  <c:v>327.98139999999995</c:v>
                </c:pt>
                <c:pt idx="37">
                  <c:v>427.97499999999997</c:v>
                </c:pt>
                <c:pt idx="38">
                  <c:v>527.96860000000004</c:v>
                </c:pt>
                <c:pt idx="39">
                  <c:v>298.96620000000001</c:v>
                </c:pt>
                <c:pt idx="40">
                  <c:v>398.95980000000003</c:v>
                </c:pt>
                <c:pt idx="41">
                  <c:v>498.95340000000004</c:v>
                </c:pt>
                <c:pt idx="42">
                  <c:v>526.9846</c:v>
                </c:pt>
                <c:pt idx="43">
                  <c:v>570.97440000000006</c:v>
                </c:pt>
                <c:pt idx="44">
                  <c:v>584.99</c:v>
                </c:pt>
                <c:pt idx="45">
                  <c:v>399.95329999999996</c:v>
                </c:pt>
                <c:pt idx="46">
                  <c:v>499.94689999999997</c:v>
                </c:pt>
                <c:pt idx="47">
                  <c:v>599.94049999999993</c:v>
                </c:pt>
                <c:pt idx="48">
                  <c:v>701.92979999999989</c:v>
                </c:pt>
                <c:pt idx="49">
                  <c:v>801.9233999999999</c:v>
                </c:pt>
                <c:pt idx="50">
                  <c:v>901.91699999999992</c:v>
                </c:pt>
              </c:numCache>
            </c:numRef>
          </c:xVal>
          <c:yVal>
            <c:numRef>
              <c:f>'PFAS Properties'!$V$15:$V$65</c:f>
              <c:numCache>
                <c:formatCode>0.00</c:formatCode>
                <c:ptCount val="51"/>
                <c:pt idx="0">
                  <c:v>4.8</c:v>
                </c:pt>
                <c:pt idx="1">
                  <c:v>6.2</c:v>
                </c:pt>
                <c:pt idx="2">
                  <c:v>7.5</c:v>
                </c:pt>
                <c:pt idx="3">
                  <c:v>4.5999999999999996</c:v>
                </c:pt>
                <c:pt idx="4">
                  <c:v>4.5999999999999996</c:v>
                </c:pt>
                <c:pt idx="5">
                  <c:v>5.0999999999999996</c:v>
                </c:pt>
                <c:pt idx="6">
                  <c:v>5.3</c:v>
                </c:pt>
                <c:pt idx="7">
                  <c:v>4.3</c:v>
                </c:pt>
                <c:pt idx="8">
                  <c:v>4.0999999999999996</c:v>
                </c:pt>
                <c:pt idx="9">
                  <c:v>3</c:v>
                </c:pt>
                <c:pt idx="10">
                  <c:v>4.4000000000000004</c:v>
                </c:pt>
                <c:pt idx="11">
                  <c:v>5.7</c:v>
                </c:pt>
                <c:pt idx="12">
                  <c:v>7.1</c:v>
                </c:pt>
                <c:pt idx="13">
                  <c:v>0.9</c:v>
                </c:pt>
                <c:pt idx="14">
                  <c:v>2.2000000000000002</c:v>
                </c:pt>
                <c:pt idx="15">
                  <c:v>2.9</c:v>
                </c:pt>
                <c:pt idx="16">
                  <c:v>3.6</c:v>
                </c:pt>
                <c:pt idx="17">
                  <c:v>4.3</c:v>
                </c:pt>
                <c:pt idx="18">
                  <c:v>4.9000000000000004</c:v>
                </c:pt>
                <c:pt idx="19">
                  <c:v>5.6</c:v>
                </c:pt>
                <c:pt idx="20">
                  <c:v>6.3</c:v>
                </c:pt>
                <c:pt idx="21">
                  <c:v>6.9</c:v>
                </c:pt>
                <c:pt idx="22">
                  <c:v>7.6</c:v>
                </c:pt>
                <c:pt idx="23">
                  <c:v>8.3000000000000007</c:v>
                </c:pt>
                <c:pt idx="24">
                  <c:v>9</c:v>
                </c:pt>
                <c:pt idx="25">
                  <c:v>3.6</c:v>
                </c:pt>
                <c:pt idx="26">
                  <c:v>4.0999999999999996</c:v>
                </c:pt>
                <c:pt idx="27">
                  <c:v>2.2999999999999998</c:v>
                </c:pt>
                <c:pt idx="28">
                  <c:v>3</c:v>
                </c:pt>
                <c:pt idx="29">
                  <c:v>3.6</c:v>
                </c:pt>
                <c:pt idx="30">
                  <c:v>4.3</c:v>
                </c:pt>
                <c:pt idx="31">
                  <c:v>5</c:v>
                </c:pt>
                <c:pt idx="32">
                  <c:v>5.6</c:v>
                </c:pt>
                <c:pt idx="33">
                  <c:v>6.4</c:v>
                </c:pt>
                <c:pt idx="34">
                  <c:v>3.9</c:v>
                </c:pt>
                <c:pt idx="35">
                  <c:v>5.3</c:v>
                </c:pt>
                <c:pt idx="36">
                  <c:v>2.6</c:v>
                </c:pt>
                <c:pt idx="37">
                  <c:v>3.9</c:v>
                </c:pt>
                <c:pt idx="38">
                  <c:v>5.3</c:v>
                </c:pt>
                <c:pt idx="39">
                  <c:v>2.2000000000000002</c:v>
                </c:pt>
                <c:pt idx="40">
                  <c:v>3.5</c:v>
                </c:pt>
                <c:pt idx="41">
                  <c:v>4.8</c:v>
                </c:pt>
                <c:pt idx="42">
                  <c:v>5.6</c:v>
                </c:pt>
                <c:pt idx="43">
                  <c:v>5</c:v>
                </c:pt>
                <c:pt idx="44">
                  <c:v>5.4</c:v>
                </c:pt>
                <c:pt idx="45">
                  <c:v>3</c:v>
                </c:pt>
                <c:pt idx="46">
                  <c:v>4.3</c:v>
                </c:pt>
                <c:pt idx="47">
                  <c:v>5.6</c:v>
                </c:pt>
                <c:pt idx="48">
                  <c:v>8</c:v>
                </c:pt>
                <c:pt idx="49">
                  <c:v>9.4</c:v>
                </c:pt>
                <c:pt idx="50">
                  <c:v>10.7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270-4FC1-B4AE-B59355C21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2163288"/>
        <c:axId val="842166240"/>
      </c:scatterChart>
      <c:valAx>
        <c:axId val="8421632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Molecular weight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2166240"/>
        <c:crossesAt val="-6"/>
        <c:crossBetween val="midCat"/>
      </c:valAx>
      <c:valAx>
        <c:axId val="84216624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log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Kow</a:t>
                </a:r>
                <a:endParaRPr lang="en-US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2163288"/>
        <c:crosses val="autoZero"/>
        <c:crossBetween val="midCat"/>
      </c:valAx>
      <c:spPr>
        <a:solidFill>
          <a:schemeClr val="lt1"/>
        </a:solidFill>
        <a:ln w="12700" cap="flat" cmpd="sng" algn="ctr">
          <a:solidFill>
            <a:schemeClr val="dk1"/>
          </a:solidFill>
          <a:prstDash val="solid"/>
          <a:miter lim="800000"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PFOSA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chemeClr val="dk1"/>
                </a:solidFill>
              </a:ln>
              <a:effectLst/>
            </c:spPr>
          </c:marker>
          <c:dPt>
            <c:idx val="3"/>
            <c:marker>
              <c:symbol val="x"/>
              <c:size val="5"/>
              <c:spPr>
                <a:solidFill>
                  <a:srgbClr val="FF0000"/>
                </a:solidFill>
                <a:ln w="9525">
                  <a:solidFill>
                    <a:schemeClr val="dk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CEB6-4B71-BA27-0B97E09BC28F}"/>
              </c:ext>
            </c:extLst>
          </c:dPt>
          <c:dPt>
            <c:idx val="7"/>
            <c:marker>
              <c:symbol val="x"/>
              <c:size val="5"/>
              <c:spPr>
                <a:solidFill>
                  <a:srgbClr val="FF0000"/>
                </a:solidFill>
                <a:ln w="9525">
                  <a:solidFill>
                    <a:schemeClr val="dk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4BB9-4EA0-881C-5DFCAE8FF263}"/>
              </c:ext>
            </c:extLst>
          </c:dPt>
          <c:xVal>
            <c:numRef>
              <c:f>'All data'!$AX$1195:$AX$1221</c:f>
              <c:numCache>
                <c:formatCode>0.00</c:formatCode>
                <c:ptCount val="27"/>
                <c:pt idx="0">
                  <c:v>2.9999999999999997E-4</c:v>
                </c:pt>
                <c:pt idx="1">
                  <c:v>1.6E-2</c:v>
                </c:pt>
                <c:pt idx="2">
                  <c:v>1.1000000000000001E-2</c:v>
                </c:pt>
                <c:pt idx="3">
                  <c:v>0.45</c:v>
                </c:pt>
                <c:pt idx="4">
                  <c:v>0.44900000000000001</c:v>
                </c:pt>
                <c:pt idx="5">
                  <c:v>0.46600000000000003</c:v>
                </c:pt>
                <c:pt idx="6">
                  <c:v>0.53600000000000003</c:v>
                </c:pt>
                <c:pt idx="7">
                  <c:v>3.1E-2</c:v>
                </c:pt>
                <c:pt idx="8">
                  <c:v>2.2000000000000002E-2</c:v>
                </c:pt>
                <c:pt idx="9">
                  <c:v>1.6E-2</c:v>
                </c:pt>
                <c:pt idx="10">
                  <c:v>1.3000000000000001E-2</c:v>
                </c:pt>
                <c:pt idx="11">
                  <c:v>1.2E-2</c:v>
                </c:pt>
                <c:pt idx="12">
                  <c:v>1.2E-2</c:v>
                </c:pt>
                <c:pt idx="13">
                  <c:v>1.1000000000000001E-2</c:v>
                </c:pt>
                <c:pt idx="14">
                  <c:v>9.1000000000000004E-3</c:v>
                </c:pt>
                <c:pt idx="15">
                  <c:v>3.0000000000000001E-3</c:v>
                </c:pt>
                <c:pt idx="16">
                  <c:v>1.9E-3</c:v>
                </c:pt>
                <c:pt idx="17">
                  <c:v>6.9999999999999993E-3</c:v>
                </c:pt>
                <c:pt idx="18">
                  <c:v>3.7000000000000002E-3</c:v>
                </c:pt>
                <c:pt idx="19">
                  <c:v>8.0000000000000004E-4</c:v>
                </c:pt>
                <c:pt idx="20">
                  <c:v>2.5000000000000001E-3</c:v>
                </c:pt>
                <c:pt idx="21">
                  <c:v>2.23E-2</c:v>
                </c:pt>
                <c:pt idx="22">
                  <c:v>4.9000000000000002E-2</c:v>
                </c:pt>
                <c:pt idx="23">
                  <c:v>1.2999999999999999E-3</c:v>
                </c:pt>
                <c:pt idx="24">
                  <c:v>4.0000000000000001E-3</c:v>
                </c:pt>
                <c:pt idx="25">
                  <c:v>1.1899999999999999E-2</c:v>
                </c:pt>
                <c:pt idx="26">
                  <c:v>1.7000000000000001E-3</c:v>
                </c:pt>
              </c:numCache>
            </c:numRef>
          </c:xVal>
          <c:yVal>
            <c:numRef>
              <c:f>'All data'!$BD$1195:$BD$1221</c:f>
              <c:numCache>
                <c:formatCode>General</c:formatCode>
                <c:ptCount val="27"/>
                <c:pt idx="0" formatCode="0">
                  <c:v>17.54</c:v>
                </c:pt>
                <c:pt idx="1">
                  <c:v>170</c:v>
                </c:pt>
                <c:pt idx="2" formatCode="0">
                  <c:v>43.58</c:v>
                </c:pt>
                <c:pt idx="3" formatCode="0">
                  <c:v>45000</c:v>
                </c:pt>
                <c:pt idx="4" formatCode="0">
                  <c:v>578.42404871021745</c:v>
                </c:pt>
                <c:pt idx="5" formatCode="0">
                  <c:v>535.03958761754791</c:v>
                </c:pt>
                <c:pt idx="6" formatCode="0">
                  <c:v>477.71050283968816</c:v>
                </c:pt>
                <c:pt idx="7" formatCode="0.0">
                  <c:v>549.54087385762534</c:v>
                </c:pt>
                <c:pt idx="8" formatCode="0.0">
                  <c:v>188.36490894898014</c:v>
                </c:pt>
                <c:pt idx="9" formatCode="0.0">
                  <c:v>9.7723722095581103</c:v>
                </c:pt>
                <c:pt idx="10" formatCode="0.0">
                  <c:v>142.88939585111027</c:v>
                </c:pt>
                <c:pt idx="11" formatCode="0.0">
                  <c:v>25.703957827688658</c:v>
                </c:pt>
                <c:pt idx="12" formatCode="0.0">
                  <c:v>74.98942093324564</c:v>
                </c:pt>
                <c:pt idx="13" formatCode="0.0">
                  <c:v>70.794578438413865</c:v>
                </c:pt>
                <c:pt idx="14" formatCode="0.0">
                  <c:v>42.657951880159267</c:v>
                </c:pt>
                <c:pt idx="15" formatCode="0.0">
                  <c:v>64.565422903465588</c:v>
                </c:pt>
                <c:pt idx="16" formatCode="0.0">
                  <c:v>38.018939632056139</c:v>
                </c:pt>
                <c:pt idx="17" formatCode="0.0">
                  <c:v>7.42</c:v>
                </c:pt>
                <c:pt idx="18" formatCode="0.0">
                  <c:v>6.6639999999999997</c:v>
                </c:pt>
                <c:pt idx="19" formatCode="0.0">
                  <c:v>18.16</c:v>
                </c:pt>
                <c:pt idx="20" formatCode="0.0">
                  <c:v>4.18</c:v>
                </c:pt>
                <c:pt idx="21" formatCode="0.0">
                  <c:v>3.14</c:v>
                </c:pt>
                <c:pt idx="22" formatCode="0.0">
                  <c:v>47.29</c:v>
                </c:pt>
                <c:pt idx="23" formatCode="0.0">
                  <c:v>2.2200000000000002</c:v>
                </c:pt>
                <c:pt idx="24" formatCode="0.0">
                  <c:v>15.58</c:v>
                </c:pt>
                <c:pt idx="25" formatCode="0.0">
                  <c:v>8.49</c:v>
                </c:pt>
                <c:pt idx="26" formatCode="0.0">
                  <c:v>12.82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32-4BA3-B413-7BF35F020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6953632"/>
        <c:axId val="816955600"/>
      </c:scatterChart>
      <c:valAx>
        <c:axId val="8169536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foc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955600"/>
        <c:crosses val="autoZero"/>
        <c:crossBetween val="midCat"/>
      </c:valAx>
      <c:valAx>
        <c:axId val="81695560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953632"/>
        <c:crosses val="autoZero"/>
        <c:crossBetween val="midCat"/>
        <c:majorUnit val="10000"/>
      </c:valAx>
      <c:spPr>
        <a:solidFill>
          <a:schemeClr val="lt1"/>
        </a:solidFill>
        <a:ln w="12700" cap="flat" cmpd="sng" algn="ctr">
          <a:solidFill>
            <a:schemeClr val="dk1"/>
          </a:solidFill>
          <a:prstDash val="solid"/>
          <a:miter lim="800000"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6:2 FtSaB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chemeClr val="dk1"/>
                </a:solidFill>
              </a:ln>
              <a:effectLst/>
            </c:spPr>
          </c:marker>
          <c:xVal>
            <c:numRef>
              <c:f>'All data'!$AX$3:$AX$24</c:f>
              <c:numCache>
                <c:formatCode>0.000</c:formatCode>
                <c:ptCount val="22"/>
                <c:pt idx="0">
                  <c:v>3.4000000000000002E-2</c:v>
                </c:pt>
                <c:pt idx="1">
                  <c:v>1.7000000000000001E-2</c:v>
                </c:pt>
                <c:pt idx="2">
                  <c:v>2.8999999999999998E-2</c:v>
                </c:pt>
                <c:pt idx="3">
                  <c:v>7.2999999999999995E-2</c:v>
                </c:pt>
                <c:pt idx="4">
                  <c:v>1.8000000000000002E-2</c:v>
                </c:pt>
                <c:pt idx="5">
                  <c:v>0.46899999999999997</c:v>
                </c:pt>
                <c:pt idx="6">
                  <c:v>6.9999999999999993E-3</c:v>
                </c:pt>
                <c:pt idx="7">
                  <c:v>3.7000000000000002E-3</c:v>
                </c:pt>
                <c:pt idx="8">
                  <c:v>8.0000000000000004E-4</c:v>
                </c:pt>
                <c:pt idx="9">
                  <c:v>2.5000000000000001E-3</c:v>
                </c:pt>
                <c:pt idx="10">
                  <c:v>2.23E-2</c:v>
                </c:pt>
                <c:pt idx="11">
                  <c:v>4.9000000000000002E-2</c:v>
                </c:pt>
                <c:pt idx="12">
                  <c:v>1.2999999999999999E-3</c:v>
                </c:pt>
                <c:pt idx="13">
                  <c:v>4.0000000000000001E-3</c:v>
                </c:pt>
                <c:pt idx="14">
                  <c:v>1.1899999999999999E-2</c:v>
                </c:pt>
                <c:pt idx="15">
                  <c:v>1.7000000000000001E-3</c:v>
                </c:pt>
                <c:pt idx="16">
                  <c:v>1.4999999999999999E-2</c:v>
                </c:pt>
                <c:pt idx="17">
                  <c:v>1.1999999999999999E-3</c:v>
                </c:pt>
                <c:pt idx="18">
                  <c:v>2.3E-2</c:v>
                </c:pt>
                <c:pt idx="19">
                  <c:v>7.6999999999999999E-2</c:v>
                </c:pt>
                <c:pt idx="20">
                  <c:v>0.01</c:v>
                </c:pt>
                <c:pt idx="21">
                  <c:v>9.7999999999999997E-4</c:v>
                </c:pt>
              </c:numCache>
            </c:numRef>
          </c:xVal>
          <c:yVal>
            <c:numRef>
              <c:f>'All data'!$BD$3:$BD$24</c:f>
              <c:numCache>
                <c:formatCode>0.0</c:formatCode>
                <c:ptCount val="22"/>
                <c:pt idx="0">
                  <c:v>1.2648000000000001</c:v>
                </c:pt>
                <c:pt idx="1">
                  <c:v>9.6118000000000006</c:v>
                </c:pt>
                <c:pt idx="2">
                  <c:v>4.2803999999999993</c:v>
                </c:pt>
                <c:pt idx="3">
                  <c:v>8.1613999999999987</c:v>
                </c:pt>
                <c:pt idx="4">
                  <c:v>5.5008000000000008</c:v>
                </c:pt>
                <c:pt idx="5" formatCode="0">
                  <c:v>30.199517204020164</c:v>
                </c:pt>
                <c:pt idx="6" formatCode="0.00">
                  <c:v>0.15</c:v>
                </c:pt>
                <c:pt idx="7" formatCode="0.00">
                  <c:v>0.37</c:v>
                </c:pt>
                <c:pt idx="8">
                  <c:v>1.42</c:v>
                </c:pt>
                <c:pt idx="9" formatCode="0">
                  <c:v>265</c:v>
                </c:pt>
                <c:pt idx="10">
                  <c:v>0.44</c:v>
                </c:pt>
                <c:pt idx="11">
                  <c:v>1.22</c:v>
                </c:pt>
                <c:pt idx="12">
                  <c:v>1.4</c:v>
                </c:pt>
                <c:pt idx="13">
                  <c:v>1.52</c:v>
                </c:pt>
                <c:pt idx="14">
                  <c:v>1.35</c:v>
                </c:pt>
                <c:pt idx="15" formatCode="0.00">
                  <c:v>0.64</c:v>
                </c:pt>
                <c:pt idx="16" formatCode="0">
                  <c:v>31</c:v>
                </c:pt>
                <c:pt idx="17" formatCode="0">
                  <c:v>150</c:v>
                </c:pt>
                <c:pt idx="18" formatCode="0">
                  <c:v>23</c:v>
                </c:pt>
                <c:pt idx="19" formatCode="0">
                  <c:v>60</c:v>
                </c:pt>
                <c:pt idx="20" formatCode="0">
                  <c:v>74</c:v>
                </c:pt>
                <c:pt idx="21" formatCode="0">
                  <c:v>90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A2F-4800-A5B9-77EC256A4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6953632"/>
        <c:axId val="816955600"/>
      </c:scatterChart>
      <c:valAx>
        <c:axId val="816953632"/>
        <c:scaling>
          <c:orientation val="minMax"/>
          <c:max val="0.60000000000000009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955600"/>
        <c:crosses val="autoZero"/>
        <c:crossBetween val="midCat"/>
      </c:valAx>
      <c:valAx>
        <c:axId val="81695560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Kd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953632"/>
        <c:crosses val="autoZero"/>
        <c:crossBetween val="midCat"/>
      </c:valAx>
      <c:spPr>
        <a:solidFill>
          <a:schemeClr val="lt1"/>
        </a:solidFill>
        <a:ln w="12700" cap="flat" cmpd="sng" algn="ctr">
          <a:solidFill>
            <a:schemeClr val="dk1"/>
          </a:solidFill>
          <a:prstDash val="solid"/>
          <a:miter lim="800000"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PFOAAmS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chemeClr val="dk1"/>
                </a:solidFill>
              </a:ln>
              <a:effectLst/>
            </c:spPr>
          </c:marker>
          <c:xVal>
            <c:numRef>
              <c:f>'All data'!$AX$38:$AX$48</c:f>
              <c:numCache>
                <c:formatCode>0.000</c:formatCode>
                <c:ptCount val="11"/>
                <c:pt idx="0">
                  <c:v>0.46899999999999997</c:v>
                </c:pt>
                <c:pt idx="1">
                  <c:v>3.4000000000000002E-2</c:v>
                </c:pt>
                <c:pt idx="2">
                  <c:v>1.7000000000000001E-2</c:v>
                </c:pt>
                <c:pt idx="3">
                  <c:v>2.8999999999999998E-2</c:v>
                </c:pt>
                <c:pt idx="4">
                  <c:v>7.2999999999999995E-2</c:v>
                </c:pt>
                <c:pt idx="5">
                  <c:v>1.8000000000000002E-2</c:v>
                </c:pt>
                <c:pt idx="6">
                  <c:v>1E-3</c:v>
                </c:pt>
                <c:pt idx="7">
                  <c:v>1E-3</c:v>
                </c:pt>
                <c:pt idx="8">
                  <c:v>9.0000000000000011E-3</c:v>
                </c:pt>
                <c:pt idx="9">
                  <c:v>1.2E-2</c:v>
                </c:pt>
                <c:pt idx="10">
                  <c:v>5.2999999999999999E-2</c:v>
                </c:pt>
              </c:numCache>
            </c:numRef>
          </c:xVal>
          <c:yVal>
            <c:numRef>
              <c:f>'All data'!$BD$38:$BD$48</c:f>
              <c:numCache>
                <c:formatCode>0</c:formatCode>
                <c:ptCount val="11"/>
                <c:pt idx="0">
                  <c:v>457.0881896148756</c:v>
                </c:pt>
                <c:pt idx="1">
                  <c:v>12.008800000000001</c:v>
                </c:pt>
                <c:pt idx="2">
                  <c:v>32.560099999999998</c:v>
                </c:pt>
                <c:pt idx="3">
                  <c:v>80.7012</c:v>
                </c:pt>
                <c:pt idx="4">
                  <c:v>40.288699999999999</c:v>
                </c:pt>
                <c:pt idx="5">
                  <c:v>27.999000000000002</c:v>
                </c:pt>
                <c:pt idx="6" formatCode="0.0">
                  <c:v>7.2705808490156238</c:v>
                </c:pt>
                <c:pt idx="7">
                  <c:v>33.389693528550119</c:v>
                </c:pt>
                <c:pt idx="8">
                  <c:v>15.831635542528499</c:v>
                </c:pt>
                <c:pt idx="9">
                  <c:v>28.782830916403558</c:v>
                </c:pt>
                <c:pt idx="10">
                  <c:v>106.18129911255488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C01-4D29-AD6E-F1A07261D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6953632"/>
        <c:axId val="816955600"/>
      </c:scatterChart>
      <c:valAx>
        <c:axId val="816953632"/>
        <c:scaling>
          <c:orientation val="minMax"/>
          <c:max val="0.60000000000000009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foc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955600"/>
        <c:crosses val="autoZero"/>
        <c:crossBetween val="midCat"/>
      </c:valAx>
      <c:valAx>
        <c:axId val="81695560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Kd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953632"/>
        <c:crosses val="autoZero"/>
        <c:crossBetween val="midCat"/>
        <c:majorUnit val="100"/>
      </c:valAx>
      <c:spPr>
        <a:solidFill>
          <a:schemeClr val="lt1"/>
        </a:solidFill>
        <a:ln w="12700" cap="flat" cmpd="sng" algn="ctr">
          <a:solidFill>
            <a:schemeClr val="dk1"/>
          </a:solidFill>
          <a:prstDash val="solid"/>
          <a:miter lim="800000"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PFOAB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chemeClr val="dk1"/>
                </a:solidFill>
              </a:ln>
              <a:effectLst/>
            </c:spPr>
          </c:marker>
          <c:xVal>
            <c:numRef>
              <c:f>'All data'!$AX$49:$AX$59</c:f>
              <c:numCache>
                <c:formatCode>0.000</c:formatCode>
                <c:ptCount val="11"/>
                <c:pt idx="0">
                  <c:v>0.46899999999999997</c:v>
                </c:pt>
                <c:pt idx="1">
                  <c:v>3.4000000000000002E-2</c:v>
                </c:pt>
                <c:pt idx="2">
                  <c:v>1.7000000000000001E-2</c:v>
                </c:pt>
                <c:pt idx="3">
                  <c:v>2.8999999999999998E-2</c:v>
                </c:pt>
                <c:pt idx="4">
                  <c:v>7.2999999999999995E-2</c:v>
                </c:pt>
                <c:pt idx="5">
                  <c:v>1.8000000000000002E-2</c:v>
                </c:pt>
                <c:pt idx="6">
                  <c:v>1E-3</c:v>
                </c:pt>
                <c:pt idx="7">
                  <c:v>1E-3</c:v>
                </c:pt>
                <c:pt idx="8">
                  <c:v>9.0000000000000011E-3</c:v>
                </c:pt>
                <c:pt idx="9">
                  <c:v>1.2E-2</c:v>
                </c:pt>
                <c:pt idx="10">
                  <c:v>5.2999999999999999E-2</c:v>
                </c:pt>
              </c:numCache>
            </c:numRef>
          </c:xVal>
          <c:yVal>
            <c:numRef>
              <c:f>'All data'!$BD$49:$BD$59</c:f>
              <c:numCache>
                <c:formatCode>0.00</c:formatCode>
                <c:ptCount val="11"/>
                <c:pt idx="0" formatCode="0">
                  <c:v>50.118723362727238</c:v>
                </c:pt>
                <c:pt idx="1">
                  <c:v>0.87380000000000002</c:v>
                </c:pt>
                <c:pt idx="2" formatCode="0.0">
                  <c:v>4.5933999999999999</c:v>
                </c:pt>
                <c:pt idx="3" formatCode="0.0">
                  <c:v>4.7849999999999993</c:v>
                </c:pt>
                <c:pt idx="4" formatCode="0.0">
                  <c:v>7.0225999999999997</c:v>
                </c:pt>
                <c:pt idx="5" formatCode="0.0">
                  <c:v>1.9116000000000002</c:v>
                </c:pt>
                <c:pt idx="6" formatCode="0.0">
                  <c:v>1.1950038198728716</c:v>
                </c:pt>
                <c:pt idx="7" formatCode="0.0">
                  <c:v>4.3596220469965017</c:v>
                </c:pt>
                <c:pt idx="8" formatCode="0.0">
                  <c:v>4.9209423080959338</c:v>
                </c:pt>
                <c:pt idx="9" formatCode="0.0">
                  <c:v>1.4120386148219302</c:v>
                </c:pt>
                <c:pt idx="10" formatCode="0.0">
                  <c:v>2.7838620253091007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320-43C5-93E4-6BACF9581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6953632"/>
        <c:axId val="816955600"/>
      </c:scatterChart>
      <c:valAx>
        <c:axId val="816953632"/>
        <c:scaling>
          <c:orientation val="minMax"/>
          <c:max val="0.60000000000000009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foc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955600"/>
        <c:crosses val="autoZero"/>
        <c:crossBetween val="midCat"/>
      </c:valAx>
      <c:valAx>
        <c:axId val="81695560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Kd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953632"/>
        <c:crosses val="autoZero"/>
        <c:crossBetween val="midCat"/>
      </c:valAx>
      <c:spPr>
        <a:solidFill>
          <a:schemeClr val="lt1"/>
        </a:solidFill>
        <a:ln w="12700" cap="flat" cmpd="sng" algn="ctr">
          <a:solidFill>
            <a:schemeClr val="dk1"/>
          </a:solidFill>
          <a:prstDash val="solid"/>
          <a:miter lim="800000"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PFBA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dk1"/>
                </a:solidFill>
              </a:ln>
              <a:effectLst/>
            </c:spPr>
          </c:marker>
          <c:dPt>
            <c:idx val="3"/>
            <c:marker>
              <c:symbol val="x"/>
              <c:size val="6"/>
              <c:spPr>
                <a:solidFill>
                  <a:srgbClr val="FF0000"/>
                </a:solidFill>
                <a:ln w="9525">
                  <a:solidFill>
                    <a:schemeClr val="dk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8593-4C4B-9898-5E4802618757}"/>
              </c:ext>
            </c:extLst>
          </c:dPt>
          <c:xVal>
            <c:numRef>
              <c:f>'All data'!$AX$112:$AX$136</c:f>
              <c:numCache>
                <c:formatCode>0.000</c:formatCode>
                <c:ptCount val="25"/>
                <c:pt idx="0">
                  <c:v>4.0000000000000001E-3</c:v>
                </c:pt>
                <c:pt idx="1">
                  <c:v>9.300000000000001E-3</c:v>
                </c:pt>
                <c:pt idx="2">
                  <c:v>1.7000000000000001E-2</c:v>
                </c:pt>
                <c:pt idx="3">
                  <c:v>4.4999999999999998E-2</c:v>
                </c:pt>
                <c:pt idx="4">
                  <c:v>8.0000000000000002E-3</c:v>
                </c:pt>
                <c:pt idx="5">
                  <c:v>1.43E-2</c:v>
                </c:pt>
                <c:pt idx="6">
                  <c:v>4.9000000000000002E-2</c:v>
                </c:pt>
                <c:pt idx="7">
                  <c:v>1.6E-2</c:v>
                </c:pt>
                <c:pt idx="8">
                  <c:v>7.6999999999999999E-2</c:v>
                </c:pt>
                <c:pt idx="9">
                  <c:v>9.4E-2</c:v>
                </c:pt>
                <c:pt idx="10">
                  <c:v>0.27</c:v>
                </c:pt>
                <c:pt idx="11">
                  <c:v>0.32</c:v>
                </c:pt>
                <c:pt idx="12">
                  <c:v>0.39</c:v>
                </c:pt>
                <c:pt idx="13">
                  <c:v>0.41</c:v>
                </c:pt>
                <c:pt idx="14">
                  <c:v>0.45</c:v>
                </c:pt>
                <c:pt idx="15">
                  <c:v>6.9999999999999993E-3</c:v>
                </c:pt>
                <c:pt idx="16">
                  <c:v>3.7000000000000002E-3</c:v>
                </c:pt>
                <c:pt idx="17">
                  <c:v>8.0000000000000004E-4</c:v>
                </c:pt>
                <c:pt idx="18">
                  <c:v>2.5000000000000001E-3</c:v>
                </c:pt>
                <c:pt idx="19">
                  <c:v>2.23E-2</c:v>
                </c:pt>
                <c:pt idx="20">
                  <c:v>4.9000000000000002E-2</c:v>
                </c:pt>
                <c:pt idx="21">
                  <c:v>1.2999999999999999E-3</c:v>
                </c:pt>
                <c:pt idx="22">
                  <c:v>4.0000000000000001E-3</c:v>
                </c:pt>
                <c:pt idx="23">
                  <c:v>1.1899999999999999E-2</c:v>
                </c:pt>
                <c:pt idx="24">
                  <c:v>1.7000000000000001E-3</c:v>
                </c:pt>
              </c:numCache>
            </c:numRef>
          </c:xVal>
          <c:yVal>
            <c:numRef>
              <c:f>'All data'!$BD$112:$BD$136</c:f>
              <c:numCache>
                <c:formatCode>0.00</c:formatCode>
                <c:ptCount val="25"/>
                <c:pt idx="0">
                  <c:v>0.11</c:v>
                </c:pt>
                <c:pt idx="1">
                  <c:v>0.12</c:v>
                </c:pt>
                <c:pt idx="2">
                  <c:v>0.61</c:v>
                </c:pt>
                <c:pt idx="3" formatCode="0.0">
                  <c:v>3.18</c:v>
                </c:pt>
                <c:pt idx="4">
                  <c:v>0.79</c:v>
                </c:pt>
                <c:pt idx="5" formatCode="General">
                  <c:v>0.85</c:v>
                </c:pt>
                <c:pt idx="6" formatCode="General">
                  <c:v>0.24</c:v>
                </c:pt>
                <c:pt idx="7" formatCode="General">
                  <c:v>0.55000000000000004</c:v>
                </c:pt>
                <c:pt idx="8" formatCode="General">
                  <c:v>0.89</c:v>
                </c:pt>
                <c:pt idx="9" formatCode="General">
                  <c:v>0.33</c:v>
                </c:pt>
                <c:pt idx="10" formatCode="General">
                  <c:v>0.91</c:v>
                </c:pt>
                <c:pt idx="11" formatCode="General">
                  <c:v>1.2</c:v>
                </c:pt>
                <c:pt idx="12" formatCode="General">
                  <c:v>1.7</c:v>
                </c:pt>
                <c:pt idx="13" formatCode="General">
                  <c:v>1.2</c:v>
                </c:pt>
                <c:pt idx="14" formatCode="0.0">
                  <c:v>2.8393080501608705</c:v>
                </c:pt>
                <c:pt idx="15">
                  <c:v>0.44</c:v>
                </c:pt>
                <c:pt idx="16" formatCode="General">
                  <c:v>0.41</c:v>
                </c:pt>
                <c:pt idx="17" formatCode="General">
                  <c:v>0.32</c:v>
                </c:pt>
                <c:pt idx="18">
                  <c:v>0.2</c:v>
                </c:pt>
                <c:pt idx="19" formatCode="General">
                  <c:v>0.31</c:v>
                </c:pt>
                <c:pt idx="20" formatCode="General">
                  <c:v>0.47</c:v>
                </c:pt>
                <c:pt idx="21" formatCode="General">
                  <c:v>0.22</c:v>
                </c:pt>
                <c:pt idx="22" formatCode="General">
                  <c:v>0.06</c:v>
                </c:pt>
                <c:pt idx="23" formatCode="General">
                  <c:v>0.23</c:v>
                </c:pt>
                <c:pt idx="24">
                  <c:v>0.3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38F-4B55-AD6D-009E2B515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6953632"/>
        <c:axId val="816955600"/>
      </c:scatterChart>
      <c:valAx>
        <c:axId val="816953632"/>
        <c:scaling>
          <c:orientation val="minMax"/>
          <c:max val="0.60000000000000009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955600"/>
        <c:crossesAt val="0"/>
        <c:crossBetween val="midCat"/>
      </c:valAx>
      <c:valAx>
        <c:axId val="81695560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Kd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953632"/>
        <c:crossesAt val="0"/>
        <c:crossBetween val="midCat"/>
      </c:valAx>
      <c:spPr>
        <a:solidFill>
          <a:schemeClr val="lt1"/>
        </a:solidFill>
        <a:ln w="12700" cap="flat" cmpd="sng" algn="ctr">
          <a:solidFill>
            <a:schemeClr val="dk1"/>
          </a:solidFill>
          <a:prstDash val="solid"/>
          <a:miter lim="800000"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PFPeA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chemeClr val="dk1"/>
                </a:solidFill>
              </a:ln>
              <a:effectLst/>
            </c:spPr>
          </c:marker>
          <c:dPt>
            <c:idx val="9"/>
            <c:marker>
              <c:symbol val="x"/>
              <c:size val="5"/>
              <c:spPr>
                <a:solidFill>
                  <a:srgbClr val="FF0000"/>
                </a:solidFill>
                <a:ln w="9525">
                  <a:solidFill>
                    <a:schemeClr val="dk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58B0-4CD4-8E35-002555943356}"/>
              </c:ext>
            </c:extLst>
          </c:dPt>
          <c:dPt>
            <c:idx val="10"/>
            <c:marker>
              <c:symbol val="x"/>
              <c:size val="5"/>
              <c:spPr>
                <a:solidFill>
                  <a:srgbClr val="FF0000"/>
                </a:solidFill>
                <a:ln w="9525">
                  <a:solidFill>
                    <a:schemeClr val="dk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58B0-4CD4-8E35-002555943356}"/>
              </c:ext>
            </c:extLst>
          </c:dPt>
          <c:dPt>
            <c:idx val="11"/>
            <c:marker>
              <c:symbol val="x"/>
              <c:size val="5"/>
              <c:spPr>
                <a:solidFill>
                  <a:srgbClr val="FF0000"/>
                </a:solidFill>
                <a:ln w="9525">
                  <a:solidFill>
                    <a:schemeClr val="dk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8B0-4CD4-8E35-002555943356}"/>
              </c:ext>
            </c:extLst>
          </c:dPt>
          <c:xVal>
            <c:numRef>
              <c:f>'All data'!$AX$137:$AX$164</c:f>
              <c:numCache>
                <c:formatCode>0.000</c:formatCode>
                <c:ptCount val="28"/>
                <c:pt idx="0">
                  <c:v>4.0000000000000001E-3</c:v>
                </c:pt>
                <c:pt idx="1">
                  <c:v>9.300000000000001E-3</c:v>
                </c:pt>
                <c:pt idx="2">
                  <c:v>1.7000000000000001E-2</c:v>
                </c:pt>
                <c:pt idx="3">
                  <c:v>4.4999999999999998E-2</c:v>
                </c:pt>
                <c:pt idx="4">
                  <c:v>8.0000000000000002E-3</c:v>
                </c:pt>
                <c:pt idx="5">
                  <c:v>0.45</c:v>
                </c:pt>
                <c:pt idx="6">
                  <c:v>4.9000000000000002E-2</c:v>
                </c:pt>
                <c:pt idx="7">
                  <c:v>2.6000000000000002E-2</c:v>
                </c:pt>
                <c:pt idx="8">
                  <c:v>1.43E-2</c:v>
                </c:pt>
                <c:pt idx="9">
                  <c:v>0.04</c:v>
                </c:pt>
                <c:pt idx="10">
                  <c:v>0.02</c:v>
                </c:pt>
                <c:pt idx="11">
                  <c:v>2.2000000000000002E-2</c:v>
                </c:pt>
                <c:pt idx="12">
                  <c:v>3.8199999999999998E-2</c:v>
                </c:pt>
                <c:pt idx="13">
                  <c:v>5.1999999999999998E-3</c:v>
                </c:pt>
                <c:pt idx="14">
                  <c:v>2.5800000000000003E-3</c:v>
                </c:pt>
                <c:pt idx="15">
                  <c:v>9.2800000000000001E-3</c:v>
                </c:pt>
                <c:pt idx="16">
                  <c:v>2.4799999999999999E-2</c:v>
                </c:pt>
                <c:pt idx="17">
                  <c:v>9.9299999999999996E-3</c:v>
                </c:pt>
                <c:pt idx="18">
                  <c:v>6.9999999999999993E-3</c:v>
                </c:pt>
                <c:pt idx="19">
                  <c:v>3.7000000000000002E-3</c:v>
                </c:pt>
                <c:pt idx="20">
                  <c:v>8.0000000000000004E-4</c:v>
                </c:pt>
                <c:pt idx="21">
                  <c:v>2.5000000000000001E-3</c:v>
                </c:pt>
                <c:pt idx="22">
                  <c:v>2.23E-2</c:v>
                </c:pt>
                <c:pt idx="23">
                  <c:v>4.9000000000000002E-2</c:v>
                </c:pt>
                <c:pt idx="24">
                  <c:v>1.2999999999999999E-3</c:v>
                </c:pt>
                <c:pt idx="25">
                  <c:v>4.0000000000000001E-3</c:v>
                </c:pt>
                <c:pt idx="26">
                  <c:v>1.1899999999999999E-2</c:v>
                </c:pt>
                <c:pt idx="27">
                  <c:v>1.7000000000000001E-3</c:v>
                </c:pt>
              </c:numCache>
            </c:numRef>
          </c:xVal>
          <c:yVal>
            <c:numRef>
              <c:f>'All data'!$BD$137:$BD$164</c:f>
              <c:numCache>
                <c:formatCode>0.00</c:formatCode>
                <c:ptCount val="28"/>
                <c:pt idx="0">
                  <c:v>0.21</c:v>
                </c:pt>
                <c:pt idx="1">
                  <c:v>0.23</c:v>
                </c:pt>
                <c:pt idx="2">
                  <c:v>0.24</c:v>
                </c:pt>
                <c:pt idx="3">
                  <c:v>0.36</c:v>
                </c:pt>
                <c:pt idx="4">
                  <c:v>0.53</c:v>
                </c:pt>
                <c:pt idx="5" formatCode="0.0">
                  <c:v>8.9786804173599624</c:v>
                </c:pt>
                <c:pt idx="6" formatCode="General">
                  <c:v>0.54</c:v>
                </c:pt>
                <c:pt idx="7" formatCode="General">
                  <c:v>0.13</c:v>
                </c:pt>
                <c:pt idx="8" formatCode="General">
                  <c:v>0.57999999999999996</c:v>
                </c:pt>
                <c:pt idx="9" formatCode="0">
                  <c:v>35</c:v>
                </c:pt>
                <c:pt idx="10" formatCode="0">
                  <c:v>26.9</c:v>
                </c:pt>
                <c:pt idx="11" formatCode="0">
                  <c:v>28.8</c:v>
                </c:pt>
                <c:pt idx="12">
                  <c:v>0.297357806760568</c:v>
                </c:pt>
                <c:pt idx="13">
                  <c:v>0.49554833048530611</c:v>
                </c:pt>
                <c:pt idx="14">
                  <c:v>0.46874859013386433</c:v>
                </c:pt>
                <c:pt idx="15">
                  <c:v>0.262307292368131</c:v>
                </c:pt>
                <c:pt idx="16">
                  <c:v>0.43657162080158596</c:v>
                </c:pt>
                <c:pt idx="17">
                  <c:v>0.35027345241725832</c:v>
                </c:pt>
                <c:pt idx="18">
                  <c:v>0.36</c:v>
                </c:pt>
                <c:pt idx="19" formatCode="General">
                  <c:v>0.35</c:v>
                </c:pt>
                <c:pt idx="20" formatCode="General">
                  <c:v>0.24</c:v>
                </c:pt>
                <c:pt idx="21">
                  <c:v>0.15</c:v>
                </c:pt>
                <c:pt idx="22" formatCode="General">
                  <c:v>0.31</c:v>
                </c:pt>
                <c:pt idx="23" formatCode="General">
                  <c:v>0.44</c:v>
                </c:pt>
                <c:pt idx="24">
                  <c:v>0.2</c:v>
                </c:pt>
                <c:pt idx="25" formatCode="General">
                  <c:v>0.04</c:v>
                </c:pt>
                <c:pt idx="26">
                  <c:v>0.2</c:v>
                </c:pt>
                <c:pt idx="27" formatCode="General">
                  <c:v>0.28000000000000003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8B2-4F13-AA7B-63A24241A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6953632"/>
        <c:axId val="816955600"/>
      </c:scatterChart>
      <c:valAx>
        <c:axId val="816953632"/>
        <c:scaling>
          <c:orientation val="minMax"/>
          <c:max val="0.60000000000000009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foc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955600"/>
        <c:crossesAt val="1.0000000000000002E-2"/>
        <c:crossBetween val="midCat"/>
      </c:valAx>
      <c:valAx>
        <c:axId val="81695560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Kd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953632"/>
        <c:crosses val="autoZero"/>
        <c:crossBetween val="midCat"/>
      </c:valAx>
      <c:spPr>
        <a:solidFill>
          <a:schemeClr val="lt1"/>
        </a:solidFill>
        <a:ln w="12700" cap="flat" cmpd="sng" algn="ctr">
          <a:solidFill>
            <a:schemeClr val="dk1"/>
          </a:solidFill>
          <a:prstDash val="solid"/>
          <a:miter lim="800000"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13" Type="http://schemas.openxmlformats.org/officeDocument/2006/relationships/chart" Target="../charts/chart16.xml"/><Relationship Id="rId18" Type="http://schemas.openxmlformats.org/officeDocument/2006/relationships/chart" Target="../charts/chart21.xml"/><Relationship Id="rId26" Type="http://schemas.openxmlformats.org/officeDocument/2006/relationships/chart" Target="../charts/chart29.xml"/><Relationship Id="rId3" Type="http://schemas.openxmlformats.org/officeDocument/2006/relationships/chart" Target="../charts/chart6.xml"/><Relationship Id="rId21" Type="http://schemas.openxmlformats.org/officeDocument/2006/relationships/chart" Target="../charts/chart24.xml"/><Relationship Id="rId7" Type="http://schemas.openxmlformats.org/officeDocument/2006/relationships/chart" Target="../charts/chart10.xml"/><Relationship Id="rId12" Type="http://schemas.openxmlformats.org/officeDocument/2006/relationships/chart" Target="../charts/chart15.xml"/><Relationship Id="rId17" Type="http://schemas.openxmlformats.org/officeDocument/2006/relationships/chart" Target="../charts/chart20.xml"/><Relationship Id="rId25" Type="http://schemas.openxmlformats.org/officeDocument/2006/relationships/chart" Target="../charts/chart28.xml"/><Relationship Id="rId2" Type="http://schemas.openxmlformats.org/officeDocument/2006/relationships/chart" Target="../charts/chart5.xml"/><Relationship Id="rId16" Type="http://schemas.openxmlformats.org/officeDocument/2006/relationships/chart" Target="../charts/chart19.xml"/><Relationship Id="rId20" Type="http://schemas.openxmlformats.org/officeDocument/2006/relationships/chart" Target="../charts/chart23.xml"/><Relationship Id="rId1" Type="http://schemas.openxmlformats.org/officeDocument/2006/relationships/chart" Target="../charts/chart4.xml"/><Relationship Id="rId6" Type="http://schemas.openxmlformats.org/officeDocument/2006/relationships/chart" Target="../charts/chart9.xml"/><Relationship Id="rId11" Type="http://schemas.openxmlformats.org/officeDocument/2006/relationships/chart" Target="../charts/chart14.xml"/><Relationship Id="rId24" Type="http://schemas.openxmlformats.org/officeDocument/2006/relationships/chart" Target="../charts/chart27.xml"/><Relationship Id="rId5" Type="http://schemas.openxmlformats.org/officeDocument/2006/relationships/chart" Target="../charts/chart8.xml"/><Relationship Id="rId15" Type="http://schemas.openxmlformats.org/officeDocument/2006/relationships/chart" Target="../charts/chart18.xml"/><Relationship Id="rId23" Type="http://schemas.openxmlformats.org/officeDocument/2006/relationships/chart" Target="../charts/chart26.xml"/><Relationship Id="rId10" Type="http://schemas.openxmlformats.org/officeDocument/2006/relationships/chart" Target="../charts/chart13.xml"/><Relationship Id="rId19" Type="http://schemas.openxmlformats.org/officeDocument/2006/relationships/chart" Target="../charts/chart22.xml"/><Relationship Id="rId4" Type="http://schemas.openxmlformats.org/officeDocument/2006/relationships/chart" Target="../charts/chart7.xml"/><Relationship Id="rId9" Type="http://schemas.openxmlformats.org/officeDocument/2006/relationships/chart" Target="../charts/chart12.xml"/><Relationship Id="rId14" Type="http://schemas.openxmlformats.org/officeDocument/2006/relationships/chart" Target="../charts/chart17.xml"/><Relationship Id="rId22" Type="http://schemas.openxmlformats.org/officeDocument/2006/relationships/chart" Target="../charts/chart2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306161</xdr:colOff>
      <xdr:row>68</xdr:row>
      <xdr:rowOff>82458</xdr:rowOff>
    </xdr:from>
    <xdr:to>
      <xdr:col>4</xdr:col>
      <xdr:colOff>0</xdr:colOff>
      <xdr:row>84</xdr:row>
      <xdr:rowOff>6802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061DE4E-FA53-474E-9421-FF20768FE3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68</xdr:row>
      <xdr:rowOff>126274</xdr:rowOff>
    </xdr:from>
    <xdr:to>
      <xdr:col>6</xdr:col>
      <xdr:colOff>1768929</xdr:colOff>
      <xdr:row>84</xdr:row>
      <xdr:rowOff>46808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E05C155-CE53-4B7E-A576-A41C707E6A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1735729</xdr:colOff>
      <xdr:row>69</xdr:row>
      <xdr:rowOff>19594</xdr:rowOff>
    </xdr:from>
    <xdr:to>
      <xdr:col>6</xdr:col>
      <xdr:colOff>5252359</xdr:colOff>
      <xdr:row>84</xdr:row>
      <xdr:rowOff>126546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AC8AAEC-3EC7-4F2B-A070-C3DBC19640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47051</xdr:colOff>
      <xdr:row>92</xdr:row>
      <xdr:rowOff>170772</xdr:rowOff>
    </xdr:from>
    <xdr:to>
      <xdr:col>12</xdr:col>
      <xdr:colOff>11013</xdr:colOff>
      <xdr:row>108</xdr:row>
      <xdr:rowOff>7150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1DC00DA-B472-402F-A108-28F9A58561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7908</xdr:colOff>
      <xdr:row>109</xdr:row>
      <xdr:rowOff>91336</xdr:rowOff>
    </xdr:from>
    <xdr:to>
      <xdr:col>5</xdr:col>
      <xdr:colOff>569883</xdr:colOff>
      <xdr:row>124</xdr:row>
      <xdr:rowOff>108480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2612DBC-33EF-4473-A753-20FED1A6D6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19938</xdr:colOff>
      <xdr:row>124</xdr:row>
      <xdr:rowOff>164483</xdr:rowOff>
    </xdr:from>
    <xdr:to>
      <xdr:col>5</xdr:col>
      <xdr:colOff>587470</xdr:colOff>
      <xdr:row>140</xdr:row>
      <xdr:rowOff>14196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3012863-40EC-4BD5-B3F5-FB6B813911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162421</xdr:colOff>
      <xdr:row>124</xdr:row>
      <xdr:rowOff>157541</xdr:rowOff>
    </xdr:from>
    <xdr:to>
      <xdr:col>12</xdr:col>
      <xdr:colOff>97650</xdr:colOff>
      <xdr:row>139</xdr:row>
      <xdr:rowOff>168972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FBBA16F6-BEA3-4087-9B2D-493363DF0E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146685</xdr:colOff>
      <xdr:row>0</xdr:row>
      <xdr:rowOff>83820</xdr:rowOff>
    </xdr:from>
    <xdr:to>
      <xdr:col>12</xdr:col>
      <xdr:colOff>125730</xdr:colOff>
      <xdr:row>15</xdr:row>
      <xdr:rowOff>102870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83D22E65-73EF-4BCE-B50B-949D563BAF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188595</xdr:colOff>
      <xdr:row>0</xdr:row>
      <xdr:rowOff>68580</xdr:rowOff>
    </xdr:from>
    <xdr:to>
      <xdr:col>18</xdr:col>
      <xdr:colOff>167640</xdr:colOff>
      <xdr:row>15</xdr:row>
      <xdr:rowOff>87630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E2F5DC23-F812-4784-B2FC-8025A266B9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53340</xdr:colOff>
      <xdr:row>15</xdr:row>
      <xdr:rowOff>114300</xdr:rowOff>
    </xdr:from>
    <xdr:to>
      <xdr:col>6</xdr:col>
      <xdr:colOff>28575</xdr:colOff>
      <xdr:row>30</xdr:row>
      <xdr:rowOff>129540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C75ADA5D-5F61-4FC9-80CA-560DCE7120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70485</xdr:colOff>
      <xdr:row>16</xdr:row>
      <xdr:rowOff>0</xdr:rowOff>
    </xdr:from>
    <xdr:to>
      <xdr:col>12</xdr:col>
      <xdr:colOff>49530</xdr:colOff>
      <xdr:row>31</xdr:row>
      <xdr:rowOff>19050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F60B95A1-ADA9-4E0A-B644-583335E723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165735</xdr:colOff>
      <xdr:row>15</xdr:row>
      <xdr:rowOff>135255</xdr:rowOff>
    </xdr:from>
    <xdr:to>
      <xdr:col>18</xdr:col>
      <xdr:colOff>148590</xdr:colOff>
      <xdr:row>30</xdr:row>
      <xdr:rowOff>150495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14EF1439-692E-4C42-A1D3-7049439C3A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49530</xdr:colOff>
      <xdr:row>30</xdr:row>
      <xdr:rowOff>158115</xdr:rowOff>
    </xdr:from>
    <xdr:to>
      <xdr:col>6</xdr:col>
      <xdr:colOff>28575</xdr:colOff>
      <xdr:row>45</xdr:row>
      <xdr:rowOff>177165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782739F0-B421-4C08-99B2-85E40FA196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</xdr:col>
      <xdr:colOff>106680</xdr:colOff>
      <xdr:row>30</xdr:row>
      <xdr:rowOff>156210</xdr:rowOff>
    </xdr:from>
    <xdr:to>
      <xdr:col>12</xdr:col>
      <xdr:colOff>85725</xdr:colOff>
      <xdr:row>45</xdr:row>
      <xdr:rowOff>175260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F5F68E6C-55E1-4A21-A1A2-7F0162944D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235437</xdr:colOff>
      <xdr:row>93</xdr:row>
      <xdr:rowOff>12578</xdr:rowOff>
    </xdr:from>
    <xdr:to>
      <xdr:col>18</xdr:col>
      <xdr:colOff>203209</xdr:colOff>
      <xdr:row>108</xdr:row>
      <xdr:rowOff>31628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FAAE26BB-EF44-4794-A901-624AF08CAE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12</xdr:col>
      <xdr:colOff>207645</xdr:colOff>
      <xdr:row>31</xdr:row>
      <xdr:rowOff>11430</xdr:rowOff>
    </xdr:from>
    <xdr:to>
      <xdr:col>18</xdr:col>
      <xdr:colOff>186690</xdr:colOff>
      <xdr:row>46</xdr:row>
      <xdr:rowOff>38100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5EBAB239-4E61-4138-B340-8085A5DE8B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</xdr:col>
      <xdr:colOff>563254</xdr:colOff>
      <xdr:row>109</xdr:row>
      <xdr:rowOff>93528</xdr:rowOff>
    </xdr:from>
    <xdr:to>
      <xdr:col>11</xdr:col>
      <xdr:colOff>515786</xdr:colOff>
      <xdr:row>124</xdr:row>
      <xdr:rowOff>118292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B5B64431-49E9-4F51-9C62-0D1E335B2C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11</xdr:col>
      <xdr:colOff>600206</xdr:colOff>
      <xdr:row>109</xdr:row>
      <xdr:rowOff>156576</xdr:rowOff>
    </xdr:from>
    <xdr:to>
      <xdr:col>17</xdr:col>
      <xdr:colOff>535592</xdr:colOff>
      <xdr:row>124</xdr:row>
      <xdr:rowOff>173720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7F84ADBC-B44C-4249-B765-5390FB9B10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68580</xdr:colOff>
      <xdr:row>0</xdr:row>
      <xdr:rowOff>60960</xdr:rowOff>
    </xdr:from>
    <xdr:to>
      <xdr:col>6</xdr:col>
      <xdr:colOff>41910</xdr:colOff>
      <xdr:row>15</xdr:row>
      <xdr:rowOff>83820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91F59780-2B4F-4A1F-A9C5-9C42935221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45720</xdr:colOff>
      <xdr:row>46</xdr:row>
      <xdr:rowOff>53340</xdr:rowOff>
    </xdr:from>
    <xdr:to>
      <xdr:col>6</xdr:col>
      <xdr:colOff>24765</xdr:colOff>
      <xdr:row>61</xdr:row>
      <xdr:rowOff>167640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A58C4810-6B5F-42DE-9252-2D328374FA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</xdr:col>
      <xdr:colOff>106680</xdr:colOff>
      <xdr:row>46</xdr:row>
      <xdr:rowOff>30480</xdr:rowOff>
    </xdr:from>
    <xdr:to>
      <xdr:col>12</xdr:col>
      <xdr:colOff>85725</xdr:colOff>
      <xdr:row>61</xdr:row>
      <xdr:rowOff>49530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26243C10-4641-4552-8F54-5718095688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12</xdr:col>
      <xdr:colOff>198329</xdr:colOff>
      <xdr:row>46</xdr:row>
      <xdr:rowOff>73068</xdr:rowOff>
    </xdr:from>
    <xdr:to>
      <xdr:col>18</xdr:col>
      <xdr:colOff>181550</xdr:colOff>
      <xdr:row>61</xdr:row>
      <xdr:rowOff>92119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BE667EBB-89D0-4792-BD52-538BBDA35E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24008</xdr:colOff>
      <xdr:row>62</xdr:row>
      <xdr:rowOff>20876</xdr:rowOff>
    </xdr:from>
    <xdr:to>
      <xdr:col>6</xdr:col>
      <xdr:colOff>3053</xdr:colOff>
      <xdr:row>77</xdr:row>
      <xdr:rowOff>39926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A1BEA289-FAFA-4007-B36A-858250E79F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6</xdr:col>
      <xdr:colOff>95406</xdr:colOff>
      <xdr:row>62</xdr:row>
      <xdr:rowOff>8247</xdr:rowOff>
    </xdr:from>
    <xdr:to>
      <xdr:col>12</xdr:col>
      <xdr:colOff>78260</xdr:colOff>
      <xdr:row>77</xdr:row>
      <xdr:rowOff>28497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422555DA-CE2A-4758-A118-3BF4D4B9F1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12</xdr:col>
      <xdr:colOff>175704</xdr:colOff>
      <xdr:row>62</xdr:row>
      <xdr:rowOff>44729</xdr:rowOff>
    </xdr:from>
    <xdr:to>
      <xdr:col>18</xdr:col>
      <xdr:colOff>154750</xdr:colOff>
      <xdr:row>77</xdr:row>
      <xdr:rowOff>63778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C4BC3A9B-862B-4895-9489-B0FA1C4EE8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77</xdr:row>
      <xdr:rowOff>65761</xdr:rowOff>
    </xdr:from>
    <xdr:to>
      <xdr:col>5</xdr:col>
      <xdr:colOff>591568</xdr:colOff>
      <xdr:row>92</xdr:row>
      <xdr:rowOff>84811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1EDF4001-77C3-45E5-B3EF-EF06FB0827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</xdr:col>
      <xdr:colOff>71789</xdr:colOff>
      <xdr:row>77</xdr:row>
      <xdr:rowOff>64770</xdr:rowOff>
    </xdr:from>
    <xdr:to>
      <xdr:col>12</xdr:col>
      <xdr:colOff>50833</xdr:colOff>
      <xdr:row>92</xdr:row>
      <xdr:rowOff>83820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1A0C829A-B4C5-4288-9146-D7E1A7CBA7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12</xdr:col>
      <xdr:colOff>172885</xdr:colOff>
      <xdr:row>77</xdr:row>
      <xdr:rowOff>33611</xdr:rowOff>
    </xdr:from>
    <xdr:to>
      <xdr:col>18</xdr:col>
      <xdr:colOff>151931</xdr:colOff>
      <xdr:row>93</xdr:row>
      <xdr:rowOff>71711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E0C14E83-B02C-457F-AABB-03A4324B1B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92</xdr:row>
      <xdr:rowOff>171450</xdr:rowOff>
    </xdr:from>
    <xdr:to>
      <xdr:col>5</xdr:col>
      <xdr:colOff>495640</xdr:colOff>
      <xdr:row>108</xdr:row>
      <xdr:rowOff>11430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651124BF-BEF5-46F5-A57F-004296E00E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ubchem.ncbi.nlm.nih.gov/compound/118691" TargetMode="External"/><Relationship Id="rId2" Type="http://schemas.openxmlformats.org/officeDocument/2006/relationships/hyperlink" Target="https://pubchem.ncbi.nlm.nih.gov/compound/Perfluorooctaneamide-betaine" TargetMode="External"/><Relationship Id="rId1" Type="http://schemas.openxmlformats.org/officeDocument/2006/relationships/hyperlink" Target="https://pubchem.ncbi.nlm.nih.gov/compound/Perfluorooctanesulfonamide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doi.org/10.1021/acs.est.0c07202" TargetMode="External"/><Relationship Id="rId3" Type="http://schemas.openxmlformats.org/officeDocument/2006/relationships/hyperlink" Target="https://doi.org/10.1016/j.chemosphere.2018.05.012" TargetMode="External"/><Relationship Id="rId7" Type="http://schemas.openxmlformats.org/officeDocument/2006/relationships/hyperlink" Target="https://doi.org/10.1021/acs.est.0c07202" TargetMode="External"/><Relationship Id="rId12" Type="http://schemas.openxmlformats.org/officeDocument/2006/relationships/printerSettings" Target="../printerSettings/printerSettings3.bin"/><Relationship Id="rId2" Type="http://schemas.openxmlformats.org/officeDocument/2006/relationships/hyperlink" Target="https://doi.org/10.1021/es3048043" TargetMode="External"/><Relationship Id="rId1" Type="http://schemas.openxmlformats.org/officeDocument/2006/relationships/hyperlink" Target="https://doi.org/10.1016/j.chemosphere.2022.134167" TargetMode="External"/><Relationship Id="rId6" Type="http://schemas.openxmlformats.org/officeDocument/2006/relationships/hyperlink" Target="https://doi.org/10.1016/j.chemosphere.2022.134167" TargetMode="External"/><Relationship Id="rId11" Type="http://schemas.openxmlformats.org/officeDocument/2006/relationships/hyperlink" Target="https://doi.org/10.1016/j.chemosphere.2018.05.012" TargetMode="External"/><Relationship Id="rId5" Type="http://schemas.openxmlformats.org/officeDocument/2006/relationships/hyperlink" Target="https://doi.org/10.1016/j.chemosphere.2022.134167" TargetMode="External"/><Relationship Id="rId10" Type="http://schemas.openxmlformats.org/officeDocument/2006/relationships/hyperlink" Target="https://doi.org/10.1021/acs.est.7b03452" TargetMode="External"/><Relationship Id="rId4" Type="http://schemas.openxmlformats.org/officeDocument/2006/relationships/hyperlink" Target="https://doi.org/10.1016/j.chemosphere.2022.134167" TargetMode="External"/><Relationship Id="rId9" Type="http://schemas.openxmlformats.org/officeDocument/2006/relationships/hyperlink" Target="https://doi.org/10.1021/acs.est.0c07202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4AAB3-38C4-437F-A991-B80D89748558}">
  <sheetPr codeName="Sheet1"/>
  <dimension ref="B2:Y65"/>
  <sheetViews>
    <sheetView zoomScale="70" zoomScaleNormal="70" workbookViewId="0">
      <selection activeCell="B2" sqref="B2"/>
    </sheetView>
  </sheetViews>
  <sheetFormatPr defaultRowHeight="14.4" x14ac:dyDescent="0.3"/>
  <cols>
    <col min="1" max="1" width="2.33203125" style="58" customWidth="1"/>
    <col min="2" max="2" width="22.44140625" style="58" customWidth="1"/>
    <col min="3" max="3" width="12.109375" style="58" bestFit="1" customWidth="1"/>
    <col min="4" max="4" width="20.5546875" style="58" customWidth="1"/>
    <col min="5" max="5" width="5.109375" style="58" bestFit="1" customWidth="1"/>
    <col min="6" max="6" width="22.77734375" style="58" customWidth="1"/>
    <col min="7" max="7" width="103.77734375" style="58" bestFit="1" customWidth="1"/>
    <col min="8" max="8" width="9.6640625" style="58" bestFit="1" customWidth="1"/>
    <col min="9" max="9" width="9.44140625" style="58" bestFit="1" customWidth="1"/>
    <col min="10" max="10" width="9.77734375" style="58" bestFit="1" customWidth="1"/>
    <col min="11" max="11" width="10" style="58" bestFit="1" customWidth="1"/>
    <col min="12" max="12" width="9.44140625" style="58" bestFit="1" customWidth="1"/>
    <col min="13" max="13" width="10" style="58" bestFit="1" customWidth="1"/>
    <col min="14" max="14" width="10.109375" style="58" bestFit="1" customWidth="1"/>
    <col min="15" max="15" width="9.6640625" style="58" bestFit="1" customWidth="1"/>
    <col min="16" max="16" width="20.44140625" style="107" bestFit="1" customWidth="1"/>
    <col min="17" max="17" width="10" style="107" bestFit="1" customWidth="1"/>
    <col min="18" max="18" width="14.44140625" style="58" bestFit="1" customWidth="1"/>
    <col min="19" max="19" width="14.44140625" style="107" bestFit="1" customWidth="1"/>
    <col min="20" max="20" width="14" style="58" bestFit="1" customWidth="1"/>
    <col min="21" max="21" width="12.109375" style="58" bestFit="1" customWidth="1"/>
    <col min="22" max="22" width="10.21875" style="107" bestFit="1" customWidth="1"/>
    <col min="23" max="23" width="8" style="58" bestFit="1" customWidth="1"/>
    <col min="24" max="25" width="8.88671875" style="20"/>
    <col min="26" max="16384" width="8.88671875" style="58"/>
  </cols>
  <sheetData>
    <row r="2" spans="2:25" x14ac:dyDescent="0.3">
      <c r="B2" s="162" t="s">
        <v>892</v>
      </c>
    </row>
    <row r="4" spans="2:25" x14ac:dyDescent="0.3">
      <c r="B4" s="141" t="s">
        <v>875</v>
      </c>
      <c r="C4" s="142"/>
      <c r="D4" s="142"/>
      <c r="E4" s="142"/>
      <c r="F4" s="149"/>
    </row>
    <row r="5" spans="2:25" x14ac:dyDescent="0.3">
      <c r="B5" s="143" t="s">
        <v>756</v>
      </c>
      <c r="C5" s="2"/>
      <c r="D5" s="2"/>
      <c r="E5" s="2"/>
      <c r="F5" s="144"/>
    </row>
    <row r="6" spans="2:25" x14ac:dyDescent="0.3">
      <c r="B6" s="145" t="s">
        <v>882</v>
      </c>
      <c r="C6" s="2"/>
      <c r="D6" s="2"/>
      <c r="E6" s="2"/>
      <c r="F6" s="144"/>
    </row>
    <row r="7" spans="2:25" x14ac:dyDescent="0.3">
      <c r="B7" s="146" t="s">
        <v>757</v>
      </c>
      <c r="C7" s="114"/>
      <c r="D7" s="2"/>
      <c r="E7" s="2"/>
      <c r="F7" s="144"/>
    </row>
    <row r="8" spans="2:25" x14ac:dyDescent="0.3">
      <c r="B8" s="147" t="s">
        <v>889</v>
      </c>
      <c r="C8" s="116"/>
      <c r="D8" s="116"/>
      <c r="E8" s="116"/>
      <c r="F8" s="148"/>
    </row>
    <row r="9" spans="2:25" x14ac:dyDescent="0.3">
      <c r="B9" s="113"/>
    </row>
    <row r="10" spans="2:25" x14ac:dyDescent="0.3">
      <c r="B10" s="141" t="s">
        <v>764</v>
      </c>
      <c r="C10" s="142"/>
      <c r="D10" s="142"/>
      <c r="E10" s="142"/>
      <c r="F10" s="149"/>
    </row>
    <row r="11" spans="2:25" x14ac:dyDescent="0.3">
      <c r="B11" s="150" t="s">
        <v>763</v>
      </c>
      <c r="C11" s="151"/>
      <c r="D11" s="151">
        <v>10</v>
      </c>
      <c r="E11" s="151"/>
      <c r="F11" s="152"/>
    </row>
    <row r="12" spans="2:25" x14ac:dyDescent="0.3">
      <c r="B12" s="113"/>
    </row>
    <row r="13" spans="2:25" x14ac:dyDescent="0.3">
      <c r="B13" s="115" t="s">
        <v>769</v>
      </c>
      <c r="C13" s="116"/>
      <c r="D13" s="116"/>
      <c r="Q13" s="123" t="s">
        <v>770</v>
      </c>
      <c r="S13" s="123" t="s">
        <v>770</v>
      </c>
      <c r="V13" s="123" t="s">
        <v>771</v>
      </c>
      <c r="X13" s="112" t="s">
        <v>772</v>
      </c>
    </row>
    <row r="14" spans="2:25" s="107" customFormat="1" x14ac:dyDescent="0.3">
      <c r="B14" s="118" t="s">
        <v>514</v>
      </c>
      <c r="C14" s="118" t="s">
        <v>515</v>
      </c>
      <c r="D14" s="118" t="s">
        <v>516</v>
      </c>
      <c r="E14" s="118" t="s">
        <v>277</v>
      </c>
      <c r="F14" s="118" t="s">
        <v>517</v>
      </c>
      <c r="G14" s="118" t="s">
        <v>607</v>
      </c>
      <c r="H14" s="118" t="s">
        <v>278</v>
      </c>
      <c r="I14" s="118" t="s">
        <v>276</v>
      </c>
      <c r="J14" s="118" t="s">
        <v>765</v>
      </c>
      <c r="K14" s="118" t="s">
        <v>766</v>
      </c>
      <c r="L14" s="118" t="s">
        <v>767</v>
      </c>
      <c r="M14" s="118" t="s">
        <v>768</v>
      </c>
      <c r="N14" s="118" t="s">
        <v>869</v>
      </c>
      <c r="O14" s="118" t="s">
        <v>874</v>
      </c>
      <c r="P14" s="118" t="s">
        <v>519</v>
      </c>
      <c r="Q14" s="118" t="s">
        <v>587</v>
      </c>
      <c r="R14" s="118" t="s">
        <v>603</v>
      </c>
      <c r="S14" s="118" t="s">
        <v>604</v>
      </c>
      <c r="T14" s="118" t="s">
        <v>602</v>
      </c>
      <c r="U14" s="118" t="s">
        <v>606</v>
      </c>
      <c r="V14" s="118" t="s">
        <v>609</v>
      </c>
      <c r="W14" s="119" t="s">
        <v>520</v>
      </c>
      <c r="X14" s="118" t="s">
        <v>334</v>
      </c>
      <c r="Y14" s="118" t="s">
        <v>335</v>
      </c>
    </row>
    <row r="15" spans="2:25" x14ac:dyDescent="0.3">
      <c r="B15" s="54" t="s">
        <v>350</v>
      </c>
      <c r="C15" s="54" t="s">
        <v>749</v>
      </c>
      <c r="D15" s="54" t="s">
        <v>326</v>
      </c>
      <c r="E15" s="122">
        <f t="shared" ref="E15:E46" si="0">((I15*19)/P15)*100</f>
        <v>43.326849508310431</v>
      </c>
      <c r="F15" s="54" t="s">
        <v>518</v>
      </c>
      <c r="G15" s="56" t="s">
        <v>608</v>
      </c>
      <c r="H15" s="56">
        <v>15</v>
      </c>
      <c r="I15" s="54">
        <v>13</v>
      </c>
      <c r="J15" s="56">
        <v>19</v>
      </c>
      <c r="K15" s="56">
        <v>2</v>
      </c>
      <c r="L15" s="56">
        <v>1</v>
      </c>
      <c r="M15" s="56">
        <v>4</v>
      </c>
      <c r="N15" s="56">
        <v>0</v>
      </c>
      <c r="O15" s="56">
        <v>0</v>
      </c>
      <c r="P15" s="122">
        <f>(12*H15)+(18.9984*I15)+(1.0078*J15)+(14.0031*K15)+(31.9721*L15)+(15.9949*M15)+(34.9688*N15)+(30.9738*O15)</f>
        <v>570.08529999999996</v>
      </c>
      <c r="Q15" s="111">
        <v>1.81</v>
      </c>
      <c r="R15" s="105">
        <v>2000</v>
      </c>
      <c r="S15" s="111">
        <f>LOG(R15)</f>
        <v>3.3010299956639813</v>
      </c>
      <c r="T15" s="54">
        <f t="shared" ref="T15:T65" si="1">$D$11</f>
        <v>10</v>
      </c>
      <c r="U15" s="105">
        <f>(R15*(T15/100))</f>
        <v>200</v>
      </c>
      <c r="V15" s="111">
        <v>4.8</v>
      </c>
      <c r="W15" s="63">
        <v>6</v>
      </c>
      <c r="X15" s="106">
        <v>2.2999999999999998</v>
      </c>
      <c r="Y15" s="106">
        <v>11.1</v>
      </c>
    </row>
    <row r="16" spans="2:25" x14ac:dyDescent="0.3">
      <c r="B16" s="54" t="s">
        <v>314</v>
      </c>
      <c r="C16" s="54" t="s">
        <v>749</v>
      </c>
      <c r="D16" s="54" t="s">
        <v>351</v>
      </c>
      <c r="E16" s="122">
        <f t="shared" si="0"/>
        <v>48.203278748219056</v>
      </c>
      <c r="F16" s="54" t="s">
        <v>589</v>
      </c>
      <c r="G16" s="63" t="s">
        <v>773</v>
      </c>
      <c r="H16" s="54">
        <v>17</v>
      </c>
      <c r="I16" s="54">
        <v>17</v>
      </c>
      <c r="J16" s="54">
        <v>19</v>
      </c>
      <c r="K16" s="54">
        <v>2</v>
      </c>
      <c r="L16" s="54">
        <v>1</v>
      </c>
      <c r="M16" s="54">
        <v>4</v>
      </c>
      <c r="N16" s="56">
        <v>0</v>
      </c>
      <c r="O16" s="56">
        <v>0</v>
      </c>
      <c r="P16" s="122">
        <f t="shared" ref="P16:P65" si="2">(12*H16)+(18.9984*I16)+(1.0078*J16)+(14.0031*K16)+(31.9721*L16)+(15.9949*M16)+(34.9688*N16)+(30.9738*O16)</f>
        <v>670.07889999999998</v>
      </c>
      <c r="Q16" s="111">
        <v>2.54</v>
      </c>
      <c r="R16" s="105">
        <v>31.62</v>
      </c>
      <c r="S16" s="111">
        <f>LOG(R16)</f>
        <v>1.4999618655961902</v>
      </c>
      <c r="T16" s="54">
        <f t="shared" si="1"/>
        <v>10</v>
      </c>
      <c r="U16" s="105">
        <f>(R16*(T16/100))</f>
        <v>3.1620000000000004</v>
      </c>
      <c r="V16" s="111">
        <v>6.2</v>
      </c>
      <c r="W16" s="63">
        <v>8</v>
      </c>
      <c r="X16" s="106">
        <v>2.2999999999999998</v>
      </c>
      <c r="Y16" s="106">
        <v>11.1</v>
      </c>
    </row>
    <row r="17" spans="2:25" ht="16.8" customHeight="1" x14ac:dyDescent="0.3">
      <c r="B17" s="54" t="s">
        <v>315</v>
      </c>
      <c r="C17" s="54" t="s">
        <v>749</v>
      </c>
      <c r="D17" s="54" t="s">
        <v>354</v>
      </c>
      <c r="E17" s="122">
        <f t="shared" si="0"/>
        <v>51.813303292871772</v>
      </c>
      <c r="F17" s="54" t="s">
        <v>590</v>
      </c>
      <c r="G17" s="63" t="s">
        <v>628</v>
      </c>
      <c r="H17" s="54">
        <v>19</v>
      </c>
      <c r="I17" s="54">
        <v>21</v>
      </c>
      <c r="J17" s="54">
        <v>19</v>
      </c>
      <c r="K17" s="54">
        <v>2</v>
      </c>
      <c r="L17" s="54">
        <v>1</v>
      </c>
      <c r="M17" s="54">
        <v>4</v>
      </c>
      <c r="N17" s="56">
        <v>0</v>
      </c>
      <c r="O17" s="56">
        <v>0</v>
      </c>
      <c r="P17" s="122">
        <f t="shared" si="2"/>
        <v>770.07249999999999</v>
      </c>
      <c r="Q17" s="111">
        <v>3.3</v>
      </c>
      <c r="R17" s="108">
        <v>0.49</v>
      </c>
      <c r="S17" s="111">
        <f t="shared" ref="S17:S18" si="3">LOG(R17)</f>
        <v>-0.30980391997148632</v>
      </c>
      <c r="T17" s="54">
        <f t="shared" si="1"/>
        <v>10</v>
      </c>
      <c r="U17" s="105">
        <f t="shared" ref="U17" si="4">(R17*(T17/100))</f>
        <v>4.9000000000000002E-2</v>
      </c>
      <c r="V17" s="111">
        <v>7.5</v>
      </c>
      <c r="W17" s="63">
        <v>10</v>
      </c>
      <c r="X17" s="106">
        <v>2.2999999999999998</v>
      </c>
      <c r="Y17" s="106">
        <v>11.1</v>
      </c>
    </row>
    <row r="18" spans="2:25" ht="15" customHeight="1" x14ac:dyDescent="0.3">
      <c r="B18" s="54" t="s">
        <v>316</v>
      </c>
      <c r="C18" s="54" t="s">
        <v>749</v>
      </c>
      <c r="D18" s="55" t="s">
        <v>521</v>
      </c>
      <c r="E18" s="122">
        <f t="shared" si="0"/>
        <v>48.234660255167213</v>
      </c>
      <c r="F18" s="56" t="s">
        <v>522</v>
      </c>
      <c r="G18" s="134" t="s">
        <v>629</v>
      </c>
      <c r="H18" s="56">
        <v>13</v>
      </c>
      <c r="I18" s="55">
        <v>13</v>
      </c>
      <c r="J18" s="56">
        <v>17</v>
      </c>
      <c r="K18" s="56">
        <v>2</v>
      </c>
      <c r="L18" s="56">
        <v>1</v>
      </c>
      <c r="M18" s="56">
        <v>2</v>
      </c>
      <c r="N18" s="56">
        <v>0</v>
      </c>
      <c r="O18" s="56">
        <v>0</v>
      </c>
      <c r="P18" s="122">
        <f t="shared" si="2"/>
        <v>512.07989999999995</v>
      </c>
      <c r="Q18" s="111">
        <v>2.71</v>
      </c>
      <c r="R18" s="54">
        <v>1315</v>
      </c>
      <c r="S18" s="111">
        <f t="shared" si="3"/>
        <v>3.1189257528257768</v>
      </c>
      <c r="T18" s="54">
        <f t="shared" si="1"/>
        <v>10</v>
      </c>
      <c r="U18" s="105">
        <f t="shared" ref="U18" si="5">(R18*(T18/100))</f>
        <v>131.5</v>
      </c>
      <c r="V18" s="111">
        <v>4.5999999999999996</v>
      </c>
      <c r="W18" s="63">
        <v>6</v>
      </c>
      <c r="X18" s="106">
        <v>9.3000000000000007</v>
      </c>
      <c r="Y18" s="106">
        <v>10.7</v>
      </c>
    </row>
    <row r="19" spans="2:25" x14ac:dyDescent="0.3">
      <c r="B19" s="54" t="s">
        <v>356</v>
      </c>
      <c r="C19" s="54" t="s">
        <v>749</v>
      </c>
      <c r="D19" s="54" t="s">
        <v>357</v>
      </c>
      <c r="E19" s="122">
        <f t="shared" si="0"/>
        <v>50.307788658070109</v>
      </c>
      <c r="F19" s="56" t="s">
        <v>591</v>
      </c>
      <c r="G19" s="134" t="s">
        <v>735</v>
      </c>
      <c r="H19" s="56">
        <v>15</v>
      </c>
      <c r="I19" s="54">
        <v>17</v>
      </c>
      <c r="J19" s="56">
        <v>15</v>
      </c>
      <c r="K19" s="56">
        <v>2</v>
      </c>
      <c r="L19" s="56">
        <v>1</v>
      </c>
      <c r="M19" s="56">
        <v>4</v>
      </c>
      <c r="N19" s="56">
        <v>0</v>
      </c>
      <c r="O19" s="56">
        <v>0</v>
      </c>
      <c r="P19" s="122">
        <f t="shared" si="2"/>
        <v>642.04769999999996</v>
      </c>
      <c r="Q19" s="111">
        <v>2.83</v>
      </c>
      <c r="R19" s="105">
        <v>18.260000000000002</v>
      </c>
      <c r="S19" s="111">
        <f t="shared" ref="S19" si="6">LOG(R19)</f>
        <v>1.2615007731982801</v>
      </c>
      <c r="T19" s="54">
        <f t="shared" si="1"/>
        <v>10</v>
      </c>
      <c r="U19" s="105">
        <f t="shared" ref="U19" si="7">(R19*(T19/100))</f>
        <v>1.8260000000000003</v>
      </c>
      <c r="V19" s="111">
        <v>4.5999999999999996</v>
      </c>
      <c r="W19" s="63">
        <v>6</v>
      </c>
      <c r="X19" s="106">
        <v>2.2999999999999998</v>
      </c>
      <c r="Y19" s="106">
        <v>6.8</v>
      </c>
    </row>
    <row r="20" spans="2:25" x14ac:dyDescent="0.3">
      <c r="B20" s="54" t="s">
        <v>321</v>
      </c>
      <c r="C20" s="54" t="s">
        <v>749</v>
      </c>
      <c r="D20" s="54" t="s">
        <v>523</v>
      </c>
      <c r="E20" s="122">
        <f t="shared" si="0"/>
        <v>55.544522442813019</v>
      </c>
      <c r="F20" s="56" t="s">
        <v>524</v>
      </c>
      <c r="G20" s="134" t="s">
        <v>643</v>
      </c>
      <c r="H20" s="56">
        <v>14</v>
      </c>
      <c r="I20" s="54">
        <v>15</v>
      </c>
      <c r="J20" s="56">
        <v>16</v>
      </c>
      <c r="K20" s="56">
        <v>2</v>
      </c>
      <c r="L20" s="56">
        <v>0</v>
      </c>
      <c r="M20" s="56">
        <v>1</v>
      </c>
      <c r="N20" s="56">
        <v>0</v>
      </c>
      <c r="O20" s="56">
        <v>0</v>
      </c>
      <c r="P20" s="122">
        <f t="shared" si="2"/>
        <v>513.1019</v>
      </c>
      <c r="Q20" s="111">
        <v>2.96</v>
      </c>
      <c r="R20" s="105">
        <v>278.60000000000002</v>
      </c>
      <c r="S20" s="111">
        <f t="shared" ref="S20" si="8">LOG(R20)</f>
        <v>2.4449811120879446</v>
      </c>
      <c r="T20" s="54">
        <f t="shared" si="1"/>
        <v>10</v>
      </c>
      <c r="U20" s="105">
        <f t="shared" ref="U20" si="9">(R20*(T20/100))</f>
        <v>27.860000000000003</v>
      </c>
      <c r="V20" s="111">
        <v>5.0999999999999996</v>
      </c>
      <c r="W20" s="63">
        <v>7</v>
      </c>
      <c r="X20" s="106">
        <v>7.7</v>
      </c>
      <c r="Y20" s="106" t="s">
        <v>55</v>
      </c>
    </row>
    <row r="21" spans="2:25" x14ac:dyDescent="0.3">
      <c r="B21" s="54" t="s">
        <v>324</v>
      </c>
      <c r="C21" s="54" t="s">
        <v>749</v>
      </c>
      <c r="D21" s="54" t="s">
        <v>774</v>
      </c>
      <c r="E21" s="122">
        <f t="shared" si="0"/>
        <v>51.251259027639541</v>
      </c>
      <c r="F21" s="56" t="s">
        <v>525</v>
      </c>
      <c r="G21" s="134" t="s">
        <v>644</v>
      </c>
      <c r="H21" s="56">
        <v>15</v>
      </c>
      <c r="I21" s="54">
        <v>15</v>
      </c>
      <c r="J21" s="56">
        <v>15</v>
      </c>
      <c r="K21" s="56">
        <v>2</v>
      </c>
      <c r="L21" s="56">
        <v>0</v>
      </c>
      <c r="M21" s="56">
        <v>3</v>
      </c>
      <c r="N21" s="56">
        <v>0</v>
      </c>
      <c r="O21" s="56">
        <v>0</v>
      </c>
      <c r="P21" s="122">
        <f t="shared" si="2"/>
        <v>556.08389999999997</v>
      </c>
      <c r="Q21" s="111">
        <v>1.78</v>
      </c>
      <c r="R21" s="105">
        <v>626.79999999999995</v>
      </c>
      <c r="S21" s="111">
        <f t="shared" ref="S21" si="10">LOG(R21)</f>
        <v>2.7971289877965524</v>
      </c>
      <c r="T21" s="54">
        <f t="shared" si="1"/>
        <v>10</v>
      </c>
      <c r="U21" s="105">
        <f t="shared" ref="U21" si="11">(R21*(T21/100))</f>
        <v>62.68</v>
      </c>
      <c r="V21" s="111">
        <v>5.3</v>
      </c>
      <c r="W21" s="63">
        <v>7</v>
      </c>
      <c r="X21" s="106">
        <v>2.2999999999999998</v>
      </c>
      <c r="Y21" s="106">
        <v>7.8</v>
      </c>
    </row>
    <row r="22" spans="2:25" x14ac:dyDescent="0.3">
      <c r="B22" s="54" t="s">
        <v>317</v>
      </c>
      <c r="C22" s="54" t="s">
        <v>749</v>
      </c>
      <c r="D22" s="54" t="s">
        <v>318</v>
      </c>
      <c r="E22" s="122">
        <f t="shared" si="0"/>
        <v>51.027923430018504</v>
      </c>
      <c r="F22" s="54" t="s">
        <v>592</v>
      </c>
      <c r="G22" s="134" t="s">
        <v>736</v>
      </c>
      <c r="H22" s="56">
        <v>11</v>
      </c>
      <c r="I22" s="54">
        <v>13</v>
      </c>
      <c r="J22" s="56">
        <v>13</v>
      </c>
      <c r="K22" s="56">
        <v>2</v>
      </c>
      <c r="L22" s="56">
        <v>1</v>
      </c>
      <c r="M22" s="56">
        <v>2</v>
      </c>
      <c r="N22" s="56">
        <v>0</v>
      </c>
      <c r="O22" s="56">
        <v>0</v>
      </c>
      <c r="P22" s="122">
        <f t="shared" si="2"/>
        <v>484.0487</v>
      </c>
      <c r="Q22" s="111">
        <v>3.83</v>
      </c>
      <c r="R22" s="105">
        <v>391.7</v>
      </c>
      <c r="S22" s="111">
        <f t="shared" ref="S22" si="12">LOG(R22)</f>
        <v>2.592953571547866</v>
      </c>
      <c r="T22" s="54">
        <f t="shared" si="1"/>
        <v>10</v>
      </c>
      <c r="U22" s="105">
        <f t="shared" ref="U22" si="13">(R22*(T22/100))</f>
        <v>39.17</v>
      </c>
      <c r="V22" s="111">
        <v>4.3</v>
      </c>
      <c r="W22" s="63">
        <v>6</v>
      </c>
      <c r="X22" s="106">
        <v>6.8</v>
      </c>
      <c r="Y22" s="106">
        <v>9.1999999999999993</v>
      </c>
    </row>
    <row r="23" spans="2:25" x14ac:dyDescent="0.3">
      <c r="B23" s="54" t="s">
        <v>319</v>
      </c>
      <c r="C23" s="54" t="s">
        <v>749</v>
      </c>
      <c r="D23" s="54" t="s">
        <v>320</v>
      </c>
      <c r="E23" s="122">
        <f t="shared" si="0"/>
        <v>49.591990431757502</v>
      </c>
      <c r="F23" s="54" t="s">
        <v>737</v>
      </c>
      <c r="G23" s="134" t="s">
        <v>738</v>
      </c>
      <c r="H23" s="56">
        <v>12</v>
      </c>
      <c r="I23" s="54">
        <v>13</v>
      </c>
      <c r="J23" s="56">
        <v>15</v>
      </c>
      <c r="K23" s="56">
        <v>2</v>
      </c>
      <c r="L23" s="56">
        <v>1</v>
      </c>
      <c r="M23" s="56">
        <v>2</v>
      </c>
      <c r="N23" s="56">
        <v>0</v>
      </c>
      <c r="O23" s="56">
        <v>0</v>
      </c>
      <c r="P23" s="122">
        <f t="shared" si="2"/>
        <v>498.0643</v>
      </c>
      <c r="Q23" s="111">
        <v>3.27</v>
      </c>
      <c r="R23" s="105">
        <v>204.7</v>
      </c>
      <c r="S23" s="111">
        <f t="shared" ref="S23" si="14">LOG(R23)</f>
        <v>2.3111178426625059</v>
      </c>
      <c r="T23" s="54">
        <f t="shared" si="1"/>
        <v>10</v>
      </c>
      <c r="U23" s="105">
        <f t="shared" ref="U23" si="15">(R23*(T23/100))</f>
        <v>20.47</v>
      </c>
      <c r="V23" s="111">
        <v>4.0999999999999996</v>
      </c>
      <c r="W23" s="63">
        <v>6</v>
      </c>
      <c r="X23" s="106">
        <v>6.8</v>
      </c>
      <c r="Y23" s="106" t="s">
        <v>55</v>
      </c>
    </row>
    <row r="24" spans="2:25" x14ac:dyDescent="0.3">
      <c r="B24" s="54" t="s">
        <v>291</v>
      </c>
      <c r="C24" s="54" t="s">
        <v>747</v>
      </c>
      <c r="D24" s="54" t="s">
        <v>296</v>
      </c>
      <c r="E24" s="122">
        <f t="shared" si="0"/>
        <v>64.767943276917052</v>
      </c>
      <c r="F24" s="56" t="s">
        <v>559</v>
      </c>
      <c r="G24" s="134" t="s">
        <v>636</v>
      </c>
      <c r="H24" s="56">
        <v>6</v>
      </c>
      <c r="I24" s="54">
        <v>9</v>
      </c>
      <c r="J24" s="56">
        <v>5</v>
      </c>
      <c r="K24" s="56">
        <v>0</v>
      </c>
      <c r="L24" s="56">
        <v>0</v>
      </c>
      <c r="M24" s="56">
        <v>1</v>
      </c>
      <c r="N24" s="56">
        <v>0</v>
      </c>
      <c r="O24" s="56">
        <v>0</v>
      </c>
      <c r="P24" s="122">
        <f t="shared" si="2"/>
        <v>264.01949999999999</v>
      </c>
      <c r="Q24" s="111">
        <v>2.34</v>
      </c>
      <c r="R24" s="54">
        <v>97040</v>
      </c>
      <c r="S24" s="111">
        <f t="shared" ref="S24" si="16">LOG(R24)</f>
        <v>4.9869507878585164</v>
      </c>
      <c r="T24" s="54">
        <f t="shared" si="1"/>
        <v>10</v>
      </c>
      <c r="U24" s="105">
        <f t="shared" ref="U24" si="17">(R24*(T24/100))</f>
        <v>9704</v>
      </c>
      <c r="V24" s="111">
        <v>3</v>
      </c>
      <c r="W24" s="63">
        <v>4</v>
      </c>
      <c r="X24" s="106">
        <v>14.2</v>
      </c>
      <c r="Y24" s="106" t="s">
        <v>55</v>
      </c>
    </row>
    <row r="25" spans="2:25" x14ac:dyDescent="0.3">
      <c r="B25" s="54" t="s">
        <v>293</v>
      </c>
      <c r="C25" s="54" t="s">
        <v>747</v>
      </c>
      <c r="D25" s="56" t="s">
        <v>760</v>
      </c>
      <c r="E25" s="122">
        <f t="shared" si="0"/>
        <v>67.854700833568913</v>
      </c>
      <c r="F25" s="56" t="s">
        <v>558</v>
      </c>
      <c r="G25" s="134" t="s">
        <v>637</v>
      </c>
      <c r="H25" s="56">
        <v>8</v>
      </c>
      <c r="I25" s="56">
        <v>13</v>
      </c>
      <c r="J25" s="56">
        <v>5</v>
      </c>
      <c r="K25" s="56">
        <v>0</v>
      </c>
      <c r="L25" s="56">
        <v>0</v>
      </c>
      <c r="M25" s="56">
        <v>1</v>
      </c>
      <c r="N25" s="56">
        <v>0</v>
      </c>
      <c r="O25" s="56">
        <v>0</v>
      </c>
      <c r="P25" s="122">
        <f t="shared" si="2"/>
        <v>364.01309999999995</v>
      </c>
      <c r="Q25" s="111">
        <v>3.02</v>
      </c>
      <c r="R25" s="54">
        <v>2185</v>
      </c>
      <c r="S25" s="111">
        <f t="shared" ref="S25" si="18">LOG(R25)</f>
        <v>3.3394514413064407</v>
      </c>
      <c r="T25" s="54">
        <f t="shared" si="1"/>
        <v>10</v>
      </c>
      <c r="U25" s="105">
        <f t="shared" ref="U25" si="19">(R25*(T25/100))</f>
        <v>218.5</v>
      </c>
      <c r="V25" s="111">
        <v>4.4000000000000004</v>
      </c>
      <c r="W25" s="63">
        <v>6</v>
      </c>
      <c r="X25" s="106">
        <v>14.2</v>
      </c>
      <c r="Y25" s="106" t="s">
        <v>55</v>
      </c>
    </row>
    <row r="26" spans="2:25" x14ac:dyDescent="0.3">
      <c r="B26" s="54" t="s">
        <v>290</v>
      </c>
      <c r="C26" s="54" t="s">
        <v>747</v>
      </c>
      <c r="D26" s="54" t="s">
        <v>303</v>
      </c>
      <c r="E26" s="122">
        <f t="shared" si="0"/>
        <v>69.611063805759713</v>
      </c>
      <c r="F26" s="56" t="s">
        <v>561</v>
      </c>
      <c r="G26" s="134" t="s">
        <v>638</v>
      </c>
      <c r="H26" s="56">
        <v>10</v>
      </c>
      <c r="I26" s="54">
        <v>17</v>
      </c>
      <c r="J26" s="56">
        <v>5</v>
      </c>
      <c r="K26" s="56">
        <v>0</v>
      </c>
      <c r="L26" s="56">
        <v>0</v>
      </c>
      <c r="M26" s="56">
        <v>1</v>
      </c>
      <c r="N26" s="56">
        <v>0</v>
      </c>
      <c r="O26" s="56">
        <v>0</v>
      </c>
      <c r="P26" s="122">
        <f t="shared" si="2"/>
        <v>464.00669999999997</v>
      </c>
      <c r="Q26" s="111">
        <v>3.6</v>
      </c>
      <c r="R26" s="105">
        <v>67.400000000000006</v>
      </c>
      <c r="S26" s="111">
        <f t="shared" ref="S26" si="20">LOG(R26)</f>
        <v>1.8286598965353198</v>
      </c>
      <c r="T26" s="54">
        <f t="shared" si="1"/>
        <v>10</v>
      </c>
      <c r="U26" s="105">
        <f t="shared" ref="U26" si="21">(R26*(T26/100))</f>
        <v>6.7400000000000011</v>
      </c>
      <c r="V26" s="111">
        <v>5.7</v>
      </c>
      <c r="W26" s="63">
        <v>8</v>
      </c>
      <c r="X26" s="106">
        <v>14.2</v>
      </c>
      <c r="Y26" s="106" t="s">
        <v>55</v>
      </c>
    </row>
    <row r="27" spans="2:25" x14ac:dyDescent="0.3">
      <c r="B27" s="54" t="s">
        <v>386</v>
      </c>
      <c r="C27" s="54" t="s">
        <v>747</v>
      </c>
      <c r="D27" s="56" t="s">
        <v>761</v>
      </c>
      <c r="E27" s="122">
        <f t="shared" si="0"/>
        <v>70.744643220934449</v>
      </c>
      <c r="F27" s="56" t="s">
        <v>560</v>
      </c>
      <c r="G27" s="134" t="s">
        <v>639</v>
      </c>
      <c r="H27" s="56">
        <v>12</v>
      </c>
      <c r="I27" s="56">
        <v>21</v>
      </c>
      <c r="J27" s="56">
        <v>5</v>
      </c>
      <c r="K27" s="56">
        <v>0</v>
      </c>
      <c r="L27" s="56">
        <v>0</v>
      </c>
      <c r="M27" s="56">
        <v>1</v>
      </c>
      <c r="N27" s="56">
        <v>0</v>
      </c>
      <c r="O27" s="56">
        <v>0</v>
      </c>
      <c r="P27" s="122">
        <f t="shared" si="2"/>
        <v>564.00030000000004</v>
      </c>
      <c r="Q27" s="111">
        <v>4.43</v>
      </c>
      <c r="R27" s="108">
        <v>0.79</v>
      </c>
      <c r="S27" s="111">
        <f t="shared" ref="S27" si="22">LOG(R27)</f>
        <v>-0.10237290870955855</v>
      </c>
      <c r="T27" s="54">
        <f t="shared" si="1"/>
        <v>10</v>
      </c>
      <c r="U27" s="105">
        <f t="shared" ref="U27" si="23">(R27*(T27/100))</f>
        <v>7.9000000000000015E-2</v>
      </c>
      <c r="V27" s="111">
        <v>7.1</v>
      </c>
      <c r="W27" s="63">
        <v>10</v>
      </c>
      <c r="X27" s="106">
        <v>14.2</v>
      </c>
      <c r="Y27" s="106" t="s">
        <v>55</v>
      </c>
    </row>
    <row r="28" spans="2:25" x14ac:dyDescent="0.3">
      <c r="B28" s="54" t="s">
        <v>654</v>
      </c>
      <c r="C28" s="54" t="s">
        <v>743</v>
      </c>
      <c r="D28" s="109" t="s">
        <v>657</v>
      </c>
      <c r="E28" s="122">
        <f t="shared" si="0"/>
        <v>50.00315809419542</v>
      </c>
      <c r="F28" s="56" t="s">
        <v>656</v>
      </c>
      <c r="G28" s="135" t="s">
        <v>729</v>
      </c>
      <c r="H28" s="55">
        <v>2</v>
      </c>
      <c r="I28" s="55">
        <v>3</v>
      </c>
      <c r="J28" s="55">
        <v>1</v>
      </c>
      <c r="K28" s="55">
        <v>0</v>
      </c>
      <c r="L28" s="55">
        <v>0</v>
      </c>
      <c r="M28" s="55">
        <v>2</v>
      </c>
      <c r="N28" s="56">
        <v>0</v>
      </c>
      <c r="O28" s="56">
        <v>0</v>
      </c>
      <c r="P28" s="122">
        <f t="shared" si="2"/>
        <v>113.9928</v>
      </c>
      <c r="Q28" s="111">
        <v>0.43</v>
      </c>
      <c r="R28" s="54">
        <v>97450000</v>
      </c>
      <c r="S28" s="111">
        <f t="shared" ref="S28" si="24">LOG(R28)</f>
        <v>7.9887818434536406</v>
      </c>
      <c r="T28" s="54">
        <f t="shared" si="1"/>
        <v>10</v>
      </c>
      <c r="U28" s="105">
        <f t="shared" ref="U28" si="25">(R28*(T28/100))</f>
        <v>9745000</v>
      </c>
      <c r="V28" s="111">
        <v>0.9</v>
      </c>
      <c r="W28" s="63">
        <v>1</v>
      </c>
      <c r="X28" s="106">
        <v>-0.2</v>
      </c>
      <c r="Y28" s="106" t="s">
        <v>55</v>
      </c>
    </row>
    <row r="29" spans="2:25" x14ac:dyDescent="0.3">
      <c r="B29" s="54" t="s">
        <v>0</v>
      </c>
      <c r="C29" s="54" t="s">
        <v>743</v>
      </c>
      <c r="D29" s="54" t="s">
        <v>310</v>
      </c>
      <c r="E29" s="122">
        <f t="shared" si="0"/>
        <v>62.153482651233901</v>
      </c>
      <c r="F29" s="56" t="s">
        <v>566</v>
      </c>
      <c r="G29" s="134" t="s">
        <v>611</v>
      </c>
      <c r="H29" s="56">
        <v>4</v>
      </c>
      <c r="I29" s="54">
        <v>7</v>
      </c>
      <c r="J29" s="56">
        <v>1</v>
      </c>
      <c r="K29" s="56">
        <v>0</v>
      </c>
      <c r="L29" s="56">
        <v>0</v>
      </c>
      <c r="M29" s="56">
        <v>2</v>
      </c>
      <c r="N29" s="56">
        <v>0</v>
      </c>
      <c r="O29" s="56">
        <v>0</v>
      </c>
      <c r="P29" s="122">
        <f t="shared" si="2"/>
        <v>213.9864</v>
      </c>
      <c r="Q29" s="111">
        <v>1.34</v>
      </c>
      <c r="R29" s="54">
        <v>1373000</v>
      </c>
      <c r="S29" s="111">
        <f>LOG(R29)</f>
        <v>6.1376705372367555</v>
      </c>
      <c r="T29" s="54">
        <f t="shared" si="1"/>
        <v>10</v>
      </c>
      <c r="U29" s="105">
        <f>(R29*(T29/100))</f>
        <v>137300</v>
      </c>
      <c r="V29" s="111">
        <v>2.2000000000000002</v>
      </c>
      <c r="W29" s="63">
        <v>3</v>
      </c>
      <c r="X29" s="106">
        <v>-0.2</v>
      </c>
      <c r="Y29" s="106" t="s">
        <v>55</v>
      </c>
    </row>
    <row r="30" spans="2:25" x14ac:dyDescent="0.3">
      <c r="B30" s="54" t="s">
        <v>8</v>
      </c>
      <c r="C30" s="54" t="s">
        <v>743</v>
      </c>
      <c r="D30" s="54" t="s">
        <v>312</v>
      </c>
      <c r="E30" s="122">
        <f t="shared" si="0"/>
        <v>64.776849435873189</v>
      </c>
      <c r="F30" s="56" t="s">
        <v>568</v>
      </c>
      <c r="G30" s="134" t="s">
        <v>613</v>
      </c>
      <c r="H30" s="56">
        <v>5</v>
      </c>
      <c r="I30" s="54">
        <v>9</v>
      </c>
      <c r="J30" s="56">
        <v>1</v>
      </c>
      <c r="K30" s="56">
        <v>0</v>
      </c>
      <c r="L30" s="56">
        <v>0</v>
      </c>
      <c r="M30" s="56">
        <v>2</v>
      </c>
      <c r="N30" s="56">
        <v>0</v>
      </c>
      <c r="O30" s="56">
        <v>0</v>
      </c>
      <c r="P30" s="122">
        <f t="shared" si="2"/>
        <v>263.98320000000001</v>
      </c>
      <c r="Q30" s="111">
        <v>1.71</v>
      </c>
      <c r="R30" s="54">
        <v>196500</v>
      </c>
      <c r="S30" s="111">
        <f t="shared" ref="S30:S37" si="26">LOG(R30)</f>
        <v>5.2933625547114458</v>
      </c>
      <c r="T30" s="54">
        <f t="shared" si="1"/>
        <v>10</v>
      </c>
      <c r="U30" s="105">
        <f>(R30*(T30/100))</f>
        <v>19650</v>
      </c>
      <c r="V30" s="111">
        <v>2.9</v>
      </c>
      <c r="W30" s="63">
        <v>4</v>
      </c>
      <c r="X30" s="106">
        <v>-0.2</v>
      </c>
      <c r="Y30" s="106" t="s">
        <v>55</v>
      </c>
    </row>
    <row r="31" spans="2:25" x14ac:dyDescent="0.3">
      <c r="B31" s="54" t="s">
        <v>2</v>
      </c>
      <c r="C31" s="54" t="s">
        <v>743</v>
      </c>
      <c r="D31" s="54" t="s">
        <v>570</v>
      </c>
      <c r="E31" s="122">
        <f t="shared" si="0"/>
        <v>66.564749347092175</v>
      </c>
      <c r="F31" s="56" t="s">
        <v>571</v>
      </c>
      <c r="G31" s="134" t="s">
        <v>615</v>
      </c>
      <c r="H31" s="56">
        <v>6</v>
      </c>
      <c r="I31" s="54">
        <v>11</v>
      </c>
      <c r="J31" s="56">
        <v>1</v>
      </c>
      <c r="K31" s="56">
        <v>0</v>
      </c>
      <c r="L31" s="56">
        <v>0</v>
      </c>
      <c r="M31" s="56">
        <v>2</v>
      </c>
      <c r="N31" s="56">
        <v>0</v>
      </c>
      <c r="O31" s="56">
        <v>0</v>
      </c>
      <c r="P31" s="122">
        <f t="shared" si="2"/>
        <v>313.97999999999996</v>
      </c>
      <c r="Q31" s="111">
        <v>2.08</v>
      </c>
      <c r="R31" s="54">
        <v>27120</v>
      </c>
      <c r="S31" s="111">
        <f t="shared" si="26"/>
        <v>4.4332896851950254</v>
      </c>
      <c r="T31" s="54">
        <f t="shared" si="1"/>
        <v>10</v>
      </c>
      <c r="U31" s="105">
        <f>(R31*(T31/100))</f>
        <v>2712</v>
      </c>
      <c r="V31" s="111">
        <v>3.6</v>
      </c>
      <c r="W31" s="63">
        <v>5</v>
      </c>
      <c r="X31" s="106">
        <v>-0.2</v>
      </c>
      <c r="Y31" s="106" t="s">
        <v>55</v>
      </c>
    </row>
    <row r="32" spans="2:25" x14ac:dyDescent="0.3">
      <c r="B32" s="54" t="s">
        <v>9</v>
      </c>
      <c r="C32" s="54" t="s">
        <v>743</v>
      </c>
      <c r="D32" s="109" t="s">
        <v>572</v>
      </c>
      <c r="E32" s="122">
        <f t="shared" si="0"/>
        <v>67.861468093570807</v>
      </c>
      <c r="F32" s="56" t="s">
        <v>573</v>
      </c>
      <c r="G32" s="134" t="s">
        <v>617</v>
      </c>
      <c r="H32" s="56">
        <v>7</v>
      </c>
      <c r="I32" s="109">
        <v>13</v>
      </c>
      <c r="J32" s="56">
        <v>1</v>
      </c>
      <c r="K32" s="56">
        <v>0</v>
      </c>
      <c r="L32" s="56">
        <v>0</v>
      </c>
      <c r="M32" s="56">
        <v>2</v>
      </c>
      <c r="N32" s="56">
        <v>0</v>
      </c>
      <c r="O32" s="56">
        <v>0</v>
      </c>
      <c r="P32" s="122">
        <f t="shared" si="2"/>
        <v>363.97679999999997</v>
      </c>
      <c r="Q32" s="111">
        <v>2.4500000000000002</v>
      </c>
      <c r="R32" s="54">
        <v>3647</v>
      </c>
      <c r="S32" s="111">
        <f t="shared" si="26"/>
        <v>3.5619357633137811</v>
      </c>
      <c r="T32" s="54">
        <f t="shared" si="1"/>
        <v>10</v>
      </c>
      <c r="U32" s="105">
        <f t="shared" ref="U32" si="27">(R32*(T32/100))</f>
        <v>364.70000000000005</v>
      </c>
      <c r="V32" s="111">
        <v>4.3</v>
      </c>
      <c r="W32" s="63">
        <v>6</v>
      </c>
      <c r="X32" s="106">
        <v>-0.2</v>
      </c>
      <c r="Y32" s="106" t="s">
        <v>55</v>
      </c>
    </row>
    <row r="33" spans="2:25" x14ac:dyDescent="0.3">
      <c r="B33" s="54" t="s">
        <v>4</v>
      </c>
      <c r="C33" s="54" t="s">
        <v>743</v>
      </c>
      <c r="D33" s="54" t="s">
        <v>598</v>
      </c>
      <c r="E33" s="122">
        <f t="shared" si="0"/>
        <v>68.844969824162703</v>
      </c>
      <c r="F33" s="56" t="s">
        <v>575</v>
      </c>
      <c r="G33" s="134" t="s">
        <v>619</v>
      </c>
      <c r="H33" s="56">
        <v>8</v>
      </c>
      <c r="I33" s="54">
        <v>15</v>
      </c>
      <c r="J33" s="56">
        <v>1</v>
      </c>
      <c r="K33" s="56">
        <v>0</v>
      </c>
      <c r="L33" s="56">
        <v>0</v>
      </c>
      <c r="M33" s="56">
        <v>2</v>
      </c>
      <c r="N33" s="56">
        <v>0</v>
      </c>
      <c r="O33" s="56">
        <v>0</v>
      </c>
      <c r="P33" s="122">
        <f t="shared" si="2"/>
        <v>413.97359999999998</v>
      </c>
      <c r="Q33" s="111">
        <v>2.82</v>
      </c>
      <c r="R33" s="54">
        <v>481</v>
      </c>
      <c r="S33" s="111">
        <f t="shared" si="26"/>
        <v>2.6821450763738319</v>
      </c>
      <c r="T33" s="54">
        <f t="shared" si="1"/>
        <v>10</v>
      </c>
      <c r="U33" s="105">
        <f t="shared" ref="U33" si="28">(R33*(T33/100))</f>
        <v>48.1</v>
      </c>
      <c r="V33" s="111">
        <v>4.9000000000000004</v>
      </c>
      <c r="W33" s="63">
        <v>7</v>
      </c>
      <c r="X33" s="106">
        <v>-0.2</v>
      </c>
      <c r="Y33" s="106" t="s">
        <v>55</v>
      </c>
    </row>
    <row r="34" spans="2:25" x14ac:dyDescent="0.3">
      <c r="B34" s="54" t="s">
        <v>6</v>
      </c>
      <c r="C34" s="54" t="s">
        <v>743</v>
      </c>
      <c r="D34" s="54" t="s">
        <v>599</v>
      </c>
      <c r="E34" s="122">
        <f t="shared" si="0"/>
        <v>69.616510018742574</v>
      </c>
      <c r="F34" s="55" t="s">
        <v>576</v>
      </c>
      <c r="G34" s="135" t="s">
        <v>620</v>
      </c>
      <c r="H34" s="55">
        <v>9</v>
      </c>
      <c r="I34" s="54">
        <v>17</v>
      </c>
      <c r="J34" s="55">
        <v>1</v>
      </c>
      <c r="K34" s="55">
        <v>0</v>
      </c>
      <c r="L34" s="55">
        <v>0</v>
      </c>
      <c r="M34" s="55">
        <v>2</v>
      </c>
      <c r="N34" s="56">
        <v>0</v>
      </c>
      <c r="O34" s="56">
        <v>0</v>
      </c>
      <c r="P34" s="122">
        <f t="shared" si="2"/>
        <v>463.97039999999998</v>
      </c>
      <c r="Q34" s="111">
        <v>3.19</v>
      </c>
      <c r="R34" s="105">
        <v>62.6</v>
      </c>
      <c r="S34" s="111">
        <f t="shared" si="26"/>
        <v>1.7965743332104296</v>
      </c>
      <c r="T34" s="54">
        <f t="shared" si="1"/>
        <v>10</v>
      </c>
      <c r="U34" s="105">
        <f t="shared" ref="U34" si="29">(R34*(T34/100))</f>
        <v>6.2600000000000007</v>
      </c>
      <c r="V34" s="111">
        <v>5.6</v>
      </c>
      <c r="W34" s="137">
        <v>8</v>
      </c>
      <c r="X34" s="106">
        <v>-0.2</v>
      </c>
      <c r="Y34" s="106" t="s">
        <v>55</v>
      </c>
    </row>
    <row r="35" spans="2:25" x14ac:dyDescent="0.3">
      <c r="B35" s="54" t="s">
        <v>10</v>
      </c>
      <c r="C35" s="54" t="s">
        <v>743</v>
      </c>
      <c r="D35" s="109" t="s">
        <v>579</v>
      </c>
      <c r="E35" s="122">
        <f t="shared" si="0"/>
        <v>70.237945145137672</v>
      </c>
      <c r="F35" s="56" t="s">
        <v>580</v>
      </c>
      <c r="G35" s="134" t="s">
        <v>622</v>
      </c>
      <c r="H35" s="56">
        <v>10</v>
      </c>
      <c r="I35" s="109">
        <v>19</v>
      </c>
      <c r="J35" s="56">
        <v>1</v>
      </c>
      <c r="K35" s="56">
        <v>0</v>
      </c>
      <c r="L35" s="56">
        <v>0</v>
      </c>
      <c r="M35" s="56">
        <v>2</v>
      </c>
      <c r="N35" s="56">
        <v>0</v>
      </c>
      <c r="O35" s="56">
        <v>0</v>
      </c>
      <c r="P35" s="122">
        <f t="shared" si="2"/>
        <v>513.96719999999993</v>
      </c>
      <c r="Q35" s="111">
        <v>3.56</v>
      </c>
      <c r="R35" s="54">
        <v>8</v>
      </c>
      <c r="S35" s="111">
        <f t="shared" si="26"/>
        <v>0.90308998699194354</v>
      </c>
      <c r="T35" s="54">
        <f t="shared" si="1"/>
        <v>10</v>
      </c>
      <c r="U35" s="108">
        <f>(R35*(T35/100))</f>
        <v>0.8</v>
      </c>
      <c r="V35" s="111">
        <v>6.3</v>
      </c>
      <c r="W35" s="63">
        <v>9</v>
      </c>
      <c r="X35" s="106">
        <v>-0.2</v>
      </c>
      <c r="Y35" s="106" t="s">
        <v>55</v>
      </c>
    </row>
    <row r="36" spans="2:25" x14ac:dyDescent="0.3">
      <c r="B36" s="54" t="s">
        <v>178</v>
      </c>
      <c r="C36" s="54" t="s">
        <v>743</v>
      </c>
      <c r="D36" s="56" t="s">
        <v>753</v>
      </c>
      <c r="E36" s="122">
        <f t="shared" si="0"/>
        <v>70.749196757239829</v>
      </c>
      <c r="F36" s="55" t="s">
        <v>581</v>
      </c>
      <c r="G36" s="135" t="s">
        <v>623</v>
      </c>
      <c r="H36" s="55">
        <v>11</v>
      </c>
      <c r="I36" s="56">
        <v>21</v>
      </c>
      <c r="J36" s="55">
        <v>1</v>
      </c>
      <c r="K36" s="55">
        <v>0</v>
      </c>
      <c r="L36" s="55">
        <v>0</v>
      </c>
      <c r="M36" s="55">
        <v>2</v>
      </c>
      <c r="N36" s="56">
        <v>0</v>
      </c>
      <c r="O36" s="56">
        <v>0</v>
      </c>
      <c r="P36" s="122">
        <f t="shared" si="2"/>
        <v>563.96399999999994</v>
      </c>
      <c r="Q36" s="111">
        <v>3.93</v>
      </c>
      <c r="R36" s="108">
        <v>1.02</v>
      </c>
      <c r="S36" s="111">
        <f t="shared" si="26"/>
        <v>8.6001717619175692E-3</v>
      </c>
      <c r="T36" s="54">
        <f t="shared" si="1"/>
        <v>10</v>
      </c>
      <c r="U36" s="108">
        <f>(R36*(T36/100))</f>
        <v>0.10200000000000001</v>
      </c>
      <c r="V36" s="111">
        <v>6.9</v>
      </c>
      <c r="W36" s="63">
        <v>10</v>
      </c>
      <c r="X36" s="106">
        <v>-0.2</v>
      </c>
      <c r="Y36" s="106" t="s">
        <v>55</v>
      </c>
    </row>
    <row r="37" spans="2:25" x14ac:dyDescent="0.3">
      <c r="B37" s="54" t="s">
        <v>7</v>
      </c>
      <c r="C37" s="54" t="s">
        <v>743</v>
      </c>
      <c r="D37" s="56" t="s">
        <v>754</v>
      </c>
      <c r="E37" s="122">
        <f t="shared" si="0"/>
        <v>71.177182647491506</v>
      </c>
      <c r="F37" s="55" t="s">
        <v>578</v>
      </c>
      <c r="G37" s="134" t="s">
        <v>625</v>
      </c>
      <c r="H37" s="56">
        <v>12</v>
      </c>
      <c r="I37" s="56">
        <v>23</v>
      </c>
      <c r="J37" s="56">
        <v>1</v>
      </c>
      <c r="K37" s="56">
        <v>0</v>
      </c>
      <c r="L37" s="56">
        <v>0</v>
      </c>
      <c r="M37" s="56">
        <v>2</v>
      </c>
      <c r="N37" s="56">
        <v>0</v>
      </c>
      <c r="O37" s="56">
        <v>0</v>
      </c>
      <c r="P37" s="122">
        <f t="shared" si="2"/>
        <v>613.96079999999995</v>
      </c>
      <c r="Q37" s="111">
        <v>4.3</v>
      </c>
      <c r="R37" s="108">
        <v>0.13</v>
      </c>
      <c r="S37" s="111">
        <f t="shared" si="26"/>
        <v>-0.88605664769316317</v>
      </c>
      <c r="T37" s="54">
        <f t="shared" si="1"/>
        <v>10</v>
      </c>
      <c r="U37" s="108">
        <f>(R37*(T37/100))</f>
        <v>1.3000000000000001E-2</v>
      </c>
      <c r="V37" s="111">
        <v>7.6</v>
      </c>
      <c r="W37" s="63">
        <v>11</v>
      </c>
      <c r="X37" s="106">
        <v>-0.2</v>
      </c>
      <c r="Y37" s="106" t="s">
        <v>55</v>
      </c>
    </row>
    <row r="38" spans="2:25" x14ac:dyDescent="0.3">
      <c r="B38" s="54" t="s">
        <v>179</v>
      </c>
      <c r="C38" s="54" t="s">
        <v>743</v>
      </c>
      <c r="D38" s="55" t="s">
        <v>583</v>
      </c>
      <c r="E38" s="122">
        <f t="shared" si="0"/>
        <v>71.54071284069947</v>
      </c>
      <c r="F38" s="55" t="s">
        <v>584</v>
      </c>
      <c r="G38" s="135" t="s">
        <v>650</v>
      </c>
      <c r="H38" s="55">
        <v>13</v>
      </c>
      <c r="I38" s="55">
        <v>25</v>
      </c>
      <c r="J38" s="55">
        <v>1</v>
      </c>
      <c r="K38" s="55">
        <v>0</v>
      </c>
      <c r="L38" s="55">
        <v>0</v>
      </c>
      <c r="M38" s="55">
        <v>2</v>
      </c>
      <c r="N38" s="56">
        <v>0</v>
      </c>
      <c r="O38" s="56">
        <v>0</v>
      </c>
      <c r="P38" s="122">
        <f t="shared" si="2"/>
        <v>663.95759999999996</v>
      </c>
      <c r="Q38" s="111">
        <v>4.67</v>
      </c>
      <c r="R38" s="57">
        <v>1.6230000000000001E-2</v>
      </c>
      <c r="S38" s="111">
        <f t="shared" ref="S38" si="30">LOG(R38)</f>
        <v>-1.7896814801737682</v>
      </c>
      <c r="T38" s="54">
        <f t="shared" si="1"/>
        <v>10</v>
      </c>
      <c r="U38" s="108">
        <f t="shared" ref="U38" si="31">(R38*(T38/100))</f>
        <v>1.6230000000000003E-3</v>
      </c>
      <c r="V38" s="111">
        <v>8.3000000000000007</v>
      </c>
      <c r="W38" s="63">
        <v>12</v>
      </c>
      <c r="X38" s="106">
        <v>-0.2</v>
      </c>
      <c r="Y38" s="106" t="s">
        <v>55</v>
      </c>
    </row>
    <row r="39" spans="2:25" x14ac:dyDescent="0.3">
      <c r="B39" s="54" t="s">
        <v>180</v>
      </c>
      <c r="C39" s="54" t="s">
        <v>743</v>
      </c>
      <c r="D39" s="55" t="s">
        <v>585</v>
      </c>
      <c r="E39" s="122">
        <f t="shared" si="0"/>
        <v>71.853328447867256</v>
      </c>
      <c r="F39" s="55" t="s">
        <v>586</v>
      </c>
      <c r="G39" s="134" t="s">
        <v>731</v>
      </c>
      <c r="H39" s="56">
        <v>14</v>
      </c>
      <c r="I39" s="55">
        <v>27</v>
      </c>
      <c r="J39" s="56">
        <v>1</v>
      </c>
      <c r="K39" s="56">
        <v>0</v>
      </c>
      <c r="L39" s="56">
        <v>0</v>
      </c>
      <c r="M39" s="56">
        <v>2</v>
      </c>
      <c r="N39" s="56">
        <v>0</v>
      </c>
      <c r="O39" s="56">
        <v>0</v>
      </c>
      <c r="P39" s="122">
        <f t="shared" si="2"/>
        <v>713.95439999999996</v>
      </c>
      <c r="Q39" s="111">
        <v>5.04</v>
      </c>
      <c r="R39" s="138">
        <v>2.0240000000000002E-3</v>
      </c>
      <c r="S39" s="111">
        <f t="shared" ref="S39" si="32">LOG(R39)</f>
        <v>-2.6937894918322383</v>
      </c>
      <c r="T39" s="54">
        <f t="shared" si="1"/>
        <v>10</v>
      </c>
      <c r="U39" s="108">
        <f t="shared" ref="U39" si="33">(R39*(T39/100))</f>
        <v>2.0240000000000004E-4</v>
      </c>
      <c r="V39" s="111">
        <v>9</v>
      </c>
      <c r="W39" s="63">
        <v>13</v>
      </c>
      <c r="X39" s="106">
        <v>-0.2</v>
      </c>
      <c r="Y39" s="106" t="s">
        <v>55</v>
      </c>
    </row>
    <row r="40" spans="2:25" x14ac:dyDescent="0.3">
      <c r="B40" s="54" t="s">
        <v>539</v>
      </c>
      <c r="C40" s="54" t="s">
        <v>745</v>
      </c>
      <c r="D40" s="55" t="s">
        <v>540</v>
      </c>
      <c r="E40" s="122">
        <f t="shared" si="0"/>
        <v>63.338150871475385</v>
      </c>
      <c r="F40" s="55" t="s">
        <v>541</v>
      </c>
      <c r="G40" s="134" t="s">
        <v>733</v>
      </c>
      <c r="H40" s="56">
        <v>6</v>
      </c>
      <c r="I40" s="55">
        <v>11</v>
      </c>
      <c r="J40" s="56">
        <v>1</v>
      </c>
      <c r="K40" s="56">
        <v>0</v>
      </c>
      <c r="L40" s="56">
        <v>0</v>
      </c>
      <c r="M40" s="56">
        <v>3</v>
      </c>
      <c r="N40" s="56">
        <v>0</v>
      </c>
      <c r="O40" s="56">
        <v>0</v>
      </c>
      <c r="P40" s="122">
        <f t="shared" si="2"/>
        <v>329.97489999999993</v>
      </c>
      <c r="Q40" s="111">
        <v>1.92</v>
      </c>
      <c r="R40" s="54">
        <v>27200</v>
      </c>
      <c r="S40" s="111">
        <f t="shared" ref="S40" si="34">LOG(R40)</f>
        <v>4.4345689040341991</v>
      </c>
      <c r="T40" s="54">
        <f t="shared" si="1"/>
        <v>10</v>
      </c>
      <c r="U40" s="105">
        <f t="shared" ref="U40" si="35">(R40*(T40/100))</f>
        <v>2720</v>
      </c>
      <c r="V40" s="111">
        <v>3.6</v>
      </c>
      <c r="W40" s="54">
        <v>5</v>
      </c>
      <c r="X40" s="106">
        <v>-0.1</v>
      </c>
      <c r="Y40" s="106" t="s">
        <v>55</v>
      </c>
    </row>
    <row r="41" spans="2:25" x14ac:dyDescent="0.3">
      <c r="B41" s="54" t="s">
        <v>542</v>
      </c>
      <c r="C41" s="54" t="s">
        <v>745</v>
      </c>
      <c r="D41" s="55" t="s">
        <v>543</v>
      </c>
      <c r="E41" s="122">
        <f t="shared" si="0"/>
        <v>60.321290240650207</v>
      </c>
      <c r="F41" s="55" t="s">
        <v>544</v>
      </c>
      <c r="G41" s="134" t="s">
        <v>651</v>
      </c>
      <c r="H41" s="56">
        <v>7</v>
      </c>
      <c r="I41" s="55">
        <v>12</v>
      </c>
      <c r="J41" s="56">
        <v>2</v>
      </c>
      <c r="K41" s="56">
        <v>0</v>
      </c>
      <c r="L41" s="56">
        <v>0</v>
      </c>
      <c r="M41" s="56">
        <v>4</v>
      </c>
      <c r="N41" s="56">
        <v>0</v>
      </c>
      <c r="O41" s="56">
        <v>0</v>
      </c>
      <c r="P41" s="122">
        <f t="shared" si="2"/>
        <v>377.976</v>
      </c>
      <c r="Q41" s="111">
        <v>1.94</v>
      </c>
      <c r="R41" s="54">
        <v>9369</v>
      </c>
      <c r="S41" s="111">
        <f t="shared" ref="S41" si="36">LOG(R41)</f>
        <v>3.9716932389498609</v>
      </c>
      <c r="T41" s="54">
        <f t="shared" si="1"/>
        <v>10</v>
      </c>
      <c r="U41" s="105">
        <f t="shared" ref="U41" si="37">(R41*(T41/100))</f>
        <v>936.90000000000009</v>
      </c>
      <c r="V41" s="111">
        <v>4.0999999999999996</v>
      </c>
      <c r="W41" s="54">
        <v>6</v>
      </c>
      <c r="X41" s="106">
        <v>1.2</v>
      </c>
      <c r="Y41" s="106" t="s">
        <v>55</v>
      </c>
    </row>
    <row r="42" spans="2:25" x14ac:dyDescent="0.3">
      <c r="B42" s="54" t="s">
        <v>1</v>
      </c>
      <c r="C42" s="54" t="s">
        <v>744</v>
      </c>
      <c r="D42" s="54" t="s">
        <v>311</v>
      </c>
      <c r="E42" s="122">
        <f t="shared" si="0"/>
        <v>57.009463570952775</v>
      </c>
      <c r="F42" s="56" t="s">
        <v>567</v>
      </c>
      <c r="G42" s="134" t="s">
        <v>612</v>
      </c>
      <c r="H42" s="56">
        <v>4</v>
      </c>
      <c r="I42" s="54">
        <v>9</v>
      </c>
      <c r="J42" s="56">
        <v>1</v>
      </c>
      <c r="K42" s="56">
        <v>0</v>
      </c>
      <c r="L42" s="56">
        <v>1</v>
      </c>
      <c r="M42" s="56">
        <v>3</v>
      </c>
      <c r="N42" s="56">
        <v>0</v>
      </c>
      <c r="O42" s="56">
        <v>0</v>
      </c>
      <c r="P42" s="122">
        <f t="shared" si="2"/>
        <v>299.9502</v>
      </c>
      <c r="Q42" s="111">
        <v>1.93</v>
      </c>
      <c r="R42" s="54">
        <v>344000</v>
      </c>
      <c r="S42" s="111">
        <f t="shared" ref="S42:S45" si="38">LOG(R42)</f>
        <v>5.53655844257153</v>
      </c>
      <c r="T42" s="54">
        <f t="shared" si="1"/>
        <v>10</v>
      </c>
      <c r="U42" s="105">
        <f t="shared" ref="U42:U44" si="39">(R42*(T42/100))</f>
        <v>34400</v>
      </c>
      <c r="V42" s="111">
        <v>2.2999999999999998</v>
      </c>
      <c r="W42" s="63">
        <v>4</v>
      </c>
      <c r="X42" s="106">
        <v>0.1</v>
      </c>
      <c r="Y42" s="106" t="s">
        <v>55</v>
      </c>
    </row>
    <row r="43" spans="2:25" x14ac:dyDescent="0.3">
      <c r="B43" s="54" t="s">
        <v>186</v>
      </c>
      <c r="C43" s="54" t="s">
        <v>744</v>
      </c>
      <c r="D43" s="54" t="s">
        <v>313</v>
      </c>
      <c r="E43" s="122">
        <f t="shared" si="0"/>
        <v>59.72332953275783</v>
      </c>
      <c r="F43" s="55" t="s">
        <v>569</v>
      </c>
      <c r="G43" s="135" t="s">
        <v>614</v>
      </c>
      <c r="H43" s="55">
        <v>5</v>
      </c>
      <c r="I43" s="54">
        <v>11</v>
      </c>
      <c r="J43" s="55">
        <v>1</v>
      </c>
      <c r="K43" s="55">
        <v>0</v>
      </c>
      <c r="L43" s="55">
        <v>1</v>
      </c>
      <c r="M43" s="55">
        <v>3</v>
      </c>
      <c r="N43" s="56">
        <v>0</v>
      </c>
      <c r="O43" s="56">
        <v>0</v>
      </c>
      <c r="P43" s="122">
        <f t="shared" si="2"/>
        <v>349.94699999999995</v>
      </c>
      <c r="Q43" s="111">
        <v>2.2999999999999998</v>
      </c>
      <c r="R43" s="54">
        <v>46560</v>
      </c>
      <c r="S43" s="111">
        <f t="shared" si="38"/>
        <v>4.6680129716418319</v>
      </c>
      <c r="T43" s="54">
        <f t="shared" si="1"/>
        <v>10</v>
      </c>
      <c r="U43" s="105">
        <f t="shared" si="39"/>
        <v>4656</v>
      </c>
      <c r="V43" s="111">
        <v>3</v>
      </c>
      <c r="W43" s="63">
        <v>5</v>
      </c>
      <c r="X43" s="106">
        <v>0.1</v>
      </c>
      <c r="Y43" s="106" t="s">
        <v>55</v>
      </c>
    </row>
    <row r="44" spans="2:25" x14ac:dyDescent="0.3">
      <c r="B44" s="54" t="s">
        <v>3</v>
      </c>
      <c r="C44" s="54" t="s">
        <v>744</v>
      </c>
      <c r="D44" s="109" t="s">
        <v>596</v>
      </c>
      <c r="E44" s="122">
        <f t="shared" si="0"/>
        <v>61.758677094131734</v>
      </c>
      <c r="F44" s="56" t="s">
        <v>597</v>
      </c>
      <c r="G44" s="134" t="s">
        <v>616</v>
      </c>
      <c r="H44" s="56">
        <v>6</v>
      </c>
      <c r="I44" s="109">
        <v>13</v>
      </c>
      <c r="J44" s="56">
        <v>1</v>
      </c>
      <c r="K44" s="56">
        <v>0</v>
      </c>
      <c r="L44" s="56">
        <v>1</v>
      </c>
      <c r="M44" s="56">
        <v>3</v>
      </c>
      <c r="N44" s="56">
        <v>0</v>
      </c>
      <c r="O44" s="56">
        <v>0</v>
      </c>
      <c r="P44" s="122">
        <f t="shared" si="2"/>
        <v>399.94379999999995</v>
      </c>
      <c r="Q44" s="111">
        <v>2.67</v>
      </c>
      <c r="R44" s="54">
        <v>6174</v>
      </c>
      <c r="S44" s="111">
        <f t="shared" si="38"/>
        <v>3.7905666251460763</v>
      </c>
      <c r="T44" s="54">
        <f t="shared" si="1"/>
        <v>10</v>
      </c>
      <c r="U44" s="105">
        <f t="shared" si="39"/>
        <v>617.40000000000009</v>
      </c>
      <c r="V44" s="111">
        <v>3.6</v>
      </c>
      <c r="W44" s="63">
        <v>6</v>
      </c>
      <c r="X44" s="106">
        <v>0.1</v>
      </c>
      <c r="Y44" s="106" t="s">
        <v>55</v>
      </c>
    </row>
    <row r="45" spans="2:25" x14ac:dyDescent="0.3">
      <c r="B45" s="54" t="s">
        <v>187</v>
      </c>
      <c r="C45" s="54" t="s">
        <v>744</v>
      </c>
      <c r="D45" s="56" t="s">
        <v>755</v>
      </c>
      <c r="E45" s="122">
        <f t="shared" si="0"/>
        <v>63.34169443699902</v>
      </c>
      <c r="F45" s="55" t="s">
        <v>574</v>
      </c>
      <c r="G45" s="135" t="s">
        <v>618</v>
      </c>
      <c r="H45" s="55">
        <v>7</v>
      </c>
      <c r="I45" s="56">
        <v>15</v>
      </c>
      <c r="J45" s="55">
        <v>1</v>
      </c>
      <c r="K45" s="55">
        <v>0</v>
      </c>
      <c r="L45" s="55">
        <v>1</v>
      </c>
      <c r="M45" s="55">
        <v>3</v>
      </c>
      <c r="N45" s="56">
        <v>0</v>
      </c>
      <c r="O45" s="56">
        <v>0</v>
      </c>
      <c r="P45" s="122">
        <f t="shared" si="2"/>
        <v>449.94059999999996</v>
      </c>
      <c r="Q45" s="111">
        <v>3.04</v>
      </c>
      <c r="R45" s="54">
        <v>806</v>
      </c>
      <c r="S45" s="111">
        <f t="shared" si="38"/>
        <v>2.9063350418050908</v>
      </c>
      <c r="T45" s="54">
        <f t="shared" si="1"/>
        <v>10</v>
      </c>
      <c r="U45" s="105">
        <f t="shared" ref="U45" si="40">(R45*(T45/100))</f>
        <v>80.600000000000009</v>
      </c>
      <c r="V45" s="111">
        <v>4.3</v>
      </c>
      <c r="W45" s="63">
        <v>7</v>
      </c>
      <c r="X45" s="106">
        <v>0.1</v>
      </c>
      <c r="Y45" s="106" t="s">
        <v>55</v>
      </c>
    </row>
    <row r="46" spans="2:25" x14ac:dyDescent="0.3">
      <c r="B46" s="54" t="s">
        <v>5</v>
      </c>
      <c r="C46" s="54" t="s">
        <v>744</v>
      </c>
      <c r="D46" s="54" t="s">
        <v>393</v>
      </c>
      <c r="E46" s="122">
        <f t="shared" si="0"/>
        <v>64.60808893273439</v>
      </c>
      <c r="F46" s="55" t="s">
        <v>577</v>
      </c>
      <c r="G46" s="134" t="s">
        <v>610</v>
      </c>
      <c r="H46" s="56">
        <v>8</v>
      </c>
      <c r="I46" s="54">
        <v>17</v>
      </c>
      <c r="J46" s="56">
        <v>1</v>
      </c>
      <c r="K46" s="56">
        <v>0</v>
      </c>
      <c r="L46" s="56">
        <v>1</v>
      </c>
      <c r="M46" s="56">
        <v>3</v>
      </c>
      <c r="N46" s="56">
        <v>0</v>
      </c>
      <c r="O46" s="56">
        <v>0</v>
      </c>
      <c r="P46" s="122">
        <f t="shared" si="2"/>
        <v>499.93739999999997</v>
      </c>
      <c r="Q46" s="111">
        <v>3.41</v>
      </c>
      <c r="R46" s="105">
        <v>103.9</v>
      </c>
      <c r="S46" s="111">
        <f t="shared" ref="S46:S48" si="41">LOG(R46)</f>
        <v>2.0166155475571776</v>
      </c>
      <c r="T46" s="54">
        <f t="shared" si="1"/>
        <v>10</v>
      </c>
      <c r="U46" s="108">
        <f t="shared" ref="U46:U48" si="42">(R46*(T46/100))</f>
        <v>10.39</v>
      </c>
      <c r="V46" s="111">
        <v>5</v>
      </c>
      <c r="W46" s="63">
        <v>8</v>
      </c>
      <c r="X46" s="106">
        <v>0.1</v>
      </c>
      <c r="Y46" s="106" t="s">
        <v>55</v>
      </c>
    </row>
    <row r="47" spans="2:25" x14ac:dyDescent="0.3">
      <c r="B47" s="54" t="s">
        <v>188</v>
      </c>
      <c r="C47" s="54" t="s">
        <v>744</v>
      </c>
      <c r="D47" s="56" t="s">
        <v>758</v>
      </c>
      <c r="E47" s="122">
        <f t="shared" ref="E47:E65" si="43">((I47*19)/P47)*100</f>
        <v>65.644217071787864</v>
      </c>
      <c r="F47" s="56" t="s">
        <v>600</v>
      </c>
      <c r="G47" s="134" t="s">
        <v>621</v>
      </c>
      <c r="H47" s="56">
        <v>9</v>
      </c>
      <c r="I47" s="56">
        <v>19</v>
      </c>
      <c r="J47" s="56">
        <v>1</v>
      </c>
      <c r="K47" s="56">
        <v>0</v>
      </c>
      <c r="L47" s="56">
        <v>1</v>
      </c>
      <c r="M47" s="56">
        <v>3</v>
      </c>
      <c r="N47" s="56">
        <v>0</v>
      </c>
      <c r="O47" s="56">
        <v>0</v>
      </c>
      <c r="P47" s="122">
        <f t="shared" si="2"/>
        <v>549.93420000000003</v>
      </c>
      <c r="Q47" s="111">
        <v>3.78</v>
      </c>
      <c r="R47" s="105">
        <v>13.3</v>
      </c>
      <c r="S47" s="111">
        <f t="shared" si="41"/>
        <v>1.1238516409670858</v>
      </c>
      <c r="T47" s="54">
        <f t="shared" si="1"/>
        <v>10</v>
      </c>
      <c r="U47" s="108">
        <f t="shared" si="42"/>
        <v>1.33</v>
      </c>
      <c r="V47" s="111">
        <v>5.6</v>
      </c>
      <c r="W47" s="63">
        <v>9</v>
      </c>
      <c r="X47" s="106">
        <v>0.1</v>
      </c>
      <c r="Y47" s="106" t="s">
        <v>55</v>
      </c>
    </row>
    <row r="48" spans="2:25" x14ac:dyDescent="0.3">
      <c r="B48" s="54" t="s">
        <v>11</v>
      </c>
      <c r="C48" s="54" t="s">
        <v>744</v>
      </c>
      <c r="D48" s="56" t="s">
        <v>759</v>
      </c>
      <c r="E48" s="122">
        <f t="shared" si="43"/>
        <v>66.507648379563662</v>
      </c>
      <c r="F48" s="55" t="s">
        <v>582</v>
      </c>
      <c r="G48" s="134" t="s">
        <v>624</v>
      </c>
      <c r="H48" s="56">
        <v>10</v>
      </c>
      <c r="I48" s="56">
        <v>21</v>
      </c>
      <c r="J48" s="56">
        <v>1</v>
      </c>
      <c r="K48" s="56">
        <v>0</v>
      </c>
      <c r="L48" s="56">
        <v>1</v>
      </c>
      <c r="M48" s="56">
        <v>3</v>
      </c>
      <c r="N48" s="56">
        <v>0</v>
      </c>
      <c r="O48" s="56">
        <v>0</v>
      </c>
      <c r="P48" s="122">
        <f t="shared" si="2"/>
        <v>599.93099999999993</v>
      </c>
      <c r="Q48" s="111">
        <v>4.1500000000000004</v>
      </c>
      <c r="R48" s="108">
        <v>1.68</v>
      </c>
      <c r="S48" s="111">
        <f t="shared" si="41"/>
        <v>0.22530928172586284</v>
      </c>
      <c r="T48" s="54">
        <f t="shared" si="1"/>
        <v>10</v>
      </c>
      <c r="U48" s="108">
        <f t="shared" si="42"/>
        <v>0.16800000000000001</v>
      </c>
      <c r="V48" s="111">
        <v>6.4</v>
      </c>
      <c r="W48" s="63">
        <v>10</v>
      </c>
      <c r="X48" s="106">
        <v>0.1</v>
      </c>
      <c r="Y48" s="106" t="s">
        <v>55</v>
      </c>
    </row>
    <row r="49" spans="2:25" x14ac:dyDescent="0.3">
      <c r="B49" s="54" t="s">
        <v>545</v>
      </c>
      <c r="C49" s="54" t="s">
        <v>744</v>
      </c>
      <c r="D49" s="109" t="s">
        <v>547</v>
      </c>
      <c r="E49" s="122">
        <f t="shared" si="43"/>
        <v>61.69624406254831</v>
      </c>
      <c r="F49" s="56" t="s">
        <v>546</v>
      </c>
      <c r="G49" s="134" t="s">
        <v>730</v>
      </c>
      <c r="H49" s="56">
        <v>8</v>
      </c>
      <c r="I49" s="109">
        <v>15</v>
      </c>
      <c r="J49" s="56">
        <v>1</v>
      </c>
      <c r="K49" s="56">
        <v>0</v>
      </c>
      <c r="L49" s="56">
        <v>1</v>
      </c>
      <c r="M49" s="56">
        <v>3</v>
      </c>
      <c r="N49" s="56">
        <v>0</v>
      </c>
      <c r="O49" s="56">
        <v>0</v>
      </c>
      <c r="P49" s="122">
        <f t="shared" si="2"/>
        <v>461.94059999999996</v>
      </c>
      <c r="Q49" s="111">
        <v>3.37</v>
      </c>
      <c r="R49" s="54">
        <v>210</v>
      </c>
      <c r="S49" s="111">
        <f t="shared" ref="S49" si="44">LOG(R49)</f>
        <v>2.3222192947339191</v>
      </c>
      <c r="T49" s="54">
        <f t="shared" si="1"/>
        <v>10</v>
      </c>
      <c r="U49" s="105">
        <f t="shared" ref="U49" si="45">(R49*(T49/100))</f>
        <v>21</v>
      </c>
      <c r="V49" s="111">
        <v>3.9</v>
      </c>
      <c r="W49" s="63">
        <v>8</v>
      </c>
      <c r="X49" s="106">
        <v>0.1</v>
      </c>
      <c r="Y49" s="106" t="s">
        <v>55</v>
      </c>
    </row>
    <row r="50" spans="2:25" x14ac:dyDescent="0.3">
      <c r="B50" s="139" t="s">
        <v>751</v>
      </c>
      <c r="C50" s="54" t="s">
        <v>746</v>
      </c>
      <c r="D50" s="109" t="s">
        <v>548</v>
      </c>
      <c r="E50" s="122">
        <f t="shared" ref="E50:E59" si="46">((I50*19)/P50)*100</f>
        <v>57.153310182482628</v>
      </c>
      <c r="F50" s="56" t="s">
        <v>549</v>
      </c>
      <c r="G50" s="140" t="s">
        <v>732</v>
      </c>
      <c r="H50" s="56">
        <v>8</v>
      </c>
      <c r="I50" s="109">
        <v>16</v>
      </c>
      <c r="J50" s="56">
        <v>1</v>
      </c>
      <c r="K50" s="56">
        <v>0</v>
      </c>
      <c r="L50" s="56">
        <v>1</v>
      </c>
      <c r="M50" s="56">
        <v>4</v>
      </c>
      <c r="N50" s="56">
        <v>1</v>
      </c>
      <c r="O50" s="56">
        <v>0</v>
      </c>
      <c r="P50" s="122">
        <f t="shared" si="2"/>
        <v>531.90269999999998</v>
      </c>
      <c r="Q50" s="111">
        <v>3.73</v>
      </c>
      <c r="R50" s="105">
        <v>14.67</v>
      </c>
      <c r="S50" s="111">
        <f t="shared" ref="S50" si="47">LOG(R50)</f>
        <v>1.1664301138432827</v>
      </c>
      <c r="T50" s="54">
        <f t="shared" si="1"/>
        <v>10</v>
      </c>
      <c r="U50" s="105">
        <f t="shared" ref="U50" si="48">(R50*(T50/100))</f>
        <v>1.4670000000000001</v>
      </c>
      <c r="V50" s="111">
        <v>5.3</v>
      </c>
      <c r="W50" s="63">
        <v>8</v>
      </c>
      <c r="X50" s="106">
        <v>0.1</v>
      </c>
      <c r="Y50" s="106" t="s">
        <v>55</v>
      </c>
    </row>
    <row r="51" spans="2:25" x14ac:dyDescent="0.3">
      <c r="B51" s="54" t="s">
        <v>236</v>
      </c>
      <c r="C51" s="54" t="s">
        <v>748</v>
      </c>
      <c r="D51" s="56" t="s">
        <v>762</v>
      </c>
      <c r="E51" s="122">
        <f t="shared" si="46"/>
        <v>52.13710289668866</v>
      </c>
      <c r="F51" s="56" t="s">
        <v>562</v>
      </c>
      <c r="G51" s="134" t="s">
        <v>640</v>
      </c>
      <c r="H51" s="56">
        <v>6</v>
      </c>
      <c r="I51" s="56">
        <v>9</v>
      </c>
      <c r="J51" s="56">
        <v>5</v>
      </c>
      <c r="K51" s="56">
        <v>0</v>
      </c>
      <c r="L51" s="56">
        <v>1</v>
      </c>
      <c r="M51" s="56">
        <v>3</v>
      </c>
      <c r="N51" s="56">
        <v>0</v>
      </c>
      <c r="O51" s="56">
        <v>0</v>
      </c>
      <c r="P51" s="122">
        <f t="shared" si="2"/>
        <v>327.98139999999995</v>
      </c>
      <c r="Q51" s="111">
        <v>1.66</v>
      </c>
      <c r="R51" s="54">
        <v>624400</v>
      </c>
      <c r="S51" s="111">
        <f t="shared" ref="S51" si="49">LOG(R51)</f>
        <v>5.7954628943903801</v>
      </c>
      <c r="T51" s="54">
        <f t="shared" si="1"/>
        <v>10</v>
      </c>
      <c r="U51" s="105">
        <f t="shared" ref="U51" si="50">(R51*(T51/100))</f>
        <v>62440</v>
      </c>
      <c r="V51" s="111">
        <v>2.6</v>
      </c>
      <c r="W51" s="63">
        <v>4</v>
      </c>
      <c r="X51" s="106">
        <v>0.4</v>
      </c>
      <c r="Y51" s="106" t="s">
        <v>55</v>
      </c>
    </row>
    <row r="52" spans="2:25" x14ac:dyDescent="0.3">
      <c r="B52" s="54" t="s">
        <v>232</v>
      </c>
      <c r="C52" s="54" t="s">
        <v>748</v>
      </c>
      <c r="D52" s="55" t="s">
        <v>280</v>
      </c>
      <c r="E52" s="122">
        <f t="shared" si="46"/>
        <v>57.713651498335182</v>
      </c>
      <c r="F52" s="55" t="s">
        <v>563</v>
      </c>
      <c r="G52" s="135" t="s">
        <v>641</v>
      </c>
      <c r="H52" s="55">
        <v>8</v>
      </c>
      <c r="I52" s="55">
        <v>13</v>
      </c>
      <c r="J52" s="55">
        <v>5</v>
      </c>
      <c r="K52" s="55">
        <v>0</v>
      </c>
      <c r="L52" s="55">
        <v>1</v>
      </c>
      <c r="M52" s="55">
        <v>3</v>
      </c>
      <c r="N52" s="55">
        <v>0</v>
      </c>
      <c r="O52" s="56">
        <v>0</v>
      </c>
      <c r="P52" s="122">
        <f t="shared" si="2"/>
        <v>427.97499999999997</v>
      </c>
      <c r="Q52" s="111">
        <v>2.4</v>
      </c>
      <c r="R52" s="54">
        <v>10970</v>
      </c>
      <c r="S52" s="111">
        <f t="shared" ref="S52" si="51">LOG(R52)</f>
        <v>4.0402066275747108</v>
      </c>
      <c r="T52" s="54">
        <f t="shared" si="1"/>
        <v>10</v>
      </c>
      <c r="U52" s="105">
        <f t="shared" ref="U52" si="52">(R52*(T52/100))</f>
        <v>1097</v>
      </c>
      <c r="V52" s="111">
        <v>3.9</v>
      </c>
      <c r="W52" s="63">
        <v>6</v>
      </c>
      <c r="X52" s="106">
        <v>0.4</v>
      </c>
      <c r="Y52" s="106" t="s">
        <v>55</v>
      </c>
    </row>
    <row r="53" spans="2:25" x14ac:dyDescent="0.3">
      <c r="B53" s="54" t="s">
        <v>235</v>
      </c>
      <c r="C53" s="54" t="s">
        <v>748</v>
      </c>
      <c r="D53" s="54" t="s">
        <v>282</v>
      </c>
      <c r="E53" s="122">
        <f t="shared" si="46"/>
        <v>61.177880654266183</v>
      </c>
      <c r="F53" s="55" t="s">
        <v>564</v>
      </c>
      <c r="G53" s="140" t="s">
        <v>734</v>
      </c>
      <c r="H53" s="56">
        <v>10</v>
      </c>
      <c r="I53" s="54">
        <v>17</v>
      </c>
      <c r="J53" s="56">
        <v>5</v>
      </c>
      <c r="K53" s="56">
        <v>0</v>
      </c>
      <c r="L53" s="56">
        <v>1</v>
      </c>
      <c r="M53" s="56">
        <v>3</v>
      </c>
      <c r="N53" s="56">
        <v>0</v>
      </c>
      <c r="O53" s="56">
        <v>0</v>
      </c>
      <c r="P53" s="122">
        <f t="shared" si="2"/>
        <v>527.96860000000004</v>
      </c>
      <c r="Q53" s="111">
        <v>3.14</v>
      </c>
      <c r="R53" s="54">
        <v>182</v>
      </c>
      <c r="S53" s="111">
        <f t="shared" ref="S53" si="53">LOG(R53)</f>
        <v>2.2600713879850747</v>
      </c>
      <c r="T53" s="54">
        <f t="shared" si="1"/>
        <v>10</v>
      </c>
      <c r="U53" s="105">
        <f t="shared" ref="U53" si="54">(R53*(T53/100))</f>
        <v>18.2</v>
      </c>
      <c r="V53" s="111">
        <v>5.3</v>
      </c>
      <c r="W53" s="63">
        <v>8</v>
      </c>
      <c r="X53" s="106">
        <v>0.4</v>
      </c>
      <c r="Y53" s="106" t="s">
        <v>55</v>
      </c>
    </row>
    <row r="54" spans="2:25" x14ac:dyDescent="0.3">
      <c r="B54" s="54" t="s">
        <v>297</v>
      </c>
      <c r="C54" s="54" t="s">
        <v>741</v>
      </c>
      <c r="D54" s="55" t="s">
        <v>298</v>
      </c>
      <c r="E54" s="122">
        <f t="shared" si="46"/>
        <v>57.197101210772317</v>
      </c>
      <c r="F54" s="110" t="s">
        <v>550</v>
      </c>
      <c r="G54" s="136" t="s">
        <v>632</v>
      </c>
      <c r="H54" s="110">
        <v>4</v>
      </c>
      <c r="I54" s="55">
        <v>9</v>
      </c>
      <c r="J54" s="110">
        <v>2</v>
      </c>
      <c r="K54" s="110">
        <v>1</v>
      </c>
      <c r="L54" s="110">
        <v>1</v>
      </c>
      <c r="M54" s="110">
        <v>2</v>
      </c>
      <c r="N54" s="110">
        <v>0</v>
      </c>
      <c r="O54" s="56">
        <v>0</v>
      </c>
      <c r="P54" s="122">
        <f t="shared" si="2"/>
        <v>298.96620000000001</v>
      </c>
      <c r="Q54" s="111">
        <v>2.82</v>
      </c>
      <c r="R54" s="54">
        <v>26620</v>
      </c>
      <c r="S54" s="111">
        <f t="shared" ref="S54" si="55">LOG(R54)</f>
        <v>4.4252080511386565</v>
      </c>
      <c r="T54" s="54">
        <f t="shared" si="1"/>
        <v>10</v>
      </c>
      <c r="U54" s="105">
        <f t="shared" ref="U54" si="56">(R54*(T54/100))</f>
        <v>2662</v>
      </c>
      <c r="V54" s="111">
        <v>2.2000000000000002</v>
      </c>
      <c r="W54" s="63">
        <v>4</v>
      </c>
      <c r="X54" s="106">
        <v>6.2</v>
      </c>
      <c r="Y54" s="106" t="s">
        <v>55</v>
      </c>
    </row>
    <row r="55" spans="2:25" x14ac:dyDescent="0.3">
      <c r="B55" s="54" t="s">
        <v>299</v>
      </c>
      <c r="C55" s="54" t="s">
        <v>741</v>
      </c>
      <c r="D55" s="55" t="s">
        <v>300</v>
      </c>
      <c r="E55" s="122">
        <f t="shared" si="46"/>
        <v>61.910999554341061</v>
      </c>
      <c r="F55" s="56" t="s">
        <v>551</v>
      </c>
      <c r="G55" s="134" t="s">
        <v>633</v>
      </c>
      <c r="H55" s="56">
        <v>6</v>
      </c>
      <c r="I55" s="55">
        <v>13</v>
      </c>
      <c r="J55" s="56">
        <v>2</v>
      </c>
      <c r="K55" s="56">
        <v>1</v>
      </c>
      <c r="L55" s="56">
        <v>1</v>
      </c>
      <c r="M55" s="56">
        <v>2</v>
      </c>
      <c r="N55" s="56">
        <v>0</v>
      </c>
      <c r="O55" s="56">
        <v>0</v>
      </c>
      <c r="P55" s="122">
        <f t="shared" si="2"/>
        <v>398.95980000000003</v>
      </c>
      <c r="Q55" s="111">
        <v>3.55</v>
      </c>
      <c r="R55" s="54">
        <v>478</v>
      </c>
      <c r="S55" s="111">
        <f t="shared" ref="S55" si="57">LOG(R55)</f>
        <v>2.6794278966121188</v>
      </c>
      <c r="T55" s="54">
        <f t="shared" si="1"/>
        <v>10</v>
      </c>
      <c r="U55" s="105">
        <f t="shared" ref="U55" si="58">(R55*(T55/100))</f>
        <v>47.800000000000004</v>
      </c>
      <c r="V55" s="111">
        <v>3.5</v>
      </c>
      <c r="W55" s="63">
        <v>6</v>
      </c>
      <c r="X55" s="106">
        <v>6.2</v>
      </c>
      <c r="Y55" s="106" t="s">
        <v>55</v>
      </c>
    </row>
    <row r="56" spans="2:25" x14ac:dyDescent="0.3">
      <c r="B56" s="54" t="s">
        <v>301</v>
      </c>
      <c r="C56" s="54" t="s">
        <v>741</v>
      </c>
      <c r="D56" s="55" t="s">
        <v>302</v>
      </c>
      <c r="E56" s="122">
        <f t="shared" si="46"/>
        <v>64.735504357721567</v>
      </c>
      <c r="F56" s="55" t="s">
        <v>552</v>
      </c>
      <c r="G56" s="135" t="s">
        <v>634</v>
      </c>
      <c r="H56" s="55">
        <v>8</v>
      </c>
      <c r="I56" s="55">
        <v>17</v>
      </c>
      <c r="J56" s="55">
        <v>2</v>
      </c>
      <c r="K56" s="55">
        <v>1</v>
      </c>
      <c r="L56" s="55">
        <v>1</v>
      </c>
      <c r="M56" s="55">
        <v>2</v>
      </c>
      <c r="N56" s="55">
        <v>0</v>
      </c>
      <c r="O56" s="56">
        <v>0</v>
      </c>
      <c r="P56" s="122">
        <f t="shared" si="2"/>
        <v>498.95340000000004</v>
      </c>
      <c r="Q56" s="111">
        <v>4.3</v>
      </c>
      <c r="R56" s="108">
        <v>8.0399999999999991</v>
      </c>
      <c r="S56" s="111">
        <f t="shared" ref="S56" si="59">LOG(R56)</f>
        <v>0.90525604874845123</v>
      </c>
      <c r="T56" s="54">
        <f t="shared" si="1"/>
        <v>10</v>
      </c>
      <c r="U56" s="105">
        <f t="shared" ref="U56" si="60">(R56*(T56/100))</f>
        <v>0.80399999999999994</v>
      </c>
      <c r="V56" s="111">
        <v>4.8</v>
      </c>
      <c r="W56" s="63">
        <v>8</v>
      </c>
      <c r="X56" s="106">
        <v>6.2</v>
      </c>
      <c r="Y56" s="106" t="s">
        <v>55</v>
      </c>
    </row>
    <row r="57" spans="2:25" x14ac:dyDescent="0.3">
      <c r="B57" s="54" t="s">
        <v>381</v>
      </c>
      <c r="C57" s="54" t="s">
        <v>741</v>
      </c>
      <c r="D57" s="54" t="s">
        <v>383</v>
      </c>
      <c r="E57" s="122">
        <f t="shared" si="46"/>
        <v>61.292113659488344</v>
      </c>
      <c r="F57" s="55" t="s">
        <v>555</v>
      </c>
      <c r="G57" s="135" t="s">
        <v>635</v>
      </c>
      <c r="H57" s="55">
        <v>10</v>
      </c>
      <c r="I57" s="54">
        <v>17</v>
      </c>
      <c r="J57" s="55">
        <v>6</v>
      </c>
      <c r="K57" s="55">
        <v>1</v>
      </c>
      <c r="L57" s="55">
        <v>1</v>
      </c>
      <c r="M57" s="55">
        <v>2</v>
      </c>
      <c r="N57" s="55">
        <v>0</v>
      </c>
      <c r="O57" s="56">
        <v>0</v>
      </c>
      <c r="P57" s="122">
        <f t="shared" si="2"/>
        <v>526.9846</v>
      </c>
      <c r="Q57" s="111">
        <v>4.8</v>
      </c>
      <c r="R57" s="108">
        <v>0.81</v>
      </c>
      <c r="S57" s="111">
        <f t="shared" ref="S57" si="61">LOG(R57)</f>
        <v>-9.1514981121350217E-2</v>
      </c>
      <c r="T57" s="54">
        <f t="shared" si="1"/>
        <v>10</v>
      </c>
      <c r="U57" s="105">
        <f t="shared" ref="U57" si="62">(R57*(T57/100))</f>
        <v>8.1000000000000016E-2</v>
      </c>
      <c r="V57" s="111">
        <v>5.6</v>
      </c>
      <c r="W57" s="63">
        <v>8</v>
      </c>
      <c r="X57" s="106">
        <v>9</v>
      </c>
      <c r="Y57" s="106" t="s">
        <v>55</v>
      </c>
    </row>
    <row r="58" spans="2:25" x14ac:dyDescent="0.3">
      <c r="B58" s="54" t="s">
        <v>368</v>
      </c>
      <c r="C58" s="54" t="s">
        <v>742</v>
      </c>
      <c r="D58" s="55" t="s">
        <v>370</v>
      </c>
      <c r="E58" s="122">
        <f t="shared" si="46"/>
        <v>56.569961805643118</v>
      </c>
      <c r="F58" s="55" t="s">
        <v>556</v>
      </c>
      <c r="G58" s="135" t="s">
        <v>727</v>
      </c>
      <c r="H58" s="55">
        <v>11</v>
      </c>
      <c r="I58" s="55">
        <v>17</v>
      </c>
      <c r="J58" s="55">
        <v>6</v>
      </c>
      <c r="K58" s="55">
        <v>1</v>
      </c>
      <c r="L58" s="55">
        <v>1</v>
      </c>
      <c r="M58" s="55">
        <v>4</v>
      </c>
      <c r="N58" s="55">
        <v>0</v>
      </c>
      <c r="O58" s="56">
        <v>0</v>
      </c>
      <c r="P58" s="122">
        <f t="shared" si="2"/>
        <v>570.97440000000006</v>
      </c>
      <c r="Q58" s="111">
        <v>3.44</v>
      </c>
      <c r="R58" s="54">
        <v>7.8</v>
      </c>
      <c r="S58" s="111">
        <f t="shared" ref="S58" si="63">LOG(R58)</f>
        <v>0.89209460269048035</v>
      </c>
      <c r="T58" s="54">
        <f t="shared" si="1"/>
        <v>10</v>
      </c>
      <c r="U58" s="105">
        <f t="shared" ref="U58" si="64">(R58*(T58/100))</f>
        <v>0.78</v>
      </c>
      <c r="V58" s="111">
        <v>5</v>
      </c>
      <c r="W58" s="63">
        <v>8</v>
      </c>
      <c r="X58" s="106">
        <v>3.9</v>
      </c>
      <c r="Y58" s="106" t="s">
        <v>55</v>
      </c>
    </row>
    <row r="59" spans="2:25" x14ac:dyDescent="0.3">
      <c r="B59" s="54" t="s">
        <v>369</v>
      </c>
      <c r="C59" s="54" t="s">
        <v>742</v>
      </c>
      <c r="D59" s="54" t="s">
        <v>371</v>
      </c>
      <c r="E59" s="122">
        <f t="shared" si="46"/>
        <v>55.214619053317151</v>
      </c>
      <c r="F59" s="55" t="s">
        <v>557</v>
      </c>
      <c r="G59" s="135" t="s">
        <v>728</v>
      </c>
      <c r="H59" s="55">
        <v>12</v>
      </c>
      <c r="I59" s="54">
        <v>17</v>
      </c>
      <c r="J59" s="55">
        <v>8</v>
      </c>
      <c r="K59" s="55">
        <v>1</v>
      </c>
      <c r="L59" s="55">
        <v>1</v>
      </c>
      <c r="M59" s="55">
        <v>4</v>
      </c>
      <c r="N59" s="55">
        <v>0</v>
      </c>
      <c r="O59" s="56">
        <v>0</v>
      </c>
      <c r="P59" s="122">
        <f t="shared" si="2"/>
        <v>584.99</v>
      </c>
      <c r="Q59" s="111">
        <v>3.71</v>
      </c>
      <c r="R59" s="54">
        <v>2.4</v>
      </c>
      <c r="S59" s="111">
        <f t="shared" ref="S59" si="65">LOG(R59)</f>
        <v>0.38021124171160603</v>
      </c>
      <c r="T59" s="54">
        <f t="shared" si="1"/>
        <v>10</v>
      </c>
      <c r="U59" s="105">
        <f t="shared" ref="U59" si="66">(R59*(T59/100))</f>
        <v>0.24</v>
      </c>
      <c r="V59" s="111">
        <v>5.4</v>
      </c>
      <c r="W59" s="63">
        <v>8</v>
      </c>
      <c r="X59" s="106">
        <v>3.9</v>
      </c>
      <c r="Y59" s="106" t="s">
        <v>55</v>
      </c>
    </row>
    <row r="60" spans="2:25" x14ac:dyDescent="0.3">
      <c r="B60" s="54" t="s">
        <v>722</v>
      </c>
      <c r="C60" s="54" t="s">
        <v>739</v>
      </c>
      <c r="D60" s="55" t="s">
        <v>531</v>
      </c>
      <c r="E60" s="122">
        <f t="shared" si="43"/>
        <v>61.757210154285524</v>
      </c>
      <c r="F60" s="56" t="s">
        <v>532</v>
      </c>
      <c r="G60" s="134" t="s">
        <v>721</v>
      </c>
      <c r="H60" s="56">
        <v>6</v>
      </c>
      <c r="I60" s="55">
        <v>13</v>
      </c>
      <c r="J60" s="56">
        <v>2</v>
      </c>
      <c r="K60" s="56">
        <v>0</v>
      </c>
      <c r="L60" s="56">
        <v>0</v>
      </c>
      <c r="M60" s="56">
        <v>3</v>
      </c>
      <c r="N60" s="56">
        <v>0</v>
      </c>
      <c r="O60" s="56">
        <v>1</v>
      </c>
      <c r="P60" s="122">
        <f t="shared" si="2"/>
        <v>399.95329999999996</v>
      </c>
      <c r="Q60" s="111">
        <v>2.72</v>
      </c>
      <c r="R60" s="105">
        <v>7449</v>
      </c>
      <c r="S60" s="111">
        <f t="shared" ref="S60" si="67">LOG(R60)</f>
        <v>3.8720979742742268</v>
      </c>
      <c r="T60" s="54">
        <f>$D$11</f>
        <v>10</v>
      </c>
      <c r="U60" s="105">
        <f t="shared" ref="U60" si="68">(R60*(T60/100))</f>
        <v>744.90000000000009</v>
      </c>
      <c r="V60" s="111">
        <v>3</v>
      </c>
      <c r="W60" s="63">
        <v>6</v>
      </c>
      <c r="X60" s="106">
        <v>2.1</v>
      </c>
      <c r="Y60" s="106">
        <v>2.4</v>
      </c>
    </row>
    <row r="61" spans="2:25" x14ac:dyDescent="0.3">
      <c r="B61" s="54" t="s">
        <v>723</v>
      </c>
      <c r="C61" s="54" t="s">
        <v>739</v>
      </c>
      <c r="D61" s="55" t="s">
        <v>529</v>
      </c>
      <c r="E61" s="122">
        <f t="shared" si="43"/>
        <v>64.606861248664615</v>
      </c>
      <c r="F61" s="56" t="s">
        <v>530</v>
      </c>
      <c r="G61" s="134" t="s">
        <v>724</v>
      </c>
      <c r="H61" s="56">
        <v>8</v>
      </c>
      <c r="I61" s="55">
        <v>17</v>
      </c>
      <c r="J61" s="56">
        <v>2</v>
      </c>
      <c r="K61" s="56">
        <v>0</v>
      </c>
      <c r="L61" s="56">
        <v>0</v>
      </c>
      <c r="M61" s="56">
        <v>3</v>
      </c>
      <c r="N61" s="56">
        <v>0</v>
      </c>
      <c r="O61" s="56">
        <v>1</v>
      </c>
      <c r="P61" s="122">
        <f t="shared" si="2"/>
        <v>499.94689999999997</v>
      </c>
      <c r="Q61" s="111">
        <v>3.46</v>
      </c>
      <c r="R61" s="105">
        <v>125</v>
      </c>
      <c r="S61" s="111">
        <f t="shared" ref="S61" si="69">LOG(R61)</f>
        <v>2.0969100130080562</v>
      </c>
      <c r="T61" s="54">
        <f t="shared" si="1"/>
        <v>10</v>
      </c>
      <c r="U61" s="105">
        <f t="shared" ref="U61" si="70">(R61*(T61/100))</f>
        <v>12.5</v>
      </c>
      <c r="V61" s="111">
        <v>4.3</v>
      </c>
      <c r="W61" s="63">
        <v>8</v>
      </c>
      <c r="X61" s="106">
        <v>2.4</v>
      </c>
      <c r="Y61" s="106">
        <v>4.5</v>
      </c>
    </row>
    <row r="62" spans="2:25" x14ac:dyDescent="0.3">
      <c r="B62" s="54" t="s">
        <v>725</v>
      </c>
      <c r="C62" s="54" t="s">
        <v>739</v>
      </c>
      <c r="D62" s="54" t="s">
        <v>527</v>
      </c>
      <c r="E62" s="122">
        <f t="shared" si="43"/>
        <v>66.50659523736104</v>
      </c>
      <c r="F62" s="56" t="s">
        <v>528</v>
      </c>
      <c r="G62" s="134" t="s">
        <v>726</v>
      </c>
      <c r="H62" s="56">
        <v>10</v>
      </c>
      <c r="I62" s="54">
        <v>21</v>
      </c>
      <c r="J62" s="56">
        <v>2</v>
      </c>
      <c r="K62" s="56">
        <v>0</v>
      </c>
      <c r="L62" s="56">
        <v>0</v>
      </c>
      <c r="M62" s="56">
        <v>3</v>
      </c>
      <c r="N62" s="56">
        <v>0</v>
      </c>
      <c r="O62" s="56">
        <v>1</v>
      </c>
      <c r="P62" s="122">
        <f t="shared" si="2"/>
        <v>599.94049999999993</v>
      </c>
      <c r="Q62" s="111">
        <v>4.2</v>
      </c>
      <c r="R62" s="108">
        <v>2.02</v>
      </c>
      <c r="S62" s="111">
        <f t="shared" ref="S62" si="71">LOG(R62)</f>
        <v>0.30535136944662378</v>
      </c>
      <c r="T62" s="54">
        <f t="shared" si="1"/>
        <v>10</v>
      </c>
      <c r="U62" s="105">
        <f t="shared" ref="U62" si="72">(R62*(T62/100))</f>
        <v>0.20200000000000001</v>
      </c>
      <c r="V62" s="111">
        <v>5.6</v>
      </c>
      <c r="W62" s="63">
        <v>10</v>
      </c>
      <c r="X62" s="106">
        <v>3.4</v>
      </c>
      <c r="Y62" s="106">
        <v>5.6</v>
      </c>
    </row>
    <row r="63" spans="2:25" x14ac:dyDescent="0.3">
      <c r="B63" s="54" t="s">
        <v>533</v>
      </c>
      <c r="C63" s="54" t="s">
        <v>740</v>
      </c>
      <c r="D63" s="109" t="s">
        <v>534</v>
      </c>
      <c r="E63" s="122">
        <f t="shared" si="43"/>
        <v>70.377408111181509</v>
      </c>
      <c r="F63" s="56" t="s">
        <v>593</v>
      </c>
      <c r="G63" s="134" t="s">
        <v>647</v>
      </c>
      <c r="H63" s="56">
        <v>12</v>
      </c>
      <c r="I63" s="109">
        <v>26</v>
      </c>
      <c r="J63" s="56">
        <v>1</v>
      </c>
      <c r="K63" s="56">
        <v>0</v>
      </c>
      <c r="L63" s="56">
        <v>0</v>
      </c>
      <c r="M63" s="56">
        <v>2</v>
      </c>
      <c r="N63" s="56">
        <v>0</v>
      </c>
      <c r="O63" s="56">
        <v>1</v>
      </c>
      <c r="P63" s="122">
        <f t="shared" si="2"/>
        <v>701.92979999999989</v>
      </c>
      <c r="Q63" s="111">
        <v>4.88</v>
      </c>
      <c r="R63" s="57">
        <v>3.8589999999999999E-2</v>
      </c>
      <c r="S63" s="111">
        <f t="shared" ref="S63" si="73">LOG(R63)</f>
        <v>-1.4135252214286034</v>
      </c>
      <c r="T63" s="54">
        <f t="shared" si="1"/>
        <v>10</v>
      </c>
      <c r="U63" s="105">
        <f t="shared" ref="U63" si="74">(R63*(T63/100))</f>
        <v>3.859E-3</v>
      </c>
      <c r="V63" s="111">
        <v>8</v>
      </c>
      <c r="W63" s="63">
        <v>12</v>
      </c>
      <c r="X63" s="106">
        <v>0.9</v>
      </c>
      <c r="Y63" s="106" t="s">
        <v>55</v>
      </c>
    </row>
    <row r="64" spans="2:25" x14ac:dyDescent="0.3">
      <c r="B64" s="54" t="s">
        <v>537</v>
      </c>
      <c r="C64" s="54" t="s">
        <v>740</v>
      </c>
      <c r="D64" s="109" t="s">
        <v>538</v>
      </c>
      <c r="E64" s="122">
        <f t="shared" si="43"/>
        <v>71.079108054460079</v>
      </c>
      <c r="F64" s="56" t="s">
        <v>594</v>
      </c>
      <c r="G64" s="134" t="s">
        <v>648</v>
      </c>
      <c r="H64" s="56">
        <v>14</v>
      </c>
      <c r="I64" s="109">
        <v>30</v>
      </c>
      <c r="J64" s="56">
        <v>1</v>
      </c>
      <c r="K64" s="56">
        <v>0</v>
      </c>
      <c r="L64" s="56">
        <v>0</v>
      </c>
      <c r="M64" s="56">
        <v>2</v>
      </c>
      <c r="N64" s="56">
        <v>0</v>
      </c>
      <c r="O64" s="56">
        <v>1</v>
      </c>
      <c r="P64" s="122">
        <f t="shared" si="2"/>
        <v>801.9233999999999</v>
      </c>
      <c r="Q64" s="111">
        <v>5.62</v>
      </c>
      <c r="R64" s="120">
        <v>5.9349999999999995E-4</v>
      </c>
      <c r="S64" s="111">
        <f t="shared" ref="S64" si="75">LOG(R64)</f>
        <v>-3.2265792767093902</v>
      </c>
      <c r="T64" s="54">
        <f t="shared" si="1"/>
        <v>10</v>
      </c>
      <c r="U64" s="105">
        <f t="shared" ref="U64" si="76">(R64*(T64/100))</f>
        <v>5.9349999999999999E-5</v>
      </c>
      <c r="V64" s="111">
        <v>9.4</v>
      </c>
      <c r="W64" s="63">
        <v>14</v>
      </c>
      <c r="X64" s="106">
        <v>0.9</v>
      </c>
      <c r="Y64" s="106" t="s">
        <v>55</v>
      </c>
    </row>
    <row r="65" spans="2:25" x14ac:dyDescent="0.3">
      <c r="B65" s="54" t="s">
        <v>535</v>
      </c>
      <c r="C65" s="54" t="s">
        <v>740</v>
      </c>
      <c r="D65" s="109" t="s">
        <v>536</v>
      </c>
      <c r="E65" s="122">
        <f t="shared" si="43"/>
        <v>71.625216067553893</v>
      </c>
      <c r="F65" s="56" t="s">
        <v>595</v>
      </c>
      <c r="G65" s="134" t="s">
        <v>649</v>
      </c>
      <c r="H65" s="56">
        <v>16</v>
      </c>
      <c r="I65" s="109">
        <v>34</v>
      </c>
      <c r="J65" s="56">
        <v>1</v>
      </c>
      <c r="K65" s="56">
        <v>0</v>
      </c>
      <c r="L65" s="56">
        <v>0</v>
      </c>
      <c r="M65" s="56">
        <v>2</v>
      </c>
      <c r="N65" s="56">
        <v>0</v>
      </c>
      <c r="O65" s="56">
        <v>1</v>
      </c>
      <c r="P65" s="122">
        <f t="shared" si="2"/>
        <v>901.91699999999992</v>
      </c>
      <c r="Q65" s="111">
        <v>6.36</v>
      </c>
      <c r="R65" s="121">
        <v>8.9579999999999996E-6</v>
      </c>
      <c r="S65" s="111">
        <f t="shared" ref="S65" si="77">LOG(R65)</f>
        <v>-5.0477889418913309</v>
      </c>
      <c r="T65" s="54">
        <f t="shared" si="1"/>
        <v>10</v>
      </c>
      <c r="U65" s="105">
        <f t="shared" ref="U65" si="78">(R65*(T65/100))</f>
        <v>8.9579999999999996E-7</v>
      </c>
      <c r="V65" s="111">
        <v>10.7</v>
      </c>
      <c r="W65" s="63">
        <v>16</v>
      </c>
      <c r="X65" s="106">
        <v>0.9</v>
      </c>
      <c r="Y65" s="106" t="s">
        <v>55</v>
      </c>
    </row>
  </sheetData>
  <sheetProtection algorithmName="SHA-512" hashValue="ruAzbSWvahjH2mbeW0ajq+eLERhtY4EENTYp+gN9UNqufSyXjE+17EjC0J3eg63CEjve92lKRA2KhOjyzSR8JQ==" saltValue="A3XKJOXscLM1QHMnRny9aQ==" spinCount="100000" sheet="1" objects="1" scenarios="1" selectLockedCells="1" selectUnlockedCells="1"/>
  <hyperlinks>
    <hyperlink ref="Y56" r:id="rId1" location="section=Chemical-and-Physical-Properties" display="https://pubchem.ncbi.nlm.nih.gov/compound/Perfluorooctanesulfonamide#section=Chemical-and-Physical-Properties" xr:uid="{72648581-5033-4E4A-AE60-27529D8C68F6}"/>
    <hyperlink ref="Y21" r:id="rId2" display="https://pubchem.ncbi.nlm.nih.gov/compound/Perfluorooctaneamide-betaine " xr:uid="{8A656625-06BA-46F6-B226-C8888863A7D2}"/>
    <hyperlink ref="Y15" r:id="rId3" location="section=Computed-Properties " display="https://pubchem.ncbi.nlm.nih.gov/compound/118691#section=Computed-Properties " xr:uid="{10FD0993-03DE-43EA-A119-3B92303CE019}"/>
  </hyperlinks>
  <pageMargins left="0.7" right="0.7" top="0.75" bottom="0.75" header="0.3" footer="0.3"/>
  <pageSetup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973BD-B465-49C3-AF54-18E76D117F17}">
  <sheetPr codeName="Sheet2"/>
  <dimension ref="A1:BQ1276"/>
  <sheetViews>
    <sheetView tabSelected="1" zoomScale="60" zoomScaleNormal="60" workbookViewId="0">
      <pane ySplit="1" topLeftCell="A2" activePane="bottomLeft" state="frozen"/>
      <selection activeCell="G1" sqref="G1"/>
      <selection pane="bottomLeft"/>
    </sheetView>
  </sheetViews>
  <sheetFormatPr defaultRowHeight="14.4" x14ac:dyDescent="0.3"/>
  <cols>
    <col min="1" max="1" width="13" style="69" bestFit="1" customWidth="1"/>
    <col min="2" max="2" width="18.5546875" style="23" customWidth="1"/>
    <col min="3" max="3" width="15" style="23" bestFit="1" customWidth="1"/>
    <col min="4" max="4" width="41.109375" style="23" customWidth="1"/>
    <col min="5" max="5" width="42.109375" style="76" bestFit="1" customWidth="1"/>
    <col min="6" max="6" width="12.6640625" style="36" bestFit="1" customWidth="1"/>
    <col min="7" max="7" width="37.88671875" style="23" bestFit="1" customWidth="1"/>
    <col min="8" max="8" width="16.5546875" style="11" bestFit="1" customWidth="1"/>
    <col min="9" max="9" width="13.33203125" style="11" bestFit="1" customWidth="1"/>
    <col min="10" max="10" width="18.88671875" style="11" bestFit="1" customWidth="1"/>
    <col min="11" max="11" width="10.5546875" style="36" bestFit="1" customWidth="1"/>
    <col min="12" max="12" width="7.33203125" style="11" bestFit="1" customWidth="1"/>
    <col min="13" max="13" width="7.77734375" style="11" bestFit="1" customWidth="1"/>
    <col min="14" max="19" width="10.109375" style="23" bestFit="1" customWidth="1"/>
    <col min="20" max="20" width="6.77734375" style="23" bestFit="1" customWidth="1"/>
    <col min="21" max="21" width="20.6640625" style="23" bestFit="1" customWidth="1"/>
    <col min="22" max="22" width="20.21875" style="23" bestFit="1" customWidth="1"/>
    <col min="23" max="23" width="17.88671875" style="23" bestFit="1" customWidth="1"/>
    <col min="24" max="24" width="11.21875" style="23" customWidth="1"/>
    <col min="25" max="25" width="23.77734375" style="23" bestFit="1" customWidth="1"/>
    <col min="26" max="26" width="13" style="23" bestFit="1" customWidth="1"/>
    <col min="27" max="27" width="12.88671875" style="23" bestFit="1" customWidth="1"/>
    <col min="28" max="28" width="6.33203125" style="23" bestFit="1" customWidth="1"/>
    <col min="29" max="29" width="5.6640625" style="23" bestFit="1" customWidth="1"/>
    <col min="30" max="30" width="6.77734375" style="36" bestFit="1" customWidth="1"/>
    <col min="31" max="31" width="6.109375" style="23" bestFit="1" customWidth="1"/>
    <col min="32" max="32" width="6.77734375" style="36" bestFit="1" customWidth="1"/>
    <col min="33" max="33" width="13.33203125" style="40" bestFit="1" customWidth="1"/>
    <col min="34" max="34" width="22.33203125" style="11" customWidth="1"/>
    <col min="35" max="40" width="14.33203125" style="23" bestFit="1" customWidth="1"/>
    <col min="41" max="41" width="15.109375" style="23" customWidth="1"/>
    <col min="42" max="42" width="12.6640625" style="38" bestFit="1" customWidth="1"/>
    <col min="43" max="43" width="21" style="38" bestFit="1" customWidth="1"/>
    <col min="44" max="46" width="13" style="38" bestFit="1" customWidth="1"/>
    <col min="47" max="47" width="19.33203125" style="38" bestFit="1" customWidth="1"/>
    <col min="48" max="48" width="13" style="4" bestFit="1" customWidth="1"/>
    <col min="49" max="49" width="8.88671875" style="40" bestFit="1" customWidth="1"/>
    <col min="50" max="50" width="8.44140625" style="11" bestFit="1" customWidth="1"/>
    <col min="51" max="51" width="44.88671875" style="23" bestFit="1" customWidth="1"/>
    <col min="52" max="52" width="9.88671875" style="11" bestFit="1" customWidth="1"/>
    <col min="53" max="53" width="10.21875" style="11" bestFit="1" customWidth="1"/>
    <col min="54" max="54" width="10.77734375" style="11" bestFit="1" customWidth="1"/>
    <col min="55" max="55" width="11.21875" style="11" bestFit="1" customWidth="1"/>
    <col min="56" max="56" width="10.21875" style="40" bestFit="1" customWidth="1"/>
    <col min="57" max="57" width="11.6640625" style="32" bestFit="1" customWidth="1"/>
    <col min="58" max="58" width="11" style="32" bestFit="1" customWidth="1"/>
    <col min="59" max="59" width="9.44140625" style="32" bestFit="1" customWidth="1"/>
    <col min="60" max="60" width="115.6640625" style="23" bestFit="1" customWidth="1"/>
    <col min="61" max="61" width="11.88671875" style="131" bestFit="1" customWidth="1"/>
    <col min="62" max="62" width="22.6640625" style="130" bestFit="1" customWidth="1"/>
    <col min="63" max="63" width="5.44140625" style="131" bestFit="1" customWidth="1"/>
    <col min="64" max="64" width="24.88671875" style="131" bestFit="1" customWidth="1"/>
    <col min="65" max="65" width="8.88671875" style="69" bestFit="1" customWidth="1"/>
    <col min="66" max="66" width="8.44140625" style="69" bestFit="1" customWidth="1"/>
    <col min="67" max="67" width="8.21875" style="131" bestFit="1" customWidth="1"/>
    <col min="68" max="69" width="8.88671875" style="23"/>
    <col min="70" max="16384" width="8.88671875" style="11"/>
  </cols>
  <sheetData>
    <row r="1" spans="1:67" s="128" customFormat="1" x14ac:dyDescent="0.3">
      <c r="A1" s="42" t="s">
        <v>662</v>
      </c>
      <c r="B1" s="42" t="s">
        <v>193</v>
      </c>
      <c r="C1" s="42" t="s">
        <v>776</v>
      </c>
      <c r="D1" s="42" t="s">
        <v>876</v>
      </c>
      <c r="E1" s="127" t="s">
        <v>198</v>
      </c>
      <c r="F1" s="42" t="s">
        <v>16</v>
      </c>
      <c r="G1" s="42" t="s">
        <v>777</v>
      </c>
      <c r="H1" s="42" t="s">
        <v>13</v>
      </c>
      <c r="I1" s="42" t="s">
        <v>13</v>
      </c>
      <c r="J1" s="42" t="s">
        <v>304</v>
      </c>
      <c r="K1" s="42" t="s">
        <v>271</v>
      </c>
      <c r="L1" s="42" t="s">
        <v>334</v>
      </c>
      <c r="M1" s="42" t="s">
        <v>335</v>
      </c>
      <c r="N1" s="42" t="s">
        <v>331</v>
      </c>
      <c r="O1" s="42" t="s">
        <v>336</v>
      </c>
      <c r="P1" s="42" t="s">
        <v>385</v>
      </c>
      <c r="Q1" s="42" t="s">
        <v>332</v>
      </c>
      <c r="R1" s="42" t="s">
        <v>384</v>
      </c>
      <c r="S1" s="42" t="s">
        <v>382</v>
      </c>
      <c r="T1" s="42" t="s">
        <v>333</v>
      </c>
      <c r="U1" s="42" t="s">
        <v>553</v>
      </c>
      <c r="V1" s="42" t="s">
        <v>554</v>
      </c>
      <c r="W1" s="42" t="s">
        <v>601</v>
      </c>
      <c r="X1" s="42" t="s">
        <v>626</v>
      </c>
      <c r="Y1" s="42" t="s">
        <v>881</v>
      </c>
      <c r="Z1" s="42" t="s">
        <v>278</v>
      </c>
      <c r="AA1" s="42" t="s">
        <v>276</v>
      </c>
      <c r="AB1" s="42" t="s">
        <v>279</v>
      </c>
      <c r="AC1" s="42" t="s">
        <v>277</v>
      </c>
      <c r="AD1" s="42" t="s">
        <v>779</v>
      </c>
      <c r="AE1" s="42" t="s">
        <v>12</v>
      </c>
      <c r="AF1" s="42" t="s">
        <v>12</v>
      </c>
      <c r="AG1" s="42" t="s">
        <v>17</v>
      </c>
      <c r="AH1" s="42" t="s">
        <v>17</v>
      </c>
      <c r="AI1" s="42" t="s">
        <v>18</v>
      </c>
      <c r="AJ1" s="42" t="s">
        <v>18</v>
      </c>
      <c r="AK1" s="42" t="s">
        <v>18</v>
      </c>
      <c r="AL1" s="42" t="s">
        <v>19</v>
      </c>
      <c r="AM1" s="42" t="s">
        <v>19</v>
      </c>
      <c r="AN1" s="42" t="s">
        <v>19</v>
      </c>
      <c r="AO1" s="42" t="s">
        <v>816</v>
      </c>
      <c r="AP1" s="42" t="s">
        <v>327</v>
      </c>
      <c r="AQ1" s="42" t="s">
        <v>327</v>
      </c>
      <c r="AR1" s="42" t="s">
        <v>665</v>
      </c>
      <c r="AS1" s="42" t="s">
        <v>20</v>
      </c>
      <c r="AT1" s="42" t="s">
        <v>21</v>
      </c>
      <c r="AU1" s="42" t="s">
        <v>660</v>
      </c>
      <c r="AV1" s="42" t="s">
        <v>667</v>
      </c>
      <c r="AW1" s="42" t="s">
        <v>22</v>
      </c>
      <c r="AX1" s="42" t="s">
        <v>23</v>
      </c>
      <c r="AY1" s="42" t="s">
        <v>818</v>
      </c>
      <c r="AZ1" s="42" t="s">
        <v>339</v>
      </c>
      <c r="BA1" s="42" t="s">
        <v>340</v>
      </c>
      <c r="BB1" s="42" t="s">
        <v>338</v>
      </c>
      <c r="BC1" s="42" t="s">
        <v>341</v>
      </c>
      <c r="BD1" s="42" t="s">
        <v>24</v>
      </c>
      <c r="BE1" s="42" t="s">
        <v>512</v>
      </c>
      <c r="BF1" s="42" t="s">
        <v>587</v>
      </c>
      <c r="BG1" s="42" t="s">
        <v>323</v>
      </c>
      <c r="BH1" s="42" t="s">
        <v>780</v>
      </c>
      <c r="BI1" s="42" t="s">
        <v>783</v>
      </c>
      <c r="BJ1" s="42" t="s">
        <v>783</v>
      </c>
      <c r="BK1" s="42" t="s">
        <v>191</v>
      </c>
      <c r="BL1" s="42" t="s">
        <v>784</v>
      </c>
      <c r="BM1" s="42" t="s">
        <v>251</v>
      </c>
      <c r="BN1" s="42" t="s">
        <v>252</v>
      </c>
      <c r="BO1" s="42" t="s">
        <v>24</v>
      </c>
    </row>
    <row r="2" spans="1:67" s="128" customFormat="1" x14ac:dyDescent="0.3">
      <c r="A2" s="42" t="s">
        <v>663</v>
      </c>
      <c r="B2" s="42" t="s">
        <v>194</v>
      </c>
      <c r="C2" s="42" t="s">
        <v>196</v>
      </c>
      <c r="D2" s="42" t="s">
        <v>197</v>
      </c>
      <c r="E2" s="127" t="s">
        <v>877</v>
      </c>
      <c r="F2" s="42" t="s">
        <v>878</v>
      </c>
      <c r="G2" s="42" t="s">
        <v>778</v>
      </c>
      <c r="H2" s="42" t="s">
        <v>25</v>
      </c>
      <c r="I2" s="42" t="s">
        <v>325</v>
      </c>
      <c r="J2" s="42" t="s">
        <v>305</v>
      </c>
      <c r="K2" s="42" t="s">
        <v>306</v>
      </c>
      <c r="L2" s="42" t="s">
        <v>307</v>
      </c>
      <c r="M2" s="42" t="s">
        <v>307</v>
      </c>
      <c r="N2" s="42" t="s">
        <v>307</v>
      </c>
      <c r="O2" s="42" t="s">
        <v>307</v>
      </c>
      <c r="P2" s="42" t="s">
        <v>307</v>
      </c>
      <c r="Q2" s="42" t="s">
        <v>307</v>
      </c>
      <c r="R2" s="42" t="s">
        <v>307</v>
      </c>
      <c r="S2" s="42" t="s">
        <v>307</v>
      </c>
      <c r="T2" s="42" t="s">
        <v>307</v>
      </c>
      <c r="U2" s="42" t="s">
        <v>879</v>
      </c>
      <c r="V2" s="42" t="s">
        <v>879</v>
      </c>
      <c r="W2" s="42" t="s">
        <v>306</v>
      </c>
      <c r="X2" s="42" t="s">
        <v>627</v>
      </c>
      <c r="Y2" s="42" t="s">
        <v>880</v>
      </c>
      <c r="Z2" s="42" t="s">
        <v>308</v>
      </c>
      <c r="AA2" s="42" t="s">
        <v>308</v>
      </c>
      <c r="AB2" s="42" t="s">
        <v>307</v>
      </c>
      <c r="AC2" s="42" t="s">
        <v>309</v>
      </c>
      <c r="AD2" s="42" t="s">
        <v>308</v>
      </c>
      <c r="AE2" s="42" t="s">
        <v>90</v>
      </c>
      <c r="AF2" s="42" t="s">
        <v>14</v>
      </c>
      <c r="AG2" s="42" t="s">
        <v>817</v>
      </c>
      <c r="AH2" s="42" t="s">
        <v>659</v>
      </c>
      <c r="AI2" s="42" t="s">
        <v>26</v>
      </c>
      <c r="AJ2" s="42" t="s">
        <v>27</v>
      </c>
      <c r="AK2" s="42" t="s">
        <v>15</v>
      </c>
      <c r="AL2" s="42" t="s">
        <v>26</v>
      </c>
      <c r="AM2" s="42" t="s">
        <v>27</v>
      </c>
      <c r="AN2" s="42" t="s">
        <v>15</v>
      </c>
      <c r="AO2" s="42" t="s">
        <v>659</v>
      </c>
      <c r="AP2" s="42" t="s">
        <v>328</v>
      </c>
      <c r="AQ2" s="42" t="s">
        <v>659</v>
      </c>
      <c r="AR2" s="42" t="s">
        <v>666</v>
      </c>
      <c r="AS2" s="42" t="s">
        <v>666</v>
      </c>
      <c r="AT2" s="42" t="s">
        <v>666</v>
      </c>
      <c r="AU2" s="42" t="s">
        <v>659</v>
      </c>
      <c r="AV2" s="42" t="s">
        <v>666</v>
      </c>
      <c r="AW2" s="42" t="s">
        <v>15</v>
      </c>
      <c r="AX2" s="42"/>
      <c r="AY2" s="42" t="s">
        <v>275</v>
      </c>
      <c r="AZ2" s="42" t="s">
        <v>185</v>
      </c>
      <c r="BA2" s="42" t="s">
        <v>185</v>
      </c>
      <c r="BB2" s="42" t="s">
        <v>192</v>
      </c>
      <c r="BC2" s="42" t="s">
        <v>192</v>
      </c>
      <c r="BD2" s="42" t="s">
        <v>28</v>
      </c>
      <c r="BE2" s="42" t="s">
        <v>513</v>
      </c>
      <c r="BF2" s="42" t="s">
        <v>307</v>
      </c>
      <c r="BG2" s="42" t="s">
        <v>307</v>
      </c>
      <c r="BH2" s="42" t="s">
        <v>781</v>
      </c>
      <c r="BI2" s="42" t="s">
        <v>890</v>
      </c>
      <c r="BJ2" s="42" t="s">
        <v>785</v>
      </c>
      <c r="BK2" s="42" t="s">
        <v>307</v>
      </c>
      <c r="BL2" s="42" t="s">
        <v>891</v>
      </c>
      <c r="BM2" s="42" t="s">
        <v>273</v>
      </c>
      <c r="BN2" s="42" t="s">
        <v>347</v>
      </c>
      <c r="BO2" s="42" t="s">
        <v>348</v>
      </c>
    </row>
    <row r="3" spans="1:67" s="14" customFormat="1" x14ac:dyDescent="0.3">
      <c r="A3" s="20">
        <v>1</v>
      </c>
      <c r="B3" s="2" t="s">
        <v>775</v>
      </c>
      <c r="C3" s="2">
        <v>2021</v>
      </c>
      <c r="D3" s="2" t="s">
        <v>203</v>
      </c>
      <c r="E3" s="10" t="s">
        <v>786</v>
      </c>
      <c r="F3" s="20" t="s">
        <v>29</v>
      </c>
      <c r="G3" s="2" t="s">
        <v>116</v>
      </c>
      <c r="H3" s="2" t="str">
        <f>'PFAS Properties'!$B$15</f>
        <v>6:2 FtSaB</v>
      </c>
      <c r="I3" s="2" t="str">
        <f>'PFAS Properties'!$C$15</f>
        <v>Betaine</v>
      </c>
      <c r="J3" s="2" t="str">
        <f>'PFAS Properties'!$D$15</f>
        <v>C15H19F13N2O4S</v>
      </c>
      <c r="K3" s="25">
        <f>'PFAS Properties'!$P$15</f>
        <v>570.08529999999996</v>
      </c>
      <c r="L3" s="2">
        <f>'PFAS Properties'!$X$15</f>
        <v>2.2999999999999998</v>
      </c>
      <c r="M3" s="2">
        <f>'PFAS Properties'!$Y$15</f>
        <v>11.1</v>
      </c>
      <c r="N3" s="33">
        <f t="shared" ref="N3:N37" si="0">1/(1+(10^(AG3-L3))+(10^((2*AG3)-L3-M3)))</f>
        <v>5.6217972004873185E-6</v>
      </c>
      <c r="O3" s="33">
        <f t="shared" ref="O3:O31" si="1">1/(1+(10^(L3-AG3))+(10^(AG3-M3)))</f>
        <v>0.99971262090410684</v>
      </c>
      <c r="P3" s="33">
        <f t="shared" ref="P3:P31" si="2">1/(1+(10^(M3-AG3))+(10^((L3+M3)-(2*AG3))))</f>
        <v>2.8175729869257875E-4</v>
      </c>
      <c r="Q3" s="33">
        <v>0</v>
      </c>
      <c r="R3" s="33">
        <v>0</v>
      </c>
      <c r="S3" s="33">
        <v>0</v>
      </c>
      <c r="T3" s="8">
        <f t="shared" ref="T3:T14" si="3">SUM(N3:S3)</f>
        <v>1</v>
      </c>
      <c r="U3" s="33">
        <f t="shared" ref="U3:U34" si="4">((1*N3)+(1*O3)+(1*P3))</f>
        <v>1</v>
      </c>
      <c r="V3" s="33">
        <f t="shared" ref="V3:V34" si="5">-((1*O3)+(2*P3)+(1*Q3)+(2*R3))</f>
        <v>-1.000276135501492</v>
      </c>
      <c r="W3" s="33">
        <f t="shared" ref="W3:W34" si="6">(N3*(K3+1))+(O3*K3)+(P3*(K3-1))+(Q3*(K3-1))+(R3*(K3-2))+(S3*K3)</f>
        <v>570.08502386449845</v>
      </c>
      <c r="X3" s="33">
        <v>96485</v>
      </c>
      <c r="Y3" s="16">
        <f t="shared" ref="Y3:Y34" si="7">((V3+U3)/W3)*X3</f>
        <v>-4.673501801686579E-2</v>
      </c>
      <c r="Z3" s="16">
        <v>15</v>
      </c>
      <c r="AA3" s="16">
        <v>13</v>
      </c>
      <c r="AB3" s="8">
        <f t="shared" ref="AB3:AB34" si="8">(Z3/AA3)*(12/19)</f>
        <v>0.72874493927125494</v>
      </c>
      <c r="AC3" s="16">
        <f t="shared" ref="AC3:AC66" si="9">((AA3*19)/K3)*100</f>
        <v>43.326849508310431</v>
      </c>
      <c r="AD3" s="20">
        <f>'PFAS Properties'!$W$15</f>
        <v>6</v>
      </c>
      <c r="AE3" s="8">
        <f>'PFAS Properties'!$S$15</f>
        <v>3.3010299956639813</v>
      </c>
      <c r="AF3" s="2">
        <f>'PFAS Properties'!$V$15</f>
        <v>4.8</v>
      </c>
      <c r="AG3" s="24">
        <v>7.55</v>
      </c>
      <c r="AH3" s="15" t="s">
        <v>830</v>
      </c>
      <c r="AI3" s="2" t="s">
        <v>661</v>
      </c>
      <c r="AJ3" s="2" t="s">
        <v>661</v>
      </c>
      <c r="AK3" s="2" t="s">
        <v>661</v>
      </c>
      <c r="AL3" s="2" t="s">
        <v>661</v>
      </c>
      <c r="AM3" s="2" t="s">
        <v>661</v>
      </c>
      <c r="AN3" s="2" t="s">
        <v>661</v>
      </c>
      <c r="AO3" s="2" t="s">
        <v>661</v>
      </c>
      <c r="AP3" s="15">
        <v>2.52</v>
      </c>
      <c r="AQ3" s="16" t="s">
        <v>689</v>
      </c>
      <c r="AR3" s="16">
        <v>45.3</v>
      </c>
      <c r="AS3" s="16">
        <v>30</v>
      </c>
      <c r="AT3" s="16">
        <v>24.7</v>
      </c>
      <c r="AU3" s="16" t="s">
        <v>664</v>
      </c>
      <c r="AV3" s="16">
        <f t="shared" ref="AV3:AV22" si="10">SUM(AR3:AT3)</f>
        <v>100</v>
      </c>
      <c r="AW3" s="18">
        <v>3.4</v>
      </c>
      <c r="AX3" s="13">
        <f>AW3/100</f>
        <v>3.4000000000000002E-2</v>
      </c>
      <c r="AY3" s="8" t="s">
        <v>342</v>
      </c>
      <c r="AZ3" s="16">
        <f>1/0.01</f>
        <v>100</v>
      </c>
      <c r="BA3" s="16" t="s">
        <v>55</v>
      </c>
      <c r="BB3" s="15">
        <f>5*K3/1000</f>
        <v>2.8504264999999998</v>
      </c>
      <c r="BC3" s="16">
        <f>5000*K3/1000</f>
        <v>2850.4265</v>
      </c>
      <c r="BD3" s="24">
        <f>37.2*AX3</f>
        <v>1.2648000000000001</v>
      </c>
      <c r="BE3" s="15">
        <f t="shared" ref="BE3:BE13" si="11">BD3/AX3</f>
        <v>37.200000000000003</v>
      </c>
      <c r="BF3" s="15">
        <f t="shared" ref="BF3:BF13" si="12">LOG(BE3)</f>
        <v>1.5705429398818975</v>
      </c>
      <c r="BG3" s="8">
        <f t="shared" ref="BG3:BG13" si="13">LOG(BD3)</f>
        <v>0.10202185692415268</v>
      </c>
      <c r="BH3" s="13" t="s">
        <v>343</v>
      </c>
      <c r="BI3" s="47"/>
      <c r="BJ3" s="48"/>
      <c r="BK3" s="49"/>
      <c r="BL3" s="49"/>
      <c r="BM3" s="50"/>
      <c r="BN3" s="47"/>
      <c r="BO3" s="52"/>
    </row>
    <row r="4" spans="1:67" s="14" customFormat="1" x14ac:dyDescent="0.3">
      <c r="A4" s="20">
        <v>2</v>
      </c>
      <c r="B4" s="2" t="s">
        <v>775</v>
      </c>
      <c r="C4" s="2">
        <v>2021</v>
      </c>
      <c r="D4" s="2" t="s">
        <v>203</v>
      </c>
      <c r="E4" s="10" t="s">
        <v>786</v>
      </c>
      <c r="F4" s="20" t="s">
        <v>29</v>
      </c>
      <c r="G4" s="2" t="s">
        <v>117</v>
      </c>
      <c r="H4" s="2" t="str">
        <f>'PFAS Properties'!$B$15</f>
        <v>6:2 FtSaB</v>
      </c>
      <c r="I4" s="2" t="str">
        <f>'PFAS Properties'!$C$15</f>
        <v>Betaine</v>
      </c>
      <c r="J4" s="2" t="str">
        <f>'PFAS Properties'!$D$15</f>
        <v>C15H19F13N2O4S</v>
      </c>
      <c r="K4" s="25">
        <f>'PFAS Properties'!$P$15</f>
        <v>570.08529999999996</v>
      </c>
      <c r="L4" s="2">
        <f>'PFAS Properties'!$X$15</f>
        <v>2.2999999999999998</v>
      </c>
      <c r="M4" s="2">
        <f>'PFAS Properties'!$Y$15</f>
        <v>11.1</v>
      </c>
      <c r="N4" s="33">
        <f t="shared" si="0"/>
        <v>1.2286844070637492E-6</v>
      </c>
      <c r="O4" s="33">
        <f t="shared" si="1"/>
        <v>0.99871218079641155</v>
      </c>
      <c r="P4" s="33">
        <f t="shared" si="2"/>
        <v>1.2865905191814517E-3</v>
      </c>
      <c r="Q4" s="33">
        <v>0</v>
      </c>
      <c r="R4" s="33">
        <v>0</v>
      </c>
      <c r="S4" s="33">
        <v>0</v>
      </c>
      <c r="T4" s="8">
        <f t="shared" si="3"/>
        <v>1</v>
      </c>
      <c r="U4" s="33">
        <f t="shared" si="4"/>
        <v>1</v>
      </c>
      <c r="V4" s="33">
        <f t="shared" si="5"/>
        <v>-1.0012853618347743</v>
      </c>
      <c r="W4" s="33">
        <f t="shared" si="6"/>
        <v>570.08401463816517</v>
      </c>
      <c r="X4" s="33">
        <v>96485</v>
      </c>
      <c r="Y4" s="16">
        <f t="shared" si="7"/>
        <v>-0.21754361364950323</v>
      </c>
      <c r="Z4" s="16">
        <v>15</v>
      </c>
      <c r="AA4" s="16">
        <v>13</v>
      </c>
      <c r="AB4" s="8">
        <f t="shared" si="8"/>
        <v>0.72874493927125494</v>
      </c>
      <c r="AC4" s="16">
        <f t="shared" si="9"/>
        <v>43.326849508310431</v>
      </c>
      <c r="AD4" s="20">
        <f>'PFAS Properties'!$W$15</f>
        <v>6</v>
      </c>
      <c r="AE4" s="8">
        <f>'PFAS Properties'!$S$15</f>
        <v>3.3010299956639813</v>
      </c>
      <c r="AF4" s="2">
        <f>'PFAS Properties'!$V$15</f>
        <v>4.8</v>
      </c>
      <c r="AG4" s="24">
        <v>8.2100000000000009</v>
      </c>
      <c r="AH4" s="15" t="s">
        <v>830</v>
      </c>
      <c r="AI4" s="2" t="s">
        <v>661</v>
      </c>
      <c r="AJ4" s="2" t="s">
        <v>661</v>
      </c>
      <c r="AK4" s="2" t="s">
        <v>661</v>
      </c>
      <c r="AL4" s="2" t="s">
        <v>661</v>
      </c>
      <c r="AM4" s="2" t="s">
        <v>661</v>
      </c>
      <c r="AN4" s="2" t="s">
        <v>661</v>
      </c>
      <c r="AO4" s="2" t="s">
        <v>661</v>
      </c>
      <c r="AP4" s="15">
        <v>11.4</v>
      </c>
      <c r="AQ4" s="16" t="s">
        <v>689</v>
      </c>
      <c r="AR4" s="16">
        <v>28.7</v>
      </c>
      <c r="AS4" s="16">
        <v>40</v>
      </c>
      <c r="AT4" s="16">
        <v>31.3</v>
      </c>
      <c r="AU4" s="16" t="s">
        <v>664</v>
      </c>
      <c r="AV4" s="16">
        <f t="shared" si="10"/>
        <v>100</v>
      </c>
      <c r="AW4" s="18">
        <v>1.7</v>
      </c>
      <c r="AX4" s="13">
        <f t="shared" ref="AX4:AX67" si="14">AW4/100</f>
        <v>1.7000000000000001E-2</v>
      </c>
      <c r="AY4" s="8" t="s">
        <v>342</v>
      </c>
      <c r="AZ4" s="16">
        <f>1/0.01</f>
        <v>100</v>
      </c>
      <c r="BA4" s="16" t="s">
        <v>55</v>
      </c>
      <c r="BB4" s="15">
        <f>5*K4/1000</f>
        <v>2.8504264999999998</v>
      </c>
      <c r="BC4" s="16">
        <f>5000*K4/1000</f>
        <v>2850.4265</v>
      </c>
      <c r="BD4" s="24">
        <f>565.4*AX4</f>
        <v>9.6118000000000006</v>
      </c>
      <c r="BE4" s="15">
        <f t="shared" si="11"/>
        <v>565.4</v>
      </c>
      <c r="BF4" s="15">
        <f t="shared" si="12"/>
        <v>2.7523558041535008</v>
      </c>
      <c r="BG4" s="8">
        <f t="shared" si="13"/>
        <v>0.98280472553177478</v>
      </c>
      <c r="BH4" s="13" t="s">
        <v>343</v>
      </c>
      <c r="BI4" s="51"/>
      <c r="BJ4" s="48"/>
      <c r="BK4" s="49"/>
      <c r="BL4" s="51"/>
      <c r="BM4" s="50"/>
      <c r="BN4" s="47"/>
      <c r="BO4" s="52"/>
    </row>
    <row r="5" spans="1:67" s="14" customFormat="1" x14ac:dyDescent="0.3">
      <c r="A5" s="20">
        <v>3</v>
      </c>
      <c r="B5" s="2" t="s">
        <v>775</v>
      </c>
      <c r="C5" s="2">
        <v>2021</v>
      </c>
      <c r="D5" s="2" t="s">
        <v>203</v>
      </c>
      <c r="E5" s="22" t="s">
        <v>786</v>
      </c>
      <c r="F5" s="20" t="s">
        <v>29</v>
      </c>
      <c r="G5" s="2" t="s">
        <v>118</v>
      </c>
      <c r="H5" s="2" t="str">
        <f>'PFAS Properties'!$B$15</f>
        <v>6:2 FtSaB</v>
      </c>
      <c r="I5" s="2" t="str">
        <f>'PFAS Properties'!$C$15</f>
        <v>Betaine</v>
      </c>
      <c r="J5" s="2" t="str">
        <f>'PFAS Properties'!$D$15</f>
        <v>C15H19F13N2O4S</v>
      </c>
      <c r="K5" s="25">
        <f>'PFAS Properties'!$P$15</f>
        <v>570.08529999999996</v>
      </c>
      <c r="L5" s="2">
        <f>'PFAS Properties'!$X$15</f>
        <v>2.2999999999999998</v>
      </c>
      <c r="M5" s="2">
        <f>'PFAS Properties'!$Y$15</f>
        <v>11.1</v>
      </c>
      <c r="N5" s="33">
        <f t="shared" si="0"/>
        <v>5.3698711084181432E-5</v>
      </c>
      <c r="O5" s="33">
        <f t="shared" si="1"/>
        <v>0.99991679165230163</v>
      </c>
      <c r="P5" s="33">
        <f t="shared" si="2"/>
        <v>2.9509636614229246E-5</v>
      </c>
      <c r="Q5" s="33">
        <v>0</v>
      </c>
      <c r="R5" s="33">
        <v>0</v>
      </c>
      <c r="S5" s="33">
        <v>0</v>
      </c>
      <c r="T5" s="8">
        <f t="shared" si="3"/>
        <v>1</v>
      </c>
      <c r="U5" s="33">
        <f t="shared" si="4"/>
        <v>1</v>
      </c>
      <c r="V5" s="33">
        <f t="shared" si="5"/>
        <v>-0.99997581092553012</v>
      </c>
      <c r="W5" s="33">
        <f t="shared" si="6"/>
        <v>570.08532418907441</v>
      </c>
      <c r="X5" s="33">
        <v>96485</v>
      </c>
      <c r="Y5" s="16">
        <f t="shared" si="7"/>
        <v>4.0939184911424906E-3</v>
      </c>
      <c r="Z5" s="16">
        <v>15</v>
      </c>
      <c r="AA5" s="16">
        <v>13</v>
      </c>
      <c r="AB5" s="8">
        <f t="shared" si="8"/>
        <v>0.72874493927125494</v>
      </c>
      <c r="AC5" s="16">
        <f t="shared" si="9"/>
        <v>43.326849508310431</v>
      </c>
      <c r="AD5" s="20">
        <f>'PFAS Properties'!$W$15</f>
        <v>6</v>
      </c>
      <c r="AE5" s="8">
        <f>'PFAS Properties'!$S$15</f>
        <v>3.3010299956639813</v>
      </c>
      <c r="AF5" s="2">
        <f>'PFAS Properties'!$V$15</f>
        <v>4.8</v>
      </c>
      <c r="AG5" s="24">
        <v>6.57</v>
      </c>
      <c r="AH5" s="15" t="s">
        <v>830</v>
      </c>
      <c r="AI5" s="2" t="s">
        <v>661</v>
      </c>
      <c r="AJ5" s="2" t="s">
        <v>661</v>
      </c>
      <c r="AK5" s="2" t="s">
        <v>661</v>
      </c>
      <c r="AL5" s="2" t="s">
        <v>661</v>
      </c>
      <c r="AM5" s="2" t="s">
        <v>661</v>
      </c>
      <c r="AN5" s="2" t="s">
        <v>661</v>
      </c>
      <c r="AO5" s="2" t="s">
        <v>661</v>
      </c>
      <c r="AP5" s="15">
        <v>9.93</v>
      </c>
      <c r="AQ5" s="16" t="s">
        <v>689</v>
      </c>
      <c r="AR5" s="16">
        <v>20</v>
      </c>
      <c r="AS5" s="16">
        <v>50</v>
      </c>
      <c r="AT5" s="16">
        <v>30</v>
      </c>
      <c r="AU5" s="16" t="s">
        <v>664</v>
      </c>
      <c r="AV5" s="16">
        <f t="shared" si="10"/>
        <v>100</v>
      </c>
      <c r="AW5" s="18">
        <v>2.9</v>
      </c>
      <c r="AX5" s="13">
        <f t="shared" si="14"/>
        <v>2.8999999999999998E-2</v>
      </c>
      <c r="AY5" s="8" t="s">
        <v>342</v>
      </c>
      <c r="AZ5" s="16">
        <f>1/0.01</f>
        <v>100</v>
      </c>
      <c r="BA5" s="16" t="s">
        <v>55</v>
      </c>
      <c r="BB5" s="15">
        <f>5*K5/1000</f>
        <v>2.8504264999999998</v>
      </c>
      <c r="BC5" s="16">
        <f>5000*K5/1000</f>
        <v>2850.4265</v>
      </c>
      <c r="BD5" s="24">
        <f>147.6*AX5</f>
        <v>4.2803999999999993</v>
      </c>
      <c r="BE5" s="15">
        <f t="shared" si="11"/>
        <v>147.6</v>
      </c>
      <c r="BF5" s="15">
        <f t="shared" si="12"/>
        <v>2.1690863574870227</v>
      </c>
      <c r="BG5" s="8">
        <f t="shared" si="13"/>
        <v>0.6314843553859788</v>
      </c>
      <c r="BH5" s="13" t="s">
        <v>343</v>
      </c>
      <c r="BI5" s="49"/>
      <c r="BJ5" s="48"/>
      <c r="BK5" s="49"/>
      <c r="BL5" s="49"/>
      <c r="BM5" s="50"/>
      <c r="BN5" s="47"/>
      <c r="BO5" s="52"/>
    </row>
    <row r="6" spans="1:67" s="14" customFormat="1" x14ac:dyDescent="0.3">
      <c r="A6" s="20">
        <v>4</v>
      </c>
      <c r="B6" s="2" t="s">
        <v>775</v>
      </c>
      <c r="C6" s="2">
        <v>2021</v>
      </c>
      <c r="D6" s="2" t="s">
        <v>203</v>
      </c>
      <c r="E6" s="10" t="s">
        <v>786</v>
      </c>
      <c r="F6" s="20" t="s">
        <v>29</v>
      </c>
      <c r="G6" s="2" t="s">
        <v>119</v>
      </c>
      <c r="H6" s="2" t="str">
        <f>'PFAS Properties'!$B$15</f>
        <v>6:2 FtSaB</v>
      </c>
      <c r="I6" s="2" t="str">
        <f>'PFAS Properties'!$C$15</f>
        <v>Betaine</v>
      </c>
      <c r="J6" s="2" t="str">
        <f>'PFAS Properties'!$D$15</f>
        <v>C15H19F13N2O4S</v>
      </c>
      <c r="K6" s="25">
        <f>'PFAS Properties'!$P$15</f>
        <v>570.08529999999996</v>
      </c>
      <c r="L6" s="2">
        <f>'PFAS Properties'!$X$15</f>
        <v>2.2999999999999998</v>
      </c>
      <c r="M6" s="2">
        <f>'PFAS Properties'!$Y$15</f>
        <v>11.1</v>
      </c>
      <c r="N6" s="33">
        <f t="shared" si="0"/>
        <v>6.2700107763533248E-3</v>
      </c>
      <c r="O6" s="33">
        <f t="shared" si="1"/>
        <v>0.99372973961002165</v>
      </c>
      <c r="P6" s="33">
        <f t="shared" si="2"/>
        <v>2.4961362495139597E-7</v>
      </c>
      <c r="Q6" s="33">
        <v>0</v>
      </c>
      <c r="R6" s="33">
        <v>0</v>
      </c>
      <c r="S6" s="33">
        <v>0</v>
      </c>
      <c r="T6" s="8">
        <f t="shared" si="3"/>
        <v>1</v>
      </c>
      <c r="U6" s="33">
        <f t="shared" si="4"/>
        <v>1</v>
      </c>
      <c r="V6" s="33">
        <f t="shared" si="5"/>
        <v>-0.99373023883727152</v>
      </c>
      <c r="W6" s="33">
        <f t="shared" si="6"/>
        <v>570.09156976116265</v>
      </c>
      <c r="X6" s="33">
        <v>96485</v>
      </c>
      <c r="Y6" s="16">
        <f t="shared" si="7"/>
        <v>1.0611241033423695</v>
      </c>
      <c r="Z6" s="16">
        <v>15</v>
      </c>
      <c r="AA6" s="16">
        <v>13</v>
      </c>
      <c r="AB6" s="8">
        <f t="shared" si="8"/>
        <v>0.72874493927125494</v>
      </c>
      <c r="AC6" s="16">
        <f t="shared" si="9"/>
        <v>43.326849508310431</v>
      </c>
      <c r="AD6" s="20">
        <f>'PFAS Properties'!$W$15</f>
        <v>6</v>
      </c>
      <c r="AE6" s="8">
        <f>'PFAS Properties'!$S$15</f>
        <v>3.3010299956639813</v>
      </c>
      <c r="AF6" s="2">
        <f>'PFAS Properties'!$V$15</f>
        <v>4.8</v>
      </c>
      <c r="AG6" s="24">
        <v>4.5</v>
      </c>
      <c r="AH6" s="15" t="s">
        <v>830</v>
      </c>
      <c r="AI6" s="2" t="s">
        <v>661</v>
      </c>
      <c r="AJ6" s="2" t="s">
        <v>661</v>
      </c>
      <c r="AK6" s="2" t="s">
        <v>661</v>
      </c>
      <c r="AL6" s="2" t="s">
        <v>661</v>
      </c>
      <c r="AM6" s="2" t="s">
        <v>661</v>
      </c>
      <c r="AN6" s="2" t="s">
        <v>661</v>
      </c>
      <c r="AO6" s="2" t="s">
        <v>661</v>
      </c>
      <c r="AP6" s="72">
        <v>11.497016666666671</v>
      </c>
      <c r="AQ6" s="70" t="s">
        <v>752</v>
      </c>
      <c r="AR6" s="16">
        <v>51.2</v>
      </c>
      <c r="AS6" s="16">
        <v>36.200000000000003</v>
      </c>
      <c r="AT6" s="16">
        <v>12.6</v>
      </c>
      <c r="AU6" s="16" t="s">
        <v>664</v>
      </c>
      <c r="AV6" s="16">
        <f t="shared" si="10"/>
        <v>100</v>
      </c>
      <c r="AW6" s="18">
        <v>7.3</v>
      </c>
      <c r="AX6" s="13">
        <f t="shared" si="14"/>
        <v>7.2999999999999995E-2</v>
      </c>
      <c r="AY6" s="8" t="s">
        <v>342</v>
      </c>
      <c r="AZ6" s="16">
        <f>1/0.01</f>
        <v>100</v>
      </c>
      <c r="BA6" s="16" t="s">
        <v>55</v>
      </c>
      <c r="BB6" s="15">
        <f>5*K6/1000</f>
        <v>2.8504264999999998</v>
      </c>
      <c r="BC6" s="16">
        <f>5000*K6/1000</f>
        <v>2850.4265</v>
      </c>
      <c r="BD6" s="24">
        <f>111.8*AX6</f>
        <v>8.1613999999999987</v>
      </c>
      <c r="BE6" s="15">
        <f t="shared" si="11"/>
        <v>111.79999999999998</v>
      </c>
      <c r="BF6" s="15">
        <f t="shared" si="12"/>
        <v>2.0484418035504044</v>
      </c>
      <c r="BG6" s="8">
        <f t="shared" si="13"/>
        <v>0.91176466367086029</v>
      </c>
      <c r="BH6" s="13" t="s">
        <v>343</v>
      </c>
      <c r="BI6" s="49"/>
      <c r="BJ6" s="48"/>
      <c r="BK6" s="49"/>
      <c r="BL6" s="49"/>
      <c r="BM6" s="50"/>
      <c r="BN6" s="47"/>
      <c r="BO6" s="52"/>
    </row>
    <row r="7" spans="1:67" s="14" customFormat="1" x14ac:dyDescent="0.3">
      <c r="A7" s="20">
        <v>5</v>
      </c>
      <c r="B7" s="2" t="s">
        <v>775</v>
      </c>
      <c r="C7" s="2">
        <v>2021</v>
      </c>
      <c r="D7" s="2" t="s">
        <v>203</v>
      </c>
      <c r="E7" s="10" t="s">
        <v>786</v>
      </c>
      <c r="F7" s="20" t="s">
        <v>29</v>
      </c>
      <c r="G7" s="2" t="s">
        <v>120</v>
      </c>
      <c r="H7" s="2" t="str">
        <f>'PFAS Properties'!$B$15</f>
        <v>6:2 FtSaB</v>
      </c>
      <c r="I7" s="2" t="str">
        <f>'PFAS Properties'!$C$15</f>
        <v>Betaine</v>
      </c>
      <c r="J7" s="2" t="str">
        <f>'PFAS Properties'!$D$15</f>
        <v>C15H19F13N2O4S</v>
      </c>
      <c r="K7" s="25">
        <f>'PFAS Properties'!$P$15</f>
        <v>570.08529999999996</v>
      </c>
      <c r="L7" s="2">
        <f>'PFAS Properties'!$X$15</f>
        <v>2.2999999999999998</v>
      </c>
      <c r="M7" s="2">
        <f>'PFAS Properties'!$Y$15</f>
        <v>11.1</v>
      </c>
      <c r="N7" s="33">
        <f t="shared" si="0"/>
        <v>1.410543516291809E-3</v>
      </c>
      <c r="O7" s="33">
        <f t="shared" si="1"/>
        <v>0.99858833604916675</v>
      </c>
      <c r="P7" s="33">
        <f t="shared" si="2"/>
        <v>1.1204345412978557E-6</v>
      </c>
      <c r="Q7" s="33">
        <v>0</v>
      </c>
      <c r="R7" s="33">
        <v>0</v>
      </c>
      <c r="S7" s="33">
        <v>0</v>
      </c>
      <c r="T7" s="8">
        <f t="shared" si="3"/>
        <v>0.99999999999999978</v>
      </c>
      <c r="U7" s="33">
        <f t="shared" si="4"/>
        <v>0.99999999999999978</v>
      </c>
      <c r="V7" s="33">
        <f t="shared" si="5"/>
        <v>-0.99859057691824937</v>
      </c>
      <c r="W7" s="33">
        <f t="shared" si="6"/>
        <v>570.08670942308163</v>
      </c>
      <c r="X7" s="33">
        <v>96485</v>
      </c>
      <c r="Y7" s="16">
        <f t="shared" si="7"/>
        <v>0.23853947793363861</v>
      </c>
      <c r="Z7" s="16">
        <v>15</v>
      </c>
      <c r="AA7" s="16">
        <v>13</v>
      </c>
      <c r="AB7" s="8">
        <f t="shared" si="8"/>
        <v>0.72874493927125494</v>
      </c>
      <c r="AC7" s="16">
        <f t="shared" si="9"/>
        <v>43.326849508310431</v>
      </c>
      <c r="AD7" s="20">
        <f>'PFAS Properties'!$W$15</f>
        <v>6</v>
      </c>
      <c r="AE7" s="8">
        <f>'PFAS Properties'!$S$15</f>
        <v>3.3010299956639813</v>
      </c>
      <c r="AF7" s="2">
        <f>'PFAS Properties'!$V$15</f>
        <v>4.8</v>
      </c>
      <c r="AG7" s="24">
        <v>5.15</v>
      </c>
      <c r="AH7" s="2" t="s">
        <v>830</v>
      </c>
      <c r="AI7" s="2" t="s">
        <v>661</v>
      </c>
      <c r="AJ7" s="2" t="s">
        <v>661</v>
      </c>
      <c r="AK7" s="2" t="s">
        <v>661</v>
      </c>
      <c r="AL7" s="2" t="s">
        <v>661</v>
      </c>
      <c r="AM7" s="2" t="s">
        <v>661</v>
      </c>
      <c r="AN7" s="2" t="s">
        <v>661</v>
      </c>
      <c r="AO7" s="2" t="s">
        <v>661</v>
      </c>
      <c r="AP7" s="15">
        <v>0.57999999999999996</v>
      </c>
      <c r="AQ7" s="16" t="s">
        <v>689</v>
      </c>
      <c r="AR7" s="16">
        <v>59.2</v>
      </c>
      <c r="AS7" s="16">
        <v>32.200000000000003</v>
      </c>
      <c r="AT7" s="16">
        <v>8.6</v>
      </c>
      <c r="AU7" s="16" t="s">
        <v>664</v>
      </c>
      <c r="AV7" s="16">
        <f t="shared" si="10"/>
        <v>100</v>
      </c>
      <c r="AW7" s="18">
        <v>1.8</v>
      </c>
      <c r="AX7" s="13">
        <f t="shared" si="14"/>
        <v>1.8000000000000002E-2</v>
      </c>
      <c r="AY7" s="13" t="s">
        <v>342</v>
      </c>
      <c r="AZ7" s="16">
        <f>1/0.01</f>
        <v>100</v>
      </c>
      <c r="BA7" s="16" t="s">
        <v>55</v>
      </c>
      <c r="BB7" s="15">
        <f>5*K7/1000</f>
        <v>2.8504264999999998</v>
      </c>
      <c r="BC7" s="16">
        <f>5000*K7/1000</f>
        <v>2850.4265</v>
      </c>
      <c r="BD7" s="24">
        <f>305.6*AX7</f>
        <v>5.5008000000000008</v>
      </c>
      <c r="BE7" s="15">
        <f t="shared" si="11"/>
        <v>305.60000000000002</v>
      </c>
      <c r="BF7" s="15">
        <f t="shared" si="12"/>
        <v>2.4851533499036522</v>
      </c>
      <c r="BG7" s="8">
        <f t="shared" si="13"/>
        <v>0.74042585500695846</v>
      </c>
      <c r="BH7" s="13" t="s">
        <v>343</v>
      </c>
      <c r="BI7" s="49"/>
      <c r="BJ7" s="48"/>
      <c r="BK7" s="49"/>
      <c r="BL7" s="51"/>
      <c r="BM7" s="50"/>
      <c r="BN7" s="47"/>
      <c r="BO7" s="52"/>
    </row>
    <row r="8" spans="1:67" s="14" customFormat="1" x14ac:dyDescent="0.3">
      <c r="A8" s="20">
        <v>6</v>
      </c>
      <c r="B8" s="2" t="s">
        <v>242</v>
      </c>
      <c r="C8" s="2">
        <v>2018</v>
      </c>
      <c r="D8" s="2" t="s">
        <v>243</v>
      </c>
      <c r="E8" s="10" t="s">
        <v>788</v>
      </c>
      <c r="F8" s="20" t="s">
        <v>29</v>
      </c>
      <c r="G8" s="2" t="s">
        <v>129</v>
      </c>
      <c r="H8" s="2" t="str">
        <f>'PFAS Properties'!$B$15</f>
        <v>6:2 FtSaB</v>
      </c>
      <c r="I8" s="2" t="str">
        <f>'PFAS Properties'!$C$15</f>
        <v>Betaine</v>
      </c>
      <c r="J8" s="2" t="str">
        <f>'PFAS Properties'!$D$15</f>
        <v>C15H19F13N2O4S</v>
      </c>
      <c r="K8" s="25">
        <f>'PFAS Properties'!$P$15</f>
        <v>570.08529999999996</v>
      </c>
      <c r="L8" s="2">
        <f>'PFAS Properties'!$X$15</f>
        <v>2.2999999999999998</v>
      </c>
      <c r="M8" s="2">
        <f>'PFAS Properties'!$Y$15</f>
        <v>11.1</v>
      </c>
      <c r="N8" s="33">
        <f t="shared" si="0"/>
        <v>6.7749275242754011E-4</v>
      </c>
      <c r="O8" s="33">
        <f t="shared" si="1"/>
        <v>0.99932017107643722</v>
      </c>
      <c r="P8" s="33">
        <f t="shared" si="2"/>
        <v>2.3361711351300638E-6</v>
      </c>
      <c r="Q8" s="33">
        <v>0</v>
      </c>
      <c r="R8" s="33">
        <v>0</v>
      </c>
      <c r="S8" s="33">
        <v>0</v>
      </c>
      <c r="T8" s="8">
        <f t="shared" si="3"/>
        <v>0.99999999999999989</v>
      </c>
      <c r="U8" s="33">
        <f t="shared" si="4"/>
        <v>0.99999999999999989</v>
      </c>
      <c r="V8" s="33">
        <f t="shared" si="5"/>
        <v>-0.99932484341870753</v>
      </c>
      <c r="W8" s="33">
        <f t="shared" si="6"/>
        <v>570.08597515658118</v>
      </c>
      <c r="X8" s="33">
        <v>96485</v>
      </c>
      <c r="Y8" s="16">
        <f t="shared" si="7"/>
        <v>0.11426782202123274</v>
      </c>
      <c r="Z8" s="16">
        <v>15</v>
      </c>
      <c r="AA8" s="16">
        <v>13</v>
      </c>
      <c r="AB8" s="8">
        <f t="shared" si="8"/>
        <v>0.72874493927125494</v>
      </c>
      <c r="AC8" s="16">
        <f t="shared" si="9"/>
        <v>43.326849508310431</v>
      </c>
      <c r="AD8" s="20">
        <f>'PFAS Properties'!$W$15</f>
        <v>6</v>
      </c>
      <c r="AE8" s="8">
        <f>'PFAS Properties'!$S$15</f>
        <v>3.3010299956639813</v>
      </c>
      <c r="AF8" s="2">
        <f>'PFAS Properties'!$V$15</f>
        <v>4.8</v>
      </c>
      <c r="AG8" s="124">
        <v>5.4687999999999999</v>
      </c>
      <c r="AH8" s="70" t="s">
        <v>752</v>
      </c>
      <c r="AI8" s="2" t="s">
        <v>661</v>
      </c>
      <c r="AJ8" s="15" t="s">
        <v>661</v>
      </c>
      <c r="AK8" s="8" t="s">
        <v>661</v>
      </c>
      <c r="AL8" s="2" t="s">
        <v>661</v>
      </c>
      <c r="AM8" s="15" t="s">
        <v>661</v>
      </c>
      <c r="AN8" s="8" t="s">
        <v>661</v>
      </c>
      <c r="AO8" s="15" t="s">
        <v>661</v>
      </c>
      <c r="AP8" s="72">
        <v>21.5806</v>
      </c>
      <c r="AQ8" s="70" t="s">
        <v>752</v>
      </c>
      <c r="AR8" s="71">
        <v>41.737499999999997</v>
      </c>
      <c r="AS8" s="71">
        <v>35.036999999999999</v>
      </c>
      <c r="AT8" s="71">
        <v>21.887</v>
      </c>
      <c r="AU8" s="70" t="s">
        <v>752</v>
      </c>
      <c r="AV8" s="16">
        <f t="shared" si="10"/>
        <v>98.66149999999999</v>
      </c>
      <c r="AW8" s="18">
        <v>46.9</v>
      </c>
      <c r="AX8" s="13">
        <f t="shared" si="14"/>
        <v>0.46899999999999997</v>
      </c>
      <c r="AY8" s="13" t="s">
        <v>344</v>
      </c>
      <c r="AZ8" s="15">
        <f>0.01/0.05</f>
        <v>0.19999999999999998</v>
      </c>
      <c r="BA8" s="16" t="s">
        <v>55</v>
      </c>
      <c r="BB8" s="15">
        <v>2</v>
      </c>
      <c r="BC8" s="16">
        <v>3500</v>
      </c>
      <c r="BD8" s="25">
        <f>10^1.48</f>
        <v>30.199517204020164</v>
      </c>
      <c r="BE8" s="16">
        <f t="shared" si="11"/>
        <v>64.39129467808138</v>
      </c>
      <c r="BF8" s="16">
        <f t="shared" si="12"/>
        <v>1.8088271572849168</v>
      </c>
      <c r="BG8" s="8">
        <f t="shared" si="13"/>
        <v>1.48</v>
      </c>
      <c r="BH8" s="13" t="s">
        <v>346</v>
      </c>
      <c r="BI8" s="47"/>
      <c r="BJ8" s="48"/>
      <c r="BK8" s="49"/>
      <c r="BL8" s="51"/>
      <c r="BM8" s="50"/>
      <c r="BN8" s="47"/>
      <c r="BO8" s="52"/>
    </row>
    <row r="9" spans="1:67" s="14" customFormat="1" x14ac:dyDescent="0.3">
      <c r="A9" s="20">
        <v>7</v>
      </c>
      <c r="B9" s="2" t="s">
        <v>181</v>
      </c>
      <c r="C9" s="2">
        <v>2020</v>
      </c>
      <c r="D9" s="2" t="s">
        <v>203</v>
      </c>
      <c r="E9" s="10" t="s">
        <v>787</v>
      </c>
      <c r="F9" s="20" t="s">
        <v>29</v>
      </c>
      <c r="G9" s="2" t="s">
        <v>62</v>
      </c>
      <c r="H9" s="2" t="str">
        <f>'PFAS Properties'!$B$15</f>
        <v>6:2 FtSaB</v>
      </c>
      <c r="I9" s="2" t="str">
        <f>'PFAS Properties'!$C$15</f>
        <v>Betaine</v>
      </c>
      <c r="J9" s="2" t="str">
        <f>'PFAS Properties'!$D$15</f>
        <v>C15H19F13N2O4S</v>
      </c>
      <c r="K9" s="25">
        <f>'PFAS Properties'!$P$15</f>
        <v>570.08529999999996</v>
      </c>
      <c r="L9" s="2">
        <f>'PFAS Properties'!$X$15</f>
        <v>2.2999999999999998</v>
      </c>
      <c r="M9" s="2">
        <f>'PFAS Properties'!$Y$15</f>
        <v>11.1</v>
      </c>
      <c r="N9" s="33">
        <f t="shared" si="0"/>
        <v>6.307949159143065E-6</v>
      </c>
      <c r="O9" s="33">
        <f t="shared" si="1"/>
        <v>0.99974256807166673</v>
      </c>
      <c r="P9" s="33">
        <f t="shared" si="2"/>
        <v>2.5112397917417638E-4</v>
      </c>
      <c r="Q9" s="33">
        <v>0</v>
      </c>
      <c r="R9" s="33">
        <v>0</v>
      </c>
      <c r="S9" s="33">
        <v>0</v>
      </c>
      <c r="T9" s="8">
        <f t="shared" si="3"/>
        <v>1</v>
      </c>
      <c r="U9" s="33">
        <f t="shared" si="4"/>
        <v>1</v>
      </c>
      <c r="V9" s="33">
        <f t="shared" si="5"/>
        <v>-1.000244816030015</v>
      </c>
      <c r="W9" s="33">
        <f t="shared" si="6"/>
        <v>570.08505518396998</v>
      </c>
      <c r="X9" s="33">
        <v>96485</v>
      </c>
      <c r="Y9" s="16">
        <f t="shared" si="7"/>
        <v>-4.1434299042231892E-2</v>
      </c>
      <c r="Z9" s="16">
        <v>15</v>
      </c>
      <c r="AA9" s="16">
        <v>13</v>
      </c>
      <c r="AB9" s="8">
        <f t="shared" si="8"/>
        <v>0.72874493927125494</v>
      </c>
      <c r="AC9" s="16">
        <f t="shared" si="9"/>
        <v>43.326849508310431</v>
      </c>
      <c r="AD9" s="20">
        <f>'PFAS Properties'!$W$15</f>
        <v>6</v>
      </c>
      <c r="AE9" s="8">
        <f>'PFAS Properties'!$S$15</f>
        <v>3.3010299956639813</v>
      </c>
      <c r="AF9" s="2">
        <f>'PFAS Properties'!$V$15</f>
        <v>4.8</v>
      </c>
      <c r="AG9" s="24">
        <v>7.5</v>
      </c>
      <c r="AH9" s="2" t="s">
        <v>183</v>
      </c>
      <c r="AI9" s="2" t="s">
        <v>661</v>
      </c>
      <c r="AJ9" s="2" t="s">
        <v>661</v>
      </c>
      <c r="AK9" s="2" t="s">
        <v>661</v>
      </c>
      <c r="AL9" s="2" t="s">
        <v>661</v>
      </c>
      <c r="AM9" s="2" t="s">
        <v>661</v>
      </c>
      <c r="AN9" s="2" t="s">
        <v>661</v>
      </c>
      <c r="AO9" s="2" t="s">
        <v>661</v>
      </c>
      <c r="AP9" s="15">
        <v>41.4</v>
      </c>
      <c r="AQ9" s="2" t="s">
        <v>661</v>
      </c>
      <c r="AR9" s="16">
        <v>16.899999999999999</v>
      </c>
      <c r="AS9" s="16">
        <v>17.5</v>
      </c>
      <c r="AT9" s="16">
        <v>65.599999999999994</v>
      </c>
      <c r="AU9" s="2" t="s">
        <v>661</v>
      </c>
      <c r="AV9" s="16">
        <f t="shared" si="10"/>
        <v>100</v>
      </c>
      <c r="AW9" s="18">
        <v>0.7</v>
      </c>
      <c r="AX9" s="13">
        <f t="shared" si="14"/>
        <v>6.9999999999999993E-3</v>
      </c>
      <c r="AY9" s="13" t="s">
        <v>184</v>
      </c>
      <c r="AZ9" s="16">
        <v>100</v>
      </c>
      <c r="BA9" s="16" t="s">
        <v>55</v>
      </c>
      <c r="BB9" s="15">
        <v>5</v>
      </c>
      <c r="BC9" s="16" t="s">
        <v>55</v>
      </c>
      <c r="BD9" s="18">
        <v>0.15</v>
      </c>
      <c r="BE9" s="16">
        <f t="shared" si="11"/>
        <v>21.428571428571431</v>
      </c>
      <c r="BF9" s="16">
        <f t="shared" si="12"/>
        <v>1.3309932190414244</v>
      </c>
      <c r="BG9" s="8">
        <f t="shared" si="13"/>
        <v>-0.82390874094431876</v>
      </c>
      <c r="BH9" s="13" t="s">
        <v>345</v>
      </c>
      <c r="BI9" s="13"/>
      <c r="BJ9" s="13"/>
      <c r="BK9" s="15"/>
      <c r="BL9" s="13"/>
      <c r="BM9" s="17"/>
      <c r="BN9" s="17"/>
      <c r="BO9" s="2"/>
    </row>
    <row r="10" spans="1:67" s="14" customFormat="1" x14ac:dyDescent="0.3">
      <c r="A10" s="20">
        <v>8</v>
      </c>
      <c r="B10" s="2" t="s">
        <v>181</v>
      </c>
      <c r="C10" s="2">
        <v>2020</v>
      </c>
      <c r="D10" s="2" t="s">
        <v>203</v>
      </c>
      <c r="E10" s="10" t="s">
        <v>787</v>
      </c>
      <c r="F10" s="20" t="s">
        <v>29</v>
      </c>
      <c r="G10" s="2" t="s">
        <v>57</v>
      </c>
      <c r="H10" s="2" t="str">
        <f>'PFAS Properties'!$B$15</f>
        <v>6:2 FtSaB</v>
      </c>
      <c r="I10" s="2" t="str">
        <f>'PFAS Properties'!$C$15</f>
        <v>Betaine</v>
      </c>
      <c r="J10" s="2" t="str">
        <f>'PFAS Properties'!$D$15</f>
        <v>C15H19F13N2O4S</v>
      </c>
      <c r="K10" s="25">
        <f>'PFAS Properties'!$P$15</f>
        <v>570.08529999999996</v>
      </c>
      <c r="L10" s="2">
        <f>'PFAS Properties'!$X$15</f>
        <v>2.2999999999999998</v>
      </c>
      <c r="M10" s="2">
        <f>'PFAS Properties'!$Y$15</f>
        <v>11.1</v>
      </c>
      <c r="N10" s="33">
        <f t="shared" si="0"/>
        <v>3.1620191919767058E-5</v>
      </c>
      <c r="O10" s="33">
        <f t="shared" si="1"/>
        <v>0.99991826518116211</v>
      </c>
      <c r="P10" s="33">
        <f t="shared" si="2"/>
        <v>5.0114626917952808E-5</v>
      </c>
      <c r="Q10" s="33">
        <v>0</v>
      </c>
      <c r="R10" s="33">
        <v>0</v>
      </c>
      <c r="S10" s="33">
        <v>0</v>
      </c>
      <c r="T10" s="8">
        <f t="shared" si="3"/>
        <v>0.99999999999999978</v>
      </c>
      <c r="U10" s="33">
        <f t="shared" si="4"/>
        <v>0.99999999999999978</v>
      </c>
      <c r="V10" s="33">
        <f t="shared" si="5"/>
        <v>-1.0000184944349981</v>
      </c>
      <c r="W10" s="33">
        <f t="shared" si="6"/>
        <v>570.08528150556492</v>
      </c>
      <c r="X10" s="33">
        <v>96485</v>
      </c>
      <c r="Y10" s="16">
        <f t="shared" si="7"/>
        <v>-3.1301203849769046E-3</v>
      </c>
      <c r="Z10" s="16">
        <v>15</v>
      </c>
      <c r="AA10" s="16">
        <v>13</v>
      </c>
      <c r="AB10" s="8">
        <f t="shared" si="8"/>
        <v>0.72874493927125494</v>
      </c>
      <c r="AC10" s="16">
        <f t="shared" si="9"/>
        <v>43.326849508310431</v>
      </c>
      <c r="AD10" s="20">
        <f>'PFAS Properties'!$W$15</f>
        <v>6</v>
      </c>
      <c r="AE10" s="8">
        <f>'PFAS Properties'!$S$15</f>
        <v>3.3010299956639813</v>
      </c>
      <c r="AF10" s="2">
        <f>'PFAS Properties'!$V$15</f>
        <v>4.8</v>
      </c>
      <c r="AG10" s="24">
        <v>6.8</v>
      </c>
      <c r="AH10" s="2" t="s">
        <v>183</v>
      </c>
      <c r="AI10" s="2" t="s">
        <v>661</v>
      </c>
      <c r="AJ10" s="2" t="s">
        <v>661</v>
      </c>
      <c r="AK10" s="2" t="s">
        <v>661</v>
      </c>
      <c r="AL10" s="2" t="s">
        <v>661</v>
      </c>
      <c r="AM10" s="2" t="s">
        <v>661</v>
      </c>
      <c r="AN10" s="2" t="s">
        <v>661</v>
      </c>
      <c r="AO10" s="2" t="s">
        <v>661</v>
      </c>
      <c r="AP10" s="15">
        <v>7.1</v>
      </c>
      <c r="AQ10" s="2" t="s">
        <v>661</v>
      </c>
      <c r="AR10" s="16">
        <v>48.9</v>
      </c>
      <c r="AS10" s="16">
        <v>27</v>
      </c>
      <c r="AT10" s="16">
        <v>24.2</v>
      </c>
      <c r="AU10" s="2" t="s">
        <v>661</v>
      </c>
      <c r="AV10" s="16">
        <f t="shared" si="10"/>
        <v>100.10000000000001</v>
      </c>
      <c r="AW10" s="18">
        <v>0.37</v>
      </c>
      <c r="AX10" s="13">
        <f t="shared" si="14"/>
        <v>3.7000000000000002E-3</v>
      </c>
      <c r="AY10" s="13" t="s">
        <v>184</v>
      </c>
      <c r="AZ10" s="16">
        <v>100</v>
      </c>
      <c r="BA10" s="16" t="s">
        <v>55</v>
      </c>
      <c r="BB10" s="15">
        <v>5</v>
      </c>
      <c r="BC10" s="16" t="s">
        <v>55</v>
      </c>
      <c r="BD10" s="18">
        <v>0.37</v>
      </c>
      <c r="BE10" s="16">
        <f t="shared" si="11"/>
        <v>100</v>
      </c>
      <c r="BF10" s="16">
        <f t="shared" si="12"/>
        <v>2</v>
      </c>
      <c r="BG10" s="8">
        <f t="shared" si="13"/>
        <v>-0.43179827593300502</v>
      </c>
      <c r="BH10" s="13" t="s">
        <v>345</v>
      </c>
      <c r="BI10" s="13"/>
      <c r="BJ10" s="13"/>
      <c r="BK10" s="15"/>
      <c r="BL10" s="13"/>
      <c r="BM10" s="17"/>
      <c r="BN10" s="17"/>
      <c r="BO10" s="2"/>
    </row>
    <row r="11" spans="1:67" s="14" customFormat="1" x14ac:dyDescent="0.3">
      <c r="A11" s="20">
        <v>9</v>
      </c>
      <c r="B11" s="2" t="s">
        <v>181</v>
      </c>
      <c r="C11" s="2">
        <v>2020</v>
      </c>
      <c r="D11" s="2" t="s">
        <v>203</v>
      </c>
      <c r="E11" s="10" t="s">
        <v>787</v>
      </c>
      <c r="F11" s="20" t="s">
        <v>29</v>
      </c>
      <c r="G11" s="2" t="s">
        <v>58</v>
      </c>
      <c r="H11" s="2" t="str">
        <f>'PFAS Properties'!$B$15</f>
        <v>6:2 FtSaB</v>
      </c>
      <c r="I11" s="2" t="str">
        <f>'PFAS Properties'!$C$15</f>
        <v>Betaine</v>
      </c>
      <c r="J11" s="2" t="str">
        <f>'PFAS Properties'!$D$15</f>
        <v>C15H19F13N2O4S</v>
      </c>
      <c r="K11" s="25">
        <f>'PFAS Properties'!$P$15</f>
        <v>570.08529999999996</v>
      </c>
      <c r="L11" s="2">
        <f>'PFAS Properties'!$X$15</f>
        <v>2.2999999999999998</v>
      </c>
      <c r="M11" s="2">
        <f>'PFAS Properties'!$Y$15</f>
        <v>11.1</v>
      </c>
      <c r="N11" s="33">
        <f t="shared" si="0"/>
        <v>1.2587510976823252E-4</v>
      </c>
      <c r="O11" s="33">
        <f t="shared" si="1"/>
        <v>0.99986153737925509</v>
      </c>
      <c r="P11" s="33">
        <f t="shared" si="2"/>
        <v>1.2587510976823284E-5</v>
      </c>
      <c r="Q11" s="33">
        <v>0</v>
      </c>
      <c r="R11" s="33">
        <v>0</v>
      </c>
      <c r="S11" s="33">
        <v>0</v>
      </c>
      <c r="T11" s="8">
        <f t="shared" si="3"/>
        <v>1.0000000000000002</v>
      </c>
      <c r="U11" s="33">
        <f t="shared" si="4"/>
        <v>1.0000000000000002</v>
      </c>
      <c r="V11" s="33">
        <f t="shared" si="5"/>
        <v>-0.99988671240120874</v>
      </c>
      <c r="W11" s="33">
        <f t="shared" si="6"/>
        <v>570.08541328759884</v>
      </c>
      <c r="X11" s="33">
        <v>96485</v>
      </c>
      <c r="Y11" s="16">
        <f t="shared" si="7"/>
        <v>1.9173537358833453E-2</v>
      </c>
      <c r="Z11" s="16">
        <v>15</v>
      </c>
      <c r="AA11" s="16">
        <v>13</v>
      </c>
      <c r="AB11" s="8">
        <f t="shared" si="8"/>
        <v>0.72874493927125494</v>
      </c>
      <c r="AC11" s="16">
        <f t="shared" si="9"/>
        <v>43.326849508310431</v>
      </c>
      <c r="AD11" s="20">
        <f>'PFAS Properties'!$W$15</f>
        <v>6</v>
      </c>
      <c r="AE11" s="8">
        <f>'PFAS Properties'!$S$15</f>
        <v>3.3010299956639813</v>
      </c>
      <c r="AF11" s="2">
        <f>'PFAS Properties'!$V$15</f>
        <v>4.8</v>
      </c>
      <c r="AG11" s="24">
        <v>6.2</v>
      </c>
      <c r="AH11" s="2" t="s">
        <v>183</v>
      </c>
      <c r="AI11" s="2" t="s">
        <v>661</v>
      </c>
      <c r="AJ11" s="2" t="s">
        <v>661</v>
      </c>
      <c r="AK11" s="2" t="s">
        <v>661</v>
      </c>
      <c r="AL11" s="2" t="s">
        <v>661</v>
      </c>
      <c r="AM11" s="2" t="s">
        <v>661</v>
      </c>
      <c r="AN11" s="2" t="s">
        <v>661</v>
      </c>
      <c r="AO11" s="2" t="s">
        <v>661</v>
      </c>
      <c r="AP11" s="15">
        <v>8</v>
      </c>
      <c r="AQ11" s="2" t="s">
        <v>661</v>
      </c>
      <c r="AR11" s="16">
        <v>51.44</v>
      </c>
      <c r="AS11" s="16">
        <v>10.17</v>
      </c>
      <c r="AT11" s="16">
        <v>38.380000000000003</v>
      </c>
      <c r="AU11" s="2" t="s">
        <v>661</v>
      </c>
      <c r="AV11" s="16">
        <f t="shared" si="10"/>
        <v>99.990000000000009</v>
      </c>
      <c r="AW11" s="18">
        <v>0.08</v>
      </c>
      <c r="AX11" s="13">
        <f t="shared" si="14"/>
        <v>8.0000000000000004E-4</v>
      </c>
      <c r="AY11" s="8" t="s">
        <v>184</v>
      </c>
      <c r="AZ11" s="16">
        <v>100</v>
      </c>
      <c r="BA11" s="16" t="s">
        <v>55</v>
      </c>
      <c r="BB11" s="15">
        <v>5</v>
      </c>
      <c r="BC11" s="16" t="s">
        <v>55</v>
      </c>
      <c r="BD11" s="24">
        <v>1.42</v>
      </c>
      <c r="BE11" s="16">
        <f t="shared" si="11"/>
        <v>1774.9999999999998</v>
      </c>
      <c r="BF11" s="16">
        <f t="shared" si="12"/>
        <v>3.249198357391113</v>
      </c>
      <c r="BG11" s="8">
        <f t="shared" si="13"/>
        <v>0.15228834438305647</v>
      </c>
      <c r="BH11" s="13" t="s">
        <v>345</v>
      </c>
      <c r="BI11" s="13"/>
      <c r="BJ11" s="13"/>
      <c r="BK11" s="15"/>
      <c r="BL11" s="13"/>
      <c r="BM11" s="17"/>
      <c r="BN11" s="17"/>
      <c r="BO11" s="2"/>
    </row>
    <row r="12" spans="1:67" s="14" customFormat="1" x14ac:dyDescent="0.3">
      <c r="A12" s="20">
        <v>10</v>
      </c>
      <c r="B12" s="2" t="s">
        <v>181</v>
      </c>
      <c r="C12" s="2">
        <v>2020</v>
      </c>
      <c r="D12" s="2" t="s">
        <v>203</v>
      </c>
      <c r="E12" s="22" t="s">
        <v>787</v>
      </c>
      <c r="F12" s="20" t="s">
        <v>29</v>
      </c>
      <c r="G12" s="2" t="s">
        <v>59</v>
      </c>
      <c r="H12" s="2" t="str">
        <f>'PFAS Properties'!$B$15</f>
        <v>6:2 FtSaB</v>
      </c>
      <c r="I12" s="2" t="str">
        <f>'PFAS Properties'!$C$15</f>
        <v>Betaine</v>
      </c>
      <c r="J12" s="2" t="str">
        <f>'PFAS Properties'!$D$15</f>
        <v>C15H19F13N2O4S</v>
      </c>
      <c r="K12" s="25">
        <f>'PFAS Properties'!$P$15</f>
        <v>570.08529999999996</v>
      </c>
      <c r="L12" s="2">
        <f>'PFAS Properties'!$X$15</f>
        <v>2.2999999999999998</v>
      </c>
      <c r="M12" s="2">
        <f>'PFAS Properties'!$Y$15</f>
        <v>11.1</v>
      </c>
      <c r="N12" s="33">
        <f t="shared" si="0"/>
        <v>3.9794716067914713E-6</v>
      </c>
      <c r="O12" s="33">
        <f t="shared" si="1"/>
        <v>0.999598073367714</v>
      </c>
      <c r="P12" s="33">
        <f t="shared" si="2"/>
        <v>3.9794716067914794E-4</v>
      </c>
      <c r="Q12" s="33">
        <v>0</v>
      </c>
      <c r="R12" s="33">
        <v>0</v>
      </c>
      <c r="S12" s="33">
        <v>0</v>
      </c>
      <c r="T12" s="8">
        <f t="shared" si="3"/>
        <v>1</v>
      </c>
      <c r="U12" s="33">
        <f t="shared" si="4"/>
        <v>1</v>
      </c>
      <c r="V12" s="33">
        <f t="shared" si="5"/>
        <v>-1.0003939676890723</v>
      </c>
      <c r="W12" s="33">
        <f t="shared" si="6"/>
        <v>570.08490603231076</v>
      </c>
      <c r="X12" s="33">
        <v>96485</v>
      </c>
      <c r="Y12" s="16">
        <f t="shared" si="7"/>
        <v>-6.6677738838407177E-2</v>
      </c>
      <c r="Z12" s="16">
        <v>15</v>
      </c>
      <c r="AA12" s="16">
        <v>13</v>
      </c>
      <c r="AB12" s="8">
        <f t="shared" si="8"/>
        <v>0.72874493927125494</v>
      </c>
      <c r="AC12" s="16">
        <f t="shared" si="9"/>
        <v>43.326849508310431</v>
      </c>
      <c r="AD12" s="20">
        <f>'PFAS Properties'!$W$15</f>
        <v>6</v>
      </c>
      <c r="AE12" s="8">
        <f>'PFAS Properties'!$S$15</f>
        <v>3.3010299956639813</v>
      </c>
      <c r="AF12" s="2">
        <f>'PFAS Properties'!$V$15</f>
        <v>4.8</v>
      </c>
      <c r="AG12" s="24">
        <v>7.7</v>
      </c>
      <c r="AH12" s="2" t="s">
        <v>183</v>
      </c>
      <c r="AI12" s="2" t="s">
        <v>661</v>
      </c>
      <c r="AJ12" s="2" t="s">
        <v>661</v>
      </c>
      <c r="AK12" s="2" t="s">
        <v>661</v>
      </c>
      <c r="AL12" s="2" t="s">
        <v>661</v>
      </c>
      <c r="AM12" s="2" t="s">
        <v>661</v>
      </c>
      <c r="AN12" s="2" t="s">
        <v>661</v>
      </c>
      <c r="AO12" s="2" t="s">
        <v>661</v>
      </c>
      <c r="AP12" s="15">
        <v>4.8</v>
      </c>
      <c r="AQ12" s="2" t="s">
        <v>661</v>
      </c>
      <c r="AR12" s="16">
        <v>46</v>
      </c>
      <c r="AS12" s="16">
        <v>37</v>
      </c>
      <c r="AT12" s="16">
        <v>17</v>
      </c>
      <c r="AU12" s="2" t="s">
        <v>661</v>
      </c>
      <c r="AV12" s="16">
        <f t="shared" si="10"/>
        <v>100</v>
      </c>
      <c r="AW12" s="18">
        <v>0.25</v>
      </c>
      <c r="AX12" s="13">
        <f t="shared" si="14"/>
        <v>2.5000000000000001E-3</v>
      </c>
      <c r="AY12" s="13" t="s">
        <v>184</v>
      </c>
      <c r="AZ12" s="16">
        <v>100</v>
      </c>
      <c r="BA12" s="16" t="s">
        <v>55</v>
      </c>
      <c r="BB12" s="15">
        <v>5</v>
      </c>
      <c r="BC12" s="16" t="s">
        <v>55</v>
      </c>
      <c r="BD12" s="25">
        <v>265</v>
      </c>
      <c r="BE12" s="16">
        <f t="shared" si="11"/>
        <v>106000</v>
      </c>
      <c r="BF12" s="16">
        <f t="shared" si="12"/>
        <v>5.0253058652647704</v>
      </c>
      <c r="BG12" s="8">
        <f t="shared" si="13"/>
        <v>2.4232458739368079</v>
      </c>
      <c r="BH12" s="13" t="s">
        <v>526</v>
      </c>
      <c r="BI12" s="13"/>
      <c r="BJ12" s="13"/>
      <c r="BK12" s="15"/>
      <c r="BL12" s="13"/>
      <c r="BM12" s="17"/>
      <c r="BN12" s="17"/>
      <c r="BO12" s="2"/>
    </row>
    <row r="13" spans="1:67" s="14" customFormat="1" x14ac:dyDescent="0.3">
      <c r="A13" s="20">
        <v>11</v>
      </c>
      <c r="B13" s="2" t="s">
        <v>181</v>
      </c>
      <c r="C13" s="2">
        <v>2020</v>
      </c>
      <c r="D13" s="2" t="s">
        <v>203</v>
      </c>
      <c r="E13" s="10" t="s">
        <v>787</v>
      </c>
      <c r="F13" s="20" t="s">
        <v>29</v>
      </c>
      <c r="G13" s="2" t="s">
        <v>61</v>
      </c>
      <c r="H13" s="2" t="str">
        <f>'PFAS Properties'!$B$15</f>
        <v>6:2 FtSaB</v>
      </c>
      <c r="I13" s="2" t="str">
        <f>'PFAS Properties'!$C$15</f>
        <v>Betaine</v>
      </c>
      <c r="J13" s="2" t="str">
        <f>'PFAS Properties'!$D$15</f>
        <v>C15H19F13N2O4S</v>
      </c>
      <c r="K13" s="25">
        <f>'PFAS Properties'!$P$15</f>
        <v>570.08529999999996</v>
      </c>
      <c r="L13" s="2">
        <f>'PFAS Properties'!$X$15</f>
        <v>2.2999999999999998</v>
      </c>
      <c r="M13" s="2">
        <f>'PFAS Properties'!$Y$15</f>
        <v>11.1</v>
      </c>
      <c r="N13" s="33">
        <f t="shared" si="0"/>
        <v>7.9416347001524248E-6</v>
      </c>
      <c r="O13" s="33">
        <f t="shared" si="1"/>
        <v>0.99979257352082673</v>
      </c>
      <c r="P13" s="33">
        <f t="shared" si="2"/>
        <v>1.9948484447318617E-4</v>
      </c>
      <c r="Q13" s="33">
        <v>0</v>
      </c>
      <c r="R13" s="33">
        <v>0</v>
      </c>
      <c r="S13" s="33">
        <v>0</v>
      </c>
      <c r="T13" s="8">
        <f t="shared" si="3"/>
        <v>1.0000000000000002</v>
      </c>
      <c r="U13" s="33">
        <f t="shared" si="4"/>
        <v>1.0000000000000002</v>
      </c>
      <c r="V13" s="33">
        <f t="shared" si="5"/>
        <v>-1.0001915432097732</v>
      </c>
      <c r="W13" s="33">
        <f t="shared" si="6"/>
        <v>570.08510845679029</v>
      </c>
      <c r="X13" s="33">
        <v>96485</v>
      </c>
      <c r="Y13" s="16">
        <f t="shared" si="7"/>
        <v>-3.2418048324354722E-2</v>
      </c>
      <c r="Z13" s="16">
        <v>15</v>
      </c>
      <c r="AA13" s="16">
        <v>13</v>
      </c>
      <c r="AB13" s="8">
        <f t="shared" si="8"/>
        <v>0.72874493927125494</v>
      </c>
      <c r="AC13" s="16">
        <f t="shared" si="9"/>
        <v>43.326849508310431</v>
      </c>
      <c r="AD13" s="20">
        <f>'PFAS Properties'!$W$15</f>
        <v>6</v>
      </c>
      <c r="AE13" s="8">
        <f>'PFAS Properties'!$S$15</f>
        <v>3.3010299956639813</v>
      </c>
      <c r="AF13" s="2">
        <f>'PFAS Properties'!$V$15</f>
        <v>4.8</v>
      </c>
      <c r="AG13" s="24">
        <v>7.4</v>
      </c>
      <c r="AH13" s="2" t="s">
        <v>183</v>
      </c>
      <c r="AI13" s="2" t="s">
        <v>661</v>
      </c>
      <c r="AJ13" s="2" t="s">
        <v>661</v>
      </c>
      <c r="AK13" s="2" t="s">
        <v>661</v>
      </c>
      <c r="AL13" s="2" t="s">
        <v>661</v>
      </c>
      <c r="AM13" s="2" t="s">
        <v>661</v>
      </c>
      <c r="AN13" s="2" t="s">
        <v>661</v>
      </c>
      <c r="AO13" s="2" t="s">
        <v>661</v>
      </c>
      <c r="AP13" s="15">
        <v>29.6</v>
      </c>
      <c r="AQ13" s="2" t="s">
        <v>661</v>
      </c>
      <c r="AR13" s="16">
        <v>39.799999999999997</v>
      </c>
      <c r="AS13" s="16">
        <v>7.7</v>
      </c>
      <c r="AT13" s="16">
        <v>52.5</v>
      </c>
      <c r="AU13" s="2" t="s">
        <v>661</v>
      </c>
      <c r="AV13" s="16">
        <f t="shared" si="10"/>
        <v>100</v>
      </c>
      <c r="AW13" s="18">
        <v>2.23</v>
      </c>
      <c r="AX13" s="13">
        <f t="shared" si="14"/>
        <v>2.23E-2</v>
      </c>
      <c r="AY13" s="8" t="s">
        <v>184</v>
      </c>
      <c r="AZ13" s="16">
        <v>100</v>
      </c>
      <c r="BA13" s="16" t="s">
        <v>55</v>
      </c>
      <c r="BB13" s="15">
        <v>5</v>
      </c>
      <c r="BC13" s="16" t="s">
        <v>55</v>
      </c>
      <c r="BD13" s="24">
        <v>0.44</v>
      </c>
      <c r="BE13" s="16">
        <f t="shared" si="11"/>
        <v>19.730941704035875</v>
      </c>
      <c r="BF13" s="16">
        <f t="shared" si="12"/>
        <v>1.2951478134380268</v>
      </c>
      <c r="BG13" s="8">
        <f t="shared" si="13"/>
        <v>-0.35654732351381258</v>
      </c>
      <c r="BH13" s="13" t="s">
        <v>345</v>
      </c>
      <c r="BI13" s="13"/>
      <c r="BJ13" s="13"/>
      <c r="BK13" s="15"/>
      <c r="BL13" s="13"/>
      <c r="BM13" s="17"/>
      <c r="BN13" s="17"/>
      <c r="BO13" s="2"/>
    </row>
    <row r="14" spans="1:67" s="14" customFormat="1" x14ac:dyDescent="0.3">
      <c r="A14" s="20">
        <v>12</v>
      </c>
      <c r="B14" s="2" t="s">
        <v>181</v>
      </c>
      <c r="C14" s="2">
        <v>2020</v>
      </c>
      <c r="D14" s="2" t="s">
        <v>203</v>
      </c>
      <c r="E14" s="10" t="s">
        <v>787</v>
      </c>
      <c r="F14" s="20" t="s">
        <v>29</v>
      </c>
      <c r="G14" s="2" t="s">
        <v>60</v>
      </c>
      <c r="H14" s="2" t="str">
        <f>'PFAS Properties'!$B$15</f>
        <v>6:2 FtSaB</v>
      </c>
      <c r="I14" s="2" t="str">
        <f>'PFAS Properties'!$C$15</f>
        <v>Betaine</v>
      </c>
      <c r="J14" s="2" t="str">
        <f>'PFAS Properties'!$D$15</f>
        <v>C15H19F13N2O4S</v>
      </c>
      <c r="K14" s="25">
        <f>'PFAS Properties'!$P$15</f>
        <v>570.08529999999996</v>
      </c>
      <c r="L14" s="2">
        <f>'PFAS Properties'!$X$15</f>
        <v>2.2999999999999998</v>
      </c>
      <c r="M14" s="2">
        <f>'PFAS Properties'!$Y$15</f>
        <v>11.1</v>
      </c>
      <c r="N14" s="33">
        <f t="shared" si="0"/>
        <v>3.9794716067914713E-6</v>
      </c>
      <c r="O14" s="33">
        <f t="shared" si="1"/>
        <v>0.999598073367714</v>
      </c>
      <c r="P14" s="33">
        <f t="shared" si="2"/>
        <v>3.9794716067914794E-4</v>
      </c>
      <c r="Q14" s="33">
        <v>0</v>
      </c>
      <c r="R14" s="33">
        <v>0</v>
      </c>
      <c r="S14" s="33">
        <v>0</v>
      </c>
      <c r="T14" s="8">
        <f t="shared" si="3"/>
        <v>1</v>
      </c>
      <c r="U14" s="33">
        <f t="shared" si="4"/>
        <v>1</v>
      </c>
      <c r="V14" s="33">
        <f t="shared" si="5"/>
        <v>-1.0003939676890723</v>
      </c>
      <c r="W14" s="33">
        <f t="shared" si="6"/>
        <v>570.08490603231076</v>
      </c>
      <c r="X14" s="33">
        <v>96485</v>
      </c>
      <c r="Y14" s="16">
        <f t="shared" si="7"/>
        <v>-6.6677738838407177E-2</v>
      </c>
      <c r="Z14" s="16">
        <v>15</v>
      </c>
      <c r="AA14" s="16">
        <v>13</v>
      </c>
      <c r="AB14" s="8">
        <f t="shared" si="8"/>
        <v>0.72874493927125494</v>
      </c>
      <c r="AC14" s="16">
        <f t="shared" si="9"/>
        <v>43.326849508310431</v>
      </c>
      <c r="AD14" s="20">
        <f>'PFAS Properties'!$W$15</f>
        <v>6</v>
      </c>
      <c r="AE14" s="8">
        <f>'PFAS Properties'!$S$15</f>
        <v>3.3010299956639813</v>
      </c>
      <c r="AF14" s="2">
        <f>'PFAS Properties'!$V$15</f>
        <v>4.8</v>
      </c>
      <c r="AG14" s="24">
        <v>7.7</v>
      </c>
      <c r="AH14" s="2" t="s">
        <v>183</v>
      </c>
      <c r="AI14" s="2" t="s">
        <v>661</v>
      </c>
      <c r="AJ14" s="2" t="s">
        <v>661</v>
      </c>
      <c r="AK14" s="2" t="s">
        <v>661</v>
      </c>
      <c r="AL14" s="2" t="s">
        <v>661</v>
      </c>
      <c r="AM14" s="2" t="s">
        <v>661</v>
      </c>
      <c r="AN14" s="2" t="s">
        <v>661</v>
      </c>
      <c r="AO14" s="2" t="s">
        <v>661</v>
      </c>
      <c r="AP14" s="15">
        <v>21.63</v>
      </c>
      <c r="AQ14" s="2" t="s">
        <v>661</v>
      </c>
      <c r="AR14" s="16">
        <v>70</v>
      </c>
      <c r="AS14" s="16">
        <v>11</v>
      </c>
      <c r="AT14" s="16">
        <v>19</v>
      </c>
      <c r="AU14" s="2" t="s">
        <v>661</v>
      </c>
      <c r="AV14" s="16">
        <f t="shared" si="10"/>
        <v>100</v>
      </c>
      <c r="AW14" s="18">
        <v>4.9000000000000004</v>
      </c>
      <c r="AX14" s="13">
        <f t="shared" si="14"/>
        <v>4.9000000000000002E-2</v>
      </c>
      <c r="AY14" s="8" t="s">
        <v>184</v>
      </c>
      <c r="AZ14" s="16">
        <v>100</v>
      </c>
      <c r="BA14" s="16" t="s">
        <v>55</v>
      </c>
      <c r="BB14" s="15">
        <v>5</v>
      </c>
      <c r="BC14" s="16" t="s">
        <v>55</v>
      </c>
      <c r="BD14" s="24">
        <v>1.22</v>
      </c>
      <c r="BE14" s="16">
        <f t="shared" ref="BE14:BE77" si="15">BD14/AX14</f>
        <v>24.897959183673468</v>
      </c>
      <c r="BF14" s="16">
        <f t="shared" ref="BF14:BF77" si="16">LOG(BE14)</f>
        <v>1.3961637506462345</v>
      </c>
      <c r="BG14" s="8">
        <f t="shared" ref="BG14:BG77" si="17">LOG(BD14)</f>
        <v>8.6359830674748214E-2</v>
      </c>
      <c r="BH14" s="13" t="s">
        <v>345</v>
      </c>
      <c r="BI14" s="13"/>
      <c r="BJ14" s="13"/>
      <c r="BK14" s="15"/>
      <c r="BL14" s="13"/>
      <c r="BM14" s="17"/>
      <c r="BN14" s="17"/>
      <c r="BO14" s="2"/>
    </row>
    <row r="15" spans="1:67" s="14" customFormat="1" x14ac:dyDescent="0.3">
      <c r="A15" s="20">
        <v>13</v>
      </c>
      <c r="B15" s="2" t="s">
        <v>181</v>
      </c>
      <c r="C15" s="2">
        <v>2020</v>
      </c>
      <c r="D15" s="2" t="s">
        <v>203</v>
      </c>
      <c r="E15" s="10" t="s">
        <v>787</v>
      </c>
      <c r="F15" s="20" t="s">
        <v>29</v>
      </c>
      <c r="G15" s="2" t="s">
        <v>77</v>
      </c>
      <c r="H15" s="2" t="str">
        <f>'PFAS Properties'!$B$15</f>
        <v>6:2 FtSaB</v>
      </c>
      <c r="I15" s="2" t="str">
        <f>'PFAS Properties'!$C$15</f>
        <v>Betaine</v>
      </c>
      <c r="J15" s="2" t="str">
        <f>'PFAS Properties'!$D$15</f>
        <v>C15H19F13N2O4S</v>
      </c>
      <c r="K15" s="25">
        <f>'PFAS Properties'!$P$15</f>
        <v>570.08529999999996</v>
      </c>
      <c r="L15" s="2">
        <f>'PFAS Properties'!$X$15</f>
        <v>2.2999999999999998</v>
      </c>
      <c r="M15" s="2">
        <f>'PFAS Properties'!$Y$15</f>
        <v>11.1</v>
      </c>
      <c r="N15" s="33">
        <f t="shared" si="0"/>
        <v>3.9794716067914713E-6</v>
      </c>
      <c r="O15" s="33">
        <f t="shared" si="1"/>
        <v>0.999598073367714</v>
      </c>
      <c r="P15" s="33">
        <f t="shared" si="2"/>
        <v>3.9794716067914794E-4</v>
      </c>
      <c r="Q15" s="33">
        <v>0</v>
      </c>
      <c r="R15" s="33">
        <v>0</v>
      </c>
      <c r="S15" s="33">
        <v>0</v>
      </c>
      <c r="T15" s="8">
        <f t="shared" ref="T15:T46" si="18">SUM(N15:S15)</f>
        <v>1</v>
      </c>
      <c r="U15" s="33">
        <f t="shared" si="4"/>
        <v>1</v>
      </c>
      <c r="V15" s="33">
        <f t="shared" si="5"/>
        <v>-1.0003939676890723</v>
      </c>
      <c r="W15" s="33">
        <f t="shared" si="6"/>
        <v>570.08490603231076</v>
      </c>
      <c r="X15" s="33">
        <v>96485</v>
      </c>
      <c r="Y15" s="16">
        <f t="shared" si="7"/>
        <v>-6.6677738838407177E-2</v>
      </c>
      <c r="Z15" s="16">
        <v>15</v>
      </c>
      <c r="AA15" s="16">
        <v>13</v>
      </c>
      <c r="AB15" s="8">
        <f t="shared" si="8"/>
        <v>0.72874493927125494</v>
      </c>
      <c r="AC15" s="16">
        <f t="shared" si="9"/>
        <v>43.326849508310431</v>
      </c>
      <c r="AD15" s="20">
        <f>'PFAS Properties'!$W$15</f>
        <v>6</v>
      </c>
      <c r="AE15" s="8">
        <f>'PFAS Properties'!$S$15</f>
        <v>3.3010299956639813</v>
      </c>
      <c r="AF15" s="2">
        <f>'PFAS Properties'!$V$15</f>
        <v>4.8</v>
      </c>
      <c r="AG15" s="24">
        <v>7.7</v>
      </c>
      <c r="AH15" s="2" t="s">
        <v>183</v>
      </c>
      <c r="AI15" s="2" t="s">
        <v>661</v>
      </c>
      <c r="AJ15" s="2" t="s">
        <v>661</v>
      </c>
      <c r="AK15" s="2" t="s">
        <v>661</v>
      </c>
      <c r="AL15" s="2" t="s">
        <v>661</v>
      </c>
      <c r="AM15" s="2" t="s">
        <v>661</v>
      </c>
      <c r="AN15" s="2" t="s">
        <v>661</v>
      </c>
      <c r="AO15" s="2" t="s">
        <v>661</v>
      </c>
      <c r="AP15" s="15">
        <v>7.8</v>
      </c>
      <c r="AQ15" s="2" t="s">
        <v>661</v>
      </c>
      <c r="AR15" s="16">
        <v>48.9</v>
      </c>
      <c r="AS15" s="16">
        <v>32.6</v>
      </c>
      <c r="AT15" s="16">
        <v>18.5</v>
      </c>
      <c r="AU15" s="2" t="s">
        <v>661</v>
      </c>
      <c r="AV15" s="16">
        <f t="shared" si="10"/>
        <v>100</v>
      </c>
      <c r="AW15" s="18">
        <v>0.13</v>
      </c>
      <c r="AX15" s="13">
        <f t="shared" si="14"/>
        <v>1.2999999999999999E-3</v>
      </c>
      <c r="AY15" s="8" t="s">
        <v>184</v>
      </c>
      <c r="AZ15" s="16">
        <v>100</v>
      </c>
      <c r="BA15" s="16" t="s">
        <v>55</v>
      </c>
      <c r="BB15" s="15">
        <v>5</v>
      </c>
      <c r="BC15" s="16" t="s">
        <v>55</v>
      </c>
      <c r="BD15" s="24">
        <v>1.4</v>
      </c>
      <c r="BE15" s="16">
        <f t="shared" si="15"/>
        <v>1076.9230769230769</v>
      </c>
      <c r="BF15" s="16">
        <f t="shared" si="16"/>
        <v>3.0321846833714012</v>
      </c>
      <c r="BG15" s="8">
        <f t="shared" si="17"/>
        <v>0.14612803567823801</v>
      </c>
      <c r="BH15" s="13" t="s">
        <v>345</v>
      </c>
      <c r="BI15" s="13"/>
      <c r="BJ15" s="13"/>
      <c r="BK15" s="15"/>
      <c r="BL15" s="13"/>
      <c r="BM15" s="17"/>
      <c r="BN15" s="17"/>
      <c r="BO15" s="2"/>
    </row>
    <row r="16" spans="1:67" s="14" customFormat="1" x14ac:dyDescent="0.3">
      <c r="A16" s="20">
        <v>14</v>
      </c>
      <c r="B16" s="2" t="s">
        <v>181</v>
      </c>
      <c r="C16" s="2">
        <v>2020</v>
      </c>
      <c r="D16" s="2" t="s">
        <v>203</v>
      </c>
      <c r="E16" s="10" t="s">
        <v>787</v>
      </c>
      <c r="F16" s="20" t="s">
        <v>29</v>
      </c>
      <c r="G16" s="2" t="s">
        <v>182</v>
      </c>
      <c r="H16" s="2" t="str">
        <f>'PFAS Properties'!$B$15</f>
        <v>6:2 FtSaB</v>
      </c>
      <c r="I16" s="2" t="str">
        <f>'PFAS Properties'!$C$15</f>
        <v>Betaine</v>
      </c>
      <c r="J16" s="2" t="str">
        <f>'PFAS Properties'!$D$15</f>
        <v>C15H19F13N2O4S</v>
      </c>
      <c r="K16" s="25">
        <f>'PFAS Properties'!$P$15</f>
        <v>570.08529999999996</v>
      </c>
      <c r="L16" s="2">
        <f>'PFAS Properties'!$X$15</f>
        <v>2.2999999999999998</v>
      </c>
      <c r="M16" s="2">
        <f>'PFAS Properties'!$Y$15</f>
        <v>11.1</v>
      </c>
      <c r="N16" s="33">
        <f t="shared" si="0"/>
        <v>6.307949159143065E-6</v>
      </c>
      <c r="O16" s="33">
        <f t="shared" si="1"/>
        <v>0.99974256807166673</v>
      </c>
      <c r="P16" s="33">
        <f t="shared" si="2"/>
        <v>2.5112397917417638E-4</v>
      </c>
      <c r="Q16" s="33">
        <v>0</v>
      </c>
      <c r="R16" s="33">
        <v>0</v>
      </c>
      <c r="S16" s="33">
        <v>0</v>
      </c>
      <c r="T16" s="8">
        <f t="shared" si="18"/>
        <v>1</v>
      </c>
      <c r="U16" s="33">
        <f t="shared" si="4"/>
        <v>1</v>
      </c>
      <c r="V16" s="33">
        <f t="shared" si="5"/>
        <v>-1.000244816030015</v>
      </c>
      <c r="W16" s="33">
        <f t="shared" si="6"/>
        <v>570.08505518396998</v>
      </c>
      <c r="X16" s="33">
        <v>96485</v>
      </c>
      <c r="Y16" s="16">
        <f t="shared" si="7"/>
        <v>-4.1434299042231892E-2</v>
      </c>
      <c r="Z16" s="16">
        <v>15</v>
      </c>
      <c r="AA16" s="16">
        <v>13</v>
      </c>
      <c r="AB16" s="8">
        <f t="shared" si="8"/>
        <v>0.72874493927125494</v>
      </c>
      <c r="AC16" s="16">
        <f t="shared" si="9"/>
        <v>43.326849508310431</v>
      </c>
      <c r="AD16" s="20">
        <f>'PFAS Properties'!$W$15</f>
        <v>6</v>
      </c>
      <c r="AE16" s="8">
        <f>'PFAS Properties'!$S$15</f>
        <v>3.3010299956639813</v>
      </c>
      <c r="AF16" s="2">
        <f>'PFAS Properties'!$V$15</f>
        <v>4.8</v>
      </c>
      <c r="AG16" s="24">
        <v>7.5</v>
      </c>
      <c r="AH16" s="2" t="s">
        <v>183</v>
      </c>
      <c r="AI16" s="2" t="s">
        <v>661</v>
      </c>
      <c r="AJ16" s="2" t="s">
        <v>661</v>
      </c>
      <c r="AK16" s="2" t="s">
        <v>661</v>
      </c>
      <c r="AL16" s="2" t="s">
        <v>661</v>
      </c>
      <c r="AM16" s="2" t="s">
        <v>661</v>
      </c>
      <c r="AN16" s="2" t="s">
        <v>661</v>
      </c>
      <c r="AO16" s="2" t="s">
        <v>661</v>
      </c>
      <c r="AP16" s="15">
        <v>2.2799999999999998</v>
      </c>
      <c r="AQ16" s="2" t="s">
        <v>661</v>
      </c>
      <c r="AR16" s="16">
        <v>93</v>
      </c>
      <c r="AS16" s="16">
        <v>1</v>
      </c>
      <c r="AT16" s="16">
        <v>5</v>
      </c>
      <c r="AU16" s="2" t="s">
        <v>661</v>
      </c>
      <c r="AV16" s="16">
        <f t="shared" si="10"/>
        <v>99</v>
      </c>
      <c r="AW16" s="18">
        <v>0.4</v>
      </c>
      <c r="AX16" s="13">
        <f t="shared" si="14"/>
        <v>4.0000000000000001E-3</v>
      </c>
      <c r="AY16" s="8" t="s">
        <v>184</v>
      </c>
      <c r="AZ16" s="16">
        <v>100</v>
      </c>
      <c r="BA16" s="16" t="s">
        <v>55</v>
      </c>
      <c r="BB16" s="15">
        <v>5</v>
      </c>
      <c r="BC16" s="16" t="s">
        <v>55</v>
      </c>
      <c r="BD16" s="24">
        <v>1.52</v>
      </c>
      <c r="BE16" s="16">
        <f t="shared" si="15"/>
        <v>380</v>
      </c>
      <c r="BF16" s="16">
        <f t="shared" si="16"/>
        <v>2.5797835966168101</v>
      </c>
      <c r="BG16" s="8">
        <f t="shared" si="17"/>
        <v>0.18184358794477254</v>
      </c>
      <c r="BH16" s="13" t="s">
        <v>345</v>
      </c>
      <c r="BI16" s="13"/>
      <c r="BJ16" s="13"/>
      <c r="BK16" s="15"/>
      <c r="BL16" s="13"/>
      <c r="BM16" s="17"/>
      <c r="BN16" s="17"/>
      <c r="BO16" s="2"/>
    </row>
    <row r="17" spans="1:67" s="14" customFormat="1" x14ac:dyDescent="0.3">
      <c r="A17" s="20">
        <v>15</v>
      </c>
      <c r="B17" s="2" t="s">
        <v>181</v>
      </c>
      <c r="C17" s="2">
        <v>2020</v>
      </c>
      <c r="D17" s="2" t="s">
        <v>203</v>
      </c>
      <c r="E17" s="10" t="s">
        <v>787</v>
      </c>
      <c r="F17" s="20" t="s">
        <v>29</v>
      </c>
      <c r="G17" s="2" t="s">
        <v>78</v>
      </c>
      <c r="H17" s="2" t="str">
        <f>'PFAS Properties'!$B$15</f>
        <v>6:2 FtSaB</v>
      </c>
      <c r="I17" s="2" t="str">
        <f>'PFAS Properties'!$C$15</f>
        <v>Betaine</v>
      </c>
      <c r="J17" s="2" t="str">
        <f>'PFAS Properties'!$D$15</f>
        <v>C15H19F13N2O4S</v>
      </c>
      <c r="K17" s="25">
        <f>'PFAS Properties'!$P$15</f>
        <v>570.08529999999996</v>
      </c>
      <c r="L17" s="2">
        <f>'PFAS Properties'!$X$15</f>
        <v>2.2999999999999998</v>
      </c>
      <c r="M17" s="2">
        <f>'PFAS Properties'!$Y$15</f>
        <v>11.1</v>
      </c>
      <c r="N17" s="33">
        <f t="shared" si="0"/>
        <v>1.5847096055459E-5</v>
      </c>
      <c r="O17" s="33">
        <f t="shared" si="1"/>
        <v>0.99988416448749573</v>
      </c>
      <c r="P17" s="33">
        <f t="shared" si="2"/>
        <v>9.9988416448749568E-5</v>
      </c>
      <c r="Q17" s="33">
        <v>0</v>
      </c>
      <c r="R17" s="33">
        <v>0</v>
      </c>
      <c r="S17" s="33">
        <v>0</v>
      </c>
      <c r="T17" s="8">
        <f t="shared" si="18"/>
        <v>1</v>
      </c>
      <c r="U17" s="33">
        <f t="shared" si="4"/>
        <v>1</v>
      </c>
      <c r="V17" s="33">
        <f t="shared" si="5"/>
        <v>-1.0000841413203931</v>
      </c>
      <c r="W17" s="33">
        <f t="shared" si="6"/>
        <v>570.08521585867948</v>
      </c>
      <c r="X17" s="33">
        <v>96485</v>
      </c>
      <c r="Y17" s="16">
        <f t="shared" si="7"/>
        <v>-1.4240634684595049E-2</v>
      </c>
      <c r="Z17" s="16">
        <v>15</v>
      </c>
      <c r="AA17" s="16">
        <v>13</v>
      </c>
      <c r="AB17" s="8">
        <f t="shared" si="8"/>
        <v>0.72874493927125494</v>
      </c>
      <c r="AC17" s="16">
        <f t="shared" si="9"/>
        <v>43.326849508310431</v>
      </c>
      <c r="AD17" s="20">
        <f>'PFAS Properties'!$W$15</f>
        <v>6</v>
      </c>
      <c r="AE17" s="8">
        <f>'PFAS Properties'!$S$15</f>
        <v>3.3010299956639813</v>
      </c>
      <c r="AF17" s="2">
        <f>'PFAS Properties'!$V$15</f>
        <v>4.8</v>
      </c>
      <c r="AG17" s="24">
        <v>7.1</v>
      </c>
      <c r="AH17" s="2" t="s">
        <v>183</v>
      </c>
      <c r="AI17" s="2" t="s">
        <v>661</v>
      </c>
      <c r="AJ17" s="2" t="s">
        <v>661</v>
      </c>
      <c r="AK17" s="2" t="s">
        <v>661</v>
      </c>
      <c r="AL17" s="2" t="s">
        <v>661</v>
      </c>
      <c r="AM17" s="2" t="s">
        <v>661</v>
      </c>
      <c r="AN17" s="2" t="s">
        <v>661</v>
      </c>
      <c r="AO17" s="2" t="s">
        <v>661</v>
      </c>
      <c r="AP17" s="15">
        <v>17.420000000000002</v>
      </c>
      <c r="AQ17" s="2" t="s">
        <v>661</v>
      </c>
      <c r="AR17" s="16">
        <v>48.86</v>
      </c>
      <c r="AS17" s="16">
        <v>16.05</v>
      </c>
      <c r="AT17" s="16">
        <v>35.090000000000003</v>
      </c>
      <c r="AU17" s="2" t="s">
        <v>661</v>
      </c>
      <c r="AV17" s="16">
        <f t="shared" si="10"/>
        <v>100</v>
      </c>
      <c r="AW17" s="18">
        <v>1.19</v>
      </c>
      <c r="AX17" s="13">
        <f t="shared" si="14"/>
        <v>1.1899999999999999E-2</v>
      </c>
      <c r="AY17" s="8" t="s">
        <v>184</v>
      </c>
      <c r="AZ17" s="16">
        <v>100</v>
      </c>
      <c r="BA17" s="16" t="s">
        <v>55</v>
      </c>
      <c r="BB17" s="15">
        <v>5</v>
      </c>
      <c r="BC17" s="16" t="s">
        <v>55</v>
      </c>
      <c r="BD17" s="24">
        <v>1.35</v>
      </c>
      <c r="BE17" s="16">
        <f t="shared" si="15"/>
        <v>113.44537815126051</v>
      </c>
      <c r="BF17" s="16">
        <f t="shared" si="16"/>
        <v>2.0547868071024755</v>
      </c>
      <c r="BG17" s="8">
        <f t="shared" si="17"/>
        <v>0.13033376849500614</v>
      </c>
      <c r="BH17" s="13" t="s">
        <v>345</v>
      </c>
      <c r="BI17" s="13"/>
      <c r="BJ17" s="13"/>
      <c r="BK17" s="15"/>
      <c r="BL17" s="13"/>
      <c r="BM17" s="17"/>
      <c r="BN17" s="17"/>
      <c r="BO17" s="2"/>
    </row>
    <row r="18" spans="1:67" s="14" customFormat="1" x14ac:dyDescent="0.3">
      <c r="A18" s="20">
        <v>16</v>
      </c>
      <c r="B18" s="2" t="s">
        <v>181</v>
      </c>
      <c r="C18" s="2">
        <v>2020</v>
      </c>
      <c r="D18" s="2" t="s">
        <v>203</v>
      </c>
      <c r="E18" s="10" t="s">
        <v>787</v>
      </c>
      <c r="F18" s="20" t="s">
        <v>29</v>
      </c>
      <c r="G18" s="2" t="s">
        <v>98</v>
      </c>
      <c r="H18" s="2" t="str">
        <f>'PFAS Properties'!$B$15</f>
        <v>6:2 FtSaB</v>
      </c>
      <c r="I18" s="2" t="str">
        <f>'PFAS Properties'!$C$15</f>
        <v>Betaine</v>
      </c>
      <c r="J18" s="2" t="str">
        <f>'PFAS Properties'!$D$15</f>
        <v>C15H19F13N2O4S</v>
      </c>
      <c r="K18" s="25">
        <f>'PFAS Properties'!$P$15</f>
        <v>570.08529999999996</v>
      </c>
      <c r="L18" s="2">
        <f>'PFAS Properties'!$X$15</f>
        <v>2.2999999999999998</v>
      </c>
      <c r="M18" s="2">
        <f>'PFAS Properties'!$Y$15</f>
        <v>11.1</v>
      </c>
      <c r="N18" s="33">
        <f t="shared" si="0"/>
        <v>7.9424929790307874E-5</v>
      </c>
      <c r="O18" s="33">
        <f t="shared" si="1"/>
        <v>0.99990062442986338</v>
      </c>
      <c r="P18" s="33">
        <f t="shared" si="2"/>
        <v>1.9950640346387579E-5</v>
      </c>
      <c r="Q18" s="33">
        <v>0</v>
      </c>
      <c r="R18" s="33">
        <v>0</v>
      </c>
      <c r="S18" s="33">
        <v>0</v>
      </c>
      <c r="T18" s="8">
        <f t="shared" si="18"/>
        <v>1</v>
      </c>
      <c r="U18" s="33">
        <f t="shared" si="4"/>
        <v>1</v>
      </c>
      <c r="V18" s="33">
        <f t="shared" si="5"/>
        <v>-0.99994052571055614</v>
      </c>
      <c r="W18" s="33">
        <f t="shared" si="6"/>
        <v>570.08535947428948</v>
      </c>
      <c r="X18" s="33">
        <v>96485</v>
      </c>
      <c r="Y18" s="16">
        <f t="shared" si="7"/>
        <v>1.0065820357643794E-2</v>
      </c>
      <c r="Z18" s="16">
        <v>15</v>
      </c>
      <c r="AA18" s="16">
        <v>13</v>
      </c>
      <c r="AB18" s="8">
        <f t="shared" si="8"/>
        <v>0.72874493927125494</v>
      </c>
      <c r="AC18" s="16">
        <f t="shared" si="9"/>
        <v>43.326849508310431</v>
      </c>
      <c r="AD18" s="20">
        <f>'PFAS Properties'!$W$15</f>
        <v>6</v>
      </c>
      <c r="AE18" s="8">
        <f>'PFAS Properties'!$S$15</f>
        <v>3.3010299956639813</v>
      </c>
      <c r="AF18" s="2">
        <f>'PFAS Properties'!$V$15</f>
        <v>4.8</v>
      </c>
      <c r="AG18" s="24">
        <v>6.4</v>
      </c>
      <c r="AH18" s="2" t="s">
        <v>183</v>
      </c>
      <c r="AI18" s="2" t="s">
        <v>661</v>
      </c>
      <c r="AJ18" s="15" t="s">
        <v>661</v>
      </c>
      <c r="AK18" s="8" t="s">
        <v>661</v>
      </c>
      <c r="AL18" s="2" t="s">
        <v>661</v>
      </c>
      <c r="AM18" s="15" t="s">
        <v>661</v>
      </c>
      <c r="AN18" s="8" t="s">
        <v>661</v>
      </c>
      <c r="AO18" s="15" t="s">
        <v>661</v>
      </c>
      <c r="AP18" s="15">
        <v>16.54</v>
      </c>
      <c r="AQ18" s="13" t="s">
        <v>661</v>
      </c>
      <c r="AR18" s="16">
        <v>29.38</v>
      </c>
      <c r="AS18" s="16">
        <v>13.9</v>
      </c>
      <c r="AT18" s="16">
        <v>56.71</v>
      </c>
      <c r="AU18" s="15" t="s">
        <v>661</v>
      </c>
      <c r="AV18" s="16">
        <f t="shared" si="10"/>
        <v>99.990000000000009</v>
      </c>
      <c r="AW18" s="18">
        <v>0.17</v>
      </c>
      <c r="AX18" s="13">
        <f t="shared" si="14"/>
        <v>1.7000000000000001E-3</v>
      </c>
      <c r="AY18" s="8" t="s">
        <v>184</v>
      </c>
      <c r="AZ18" s="16">
        <v>100</v>
      </c>
      <c r="BA18" s="16" t="s">
        <v>55</v>
      </c>
      <c r="BB18" s="15">
        <v>5</v>
      </c>
      <c r="BC18" s="16" t="s">
        <v>55</v>
      </c>
      <c r="BD18" s="18">
        <v>0.64</v>
      </c>
      <c r="BE18" s="16">
        <f t="shared" si="15"/>
        <v>376.47058823529409</v>
      </c>
      <c r="BF18" s="16">
        <f t="shared" si="16"/>
        <v>2.5757310526056134</v>
      </c>
      <c r="BG18" s="8">
        <f t="shared" si="17"/>
        <v>-0.19382002601611281</v>
      </c>
      <c r="BH18" s="13" t="s">
        <v>345</v>
      </c>
      <c r="BI18" s="13"/>
      <c r="BJ18" s="13"/>
      <c r="BK18" s="15"/>
      <c r="BL18" s="13"/>
      <c r="BM18" s="17"/>
      <c r="BN18" s="17"/>
      <c r="BO18" s="2"/>
    </row>
    <row r="19" spans="1:67" s="14" customFormat="1" x14ac:dyDescent="0.3">
      <c r="A19" s="20">
        <v>17</v>
      </c>
      <c r="B19" s="2" t="s">
        <v>294</v>
      </c>
      <c r="C19" s="2">
        <v>2017</v>
      </c>
      <c r="D19" s="2" t="s">
        <v>203</v>
      </c>
      <c r="E19" s="10" t="s">
        <v>789</v>
      </c>
      <c r="F19" s="20" t="s">
        <v>29</v>
      </c>
      <c r="G19" s="2">
        <v>1</v>
      </c>
      <c r="H19" s="2" t="str">
        <f>'PFAS Properties'!$B$15</f>
        <v>6:2 FtSaB</v>
      </c>
      <c r="I19" s="2" t="str">
        <f>'PFAS Properties'!$C$15</f>
        <v>Betaine</v>
      </c>
      <c r="J19" s="2" t="str">
        <f>'PFAS Properties'!$D$15</f>
        <v>C15H19F13N2O4S</v>
      </c>
      <c r="K19" s="25">
        <f>'PFAS Properties'!$P$15</f>
        <v>570.08529999999996</v>
      </c>
      <c r="L19" s="2">
        <f>'PFAS Properties'!$X$15</f>
        <v>2.2999999999999998</v>
      </c>
      <c r="M19" s="2">
        <f>'PFAS Properties'!$Y$15</f>
        <v>11.1</v>
      </c>
      <c r="N19" s="33">
        <f t="shared" si="0"/>
        <v>1.5823837009219599E-3</v>
      </c>
      <c r="O19" s="33">
        <f t="shared" si="1"/>
        <v>0.99841661788246017</v>
      </c>
      <c r="P19" s="33">
        <f t="shared" si="2"/>
        <v>9.9841661788246018E-7</v>
      </c>
      <c r="Q19" s="33">
        <v>0</v>
      </c>
      <c r="R19" s="33">
        <v>0</v>
      </c>
      <c r="S19" s="33">
        <v>0</v>
      </c>
      <c r="T19" s="8">
        <f t="shared" si="18"/>
        <v>1</v>
      </c>
      <c r="U19" s="33">
        <f t="shared" si="4"/>
        <v>1</v>
      </c>
      <c r="V19" s="33">
        <f t="shared" si="5"/>
        <v>-0.99841861471569593</v>
      </c>
      <c r="W19" s="33">
        <f t="shared" si="6"/>
        <v>570.08688138528419</v>
      </c>
      <c r="X19" s="33">
        <v>96485</v>
      </c>
      <c r="Y19" s="16">
        <f t="shared" si="7"/>
        <v>0.26764334373967036</v>
      </c>
      <c r="Z19" s="16">
        <v>15</v>
      </c>
      <c r="AA19" s="16">
        <v>13</v>
      </c>
      <c r="AB19" s="8">
        <f t="shared" si="8"/>
        <v>0.72874493927125494</v>
      </c>
      <c r="AC19" s="16">
        <f t="shared" si="9"/>
        <v>43.326849508310431</v>
      </c>
      <c r="AD19" s="20">
        <f>'PFAS Properties'!$W$15</f>
        <v>6</v>
      </c>
      <c r="AE19" s="8">
        <f>'PFAS Properties'!$S$15</f>
        <v>3.3010299956639813</v>
      </c>
      <c r="AF19" s="2">
        <f>'PFAS Properties'!$V$15</f>
        <v>4.8</v>
      </c>
      <c r="AG19" s="24">
        <v>5.0999999999999996</v>
      </c>
      <c r="AH19" s="2" t="s">
        <v>831</v>
      </c>
      <c r="AI19" s="2" t="s">
        <v>661</v>
      </c>
      <c r="AJ19" s="2" t="s">
        <v>661</v>
      </c>
      <c r="AK19" s="2" t="s">
        <v>661</v>
      </c>
      <c r="AL19" s="2" t="s">
        <v>661</v>
      </c>
      <c r="AM19" s="2" t="s">
        <v>661</v>
      </c>
      <c r="AN19" s="2" t="s">
        <v>661</v>
      </c>
      <c r="AO19" s="2" t="s">
        <v>661</v>
      </c>
      <c r="AP19" s="15">
        <v>14</v>
      </c>
      <c r="AQ19" s="16" t="s">
        <v>712</v>
      </c>
      <c r="AR19" s="16">
        <v>6.3</v>
      </c>
      <c r="AS19" s="16">
        <v>71</v>
      </c>
      <c r="AT19" s="16">
        <v>22</v>
      </c>
      <c r="AU19" s="2" t="s">
        <v>661</v>
      </c>
      <c r="AV19" s="16">
        <f t="shared" si="10"/>
        <v>99.3</v>
      </c>
      <c r="AW19" s="18">
        <v>1.5</v>
      </c>
      <c r="AX19" s="13">
        <f t="shared" si="14"/>
        <v>1.4999999999999999E-2</v>
      </c>
      <c r="AY19" s="8" t="s">
        <v>295</v>
      </c>
      <c r="AZ19" s="16">
        <f t="shared" ref="AZ19:AZ37" si="19">1/0.01</f>
        <v>100</v>
      </c>
      <c r="BA19" s="16" t="s">
        <v>55</v>
      </c>
      <c r="BB19" s="15">
        <f t="shared" ref="BB19:BB24" si="20">(1.8*K19)/1000</f>
        <v>1.0261535399999999</v>
      </c>
      <c r="BC19" s="16">
        <f>(240000*K19)/1000</f>
        <v>136820.47200000001</v>
      </c>
      <c r="BD19" s="25">
        <v>31</v>
      </c>
      <c r="BE19" s="16">
        <f t="shared" si="15"/>
        <v>2066.666666666667</v>
      </c>
      <c r="BF19" s="16">
        <f t="shared" si="16"/>
        <v>3.3152704347785913</v>
      </c>
      <c r="BG19" s="8">
        <f t="shared" si="17"/>
        <v>1.4913616938342726</v>
      </c>
      <c r="BH19" s="13" t="s">
        <v>352</v>
      </c>
      <c r="BI19" s="51"/>
      <c r="BJ19" s="48"/>
      <c r="BK19" s="49"/>
      <c r="BL19" s="49"/>
      <c r="BM19" s="50"/>
      <c r="BN19" s="47"/>
      <c r="BO19" s="52"/>
    </row>
    <row r="20" spans="1:67" s="14" customFormat="1" x14ac:dyDescent="0.3">
      <c r="A20" s="20">
        <v>18</v>
      </c>
      <c r="B20" s="2" t="s">
        <v>294</v>
      </c>
      <c r="C20" s="2">
        <v>2017</v>
      </c>
      <c r="D20" s="2" t="s">
        <v>203</v>
      </c>
      <c r="E20" s="22" t="s">
        <v>789</v>
      </c>
      <c r="F20" s="20" t="s">
        <v>29</v>
      </c>
      <c r="G20" s="2">
        <v>2</v>
      </c>
      <c r="H20" s="2" t="str">
        <f>'PFAS Properties'!$B$15</f>
        <v>6:2 FtSaB</v>
      </c>
      <c r="I20" s="2" t="str">
        <f>'PFAS Properties'!$C$15</f>
        <v>Betaine</v>
      </c>
      <c r="J20" s="2" t="str">
        <f>'PFAS Properties'!$D$15</f>
        <v>C15H19F13N2O4S</v>
      </c>
      <c r="K20" s="25">
        <f>'PFAS Properties'!$P$15</f>
        <v>570.08529999999996</v>
      </c>
      <c r="L20" s="2">
        <f>'PFAS Properties'!$X$15</f>
        <v>2.2999999999999998</v>
      </c>
      <c r="M20" s="2">
        <f>'PFAS Properties'!$Y$15</f>
        <v>11.1</v>
      </c>
      <c r="N20" s="33">
        <f t="shared" si="0"/>
        <v>6.3055790544878248E-4</v>
      </c>
      <c r="O20" s="33">
        <f t="shared" si="1"/>
        <v>0.99936693179831504</v>
      </c>
      <c r="P20" s="33">
        <f t="shared" si="2"/>
        <v>2.5102962360835482E-6</v>
      </c>
      <c r="Q20" s="33">
        <v>0</v>
      </c>
      <c r="R20" s="33">
        <v>0</v>
      </c>
      <c r="S20" s="33">
        <v>0</v>
      </c>
      <c r="T20" s="8">
        <f t="shared" si="18"/>
        <v>0.99999999999999989</v>
      </c>
      <c r="U20" s="33">
        <f t="shared" si="4"/>
        <v>0.99999999999999989</v>
      </c>
      <c r="V20" s="33">
        <f t="shared" si="5"/>
        <v>-0.99937195239078724</v>
      </c>
      <c r="W20" s="33">
        <f t="shared" si="6"/>
        <v>570.08592804760917</v>
      </c>
      <c r="X20" s="33">
        <v>96485</v>
      </c>
      <c r="Y20" s="16">
        <f t="shared" si="7"/>
        <v>0.10629480678888371</v>
      </c>
      <c r="Z20" s="16">
        <v>15</v>
      </c>
      <c r="AA20" s="16">
        <v>13</v>
      </c>
      <c r="AB20" s="8">
        <f t="shared" si="8"/>
        <v>0.72874493927125494</v>
      </c>
      <c r="AC20" s="16">
        <f t="shared" si="9"/>
        <v>43.326849508310431</v>
      </c>
      <c r="AD20" s="20">
        <f>'PFAS Properties'!$W$15</f>
        <v>6</v>
      </c>
      <c r="AE20" s="8">
        <f>'PFAS Properties'!$S$15</f>
        <v>3.3010299956639813</v>
      </c>
      <c r="AF20" s="2">
        <f>'PFAS Properties'!$V$15</f>
        <v>4.8</v>
      </c>
      <c r="AG20" s="24">
        <v>5.5</v>
      </c>
      <c r="AH20" s="2" t="s">
        <v>831</v>
      </c>
      <c r="AI20" s="2" t="s">
        <v>661</v>
      </c>
      <c r="AJ20" s="2" t="s">
        <v>661</v>
      </c>
      <c r="AK20" s="2" t="s">
        <v>661</v>
      </c>
      <c r="AL20" s="2" t="s">
        <v>661</v>
      </c>
      <c r="AM20" s="2" t="s">
        <v>661</v>
      </c>
      <c r="AN20" s="2" t="s">
        <v>661</v>
      </c>
      <c r="AO20" s="2" t="s">
        <v>661</v>
      </c>
      <c r="AP20" s="15">
        <v>22</v>
      </c>
      <c r="AQ20" s="16" t="s">
        <v>712</v>
      </c>
      <c r="AR20" s="16">
        <v>10</v>
      </c>
      <c r="AS20" s="16">
        <v>64</v>
      </c>
      <c r="AT20" s="16">
        <v>26</v>
      </c>
      <c r="AU20" s="2" t="s">
        <v>661</v>
      </c>
      <c r="AV20" s="16">
        <f t="shared" si="10"/>
        <v>100</v>
      </c>
      <c r="AW20" s="18">
        <v>0.12</v>
      </c>
      <c r="AX20" s="13">
        <f t="shared" si="14"/>
        <v>1.1999999999999999E-3</v>
      </c>
      <c r="AY20" s="8" t="s">
        <v>295</v>
      </c>
      <c r="AZ20" s="16">
        <f t="shared" si="19"/>
        <v>100</v>
      </c>
      <c r="BA20" s="16" t="s">
        <v>55</v>
      </c>
      <c r="BB20" s="15">
        <f t="shared" si="20"/>
        <v>1.0261535399999999</v>
      </c>
      <c r="BC20" s="16">
        <f>(440*K20)/1000</f>
        <v>250.83753199999998</v>
      </c>
      <c r="BD20" s="25">
        <v>150</v>
      </c>
      <c r="BE20" s="16">
        <f t="shared" si="15"/>
        <v>125000.00000000001</v>
      </c>
      <c r="BF20" s="16">
        <f t="shared" si="16"/>
        <v>5.0969100130080562</v>
      </c>
      <c r="BG20" s="8">
        <f t="shared" si="17"/>
        <v>2.1760912590556813</v>
      </c>
      <c r="BH20" s="13" t="s">
        <v>352</v>
      </c>
      <c r="BI20" s="51"/>
      <c r="BJ20" s="48"/>
      <c r="BK20" s="49"/>
      <c r="BL20" s="51"/>
      <c r="BM20" s="50"/>
      <c r="BN20" s="47"/>
      <c r="BO20" s="52"/>
    </row>
    <row r="21" spans="1:67" s="14" customFormat="1" x14ac:dyDescent="0.3">
      <c r="A21" s="20">
        <v>19</v>
      </c>
      <c r="B21" s="2" t="s">
        <v>294</v>
      </c>
      <c r="C21" s="2">
        <v>2017</v>
      </c>
      <c r="D21" s="2" t="s">
        <v>203</v>
      </c>
      <c r="E21" s="22" t="s">
        <v>789</v>
      </c>
      <c r="F21" s="20" t="s">
        <v>29</v>
      </c>
      <c r="G21" s="2">
        <v>3</v>
      </c>
      <c r="H21" s="2" t="str">
        <f>'PFAS Properties'!$B$15</f>
        <v>6:2 FtSaB</v>
      </c>
      <c r="I21" s="2" t="str">
        <f>'PFAS Properties'!$C$15</f>
        <v>Betaine</v>
      </c>
      <c r="J21" s="2" t="str">
        <f>'PFAS Properties'!$D$15</f>
        <v>C15H19F13N2O4S</v>
      </c>
      <c r="K21" s="25">
        <f>'PFAS Properties'!$P$15</f>
        <v>570.08529999999996</v>
      </c>
      <c r="L21" s="2">
        <f>'PFAS Properties'!$X$15</f>
        <v>2.2999999999999998</v>
      </c>
      <c r="M21" s="2">
        <f>'PFAS Properties'!$Y$15</f>
        <v>11.1</v>
      </c>
      <c r="N21" s="33">
        <f t="shared" si="0"/>
        <v>1.5823837009219599E-3</v>
      </c>
      <c r="O21" s="33">
        <f t="shared" si="1"/>
        <v>0.99841661788246017</v>
      </c>
      <c r="P21" s="33">
        <f t="shared" si="2"/>
        <v>9.9841661788246018E-7</v>
      </c>
      <c r="Q21" s="33">
        <v>0</v>
      </c>
      <c r="R21" s="33">
        <v>0</v>
      </c>
      <c r="S21" s="33">
        <v>0</v>
      </c>
      <c r="T21" s="8">
        <f t="shared" si="18"/>
        <v>1</v>
      </c>
      <c r="U21" s="33">
        <f t="shared" si="4"/>
        <v>1</v>
      </c>
      <c r="V21" s="33">
        <f t="shared" si="5"/>
        <v>-0.99841861471569593</v>
      </c>
      <c r="W21" s="33">
        <f t="shared" si="6"/>
        <v>570.08688138528419</v>
      </c>
      <c r="X21" s="33">
        <v>96485</v>
      </c>
      <c r="Y21" s="16">
        <f t="shared" si="7"/>
        <v>0.26764334373967036</v>
      </c>
      <c r="Z21" s="16">
        <v>15</v>
      </c>
      <c r="AA21" s="16">
        <v>13</v>
      </c>
      <c r="AB21" s="8">
        <f t="shared" si="8"/>
        <v>0.72874493927125494</v>
      </c>
      <c r="AC21" s="16">
        <f t="shared" si="9"/>
        <v>43.326849508310431</v>
      </c>
      <c r="AD21" s="20">
        <f>'PFAS Properties'!$W$15</f>
        <v>6</v>
      </c>
      <c r="AE21" s="8">
        <f>'PFAS Properties'!$S$15</f>
        <v>3.3010299956639813</v>
      </c>
      <c r="AF21" s="2">
        <f>'PFAS Properties'!$V$15</f>
        <v>4.8</v>
      </c>
      <c r="AG21" s="24">
        <v>5.0999999999999996</v>
      </c>
      <c r="AH21" s="2" t="s">
        <v>831</v>
      </c>
      <c r="AI21" s="2" t="s">
        <v>661</v>
      </c>
      <c r="AJ21" s="2" t="s">
        <v>661</v>
      </c>
      <c r="AK21" s="2" t="s">
        <v>661</v>
      </c>
      <c r="AL21" s="2" t="s">
        <v>661</v>
      </c>
      <c r="AM21" s="2" t="s">
        <v>661</v>
      </c>
      <c r="AN21" s="2" t="s">
        <v>661</v>
      </c>
      <c r="AO21" s="2" t="s">
        <v>661</v>
      </c>
      <c r="AP21" s="15">
        <v>17</v>
      </c>
      <c r="AQ21" s="16" t="s">
        <v>712</v>
      </c>
      <c r="AR21" s="16">
        <v>14</v>
      </c>
      <c r="AS21" s="16">
        <v>39</v>
      </c>
      <c r="AT21" s="16">
        <v>48</v>
      </c>
      <c r="AU21" s="2" t="s">
        <v>661</v>
      </c>
      <c r="AV21" s="16">
        <f t="shared" si="10"/>
        <v>101</v>
      </c>
      <c r="AW21" s="18">
        <v>2.2999999999999998</v>
      </c>
      <c r="AX21" s="13">
        <f t="shared" si="14"/>
        <v>2.3E-2</v>
      </c>
      <c r="AY21" s="8" t="s">
        <v>295</v>
      </c>
      <c r="AZ21" s="16">
        <f t="shared" si="19"/>
        <v>100</v>
      </c>
      <c r="BA21" s="16" t="s">
        <v>55</v>
      </c>
      <c r="BB21" s="15">
        <f t="shared" si="20"/>
        <v>1.0261535399999999</v>
      </c>
      <c r="BC21" s="16">
        <f>(440*K21)/1000</f>
        <v>250.83753199999998</v>
      </c>
      <c r="BD21" s="25">
        <v>23</v>
      </c>
      <c r="BE21" s="16">
        <f t="shared" si="15"/>
        <v>1000</v>
      </c>
      <c r="BF21" s="16">
        <f t="shared" si="16"/>
        <v>3</v>
      </c>
      <c r="BG21" s="8">
        <f t="shared" si="17"/>
        <v>1.3617278360175928</v>
      </c>
      <c r="BH21" s="13" t="s">
        <v>352</v>
      </c>
      <c r="BI21" s="49"/>
      <c r="BJ21" s="48"/>
      <c r="BK21" s="49"/>
      <c r="BL21" s="49"/>
      <c r="BM21" s="50"/>
      <c r="BN21" s="47"/>
      <c r="BO21" s="52"/>
    </row>
    <row r="22" spans="1:67" s="14" customFormat="1" x14ac:dyDescent="0.3">
      <c r="A22" s="20">
        <v>20</v>
      </c>
      <c r="B22" s="2" t="s">
        <v>294</v>
      </c>
      <c r="C22" s="2">
        <v>2017</v>
      </c>
      <c r="D22" s="2" t="s">
        <v>203</v>
      </c>
      <c r="E22" s="22" t="s">
        <v>789</v>
      </c>
      <c r="F22" s="20" t="s">
        <v>29</v>
      </c>
      <c r="G22" s="2">
        <v>4</v>
      </c>
      <c r="H22" s="2" t="str">
        <f>'PFAS Properties'!$B$15</f>
        <v>6:2 FtSaB</v>
      </c>
      <c r="I22" s="2" t="str">
        <f>'PFAS Properties'!$C$15</f>
        <v>Betaine</v>
      </c>
      <c r="J22" s="2" t="str">
        <f>'PFAS Properties'!$D$15</f>
        <v>C15H19F13N2O4S</v>
      </c>
      <c r="K22" s="25">
        <f>'PFAS Properties'!$P$15</f>
        <v>570.08529999999996</v>
      </c>
      <c r="L22" s="2">
        <f>'PFAS Properties'!$X$15</f>
        <v>2.2999999999999998</v>
      </c>
      <c r="M22" s="2">
        <f>'PFAS Properties'!$Y$15</f>
        <v>11.1</v>
      </c>
      <c r="N22" s="33">
        <f t="shared" si="0"/>
        <v>1.9912875921420541E-3</v>
      </c>
      <c r="O22" s="33">
        <f t="shared" si="1"/>
        <v>0.99800791966198887</v>
      </c>
      <c r="P22" s="33">
        <f t="shared" si="2"/>
        <v>7.9274586906595983E-7</v>
      </c>
      <c r="Q22" s="33">
        <v>0</v>
      </c>
      <c r="R22" s="33">
        <v>0</v>
      </c>
      <c r="S22" s="33">
        <v>0</v>
      </c>
      <c r="T22" s="8">
        <f t="shared" si="18"/>
        <v>1</v>
      </c>
      <c r="U22" s="33">
        <f t="shared" si="4"/>
        <v>1</v>
      </c>
      <c r="V22" s="33">
        <f t="shared" si="5"/>
        <v>-0.99800950515372699</v>
      </c>
      <c r="W22" s="33">
        <f t="shared" si="6"/>
        <v>570.08729049484612</v>
      </c>
      <c r="X22" s="33">
        <v>96485</v>
      </c>
      <c r="Y22" s="16">
        <f t="shared" si="7"/>
        <v>0.33688331321321957</v>
      </c>
      <c r="Z22" s="16">
        <v>15</v>
      </c>
      <c r="AA22" s="16">
        <v>13</v>
      </c>
      <c r="AB22" s="8">
        <f t="shared" si="8"/>
        <v>0.72874493927125494</v>
      </c>
      <c r="AC22" s="16">
        <f t="shared" si="9"/>
        <v>43.326849508310431</v>
      </c>
      <c r="AD22" s="20">
        <f>'PFAS Properties'!$W$15</f>
        <v>6</v>
      </c>
      <c r="AE22" s="8">
        <f>'PFAS Properties'!$S$15</f>
        <v>3.3010299956639813</v>
      </c>
      <c r="AF22" s="2">
        <f>'PFAS Properties'!$V$15</f>
        <v>4.8</v>
      </c>
      <c r="AG22" s="24">
        <v>5</v>
      </c>
      <c r="AH22" s="2" t="s">
        <v>831</v>
      </c>
      <c r="AI22" s="2" t="s">
        <v>661</v>
      </c>
      <c r="AJ22" s="2" t="s">
        <v>661</v>
      </c>
      <c r="AK22" s="2" t="s">
        <v>661</v>
      </c>
      <c r="AL22" s="2" t="s">
        <v>661</v>
      </c>
      <c r="AM22" s="2" t="s">
        <v>661</v>
      </c>
      <c r="AN22" s="2" t="s">
        <v>661</v>
      </c>
      <c r="AO22" s="2" t="s">
        <v>661</v>
      </c>
      <c r="AP22" s="15">
        <v>36</v>
      </c>
      <c r="AQ22" s="16" t="s">
        <v>712</v>
      </c>
      <c r="AR22" s="16">
        <v>37</v>
      </c>
      <c r="AS22" s="16">
        <v>45</v>
      </c>
      <c r="AT22" s="16">
        <v>18</v>
      </c>
      <c r="AU22" s="2" t="s">
        <v>661</v>
      </c>
      <c r="AV22" s="16">
        <f t="shared" si="10"/>
        <v>100</v>
      </c>
      <c r="AW22" s="18">
        <v>7.7</v>
      </c>
      <c r="AX22" s="13">
        <f t="shared" si="14"/>
        <v>7.6999999999999999E-2</v>
      </c>
      <c r="AY22" s="8" t="s">
        <v>295</v>
      </c>
      <c r="AZ22" s="16">
        <f t="shared" si="19"/>
        <v>100</v>
      </c>
      <c r="BA22" s="16" t="s">
        <v>55</v>
      </c>
      <c r="BB22" s="15">
        <f t="shared" si="20"/>
        <v>1.0261535399999999</v>
      </c>
      <c r="BC22" s="16">
        <f>(440*K22)/1000</f>
        <v>250.83753199999998</v>
      </c>
      <c r="BD22" s="25">
        <v>60</v>
      </c>
      <c r="BE22" s="16">
        <f t="shared" si="15"/>
        <v>779.22077922077926</v>
      </c>
      <c r="BF22" s="16">
        <f t="shared" si="16"/>
        <v>2.8916605252111616</v>
      </c>
      <c r="BG22" s="8">
        <f t="shared" si="17"/>
        <v>1.7781512503836436</v>
      </c>
      <c r="BH22" s="13" t="s">
        <v>352</v>
      </c>
      <c r="BI22" s="49"/>
      <c r="BJ22" s="48"/>
      <c r="BK22" s="49"/>
      <c r="BL22" s="49"/>
      <c r="BM22" s="50"/>
      <c r="BN22" s="47"/>
      <c r="BO22" s="52"/>
    </row>
    <row r="23" spans="1:67" s="14" customFormat="1" x14ac:dyDescent="0.3">
      <c r="A23" s="20">
        <v>21</v>
      </c>
      <c r="B23" s="2" t="s">
        <v>294</v>
      </c>
      <c r="C23" s="2">
        <v>2017</v>
      </c>
      <c r="D23" s="2" t="s">
        <v>203</v>
      </c>
      <c r="E23" s="22" t="s">
        <v>789</v>
      </c>
      <c r="F23" s="20" t="s">
        <v>29</v>
      </c>
      <c r="G23" s="2">
        <v>5</v>
      </c>
      <c r="H23" s="2" t="str">
        <f>'PFAS Properties'!$B$15</f>
        <v>6:2 FtSaB</v>
      </c>
      <c r="I23" s="2" t="str">
        <f>'PFAS Properties'!$C$15</f>
        <v>Betaine</v>
      </c>
      <c r="J23" s="2" t="str">
        <f>'PFAS Properties'!$D$15</f>
        <v>C15H19F13N2O4S</v>
      </c>
      <c r="K23" s="25">
        <f>'PFAS Properties'!$P$15</f>
        <v>570.08529999999996</v>
      </c>
      <c r="L23" s="2">
        <f>'PFAS Properties'!$X$15</f>
        <v>2.2999999999999998</v>
      </c>
      <c r="M23" s="2">
        <f>'PFAS Properties'!$Y$15</f>
        <v>11.1</v>
      </c>
      <c r="N23" s="33">
        <f t="shared" si="0"/>
        <v>1.9912875921420541E-3</v>
      </c>
      <c r="O23" s="33">
        <f t="shared" si="1"/>
        <v>0.99800791966198887</v>
      </c>
      <c r="P23" s="33">
        <f t="shared" si="2"/>
        <v>7.9274586906595983E-7</v>
      </c>
      <c r="Q23" s="33">
        <v>0</v>
      </c>
      <c r="R23" s="33">
        <v>0</v>
      </c>
      <c r="S23" s="33">
        <v>0</v>
      </c>
      <c r="T23" s="8">
        <f t="shared" si="18"/>
        <v>1</v>
      </c>
      <c r="U23" s="33">
        <f t="shared" si="4"/>
        <v>1</v>
      </c>
      <c r="V23" s="33">
        <f t="shared" si="5"/>
        <v>-0.99800950515372699</v>
      </c>
      <c r="W23" s="33">
        <f t="shared" si="6"/>
        <v>570.08729049484612</v>
      </c>
      <c r="X23" s="33">
        <v>96485</v>
      </c>
      <c r="Y23" s="16">
        <f t="shared" si="7"/>
        <v>0.33688331321321957</v>
      </c>
      <c r="Z23" s="16">
        <v>15</v>
      </c>
      <c r="AA23" s="16">
        <v>13</v>
      </c>
      <c r="AB23" s="8">
        <f t="shared" si="8"/>
        <v>0.72874493927125494</v>
      </c>
      <c r="AC23" s="16">
        <f t="shared" si="9"/>
        <v>43.326849508310431</v>
      </c>
      <c r="AD23" s="20">
        <f>'PFAS Properties'!$W$15</f>
        <v>6</v>
      </c>
      <c r="AE23" s="8">
        <f>'PFAS Properties'!$S$15</f>
        <v>3.3010299956639813</v>
      </c>
      <c r="AF23" s="2">
        <f>'PFAS Properties'!$V$15</f>
        <v>4.8</v>
      </c>
      <c r="AG23" s="24">
        <v>5</v>
      </c>
      <c r="AH23" s="2" t="s">
        <v>831</v>
      </c>
      <c r="AI23" s="2" t="s">
        <v>661</v>
      </c>
      <c r="AJ23" s="2" t="s">
        <v>661</v>
      </c>
      <c r="AK23" s="2" t="s">
        <v>661</v>
      </c>
      <c r="AL23" s="2" t="s">
        <v>661</v>
      </c>
      <c r="AM23" s="2" t="s">
        <v>661</v>
      </c>
      <c r="AN23" s="2" t="s">
        <v>661</v>
      </c>
      <c r="AO23" s="2" t="s">
        <v>661</v>
      </c>
      <c r="AP23" s="15">
        <v>16</v>
      </c>
      <c r="AQ23" s="16" t="s">
        <v>712</v>
      </c>
      <c r="AR23" s="16">
        <v>4.8</v>
      </c>
      <c r="AS23" s="16">
        <v>72</v>
      </c>
      <c r="AT23" s="16">
        <v>23</v>
      </c>
      <c r="AU23" s="2" t="s">
        <v>661</v>
      </c>
      <c r="AV23" s="16">
        <f t="shared" ref="AV23:AV43" si="21">SUM(AR23:AT23)</f>
        <v>99.8</v>
      </c>
      <c r="AW23" s="18">
        <v>1</v>
      </c>
      <c r="AX23" s="13">
        <f t="shared" si="14"/>
        <v>0.01</v>
      </c>
      <c r="AY23" s="8" t="s">
        <v>295</v>
      </c>
      <c r="AZ23" s="16">
        <f t="shared" si="19"/>
        <v>100</v>
      </c>
      <c r="BA23" s="16" t="s">
        <v>55</v>
      </c>
      <c r="BB23" s="15">
        <f t="shared" si="20"/>
        <v>1.0261535399999999</v>
      </c>
      <c r="BC23" s="16">
        <f>(440*K23)/1000</f>
        <v>250.83753199999998</v>
      </c>
      <c r="BD23" s="25">
        <v>74</v>
      </c>
      <c r="BE23" s="16">
        <f t="shared" si="15"/>
        <v>7400</v>
      </c>
      <c r="BF23" s="16">
        <f t="shared" si="16"/>
        <v>3.8692317197309762</v>
      </c>
      <c r="BG23" s="8">
        <f t="shared" si="17"/>
        <v>1.8692317197309762</v>
      </c>
      <c r="BH23" s="13" t="s">
        <v>352</v>
      </c>
      <c r="BI23" s="51"/>
      <c r="BJ23" s="48"/>
      <c r="BK23" s="49"/>
      <c r="BL23" s="51"/>
      <c r="BM23" s="50"/>
      <c r="BN23" s="47"/>
      <c r="BO23" s="52"/>
    </row>
    <row r="24" spans="1:67" s="14" customFormat="1" x14ac:dyDescent="0.3">
      <c r="A24" s="20">
        <v>22</v>
      </c>
      <c r="B24" s="2" t="s">
        <v>294</v>
      </c>
      <c r="C24" s="2">
        <v>2017</v>
      </c>
      <c r="D24" s="2" t="s">
        <v>203</v>
      </c>
      <c r="E24" s="22" t="s">
        <v>789</v>
      </c>
      <c r="F24" s="20" t="s">
        <v>29</v>
      </c>
      <c r="G24" s="2">
        <v>6</v>
      </c>
      <c r="H24" s="2" t="str">
        <f>'PFAS Properties'!$B$15</f>
        <v>6:2 FtSaB</v>
      </c>
      <c r="I24" s="2" t="str">
        <f>'PFAS Properties'!$C$15</f>
        <v>Betaine</v>
      </c>
      <c r="J24" s="2" t="str">
        <f>'PFAS Properties'!$D$15</f>
        <v>C15H19F13N2O4S</v>
      </c>
      <c r="K24" s="25">
        <f>'PFAS Properties'!$P$15</f>
        <v>570.08529999999996</v>
      </c>
      <c r="L24" s="2">
        <f>'PFAS Properties'!$X$15</f>
        <v>2.2999999999999998</v>
      </c>
      <c r="M24" s="2">
        <f>'PFAS Properties'!$Y$15</f>
        <v>11.1</v>
      </c>
      <c r="N24" s="33">
        <f t="shared" si="0"/>
        <v>1.2573409304470879E-3</v>
      </c>
      <c r="O24" s="33">
        <f t="shared" si="1"/>
        <v>0.99874140172862269</v>
      </c>
      <c r="P24" s="33">
        <f t="shared" si="2"/>
        <v>1.257340930447089E-6</v>
      </c>
      <c r="Q24" s="33">
        <v>0</v>
      </c>
      <c r="R24" s="33">
        <v>0</v>
      </c>
      <c r="S24" s="33">
        <v>0</v>
      </c>
      <c r="T24" s="8">
        <f t="shared" si="18"/>
        <v>1.0000000000000002</v>
      </c>
      <c r="U24" s="33">
        <f t="shared" si="4"/>
        <v>1.0000000000000002</v>
      </c>
      <c r="V24" s="33">
        <f t="shared" si="5"/>
        <v>-0.99874391641048355</v>
      </c>
      <c r="W24" s="33">
        <f t="shared" si="6"/>
        <v>570.08655608358958</v>
      </c>
      <c r="X24" s="33">
        <v>96485</v>
      </c>
      <c r="Y24" s="16">
        <f t="shared" si="7"/>
        <v>0.21258741122943875</v>
      </c>
      <c r="Z24" s="16">
        <v>15</v>
      </c>
      <c r="AA24" s="16">
        <v>13</v>
      </c>
      <c r="AB24" s="8">
        <f t="shared" si="8"/>
        <v>0.72874493927125494</v>
      </c>
      <c r="AC24" s="16">
        <f t="shared" si="9"/>
        <v>43.326849508310431</v>
      </c>
      <c r="AD24" s="20">
        <f>'PFAS Properties'!$W$15</f>
        <v>6</v>
      </c>
      <c r="AE24" s="8">
        <f>'PFAS Properties'!$S$15</f>
        <v>3.3010299956639813</v>
      </c>
      <c r="AF24" s="2">
        <f>'PFAS Properties'!$V$15</f>
        <v>4.8</v>
      </c>
      <c r="AG24" s="24">
        <v>5.2</v>
      </c>
      <c r="AH24" s="2" t="s">
        <v>831</v>
      </c>
      <c r="AI24" s="2" t="s">
        <v>661</v>
      </c>
      <c r="AJ24" s="2" t="s">
        <v>661</v>
      </c>
      <c r="AK24" s="2" t="s">
        <v>661</v>
      </c>
      <c r="AL24" s="2" t="s">
        <v>661</v>
      </c>
      <c r="AM24" s="2" t="s">
        <v>661</v>
      </c>
      <c r="AN24" s="2" t="s">
        <v>661</v>
      </c>
      <c r="AO24" s="2" t="s">
        <v>661</v>
      </c>
      <c r="AP24" s="15">
        <v>16</v>
      </c>
      <c r="AQ24" s="16" t="s">
        <v>712</v>
      </c>
      <c r="AR24" s="16">
        <v>3.6</v>
      </c>
      <c r="AS24" s="16">
        <v>73</v>
      </c>
      <c r="AT24" s="16">
        <v>24</v>
      </c>
      <c r="AU24" s="15" t="s">
        <v>661</v>
      </c>
      <c r="AV24" s="16">
        <f t="shared" si="21"/>
        <v>100.6</v>
      </c>
      <c r="AW24" s="18">
        <v>9.8000000000000004E-2</v>
      </c>
      <c r="AX24" s="13">
        <f t="shared" si="14"/>
        <v>9.7999999999999997E-4</v>
      </c>
      <c r="AY24" s="8" t="s">
        <v>295</v>
      </c>
      <c r="AZ24" s="16">
        <f t="shared" si="19"/>
        <v>100</v>
      </c>
      <c r="BA24" s="16" t="s">
        <v>55</v>
      </c>
      <c r="BB24" s="15">
        <f t="shared" si="20"/>
        <v>1.0261535399999999</v>
      </c>
      <c r="BC24" s="16">
        <f>(440*K24)/1000</f>
        <v>250.83753199999998</v>
      </c>
      <c r="BD24" s="25">
        <v>90</v>
      </c>
      <c r="BE24" s="16">
        <f t="shared" si="15"/>
        <v>91836.734693877559</v>
      </c>
      <c r="BF24" s="16">
        <f t="shared" si="16"/>
        <v>4.9630164337468301</v>
      </c>
      <c r="BG24" s="8">
        <f t="shared" si="17"/>
        <v>1.954242509439325</v>
      </c>
      <c r="BH24" s="13" t="s">
        <v>352</v>
      </c>
      <c r="BI24" s="51"/>
      <c r="BJ24" s="48"/>
      <c r="BK24" s="49"/>
      <c r="BL24" s="51"/>
      <c r="BM24" s="50"/>
      <c r="BN24" s="47"/>
      <c r="BO24" s="52"/>
    </row>
    <row r="25" spans="1:67" s="14" customFormat="1" x14ac:dyDescent="0.3">
      <c r="A25" s="20">
        <v>23</v>
      </c>
      <c r="B25" s="2" t="s">
        <v>294</v>
      </c>
      <c r="C25" s="2">
        <v>2017</v>
      </c>
      <c r="D25" s="2" t="s">
        <v>203</v>
      </c>
      <c r="E25" s="22" t="s">
        <v>789</v>
      </c>
      <c r="F25" s="20" t="s">
        <v>29</v>
      </c>
      <c r="G25" s="2">
        <v>1</v>
      </c>
      <c r="H25" s="2" t="str">
        <f>'PFAS Properties'!$B$16</f>
        <v>8:2 FtSaB</v>
      </c>
      <c r="I25" s="2" t="str">
        <f>'PFAS Properties'!$C$16</f>
        <v>Betaine</v>
      </c>
      <c r="J25" s="2" t="str">
        <f>'PFAS Properties'!$D$16</f>
        <v>C17H19F17N2O4S</v>
      </c>
      <c r="K25" s="25">
        <f>'PFAS Properties'!$P$16</f>
        <v>670.07889999999998</v>
      </c>
      <c r="L25" s="2">
        <f>'PFAS Properties'!$X$16</f>
        <v>2.2999999999999998</v>
      </c>
      <c r="M25" s="2">
        <f>'PFAS Properties'!$Y$16</f>
        <v>11.1</v>
      </c>
      <c r="N25" s="33">
        <f t="shared" si="0"/>
        <v>1.5823837009219599E-3</v>
      </c>
      <c r="O25" s="33">
        <f t="shared" si="1"/>
        <v>0.99841661788246017</v>
      </c>
      <c r="P25" s="33">
        <f t="shared" si="2"/>
        <v>9.9841661788246018E-7</v>
      </c>
      <c r="Q25" s="33">
        <v>0</v>
      </c>
      <c r="R25" s="33">
        <v>0</v>
      </c>
      <c r="S25" s="33">
        <v>0</v>
      </c>
      <c r="T25" s="8">
        <f t="shared" si="18"/>
        <v>1</v>
      </c>
      <c r="U25" s="33">
        <f t="shared" si="4"/>
        <v>1</v>
      </c>
      <c r="V25" s="33">
        <f t="shared" si="5"/>
        <v>-0.99841861471569593</v>
      </c>
      <c r="W25" s="33">
        <f t="shared" si="6"/>
        <v>670.08048138528432</v>
      </c>
      <c r="X25" s="33">
        <v>96485</v>
      </c>
      <c r="Y25" s="16">
        <f t="shared" si="7"/>
        <v>0.22770393019155494</v>
      </c>
      <c r="Z25" s="16">
        <v>17</v>
      </c>
      <c r="AA25" s="16">
        <v>17</v>
      </c>
      <c r="AB25" s="8">
        <f t="shared" si="8"/>
        <v>0.63157894736842102</v>
      </c>
      <c r="AC25" s="16">
        <f t="shared" si="9"/>
        <v>48.203278748219056</v>
      </c>
      <c r="AD25" s="20">
        <f>'PFAS Properties'!$W$16</f>
        <v>8</v>
      </c>
      <c r="AE25" s="8">
        <f>'PFAS Properties'!$S$16</f>
        <v>1.4999618655961902</v>
      </c>
      <c r="AF25" s="2">
        <f>'PFAS Properties'!$V$16</f>
        <v>6.2</v>
      </c>
      <c r="AG25" s="24">
        <v>5.0999999999999996</v>
      </c>
      <c r="AH25" s="2" t="s">
        <v>831</v>
      </c>
      <c r="AI25" s="2" t="s">
        <v>661</v>
      </c>
      <c r="AJ25" s="2" t="s">
        <v>661</v>
      </c>
      <c r="AK25" s="2" t="s">
        <v>661</v>
      </c>
      <c r="AL25" s="2" t="s">
        <v>661</v>
      </c>
      <c r="AM25" s="2" t="s">
        <v>661</v>
      </c>
      <c r="AN25" s="2" t="s">
        <v>661</v>
      </c>
      <c r="AO25" s="2" t="s">
        <v>661</v>
      </c>
      <c r="AP25" s="15">
        <v>14</v>
      </c>
      <c r="AQ25" s="16" t="s">
        <v>712</v>
      </c>
      <c r="AR25" s="16">
        <v>6.3</v>
      </c>
      <c r="AS25" s="16">
        <v>71</v>
      </c>
      <c r="AT25" s="16">
        <v>22</v>
      </c>
      <c r="AU25" s="2" t="s">
        <v>661</v>
      </c>
      <c r="AV25" s="16">
        <f t="shared" si="21"/>
        <v>99.3</v>
      </c>
      <c r="AW25" s="18">
        <v>1.5</v>
      </c>
      <c r="AX25" s="13">
        <f t="shared" si="14"/>
        <v>1.4999999999999999E-2</v>
      </c>
      <c r="AY25" s="8" t="s">
        <v>295</v>
      </c>
      <c r="AZ25" s="16">
        <f t="shared" si="19"/>
        <v>100</v>
      </c>
      <c r="BA25" s="16" t="s">
        <v>55</v>
      </c>
      <c r="BB25" s="15">
        <f>(0.48*K25)/1000</f>
        <v>0.32163787199999994</v>
      </c>
      <c r="BC25" s="16">
        <f>(73000*K25)/1000</f>
        <v>48915.759699999995</v>
      </c>
      <c r="BD25" s="25">
        <v>120</v>
      </c>
      <c r="BE25" s="16">
        <f t="shared" si="15"/>
        <v>8000</v>
      </c>
      <c r="BF25" s="16">
        <f t="shared" si="16"/>
        <v>3.9030899869919438</v>
      </c>
      <c r="BG25" s="8">
        <f t="shared" si="17"/>
        <v>2.0791812460476247</v>
      </c>
      <c r="BH25" s="13" t="s">
        <v>352</v>
      </c>
      <c r="BI25" s="51"/>
      <c r="BJ25" s="48"/>
      <c r="BK25" s="49"/>
      <c r="BL25" s="51"/>
      <c r="BM25" s="50"/>
      <c r="BN25" s="51"/>
      <c r="BO25" s="52"/>
    </row>
    <row r="26" spans="1:67" s="14" customFormat="1" x14ac:dyDescent="0.3">
      <c r="A26" s="20">
        <v>24</v>
      </c>
      <c r="B26" s="2" t="s">
        <v>294</v>
      </c>
      <c r="C26" s="2">
        <v>2017</v>
      </c>
      <c r="D26" s="2" t="s">
        <v>203</v>
      </c>
      <c r="E26" s="22" t="s">
        <v>789</v>
      </c>
      <c r="F26" s="20" t="s">
        <v>29</v>
      </c>
      <c r="G26" s="2">
        <v>2</v>
      </c>
      <c r="H26" s="2" t="str">
        <f>'PFAS Properties'!$B$16</f>
        <v>8:2 FtSaB</v>
      </c>
      <c r="I26" s="2" t="str">
        <f>'PFAS Properties'!$C$16</f>
        <v>Betaine</v>
      </c>
      <c r="J26" s="2" t="str">
        <f>'PFAS Properties'!$D$16</f>
        <v>C17H19F17N2O4S</v>
      </c>
      <c r="K26" s="25">
        <f>'PFAS Properties'!$P$16</f>
        <v>670.07889999999998</v>
      </c>
      <c r="L26" s="2">
        <f>'PFAS Properties'!$X$16</f>
        <v>2.2999999999999998</v>
      </c>
      <c r="M26" s="2">
        <f>'PFAS Properties'!$Y$16</f>
        <v>11.1</v>
      </c>
      <c r="N26" s="33">
        <f t="shared" si="0"/>
        <v>6.3055790544878248E-4</v>
      </c>
      <c r="O26" s="33">
        <f t="shared" si="1"/>
        <v>0.99936693179831504</v>
      </c>
      <c r="P26" s="33">
        <f t="shared" si="2"/>
        <v>2.5102962360835482E-6</v>
      </c>
      <c r="Q26" s="33">
        <v>0</v>
      </c>
      <c r="R26" s="33">
        <v>0</v>
      </c>
      <c r="S26" s="33">
        <v>0</v>
      </c>
      <c r="T26" s="8">
        <f t="shared" si="18"/>
        <v>0.99999999999999989</v>
      </c>
      <c r="U26" s="33">
        <f t="shared" si="4"/>
        <v>0.99999999999999989</v>
      </c>
      <c r="V26" s="33">
        <f t="shared" si="5"/>
        <v>-0.99937195239078724</v>
      </c>
      <c r="W26" s="33">
        <f t="shared" si="6"/>
        <v>670.07952804760919</v>
      </c>
      <c r="X26" s="33">
        <v>96485</v>
      </c>
      <c r="Y26" s="16">
        <f t="shared" si="7"/>
        <v>9.0432808403268575E-2</v>
      </c>
      <c r="Z26" s="16">
        <v>17</v>
      </c>
      <c r="AA26" s="16">
        <v>17</v>
      </c>
      <c r="AB26" s="8">
        <f t="shared" si="8"/>
        <v>0.63157894736842102</v>
      </c>
      <c r="AC26" s="16">
        <f t="shared" si="9"/>
        <v>48.203278748219056</v>
      </c>
      <c r="AD26" s="20">
        <f>'PFAS Properties'!$W$16</f>
        <v>8</v>
      </c>
      <c r="AE26" s="8">
        <f>'PFAS Properties'!$S$16</f>
        <v>1.4999618655961902</v>
      </c>
      <c r="AF26" s="2">
        <f>'PFAS Properties'!$V$16</f>
        <v>6.2</v>
      </c>
      <c r="AG26" s="24">
        <v>5.5</v>
      </c>
      <c r="AH26" s="2" t="s">
        <v>831</v>
      </c>
      <c r="AI26" s="2" t="s">
        <v>661</v>
      </c>
      <c r="AJ26" s="2" t="s">
        <v>661</v>
      </c>
      <c r="AK26" s="2" t="s">
        <v>661</v>
      </c>
      <c r="AL26" s="2" t="s">
        <v>661</v>
      </c>
      <c r="AM26" s="2" t="s">
        <v>661</v>
      </c>
      <c r="AN26" s="2" t="s">
        <v>661</v>
      </c>
      <c r="AO26" s="2" t="s">
        <v>661</v>
      </c>
      <c r="AP26" s="15">
        <v>22</v>
      </c>
      <c r="AQ26" s="16" t="s">
        <v>712</v>
      </c>
      <c r="AR26" s="16">
        <v>10</v>
      </c>
      <c r="AS26" s="16">
        <v>64</v>
      </c>
      <c r="AT26" s="16">
        <v>26</v>
      </c>
      <c r="AU26" s="2" t="s">
        <v>661</v>
      </c>
      <c r="AV26" s="16">
        <f t="shared" si="21"/>
        <v>100</v>
      </c>
      <c r="AW26" s="18">
        <v>0.12</v>
      </c>
      <c r="AX26" s="13">
        <f t="shared" si="14"/>
        <v>1.1999999999999999E-3</v>
      </c>
      <c r="AY26" s="8" t="s">
        <v>295</v>
      </c>
      <c r="AZ26" s="16">
        <f t="shared" si="19"/>
        <v>100</v>
      </c>
      <c r="BA26" s="16" t="s">
        <v>55</v>
      </c>
      <c r="BB26" s="15">
        <f>(0.48*K26)/1000</f>
        <v>0.32163787199999994</v>
      </c>
      <c r="BC26" s="16">
        <f>(130*K26)/1000</f>
        <v>87.110257000000004</v>
      </c>
      <c r="BD26" s="25">
        <v>170</v>
      </c>
      <c r="BE26" s="16">
        <f t="shared" si="15"/>
        <v>141666.66666666669</v>
      </c>
      <c r="BF26" s="16">
        <f t="shared" si="16"/>
        <v>5.151267675330649</v>
      </c>
      <c r="BG26" s="8">
        <f t="shared" si="17"/>
        <v>2.2304489213782741</v>
      </c>
      <c r="BH26" s="13" t="s">
        <v>353</v>
      </c>
      <c r="BI26" s="51"/>
      <c r="BJ26" s="48"/>
      <c r="BK26" s="49"/>
      <c r="BL26" s="51"/>
      <c r="BM26" s="50"/>
      <c r="BN26" s="51"/>
      <c r="BO26" s="52"/>
    </row>
    <row r="27" spans="1:67" s="14" customFormat="1" x14ac:dyDescent="0.3">
      <c r="A27" s="20">
        <v>25</v>
      </c>
      <c r="B27" s="2" t="s">
        <v>294</v>
      </c>
      <c r="C27" s="2">
        <v>2017</v>
      </c>
      <c r="D27" s="2" t="s">
        <v>203</v>
      </c>
      <c r="E27" s="22" t="s">
        <v>789</v>
      </c>
      <c r="F27" s="20" t="s">
        <v>29</v>
      </c>
      <c r="G27" s="2">
        <v>3</v>
      </c>
      <c r="H27" s="2" t="str">
        <f>'PFAS Properties'!$B$16</f>
        <v>8:2 FtSaB</v>
      </c>
      <c r="I27" s="2" t="str">
        <f>'PFAS Properties'!$C$16</f>
        <v>Betaine</v>
      </c>
      <c r="J27" s="2" t="str">
        <f>'PFAS Properties'!$D$16</f>
        <v>C17H19F17N2O4S</v>
      </c>
      <c r="K27" s="25">
        <f>'PFAS Properties'!$P$16</f>
        <v>670.07889999999998</v>
      </c>
      <c r="L27" s="2">
        <f>'PFAS Properties'!$X$16</f>
        <v>2.2999999999999998</v>
      </c>
      <c r="M27" s="2">
        <f>'PFAS Properties'!$Y$16</f>
        <v>11.1</v>
      </c>
      <c r="N27" s="33">
        <f t="shared" si="0"/>
        <v>1.5823837009219599E-3</v>
      </c>
      <c r="O27" s="33">
        <f t="shared" si="1"/>
        <v>0.99841661788246017</v>
      </c>
      <c r="P27" s="33">
        <f t="shared" si="2"/>
        <v>9.9841661788246018E-7</v>
      </c>
      <c r="Q27" s="33">
        <v>0</v>
      </c>
      <c r="R27" s="33">
        <v>0</v>
      </c>
      <c r="S27" s="33">
        <v>0</v>
      </c>
      <c r="T27" s="8">
        <f t="shared" si="18"/>
        <v>1</v>
      </c>
      <c r="U27" s="33">
        <f t="shared" si="4"/>
        <v>1</v>
      </c>
      <c r="V27" s="33">
        <f t="shared" si="5"/>
        <v>-0.99841861471569593</v>
      </c>
      <c r="W27" s="33">
        <f t="shared" si="6"/>
        <v>670.08048138528432</v>
      </c>
      <c r="X27" s="33">
        <v>96485</v>
      </c>
      <c r="Y27" s="16">
        <f t="shared" si="7"/>
        <v>0.22770393019155494</v>
      </c>
      <c r="Z27" s="16">
        <v>17</v>
      </c>
      <c r="AA27" s="16">
        <v>17</v>
      </c>
      <c r="AB27" s="8">
        <f t="shared" si="8"/>
        <v>0.63157894736842102</v>
      </c>
      <c r="AC27" s="16">
        <f t="shared" si="9"/>
        <v>48.203278748219056</v>
      </c>
      <c r="AD27" s="20">
        <f>'PFAS Properties'!$W$16</f>
        <v>8</v>
      </c>
      <c r="AE27" s="8">
        <f>'PFAS Properties'!$S$16</f>
        <v>1.4999618655961902</v>
      </c>
      <c r="AF27" s="2">
        <f>'PFAS Properties'!$V$16</f>
        <v>6.2</v>
      </c>
      <c r="AG27" s="24">
        <v>5.0999999999999996</v>
      </c>
      <c r="AH27" s="2" t="s">
        <v>831</v>
      </c>
      <c r="AI27" s="2" t="s">
        <v>661</v>
      </c>
      <c r="AJ27" s="2" t="s">
        <v>661</v>
      </c>
      <c r="AK27" s="2" t="s">
        <v>661</v>
      </c>
      <c r="AL27" s="2" t="s">
        <v>661</v>
      </c>
      <c r="AM27" s="2" t="s">
        <v>661</v>
      </c>
      <c r="AN27" s="2" t="s">
        <v>661</v>
      </c>
      <c r="AO27" s="2" t="s">
        <v>661</v>
      </c>
      <c r="AP27" s="15">
        <v>17</v>
      </c>
      <c r="AQ27" s="16" t="s">
        <v>712</v>
      </c>
      <c r="AR27" s="16">
        <v>14</v>
      </c>
      <c r="AS27" s="16">
        <v>39</v>
      </c>
      <c r="AT27" s="16">
        <v>48</v>
      </c>
      <c r="AU27" s="2" t="s">
        <v>661</v>
      </c>
      <c r="AV27" s="16">
        <f t="shared" si="21"/>
        <v>101</v>
      </c>
      <c r="AW27" s="18">
        <v>2.2999999999999998</v>
      </c>
      <c r="AX27" s="13">
        <f t="shared" si="14"/>
        <v>2.3E-2</v>
      </c>
      <c r="AY27" s="8" t="s">
        <v>295</v>
      </c>
      <c r="AZ27" s="16">
        <f t="shared" si="19"/>
        <v>100</v>
      </c>
      <c r="BA27" s="16" t="s">
        <v>55</v>
      </c>
      <c r="BB27" s="15">
        <f>(0.48*K27)/1000</f>
        <v>0.32163787199999994</v>
      </c>
      <c r="BC27" s="16">
        <f>(130*K27)/1000</f>
        <v>87.110257000000004</v>
      </c>
      <c r="BD27" s="25">
        <v>34</v>
      </c>
      <c r="BE27" s="16">
        <f t="shared" si="15"/>
        <v>1478.2608695652175</v>
      </c>
      <c r="BF27" s="16">
        <f t="shared" si="16"/>
        <v>3.1697510810246623</v>
      </c>
      <c r="BG27" s="8">
        <f t="shared" si="17"/>
        <v>1.5314789170422551</v>
      </c>
      <c r="BH27" s="13" t="s">
        <v>352</v>
      </c>
      <c r="BI27" s="51"/>
      <c r="BJ27" s="48"/>
      <c r="BK27" s="49"/>
      <c r="BL27" s="51"/>
      <c r="BM27" s="50"/>
      <c r="BN27" s="51"/>
      <c r="BO27" s="52"/>
    </row>
    <row r="28" spans="1:67" s="14" customFormat="1" x14ac:dyDescent="0.3">
      <c r="A28" s="20">
        <v>26</v>
      </c>
      <c r="B28" s="2" t="s">
        <v>294</v>
      </c>
      <c r="C28" s="2">
        <v>2017</v>
      </c>
      <c r="D28" s="2" t="s">
        <v>203</v>
      </c>
      <c r="E28" s="22" t="s">
        <v>789</v>
      </c>
      <c r="F28" s="20" t="s">
        <v>29</v>
      </c>
      <c r="G28" s="2">
        <v>4</v>
      </c>
      <c r="H28" s="2" t="str">
        <f>'PFAS Properties'!$B$16</f>
        <v>8:2 FtSaB</v>
      </c>
      <c r="I28" s="2" t="str">
        <f>'PFAS Properties'!$C$16</f>
        <v>Betaine</v>
      </c>
      <c r="J28" s="2" t="str">
        <f>'PFAS Properties'!$D$16</f>
        <v>C17H19F17N2O4S</v>
      </c>
      <c r="K28" s="25">
        <f>'PFAS Properties'!$P$16</f>
        <v>670.07889999999998</v>
      </c>
      <c r="L28" s="2">
        <f>'PFAS Properties'!$X$16</f>
        <v>2.2999999999999998</v>
      </c>
      <c r="M28" s="2">
        <f>'PFAS Properties'!$Y$16</f>
        <v>11.1</v>
      </c>
      <c r="N28" s="33">
        <f t="shared" si="0"/>
        <v>1.9912875921420541E-3</v>
      </c>
      <c r="O28" s="33">
        <f t="shared" si="1"/>
        <v>0.99800791966198887</v>
      </c>
      <c r="P28" s="33">
        <f t="shared" si="2"/>
        <v>7.9274586906595983E-7</v>
      </c>
      <c r="Q28" s="33">
        <v>0</v>
      </c>
      <c r="R28" s="33">
        <v>0</v>
      </c>
      <c r="S28" s="33">
        <v>0</v>
      </c>
      <c r="T28" s="8">
        <f t="shared" si="18"/>
        <v>1</v>
      </c>
      <c r="U28" s="33">
        <f t="shared" si="4"/>
        <v>1</v>
      </c>
      <c r="V28" s="33">
        <f t="shared" si="5"/>
        <v>-0.99800950515372699</v>
      </c>
      <c r="W28" s="33">
        <f t="shared" si="6"/>
        <v>670.08089049484624</v>
      </c>
      <c r="X28" s="33">
        <v>96485</v>
      </c>
      <c r="Y28" s="16">
        <f t="shared" si="7"/>
        <v>0.28661150909828559</v>
      </c>
      <c r="Z28" s="16">
        <v>17</v>
      </c>
      <c r="AA28" s="16">
        <v>17</v>
      </c>
      <c r="AB28" s="8">
        <f t="shared" si="8"/>
        <v>0.63157894736842102</v>
      </c>
      <c r="AC28" s="16">
        <f t="shared" si="9"/>
        <v>48.203278748219056</v>
      </c>
      <c r="AD28" s="20">
        <f>'PFAS Properties'!$W$16</f>
        <v>8</v>
      </c>
      <c r="AE28" s="8">
        <f>'PFAS Properties'!$S$16</f>
        <v>1.4999618655961902</v>
      </c>
      <c r="AF28" s="2">
        <f>'PFAS Properties'!$V$16</f>
        <v>6.2</v>
      </c>
      <c r="AG28" s="24">
        <v>5</v>
      </c>
      <c r="AH28" s="2" t="s">
        <v>831</v>
      </c>
      <c r="AI28" s="2" t="s">
        <v>661</v>
      </c>
      <c r="AJ28" s="2" t="s">
        <v>661</v>
      </c>
      <c r="AK28" s="2" t="s">
        <v>661</v>
      </c>
      <c r="AL28" s="2" t="s">
        <v>661</v>
      </c>
      <c r="AM28" s="2" t="s">
        <v>661</v>
      </c>
      <c r="AN28" s="2" t="s">
        <v>661</v>
      </c>
      <c r="AO28" s="2" t="s">
        <v>661</v>
      </c>
      <c r="AP28" s="15">
        <v>36</v>
      </c>
      <c r="AQ28" s="16" t="s">
        <v>712</v>
      </c>
      <c r="AR28" s="16">
        <v>37</v>
      </c>
      <c r="AS28" s="16">
        <v>45</v>
      </c>
      <c r="AT28" s="16">
        <v>18</v>
      </c>
      <c r="AU28" s="2" t="s">
        <v>661</v>
      </c>
      <c r="AV28" s="16">
        <f t="shared" si="21"/>
        <v>100</v>
      </c>
      <c r="AW28" s="18">
        <v>7.7</v>
      </c>
      <c r="AX28" s="13">
        <f t="shared" si="14"/>
        <v>7.6999999999999999E-2</v>
      </c>
      <c r="AY28" s="8" t="s">
        <v>295</v>
      </c>
      <c r="AZ28" s="16">
        <f t="shared" si="19"/>
        <v>100</v>
      </c>
      <c r="BA28" s="16" t="s">
        <v>55</v>
      </c>
      <c r="BB28" s="15">
        <f>(0.48*K28)/1000</f>
        <v>0.32163787199999994</v>
      </c>
      <c r="BC28" s="16">
        <f>(130*K28)/1000</f>
        <v>87.110257000000004</v>
      </c>
      <c r="BD28" s="25">
        <v>61</v>
      </c>
      <c r="BE28" s="16">
        <f t="shared" si="15"/>
        <v>792.20779220779218</v>
      </c>
      <c r="BF28" s="16">
        <f t="shared" si="16"/>
        <v>2.8988391098382853</v>
      </c>
      <c r="BG28" s="8">
        <f t="shared" si="17"/>
        <v>1.7853298350107671</v>
      </c>
      <c r="BH28" s="13" t="s">
        <v>352</v>
      </c>
      <c r="BI28" s="51"/>
      <c r="BJ28" s="48"/>
      <c r="BK28" s="49"/>
      <c r="BL28" s="49"/>
      <c r="BM28" s="50"/>
      <c r="BN28" s="51"/>
      <c r="BO28" s="52"/>
    </row>
    <row r="29" spans="1:67" s="14" customFormat="1" x14ac:dyDescent="0.3">
      <c r="A29" s="20">
        <v>27</v>
      </c>
      <c r="B29" s="2" t="s">
        <v>294</v>
      </c>
      <c r="C29" s="2">
        <v>2017</v>
      </c>
      <c r="D29" s="2" t="s">
        <v>203</v>
      </c>
      <c r="E29" s="22" t="s">
        <v>789</v>
      </c>
      <c r="F29" s="20" t="s">
        <v>29</v>
      </c>
      <c r="G29" s="2">
        <v>6</v>
      </c>
      <c r="H29" s="2" t="str">
        <f>'PFAS Properties'!$B$16</f>
        <v>8:2 FtSaB</v>
      </c>
      <c r="I29" s="2" t="str">
        <f>'PFAS Properties'!$C$16</f>
        <v>Betaine</v>
      </c>
      <c r="J29" s="2" t="str">
        <f>'PFAS Properties'!$D$16</f>
        <v>C17H19F17N2O4S</v>
      </c>
      <c r="K29" s="25">
        <f>'PFAS Properties'!$P$16</f>
        <v>670.07889999999998</v>
      </c>
      <c r="L29" s="2">
        <f>'PFAS Properties'!$X$16</f>
        <v>2.2999999999999998</v>
      </c>
      <c r="M29" s="2">
        <f>'PFAS Properties'!$Y$16</f>
        <v>11.1</v>
      </c>
      <c r="N29" s="33">
        <f t="shared" si="0"/>
        <v>1.2573409304470879E-3</v>
      </c>
      <c r="O29" s="33">
        <f t="shared" si="1"/>
        <v>0.99874140172862269</v>
      </c>
      <c r="P29" s="33">
        <f t="shared" si="2"/>
        <v>1.257340930447089E-6</v>
      </c>
      <c r="Q29" s="33">
        <v>0</v>
      </c>
      <c r="R29" s="33">
        <v>0</v>
      </c>
      <c r="S29" s="33">
        <v>0</v>
      </c>
      <c r="T29" s="8">
        <f t="shared" si="18"/>
        <v>1.0000000000000002</v>
      </c>
      <c r="U29" s="33">
        <f t="shared" si="4"/>
        <v>1.0000000000000002</v>
      </c>
      <c r="V29" s="33">
        <f t="shared" si="5"/>
        <v>-0.99874391641048355</v>
      </c>
      <c r="W29" s="33">
        <f t="shared" si="6"/>
        <v>670.0801560835896</v>
      </c>
      <c r="X29" s="33">
        <v>96485</v>
      </c>
      <c r="Y29" s="16">
        <f t="shared" si="7"/>
        <v>0.18086377284003349</v>
      </c>
      <c r="Z29" s="16">
        <v>17</v>
      </c>
      <c r="AA29" s="16">
        <v>17</v>
      </c>
      <c r="AB29" s="8">
        <f t="shared" si="8"/>
        <v>0.63157894736842102</v>
      </c>
      <c r="AC29" s="16">
        <f t="shared" si="9"/>
        <v>48.203278748219056</v>
      </c>
      <c r="AD29" s="20">
        <f>'PFAS Properties'!$W$16</f>
        <v>8</v>
      </c>
      <c r="AE29" s="8">
        <f>'PFAS Properties'!$S$16</f>
        <v>1.4999618655961902</v>
      </c>
      <c r="AF29" s="2">
        <f>'PFAS Properties'!$V$16</f>
        <v>6.2</v>
      </c>
      <c r="AG29" s="24">
        <v>5.2</v>
      </c>
      <c r="AH29" s="2" t="s">
        <v>831</v>
      </c>
      <c r="AI29" s="2" t="s">
        <v>661</v>
      </c>
      <c r="AJ29" s="2" t="s">
        <v>661</v>
      </c>
      <c r="AK29" s="2" t="s">
        <v>661</v>
      </c>
      <c r="AL29" s="2" t="s">
        <v>661</v>
      </c>
      <c r="AM29" s="2" t="s">
        <v>661</v>
      </c>
      <c r="AN29" s="2" t="s">
        <v>661</v>
      </c>
      <c r="AO29" s="2" t="s">
        <v>661</v>
      </c>
      <c r="AP29" s="15">
        <v>16</v>
      </c>
      <c r="AQ29" s="16" t="s">
        <v>712</v>
      </c>
      <c r="AR29" s="16">
        <v>3.6</v>
      </c>
      <c r="AS29" s="16">
        <v>73</v>
      </c>
      <c r="AT29" s="16">
        <v>24</v>
      </c>
      <c r="AU29" s="15" t="s">
        <v>661</v>
      </c>
      <c r="AV29" s="16">
        <f t="shared" si="21"/>
        <v>100.6</v>
      </c>
      <c r="AW29" s="18">
        <v>9.8000000000000004E-2</v>
      </c>
      <c r="AX29" s="13">
        <f t="shared" si="14"/>
        <v>9.7999999999999997E-4</v>
      </c>
      <c r="AY29" s="8" t="s">
        <v>295</v>
      </c>
      <c r="AZ29" s="16">
        <f t="shared" si="19"/>
        <v>100</v>
      </c>
      <c r="BA29" s="16" t="s">
        <v>55</v>
      </c>
      <c r="BB29" s="15">
        <f>(0.48*K29)/1000</f>
        <v>0.32163787199999994</v>
      </c>
      <c r="BC29" s="16">
        <f>(130*K29)/1000</f>
        <v>87.110257000000004</v>
      </c>
      <c r="BD29" s="25">
        <v>400</v>
      </c>
      <c r="BE29" s="16">
        <f t="shared" si="15"/>
        <v>408163.26530612248</v>
      </c>
      <c r="BF29" s="16">
        <f t="shared" si="16"/>
        <v>5.6108339156354674</v>
      </c>
      <c r="BG29" s="8">
        <f t="shared" si="17"/>
        <v>2.6020599913279625</v>
      </c>
      <c r="BH29" s="13" t="s">
        <v>352</v>
      </c>
      <c r="BI29" s="51"/>
      <c r="BJ29" s="48"/>
      <c r="BK29" s="49"/>
      <c r="BL29" s="51"/>
      <c r="BM29" s="50"/>
      <c r="BN29" s="51"/>
      <c r="BO29" s="52"/>
    </row>
    <row r="30" spans="1:67" s="14" customFormat="1" x14ac:dyDescent="0.3">
      <c r="A30" s="20">
        <v>28</v>
      </c>
      <c r="B30" s="2" t="s">
        <v>294</v>
      </c>
      <c r="C30" s="2">
        <v>2017</v>
      </c>
      <c r="D30" s="2" t="s">
        <v>203</v>
      </c>
      <c r="E30" s="22" t="s">
        <v>789</v>
      </c>
      <c r="F30" s="20" t="s">
        <v>29</v>
      </c>
      <c r="G30" s="2">
        <v>1</v>
      </c>
      <c r="H30" s="2" t="str">
        <f>'PFAS Properties'!$B$17</f>
        <v>10:2 FtSaB</v>
      </c>
      <c r="I30" s="2" t="str">
        <f>'PFAS Properties'!$C$17</f>
        <v>Betaine</v>
      </c>
      <c r="J30" s="2" t="str">
        <f>'PFAS Properties'!$D$17</f>
        <v>C19H19F21N2O4S</v>
      </c>
      <c r="K30" s="25">
        <f>'PFAS Properties'!$P$17</f>
        <v>770.07249999999999</v>
      </c>
      <c r="L30" s="2">
        <f>'PFAS Properties'!$X$17</f>
        <v>2.2999999999999998</v>
      </c>
      <c r="M30" s="2">
        <f>'PFAS Properties'!$Y$17</f>
        <v>11.1</v>
      </c>
      <c r="N30" s="33">
        <f t="shared" si="0"/>
        <v>1.5823837009219599E-3</v>
      </c>
      <c r="O30" s="33">
        <f t="shared" si="1"/>
        <v>0.99841661788246017</v>
      </c>
      <c r="P30" s="33">
        <f t="shared" si="2"/>
        <v>9.9841661788246018E-7</v>
      </c>
      <c r="Q30" s="33">
        <v>0</v>
      </c>
      <c r="R30" s="33">
        <v>0</v>
      </c>
      <c r="S30" s="33">
        <v>0</v>
      </c>
      <c r="T30" s="8">
        <f t="shared" si="18"/>
        <v>1</v>
      </c>
      <c r="U30" s="33">
        <f t="shared" si="4"/>
        <v>1</v>
      </c>
      <c r="V30" s="33">
        <f t="shared" si="5"/>
        <v>-0.99841861471569593</v>
      </c>
      <c r="W30" s="33">
        <f t="shared" si="6"/>
        <v>770.07408138528433</v>
      </c>
      <c r="X30" s="33">
        <v>96485</v>
      </c>
      <c r="Y30" s="16">
        <f t="shared" si="7"/>
        <v>0.1981367284581278</v>
      </c>
      <c r="Z30" s="16">
        <v>19</v>
      </c>
      <c r="AA30" s="16">
        <v>21</v>
      </c>
      <c r="AB30" s="8">
        <f t="shared" si="8"/>
        <v>0.5714285714285714</v>
      </c>
      <c r="AC30" s="16">
        <f t="shared" si="9"/>
        <v>51.813303292871772</v>
      </c>
      <c r="AD30" s="20">
        <f>'PFAS Properties'!$W$17</f>
        <v>10</v>
      </c>
      <c r="AE30" s="8">
        <f>'PFAS Properties'!$S$17</f>
        <v>-0.30980391997148632</v>
      </c>
      <c r="AF30" s="2">
        <f>'PFAS Properties'!$V$17</f>
        <v>7.5</v>
      </c>
      <c r="AG30" s="24">
        <v>5.0999999999999996</v>
      </c>
      <c r="AH30" s="2" t="s">
        <v>831</v>
      </c>
      <c r="AI30" s="2" t="s">
        <v>661</v>
      </c>
      <c r="AJ30" s="2" t="s">
        <v>661</v>
      </c>
      <c r="AK30" s="2" t="s">
        <v>661</v>
      </c>
      <c r="AL30" s="2" t="s">
        <v>661</v>
      </c>
      <c r="AM30" s="2" t="s">
        <v>661</v>
      </c>
      <c r="AN30" s="2" t="s">
        <v>661</v>
      </c>
      <c r="AO30" s="2" t="s">
        <v>661</v>
      </c>
      <c r="AP30" s="15">
        <v>14</v>
      </c>
      <c r="AQ30" s="16" t="s">
        <v>712</v>
      </c>
      <c r="AR30" s="16">
        <v>6.3</v>
      </c>
      <c r="AS30" s="16">
        <v>71</v>
      </c>
      <c r="AT30" s="16">
        <v>22</v>
      </c>
      <c r="AU30" s="2" t="s">
        <v>661</v>
      </c>
      <c r="AV30" s="16">
        <f t="shared" si="21"/>
        <v>99.3</v>
      </c>
      <c r="AW30" s="18">
        <v>1.5</v>
      </c>
      <c r="AX30" s="13">
        <f t="shared" si="14"/>
        <v>1.4999999999999999E-2</v>
      </c>
      <c r="AY30" s="8" t="s">
        <v>295</v>
      </c>
      <c r="AZ30" s="16">
        <f t="shared" si="19"/>
        <v>100</v>
      </c>
      <c r="BA30" s="16" t="s">
        <v>55</v>
      </c>
      <c r="BB30" s="15">
        <f>(0.19*K30)/1000</f>
        <v>0.14631377499999998</v>
      </c>
      <c r="BC30" s="16">
        <f>(26000*K30)/1000</f>
        <v>20021.884999999998</v>
      </c>
      <c r="BD30" s="25">
        <v>240</v>
      </c>
      <c r="BE30" s="16">
        <f t="shared" si="15"/>
        <v>16000</v>
      </c>
      <c r="BF30" s="16">
        <f t="shared" si="16"/>
        <v>4.204119982655925</v>
      </c>
      <c r="BG30" s="8">
        <f t="shared" si="17"/>
        <v>2.3802112417116059</v>
      </c>
      <c r="BH30" s="13" t="s">
        <v>353</v>
      </c>
      <c r="BI30" s="51"/>
      <c r="BJ30" s="48"/>
      <c r="BK30" s="49"/>
      <c r="BL30" s="49"/>
      <c r="BM30" s="50"/>
      <c r="BN30" s="51"/>
      <c r="BO30" s="52"/>
    </row>
    <row r="31" spans="1:67" s="14" customFormat="1" x14ac:dyDescent="0.3">
      <c r="A31" s="20">
        <v>29</v>
      </c>
      <c r="B31" s="2" t="s">
        <v>294</v>
      </c>
      <c r="C31" s="2">
        <v>2017</v>
      </c>
      <c r="D31" s="2" t="s">
        <v>203</v>
      </c>
      <c r="E31" s="22" t="s">
        <v>789</v>
      </c>
      <c r="F31" s="20" t="s">
        <v>29</v>
      </c>
      <c r="G31" s="2">
        <v>2</v>
      </c>
      <c r="H31" s="2" t="str">
        <f>'PFAS Properties'!$B$17</f>
        <v>10:2 FtSaB</v>
      </c>
      <c r="I31" s="2" t="str">
        <f>'PFAS Properties'!$C$17</f>
        <v>Betaine</v>
      </c>
      <c r="J31" s="2" t="str">
        <f>'PFAS Properties'!$D$17</f>
        <v>C19H19F21N2O4S</v>
      </c>
      <c r="K31" s="25">
        <f>'PFAS Properties'!$P$17</f>
        <v>770.07249999999999</v>
      </c>
      <c r="L31" s="2">
        <f>'PFAS Properties'!$X$17</f>
        <v>2.2999999999999998</v>
      </c>
      <c r="M31" s="2">
        <f>'PFAS Properties'!$Y$17</f>
        <v>11.1</v>
      </c>
      <c r="N31" s="33">
        <f t="shared" si="0"/>
        <v>6.3055790544878248E-4</v>
      </c>
      <c r="O31" s="33">
        <f t="shared" si="1"/>
        <v>0.99936693179831504</v>
      </c>
      <c r="P31" s="33">
        <f t="shared" si="2"/>
        <v>2.5102962360835482E-6</v>
      </c>
      <c r="Q31" s="33">
        <v>0</v>
      </c>
      <c r="R31" s="33">
        <v>0</v>
      </c>
      <c r="S31" s="33">
        <v>0</v>
      </c>
      <c r="T31" s="8">
        <f>SUM(N31:S31)</f>
        <v>0.99999999999999989</v>
      </c>
      <c r="U31" s="33">
        <f t="shared" si="4"/>
        <v>0.99999999999999989</v>
      </c>
      <c r="V31" s="33">
        <f t="shared" si="5"/>
        <v>-0.99937195239078724</v>
      </c>
      <c r="W31" s="33">
        <f t="shared" si="6"/>
        <v>770.07312804760909</v>
      </c>
      <c r="X31" s="33">
        <v>96485</v>
      </c>
      <c r="Y31" s="16">
        <f t="shared" si="7"/>
        <v>7.8690154698055778E-2</v>
      </c>
      <c r="Z31" s="16">
        <v>19</v>
      </c>
      <c r="AA31" s="16">
        <v>21</v>
      </c>
      <c r="AB31" s="8">
        <f t="shared" si="8"/>
        <v>0.5714285714285714</v>
      </c>
      <c r="AC31" s="16">
        <f t="shared" si="9"/>
        <v>51.813303292871772</v>
      </c>
      <c r="AD31" s="20">
        <f>'PFAS Properties'!$W$17</f>
        <v>10</v>
      </c>
      <c r="AE31" s="8">
        <f>'PFAS Properties'!$S$17</f>
        <v>-0.30980391997148632</v>
      </c>
      <c r="AF31" s="2">
        <f>'PFAS Properties'!$V$17</f>
        <v>7.5</v>
      </c>
      <c r="AG31" s="24">
        <v>5.5</v>
      </c>
      <c r="AH31" s="2" t="s">
        <v>831</v>
      </c>
      <c r="AI31" s="2" t="s">
        <v>661</v>
      </c>
      <c r="AJ31" s="2" t="s">
        <v>661</v>
      </c>
      <c r="AK31" s="2" t="s">
        <v>661</v>
      </c>
      <c r="AL31" s="2" t="s">
        <v>661</v>
      </c>
      <c r="AM31" s="2" t="s">
        <v>661</v>
      </c>
      <c r="AN31" s="2" t="s">
        <v>661</v>
      </c>
      <c r="AO31" s="2" t="s">
        <v>661</v>
      </c>
      <c r="AP31" s="15">
        <v>22</v>
      </c>
      <c r="AQ31" s="16" t="s">
        <v>712</v>
      </c>
      <c r="AR31" s="16">
        <v>10</v>
      </c>
      <c r="AS31" s="16">
        <v>64</v>
      </c>
      <c r="AT31" s="16">
        <v>26</v>
      </c>
      <c r="AU31" s="2" t="s">
        <v>661</v>
      </c>
      <c r="AV31" s="16">
        <f t="shared" si="21"/>
        <v>100</v>
      </c>
      <c r="AW31" s="18">
        <v>0.12</v>
      </c>
      <c r="AX31" s="13">
        <f t="shared" si="14"/>
        <v>1.1999999999999999E-3</v>
      </c>
      <c r="AY31" s="8" t="s">
        <v>295</v>
      </c>
      <c r="AZ31" s="16">
        <f t="shared" si="19"/>
        <v>100</v>
      </c>
      <c r="BA31" s="16" t="s">
        <v>55</v>
      </c>
      <c r="BB31" s="15">
        <f>(0.19*K31)/1000</f>
        <v>0.14631377499999998</v>
      </c>
      <c r="BC31" s="16">
        <f>(48*K31)/1000</f>
        <v>36.963479999999997</v>
      </c>
      <c r="BD31" s="25">
        <v>93</v>
      </c>
      <c r="BE31" s="16">
        <f t="shared" si="15"/>
        <v>77500</v>
      </c>
      <c r="BF31" s="16">
        <f t="shared" si="16"/>
        <v>4.8893017025063106</v>
      </c>
      <c r="BG31" s="8">
        <f t="shared" si="17"/>
        <v>1.968482948553935</v>
      </c>
      <c r="BH31" s="13" t="s">
        <v>353</v>
      </c>
      <c r="BI31" s="51"/>
      <c r="BJ31" s="48"/>
      <c r="BK31" s="49"/>
      <c r="BL31" s="51"/>
      <c r="BM31" s="50"/>
      <c r="BN31" s="51"/>
      <c r="BO31" s="52"/>
    </row>
    <row r="32" spans="1:67" s="94" customFormat="1" x14ac:dyDescent="0.3">
      <c r="A32" s="83">
        <v>30</v>
      </c>
      <c r="B32" s="84" t="s">
        <v>294</v>
      </c>
      <c r="C32" s="84">
        <v>2017</v>
      </c>
      <c r="D32" s="84" t="s">
        <v>203</v>
      </c>
      <c r="E32" s="98" t="s">
        <v>789</v>
      </c>
      <c r="F32" s="83" t="s">
        <v>29</v>
      </c>
      <c r="G32" s="84">
        <v>6</v>
      </c>
      <c r="H32" s="84" t="str">
        <f>'PFAS Properties'!$B$18</f>
        <v>6:2 FtSaAm</v>
      </c>
      <c r="I32" s="84" t="str">
        <f>'PFAS Properties'!$C$18</f>
        <v>Betaine</v>
      </c>
      <c r="J32" s="84" t="str">
        <f>'PFAS Properties'!$D$18</f>
        <v>C13H17F13N2O2S</v>
      </c>
      <c r="K32" s="99">
        <f>'PFAS Properties'!$P$18</f>
        <v>512.07989999999995</v>
      </c>
      <c r="L32" s="84">
        <f>'PFAS Properties'!$X$18</f>
        <v>9.3000000000000007</v>
      </c>
      <c r="M32" s="84">
        <f>'PFAS Properties'!$Y$18</f>
        <v>10.7</v>
      </c>
      <c r="N32" s="87">
        <f t="shared" si="0"/>
        <v>0.99992057323445127</v>
      </c>
      <c r="O32" s="87">
        <v>0</v>
      </c>
      <c r="P32" s="87">
        <v>0</v>
      </c>
      <c r="Q32" s="87">
        <f>1/(1+(10^(M32-AG32))+(10^((L32+M32)-(2*AG32))))</f>
        <v>2.5116869204948977E-10</v>
      </c>
      <c r="R32" s="87">
        <v>0</v>
      </c>
      <c r="S32" s="87">
        <f>1/(1+(10^(L32-AG32))+(10^(AG32-M32)))</f>
        <v>7.9426514380181185E-5</v>
      </c>
      <c r="T32" s="88">
        <f t="shared" si="18"/>
        <v>1</v>
      </c>
      <c r="U32" s="87">
        <f t="shared" si="4"/>
        <v>0.99992057323445127</v>
      </c>
      <c r="V32" s="87">
        <f t="shared" si="5"/>
        <v>-2.5116869204948977E-10</v>
      </c>
      <c r="W32" s="87">
        <f t="shared" si="6"/>
        <v>513.07982057298318</v>
      </c>
      <c r="X32" s="87">
        <v>96485</v>
      </c>
      <c r="Y32" s="89">
        <f t="shared" si="7"/>
        <v>188.03572585752974</v>
      </c>
      <c r="Z32" s="89">
        <v>13</v>
      </c>
      <c r="AA32" s="89">
        <v>13</v>
      </c>
      <c r="AB32" s="88">
        <f t="shared" si="8"/>
        <v>0.63157894736842102</v>
      </c>
      <c r="AC32" s="89">
        <f t="shared" si="9"/>
        <v>48.234660255167213</v>
      </c>
      <c r="AD32" s="83">
        <f>'PFAS Properties'!$W$18</f>
        <v>6</v>
      </c>
      <c r="AE32" s="88">
        <f>'PFAS Properties'!$S$18</f>
        <v>3.1189257528257768</v>
      </c>
      <c r="AF32" s="84">
        <f>'PFAS Properties'!$V$18</f>
        <v>4.5999999999999996</v>
      </c>
      <c r="AG32" s="93">
        <v>5.2</v>
      </c>
      <c r="AH32" s="84" t="s">
        <v>831</v>
      </c>
      <c r="AI32" s="84" t="s">
        <v>661</v>
      </c>
      <c r="AJ32" s="84" t="s">
        <v>661</v>
      </c>
      <c r="AK32" s="84" t="s">
        <v>661</v>
      </c>
      <c r="AL32" s="84" t="s">
        <v>661</v>
      </c>
      <c r="AM32" s="84" t="s">
        <v>661</v>
      </c>
      <c r="AN32" s="84" t="s">
        <v>661</v>
      </c>
      <c r="AO32" s="84" t="s">
        <v>661</v>
      </c>
      <c r="AP32" s="90">
        <v>16</v>
      </c>
      <c r="AQ32" s="89" t="s">
        <v>712</v>
      </c>
      <c r="AR32" s="89">
        <v>3.6</v>
      </c>
      <c r="AS32" s="89">
        <v>73</v>
      </c>
      <c r="AT32" s="89">
        <v>24</v>
      </c>
      <c r="AU32" s="90" t="s">
        <v>661</v>
      </c>
      <c r="AV32" s="89">
        <f t="shared" si="21"/>
        <v>100.6</v>
      </c>
      <c r="AW32" s="86">
        <v>9.8000000000000004E-2</v>
      </c>
      <c r="AX32" s="91">
        <f t="shared" si="14"/>
        <v>9.7999999999999997E-4</v>
      </c>
      <c r="AY32" s="88" t="s">
        <v>295</v>
      </c>
      <c r="AZ32" s="89">
        <f t="shared" si="19"/>
        <v>100</v>
      </c>
      <c r="BA32" s="89" t="s">
        <v>55</v>
      </c>
      <c r="BB32" s="90">
        <f>(0.88*K32)/1000</f>
        <v>0.45063031199999992</v>
      </c>
      <c r="BC32" s="89">
        <f>(21*K32)/1000</f>
        <v>10.7536779</v>
      </c>
      <c r="BD32" s="99">
        <v>840</v>
      </c>
      <c r="BE32" s="89">
        <f t="shared" si="15"/>
        <v>857142.85714285716</v>
      </c>
      <c r="BF32" s="89">
        <f t="shared" si="16"/>
        <v>5.9330532103693869</v>
      </c>
      <c r="BG32" s="88">
        <f t="shared" si="17"/>
        <v>2.9242792860618816</v>
      </c>
      <c r="BH32" s="91" t="s">
        <v>352</v>
      </c>
      <c r="BI32" s="89"/>
      <c r="BJ32" s="91"/>
      <c r="BK32" s="90"/>
      <c r="BL32" s="89"/>
      <c r="BM32" s="86"/>
      <c r="BN32" s="89"/>
      <c r="BO32" s="93"/>
    </row>
    <row r="33" spans="1:67" s="14" customFormat="1" x14ac:dyDescent="0.3">
      <c r="A33" s="20">
        <v>31</v>
      </c>
      <c r="B33" s="2" t="s">
        <v>775</v>
      </c>
      <c r="C33" s="2">
        <v>2021</v>
      </c>
      <c r="D33" s="2" t="s">
        <v>203</v>
      </c>
      <c r="E33" s="22" t="s">
        <v>786</v>
      </c>
      <c r="F33" s="20" t="s">
        <v>29</v>
      </c>
      <c r="G33" s="2" t="s">
        <v>116</v>
      </c>
      <c r="H33" s="2" t="str">
        <f>'PFAS Properties'!$B$19</f>
        <v>PFOSB</v>
      </c>
      <c r="I33" s="2" t="str">
        <f>'PFAS Properties'!$C$19</f>
        <v>Betaine</v>
      </c>
      <c r="J33" s="2" t="str">
        <f>'PFAS Properties'!$D$19</f>
        <v>C15H15F17N2O4S</v>
      </c>
      <c r="K33" s="25">
        <f>'PFAS Properties'!$P$19</f>
        <v>642.04769999999996</v>
      </c>
      <c r="L33" s="2">
        <f>'PFAS Properties'!$X$19</f>
        <v>2.2999999999999998</v>
      </c>
      <c r="M33" s="2">
        <f>'PFAS Properties'!$Y$19</f>
        <v>6.8</v>
      </c>
      <c r="N33" s="33">
        <f t="shared" si="0"/>
        <v>8.4901972195357403E-7</v>
      </c>
      <c r="O33" s="33">
        <f>1/(1+(10^(L33-AG33))+(10^(AG33-M33)))</f>
        <v>0.15097942902670158</v>
      </c>
      <c r="P33" s="33">
        <f>1/(1+(10^(M33-AG33))+(10^((L33+M33)-(2*AG33))))</f>
        <v>0.84901972195357645</v>
      </c>
      <c r="Q33" s="33">
        <v>0</v>
      </c>
      <c r="R33" s="33">
        <v>0</v>
      </c>
      <c r="S33" s="33">
        <v>0</v>
      </c>
      <c r="T33" s="8">
        <f t="shared" si="18"/>
        <v>1</v>
      </c>
      <c r="U33" s="33">
        <f t="shared" si="4"/>
        <v>1</v>
      </c>
      <c r="V33" s="33">
        <f t="shared" si="5"/>
        <v>-1.8490188729338546</v>
      </c>
      <c r="W33" s="33">
        <f t="shared" si="6"/>
        <v>641.19868112706615</v>
      </c>
      <c r="X33" s="33">
        <v>96485</v>
      </c>
      <c r="Y33" s="16">
        <f t="shared" si="7"/>
        <v>-127.75694705271761</v>
      </c>
      <c r="Z33" s="16">
        <v>15</v>
      </c>
      <c r="AA33" s="16">
        <v>17</v>
      </c>
      <c r="AB33" s="8">
        <f t="shared" si="8"/>
        <v>0.55727554179566563</v>
      </c>
      <c r="AC33" s="16">
        <f t="shared" si="9"/>
        <v>50.307788658070109</v>
      </c>
      <c r="AD33" s="20">
        <f>'PFAS Properties'!$W$19</f>
        <v>6</v>
      </c>
      <c r="AE33" s="8">
        <f>'PFAS Properties'!$S$19</f>
        <v>1.2615007731982801</v>
      </c>
      <c r="AF33" s="2">
        <f>'PFAS Properties'!$V$19</f>
        <v>4.5999999999999996</v>
      </c>
      <c r="AG33" s="24">
        <v>7.55</v>
      </c>
      <c r="AH33" s="15" t="s">
        <v>830</v>
      </c>
      <c r="AI33" s="2" t="s">
        <v>661</v>
      </c>
      <c r="AJ33" s="2" t="s">
        <v>661</v>
      </c>
      <c r="AK33" s="2" t="s">
        <v>661</v>
      </c>
      <c r="AL33" s="2" t="s">
        <v>661</v>
      </c>
      <c r="AM33" s="2" t="s">
        <v>661</v>
      </c>
      <c r="AN33" s="2" t="s">
        <v>661</v>
      </c>
      <c r="AO33" s="2" t="s">
        <v>661</v>
      </c>
      <c r="AP33" s="15">
        <v>2.52</v>
      </c>
      <c r="AQ33" s="16" t="s">
        <v>689</v>
      </c>
      <c r="AR33" s="16">
        <v>45.3</v>
      </c>
      <c r="AS33" s="16">
        <v>30</v>
      </c>
      <c r="AT33" s="16">
        <v>24.7</v>
      </c>
      <c r="AU33" s="16" t="s">
        <v>664</v>
      </c>
      <c r="AV33" s="16">
        <f t="shared" si="21"/>
        <v>100</v>
      </c>
      <c r="AW33" s="18">
        <v>3.4</v>
      </c>
      <c r="AX33" s="13">
        <f t="shared" si="14"/>
        <v>3.4000000000000002E-2</v>
      </c>
      <c r="AY33" s="8" t="s">
        <v>342</v>
      </c>
      <c r="AZ33" s="16">
        <f t="shared" si="19"/>
        <v>100</v>
      </c>
      <c r="BA33" s="16" t="s">
        <v>55</v>
      </c>
      <c r="BB33" s="15">
        <f>5*K33/1000</f>
        <v>3.2102385</v>
      </c>
      <c r="BC33" s="16">
        <f>5000*K33/1000</f>
        <v>3210.2384999999999</v>
      </c>
      <c r="BD33" s="18">
        <f>17.5*AX33</f>
        <v>0.59500000000000008</v>
      </c>
      <c r="BE33" s="15">
        <f t="shared" si="15"/>
        <v>17.5</v>
      </c>
      <c r="BF33" s="15">
        <f t="shared" si="16"/>
        <v>1.2430380486862944</v>
      </c>
      <c r="BG33" s="8">
        <f t="shared" si="17"/>
        <v>-0.22548303427145036</v>
      </c>
      <c r="BH33" s="13" t="s">
        <v>343</v>
      </c>
      <c r="BI33" s="51"/>
      <c r="BJ33" s="48"/>
      <c r="BK33" s="47"/>
      <c r="BL33" s="51"/>
      <c r="BM33" s="50"/>
      <c r="BN33" s="47"/>
      <c r="BO33" s="52"/>
    </row>
    <row r="34" spans="1:67" s="14" customFormat="1" x14ac:dyDescent="0.3">
      <c r="A34" s="20">
        <v>32</v>
      </c>
      <c r="B34" s="2" t="s">
        <v>775</v>
      </c>
      <c r="C34" s="2">
        <v>2021</v>
      </c>
      <c r="D34" s="2" t="s">
        <v>203</v>
      </c>
      <c r="E34" s="10" t="s">
        <v>786</v>
      </c>
      <c r="F34" s="20" t="s">
        <v>29</v>
      </c>
      <c r="G34" s="2" t="s">
        <v>117</v>
      </c>
      <c r="H34" s="2" t="str">
        <f>'PFAS Properties'!$B$19</f>
        <v>PFOSB</v>
      </c>
      <c r="I34" s="2" t="str">
        <f>'PFAS Properties'!$C$19</f>
        <v>Betaine</v>
      </c>
      <c r="J34" s="2" t="str">
        <f>'PFAS Properties'!$D$19</f>
        <v>C15H15F17N2O4S</v>
      </c>
      <c r="K34" s="25">
        <f>'PFAS Properties'!$P$19</f>
        <v>642.04769999999996</v>
      </c>
      <c r="L34" s="2">
        <f>'PFAS Properties'!$X$19</f>
        <v>2.2999999999999998</v>
      </c>
      <c r="M34" s="2">
        <f>'PFAS Properties'!$Y$19</f>
        <v>6.8</v>
      </c>
      <c r="N34" s="33">
        <f t="shared" si="0"/>
        <v>4.607065072794039E-8</v>
      </c>
      <c r="O34" s="33">
        <f>1/(1+(10^(L34-AG34))+(10^(AG34-M34)))</f>
        <v>3.7447630811207798E-2</v>
      </c>
      <c r="P34" s="33">
        <f>1/(1+(10^(M34-AG34))+(10^((L34+M34)-(2*AG34))))</f>
        <v>0.96255232311814132</v>
      </c>
      <c r="Q34" s="33">
        <v>0</v>
      </c>
      <c r="R34" s="33">
        <v>0</v>
      </c>
      <c r="S34" s="33">
        <v>0</v>
      </c>
      <c r="T34" s="8">
        <f t="shared" si="18"/>
        <v>0.99999999999999989</v>
      </c>
      <c r="U34" s="33">
        <f t="shared" si="4"/>
        <v>0.99999999999999989</v>
      </c>
      <c r="V34" s="33">
        <f t="shared" si="5"/>
        <v>-1.9625522770474904</v>
      </c>
      <c r="W34" s="33">
        <f t="shared" si="6"/>
        <v>641.08514772295234</v>
      </c>
      <c r="X34" s="33">
        <v>96485</v>
      </c>
      <c r="Y34" s="16">
        <f t="shared" si="7"/>
        <v>-144.86664802763778</v>
      </c>
      <c r="Z34" s="16">
        <v>15</v>
      </c>
      <c r="AA34" s="16">
        <v>17</v>
      </c>
      <c r="AB34" s="8">
        <f t="shared" si="8"/>
        <v>0.55727554179566563</v>
      </c>
      <c r="AC34" s="16">
        <f t="shared" si="9"/>
        <v>50.307788658070109</v>
      </c>
      <c r="AD34" s="20">
        <f>'PFAS Properties'!$W$19</f>
        <v>6</v>
      </c>
      <c r="AE34" s="8">
        <f>'PFAS Properties'!$S$19</f>
        <v>1.2615007731982801</v>
      </c>
      <c r="AF34" s="2">
        <f>'PFAS Properties'!$V$19</f>
        <v>4.5999999999999996</v>
      </c>
      <c r="AG34" s="24">
        <v>8.2100000000000009</v>
      </c>
      <c r="AH34" s="15" t="s">
        <v>830</v>
      </c>
      <c r="AI34" s="2" t="s">
        <v>661</v>
      </c>
      <c r="AJ34" s="2" t="s">
        <v>661</v>
      </c>
      <c r="AK34" s="2" t="s">
        <v>661</v>
      </c>
      <c r="AL34" s="2" t="s">
        <v>661</v>
      </c>
      <c r="AM34" s="2" t="s">
        <v>661</v>
      </c>
      <c r="AN34" s="2" t="s">
        <v>661</v>
      </c>
      <c r="AO34" s="2" t="s">
        <v>661</v>
      </c>
      <c r="AP34" s="15">
        <v>11.4</v>
      </c>
      <c r="AQ34" s="16" t="s">
        <v>689</v>
      </c>
      <c r="AR34" s="16">
        <v>28.7</v>
      </c>
      <c r="AS34" s="16">
        <v>40</v>
      </c>
      <c r="AT34" s="16">
        <v>31.3</v>
      </c>
      <c r="AU34" s="16" t="s">
        <v>664</v>
      </c>
      <c r="AV34" s="16">
        <f t="shared" si="21"/>
        <v>100</v>
      </c>
      <c r="AW34" s="18">
        <v>1.7</v>
      </c>
      <c r="AX34" s="13">
        <f t="shared" si="14"/>
        <v>1.7000000000000001E-2</v>
      </c>
      <c r="AY34" s="8" t="s">
        <v>342</v>
      </c>
      <c r="AZ34" s="16">
        <f t="shared" si="19"/>
        <v>100</v>
      </c>
      <c r="BA34" s="16" t="s">
        <v>55</v>
      </c>
      <c r="BB34" s="15">
        <f>5*K34/1000</f>
        <v>3.2102385</v>
      </c>
      <c r="BC34" s="16">
        <f>5000*K34/1000</f>
        <v>3210.2384999999999</v>
      </c>
      <c r="BD34" s="24">
        <f>225.9*AX34</f>
        <v>3.8403000000000005</v>
      </c>
      <c r="BE34" s="15">
        <f t="shared" si="15"/>
        <v>225.9</v>
      </c>
      <c r="BF34" s="15">
        <f t="shared" si="16"/>
        <v>2.3539162309203632</v>
      </c>
      <c r="BG34" s="8">
        <f t="shared" si="17"/>
        <v>0.58436515229863695</v>
      </c>
      <c r="BH34" s="13" t="s">
        <v>343</v>
      </c>
      <c r="BI34" s="51"/>
      <c r="BJ34" s="48"/>
      <c r="BK34" s="47"/>
      <c r="BL34" s="51"/>
      <c r="BM34" s="50"/>
      <c r="BN34" s="47"/>
      <c r="BO34" s="52"/>
    </row>
    <row r="35" spans="1:67" s="14" customFormat="1" x14ac:dyDescent="0.3">
      <c r="A35" s="20">
        <v>33</v>
      </c>
      <c r="B35" s="2" t="s">
        <v>775</v>
      </c>
      <c r="C35" s="2">
        <v>2021</v>
      </c>
      <c r="D35" s="2" t="s">
        <v>203</v>
      </c>
      <c r="E35" s="10" t="s">
        <v>786</v>
      </c>
      <c r="F35" s="20" t="s">
        <v>29</v>
      </c>
      <c r="G35" s="2" t="s">
        <v>118</v>
      </c>
      <c r="H35" s="2" t="str">
        <f>'PFAS Properties'!$B$19</f>
        <v>PFOSB</v>
      </c>
      <c r="I35" s="2" t="str">
        <f>'PFAS Properties'!$C$19</f>
        <v>Betaine</v>
      </c>
      <c r="J35" s="2" t="str">
        <f>'PFAS Properties'!$D$19</f>
        <v>C15H15F17N2O4S</v>
      </c>
      <c r="K35" s="25">
        <f>'PFAS Properties'!$P$19</f>
        <v>642.04769999999996</v>
      </c>
      <c r="L35" s="2">
        <f>'PFAS Properties'!$X$19</f>
        <v>2.2999999999999998</v>
      </c>
      <c r="M35" s="2">
        <f>'PFAS Properties'!$Y$19</f>
        <v>6.8</v>
      </c>
      <c r="N35" s="33">
        <f t="shared" si="0"/>
        <v>3.3799023800085573E-5</v>
      </c>
      <c r="O35" s="33">
        <f>1/(1+(10^(L35-AG35))+(10^(AG35-M35)))</f>
        <v>0.62936727449901508</v>
      </c>
      <c r="P35" s="33">
        <f>1/(1+(10^(M35-AG35))+(10^((L35+M35)-(2*AG35))))</f>
        <v>0.37059892647718473</v>
      </c>
      <c r="Q35" s="33">
        <v>0</v>
      </c>
      <c r="R35" s="33">
        <v>0</v>
      </c>
      <c r="S35" s="33">
        <v>0</v>
      </c>
      <c r="T35" s="8">
        <f t="shared" si="18"/>
        <v>0.99999999999999989</v>
      </c>
      <c r="U35" s="33">
        <f t="shared" ref="U35:U66" si="22">((1*N35)+(1*O35)+(1*P35))</f>
        <v>0.99999999999999989</v>
      </c>
      <c r="V35" s="33">
        <f t="shared" ref="V35:V66" si="23">-((1*O35)+(2*P35)+(1*Q35)+(2*R35))</f>
        <v>-1.3705651274533845</v>
      </c>
      <c r="W35" s="33">
        <f t="shared" ref="W35:W66" si="24">(N35*(K35+1))+(O35*K35)+(P35*(K35-1))+(Q35*(K35-1))+(R35*(K35-2))+(S35*K35)</f>
        <v>641.6771348725465</v>
      </c>
      <c r="X35" s="33">
        <v>96485</v>
      </c>
      <c r="Y35" s="16">
        <f t="shared" ref="Y35:Y66" si="25">((V35+U35)/W35)*X35</f>
        <v>-55.719573566294322</v>
      </c>
      <c r="Z35" s="16">
        <v>15</v>
      </c>
      <c r="AA35" s="16">
        <v>17</v>
      </c>
      <c r="AB35" s="8">
        <f t="shared" ref="AB35:AB66" si="26">(Z35/AA35)*(12/19)</f>
        <v>0.55727554179566563</v>
      </c>
      <c r="AC35" s="16">
        <f t="shared" si="9"/>
        <v>50.307788658070109</v>
      </c>
      <c r="AD35" s="20">
        <f>'PFAS Properties'!$W$19</f>
        <v>6</v>
      </c>
      <c r="AE35" s="8">
        <f>'PFAS Properties'!$S$19</f>
        <v>1.2615007731982801</v>
      </c>
      <c r="AF35" s="2">
        <f>'PFAS Properties'!$V$19</f>
        <v>4.5999999999999996</v>
      </c>
      <c r="AG35" s="24">
        <v>6.57</v>
      </c>
      <c r="AH35" s="15" t="s">
        <v>830</v>
      </c>
      <c r="AI35" s="2" t="s">
        <v>661</v>
      </c>
      <c r="AJ35" s="2" t="s">
        <v>661</v>
      </c>
      <c r="AK35" s="2" t="s">
        <v>661</v>
      </c>
      <c r="AL35" s="2" t="s">
        <v>661</v>
      </c>
      <c r="AM35" s="2" t="s">
        <v>661</v>
      </c>
      <c r="AN35" s="2" t="s">
        <v>661</v>
      </c>
      <c r="AO35" s="2" t="s">
        <v>661</v>
      </c>
      <c r="AP35" s="15">
        <v>9.93</v>
      </c>
      <c r="AQ35" s="16" t="s">
        <v>689</v>
      </c>
      <c r="AR35" s="16">
        <v>20</v>
      </c>
      <c r="AS35" s="16">
        <v>50</v>
      </c>
      <c r="AT35" s="16">
        <v>30</v>
      </c>
      <c r="AU35" s="16" t="s">
        <v>664</v>
      </c>
      <c r="AV35" s="16">
        <f t="shared" si="21"/>
        <v>100</v>
      </c>
      <c r="AW35" s="18">
        <v>2.9</v>
      </c>
      <c r="AX35" s="13">
        <f t="shared" si="14"/>
        <v>2.8999999999999998E-2</v>
      </c>
      <c r="AY35" s="8" t="s">
        <v>342</v>
      </c>
      <c r="AZ35" s="16">
        <f t="shared" si="19"/>
        <v>100</v>
      </c>
      <c r="BA35" s="16" t="s">
        <v>55</v>
      </c>
      <c r="BB35" s="15">
        <f>5*K35/1000</f>
        <v>3.2102385</v>
      </c>
      <c r="BC35" s="16">
        <f>5000*K35/1000</f>
        <v>3210.2384999999999</v>
      </c>
      <c r="BD35" s="25">
        <f>2972.6*AX35</f>
        <v>86.205399999999997</v>
      </c>
      <c r="BE35" s="15">
        <f t="shared" si="15"/>
        <v>2972.6</v>
      </c>
      <c r="BF35" s="15">
        <f t="shared" si="16"/>
        <v>3.4731364734564774</v>
      </c>
      <c r="BG35" s="8">
        <f t="shared" si="17"/>
        <v>1.9355344713554334</v>
      </c>
      <c r="BH35" s="13" t="s">
        <v>343</v>
      </c>
      <c r="BI35" s="49"/>
      <c r="BJ35" s="48"/>
      <c r="BK35" s="47"/>
      <c r="BL35" s="49"/>
      <c r="BM35" s="50"/>
      <c r="BN35" s="47"/>
      <c r="BO35" s="52"/>
    </row>
    <row r="36" spans="1:67" s="14" customFormat="1" x14ac:dyDescent="0.3">
      <c r="A36" s="20">
        <v>34</v>
      </c>
      <c r="B36" s="2" t="s">
        <v>775</v>
      </c>
      <c r="C36" s="2">
        <v>2021</v>
      </c>
      <c r="D36" s="2" t="s">
        <v>203</v>
      </c>
      <c r="E36" s="10" t="s">
        <v>786</v>
      </c>
      <c r="F36" s="20" t="s">
        <v>29</v>
      </c>
      <c r="G36" s="2" t="s">
        <v>119</v>
      </c>
      <c r="H36" s="2" t="str">
        <f>'PFAS Properties'!$B$19</f>
        <v>PFOSB</v>
      </c>
      <c r="I36" s="2" t="str">
        <f>'PFAS Properties'!$C$19</f>
        <v>Betaine</v>
      </c>
      <c r="J36" s="2" t="str">
        <f>'PFAS Properties'!$D$19</f>
        <v>C15H15F17N2O4S</v>
      </c>
      <c r="K36" s="25">
        <f>'PFAS Properties'!$P$19</f>
        <v>642.04769999999996</v>
      </c>
      <c r="L36" s="2">
        <f>'PFAS Properties'!$X$19</f>
        <v>2.2999999999999998</v>
      </c>
      <c r="M36" s="2">
        <f>'PFAS Properties'!$Y$19</f>
        <v>6.8</v>
      </c>
      <c r="N36" s="33">
        <f t="shared" si="0"/>
        <v>6.2389396280713178E-3</v>
      </c>
      <c r="O36" s="33">
        <f>1/(1+(10^(L36-AG36))+(10^(AG36-M36)))</f>
        <v>0.98880529447061138</v>
      </c>
      <c r="P36" s="33">
        <f>1/(1+(10^(M36-AG36))+(10^((L36+M36)-(2*AG36))))</f>
        <v>4.9557659013172595E-3</v>
      </c>
      <c r="Q36" s="33">
        <v>0</v>
      </c>
      <c r="R36" s="33">
        <v>0</v>
      </c>
      <c r="S36" s="33">
        <v>0</v>
      </c>
      <c r="T36" s="8">
        <f t="shared" si="18"/>
        <v>1</v>
      </c>
      <c r="U36" s="33">
        <f t="shared" si="22"/>
        <v>1</v>
      </c>
      <c r="V36" s="33">
        <f t="shared" si="23"/>
        <v>-0.99871682627324587</v>
      </c>
      <c r="W36" s="33">
        <f t="shared" si="24"/>
        <v>642.04898317372658</v>
      </c>
      <c r="X36" s="33">
        <v>96485</v>
      </c>
      <c r="Y36" s="16">
        <f t="shared" si="25"/>
        <v>0.1928311083274033</v>
      </c>
      <c r="Z36" s="16">
        <v>15</v>
      </c>
      <c r="AA36" s="16">
        <v>17</v>
      </c>
      <c r="AB36" s="8">
        <f t="shared" si="26"/>
        <v>0.55727554179566563</v>
      </c>
      <c r="AC36" s="16">
        <f t="shared" si="9"/>
        <v>50.307788658070109</v>
      </c>
      <c r="AD36" s="20">
        <f>'PFAS Properties'!$W$19</f>
        <v>6</v>
      </c>
      <c r="AE36" s="8">
        <f>'PFAS Properties'!$S$19</f>
        <v>1.2615007731982801</v>
      </c>
      <c r="AF36" s="2">
        <f>'PFAS Properties'!$V$19</f>
        <v>4.5999999999999996</v>
      </c>
      <c r="AG36" s="24">
        <v>4.5</v>
      </c>
      <c r="AH36" s="15" t="s">
        <v>830</v>
      </c>
      <c r="AI36" s="2" t="s">
        <v>661</v>
      </c>
      <c r="AJ36" s="2" t="s">
        <v>661</v>
      </c>
      <c r="AK36" s="2" t="s">
        <v>661</v>
      </c>
      <c r="AL36" s="2" t="s">
        <v>661</v>
      </c>
      <c r="AM36" s="2" t="s">
        <v>661</v>
      </c>
      <c r="AN36" s="2" t="s">
        <v>661</v>
      </c>
      <c r="AO36" s="2" t="s">
        <v>661</v>
      </c>
      <c r="AP36" s="72">
        <v>11.497016666666671</v>
      </c>
      <c r="AQ36" s="70" t="s">
        <v>752</v>
      </c>
      <c r="AR36" s="16">
        <v>51.2</v>
      </c>
      <c r="AS36" s="16">
        <v>36.200000000000003</v>
      </c>
      <c r="AT36" s="16">
        <v>12.6</v>
      </c>
      <c r="AU36" s="16" t="s">
        <v>664</v>
      </c>
      <c r="AV36" s="16">
        <f t="shared" si="21"/>
        <v>100</v>
      </c>
      <c r="AW36" s="18">
        <v>7.3</v>
      </c>
      <c r="AX36" s="13">
        <f t="shared" si="14"/>
        <v>7.2999999999999995E-2</v>
      </c>
      <c r="AY36" s="8" t="s">
        <v>342</v>
      </c>
      <c r="AZ36" s="16">
        <f t="shared" si="19"/>
        <v>100</v>
      </c>
      <c r="BA36" s="16" t="s">
        <v>55</v>
      </c>
      <c r="BB36" s="15">
        <f>5*K36/1000</f>
        <v>3.2102385</v>
      </c>
      <c r="BC36" s="16">
        <f>5000*K36/1000</f>
        <v>3210.2384999999999</v>
      </c>
      <c r="BD36" s="25">
        <f>1069.3*AX36</f>
        <v>78.058899999999994</v>
      </c>
      <c r="BE36" s="15">
        <f t="shared" si="15"/>
        <v>1069.3</v>
      </c>
      <c r="BF36" s="15">
        <f t="shared" si="16"/>
        <v>3.0290995668235428</v>
      </c>
      <c r="BG36" s="8">
        <f t="shared" si="17"/>
        <v>1.8924224269439986</v>
      </c>
      <c r="BH36" s="13" t="s">
        <v>343</v>
      </c>
      <c r="BI36" s="49"/>
      <c r="BJ36" s="48"/>
      <c r="BK36" s="47"/>
      <c r="BL36" s="49"/>
      <c r="BM36" s="50"/>
      <c r="BN36" s="47"/>
      <c r="BO36" s="52"/>
    </row>
    <row r="37" spans="1:67" s="14" customFormat="1" x14ac:dyDescent="0.3">
      <c r="A37" s="20">
        <v>35</v>
      </c>
      <c r="B37" s="2" t="s">
        <v>775</v>
      </c>
      <c r="C37" s="2">
        <v>2021</v>
      </c>
      <c r="D37" s="2" t="s">
        <v>203</v>
      </c>
      <c r="E37" s="10" t="s">
        <v>786</v>
      </c>
      <c r="F37" s="20" t="s">
        <v>29</v>
      </c>
      <c r="G37" s="2" t="s">
        <v>120</v>
      </c>
      <c r="H37" s="2" t="str">
        <f>'PFAS Properties'!$B$19</f>
        <v>PFOSB</v>
      </c>
      <c r="I37" s="2" t="str">
        <f>'PFAS Properties'!$C$19</f>
        <v>Betaine</v>
      </c>
      <c r="J37" s="2" t="str">
        <f>'PFAS Properties'!$D$19</f>
        <v>C15H15F17N2O4S</v>
      </c>
      <c r="K37" s="25">
        <f>'PFAS Properties'!$P$19</f>
        <v>642.04769999999996</v>
      </c>
      <c r="L37" s="2">
        <f>'PFAS Properties'!$X$19</f>
        <v>2.2999999999999998</v>
      </c>
      <c r="M37" s="2">
        <f>'PFAS Properties'!$Y$19</f>
        <v>6.8</v>
      </c>
      <c r="N37" s="33">
        <f t="shared" si="0"/>
        <v>1.3797010070559295E-3</v>
      </c>
      <c r="O37" s="33">
        <f>1/(1+(10^(L37-AG37))+(10^(AG37-M37)))</f>
        <v>0.97675351165579716</v>
      </c>
      <c r="P37" s="33">
        <f>1/(1+(10^(M37-AG37))+(10^((L37+M37)-(2*AG37))))</f>
        <v>2.1866787337146917E-2</v>
      </c>
      <c r="Q37" s="33">
        <v>0</v>
      </c>
      <c r="R37" s="33">
        <v>0</v>
      </c>
      <c r="S37" s="33">
        <v>0</v>
      </c>
      <c r="T37" s="8">
        <f t="shared" si="18"/>
        <v>1</v>
      </c>
      <c r="U37" s="33">
        <f t="shared" si="22"/>
        <v>1</v>
      </c>
      <c r="V37" s="33">
        <f t="shared" si="23"/>
        <v>-1.020487086330091</v>
      </c>
      <c r="W37" s="33">
        <f t="shared" si="24"/>
        <v>642.02721291366981</v>
      </c>
      <c r="X37" s="33">
        <v>96485</v>
      </c>
      <c r="Y37" s="16">
        <f t="shared" si="25"/>
        <v>-3.0788360443292091</v>
      </c>
      <c r="Z37" s="16">
        <v>15</v>
      </c>
      <c r="AA37" s="16">
        <v>17</v>
      </c>
      <c r="AB37" s="8">
        <f t="shared" si="26"/>
        <v>0.55727554179566563</v>
      </c>
      <c r="AC37" s="16">
        <f t="shared" si="9"/>
        <v>50.307788658070109</v>
      </c>
      <c r="AD37" s="20">
        <f>'PFAS Properties'!$W$19</f>
        <v>6</v>
      </c>
      <c r="AE37" s="8">
        <f>'PFAS Properties'!$S$19</f>
        <v>1.2615007731982801</v>
      </c>
      <c r="AF37" s="2">
        <f>'PFAS Properties'!$V$19</f>
        <v>4.5999999999999996</v>
      </c>
      <c r="AG37" s="24">
        <v>5.15</v>
      </c>
      <c r="AH37" s="2" t="s">
        <v>830</v>
      </c>
      <c r="AI37" s="2" t="s">
        <v>661</v>
      </c>
      <c r="AJ37" s="2" t="s">
        <v>661</v>
      </c>
      <c r="AK37" s="2" t="s">
        <v>661</v>
      </c>
      <c r="AL37" s="2" t="s">
        <v>661</v>
      </c>
      <c r="AM37" s="2" t="s">
        <v>661</v>
      </c>
      <c r="AN37" s="2" t="s">
        <v>661</v>
      </c>
      <c r="AO37" s="2" t="s">
        <v>661</v>
      </c>
      <c r="AP37" s="15">
        <v>0.57999999999999996</v>
      </c>
      <c r="AQ37" s="16" t="s">
        <v>689</v>
      </c>
      <c r="AR37" s="16">
        <v>59.2</v>
      </c>
      <c r="AS37" s="16">
        <v>32.200000000000003</v>
      </c>
      <c r="AT37" s="16">
        <v>8.6</v>
      </c>
      <c r="AU37" s="16" t="s">
        <v>664</v>
      </c>
      <c r="AV37" s="16">
        <f t="shared" si="21"/>
        <v>100</v>
      </c>
      <c r="AW37" s="18">
        <v>1.8</v>
      </c>
      <c r="AX37" s="13">
        <f t="shared" si="14"/>
        <v>1.8000000000000002E-2</v>
      </c>
      <c r="AY37" s="13" t="s">
        <v>342</v>
      </c>
      <c r="AZ37" s="16">
        <f t="shared" si="19"/>
        <v>100</v>
      </c>
      <c r="BA37" s="16" t="s">
        <v>55</v>
      </c>
      <c r="BB37" s="15">
        <f>5*K37/1000</f>
        <v>3.2102385</v>
      </c>
      <c r="BC37" s="16">
        <f>5000*K37/1000</f>
        <v>3210.2384999999999</v>
      </c>
      <c r="BD37" s="24">
        <f>171.2*AX37</f>
        <v>3.0816000000000003</v>
      </c>
      <c r="BE37" s="15">
        <f t="shared" si="15"/>
        <v>171.2</v>
      </c>
      <c r="BF37" s="15">
        <f t="shared" si="16"/>
        <v>2.2335037603411343</v>
      </c>
      <c r="BG37" s="8">
        <f t="shared" si="17"/>
        <v>0.48877626544444053</v>
      </c>
      <c r="BH37" s="13" t="s">
        <v>343</v>
      </c>
      <c r="BI37" s="49"/>
      <c r="BJ37" s="48"/>
      <c r="BK37" s="47"/>
      <c r="BL37" s="51"/>
      <c r="BM37" s="50"/>
      <c r="BN37" s="47"/>
      <c r="BO37" s="52"/>
    </row>
    <row r="38" spans="1:67" s="14" customFormat="1" x14ac:dyDescent="0.3">
      <c r="A38" s="20">
        <v>36</v>
      </c>
      <c r="B38" s="2" t="s">
        <v>242</v>
      </c>
      <c r="C38" s="2">
        <v>2018</v>
      </c>
      <c r="D38" s="2" t="s">
        <v>243</v>
      </c>
      <c r="E38" s="10" t="s">
        <v>788</v>
      </c>
      <c r="F38" s="20" t="s">
        <v>29</v>
      </c>
      <c r="G38" s="2" t="s">
        <v>129</v>
      </c>
      <c r="H38" s="2" t="str">
        <f>'PFAS Properties'!$B$20</f>
        <v>PFOAAmS</v>
      </c>
      <c r="I38" s="2" t="str">
        <f>'PFAS Properties'!$C$20</f>
        <v>Betaine</v>
      </c>
      <c r="J38" s="2" t="str">
        <f>'PFAS Properties'!$D$20</f>
        <v>C14H16F15N2O+</v>
      </c>
      <c r="K38" s="25">
        <f>'PFAS Properties'!$P$20</f>
        <v>513.1019</v>
      </c>
      <c r="L38" s="2">
        <f>'PFAS Properties'!$X$20</f>
        <v>7.7</v>
      </c>
      <c r="M38" s="2" t="str">
        <f>'PFAS Properties'!$Y$20</f>
        <v>-</v>
      </c>
      <c r="N38" s="33">
        <f t="shared" ref="N38:N48" si="27">(1/(1+(10^(AG38-L38))))</f>
        <v>0.99416209263371969</v>
      </c>
      <c r="O38" s="33">
        <f t="shared" ref="O38:O48" si="28">(10^(AG38-L38))/(1+(10^(AG38-L38)))</f>
        <v>5.8379073662803002E-3</v>
      </c>
      <c r="P38" s="33">
        <v>0</v>
      </c>
      <c r="Q38" s="33">
        <v>0</v>
      </c>
      <c r="R38" s="33">
        <v>0</v>
      </c>
      <c r="S38" s="33">
        <v>0</v>
      </c>
      <c r="T38" s="8">
        <f t="shared" si="18"/>
        <v>1</v>
      </c>
      <c r="U38" s="33">
        <f t="shared" si="22"/>
        <v>1</v>
      </c>
      <c r="V38" s="33">
        <f t="shared" si="23"/>
        <v>-5.8379073662803002E-3</v>
      </c>
      <c r="W38" s="33">
        <f t="shared" si="24"/>
        <v>514.0960620926337</v>
      </c>
      <c r="X38" s="33">
        <v>96485</v>
      </c>
      <c r="Y38" s="16">
        <f t="shared" si="25"/>
        <v>186.58328001446654</v>
      </c>
      <c r="Z38" s="2">
        <v>14</v>
      </c>
      <c r="AA38" s="2">
        <v>15</v>
      </c>
      <c r="AB38" s="8">
        <f t="shared" si="26"/>
        <v>0.58947368421052626</v>
      </c>
      <c r="AC38" s="16">
        <f t="shared" si="9"/>
        <v>55.544522442813019</v>
      </c>
      <c r="AD38" s="20">
        <f>'PFAS Properties'!$W$20</f>
        <v>7</v>
      </c>
      <c r="AE38" s="8">
        <f>'PFAS Properties'!$S$20</f>
        <v>2.4449811120879446</v>
      </c>
      <c r="AF38" s="2">
        <f>'PFAS Properties'!$V$20</f>
        <v>5.0999999999999996</v>
      </c>
      <c r="AG38" s="124">
        <v>5.4687999999999999</v>
      </c>
      <c r="AH38" s="70" t="s">
        <v>752</v>
      </c>
      <c r="AI38" s="2" t="s">
        <v>661</v>
      </c>
      <c r="AJ38" s="15" t="s">
        <v>661</v>
      </c>
      <c r="AK38" s="8" t="s">
        <v>661</v>
      </c>
      <c r="AL38" s="2" t="s">
        <v>661</v>
      </c>
      <c r="AM38" s="15" t="s">
        <v>661</v>
      </c>
      <c r="AN38" s="8" t="s">
        <v>661</v>
      </c>
      <c r="AO38" s="15" t="s">
        <v>661</v>
      </c>
      <c r="AP38" s="72">
        <v>21.5806</v>
      </c>
      <c r="AQ38" s="64" t="s">
        <v>752</v>
      </c>
      <c r="AR38" s="71">
        <v>41.737499999999997</v>
      </c>
      <c r="AS38" s="71">
        <v>35.036999999999999</v>
      </c>
      <c r="AT38" s="71">
        <v>21.887</v>
      </c>
      <c r="AU38" s="70" t="s">
        <v>752</v>
      </c>
      <c r="AV38" s="16">
        <f t="shared" si="21"/>
        <v>98.66149999999999</v>
      </c>
      <c r="AW38" s="18">
        <v>46.9</v>
      </c>
      <c r="AX38" s="13">
        <f t="shared" si="14"/>
        <v>0.46899999999999997</v>
      </c>
      <c r="AY38" s="13" t="s">
        <v>344</v>
      </c>
      <c r="AZ38" s="15">
        <f>0.01/0.05</f>
        <v>0.19999999999999998</v>
      </c>
      <c r="BA38" s="16" t="s">
        <v>55</v>
      </c>
      <c r="BB38" s="15">
        <v>2</v>
      </c>
      <c r="BC38" s="16">
        <v>3500</v>
      </c>
      <c r="BD38" s="25">
        <f>10^2.66</f>
        <v>457.0881896148756</v>
      </c>
      <c r="BE38" s="16">
        <f t="shared" si="15"/>
        <v>974.60168361380727</v>
      </c>
      <c r="BF38" s="16">
        <f t="shared" si="16"/>
        <v>2.9888271572849172</v>
      </c>
      <c r="BG38" s="8">
        <f t="shared" si="17"/>
        <v>2.6600000000000006</v>
      </c>
      <c r="BH38" s="13" t="s">
        <v>346</v>
      </c>
      <c r="BI38" s="47"/>
      <c r="BJ38" s="48"/>
      <c r="BK38" s="47"/>
      <c r="BL38" s="51"/>
      <c r="BM38" s="50"/>
      <c r="BN38" s="47"/>
      <c r="BO38" s="52"/>
    </row>
    <row r="39" spans="1:67" s="14" customFormat="1" x14ac:dyDescent="0.3">
      <c r="A39" s="20">
        <v>37</v>
      </c>
      <c r="B39" s="2" t="s">
        <v>775</v>
      </c>
      <c r="C39" s="2">
        <v>2021</v>
      </c>
      <c r="D39" s="2" t="s">
        <v>203</v>
      </c>
      <c r="E39" s="10" t="s">
        <v>786</v>
      </c>
      <c r="F39" s="20" t="s">
        <v>29</v>
      </c>
      <c r="G39" s="2" t="s">
        <v>116</v>
      </c>
      <c r="H39" s="2" t="str">
        <f>'PFAS Properties'!$B$20</f>
        <v>PFOAAmS</v>
      </c>
      <c r="I39" s="2" t="str">
        <f>'PFAS Properties'!$C$20</f>
        <v>Betaine</v>
      </c>
      <c r="J39" s="2" t="str">
        <f>'PFAS Properties'!$D$20</f>
        <v>C14H16F15N2O+</v>
      </c>
      <c r="K39" s="25">
        <f>'PFAS Properties'!$P$20</f>
        <v>513.1019</v>
      </c>
      <c r="L39" s="2">
        <f>'PFAS Properties'!$X$20</f>
        <v>7.7</v>
      </c>
      <c r="M39" s="2" t="str">
        <f>'PFAS Properties'!$Y$20</f>
        <v>-</v>
      </c>
      <c r="N39" s="33">
        <f t="shared" si="27"/>
        <v>0.58549867867180971</v>
      </c>
      <c r="O39" s="33">
        <f t="shared" si="28"/>
        <v>0.41450132132819034</v>
      </c>
      <c r="P39" s="33">
        <v>0</v>
      </c>
      <c r="Q39" s="33">
        <v>0</v>
      </c>
      <c r="R39" s="33">
        <v>0</v>
      </c>
      <c r="S39" s="33">
        <v>0</v>
      </c>
      <c r="T39" s="8">
        <f t="shared" si="18"/>
        <v>1</v>
      </c>
      <c r="U39" s="33">
        <f t="shared" si="22"/>
        <v>1</v>
      </c>
      <c r="V39" s="33">
        <f t="shared" si="23"/>
        <v>-0.41450132132819034</v>
      </c>
      <c r="W39" s="33">
        <f t="shared" si="24"/>
        <v>513.6873986786718</v>
      </c>
      <c r="X39" s="33">
        <v>96485</v>
      </c>
      <c r="Y39" s="16">
        <f t="shared" si="25"/>
        <v>109.97318633270007</v>
      </c>
      <c r="Z39" s="2">
        <v>14</v>
      </c>
      <c r="AA39" s="2">
        <v>15</v>
      </c>
      <c r="AB39" s="8">
        <f t="shared" si="26"/>
        <v>0.58947368421052626</v>
      </c>
      <c r="AC39" s="16">
        <f t="shared" si="9"/>
        <v>55.544522442813019</v>
      </c>
      <c r="AD39" s="20">
        <f>'PFAS Properties'!$W$20</f>
        <v>7</v>
      </c>
      <c r="AE39" s="8">
        <f>'PFAS Properties'!$S$20</f>
        <v>2.4449811120879446</v>
      </c>
      <c r="AF39" s="2">
        <f>'PFAS Properties'!$V$20</f>
        <v>5.0999999999999996</v>
      </c>
      <c r="AG39" s="24">
        <v>7.55</v>
      </c>
      <c r="AH39" s="15" t="s">
        <v>830</v>
      </c>
      <c r="AI39" s="2" t="s">
        <v>661</v>
      </c>
      <c r="AJ39" s="2" t="s">
        <v>661</v>
      </c>
      <c r="AK39" s="2" t="s">
        <v>661</v>
      </c>
      <c r="AL39" s="2" t="s">
        <v>661</v>
      </c>
      <c r="AM39" s="2" t="s">
        <v>661</v>
      </c>
      <c r="AN39" s="2" t="s">
        <v>661</v>
      </c>
      <c r="AO39" s="2" t="s">
        <v>661</v>
      </c>
      <c r="AP39" s="15">
        <v>2.52</v>
      </c>
      <c r="AQ39" s="16" t="s">
        <v>689</v>
      </c>
      <c r="AR39" s="16">
        <v>45.3</v>
      </c>
      <c r="AS39" s="16">
        <v>30</v>
      </c>
      <c r="AT39" s="16">
        <v>24.7</v>
      </c>
      <c r="AU39" s="16" t="s">
        <v>664</v>
      </c>
      <c r="AV39" s="16">
        <f t="shared" si="21"/>
        <v>100</v>
      </c>
      <c r="AW39" s="18">
        <v>3.4</v>
      </c>
      <c r="AX39" s="13">
        <f t="shared" si="14"/>
        <v>3.4000000000000002E-2</v>
      </c>
      <c r="AY39" s="8" t="s">
        <v>342</v>
      </c>
      <c r="AZ39" s="16">
        <f>1/0.01</f>
        <v>100</v>
      </c>
      <c r="BA39" s="16" t="s">
        <v>55</v>
      </c>
      <c r="BB39" s="15">
        <f>5*K39/1000</f>
        <v>2.5655095000000001</v>
      </c>
      <c r="BC39" s="16">
        <f>5000*K39/1000</f>
        <v>2565.5095000000001</v>
      </c>
      <c r="BD39" s="25">
        <f>353.2*AX39</f>
        <v>12.008800000000001</v>
      </c>
      <c r="BE39" s="15">
        <f t="shared" si="15"/>
        <v>353.2</v>
      </c>
      <c r="BF39" s="15">
        <f t="shared" si="16"/>
        <v>2.5480206949055311</v>
      </c>
      <c r="BG39" s="8">
        <f t="shared" si="17"/>
        <v>1.0794996119477862</v>
      </c>
      <c r="BH39" s="13" t="s">
        <v>343</v>
      </c>
      <c r="BI39" s="51"/>
      <c r="BJ39" s="48"/>
      <c r="BK39" s="49"/>
      <c r="BL39" s="51"/>
      <c r="BM39" s="50"/>
      <c r="BN39" s="47"/>
      <c r="BO39" s="52"/>
    </row>
    <row r="40" spans="1:67" s="14" customFormat="1" x14ac:dyDescent="0.3">
      <c r="A40" s="20">
        <v>38</v>
      </c>
      <c r="B40" s="2" t="s">
        <v>775</v>
      </c>
      <c r="C40" s="2">
        <v>2021</v>
      </c>
      <c r="D40" s="2" t="s">
        <v>203</v>
      </c>
      <c r="E40" s="10" t="s">
        <v>786</v>
      </c>
      <c r="F40" s="20" t="s">
        <v>29</v>
      </c>
      <c r="G40" s="2" t="s">
        <v>117</v>
      </c>
      <c r="H40" s="2" t="str">
        <f>'PFAS Properties'!$B$20</f>
        <v>PFOAAmS</v>
      </c>
      <c r="I40" s="2" t="str">
        <f>'PFAS Properties'!$C$20</f>
        <v>Betaine</v>
      </c>
      <c r="J40" s="2" t="str">
        <f>'PFAS Properties'!$D$20</f>
        <v>C14H16F15N2O+</v>
      </c>
      <c r="K40" s="25">
        <f>'PFAS Properties'!$P$20</f>
        <v>513.1019</v>
      </c>
      <c r="L40" s="2">
        <f>'PFAS Properties'!$X$20</f>
        <v>7.7</v>
      </c>
      <c r="M40" s="2" t="str">
        <f>'PFAS Properties'!$Y$20</f>
        <v>-</v>
      </c>
      <c r="N40" s="33">
        <f t="shared" si="27"/>
        <v>0.23607530085516112</v>
      </c>
      <c r="O40" s="33">
        <f t="shared" si="28"/>
        <v>0.76392469914483896</v>
      </c>
      <c r="P40" s="33">
        <v>0</v>
      </c>
      <c r="Q40" s="33">
        <v>0</v>
      </c>
      <c r="R40" s="33">
        <v>0</v>
      </c>
      <c r="S40" s="33">
        <v>0</v>
      </c>
      <c r="T40" s="8">
        <f t="shared" si="18"/>
        <v>1</v>
      </c>
      <c r="U40" s="33">
        <f t="shared" si="22"/>
        <v>1</v>
      </c>
      <c r="V40" s="33">
        <f t="shared" si="23"/>
        <v>-0.76392469914483896</v>
      </c>
      <c r="W40" s="33">
        <f t="shared" si="24"/>
        <v>513.33797530085519</v>
      </c>
      <c r="X40" s="33">
        <v>96485</v>
      </c>
      <c r="Y40" s="16">
        <f t="shared" si="25"/>
        <v>44.37179109856568</v>
      </c>
      <c r="Z40" s="2">
        <v>14</v>
      </c>
      <c r="AA40" s="2">
        <v>15</v>
      </c>
      <c r="AB40" s="8">
        <f t="shared" si="26"/>
        <v>0.58947368421052626</v>
      </c>
      <c r="AC40" s="16">
        <f t="shared" si="9"/>
        <v>55.544522442813019</v>
      </c>
      <c r="AD40" s="20">
        <f>'PFAS Properties'!$W$20</f>
        <v>7</v>
      </c>
      <c r="AE40" s="8">
        <f>'PFAS Properties'!$S$20</f>
        <v>2.4449811120879446</v>
      </c>
      <c r="AF40" s="2">
        <f>'PFAS Properties'!$V$20</f>
        <v>5.0999999999999996</v>
      </c>
      <c r="AG40" s="24">
        <v>8.2100000000000009</v>
      </c>
      <c r="AH40" s="15" t="s">
        <v>830</v>
      </c>
      <c r="AI40" s="2" t="s">
        <v>661</v>
      </c>
      <c r="AJ40" s="2" t="s">
        <v>661</v>
      </c>
      <c r="AK40" s="2" t="s">
        <v>661</v>
      </c>
      <c r="AL40" s="2" t="s">
        <v>661</v>
      </c>
      <c r="AM40" s="2" t="s">
        <v>661</v>
      </c>
      <c r="AN40" s="2" t="s">
        <v>661</v>
      </c>
      <c r="AO40" s="2" t="s">
        <v>661</v>
      </c>
      <c r="AP40" s="15">
        <v>11.4</v>
      </c>
      <c r="AQ40" s="16" t="s">
        <v>689</v>
      </c>
      <c r="AR40" s="16">
        <v>28.7</v>
      </c>
      <c r="AS40" s="16">
        <v>40</v>
      </c>
      <c r="AT40" s="16">
        <v>31.3</v>
      </c>
      <c r="AU40" s="16" t="s">
        <v>664</v>
      </c>
      <c r="AV40" s="16">
        <f t="shared" si="21"/>
        <v>100</v>
      </c>
      <c r="AW40" s="18">
        <v>1.7</v>
      </c>
      <c r="AX40" s="13">
        <f t="shared" si="14"/>
        <v>1.7000000000000001E-2</v>
      </c>
      <c r="AY40" s="8" t="s">
        <v>342</v>
      </c>
      <c r="AZ40" s="16">
        <f>1/0.01</f>
        <v>100</v>
      </c>
      <c r="BA40" s="16" t="s">
        <v>55</v>
      </c>
      <c r="BB40" s="15">
        <f>5*K40/1000</f>
        <v>2.5655095000000001</v>
      </c>
      <c r="BC40" s="16">
        <f>5000*K40/1000</f>
        <v>2565.5095000000001</v>
      </c>
      <c r="BD40" s="25">
        <f>1915.3*AX40</f>
        <v>32.560099999999998</v>
      </c>
      <c r="BE40" s="15">
        <f t="shared" si="15"/>
        <v>1915.2999999999997</v>
      </c>
      <c r="BF40" s="15">
        <f t="shared" si="16"/>
        <v>3.2822368086651026</v>
      </c>
      <c r="BG40" s="8">
        <f t="shared" si="17"/>
        <v>1.5126857300433767</v>
      </c>
      <c r="BH40" s="13" t="s">
        <v>343</v>
      </c>
      <c r="BI40" s="51"/>
      <c r="BJ40" s="48"/>
      <c r="BK40" s="49"/>
      <c r="BL40" s="51"/>
      <c r="BM40" s="50"/>
      <c r="BN40" s="47"/>
      <c r="BO40" s="52"/>
    </row>
    <row r="41" spans="1:67" s="14" customFormat="1" x14ac:dyDescent="0.3">
      <c r="A41" s="20">
        <v>39</v>
      </c>
      <c r="B41" s="2" t="s">
        <v>775</v>
      </c>
      <c r="C41" s="2">
        <v>2021</v>
      </c>
      <c r="D41" s="2" t="s">
        <v>203</v>
      </c>
      <c r="E41" s="10" t="s">
        <v>786</v>
      </c>
      <c r="F41" s="20" t="s">
        <v>29</v>
      </c>
      <c r="G41" s="2" t="s">
        <v>118</v>
      </c>
      <c r="H41" s="2" t="str">
        <f>'PFAS Properties'!$B$20</f>
        <v>PFOAAmS</v>
      </c>
      <c r="I41" s="2" t="str">
        <f>'PFAS Properties'!$C$20</f>
        <v>Betaine</v>
      </c>
      <c r="J41" s="2" t="str">
        <f>'PFAS Properties'!$D$20</f>
        <v>C14H16F15N2O+</v>
      </c>
      <c r="K41" s="25">
        <f>'PFAS Properties'!$P$20</f>
        <v>513.1019</v>
      </c>
      <c r="L41" s="2">
        <f>'PFAS Properties'!$X$20</f>
        <v>7.7</v>
      </c>
      <c r="M41" s="2" t="str">
        <f>'PFAS Properties'!$Y$20</f>
        <v>-</v>
      </c>
      <c r="N41" s="33">
        <f t="shared" si="27"/>
        <v>0.93098511963181751</v>
      </c>
      <c r="O41" s="33">
        <f t="shared" si="28"/>
        <v>6.9014880368182624E-2</v>
      </c>
      <c r="P41" s="33">
        <v>0</v>
      </c>
      <c r="Q41" s="33">
        <v>0</v>
      </c>
      <c r="R41" s="33">
        <v>0</v>
      </c>
      <c r="S41" s="33">
        <v>0</v>
      </c>
      <c r="T41" s="8">
        <f t="shared" si="18"/>
        <v>1.0000000000000002</v>
      </c>
      <c r="U41" s="33">
        <f t="shared" si="22"/>
        <v>1.0000000000000002</v>
      </c>
      <c r="V41" s="33">
        <f t="shared" si="23"/>
        <v>-6.9014880368182624E-2</v>
      </c>
      <c r="W41" s="33">
        <f t="shared" si="24"/>
        <v>514.03288511963194</v>
      </c>
      <c r="X41" s="33">
        <v>96485</v>
      </c>
      <c r="Y41" s="16">
        <f t="shared" si="25"/>
        <v>174.74776783351226</v>
      </c>
      <c r="Z41" s="2">
        <v>14</v>
      </c>
      <c r="AA41" s="2">
        <v>15</v>
      </c>
      <c r="AB41" s="8">
        <f t="shared" si="26"/>
        <v>0.58947368421052626</v>
      </c>
      <c r="AC41" s="16">
        <f t="shared" si="9"/>
        <v>55.544522442813019</v>
      </c>
      <c r="AD41" s="20">
        <f>'PFAS Properties'!$W$20</f>
        <v>7</v>
      </c>
      <c r="AE41" s="8">
        <f>'PFAS Properties'!$S$20</f>
        <v>2.4449811120879446</v>
      </c>
      <c r="AF41" s="2">
        <f>'PFAS Properties'!$V$20</f>
        <v>5.0999999999999996</v>
      </c>
      <c r="AG41" s="24">
        <v>6.57</v>
      </c>
      <c r="AH41" s="15" t="s">
        <v>830</v>
      </c>
      <c r="AI41" s="2" t="s">
        <v>661</v>
      </c>
      <c r="AJ41" s="2" t="s">
        <v>661</v>
      </c>
      <c r="AK41" s="2" t="s">
        <v>661</v>
      </c>
      <c r="AL41" s="2" t="s">
        <v>661</v>
      </c>
      <c r="AM41" s="2" t="s">
        <v>661</v>
      </c>
      <c r="AN41" s="2" t="s">
        <v>661</v>
      </c>
      <c r="AO41" s="2" t="s">
        <v>661</v>
      </c>
      <c r="AP41" s="15">
        <v>9.93</v>
      </c>
      <c r="AQ41" s="16" t="s">
        <v>689</v>
      </c>
      <c r="AR41" s="16">
        <v>20</v>
      </c>
      <c r="AS41" s="16">
        <v>50</v>
      </c>
      <c r="AT41" s="16">
        <v>30</v>
      </c>
      <c r="AU41" s="16" t="s">
        <v>664</v>
      </c>
      <c r="AV41" s="16">
        <f t="shared" si="21"/>
        <v>100</v>
      </c>
      <c r="AW41" s="18">
        <v>2.9</v>
      </c>
      <c r="AX41" s="13">
        <f t="shared" si="14"/>
        <v>2.8999999999999998E-2</v>
      </c>
      <c r="AY41" s="8" t="s">
        <v>342</v>
      </c>
      <c r="AZ41" s="16">
        <f>1/0.01</f>
        <v>100</v>
      </c>
      <c r="BA41" s="16" t="s">
        <v>55</v>
      </c>
      <c r="BB41" s="15">
        <f>5*K41/1000</f>
        <v>2.5655095000000001</v>
      </c>
      <c r="BC41" s="16">
        <f>5000*K41/1000</f>
        <v>2565.5095000000001</v>
      </c>
      <c r="BD41" s="25">
        <f>2782.8*AX41</f>
        <v>80.7012</v>
      </c>
      <c r="BE41" s="15">
        <f t="shared" si="15"/>
        <v>2782.8</v>
      </c>
      <c r="BF41" s="15">
        <f t="shared" si="16"/>
        <v>3.4444819946856122</v>
      </c>
      <c r="BG41" s="8">
        <f t="shared" si="17"/>
        <v>1.9068799925845683</v>
      </c>
      <c r="BH41" s="13" t="s">
        <v>343</v>
      </c>
      <c r="BI41" s="49"/>
      <c r="BJ41" s="48"/>
      <c r="BK41" s="49"/>
      <c r="BL41" s="49"/>
      <c r="BM41" s="50"/>
      <c r="BN41" s="47"/>
      <c r="BO41" s="52"/>
    </row>
    <row r="42" spans="1:67" s="14" customFormat="1" x14ac:dyDescent="0.3">
      <c r="A42" s="20">
        <v>40</v>
      </c>
      <c r="B42" s="2" t="s">
        <v>775</v>
      </c>
      <c r="C42" s="2">
        <v>2021</v>
      </c>
      <c r="D42" s="2" t="s">
        <v>203</v>
      </c>
      <c r="E42" s="10" t="s">
        <v>786</v>
      </c>
      <c r="F42" s="20" t="s">
        <v>29</v>
      </c>
      <c r="G42" s="2" t="s">
        <v>119</v>
      </c>
      <c r="H42" s="2" t="str">
        <f>'PFAS Properties'!$B$20</f>
        <v>PFOAAmS</v>
      </c>
      <c r="I42" s="2" t="str">
        <f>'PFAS Properties'!$C$20</f>
        <v>Betaine</v>
      </c>
      <c r="J42" s="2" t="str">
        <f>'PFAS Properties'!$D$20</f>
        <v>C14H16F15N2O+</v>
      </c>
      <c r="K42" s="25">
        <f>'PFAS Properties'!$P$20</f>
        <v>513.1019</v>
      </c>
      <c r="L42" s="2">
        <f>'PFAS Properties'!$X$20</f>
        <v>7.7</v>
      </c>
      <c r="M42" s="2" t="str">
        <f>'PFAS Properties'!$Y$20</f>
        <v>-</v>
      </c>
      <c r="N42" s="33">
        <f t="shared" si="27"/>
        <v>0.99936944051165999</v>
      </c>
      <c r="O42" s="33">
        <f t="shared" si="28"/>
        <v>6.3055948833989266E-4</v>
      </c>
      <c r="P42" s="33">
        <v>0</v>
      </c>
      <c r="Q42" s="33">
        <v>0</v>
      </c>
      <c r="R42" s="33">
        <v>0</v>
      </c>
      <c r="S42" s="33">
        <v>0</v>
      </c>
      <c r="T42" s="8">
        <f t="shared" si="18"/>
        <v>0.99999999999999989</v>
      </c>
      <c r="U42" s="33">
        <f t="shared" si="22"/>
        <v>0.99999999999999989</v>
      </c>
      <c r="V42" s="33">
        <f t="shared" si="23"/>
        <v>-6.3055948833989266E-4</v>
      </c>
      <c r="W42" s="33">
        <f t="shared" si="24"/>
        <v>514.1012694405116</v>
      </c>
      <c r="X42" s="33">
        <v>96485</v>
      </c>
      <c r="Y42" s="16">
        <f t="shared" si="25"/>
        <v>187.55868969688487</v>
      </c>
      <c r="Z42" s="2">
        <v>14</v>
      </c>
      <c r="AA42" s="2">
        <v>15</v>
      </c>
      <c r="AB42" s="8">
        <f t="shared" si="26"/>
        <v>0.58947368421052626</v>
      </c>
      <c r="AC42" s="16">
        <f t="shared" si="9"/>
        <v>55.544522442813019</v>
      </c>
      <c r="AD42" s="20">
        <f>'PFAS Properties'!$W$20</f>
        <v>7</v>
      </c>
      <c r="AE42" s="8">
        <f>'PFAS Properties'!$S$20</f>
        <v>2.4449811120879446</v>
      </c>
      <c r="AF42" s="2">
        <f>'PFAS Properties'!$V$20</f>
        <v>5.0999999999999996</v>
      </c>
      <c r="AG42" s="24">
        <v>4.5</v>
      </c>
      <c r="AH42" s="15" t="s">
        <v>830</v>
      </c>
      <c r="AI42" s="2" t="s">
        <v>661</v>
      </c>
      <c r="AJ42" s="2" t="s">
        <v>661</v>
      </c>
      <c r="AK42" s="2" t="s">
        <v>661</v>
      </c>
      <c r="AL42" s="2" t="s">
        <v>661</v>
      </c>
      <c r="AM42" s="2" t="s">
        <v>661</v>
      </c>
      <c r="AN42" s="2" t="s">
        <v>661</v>
      </c>
      <c r="AO42" s="2" t="s">
        <v>661</v>
      </c>
      <c r="AP42" s="72">
        <v>11.497016666666671</v>
      </c>
      <c r="AQ42" s="70" t="s">
        <v>752</v>
      </c>
      <c r="AR42" s="16">
        <v>51.2</v>
      </c>
      <c r="AS42" s="16">
        <v>36.200000000000003</v>
      </c>
      <c r="AT42" s="16">
        <v>12.6</v>
      </c>
      <c r="AU42" s="16" t="s">
        <v>664</v>
      </c>
      <c r="AV42" s="16">
        <f t="shared" si="21"/>
        <v>100</v>
      </c>
      <c r="AW42" s="18">
        <v>7.3</v>
      </c>
      <c r="AX42" s="13">
        <f t="shared" si="14"/>
        <v>7.2999999999999995E-2</v>
      </c>
      <c r="AY42" s="8" t="s">
        <v>342</v>
      </c>
      <c r="AZ42" s="16">
        <f>1/0.01</f>
        <v>100</v>
      </c>
      <c r="BA42" s="16" t="s">
        <v>55</v>
      </c>
      <c r="BB42" s="15">
        <f>5*K42/1000</f>
        <v>2.5655095000000001</v>
      </c>
      <c r="BC42" s="16">
        <f>5000*K42/1000</f>
        <v>2565.5095000000001</v>
      </c>
      <c r="BD42" s="25">
        <f>551.9*AX42</f>
        <v>40.288699999999999</v>
      </c>
      <c r="BE42" s="15">
        <f t="shared" si="15"/>
        <v>551.9</v>
      </c>
      <c r="BF42" s="15">
        <f t="shared" si="16"/>
        <v>2.7418603940652635</v>
      </c>
      <c r="BG42" s="8">
        <f t="shared" si="17"/>
        <v>1.6051832541857194</v>
      </c>
      <c r="BH42" s="13" t="s">
        <v>343</v>
      </c>
      <c r="BI42" s="49"/>
      <c r="BJ42" s="48"/>
      <c r="BK42" s="49"/>
      <c r="BL42" s="49"/>
      <c r="BM42" s="50"/>
      <c r="BN42" s="47"/>
      <c r="BO42" s="52"/>
    </row>
    <row r="43" spans="1:67" s="14" customFormat="1" x14ac:dyDescent="0.3">
      <c r="A43" s="20">
        <v>41</v>
      </c>
      <c r="B43" s="2" t="s">
        <v>775</v>
      </c>
      <c r="C43" s="2">
        <v>2021</v>
      </c>
      <c r="D43" s="2" t="s">
        <v>203</v>
      </c>
      <c r="E43" s="10" t="s">
        <v>786</v>
      </c>
      <c r="F43" s="20" t="s">
        <v>29</v>
      </c>
      <c r="G43" s="2" t="s">
        <v>120</v>
      </c>
      <c r="H43" s="2" t="str">
        <f>'PFAS Properties'!$B$20</f>
        <v>PFOAAmS</v>
      </c>
      <c r="I43" s="2" t="str">
        <f>'PFAS Properties'!$C$20</f>
        <v>Betaine</v>
      </c>
      <c r="J43" s="2" t="str">
        <f>'PFAS Properties'!$D$20</f>
        <v>C14H16F15N2O+</v>
      </c>
      <c r="K43" s="25">
        <f>'PFAS Properties'!$P$20</f>
        <v>513.1019</v>
      </c>
      <c r="L43" s="2">
        <f>'PFAS Properties'!$X$20</f>
        <v>7.7</v>
      </c>
      <c r="M43" s="2" t="str">
        <f>'PFAS Properties'!$Y$20</f>
        <v>-</v>
      </c>
      <c r="N43" s="33">
        <f t="shared" si="27"/>
        <v>0.99718953802678978</v>
      </c>
      <c r="O43" s="33">
        <f t="shared" si="28"/>
        <v>2.8104619732101889E-3</v>
      </c>
      <c r="P43" s="33">
        <v>0</v>
      </c>
      <c r="Q43" s="33">
        <v>0</v>
      </c>
      <c r="R43" s="33">
        <v>0</v>
      </c>
      <c r="S43" s="33">
        <v>0</v>
      </c>
      <c r="T43" s="8">
        <f t="shared" si="18"/>
        <v>1</v>
      </c>
      <c r="U43" s="33">
        <f t="shared" si="22"/>
        <v>1</v>
      </c>
      <c r="V43" s="33">
        <f t="shared" si="23"/>
        <v>-2.8104619732101889E-3</v>
      </c>
      <c r="W43" s="33">
        <f t="shared" si="24"/>
        <v>514.09908953802676</v>
      </c>
      <c r="X43" s="33">
        <v>96485</v>
      </c>
      <c r="Y43" s="16">
        <f t="shared" si="25"/>
        <v>187.15036562887764</v>
      </c>
      <c r="Z43" s="2">
        <v>14</v>
      </c>
      <c r="AA43" s="2">
        <v>15</v>
      </c>
      <c r="AB43" s="8">
        <f t="shared" si="26"/>
        <v>0.58947368421052626</v>
      </c>
      <c r="AC43" s="16">
        <f t="shared" si="9"/>
        <v>55.544522442813019</v>
      </c>
      <c r="AD43" s="20">
        <f>'PFAS Properties'!$W$20</f>
        <v>7</v>
      </c>
      <c r="AE43" s="8">
        <f>'PFAS Properties'!$S$20</f>
        <v>2.4449811120879446</v>
      </c>
      <c r="AF43" s="2">
        <f>'PFAS Properties'!$V$20</f>
        <v>5.0999999999999996</v>
      </c>
      <c r="AG43" s="24">
        <v>5.15</v>
      </c>
      <c r="AH43" s="2" t="s">
        <v>830</v>
      </c>
      <c r="AI43" s="2" t="s">
        <v>661</v>
      </c>
      <c r="AJ43" s="2" t="s">
        <v>661</v>
      </c>
      <c r="AK43" s="2" t="s">
        <v>661</v>
      </c>
      <c r="AL43" s="2" t="s">
        <v>661</v>
      </c>
      <c r="AM43" s="2" t="s">
        <v>661</v>
      </c>
      <c r="AN43" s="2" t="s">
        <v>661</v>
      </c>
      <c r="AO43" s="2" t="s">
        <v>661</v>
      </c>
      <c r="AP43" s="15">
        <v>0.57999999999999996</v>
      </c>
      <c r="AQ43" s="16" t="s">
        <v>689</v>
      </c>
      <c r="AR43" s="16">
        <v>59.2</v>
      </c>
      <c r="AS43" s="16">
        <v>32.200000000000003</v>
      </c>
      <c r="AT43" s="16">
        <v>8.6</v>
      </c>
      <c r="AU43" s="16" t="s">
        <v>664</v>
      </c>
      <c r="AV43" s="16">
        <f t="shared" si="21"/>
        <v>100</v>
      </c>
      <c r="AW43" s="18">
        <v>1.8</v>
      </c>
      <c r="AX43" s="13">
        <f t="shared" si="14"/>
        <v>1.8000000000000002E-2</v>
      </c>
      <c r="AY43" s="13" t="s">
        <v>342</v>
      </c>
      <c r="AZ43" s="16">
        <f>1/0.01</f>
        <v>100</v>
      </c>
      <c r="BA43" s="16" t="s">
        <v>55</v>
      </c>
      <c r="BB43" s="15">
        <f>5*K43/1000</f>
        <v>2.5655095000000001</v>
      </c>
      <c r="BC43" s="16">
        <f>5000*K43/1000</f>
        <v>2565.5095000000001</v>
      </c>
      <c r="BD43" s="25">
        <f>1555.5*AX43</f>
        <v>27.999000000000002</v>
      </c>
      <c r="BE43" s="15">
        <f t="shared" si="15"/>
        <v>1555.5</v>
      </c>
      <c r="BF43" s="15">
        <f t="shared" si="16"/>
        <v>3.1918700154447222</v>
      </c>
      <c r="BG43" s="8">
        <f t="shared" si="17"/>
        <v>1.4471425205480284</v>
      </c>
      <c r="BH43" s="13" t="s">
        <v>343</v>
      </c>
      <c r="BI43" s="49"/>
      <c r="BJ43" s="48"/>
      <c r="BK43" s="49"/>
      <c r="BL43" s="51"/>
      <c r="BM43" s="50"/>
      <c r="BN43" s="47"/>
      <c r="BO43" s="52"/>
    </row>
    <row r="44" spans="1:67" s="14" customFormat="1" x14ac:dyDescent="0.3">
      <c r="A44" s="20">
        <v>42</v>
      </c>
      <c r="B44" s="2" t="s">
        <v>230</v>
      </c>
      <c r="C44" s="2">
        <v>2019</v>
      </c>
      <c r="D44" s="2" t="s">
        <v>203</v>
      </c>
      <c r="E44" s="10" t="s">
        <v>231</v>
      </c>
      <c r="F44" s="20" t="s">
        <v>29</v>
      </c>
      <c r="G44" s="2" t="s">
        <v>110</v>
      </c>
      <c r="H44" s="2" t="str">
        <f>'PFAS Properties'!$B$20</f>
        <v>PFOAAmS</v>
      </c>
      <c r="I44" s="2" t="str">
        <f>'PFAS Properties'!$C$20</f>
        <v>Betaine</v>
      </c>
      <c r="J44" s="2" t="str">
        <f>'PFAS Properties'!$D$20</f>
        <v>C14H16F15N2O+</v>
      </c>
      <c r="K44" s="25">
        <f>'PFAS Properties'!$P$20</f>
        <v>513.1019</v>
      </c>
      <c r="L44" s="2">
        <f>'PFAS Properties'!$X$20</f>
        <v>7.7</v>
      </c>
      <c r="M44" s="2" t="str">
        <f>'PFAS Properties'!$Y$20</f>
        <v>-</v>
      </c>
      <c r="N44" s="33">
        <f t="shared" si="27"/>
        <v>0.20076000891310153</v>
      </c>
      <c r="O44" s="33">
        <f t="shared" si="28"/>
        <v>0.79923999108689847</v>
      </c>
      <c r="P44" s="33">
        <v>0</v>
      </c>
      <c r="Q44" s="33">
        <v>0</v>
      </c>
      <c r="R44" s="33">
        <v>0</v>
      </c>
      <c r="S44" s="33">
        <v>0</v>
      </c>
      <c r="T44" s="8">
        <f t="shared" si="18"/>
        <v>1</v>
      </c>
      <c r="U44" s="33">
        <f t="shared" si="22"/>
        <v>1</v>
      </c>
      <c r="V44" s="33">
        <f t="shared" si="23"/>
        <v>-0.79923999108689847</v>
      </c>
      <c r="W44" s="33">
        <f t="shared" si="24"/>
        <v>513.30266000891311</v>
      </c>
      <c r="X44" s="33">
        <v>96485</v>
      </c>
      <c r="Y44" s="16">
        <f t="shared" si="25"/>
        <v>37.736662926399504</v>
      </c>
      <c r="Z44" s="2">
        <v>14</v>
      </c>
      <c r="AA44" s="2">
        <v>15</v>
      </c>
      <c r="AB44" s="8">
        <f t="shared" si="26"/>
        <v>0.58947368421052626</v>
      </c>
      <c r="AC44" s="16">
        <f t="shared" si="9"/>
        <v>55.544522442813019</v>
      </c>
      <c r="AD44" s="20">
        <f>'PFAS Properties'!$W$20</f>
        <v>7</v>
      </c>
      <c r="AE44" s="8">
        <f>'PFAS Properties'!$S$20</f>
        <v>2.4449811120879446</v>
      </c>
      <c r="AF44" s="2">
        <f>'PFAS Properties'!$V$20</f>
        <v>5.0999999999999996</v>
      </c>
      <c r="AG44" s="24">
        <v>8.3000000000000007</v>
      </c>
      <c r="AH44" s="2" t="s">
        <v>355</v>
      </c>
      <c r="AI44" s="2" t="s">
        <v>661</v>
      </c>
      <c r="AJ44" s="2" t="s">
        <v>661</v>
      </c>
      <c r="AK44" s="2" t="s">
        <v>661</v>
      </c>
      <c r="AL44" s="2" t="s">
        <v>661</v>
      </c>
      <c r="AM44" s="2" t="s">
        <v>661</v>
      </c>
      <c r="AN44" s="2" t="s">
        <v>661</v>
      </c>
      <c r="AO44" s="2" t="s">
        <v>661</v>
      </c>
      <c r="AP44" s="15">
        <v>24.8</v>
      </c>
      <c r="AQ44" s="2" t="s">
        <v>661</v>
      </c>
      <c r="AR44" s="71">
        <v>30.683900000000001</v>
      </c>
      <c r="AS44" s="71">
        <v>38.891100000000002</v>
      </c>
      <c r="AT44" s="71">
        <v>30.567799999999998</v>
      </c>
      <c r="AU44" s="70" t="s">
        <v>752</v>
      </c>
      <c r="AV44" s="16">
        <f t="shared" ref="AV44:AV48" si="29">SUM(AR44:AT44)</f>
        <v>100.14279999999999</v>
      </c>
      <c r="AW44" s="18">
        <v>0.1</v>
      </c>
      <c r="AX44" s="13">
        <f t="shared" si="14"/>
        <v>1E-3</v>
      </c>
      <c r="AY44" s="8" t="s">
        <v>111</v>
      </c>
      <c r="AZ44" s="15">
        <v>0.2</v>
      </c>
      <c r="BA44" s="16">
        <v>15</v>
      </c>
      <c r="BB44" s="12" t="s">
        <v>55</v>
      </c>
      <c r="BC44" s="12" t="s">
        <v>55</v>
      </c>
      <c r="BD44" s="24">
        <f>BO44</f>
        <v>7.2705808490156238</v>
      </c>
      <c r="BE44" s="16">
        <f t="shared" si="15"/>
        <v>7270.5808490156232</v>
      </c>
      <c r="BF44" s="16">
        <f t="shared" si="16"/>
        <v>3.861569108169284</v>
      </c>
      <c r="BG44" s="8">
        <f t="shared" si="17"/>
        <v>0.861569108169284</v>
      </c>
      <c r="BH44" s="13" t="s">
        <v>782</v>
      </c>
      <c r="BI44" s="16">
        <f>10^2.9</f>
        <v>794.32823472428208</v>
      </c>
      <c r="BJ44" s="16" t="s">
        <v>330</v>
      </c>
      <c r="BK44" s="8">
        <v>0.24</v>
      </c>
      <c r="BL44" s="16">
        <f>BI44*(K44/1000)/(K44^BK44)</f>
        <v>91.149597106711511</v>
      </c>
      <c r="BM44" s="25">
        <f>'PFAS Properties'!$U$20</f>
        <v>27.860000000000003</v>
      </c>
      <c r="BN44" s="16">
        <f>(BL44*(BM44^BK44))</f>
        <v>202.55838245357529</v>
      </c>
      <c r="BO44" s="24">
        <f>BN44/BM44</f>
        <v>7.2705808490156238</v>
      </c>
    </row>
    <row r="45" spans="1:67" s="14" customFormat="1" x14ac:dyDescent="0.3">
      <c r="A45" s="20">
        <v>43</v>
      </c>
      <c r="B45" s="2" t="s">
        <v>230</v>
      </c>
      <c r="C45" s="2">
        <v>2019</v>
      </c>
      <c r="D45" s="2" t="s">
        <v>203</v>
      </c>
      <c r="E45" s="10" t="s">
        <v>231</v>
      </c>
      <c r="F45" s="20" t="s">
        <v>29</v>
      </c>
      <c r="G45" s="2" t="s">
        <v>112</v>
      </c>
      <c r="H45" s="2" t="str">
        <f>'PFAS Properties'!$B$20</f>
        <v>PFOAAmS</v>
      </c>
      <c r="I45" s="2" t="str">
        <f>'PFAS Properties'!$C$20</f>
        <v>Betaine</v>
      </c>
      <c r="J45" s="2" t="str">
        <f>'PFAS Properties'!$D$20</f>
        <v>C14H16F15N2O+</v>
      </c>
      <c r="K45" s="25">
        <f>'PFAS Properties'!$P$20</f>
        <v>513.1019</v>
      </c>
      <c r="L45" s="2">
        <f>'PFAS Properties'!$X$20</f>
        <v>7.7</v>
      </c>
      <c r="M45" s="2" t="str">
        <f>'PFAS Properties'!$Y$20</f>
        <v>-</v>
      </c>
      <c r="N45" s="33">
        <f t="shared" si="27"/>
        <v>0.24025307335204252</v>
      </c>
      <c r="O45" s="33">
        <f t="shared" si="28"/>
        <v>0.75974692664795762</v>
      </c>
      <c r="P45" s="33">
        <v>0</v>
      </c>
      <c r="Q45" s="33">
        <v>0</v>
      </c>
      <c r="R45" s="33">
        <v>0</v>
      </c>
      <c r="S45" s="33">
        <v>0</v>
      </c>
      <c r="T45" s="8">
        <f t="shared" si="18"/>
        <v>1.0000000000000002</v>
      </c>
      <c r="U45" s="33">
        <f t="shared" si="22"/>
        <v>1.0000000000000002</v>
      </c>
      <c r="V45" s="33">
        <f t="shared" si="23"/>
        <v>-0.75974692664795762</v>
      </c>
      <c r="W45" s="33">
        <f t="shared" si="24"/>
        <v>513.34215307335216</v>
      </c>
      <c r="X45" s="33">
        <v>96485</v>
      </c>
      <c r="Y45" s="16">
        <f t="shared" si="25"/>
        <v>45.156661387710919</v>
      </c>
      <c r="Z45" s="2">
        <v>14</v>
      </c>
      <c r="AA45" s="2">
        <v>15</v>
      </c>
      <c r="AB45" s="8">
        <f t="shared" si="26"/>
        <v>0.58947368421052626</v>
      </c>
      <c r="AC45" s="16">
        <f t="shared" si="9"/>
        <v>55.544522442813019</v>
      </c>
      <c r="AD45" s="20">
        <f>'PFAS Properties'!$W$20</f>
        <v>7</v>
      </c>
      <c r="AE45" s="8">
        <f>'PFAS Properties'!$S$20</f>
        <v>2.4449811120879446</v>
      </c>
      <c r="AF45" s="2">
        <f>'PFAS Properties'!$V$20</f>
        <v>5.0999999999999996</v>
      </c>
      <c r="AG45" s="24">
        <v>8.1999999999999993</v>
      </c>
      <c r="AH45" s="2" t="s">
        <v>355</v>
      </c>
      <c r="AI45" s="2" t="s">
        <v>661</v>
      </c>
      <c r="AJ45" s="2" t="s">
        <v>661</v>
      </c>
      <c r="AK45" s="2" t="s">
        <v>661</v>
      </c>
      <c r="AL45" s="2" t="s">
        <v>661</v>
      </c>
      <c r="AM45" s="2" t="s">
        <v>661</v>
      </c>
      <c r="AN45" s="2" t="s">
        <v>661</v>
      </c>
      <c r="AO45" s="2" t="s">
        <v>661</v>
      </c>
      <c r="AP45" s="15">
        <v>41.3</v>
      </c>
      <c r="AQ45" s="2" t="s">
        <v>661</v>
      </c>
      <c r="AR45" s="71">
        <v>34.417400000000001</v>
      </c>
      <c r="AS45" s="71">
        <v>33.425600000000003</v>
      </c>
      <c r="AT45" s="71">
        <v>31.142800000000001</v>
      </c>
      <c r="AU45" s="70" t="s">
        <v>752</v>
      </c>
      <c r="AV45" s="16">
        <f t="shared" si="29"/>
        <v>98.985800000000012</v>
      </c>
      <c r="AW45" s="18">
        <v>0.1</v>
      </c>
      <c r="AX45" s="13">
        <f t="shared" si="14"/>
        <v>1E-3</v>
      </c>
      <c r="AY45" s="8" t="s">
        <v>111</v>
      </c>
      <c r="AZ45" s="15">
        <v>0.2</v>
      </c>
      <c r="BA45" s="16">
        <v>15</v>
      </c>
      <c r="BB45" s="12" t="s">
        <v>55</v>
      </c>
      <c r="BC45" s="12" t="s">
        <v>55</v>
      </c>
      <c r="BD45" s="25">
        <f>BO45</f>
        <v>33.389693528550119</v>
      </c>
      <c r="BE45" s="16">
        <f t="shared" si="15"/>
        <v>33389.693528550117</v>
      </c>
      <c r="BF45" s="16">
        <f t="shared" si="16"/>
        <v>4.5236124328468126</v>
      </c>
      <c r="BG45" s="8">
        <f t="shared" si="17"/>
        <v>1.5236124328468124</v>
      </c>
      <c r="BH45" s="13" t="s">
        <v>782</v>
      </c>
      <c r="BI45" s="16">
        <f>10^3.6</f>
        <v>3981.0717055349769</v>
      </c>
      <c r="BJ45" s="16" t="s">
        <v>330</v>
      </c>
      <c r="BK45" s="8">
        <v>0.27</v>
      </c>
      <c r="BL45" s="16">
        <f>BI45*(K45/1000)/(K45^BK45)</f>
        <v>378.8337340049855</v>
      </c>
      <c r="BM45" s="25">
        <f>'PFAS Properties'!$U$20</f>
        <v>27.860000000000003</v>
      </c>
      <c r="BN45" s="16">
        <f>(BL45*(BM45^BK45))</f>
        <v>930.23686170540634</v>
      </c>
      <c r="BO45" s="25">
        <f>BN45/BM45</f>
        <v>33.389693528550119</v>
      </c>
    </row>
    <row r="46" spans="1:67" s="14" customFormat="1" x14ac:dyDescent="0.3">
      <c r="A46" s="20">
        <v>44</v>
      </c>
      <c r="B46" s="2" t="s">
        <v>230</v>
      </c>
      <c r="C46" s="2">
        <v>2019</v>
      </c>
      <c r="D46" s="2" t="s">
        <v>203</v>
      </c>
      <c r="E46" s="10" t="s">
        <v>231</v>
      </c>
      <c r="F46" s="20" t="s">
        <v>29</v>
      </c>
      <c r="G46" s="2" t="s">
        <v>113</v>
      </c>
      <c r="H46" s="2" t="str">
        <f>'PFAS Properties'!$B$20</f>
        <v>PFOAAmS</v>
      </c>
      <c r="I46" s="2" t="str">
        <f>'PFAS Properties'!$C$20</f>
        <v>Betaine</v>
      </c>
      <c r="J46" s="2" t="str">
        <f>'PFAS Properties'!$D$20</f>
        <v>C14H16F15N2O+</v>
      </c>
      <c r="K46" s="25">
        <f>'PFAS Properties'!$P$20</f>
        <v>513.1019</v>
      </c>
      <c r="L46" s="2">
        <f>'PFAS Properties'!$X$20</f>
        <v>7.7</v>
      </c>
      <c r="M46" s="2" t="str">
        <f>'PFAS Properties'!$Y$20</f>
        <v>-</v>
      </c>
      <c r="N46" s="33">
        <f t="shared" si="27"/>
        <v>0.1663375308165618</v>
      </c>
      <c r="O46" s="33">
        <f t="shared" si="28"/>
        <v>0.83366246918343823</v>
      </c>
      <c r="P46" s="33">
        <v>0</v>
      </c>
      <c r="Q46" s="33">
        <v>0</v>
      </c>
      <c r="R46" s="33">
        <v>0</v>
      </c>
      <c r="S46" s="33">
        <v>0</v>
      </c>
      <c r="T46" s="8">
        <f t="shared" si="18"/>
        <v>1</v>
      </c>
      <c r="U46" s="33">
        <f t="shared" si="22"/>
        <v>1</v>
      </c>
      <c r="V46" s="33">
        <f t="shared" si="23"/>
        <v>-0.83366246918343823</v>
      </c>
      <c r="W46" s="33">
        <f t="shared" si="24"/>
        <v>513.26823753081658</v>
      </c>
      <c r="X46" s="33">
        <v>96485</v>
      </c>
      <c r="Y46" s="16">
        <f t="shared" si="25"/>
        <v>31.268400199559157</v>
      </c>
      <c r="Z46" s="2">
        <v>14</v>
      </c>
      <c r="AA46" s="2">
        <v>15</v>
      </c>
      <c r="AB46" s="8">
        <f t="shared" si="26"/>
        <v>0.58947368421052626</v>
      </c>
      <c r="AC46" s="16">
        <f t="shared" si="9"/>
        <v>55.544522442813019</v>
      </c>
      <c r="AD46" s="20">
        <f>'PFAS Properties'!$W$20</f>
        <v>7</v>
      </c>
      <c r="AE46" s="8">
        <f>'PFAS Properties'!$S$20</f>
        <v>2.4449811120879446</v>
      </c>
      <c r="AF46" s="2">
        <f>'PFAS Properties'!$V$20</f>
        <v>5.0999999999999996</v>
      </c>
      <c r="AG46" s="24">
        <v>8.4</v>
      </c>
      <c r="AH46" s="2" t="s">
        <v>355</v>
      </c>
      <c r="AI46" s="2" t="s">
        <v>661</v>
      </c>
      <c r="AJ46" s="2" t="s">
        <v>661</v>
      </c>
      <c r="AK46" s="2" t="s">
        <v>661</v>
      </c>
      <c r="AL46" s="2" t="s">
        <v>661</v>
      </c>
      <c r="AM46" s="2" t="s">
        <v>661</v>
      </c>
      <c r="AN46" s="2" t="s">
        <v>661</v>
      </c>
      <c r="AO46" s="2" t="s">
        <v>661</v>
      </c>
      <c r="AP46" s="15">
        <v>22.5</v>
      </c>
      <c r="AQ46" s="2" t="s">
        <v>661</v>
      </c>
      <c r="AR46" s="71">
        <v>31.346399999999999</v>
      </c>
      <c r="AS46" s="71">
        <v>39.162100000000002</v>
      </c>
      <c r="AT46" s="71">
        <v>29.6173</v>
      </c>
      <c r="AU46" s="70" t="s">
        <v>752</v>
      </c>
      <c r="AV46" s="16">
        <f t="shared" si="29"/>
        <v>100.1258</v>
      </c>
      <c r="AW46" s="18">
        <v>0.9</v>
      </c>
      <c r="AX46" s="13">
        <f t="shared" si="14"/>
        <v>9.0000000000000011E-3</v>
      </c>
      <c r="AY46" s="8" t="s">
        <v>111</v>
      </c>
      <c r="AZ46" s="15">
        <v>0.2</v>
      </c>
      <c r="BA46" s="16">
        <v>15</v>
      </c>
      <c r="BB46" s="12" t="s">
        <v>55</v>
      </c>
      <c r="BC46" s="12" t="s">
        <v>55</v>
      </c>
      <c r="BD46" s="25">
        <f>BO46</f>
        <v>15.831635542528499</v>
      </c>
      <c r="BE46" s="16">
        <f t="shared" si="15"/>
        <v>1759.0706158364997</v>
      </c>
      <c r="BF46" s="16">
        <f t="shared" si="16"/>
        <v>3.2452832740524311</v>
      </c>
      <c r="BG46" s="8">
        <f t="shared" si="17"/>
        <v>1.1995257834917559</v>
      </c>
      <c r="BH46" s="13" t="s">
        <v>782</v>
      </c>
      <c r="BI46" s="16">
        <f>10^3.2</f>
        <v>1584.8931924611156</v>
      </c>
      <c r="BJ46" s="16" t="s">
        <v>330</v>
      </c>
      <c r="BK46" s="8">
        <v>0.21</v>
      </c>
      <c r="BL46" s="16">
        <f>BI46*(K46/1000)/(K46^BK46)</f>
        <v>219.31122566309</v>
      </c>
      <c r="BM46" s="25">
        <f>'PFAS Properties'!$U$20</f>
        <v>27.860000000000003</v>
      </c>
      <c r="BN46" s="16">
        <f>(BL46*(BM46^BK46))</f>
        <v>441.06936621484402</v>
      </c>
      <c r="BO46" s="25">
        <f>BN46/BM46</f>
        <v>15.831635542528499</v>
      </c>
    </row>
    <row r="47" spans="1:67" s="14" customFormat="1" x14ac:dyDescent="0.3">
      <c r="A47" s="20">
        <v>45</v>
      </c>
      <c r="B47" s="2" t="s">
        <v>230</v>
      </c>
      <c r="C47" s="2">
        <v>2019</v>
      </c>
      <c r="D47" s="2" t="s">
        <v>203</v>
      </c>
      <c r="E47" s="10" t="s">
        <v>231</v>
      </c>
      <c r="F47" s="20" t="s">
        <v>29</v>
      </c>
      <c r="G47" s="2" t="s">
        <v>114</v>
      </c>
      <c r="H47" s="2" t="str">
        <f>'PFAS Properties'!$B$20</f>
        <v>PFOAAmS</v>
      </c>
      <c r="I47" s="2" t="str">
        <f>'PFAS Properties'!$C$20</f>
        <v>Betaine</v>
      </c>
      <c r="J47" s="2" t="str">
        <f>'PFAS Properties'!$D$20</f>
        <v>C14H16F15N2O+</v>
      </c>
      <c r="K47" s="25">
        <f>'PFAS Properties'!$P$20</f>
        <v>513.1019</v>
      </c>
      <c r="L47" s="2">
        <f>'PFAS Properties'!$X$20</f>
        <v>7.7</v>
      </c>
      <c r="M47" s="2" t="str">
        <f>'PFAS Properties'!$Y$20</f>
        <v>-</v>
      </c>
      <c r="N47" s="33">
        <f t="shared" si="27"/>
        <v>0.24025307335204252</v>
      </c>
      <c r="O47" s="33">
        <f t="shared" si="28"/>
        <v>0.75974692664795762</v>
      </c>
      <c r="P47" s="33">
        <v>0</v>
      </c>
      <c r="Q47" s="33">
        <v>0</v>
      </c>
      <c r="R47" s="33">
        <v>0</v>
      </c>
      <c r="S47" s="33">
        <v>0</v>
      </c>
      <c r="T47" s="8">
        <f t="shared" ref="T47:T69" si="30">SUM(N47:S47)</f>
        <v>1.0000000000000002</v>
      </c>
      <c r="U47" s="33">
        <f t="shared" si="22"/>
        <v>1.0000000000000002</v>
      </c>
      <c r="V47" s="33">
        <f t="shared" si="23"/>
        <v>-0.75974692664795762</v>
      </c>
      <c r="W47" s="33">
        <f t="shared" si="24"/>
        <v>513.34215307335216</v>
      </c>
      <c r="X47" s="33">
        <v>96485</v>
      </c>
      <c r="Y47" s="16">
        <f t="shared" si="25"/>
        <v>45.156661387710919</v>
      </c>
      <c r="Z47" s="2">
        <v>14</v>
      </c>
      <c r="AA47" s="2">
        <v>15</v>
      </c>
      <c r="AB47" s="8">
        <f t="shared" si="26"/>
        <v>0.58947368421052626</v>
      </c>
      <c r="AC47" s="16">
        <f t="shared" si="9"/>
        <v>55.544522442813019</v>
      </c>
      <c r="AD47" s="20">
        <f>'PFAS Properties'!$W$20</f>
        <v>7</v>
      </c>
      <c r="AE47" s="8">
        <f>'PFAS Properties'!$S$20</f>
        <v>2.4449811120879446</v>
      </c>
      <c r="AF47" s="2">
        <f>'PFAS Properties'!$V$20</f>
        <v>5.0999999999999996</v>
      </c>
      <c r="AG47" s="24">
        <v>8.1999999999999993</v>
      </c>
      <c r="AH47" s="2" t="s">
        <v>355</v>
      </c>
      <c r="AI47" s="2" t="s">
        <v>661</v>
      </c>
      <c r="AJ47" s="2" t="s">
        <v>661</v>
      </c>
      <c r="AK47" s="2" t="s">
        <v>661</v>
      </c>
      <c r="AL47" s="2" t="s">
        <v>661</v>
      </c>
      <c r="AM47" s="2" t="s">
        <v>661</v>
      </c>
      <c r="AN47" s="2" t="s">
        <v>661</v>
      </c>
      <c r="AO47" s="2" t="s">
        <v>661</v>
      </c>
      <c r="AP47" s="15">
        <v>38.200000000000003</v>
      </c>
      <c r="AQ47" s="2" t="s">
        <v>661</v>
      </c>
      <c r="AR47" s="71">
        <v>33.491900000000001</v>
      </c>
      <c r="AS47" s="71">
        <v>33.659599999999998</v>
      </c>
      <c r="AT47" s="71">
        <v>31.685300000000002</v>
      </c>
      <c r="AU47" s="70" t="s">
        <v>752</v>
      </c>
      <c r="AV47" s="16">
        <f t="shared" si="29"/>
        <v>98.836799999999997</v>
      </c>
      <c r="AW47" s="18">
        <v>1.2</v>
      </c>
      <c r="AX47" s="13">
        <f t="shared" si="14"/>
        <v>1.2E-2</v>
      </c>
      <c r="AY47" s="8" t="s">
        <v>111</v>
      </c>
      <c r="AZ47" s="15">
        <v>0.2</v>
      </c>
      <c r="BA47" s="16">
        <v>15</v>
      </c>
      <c r="BB47" s="12" t="s">
        <v>55</v>
      </c>
      <c r="BC47" s="12" t="s">
        <v>55</v>
      </c>
      <c r="BD47" s="25">
        <f>BO47</f>
        <v>28.782830916403558</v>
      </c>
      <c r="BE47" s="16">
        <f t="shared" si="15"/>
        <v>2398.5692430336298</v>
      </c>
      <c r="BF47" s="16">
        <f t="shared" si="16"/>
        <v>3.3799522604018106</v>
      </c>
      <c r="BG47" s="8">
        <f t="shared" si="17"/>
        <v>1.4591335064494353</v>
      </c>
      <c r="BH47" s="13" t="s">
        <v>782</v>
      </c>
      <c r="BI47" s="16">
        <f>10^3.7</f>
        <v>5011.8723362727324</v>
      </c>
      <c r="BJ47" s="16" t="s">
        <v>330</v>
      </c>
      <c r="BK47" s="8">
        <v>0.4</v>
      </c>
      <c r="BL47" s="16">
        <f>BI47*(K47/1000)/(K47^BK47)</f>
        <v>211.89571465726797</v>
      </c>
      <c r="BM47" s="25">
        <f>'PFAS Properties'!$U$20</f>
        <v>27.860000000000003</v>
      </c>
      <c r="BN47" s="16">
        <f>(BL47*(BM47^BK47))</f>
        <v>801.88966933100323</v>
      </c>
      <c r="BO47" s="25">
        <f>BN47/BM47</f>
        <v>28.782830916403558</v>
      </c>
    </row>
    <row r="48" spans="1:67" s="14" customFormat="1" x14ac:dyDescent="0.3">
      <c r="A48" s="20">
        <v>46</v>
      </c>
      <c r="B48" s="2" t="s">
        <v>230</v>
      </c>
      <c r="C48" s="2">
        <v>2019</v>
      </c>
      <c r="D48" s="2" t="s">
        <v>203</v>
      </c>
      <c r="E48" s="10" t="s">
        <v>231</v>
      </c>
      <c r="F48" s="20" t="s">
        <v>29</v>
      </c>
      <c r="G48" s="2" t="s">
        <v>115</v>
      </c>
      <c r="H48" s="2" t="str">
        <f>'PFAS Properties'!$B$20</f>
        <v>PFOAAmS</v>
      </c>
      <c r="I48" s="2" t="str">
        <f>'PFAS Properties'!$C$20</f>
        <v>Betaine</v>
      </c>
      <c r="J48" s="2" t="str">
        <f>'PFAS Properties'!$D$20</f>
        <v>C14H16F15N2O+</v>
      </c>
      <c r="K48" s="25">
        <f>'PFAS Properties'!$P$20</f>
        <v>513.1019</v>
      </c>
      <c r="L48" s="2">
        <f>'PFAS Properties'!$X$20</f>
        <v>7.7</v>
      </c>
      <c r="M48" s="2" t="str">
        <f>'PFAS Properties'!$Y$20</f>
        <v>-</v>
      </c>
      <c r="N48" s="33">
        <f t="shared" si="27"/>
        <v>0.24025307335204252</v>
      </c>
      <c r="O48" s="33">
        <f t="shared" si="28"/>
        <v>0.75974692664795762</v>
      </c>
      <c r="P48" s="33">
        <v>0</v>
      </c>
      <c r="Q48" s="33">
        <v>0</v>
      </c>
      <c r="R48" s="33">
        <v>0</v>
      </c>
      <c r="S48" s="33">
        <v>0</v>
      </c>
      <c r="T48" s="8">
        <f t="shared" si="30"/>
        <v>1.0000000000000002</v>
      </c>
      <c r="U48" s="33">
        <f t="shared" si="22"/>
        <v>1.0000000000000002</v>
      </c>
      <c r="V48" s="33">
        <f t="shared" si="23"/>
        <v>-0.75974692664795762</v>
      </c>
      <c r="W48" s="33">
        <f t="shared" si="24"/>
        <v>513.34215307335216</v>
      </c>
      <c r="X48" s="33">
        <v>96485</v>
      </c>
      <c r="Y48" s="16">
        <f t="shared" si="25"/>
        <v>45.156661387710919</v>
      </c>
      <c r="Z48" s="2">
        <v>14</v>
      </c>
      <c r="AA48" s="2">
        <v>15</v>
      </c>
      <c r="AB48" s="8">
        <f t="shared" si="26"/>
        <v>0.58947368421052626</v>
      </c>
      <c r="AC48" s="16">
        <f t="shared" si="9"/>
        <v>55.544522442813019</v>
      </c>
      <c r="AD48" s="20">
        <f>'PFAS Properties'!$W$20</f>
        <v>7</v>
      </c>
      <c r="AE48" s="8">
        <f>'PFAS Properties'!$S$20</f>
        <v>2.4449811120879446</v>
      </c>
      <c r="AF48" s="2">
        <f>'PFAS Properties'!$V$20</f>
        <v>5.0999999999999996</v>
      </c>
      <c r="AG48" s="24">
        <v>8.1999999999999993</v>
      </c>
      <c r="AH48" s="2" t="s">
        <v>355</v>
      </c>
      <c r="AI48" s="2" t="s">
        <v>661</v>
      </c>
      <c r="AJ48" s="2" t="s">
        <v>661</v>
      </c>
      <c r="AK48" s="2" t="s">
        <v>661</v>
      </c>
      <c r="AL48" s="2" t="s">
        <v>661</v>
      </c>
      <c r="AM48" s="2" t="s">
        <v>661</v>
      </c>
      <c r="AN48" s="2" t="s">
        <v>661</v>
      </c>
      <c r="AO48" s="2" t="s">
        <v>661</v>
      </c>
      <c r="AP48" s="15">
        <v>41</v>
      </c>
      <c r="AQ48" s="2" t="s">
        <v>661</v>
      </c>
      <c r="AR48" s="71">
        <v>34.556900000000013</v>
      </c>
      <c r="AS48" s="71">
        <v>33.706099999999999</v>
      </c>
      <c r="AT48" s="71">
        <v>30.8308</v>
      </c>
      <c r="AU48" s="70" t="s">
        <v>752</v>
      </c>
      <c r="AV48" s="16">
        <f t="shared" si="29"/>
        <v>99.093800000000002</v>
      </c>
      <c r="AW48" s="18">
        <v>5.3</v>
      </c>
      <c r="AX48" s="13">
        <f t="shared" si="14"/>
        <v>5.2999999999999999E-2</v>
      </c>
      <c r="AY48" s="8" t="s">
        <v>111</v>
      </c>
      <c r="AZ48" s="15">
        <v>0.2</v>
      </c>
      <c r="BA48" s="16">
        <v>15</v>
      </c>
      <c r="BB48" s="12" t="s">
        <v>55</v>
      </c>
      <c r="BC48" s="12" t="s">
        <v>55</v>
      </c>
      <c r="BD48" s="25">
        <f>BO48</f>
        <v>106.18129911255488</v>
      </c>
      <c r="BE48" s="16">
        <f t="shared" si="15"/>
        <v>2003.4207379727336</v>
      </c>
      <c r="BF48" s="16">
        <f t="shared" si="16"/>
        <v>3.3017721649658722</v>
      </c>
      <c r="BG48" s="8">
        <f t="shared" si="17"/>
        <v>2.0260480345666609</v>
      </c>
      <c r="BH48" s="13" t="s">
        <v>782</v>
      </c>
      <c r="BI48" s="16">
        <f>10^3.9</f>
        <v>7943.2823472428154</v>
      </c>
      <c r="BJ48" s="16" t="s">
        <v>330</v>
      </c>
      <c r="BK48" s="8">
        <v>0.11</v>
      </c>
      <c r="BL48" s="16">
        <f>BI48*(K48/1000)/(K48^BK48)</f>
        <v>2051.5458351943957</v>
      </c>
      <c r="BM48" s="25">
        <f>'PFAS Properties'!$U$20</f>
        <v>27.860000000000003</v>
      </c>
      <c r="BN48" s="16">
        <f>(BL48*(BM48^BK48))</f>
        <v>2958.2109932757794</v>
      </c>
      <c r="BO48" s="25">
        <f>BN48/BM48</f>
        <v>106.18129911255488</v>
      </c>
    </row>
    <row r="49" spans="1:67" s="14" customFormat="1" x14ac:dyDescent="0.3">
      <c r="A49" s="20">
        <v>47</v>
      </c>
      <c r="B49" s="2" t="s">
        <v>242</v>
      </c>
      <c r="C49" s="2">
        <v>2018</v>
      </c>
      <c r="D49" s="2" t="s">
        <v>243</v>
      </c>
      <c r="E49" s="10" t="s">
        <v>788</v>
      </c>
      <c r="F49" s="20" t="s">
        <v>29</v>
      </c>
      <c r="G49" s="2" t="s">
        <v>129</v>
      </c>
      <c r="H49" s="2" t="str">
        <f>'PFAS Properties'!$B$21</f>
        <v>PFOAB</v>
      </c>
      <c r="I49" s="2" t="str">
        <f>'PFAS Properties'!$C$21</f>
        <v>Betaine</v>
      </c>
      <c r="J49" s="2" t="str">
        <f>'PFAS Properties'!$D$21</f>
        <v>C15H15F15N2O3</v>
      </c>
      <c r="K49" s="25">
        <f>'PFAS Properties'!$P$21</f>
        <v>556.08389999999997</v>
      </c>
      <c r="L49" s="2">
        <f>'PFAS Properties'!$X$21</f>
        <v>2.2999999999999998</v>
      </c>
      <c r="M49" s="2">
        <f>'PFAS Properties'!$Y$21</f>
        <v>7.8</v>
      </c>
      <c r="N49" s="33">
        <f t="shared" ref="N49:N69" si="31">1/(1+(10^(AG49-L49))+(10^((2*AG49)-L49-M49)))</f>
        <v>6.7435099292343498E-4</v>
      </c>
      <c r="O49" s="33">
        <f t="shared" ref="O49:O69" si="32">1/(1+(10^(L49-AG49))+(10^(AG49-M49)))</f>
        <v>0.99468599066067098</v>
      </c>
      <c r="P49" s="33">
        <f t="shared" ref="P49:P59" si="33">1/(1+(10^(M49-AG49))+(10^((L49+M49)-(2*AG49))))</f>
        <v>4.6396583464056755E-3</v>
      </c>
      <c r="Q49" s="33">
        <v>0</v>
      </c>
      <c r="R49" s="33">
        <v>0</v>
      </c>
      <c r="S49" s="33">
        <v>0</v>
      </c>
      <c r="T49" s="8">
        <f t="shared" si="30"/>
        <v>1.0000000000000002</v>
      </c>
      <c r="U49" s="33">
        <f t="shared" si="22"/>
        <v>1.0000000000000002</v>
      </c>
      <c r="V49" s="33">
        <f t="shared" si="23"/>
        <v>-1.0039653073534824</v>
      </c>
      <c r="W49" s="33">
        <f t="shared" si="24"/>
        <v>556.07993469264659</v>
      </c>
      <c r="X49" s="33">
        <v>96485</v>
      </c>
      <c r="Y49" s="16">
        <f t="shared" si="25"/>
        <v>-0.6880174164388726</v>
      </c>
      <c r="Z49" s="16">
        <v>14</v>
      </c>
      <c r="AA49" s="16">
        <v>15</v>
      </c>
      <c r="AB49" s="8">
        <f t="shared" si="26"/>
        <v>0.58947368421052626</v>
      </c>
      <c r="AC49" s="16">
        <f t="shared" si="9"/>
        <v>51.251259027639541</v>
      </c>
      <c r="AD49" s="20">
        <f>'PFAS Properties'!$W$21</f>
        <v>7</v>
      </c>
      <c r="AE49" s="8">
        <f>'PFAS Properties'!$S$21</f>
        <v>2.7971289877965524</v>
      </c>
      <c r="AF49" s="2">
        <f>'PFAS Properties'!$V$21</f>
        <v>5.3</v>
      </c>
      <c r="AG49" s="124">
        <v>5.4687999999999999</v>
      </c>
      <c r="AH49" s="70" t="s">
        <v>752</v>
      </c>
      <c r="AI49" s="2" t="s">
        <v>661</v>
      </c>
      <c r="AJ49" s="15" t="s">
        <v>661</v>
      </c>
      <c r="AK49" s="8" t="s">
        <v>661</v>
      </c>
      <c r="AL49" s="2" t="s">
        <v>661</v>
      </c>
      <c r="AM49" s="15" t="s">
        <v>661</v>
      </c>
      <c r="AN49" s="8" t="s">
        <v>661</v>
      </c>
      <c r="AO49" s="15" t="s">
        <v>661</v>
      </c>
      <c r="AP49" s="72">
        <v>21.5806</v>
      </c>
      <c r="AQ49" s="70" t="s">
        <v>752</v>
      </c>
      <c r="AR49" s="71">
        <v>41.737499999999997</v>
      </c>
      <c r="AS49" s="71">
        <v>35.036999999999999</v>
      </c>
      <c r="AT49" s="71">
        <v>21.887</v>
      </c>
      <c r="AU49" s="70" t="s">
        <v>752</v>
      </c>
      <c r="AV49" s="16">
        <f t="shared" ref="AV49:AV54" si="34">SUM(AR49:AT49)</f>
        <v>98.66149999999999</v>
      </c>
      <c r="AW49" s="18">
        <v>46.9</v>
      </c>
      <c r="AX49" s="13">
        <f t="shared" si="14"/>
        <v>0.46899999999999997</v>
      </c>
      <c r="AY49" s="13" t="s">
        <v>344</v>
      </c>
      <c r="AZ49" s="15">
        <f>0.01/0.05</f>
        <v>0.19999999999999998</v>
      </c>
      <c r="BA49" s="16" t="s">
        <v>55</v>
      </c>
      <c r="BB49" s="15">
        <v>2</v>
      </c>
      <c r="BC49" s="16">
        <v>3500</v>
      </c>
      <c r="BD49" s="25">
        <f>10^1.7</f>
        <v>50.118723362727238</v>
      </c>
      <c r="BE49" s="16">
        <f t="shared" si="15"/>
        <v>106.86294960069775</v>
      </c>
      <c r="BF49" s="8">
        <f t="shared" si="16"/>
        <v>2.0288271572849168</v>
      </c>
      <c r="BG49" s="8">
        <f t="shared" si="17"/>
        <v>1.7000000000000002</v>
      </c>
      <c r="BH49" s="13" t="s">
        <v>346</v>
      </c>
      <c r="BI49" s="47"/>
      <c r="BJ49" s="48"/>
      <c r="BK49" s="49"/>
      <c r="BL49" s="51"/>
      <c r="BM49" s="50"/>
      <c r="BN49" s="47"/>
      <c r="BO49" s="52"/>
    </row>
    <row r="50" spans="1:67" s="14" customFormat="1" x14ac:dyDescent="0.3">
      <c r="A50" s="20">
        <v>48</v>
      </c>
      <c r="B50" s="2" t="s">
        <v>775</v>
      </c>
      <c r="C50" s="2">
        <v>2021</v>
      </c>
      <c r="D50" s="2" t="s">
        <v>203</v>
      </c>
      <c r="E50" s="10" t="s">
        <v>786</v>
      </c>
      <c r="F50" s="20" t="s">
        <v>29</v>
      </c>
      <c r="G50" s="2" t="s">
        <v>116</v>
      </c>
      <c r="H50" s="2" t="str">
        <f>'PFAS Properties'!$B$21</f>
        <v>PFOAB</v>
      </c>
      <c r="I50" s="2" t="str">
        <f>'PFAS Properties'!$C$21</f>
        <v>Betaine</v>
      </c>
      <c r="J50" s="2" t="str">
        <f>'PFAS Properties'!$D$21</f>
        <v>C15H15F15N2O3</v>
      </c>
      <c r="K50" s="25">
        <f>'PFAS Properties'!$P$21</f>
        <v>556.08389999999997</v>
      </c>
      <c r="L50" s="2">
        <f>'PFAS Properties'!$X$21</f>
        <v>2.2999999999999998</v>
      </c>
      <c r="M50" s="2">
        <f>'PFAS Properties'!$Y$21</f>
        <v>7.8</v>
      </c>
      <c r="N50" s="33">
        <f t="shared" si="31"/>
        <v>3.5993370466973346E-6</v>
      </c>
      <c r="O50" s="33">
        <f t="shared" si="32"/>
        <v>0.64006269599321897</v>
      </c>
      <c r="P50" s="33">
        <f t="shared" si="33"/>
        <v>0.35993370466973423</v>
      </c>
      <c r="Q50" s="33">
        <v>0</v>
      </c>
      <c r="R50" s="33">
        <v>0</v>
      </c>
      <c r="S50" s="33">
        <v>0</v>
      </c>
      <c r="T50" s="8">
        <f t="shared" si="30"/>
        <v>1</v>
      </c>
      <c r="U50" s="33">
        <f t="shared" si="22"/>
        <v>1</v>
      </c>
      <c r="V50" s="33">
        <f t="shared" si="23"/>
        <v>-1.3599301053326873</v>
      </c>
      <c r="W50" s="33">
        <f t="shared" si="24"/>
        <v>555.72396989466722</v>
      </c>
      <c r="X50" s="33">
        <v>96485</v>
      </c>
      <c r="Y50" s="16">
        <f t="shared" si="25"/>
        <v>-62.491197238813911</v>
      </c>
      <c r="Z50" s="16">
        <v>14</v>
      </c>
      <c r="AA50" s="16">
        <v>15</v>
      </c>
      <c r="AB50" s="8">
        <f t="shared" si="26"/>
        <v>0.58947368421052626</v>
      </c>
      <c r="AC50" s="16">
        <f t="shared" si="9"/>
        <v>51.251259027639541</v>
      </c>
      <c r="AD50" s="20">
        <f>'PFAS Properties'!$W$21</f>
        <v>7</v>
      </c>
      <c r="AE50" s="8">
        <f>'PFAS Properties'!$S$21</f>
        <v>2.7971289877965524</v>
      </c>
      <c r="AF50" s="2">
        <f>'PFAS Properties'!$V$21</f>
        <v>5.3</v>
      </c>
      <c r="AG50" s="24">
        <v>7.55</v>
      </c>
      <c r="AH50" s="15" t="s">
        <v>830</v>
      </c>
      <c r="AI50" s="2" t="s">
        <v>661</v>
      </c>
      <c r="AJ50" s="2" t="s">
        <v>661</v>
      </c>
      <c r="AK50" s="2" t="s">
        <v>661</v>
      </c>
      <c r="AL50" s="2" t="s">
        <v>661</v>
      </c>
      <c r="AM50" s="2" t="s">
        <v>661</v>
      </c>
      <c r="AN50" s="2" t="s">
        <v>661</v>
      </c>
      <c r="AO50" s="2" t="s">
        <v>661</v>
      </c>
      <c r="AP50" s="15">
        <v>2.52</v>
      </c>
      <c r="AQ50" s="16" t="s">
        <v>689</v>
      </c>
      <c r="AR50" s="16">
        <v>45.3</v>
      </c>
      <c r="AS50" s="16">
        <v>30</v>
      </c>
      <c r="AT50" s="16">
        <v>24.7</v>
      </c>
      <c r="AU50" s="16" t="s">
        <v>664</v>
      </c>
      <c r="AV50" s="16">
        <f t="shared" si="34"/>
        <v>100</v>
      </c>
      <c r="AW50" s="18">
        <v>3.4</v>
      </c>
      <c r="AX50" s="13">
        <f t="shared" si="14"/>
        <v>3.4000000000000002E-2</v>
      </c>
      <c r="AY50" s="8" t="s">
        <v>342</v>
      </c>
      <c r="AZ50" s="16">
        <f>1/0.01</f>
        <v>100</v>
      </c>
      <c r="BA50" s="16" t="s">
        <v>55</v>
      </c>
      <c r="BB50" s="15">
        <f>5*K50/1000</f>
        <v>2.7804194999999998</v>
      </c>
      <c r="BC50" s="16">
        <f>5000*K50/1000</f>
        <v>2780.4195</v>
      </c>
      <c r="BD50" s="18">
        <f>25.7*AX50</f>
        <v>0.87380000000000002</v>
      </c>
      <c r="BE50" s="16">
        <f t="shared" si="15"/>
        <v>25.7</v>
      </c>
      <c r="BF50" s="8">
        <f t="shared" si="16"/>
        <v>1.4099331233312946</v>
      </c>
      <c r="BG50" s="8">
        <f t="shared" si="17"/>
        <v>-5.8587959626450331E-2</v>
      </c>
      <c r="BH50" s="13" t="s">
        <v>343</v>
      </c>
      <c r="BI50" s="51"/>
      <c r="BJ50" s="48"/>
      <c r="BK50" s="49"/>
      <c r="BL50" s="51"/>
      <c r="BM50" s="50"/>
      <c r="BN50" s="47"/>
      <c r="BO50" s="52"/>
    </row>
    <row r="51" spans="1:67" s="14" customFormat="1" x14ac:dyDescent="0.3">
      <c r="A51" s="20">
        <v>49</v>
      </c>
      <c r="B51" s="2" t="s">
        <v>775</v>
      </c>
      <c r="C51" s="2">
        <v>2021</v>
      </c>
      <c r="D51" s="2" t="s">
        <v>203</v>
      </c>
      <c r="E51" s="10" t="s">
        <v>786</v>
      </c>
      <c r="F51" s="20" t="s">
        <v>29</v>
      </c>
      <c r="G51" s="2" t="s">
        <v>117</v>
      </c>
      <c r="H51" s="2" t="str">
        <f>'PFAS Properties'!$B$21</f>
        <v>PFOAB</v>
      </c>
      <c r="I51" s="2" t="str">
        <f>'PFAS Properties'!$C$21</f>
        <v>Betaine</v>
      </c>
      <c r="J51" s="2" t="str">
        <f>'PFAS Properties'!$D$21</f>
        <v>C15H15F15N2O3</v>
      </c>
      <c r="K51" s="25">
        <f>'PFAS Properties'!$P$21</f>
        <v>556.08389999999997</v>
      </c>
      <c r="L51" s="2">
        <f>'PFAS Properties'!$X$21</f>
        <v>2.2999999999999998</v>
      </c>
      <c r="M51" s="2">
        <f>'PFAS Properties'!$Y$21</f>
        <v>7.8</v>
      </c>
      <c r="N51" s="33">
        <f t="shared" si="31"/>
        <v>3.445747815494851E-7</v>
      </c>
      <c r="O51" s="33">
        <f t="shared" si="32"/>
        <v>0.28008089754400023</v>
      </c>
      <c r="P51" s="33">
        <f t="shared" si="33"/>
        <v>0.71991875788121829</v>
      </c>
      <c r="Q51" s="33">
        <v>0</v>
      </c>
      <c r="R51" s="33">
        <v>0</v>
      </c>
      <c r="S51" s="33">
        <v>0</v>
      </c>
      <c r="T51" s="8">
        <f t="shared" si="30"/>
        <v>1</v>
      </c>
      <c r="U51" s="33">
        <f t="shared" si="22"/>
        <v>1</v>
      </c>
      <c r="V51" s="33">
        <f t="shared" si="23"/>
        <v>-1.7199184133064369</v>
      </c>
      <c r="W51" s="33">
        <f t="shared" si="24"/>
        <v>555.36398158669363</v>
      </c>
      <c r="X51" s="33">
        <v>96485</v>
      </c>
      <c r="Y51" s="16">
        <f t="shared" si="25"/>
        <v>-125.07352008932629</v>
      </c>
      <c r="Z51" s="16">
        <v>14</v>
      </c>
      <c r="AA51" s="16">
        <v>15</v>
      </c>
      <c r="AB51" s="8">
        <f t="shared" si="26"/>
        <v>0.58947368421052626</v>
      </c>
      <c r="AC51" s="16">
        <f t="shared" si="9"/>
        <v>51.251259027639541</v>
      </c>
      <c r="AD51" s="20">
        <f>'PFAS Properties'!$W$21</f>
        <v>7</v>
      </c>
      <c r="AE51" s="8">
        <f>'PFAS Properties'!$S$21</f>
        <v>2.7971289877965524</v>
      </c>
      <c r="AF51" s="2">
        <f>'PFAS Properties'!$V$21</f>
        <v>5.3</v>
      </c>
      <c r="AG51" s="24">
        <v>8.2100000000000009</v>
      </c>
      <c r="AH51" s="15" t="s">
        <v>830</v>
      </c>
      <c r="AI51" s="2" t="s">
        <v>661</v>
      </c>
      <c r="AJ51" s="2" t="s">
        <v>661</v>
      </c>
      <c r="AK51" s="2" t="s">
        <v>661</v>
      </c>
      <c r="AL51" s="2" t="s">
        <v>661</v>
      </c>
      <c r="AM51" s="2" t="s">
        <v>661</v>
      </c>
      <c r="AN51" s="2" t="s">
        <v>661</v>
      </c>
      <c r="AO51" s="2" t="s">
        <v>661</v>
      </c>
      <c r="AP51" s="15">
        <v>11.4</v>
      </c>
      <c r="AQ51" s="16" t="s">
        <v>689</v>
      </c>
      <c r="AR51" s="16">
        <v>28.7</v>
      </c>
      <c r="AS51" s="16">
        <v>40</v>
      </c>
      <c r="AT51" s="16">
        <v>31.3</v>
      </c>
      <c r="AU51" s="16" t="s">
        <v>664</v>
      </c>
      <c r="AV51" s="16">
        <f t="shared" si="34"/>
        <v>100</v>
      </c>
      <c r="AW51" s="18">
        <v>1.7</v>
      </c>
      <c r="AX51" s="13">
        <f t="shared" si="14"/>
        <v>1.7000000000000001E-2</v>
      </c>
      <c r="AY51" s="8" t="s">
        <v>342</v>
      </c>
      <c r="AZ51" s="16">
        <f>1/0.01</f>
        <v>100</v>
      </c>
      <c r="BA51" s="16" t="s">
        <v>55</v>
      </c>
      <c r="BB51" s="15">
        <f>5*K51/1000</f>
        <v>2.7804194999999998</v>
      </c>
      <c r="BC51" s="16">
        <f>5000*K51/1000</f>
        <v>2780.4195</v>
      </c>
      <c r="BD51" s="24">
        <f>270.2*AX51</f>
        <v>4.5933999999999999</v>
      </c>
      <c r="BE51" s="16">
        <f t="shared" si="15"/>
        <v>270.2</v>
      </c>
      <c r="BF51" s="8">
        <f t="shared" si="16"/>
        <v>2.4316853446860116</v>
      </c>
      <c r="BG51" s="8">
        <f t="shared" si="17"/>
        <v>0.66213426606428571</v>
      </c>
      <c r="BH51" s="13" t="s">
        <v>343</v>
      </c>
      <c r="BI51" s="51"/>
      <c r="BJ51" s="48"/>
      <c r="BK51" s="49"/>
      <c r="BL51" s="51"/>
      <c r="BM51" s="50"/>
      <c r="BN51" s="47"/>
      <c r="BO51" s="52"/>
    </row>
    <row r="52" spans="1:67" s="14" customFormat="1" x14ac:dyDescent="0.3">
      <c r="A52" s="20">
        <v>50</v>
      </c>
      <c r="B52" s="2" t="s">
        <v>775</v>
      </c>
      <c r="C52" s="2">
        <v>2021</v>
      </c>
      <c r="D52" s="2" t="s">
        <v>203</v>
      </c>
      <c r="E52" s="10" t="s">
        <v>786</v>
      </c>
      <c r="F52" s="20" t="s">
        <v>29</v>
      </c>
      <c r="G52" s="2" t="s">
        <v>118</v>
      </c>
      <c r="H52" s="2" t="str">
        <f>'PFAS Properties'!$B$21</f>
        <v>PFOAB</v>
      </c>
      <c r="I52" s="2" t="str">
        <f>'PFAS Properties'!$C$21</f>
        <v>Betaine</v>
      </c>
      <c r="J52" s="2" t="str">
        <f>'PFAS Properties'!$D$21</f>
        <v>C15H15F15N2O3</v>
      </c>
      <c r="K52" s="25">
        <f>'PFAS Properties'!$P$21</f>
        <v>556.08389999999997</v>
      </c>
      <c r="L52" s="2">
        <f>'PFAS Properties'!$X$21</f>
        <v>2.2999999999999998</v>
      </c>
      <c r="M52" s="2">
        <f>'PFAS Properties'!$Y$21</f>
        <v>7.8</v>
      </c>
      <c r="N52" s="33">
        <f t="shared" si="31"/>
        <v>5.0714183599219327E-5</v>
      </c>
      <c r="O52" s="33">
        <f t="shared" si="32"/>
        <v>0.94434228926465436</v>
      </c>
      <c r="P52" s="33">
        <f t="shared" si="33"/>
        <v>5.5606996551746432E-2</v>
      </c>
      <c r="Q52" s="33">
        <v>0</v>
      </c>
      <c r="R52" s="33">
        <v>0</v>
      </c>
      <c r="S52" s="33">
        <v>0</v>
      </c>
      <c r="T52" s="8">
        <f t="shared" si="30"/>
        <v>1</v>
      </c>
      <c r="U52" s="33">
        <f t="shared" si="22"/>
        <v>1</v>
      </c>
      <c r="V52" s="33">
        <f t="shared" si="23"/>
        <v>-1.0555562823681472</v>
      </c>
      <c r="W52" s="33">
        <f t="shared" si="24"/>
        <v>556.02834371763186</v>
      </c>
      <c r="X52" s="33">
        <v>96485</v>
      </c>
      <c r="Y52" s="16">
        <f t="shared" si="25"/>
        <v>-9.6404220483638419</v>
      </c>
      <c r="Z52" s="16">
        <v>14</v>
      </c>
      <c r="AA52" s="16">
        <v>15</v>
      </c>
      <c r="AB52" s="8">
        <f t="shared" si="26"/>
        <v>0.58947368421052626</v>
      </c>
      <c r="AC52" s="16">
        <f t="shared" si="9"/>
        <v>51.251259027639541</v>
      </c>
      <c r="AD52" s="20">
        <f>'PFAS Properties'!$W$21</f>
        <v>7</v>
      </c>
      <c r="AE52" s="8">
        <f>'PFAS Properties'!$S$21</f>
        <v>2.7971289877965524</v>
      </c>
      <c r="AF52" s="2">
        <f>'PFAS Properties'!$V$21</f>
        <v>5.3</v>
      </c>
      <c r="AG52" s="24">
        <v>6.57</v>
      </c>
      <c r="AH52" s="15" t="s">
        <v>830</v>
      </c>
      <c r="AI52" s="2" t="s">
        <v>661</v>
      </c>
      <c r="AJ52" s="2" t="s">
        <v>661</v>
      </c>
      <c r="AK52" s="2" t="s">
        <v>661</v>
      </c>
      <c r="AL52" s="2" t="s">
        <v>661</v>
      </c>
      <c r="AM52" s="2" t="s">
        <v>661</v>
      </c>
      <c r="AN52" s="2" t="s">
        <v>661</v>
      </c>
      <c r="AO52" s="2" t="s">
        <v>661</v>
      </c>
      <c r="AP52" s="15">
        <v>9.93</v>
      </c>
      <c r="AQ52" s="16" t="s">
        <v>689</v>
      </c>
      <c r="AR52" s="16">
        <v>20</v>
      </c>
      <c r="AS52" s="16">
        <v>50</v>
      </c>
      <c r="AT52" s="16">
        <v>30</v>
      </c>
      <c r="AU52" s="16" t="s">
        <v>664</v>
      </c>
      <c r="AV52" s="16">
        <f t="shared" si="34"/>
        <v>100</v>
      </c>
      <c r="AW52" s="18">
        <v>2.9</v>
      </c>
      <c r="AX52" s="13">
        <f t="shared" si="14"/>
        <v>2.8999999999999998E-2</v>
      </c>
      <c r="AY52" s="8" t="s">
        <v>342</v>
      </c>
      <c r="AZ52" s="16">
        <f>1/0.01</f>
        <v>100</v>
      </c>
      <c r="BA52" s="16" t="s">
        <v>55</v>
      </c>
      <c r="BB52" s="15">
        <f>5*K52/1000</f>
        <v>2.7804194999999998</v>
      </c>
      <c r="BC52" s="16">
        <f>5000*K52/1000</f>
        <v>2780.4195</v>
      </c>
      <c r="BD52" s="24">
        <f>165*AX52</f>
        <v>4.7849999999999993</v>
      </c>
      <c r="BE52" s="16">
        <f t="shared" si="15"/>
        <v>164.99999999999997</v>
      </c>
      <c r="BF52" s="8">
        <f t="shared" si="16"/>
        <v>2.2174839442139063</v>
      </c>
      <c r="BG52" s="8">
        <f t="shared" si="17"/>
        <v>0.67988194211286235</v>
      </c>
      <c r="BH52" s="13" t="s">
        <v>343</v>
      </c>
      <c r="BI52" s="49"/>
      <c r="BJ52" s="48"/>
      <c r="BK52" s="49"/>
      <c r="BL52" s="49"/>
      <c r="BM52" s="50"/>
      <c r="BN52" s="47"/>
      <c r="BO52" s="52"/>
    </row>
    <row r="53" spans="1:67" s="14" customFormat="1" x14ac:dyDescent="0.3">
      <c r="A53" s="20">
        <v>51</v>
      </c>
      <c r="B53" s="2" t="s">
        <v>775</v>
      </c>
      <c r="C53" s="2">
        <v>2021</v>
      </c>
      <c r="D53" s="2" t="s">
        <v>203</v>
      </c>
      <c r="E53" s="10" t="s">
        <v>786</v>
      </c>
      <c r="F53" s="20" t="s">
        <v>29</v>
      </c>
      <c r="G53" s="2" t="s">
        <v>119</v>
      </c>
      <c r="H53" s="2" t="str">
        <f>'PFAS Properties'!$B$21</f>
        <v>PFOAB</v>
      </c>
      <c r="I53" s="2" t="str">
        <f>'PFAS Properties'!$C$21</f>
        <v>Betaine</v>
      </c>
      <c r="J53" s="2" t="str">
        <f>'PFAS Properties'!$D$21</f>
        <v>C15H15F15N2O3</v>
      </c>
      <c r="K53" s="25">
        <f>'PFAS Properties'!$P$21</f>
        <v>556.08389999999997</v>
      </c>
      <c r="L53" s="2">
        <f>'PFAS Properties'!$X$21</f>
        <v>2.2999999999999998</v>
      </c>
      <c r="M53" s="2">
        <f>'PFAS Properties'!$Y$21</f>
        <v>7.8</v>
      </c>
      <c r="N53" s="33">
        <f t="shared" si="31"/>
        <v>6.266891148988399E-3</v>
      </c>
      <c r="O53" s="33">
        <f t="shared" si="32"/>
        <v>0.99323531199265291</v>
      </c>
      <c r="P53" s="33">
        <f t="shared" si="33"/>
        <v>4.9779685835851827E-4</v>
      </c>
      <c r="Q53" s="33">
        <v>0</v>
      </c>
      <c r="R53" s="33">
        <v>0</v>
      </c>
      <c r="S53" s="33">
        <v>0</v>
      </c>
      <c r="T53" s="8">
        <f t="shared" si="30"/>
        <v>0.99999999999999978</v>
      </c>
      <c r="U53" s="33">
        <f t="shared" si="22"/>
        <v>0.99999999999999978</v>
      </c>
      <c r="V53" s="33">
        <f t="shared" si="23"/>
        <v>-0.99423090570937001</v>
      </c>
      <c r="W53" s="33">
        <f t="shared" si="24"/>
        <v>556.08966909429046</v>
      </c>
      <c r="X53" s="33">
        <v>96485</v>
      </c>
      <c r="Y53" s="16">
        <f t="shared" si="25"/>
        <v>1.000973572370091</v>
      </c>
      <c r="Z53" s="16">
        <v>14</v>
      </c>
      <c r="AA53" s="16">
        <v>15</v>
      </c>
      <c r="AB53" s="8">
        <f t="shared" si="26"/>
        <v>0.58947368421052626</v>
      </c>
      <c r="AC53" s="16">
        <f t="shared" si="9"/>
        <v>51.251259027639541</v>
      </c>
      <c r="AD53" s="20">
        <f>'PFAS Properties'!$W$21</f>
        <v>7</v>
      </c>
      <c r="AE53" s="8">
        <f>'PFAS Properties'!$S$21</f>
        <v>2.7971289877965524</v>
      </c>
      <c r="AF53" s="2">
        <f>'PFAS Properties'!$V$21</f>
        <v>5.3</v>
      </c>
      <c r="AG53" s="24">
        <v>4.5</v>
      </c>
      <c r="AH53" s="15" t="s">
        <v>830</v>
      </c>
      <c r="AI53" s="2" t="s">
        <v>661</v>
      </c>
      <c r="AJ53" s="2" t="s">
        <v>661</v>
      </c>
      <c r="AK53" s="2" t="s">
        <v>661</v>
      </c>
      <c r="AL53" s="2" t="s">
        <v>661</v>
      </c>
      <c r="AM53" s="2" t="s">
        <v>661</v>
      </c>
      <c r="AN53" s="2" t="s">
        <v>661</v>
      </c>
      <c r="AO53" s="2" t="s">
        <v>661</v>
      </c>
      <c r="AP53" s="72">
        <v>11.497016666666671</v>
      </c>
      <c r="AQ53" s="70" t="s">
        <v>752</v>
      </c>
      <c r="AR53" s="16">
        <v>51.2</v>
      </c>
      <c r="AS53" s="16">
        <v>36.200000000000003</v>
      </c>
      <c r="AT53" s="16">
        <v>12.6</v>
      </c>
      <c r="AU53" s="16" t="s">
        <v>664</v>
      </c>
      <c r="AV53" s="16">
        <f t="shared" si="34"/>
        <v>100</v>
      </c>
      <c r="AW53" s="18">
        <v>7.3</v>
      </c>
      <c r="AX53" s="13">
        <f t="shared" si="14"/>
        <v>7.2999999999999995E-2</v>
      </c>
      <c r="AY53" s="8" t="s">
        <v>342</v>
      </c>
      <c r="AZ53" s="16">
        <f>1/0.01</f>
        <v>100</v>
      </c>
      <c r="BA53" s="16" t="s">
        <v>55</v>
      </c>
      <c r="BB53" s="15">
        <f>5*K53/1000</f>
        <v>2.7804194999999998</v>
      </c>
      <c r="BC53" s="16">
        <f>5000*K53/1000</f>
        <v>2780.4195</v>
      </c>
      <c r="BD53" s="24">
        <f>96.2*AX53</f>
        <v>7.0225999999999997</v>
      </c>
      <c r="BE53" s="16">
        <f t="shared" si="15"/>
        <v>96.2</v>
      </c>
      <c r="BF53" s="8">
        <f t="shared" si="16"/>
        <v>1.983175072037813</v>
      </c>
      <c r="BG53" s="8">
        <f t="shared" si="17"/>
        <v>0.84649793215826885</v>
      </c>
      <c r="BH53" s="13" t="s">
        <v>343</v>
      </c>
      <c r="BI53" s="49"/>
      <c r="BJ53" s="48"/>
      <c r="BK53" s="49"/>
      <c r="BL53" s="49"/>
      <c r="BM53" s="50"/>
      <c r="BN53" s="47"/>
      <c r="BO53" s="52"/>
    </row>
    <row r="54" spans="1:67" s="14" customFormat="1" x14ac:dyDescent="0.3">
      <c r="A54" s="20">
        <v>52</v>
      </c>
      <c r="B54" s="2" t="s">
        <v>775</v>
      </c>
      <c r="C54" s="2">
        <v>2021</v>
      </c>
      <c r="D54" s="2" t="s">
        <v>203</v>
      </c>
      <c r="E54" s="10" t="s">
        <v>786</v>
      </c>
      <c r="F54" s="20" t="s">
        <v>29</v>
      </c>
      <c r="G54" s="2" t="s">
        <v>120</v>
      </c>
      <c r="H54" s="2" t="str">
        <f>'PFAS Properties'!$B$21</f>
        <v>PFOAB</v>
      </c>
      <c r="I54" s="2" t="str">
        <f>'PFAS Properties'!$C$21</f>
        <v>Betaine</v>
      </c>
      <c r="J54" s="2" t="str">
        <f>'PFAS Properties'!$D$21</f>
        <v>C15H15F15N2O3</v>
      </c>
      <c r="K54" s="25">
        <f>'PFAS Properties'!$P$21</f>
        <v>556.08389999999997</v>
      </c>
      <c r="L54" s="2">
        <f>'PFAS Properties'!$X$21</f>
        <v>2.2999999999999998</v>
      </c>
      <c r="M54" s="2">
        <f>'PFAS Properties'!$Y$21</f>
        <v>7.8</v>
      </c>
      <c r="N54" s="33">
        <f t="shared" si="31"/>
        <v>1.4073987676516508E-3</v>
      </c>
      <c r="O54" s="33">
        <f t="shared" si="32"/>
        <v>0.99636202450641898</v>
      </c>
      <c r="P54" s="33">
        <f t="shared" si="33"/>
        <v>2.2305767259292674E-3</v>
      </c>
      <c r="Q54" s="33">
        <v>0</v>
      </c>
      <c r="R54" s="33">
        <v>0</v>
      </c>
      <c r="S54" s="33">
        <v>0</v>
      </c>
      <c r="T54" s="8">
        <f t="shared" si="30"/>
        <v>0.99999999999999989</v>
      </c>
      <c r="U54" s="33">
        <f t="shared" si="22"/>
        <v>0.99999999999999989</v>
      </c>
      <c r="V54" s="33">
        <f t="shared" si="23"/>
        <v>-1.0008231779582775</v>
      </c>
      <c r="W54" s="33">
        <f t="shared" si="24"/>
        <v>556.08307682204168</v>
      </c>
      <c r="X54" s="33">
        <v>96485</v>
      </c>
      <c r="Y54" s="16">
        <f t="shared" si="25"/>
        <v>-0.142828164738107</v>
      </c>
      <c r="Z54" s="16">
        <v>14</v>
      </c>
      <c r="AA54" s="16">
        <v>15</v>
      </c>
      <c r="AB54" s="8">
        <f t="shared" si="26"/>
        <v>0.58947368421052626</v>
      </c>
      <c r="AC54" s="16">
        <f t="shared" si="9"/>
        <v>51.251259027639541</v>
      </c>
      <c r="AD54" s="20">
        <f>'PFAS Properties'!$W$21</f>
        <v>7</v>
      </c>
      <c r="AE54" s="8">
        <f>'PFAS Properties'!$S$21</f>
        <v>2.7971289877965524</v>
      </c>
      <c r="AF54" s="2">
        <f>'PFAS Properties'!$V$21</f>
        <v>5.3</v>
      </c>
      <c r="AG54" s="24">
        <v>5.15</v>
      </c>
      <c r="AH54" s="2" t="s">
        <v>830</v>
      </c>
      <c r="AI54" s="2" t="s">
        <v>661</v>
      </c>
      <c r="AJ54" s="2" t="s">
        <v>661</v>
      </c>
      <c r="AK54" s="2" t="s">
        <v>661</v>
      </c>
      <c r="AL54" s="2" t="s">
        <v>661</v>
      </c>
      <c r="AM54" s="2" t="s">
        <v>661</v>
      </c>
      <c r="AN54" s="2" t="s">
        <v>661</v>
      </c>
      <c r="AO54" s="2" t="s">
        <v>661</v>
      </c>
      <c r="AP54" s="15">
        <v>0.57999999999999996</v>
      </c>
      <c r="AQ54" s="16" t="s">
        <v>689</v>
      </c>
      <c r="AR54" s="16">
        <v>59.2</v>
      </c>
      <c r="AS54" s="16">
        <v>32.200000000000003</v>
      </c>
      <c r="AT54" s="16">
        <v>8.6</v>
      </c>
      <c r="AU54" s="16" t="s">
        <v>664</v>
      </c>
      <c r="AV54" s="16">
        <f t="shared" si="34"/>
        <v>100</v>
      </c>
      <c r="AW54" s="18">
        <v>1.8</v>
      </c>
      <c r="AX54" s="13">
        <f t="shared" si="14"/>
        <v>1.8000000000000002E-2</v>
      </c>
      <c r="AY54" s="13" t="s">
        <v>342</v>
      </c>
      <c r="AZ54" s="16">
        <f>1/0.01</f>
        <v>100</v>
      </c>
      <c r="BA54" s="16" t="s">
        <v>55</v>
      </c>
      <c r="BB54" s="15">
        <f>5*K54/1000</f>
        <v>2.7804194999999998</v>
      </c>
      <c r="BC54" s="16">
        <f>5000*K54/1000</f>
        <v>2780.4195</v>
      </c>
      <c r="BD54" s="24">
        <f>106.2*AX54</f>
        <v>1.9116000000000002</v>
      </c>
      <c r="BE54" s="16">
        <f t="shared" si="15"/>
        <v>106.2</v>
      </c>
      <c r="BF54" s="8">
        <f t="shared" si="16"/>
        <v>2.0261245167454502</v>
      </c>
      <c r="BG54" s="8">
        <f t="shared" si="17"/>
        <v>0.28139702184875637</v>
      </c>
      <c r="BH54" s="13" t="s">
        <v>343</v>
      </c>
      <c r="BI54" s="49"/>
      <c r="BJ54" s="48"/>
      <c r="BK54" s="49"/>
      <c r="BL54" s="51"/>
      <c r="BM54" s="50"/>
      <c r="BN54" s="47"/>
      <c r="BO54" s="52"/>
    </row>
    <row r="55" spans="1:67" s="14" customFormat="1" x14ac:dyDescent="0.3">
      <c r="A55" s="20">
        <v>53</v>
      </c>
      <c r="B55" s="2" t="s">
        <v>230</v>
      </c>
      <c r="C55" s="2">
        <v>2019</v>
      </c>
      <c r="D55" s="2" t="s">
        <v>203</v>
      </c>
      <c r="E55" s="10" t="s">
        <v>231</v>
      </c>
      <c r="F55" s="20" t="s">
        <v>29</v>
      </c>
      <c r="G55" s="2" t="s">
        <v>110</v>
      </c>
      <c r="H55" s="2" t="str">
        <f>'PFAS Properties'!$B$21</f>
        <v>PFOAB</v>
      </c>
      <c r="I55" s="2" t="str">
        <f>'PFAS Properties'!$C$21</f>
        <v>Betaine</v>
      </c>
      <c r="J55" s="2" t="str">
        <f>'PFAS Properties'!$D$21</f>
        <v>C15H15F15N2O3</v>
      </c>
      <c r="K55" s="25">
        <f>'PFAS Properties'!$P$21</f>
        <v>556.08389999999997</v>
      </c>
      <c r="L55" s="2">
        <f>'PFAS Properties'!$X$21</f>
        <v>2.2999999999999998</v>
      </c>
      <c r="M55" s="2">
        <f>'PFAS Properties'!$Y$21</f>
        <v>7.8</v>
      </c>
      <c r="N55" s="33">
        <f t="shared" si="31"/>
        <v>2.4025301563051595E-7</v>
      </c>
      <c r="O55" s="33">
        <f t="shared" si="32"/>
        <v>0.24025301563051635</v>
      </c>
      <c r="P55" s="33">
        <f t="shared" si="33"/>
        <v>0.75974674411646803</v>
      </c>
      <c r="Q55" s="33">
        <v>0</v>
      </c>
      <c r="R55" s="33">
        <v>0</v>
      </c>
      <c r="S55" s="33">
        <v>0</v>
      </c>
      <c r="T55" s="8">
        <f t="shared" si="30"/>
        <v>1</v>
      </c>
      <c r="U55" s="33">
        <f t="shared" si="22"/>
        <v>1</v>
      </c>
      <c r="V55" s="33">
        <f t="shared" si="23"/>
        <v>-1.7597465038634523</v>
      </c>
      <c r="W55" s="33">
        <f t="shared" si="24"/>
        <v>555.32415349613655</v>
      </c>
      <c r="X55" s="33">
        <v>96485</v>
      </c>
      <c r="Y55" s="16">
        <f t="shared" si="25"/>
        <v>-132.00243670974268</v>
      </c>
      <c r="Z55" s="16">
        <v>14</v>
      </c>
      <c r="AA55" s="16">
        <v>15</v>
      </c>
      <c r="AB55" s="8">
        <f t="shared" si="26"/>
        <v>0.58947368421052626</v>
      </c>
      <c r="AC55" s="16">
        <f t="shared" si="9"/>
        <v>51.251259027639541</v>
      </c>
      <c r="AD55" s="20">
        <f>'PFAS Properties'!$W$21</f>
        <v>7</v>
      </c>
      <c r="AE55" s="8">
        <f>'PFAS Properties'!$S$21</f>
        <v>2.7971289877965524</v>
      </c>
      <c r="AF55" s="2">
        <f>'PFAS Properties'!$V$21</f>
        <v>5.3</v>
      </c>
      <c r="AG55" s="24">
        <v>8.3000000000000007</v>
      </c>
      <c r="AH55" s="2" t="s">
        <v>355</v>
      </c>
      <c r="AI55" s="2" t="s">
        <v>661</v>
      </c>
      <c r="AJ55" s="2" t="s">
        <v>661</v>
      </c>
      <c r="AK55" s="2" t="s">
        <v>661</v>
      </c>
      <c r="AL55" s="2" t="s">
        <v>661</v>
      </c>
      <c r="AM55" s="2" t="s">
        <v>661</v>
      </c>
      <c r="AN55" s="2" t="s">
        <v>661</v>
      </c>
      <c r="AO55" s="2" t="s">
        <v>661</v>
      </c>
      <c r="AP55" s="15">
        <v>24.8</v>
      </c>
      <c r="AQ55" s="2" t="s">
        <v>661</v>
      </c>
      <c r="AR55" s="71">
        <v>30.683900000000001</v>
      </c>
      <c r="AS55" s="71">
        <v>38.891100000000002</v>
      </c>
      <c r="AT55" s="71">
        <v>30.567799999999998</v>
      </c>
      <c r="AU55" s="70" t="s">
        <v>752</v>
      </c>
      <c r="AV55" s="16">
        <f t="shared" ref="AV55:AV59" si="35">SUM(AR55:AT55)</f>
        <v>100.14279999999999</v>
      </c>
      <c r="AW55" s="18">
        <v>0.1</v>
      </c>
      <c r="AX55" s="13">
        <f t="shared" si="14"/>
        <v>1E-3</v>
      </c>
      <c r="AY55" s="8" t="s">
        <v>111</v>
      </c>
      <c r="AZ55" s="15">
        <v>0.2</v>
      </c>
      <c r="BA55" s="15">
        <v>15</v>
      </c>
      <c r="BB55" s="12" t="s">
        <v>55</v>
      </c>
      <c r="BC55" s="12" t="s">
        <v>55</v>
      </c>
      <c r="BD55" s="24">
        <f>BO55</f>
        <v>1.1950038198728716</v>
      </c>
      <c r="BE55" s="16">
        <f t="shared" si="15"/>
        <v>1195.0038198728716</v>
      </c>
      <c r="BF55" s="8">
        <f t="shared" si="16"/>
        <v>3.0773692935243728</v>
      </c>
      <c r="BG55" s="8">
        <f t="shared" si="17"/>
        <v>7.736929352437262E-2</v>
      </c>
      <c r="BH55" s="13" t="s">
        <v>782</v>
      </c>
      <c r="BI55" s="16">
        <f>10^2.3</f>
        <v>199.52623149688802</v>
      </c>
      <c r="BJ55" s="16" t="s">
        <v>322</v>
      </c>
      <c r="BK55" s="8">
        <v>0.18</v>
      </c>
      <c r="BL55" s="16">
        <f>BI55*(K55/1000)/(K55^BK55)</f>
        <v>35.564365386620011</v>
      </c>
      <c r="BM55" s="25">
        <f>'PFAS Properties'!$U$21</f>
        <v>62.68</v>
      </c>
      <c r="BN55" s="16">
        <f>(BL55*(BM55^BK55))</f>
        <v>74.902839429631598</v>
      </c>
      <c r="BO55" s="24">
        <f>BN55/BM55</f>
        <v>1.1950038198728716</v>
      </c>
    </row>
    <row r="56" spans="1:67" s="14" customFormat="1" x14ac:dyDescent="0.3">
      <c r="A56" s="20">
        <v>54</v>
      </c>
      <c r="B56" s="2" t="s">
        <v>230</v>
      </c>
      <c r="C56" s="2">
        <v>2019</v>
      </c>
      <c r="D56" s="2" t="s">
        <v>203</v>
      </c>
      <c r="E56" s="10" t="s">
        <v>231</v>
      </c>
      <c r="F56" s="20" t="s">
        <v>29</v>
      </c>
      <c r="G56" s="2" t="s">
        <v>112</v>
      </c>
      <c r="H56" s="2" t="str">
        <f>'PFAS Properties'!$B$21</f>
        <v>PFOAB</v>
      </c>
      <c r="I56" s="2" t="str">
        <f>'PFAS Properties'!$C$21</f>
        <v>Betaine</v>
      </c>
      <c r="J56" s="2" t="str">
        <f>'PFAS Properties'!$D$21</f>
        <v>C15H15F15N2O3</v>
      </c>
      <c r="K56" s="25">
        <f>'PFAS Properties'!$P$21</f>
        <v>556.08389999999997</v>
      </c>
      <c r="L56" s="2">
        <f>'PFAS Properties'!$X$21</f>
        <v>2.2999999999999998</v>
      </c>
      <c r="M56" s="2">
        <f>'PFAS Properties'!$Y$21</f>
        <v>7.8</v>
      </c>
      <c r="N56" s="33">
        <f t="shared" si="31"/>
        <v>3.5847541913797248E-7</v>
      </c>
      <c r="O56" s="33">
        <f t="shared" si="32"/>
        <v>0.28474714687591224</v>
      </c>
      <c r="P56" s="33">
        <f t="shared" si="33"/>
        <v>0.71525249464866858</v>
      </c>
      <c r="Q56" s="33">
        <v>0</v>
      </c>
      <c r="R56" s="33">
        <v>0</v>
      </c>
      <c r="S56" s="33">
        <v>0</v>
      </c>
      <c r="T56" s="8">
        <f t="shared" si="30"/>
        <v>1</v>
      </c>
      <c r="U56" s="33">
        <f t="shared" si="22"/>
        <v>1</v>
      </c>
      <c r="V56" s="33">
        <f t="shared" si="23"/>
        <v>-1.7152521361732493</v>
      </c>
      <c r="W56" s="33">
        <f t="shared" si="24"/>
        <v>555.36864786382671</v>
      </c>
      <c r="X56" s="33">
        <v>96485</v>
      </c>
      <c r="Y56" s="16">
        <f t="shared" si="25"/>
        <v>-124.26179011746645</v>
      </c>
      <c r="Z56" s="16">
        <v>14</v>
      </c>
      <c r="AA56" s="16">
        <v>15</v>
      </c>
      <c r="AB56" s="8">
        <f t="shared" si="26"/>
        <v>0.58947368421052626</v>
      </c>
      <c r="AC56" s="16">
        <f t="shared" si="9"/>
        <v>51.251259027639541</v>
      </c>
      <c r="AD56" s="20">
        <f>'PFAS Properties'!$W$21</f>
        <v>7</v>
      </c>
      <c r="AE56" s="8">
        <f>'PFAS Properties'!$S$21</f>
        <v>2.7971289877965524</v>
      </c>
      <c r="AF56" s="2">
        <f>'PFAS Properties'!$V$21</f>
        <v>5.3</v>
      </c>
      <c r="AG56" s="24">
        <v>8.1999999999999993</v>
      </c>
      <c r="AH56" s="2" t="s">
        <v>355</v>
      </c>
      <c r="AI56" s="2" t="s">
        <v>661</v>
      </c>
      <c r="AJ56" s="2" t="s">
        <v>661</v>
      </c>
      <c r="AK56" s="2" t="s">
        <v>661</v>
      </c>
      <c r="AL56" s="2" t="s">
        <v>661</v>
      </c>
      <c r="AM56" s="2" t="s">
        <v>661</v>
      </c>
      <c r="AN56" s="2" t="s">
        <v>661</v>
      </c>
      <c r="AO56" s="2" t="s">
        <v>661</v>
      </c>
      <c r="AP56" s="15">
        <v>41.3</v>
      </c>
      <c r="AQ56" s="2" t="s">
        <v>661</v>
      </c>
      <c r="AR56" s="71">
        <v>34.417400000000001</v>
      </c>
      <c r="AS56" s="71">
        <v>33.425600000000003</v>
      </c>
      <c r="AT56" s="71">
        <v>31.142800000000001</v>
      </c>
      <c r="AU56" s="70" t="s">
        <v>752</v>
      </c>
      <c r="AV56" s="16">
        <f t="shared" si="35"/>
        <v>98.985800000000012</v>
      </c>
      <c r="AW56" s="18">
        <v>0.1</v>
      </c>
      <c r="AX56" s="13">
        <f t="shared" si="14"/>
        <v>1E-3</v>
      </c>
      <c r="AY56" s="8" t="s">
        <v>111</v>
      </c>
      <c r="AZ56" s="15">
        <v>0.2</v>
      </c>
      <c r="BA56" s="15">
        <v>15</v>
      </c>
      <c r="BB56" s="12" t="s">
        <v>55</v>
      </c>
      <c r="BC56" s="12" t="s">
        <v>55</v>
      </c>
      <c r="BD56" s="24">
        <f>BO56</f>
        <v>4.3596220469965017</v>
      </c>
      <c r="BE56" s="16">
        <f t="shared" si="15"/>
        <v>4359.6220469965019</v>
      </c>
      <c r="BF56" s="8">
        <f t="shared" si="16"/>
        <v>3.6394488401817204</v>
      </c>
      <c r="BG56" s="8">
        <f t="shared" si="17"/>
        <v>0.63944884018172055</v>
      </c>
      <c r="BH56" s="13" t="s">
        <v>782</v>
      </c>
      <c r="BI56" s="16">
        <f>10^2.9</f>
        <v>794.32823472428208</v>
      </c>
      <c r="BJ56" s="16" t="s">
        <v>322</v>
      </c>
      <c r="BK56" s="8">
        <v>0.22</v>
      </c>
      <c r="BL56" s="16">
        <f>BI56*(K56/1000)/(K56^BK56)</f>
        <v>109.95359935731885</v>
      </c>
      <c r="BM56" s="25">
        <f>'PFAS Properties'!$U$21</f>
        <v>62.68</v>
      </c>
      <c r="BN56" s="16">
        <f>(BL56*(BM56^BK56))</f>
        <v>273.26110990574074</v>
      </c>
      <c r="BO56" s="24">
        <f>BN56/BM56</f>
        <v>4.3596220469965017</v>
      </c>
    </row>
    <row r="57" spans="1:67" s="14" customFormat="1" x14ac:dyDescent="0.3">
      <c r="A57" s="20">
        <v>55</v>
      </c>
      <c r="B57" s="2" t="s">
        <v>230</v>
      </c>
      <c r="C57" s="2">
        <v>2019</v>
      </c>
      <c r="D57" s="2" t="s">
        <v>203</v>
      </c>
      <c r="E57" s="10" t="s">
        <v>231</v>
      </c>
      <c r="F57" s="20" t="s">
        <v>29</v>
      </c>
      <c r="G57" s="2" t="s">
        <v>113</v>
      </c>
      <c r="H57" s="2" t="str">
        <f>'PFAS Properties'!$B$21</f>
        <v>PFOAB</v>
      </c>
      <c r="I57" s="2" t="str">
        <f>'PFAS Properties'!$C$21</f>
        <v>Betaine</v>
      </c>
      <c r="J57" s="2" t="str">
        <f>'PFAS Properties'!$D$21</f>
        <v>C15H15F15N2O3</v>
      </c>
      <c r="K57" s="25">
        <f>'PFAS Properties'!$P$21</f>
        <v>556.08389999999997</v>
      </c>
      <c r="L57" s="2">
        <f>'PFAS Properties'!$X$21</f>
        <v>2.2999999999999998</v>
      </c>
      <c r="M57" s="2">
        <f>'PFAS Properties'!$Y$21</f>
        <v>7.8</v>
      </c>
      <c r="N57" s="33">
        <f t="shared" si="31"/>
        <v>1.5946931805270739E-7</v>
      </c>
      <c r="O57" s="33">
        <f t="shared" si="32"/>
        <v>0.20075997689803979</v>
      </c>
      <c r="P57" s="33">
        <f t="shared" si="33"/>
        <v>0.79923986363264199</v>
      </c>
      <c r="Q57" s="33">
        <v>0</v>
      </c>
      <c r="R57" s="33">
        <v>0</v>
      </c>
      <c r="S57" s="33">
        <v>0</v>
      </c>
      <c r="T57" s="8">
        <f t="shared" si="30"/>
        <v>0.99999999999999978</v>
      </c>
      <c r="U57" s="33">
        <f t="shared" si="22"/>
        <v>0.99999999999999978</v>
      </c>
      <c r="V57" s="33">
        <f t="shared" si="23"/>
        <v>-1.7992397041633237</v>
      </c>
      <c r="W57" s="33">
        <f t="shared" si="24"/>
        <v>555.2846602958366</v>
      </c>
      <c r="X57" s="33">
        <v>96485</v>
      </c>
      <c r="Y57" s="16">
        <f t="shared" si="25"/>
        <v>-138.87407373204633</v>
      </c>
      <c r="Z57" s="16">
        <v>14</v>
      </c>
      <c r="AA57" s="16">
        <v>15</v>
      </c>
      <c r="AB57" s="8">
        <f t="shared" si="26"/>
        <v>0.58947368421052626</v>
      </c>
      <c r="AC57" s="16">
        <f t="shared" si="9"/>
        <v>51.251259027639541</v>
      </c>
      <c r="AD57" s="20">
        <f>'PFAS Properties'!$W$21</f>
        <v>7</v>
      </c>
      <c r="AE57" s="8">
        <f>'PFAS Properties'!$S$21</f>
        <v>2.7971289877965524</v>
      </c>
      <c r="AF57" s="2">
        <f>'PFAS Properties'!$V$21</f>
        <v>5.3</v>
      </c>
      <c r="AG57" s="24">
        <v>8.4</v>
      </c>
      <c r="AH57" s="2" t="s">
        <v>355</v>
      </c>
      <c r="AI57" s="2" t="s">
        <v>661</v>
      </c>
      <c r="AJ57" s="2" t="s">
        <v>661</v>
      </c>
      <c r="AK57" s="2" t="s">
        <v>661</v>
      </c>
      <c r="AL57" s="2" t="s">
        <v>661</v>
      </c>
      <c r="AM57" s="2" t="s">
        <v>661</v>
      </c>
      <c r="AN57" s="2" t="s">
        <v>661</v>
      </c>
      <c r="AO57" s="2" t="s">
        <v>661</v>
      </c>
      <c r="AP57" s="15">
        <v>22.5</v>
      </c>
      <c r="AQ57" s="2" t="s">
        <v>661</v>
      </c>
      <c r="AR57" s="71">
        <v>31.346399999999999</v>
      </c>
      <c r="AS57" s="71">
        <v>39.162100000000002</v>
      </c>
      <c r="AT57" s="71">
        <v>29.6173</v>
      </c>
      <c r="AU57" s="70" t="s">
        <v>752</v>
      </c>
      <c r="AV57" s="16">
        <f t="shared" si="35"/>
        <v>100.1258</v>
      </c>
      <c r="AW57" s="18">
        <v>0.9</v>
      </c>
      <c r="AX57" s="13">
        <f t="shared" si="14"/>
        <v>9.0000000000000011E-3</v>
      </c>
      <c r="AY57" s="8" t="s">
        <v>111</v>
      </c>
      <c r="AZ57" s="15">
        <v>0.2</v>
      </c>
      <c r="BA57" s="15">
        <v>15</v>
      </c>
      <c r="BB57" s="12" t="s">
        <v>55</v>
      </c>
      <c r="BC57" s="12" t="s">
        <v>55</v>
      </c>
      <c r="BD57" s="24">
        <f>BO57</f>
        <v>4.9209423080959338</v>
      </c>
      <c r="BE57" s="16">
        <f t="shared" si="15"/>
        <v>546.77136756621485</v>
      </c>
      <c r="BF57" s="8">
        <f t="shared" si="16"/>
        <v>2.7378057640640798</v>
      </c>
      <c r="BG57" s="8">
        <f t="shared" si="17"/>
        <v>0.6920482735034047</v>
      </c>
      <c r="BH57" s="13" t="s">
        <v>782</v>
      </c>
      <c r="BI57" s="16">
        <f>10^3</f>
        <v>1000</v>
      </c>
      <c r="BJ57" s="16" t="s">
        <v>322</v>
      </c>
      <c r="BK57" s="8">
        <v>0.27</v>
      </c>
      <c r="BL57" s="16">
        <f>BI57*(K57/1000)/(K57^BK57)</f>
        <v>100.91423553294175</v>
      </c>
      <c r="BM57" s="25">
        <f>'PFAS Properties'!$U$21</f>
        <v>62.68</v>
      </c>
      <c r="BN57" s="16">
        <f>(BL57*(BM57^BK57))</f>
        <v>308.44466387145314</v>
      </c>
      <c r="BO57" s="24">
        <f>BN57/BM57</f>
        <v>4.9209423080959338</v>
      </c>
    </row>
    <row r="58" spans="1:67" s="14" customFormat="1" x14ac:dyDescent="0.3">
      <c r="A58" s="20">
        <v>56</v>
      </c>
      <c r="B58" s="2" t="s">
        <v>230</v>
      </c>
      <c r="C58" s="2">
        <v>2019</v>
      </c>
      <c r="D58" s="2" t="s">
        <v>203</v>
      </c>
      <c r="E58" s="10" t="s">
        <v>231</v>
      </c>
      <c r="F58" s="20" t="s">
        <v>29</v>
      </c>
      <c r="G58" s="2" t="s">
        <v>114</v>
      </c>
      <c r="H58" s="2" t="str">
        <f>'PFAS Properties'!$B$21</f>
        <v>PFOAB</v>
      </c>
      <c r="I58" s="2" t="str">
        <f>'PFAS Properties'!$C$21</f>
        <v>Betaine</v>
      </c>
      <c r="J58" s="2" t="str">
        <f>'PFAS Properties'!$D$21</f>
        <v>C15H15F15N2O3</v>
      </c>
      <c r="K58" s="25">
        <f>'PFAS Properties'!$P$21</f>
        <v>556.08389999999997</v>
      </c>
      <c r="L58" s="2">
        <f>'PFAS Properties'!$X$21</f>
        <v>2.2999999999999998</v>
      </c>
      <c r="M58" s="2">
        <f>'PFAS Properties'!$Y$21</f>
        <v>7.8</v>
      </c>
      <c r="N58" s="33">
        <f t="shared" si="31"/>
        <v>3.5847541913797248E-7</v>
      </c>
      <c r="O58" s="33">
        <f t="shared" si="32"/>
        <v>0.28474714687591224</v>
      </c>
      <c r="P58" s="33">
        <f t="shared" si="33"/>
        <v>0.71525249464866858</v>
      </c>
      <c r="Q58" s="33">
        <v>0</v>
      </c>
      <c r="R58" s="33">
        <v>0</v>
      </c>
      <c r="S58" s="33">
        <v>0</v>
      </c>
      <c r="T58" s="8">
        <f t="shared" si="30"/>
        <v>1</v>
      </c>
      <c r="U58" s="33">
        <f t="shared" si="22"/>
        <v>1</v>
      </c>
      <c r="V58" s="33">
        <f t="shared" si="23"/>
        <v>-1.7152521361732493</v>
      </c>
      <c r="W58" s="33">
        <f t="shared" si="24"/>
        <v>555.36864786382671</v>
      </c>
      <c r="X58" s="33">
        <v>96485</v>
      </c>
      <c r="Y58" s="16">
        <f t="shared" si="25"/>
        <v>-124.26179011746645</v>
      </c>
      <c r="Z58" s="16">
        <v>14</v>
      </c>
      <c r="AA58" s="16">
        <v>15</v>
      </c>
      <c r="AB58" s="8">
        <f t="shared" si="26"/>
        <v>0.58947368421052626</v>
      </c>
      <c r="AC58" s="16">
        <f t="shared" si="9"/>
        <v>51.251259027639541</v>
      </c>
      <c r="AD58" s="20">
        <f>'PFAS Properties'!$W$21</f>
        <v>7</v>
      </c>
      <c r="AE58" s="8">
        <f>'PFAS Properties'!$S$21</f>
        <v>2.7971289877965524</v>
      </c>
      <c r="AF58" s="2">
        <f>'PFAS Properties'!$V$21</f>
        <v>5.3</v>
      </c>
      <c r="AG58" s="24">
        <v>8.1999999999999993</v>
      </c>
      <c r="AH58" s="2" t="s">
        <v>355</v>
      </c>
      <c r="AI58" s="2" t="s">
        <v>661</v>
      </c>
      <c r="AJ58" s="2" t="s">
        <v>661</v>
      </c>
      <c r="AK58" s="2" t="s">
        <v>661</v>
      </c>
      <c r="AL58" s="2" t="s">
        <v>661</v>
      </c>
      <c r="AM58" s="2" t="s">
        <v>661</v>
      </c>
      <c r="AN58" s="2" t="s">
        <v>661</v>
      </c>
      <c r="AO58" s="2" t="s">
        <v>661</v>
      </c>
      <c r="AP58" s="15">
        <v>38.200000000000003</v>
      </c>
      <c r="AQ58" s="2" t="s">
        <v>661</v>
      </c>
      <c r="AR58" s="71">
        <v>33.491900000000001</v>
      </c>
      <c r="AS58" s="71">
        <v>33.659599999999998</v>
      </c>
      <c r="AT58" s="71">
        <v>31.685300000000002</v>
      </c>
      <c r="AU58" s="70" t="s">
        <v>752</v>
      </c>
      <c r="AV58" s="16">
        <f t="shared" si="35"/>
        <v>98.836799999999997</v>
      </c>
      <c r="AW58" s="18">
        <v>1.2</v>
      </c>
      <c r="AX58" s="13">
        <f t="shared" si="14"/>
        <v>1.2E-2</v>
      </c>
      <c r="AY58" s="8" t="s">
        <v>111</v>
      </c>
      <c r="AZ58" s="15">
        <v>0.2</v>
      </c>
      <c r="BA58" s="15">
        <v>15</v>
      </c>
      <c r="BB58" s="12" t="s">
        <v>55</v>
      </c>
      <c r="BC58" s="12" t="s">
        <v>55</v>
      </c>
      <c r="BD58" s="24">
        <f>BO58</f>
        <v>1.4120386148219302</v>
      </c>
      <c r="BE58" s="16">
        <f t="shared" si="15"/>
        <v>117.66988456849418</v>
      </c>
      <c r="BF58" s="8">
        <f t="shared" si="16"/>
        <v>2.070665327420834</v>
      </c>
      <c r="BG58" s="8">
        <f t="shared" si="17"/>
        <v>0.14984657346845892</v>
      </c>
      <c r="BH58" s="13" t="s">
        <v>782</v>
      </c>
      <c r="BI58" s="16">
        <f>10^2.6</f>
        <v>398.10717055349761</v>
      </c>
      <c r="BJ58" s="16" t="s">
        <v>322</v>
      </c>
      <c r="BK58" s="8">
        <v>0.42</v>
      </c>
      <c r="BL58" s="16">
        <f>BI58*(K58/1000)/(K58^BK58)</f>
        <v>15.566156282030592</v>
      </c>
      <c r="BM58" s="25">
        <f>'PFAS Properties'!$U$21</f>
        <v>62.68</v>
      </c>
      <c r="BN58" s="16">
        <f>(BL58*(BM58^BK58))</f>
        <v>88.506580377038588</v>
      </c>
      <c r="BO58" s="24">
        <f>BN58/BM58</f>
        <v>1.4120386148219302</v>
      </c>
    </row>
    <row r="59" spans="1:67" s="14" customFormat="1" x14ac:dyDescent="0.3">
      <c r="A59" s="20">
        <v>57</v>
      </c>
      <c r="B59" s="2" t="s">
        <v>230</v>
      </c>
      <c r="C59" s="2">
        <v>2019</v>
      </c>
      <c r="D59" s="2" t="s">
        <v>203</v>
      </c>
      <c r="E59" s="10" t="s">
        <v>231</v>
      </c>
      <c r="F59" s="20" t="s">
        <v>29</v>
      </c>
      <c r="G59" s="2" t="s">
        <v>115</v>
      </c>
      <c r="H59" s="2" t="str">
        <f>'PFAS Properties'!$B$21</f>
        <v>PFOAB</v>
      </c>
      <c r="I59" s="2" t="str">
        <f>'PFAS Properties'!$C$21</f>
        <v>Betaine</v>
      </c>
      <c r="J59" s="2" t="str">
        <f>'PFAS Properties'!$D$21</f>
        <v>C15H15F15N2O3</v>
      </c>
      <c r="K59" s="25">
        <f>'PFAS Properties'!$P$21</f>
        <v>556.08389999999997</v>
      </c>
      <c r="L59" s="2">
        <f>'PFAS Properties'!$X$21</f>
        <v>2.2999999999999998</v>
      </c>
      <c r="M59" s="2">
        <f>'PFAS Properties'!$Y$21</f>
        <v>7.8</v>
      </c>
      <c r="N59" s="33">
        <f t="shared" si="31"/>
        <v>3.5847541913797248E-7</v>
      </c>
      <c r="O59" s="33">
        <f t="shared" si="32"/>
        <v>0.28474714687591224</v>
      </c>
      <c r="P59" s="33">
        <f t="shared" si="33"/>
        <v>0.71525249464866858</v>
      </c>
      <c r="Q59" s="33">
        <v>0</v>
      </c>
      <c r="R59" s="33">
        <v>0</v>
      </c>
      <c r="S59" s="33">
        <v>0</v>
      </c>
      <c r="T59" s="8">
        <f t="shared" si="30"/>
        <v>1</v>
      </c>
      <c r="U59" s="33">
        <f t="shared" si="22"/>
        <v>1</v>
      </c>
      <c r="V59" s="33">
        <f t="shared" si="23"/>
        <v>-1.7152521361732493</v>
      </c>
      <c r="W59" s="33">
        <f t="shared" si="24"/>
        <v>555.36864786382671</v>
      </c>
      <c r="X59" s="33">
        <v>96485</v>
      </c>
      <c r="Y59" s="16">
        <f t="shared" si="25"/>
        <v>-124.26179011746645</v>
      </c>
      <c r="Z59" s="16">
        <v>14</v>
      </c>
      <c r="AA59" s="16">
        <v>15</v>
      </c>
      <c r="AB59" s="8">
        <f t="shared" si="26"/>
        <v>0.58947368421052626</v>
      </c>
      <c r="AC59" s="16">
        <f t="shared" si="9"/>
        <v>51.251259027639541</v>
      </c>
      <c r="AD59" s="20">
        <f>'PFAS Properties'!$W$21</f>
        <v>7</v>
      </c>
      <c r="AE59" s="8">
        <f>'PFAS Properties'!$S$21</f>
        <v>2.7971289877965524</v>
      </c>
      <c r="AF59" s="2">
        <f>'PFAS Properties'!$V$21</f>
        <v>5.3</v>
      </c>
      <c r="AG59" s="24">
        <v>8.1999999999999993</v>
      </c>
      <c r="AH59" s="2" t="s">
        <v>355</v>
      </c>
      <c r="AI59" s="2" t="s">
        <v>661</v>
      </c>
      <c r="AJ59" s="2" t="s">
        <v>661</v>
      </c>
      <c r="AK59" s="2" t="s">
        <v>661</v>
      </c>
      <c r="AL59" s="2" t="s">
        <v>661</v>
      </c>
      <c r="AM59" s="2" t="s">
        <v>661</v>
      </c>
      <c r="AN59" s="2" t="s">
        <v>661</v>
      </c>
      <c r="AO59" s="2" t="s">
        <v>661</v>
      </c>
      <c r="AP59" s="15">
        <v>41</v>
      </c>
      <c r="AQ59" s="2" t="s">
        <v>661</v>
      </c>
      <c r="AR59" s="71">
        <v>34.556900000000013</v>
      </c>
      <c r="AS59" s="71">
        <v>33.706099999999999</v>
      </c>
      <c r="AT59" s="71">
        <v>30.8308</v>
      </c>
      <c r="AU59" s="70" t="s">
        <v>752</v>
      </c>
      <c r="AV59" s="16">
        <f t="shared" si="35"/>
        <v>99.093800000000002</v>
      </c>
      <c r="AW59" s="18">
        <v>5.3</v>
      </c>
      <c r="AX59" s="13">
        <f t="shared" si="14"/>
        <v>5.2999999999999999E-2</v>
      </c>
      <c r="AY59" s="8" t="s">
        <v>111</v>
      </c>
      <c r="AZ59" s="15">
        <v>0.2</v>
      </c>
      <c r="BA59" s="15">
        <v>15</v>
      </c>
      <c r="BB59" s="12" t="s">
        <v>55</v>
      </c>
      <c r="BC59" s="12" t="s">
        <v>55</v>
      </c>
      <c r="BD59" s="24">
        <f>BO59</f>
        <v>2.7838620253091007</v>
      </c>
      <c r="BE59" s="16">
        <f t="shared" si="15"/>
        <v>52.525698590737747</v>
      </c>
      <c r="BF59" s="8">
        <f t="shared" si="16"/>
        <v>1.7203718372243002</v>
      </c>
      <c r="BG59" s="8">
        <f t="shared" si="17"/>
        <v>0.44464770682508931</v>
      </c>
      <c r="BH59" s="13" t="s">
        <v>782</v>
      </c>
      <c r="BI59" s="16">
        <f>10^2.8</f>
        <v>630.95734448019323</v>
      </c>
      <c r="BJ59" s="16" t="s">
        <v>322</v>
      </c>
      <c r="BK59" s="8">
        <v>0.32</v>
      </c>
      <c r="BL59" s="16">
        <f>BI59*(K59/1000)/(K59^BK59)</f>
        <v>46.418961336958382</v>
      </c>
      <c r="BM59" s="25">
        <f>'PFAS Properties'!$U$21</f>
        <v>62.68</v>
      </c>
      <c r="BN59" s="16">
        <f>(BL59*(BM59^BK59))</f>
        <v>174.49247174637443</v>
      </c>
      <c r="BO59" s="24">
        <f>BN59/BM59</f>
        <v>2.7838620253091007</v>
      </c>
    </row>
    <row r="60" spans="1:67" s="14" customFormat="1" x14ac:dyDescent="0.3">
      <c r="A60" s="20">
        <v>58</v>
      </c>
      <c r="B60" s="2" t="s">
        <v>181</v>
      </c>
      <c r="C60" s="2">
        <v>2020</v>
      </c>
      <c r="D60" s="2" t="s">
        <v>203</v>
      </c>
      <c r="E60" s="10" t="s">
        <v>787</v>
      </c>
      <c r="F60" s="20" t="s">
        <v>29</v>
      </c>
      <c r="G60" s="2" t="s">
        <v>62</v>
      </c>
      <c r="H60" s="2" t="str">
        <f>'PFAS Properties'!$B$22</f>
        <v>AmPr-FHxSA</v>
      </c>
      <c r="I60" s="2" t="str">
        <f>'PFAS Properties'!$C$22</f>
        <v>Betaine</v>
      </c>
      <c r="J60" s="2" t="str">
        <f>'PFAS Properties'!$D$22</f>
        <v>C11H13F13N2O2S</v>
      </c>
      <c r="K60" s="25">
        <f>'PFAS Properties'!$P$22</f>
        <v>484.0487</v>
      </c>
      <c r="L60" s="2">
        <f>'PFAS Properties'!$X$22</f>
        <v>6.8</v>
      </c>
      <c r="M60" s="2">
        <f>'PFAS Properties'!$Y$22</f>
        <v>9.1999999999999993</v>
      </c>
      <c r="N60" s="33">
        <f t="shared" si="31"/>
        <v>0.16361598295586155</v>
      </c>
      <c r="O60" s="33">
        <f t="shared" si="32"/>
        <v>0.82002241874855242</v>
      </c>
      <c r="P60" s="33">
        <v>0</v>
      </c>
      <c r="Q60" s="33">
        <f t="shared" ref="Q60:Q69" si="36">1/(1+(10^(M60-AG60))+(10^((L60+M60)-(2*AG60))))</f>
        <v>1.6361598295586179E-2</v>
      </c>
      <c r="R60" s="33">
        <v>0</v>
      </c>
      <c r="S60" s="33">
        <v>0</v>
      </c>
      <c r="T60" s="8">
        <f t="shared" si="30"/>
        <v>1.0000000000000002</v>
      </c>
      <c r="U60" s="33">
        <f t="shared" si="22"/>
        <v>0.98363840170441397</v>
      </c>
      <c r="V60" s="33">
        <f t="shared" si="23"/>
        <v>-0.83638401704413856</v>
      </c>
      <c r="W60" s="33">
        <f t="shared" si="24"/>
        <v>484.1959543846603</v>
      </c>
      <c r="X60" s="33">
        <v>96485</v>
      </c>
      <c r="Y60" s="16">
        <f t="shared" si="25"/>
        <v>29.343159882454376</v>
      </c>
      <c r="Z60" s="2">
        <v>11</v>
      </c>
      <c r="AA60" s="2">
        <v>13</v>
      </c>
      <c r="AB60" s="8">
        <f t="shared" si="26"/>
        <v>0.53441295546558698</v>
      </c>
      <c r="AC60" s="16">
        <f t="shared" si="9"/>
        <v>51.027923430018504</v>
      </c>
      <c r="AD60" s="20">
        <f>'PFAS Properties'!$W$22</f>
        <v>6</v>
      </c>
      <c r="AE60" s="8">
        <f>'PFAS Properties'!$S$22</f>
        <v>2.592953571547866</v>
      </c>
      <c r="AF60" s="2">
        <f>'PFAS Properties'!$V$22</f>
        <v>4.3</v>
      </c>
      <c r="AG60" s="24">
        <v>7.5</v>
      </c>
      <c r="AH60" s="2" t="s">
        <v>183</v>
      </c>
      <c r="AI60" s="2" t="s">
        <v>661</v>
      </c>
      <c r="AJ60" s="2" t="s">
        <v>661</v>
      </c>
      <c r="AK60" s="2" t="s">
        <v>661</v>
      </c>
      <c r="AL60" s="2" t="s">
        <v>661</v>
      </c>
      <c r="AM60" s="2" t="s">
        <v>661</v>
      </c>
      <c r="AN60" s="2" t="s">
        <v>661</v>
      </c>
      <c r="AO60" s="2" t="s">
        <v>661</v>
      </c>
      <c r="AP60" s="15">
        <v>41.4</v>
      </c>
      <c r="AQ60" s="2" t="s">
        <v>661</v>
      </c>
      <c r="AR60" s="16">
        <v>16.899999999999999</v>
      </c>
      <c r="AS60" s="16">
        <v>17.5</v>
      </c>
      <c r="AT60" s="16">
        <v>65.599999999999994</v>
      </c>
      <c r="AU60" s="2" t="s">
        <v>661</v>
      </c>
      <c r="AV60" s="16">
        <f t="shared" ref="AV60:AV92" si="37">SUM(AR60:AT60)</f>
        <v>100</v>
      </c>
      <c r="AW60" s="18">
        <v>0.7</v>
      </c>
      <c r="AX60" s="13">
        <f t="shared" si="14"/>
        <v>6.9999999999999993E-3</v>
      </c>
      <c r="AY60" s="13" t="s">
        <v>184</v>
      </c>
      <c r="AZ60" s="16">
        <v>100</v>
      </c>
      <c r="BA60" s="16" t="s">
        <v>55</v>
      </c>
      <c r="BB60" s="16">
        <v>5</v>
      </c>
      <c r="BC60" s="16" t="s">
        <v>55</v>
      </c>
      <c r="BD60" s="24">
        <v>9.32</v>
      </c>
      <c r="BE60" s="16">
        <f t="shared" si="15"/>
        <v>1331.4285714285716</v>
      </c>
      <c r="BF60" s="16">
        <f t="shared" si="16"/>
        <v>3.1243178723397245</v>
      </c>
      <c r="BG60" s="8">
        <f t="shared" si="17"/>
        <v>0.96941591235398139</v>
      </c>
      <c r="BH60" s="13" t="s">
        <v>345</v>
      </c>
      <c r="BI60" s="13"/>
      <c r="BJ60" s="13"/>
      <c r="BK60" s="13"/>
      <c r="BL60" s="13"/>
      <c r="BM60" s="17"/>
      <c r="BN60" s="17"/>
      <c r="BO60" s="2"/>
    </row>
    <row r="61" spans="1:67" s="14" customFormat="1" x14ac:dyDescent="0.3">
      <c r="A61" s="20">
        <v>59</v>
      </c>
      <c r="B61" s="2" t="s">
        <v>181</v>
      </c>
      <c r="C61" s="2">
        <v>2020</v>
      </c>
      <c r="D61" s="2" t="s">
        <v>203</v>
      </c>
      <c r="E61" s="10" t="s">
        <v>787</v>
      </c>
      <c r="F61" s="20" t="s">
        <v>29</v>
      </c>
      <c r="G61" s="2" t="s">
        <v>57</v>
      </c>
      <c r="H61" s="2" t="str">
        <f>'PFAS Properties'!$B$22</f>
        <v>AmPr-FHxSA</v>
      </c>
      <c r="I61" s="2" t="str">
        <f>'PFAS Properties'!$C$22</f>
        <v>Betaine</v>
      </c>
      <c r="J61" s="2" t="str">
        <f>'PFAS Properties'!$D$22</f>
        <v>C11H13F13N2O2S</v>
      </c>
      <c r="K61" s="25">
        <f>'PFAS Properties'!$P$22</f>
        <v>484.0487</v>
      </c>
      <c r="L61" s="2">
        <f>'PFAS Properties'!$X$22</f>
        <v>6.8</v>
      </c>
      <c r="M61" s="2">
        <f>'PFAS Properties'!$Y$22</f>
        <v>9.1999999999999993</v>
      </c>
      <c r="N61" s="33">
        <f t="shared" si="31"/>
        <v>0.4990067092544575</v>
      </c>
      <c r="O61" s="33">
        <f t="shared" si="32"/>
        <v>0.4990067092544575</v>
      </c>
      <c r="P61" s="33">
        <v>0</v>
      </c>
      <c r="Q61" s="33">
        <f t="shared" si="36"/>
        <v>1.9865814910850366E-3</v>
      </c>
      <c r="R61" s="33">
        <v>0</v>
      </c>
      <c r="S61" s="33">
        <v>0</v>
      </c>
      <c r="T61" s="8">
        <f t="shared" si="30"/>
        <v>1</v>
      </c>
      <c r="U61" s="33">
        <f t="shared" si="22"/>
        <v>0.99801341850891501</v>
      </c>
      <c r="V61" s="33">
        <f t="shared" si="23"/>
        <v>-0.50099329074554255</v>
      </c>
      <c r="W61" s="33">
        <f t="shared" si="24"/>
        <v>484.54572012776339</v>
      </c>
      <c r="X61" s="33">
        <v>96485</v>
      </c>
      <c r="Y61" s="16">
        <f t="shared" si="25"/>
        <v>98.968962133448187</v>
      </c>
      <c r="Z61" s="2">
        <v>11</v>
      </c>
      <c r="AA61" s="2">
        <v>13</v>
      </c>
      <c r="AB61" s="8">
        <f t="shared" si="26"/>
        <v>0.53441295546558698</v>
      </c>
      <c r="AC61" s="16">
        <f t="shared" si="9"/>
        <v>51.027923430018504</v>
      </c>
      <c r="AD61" s="20">
        <f>'PFAS Properties'!$W$22</f>
        <v>6</v>
      </c>
      <c r="AE61" s="8">
        <f>'PFAS Properties'!$S$22</f>
        <v>2.592953571547866</v>
      </c>
      <c r="AF61" s="2">
        <f>'PFAS Properties'!$V$22</f>
        <v>4.3</v>
      </c>
      <c r="AG61" s="24">
        <v>6.8</v>
      </c>
      <c r="AH61" s="2" t="s">
        <v>183</v>
      </c>
      <c r="AI61" s="2" t="s">
        <v>661</v>
      </c>
      <c r="AJ61" s="2" t="s">
        <v>661</v>
      </c>
      <c r="AK61" s="2" t="s">
        <v>661</v>
      </c>
      <c r="AL61" s="2" t="s">
        <v>661</v>
      </c>
      <c r="AM61" s="2" t="s">
        <v>661</v>
      </c>
      <c r="AN61" s="2" t="s">
        <v>661</v>
      </c>
      <c r="AO61" s="2" t="s">
        <v>661</v>
      </c>
      <c r="AP61" s="15">
        <v>7.1</v>
      </c>
      <c r="AQ61" s="2" t="s">
        <v>661</v>
      </c>
      <c r="AR61" s="16">
        <v>48.9</v>
      </c>
      <c r="AS61" s="16">
        <v>27</v>
      </c>
      <c r="AT61" s="16">
        <v>24.2</v>
      </c>
      <c r="AU61" s="2" t="s">
        <v>661</v>
      </c>
      <c r="AV61" s="16">
        <f t="shared" si="37"/>
        <v>100.10000000000001</v>
      </c>
      <c r="AW61" s="18">
        <v>0.37</v>
      </c>
      <c r="AX61" s="13">
        <f t="shared" si="14"/>
        <v>3.7000000000000002E-3</v>
      </c>
      <c r="AY61" s="13" t="s">
        <v>184</v>
      </c>
      <c r="AZ61" s="16">
        <v>100</v>
      </c>
      <c r="BA61" s="16" t="s">
        <v>55</v>
      </c>
      <c r="BB61" s="16">
        <v>5</v>
      </c>
      <c r="BC61" s="16" t="s">
        <v>55</v>
      </c>
      <c r="BD61" s="24">
        <v>1.83</v>
      </c>
      <c r="BE61" s="16">
        <f t="shared" si="15"/>
        <v>494.59459459459458</v>
      </c>
      <c r="BF61" s="16">
        <f t="shared" si="16"/>
        <v>2.6942493656634343</v>
      </c>
      <c r="BG61" s="8">
        <f t="shared" si="17"/>
        <v>0.26245108973042947</v>
      </c>
      <c r="BH61" s="13" t="s">
        <v>345</v>
      </c>
      <c r="BI61" s="13"/>
      <c r="BJ61" s="13"/>
      <c r="BK61" s="13"/>
      <c r="BL61" s="13"/>
      <c r="BM61" s="17"/>
      <c r="BN61" s="17"/>
      <c r="BO61" s="2"/>
    </row>
    <row r="62" spans="1:67" s="14" customFormat="1" x14ac:dyDescent="0.3">
      <c r="A62" s="20">
        <v>60</v>
      </c>
      <c r="B62" s="2" t="s">
        <v>181</v>
      </c>
      <c r="C62" s="2">
        <v>2020</v>
      </c>
      <c r="D62" s="2" t="s">
        <v>203</v>
      </c>
      <c r="E62" s="10" t="s">
        <v>787</v>
      </c>
      <c r="F62" s="20" t="s">
        <v>29</v>
      </c>
      <c r="G62" s="2" t="s">
        <v>58</v>
      </c>
      <c r="H62" s="2" t="str">
        <f>'PFAS Properties'!$B$22</f>
        <v>AmPr-FHxSA</v>
      </c>
      <c r="I62" s="2" t="str">
        <f>'PFAS Properties'!$C$22</f>
        <v>Betaine</v>
      </c>
      <c r="J62" s="2" t="str">
        <f>'PFAS Properties'!$D$22</f>
        <v>C11H13F13N2O2S</v>
      </c>
      <c r="K62" s="25">
        <f>'PFAS Properties'!$P$22</f>
        <v>484.0487</v>
      </c>
      <c r="L62" s="2">
        <f>'PFAS Properties'!$X$22</f>
        <v>6.8</v>
      </c>
      <c r="M62" s="2">
        <f>'PFAS Properties'!$Y$22</f>
        <v>9.1999999999999993</v>
      </c>
      <c r="N62" s="33">
        <f t="shared" si="31"/>
        <v>0.7990795678657312</v>
      </c>
      <c r="O62" s="33">
        <f t="shared" si="32"/>
        <v>0.200719712421847</v>
      </c>
      <c r="P62" s="33">
        <v>0</v>
      </c>
      <c r="Q62" s="33">
        <f t="shared" si="36"/>
        <v>2.0071971242184705E-4</v>
      </c>
      <c r="R62" s="33">
        <v>0</v>
      </c>
      <c r="S62" s="33">
        <v>0</v>
      </c>
      <c r="T62" s="8">
        <f t="shared" si="30"/>
        <v>1</v>
      </c>
      <c r="U62" s="33">
        <f t="shared" si="22"/>
        <v>0.99979928028757814</v>
      </c>
      <c r="V62" s="33">
        <f t="shared" si="23"/>
        <v>-0.20092043213426886</v>
      </c>
      <c r="W62" s="33">
        <f t="shared" si="24"/>
        <v>484.84757884815326</v>
      </c>
      <c r="X62" s="33">
        <v>96485</v>
      </c>
      <c r="Y62" s="16">
        <f t="shared" si="25"/>
        <v>158.97743750147148</v>
      </c>
      <c r="Z62" s="2">
        <v>11</v>
      </c>
      <c r="AA62" s="2">
        <v>13</v>
      </c>
      <c r="AB62" s="8">
        <f t="shared" si="26"/>
        <v>0.53441295546558698</v>
      </c>
      <c r="AC62" s="16">
        <f t="shared" si="9"/>
        <v>51.027923430018504</v>
      </c>
      <c r="AD62" s="20">
        <f>'PFAS Properties'!$W$22</f>
        <v>6</v>
      </c>
      <c r="AE62" s="8">
        <f>'PFAS Properties'!$S$22</f>
        <v>2.592953571547866</v>
      </c>
      <c r="AF62" s="2">
        <f>'PFAS Properties'!$V$22</f>
        <v>4.3</v>
      </c>
      <c r="AG62" s="24">
        <v>6.2</v>
      </c>
      <c r="AH62" s="2" t="s">
        <v>183</v>
      </c>
      <c r="AI62" s="2" t="s">
        <v>661</v>
      </c>
      <c r="AJ62" s="2" t="s">
        <v>661</v>
      </c>
      <c r="AK62" s="2" t="s">
        <v>661</v>
      </c>
      <c r="AL62" s="2" t="s">
        <v>661</v>
      </c>
      <c r="AM62" s="2" t="s">
        <v>661</v>
      </c>
      <c r="AN62" s="2" t="s">
        <v>661</v>
      </c>
      <c r="AO62" s="2" t="s">
        <v>661</v>
      </c>
      <c r="AP62" s="15">
        <v>8</v>
      </c>
      <c r="AQ62" s="2" t="s">
        <v>661</v>
      </c>
      <c r="AR62" s="16">
        <v>51.44</v>
      </c>
      <c r="AS62" s="16">
        <v>10.17</v>
      </c>
      <c r="AT62" s="16">
        <v>38.380000000000003</v>
      </c>
      <c r="AU62" s="2" t="s">
        <v>661</v>
      </c>
      <c r="AV62" s="16">
        <f t="shared" si="37"/>
        <v>99.990000000000009</v>
      </c>
      <c r="AW62" s="18">
        <v>0.08</v>
      </c>
      <c r="AX62" s="13">
        <f t="shared" si="14"/>
        <v>8.0000000000000004E-4</v>
      </c>
      <c r="AY62" s="8" t="s">
        <v>184</v>
      </c>
      <c r="AZ62" s="16">
        <v>100</v>
      </c>
      <c r="BA62" s="16" t="s">
        <v>55</v>
      </c>
      <c r="BB62" s="16">
        <v>5</v>
      </c>
      <c r="BC62" s="16" t="s">
        <v>55</v>
      </c>
      <c r="BD62" s="25">
        <v>77.83</v>
      </c>
      <c r="BE62" s="16">
        <f t="shared" si="15"/>
        <v>97287.5</v>
      </c>
      <c r="BF62" s="16">
        <f t="shared" si="16"/>
        <v>4.9880570434568279</v>
      </c>
      <c r="BG62" s="8">
        <f t="shared" si="17"/>
        <v>1.891147030448771</v>
      </c>
      <c r="BH62" s="13" t="s">
        <v>345</v>
      </c>
      <c r="BI62" s="13"/>
      <c r="BJ62" s="13"/>
      <c r="BK62" s="13"/>
      <c r="BL62" s="13"/>
      <c r="BM62" s="17"/>
      <c r="BN62" s="17"/>
      <c r="BO62" s="2"/>
    </row>
    <row r="63" spans="1:67" s="14" customFormat="1" x14ac:dyDescent="0.3">
      <c r="A63" s="20">
        <v>61</v>
      </c>
      <c r="B63" s="2" t="s">
        <v>181</v>
      </c>
      <c r="C63" s="2">
        <v>2020</v>
      </c>
      <c r="D63" s="2" t="s">
        <v>203</v>
      </c>
      <c r="E63" s="10" t="s">
        <v>787</v>
      </c>
      <c r="F63" s="20" t="s">
        <v>29</v>
      </c>
      <c r="G63" s="2" t="s">
        <v>59</v>
      </c>
      <c r="H63" s="2" t="str">
        <f>'PFAS Properties'!$B$22</f>
        <v>AmPr-FHxSA</v>
      </c>
      <c r="I63" s="2" t="str">
        <f>'PFAS Properties'!$C$22</f>
        <v>Betaine</v>
      </c>
      <c r="J63" s="2" t="str">
        <f>'PFAS Properties'!$D$22</f>
        <v>C11H13F13N2O2S</v>
      </c>
      <c r="K63" s="25">
        <f>'PFAS Properties'!$P$22</f>
        <v>484.0487</v>
      </c>
      <c r="L63" s="2">
        <f>'PFAS Properties'!$X$22</f>
        <v>6.8</v>
      </c>
      <c r="M63" s="2">
        <f>'PFAS Properties'!$Y$22</f>
        <v>9.1999999999999993</v>
      </c>
      <c r="N63" s="33">
        <f t="shared" si="31"/>
        <v>0.10876101529329767</v>
      </c>
      <c r="O63" s="33">
        <f t="shared" si="32"/>
        <v>0.86391945284745819</v>
      </c>
      <c r="P63" s="33">
        <v>0</v>
      </c>
      <c r="Q63" s="33">
        <f t="shared" si="36"/>
        <v>2.7319531859244111E-2</v>
      </c>
      <c r="R63" s="33">
        <v>0</v>
      </c>
      <c r="S63" s="33">
        <v>0</v>
      </c>
      <c r="T63" s="8">
        <f t="shared" si="30"/>
        <v>0.99999999999999989</v>
      </c>
      <c r="U63" s="33">
        <f t="shared" si="22"/>
        <v>0.97268046814075582</v>
      </c>
      <c r="V63" s="33">
        <f t="shared" si="23"/>
        <v>-0.89123898470670226</v>
      </c>
      <c r="W63" s="33">
        <f t="shared" si="24"/>
        <v>484.13014148343404</v>
      </c>
      <c r="X63" s="33">
        <v>96485</v>
      </c>
      <c r="Y63" s="16">
        <f t="shared" si="25"/>
        <v>16.230928124113788</v>
      </c>
      <c r="Z63" s="2">
        <v>11</v>
      </c>
      <c r="AA63" s="2">
        <v>13</v>
      </c>
      <c r="AB63" s="8">
        <f t="shared" si="26"/>
        <v>0.53441295546558698</v>
      </c>
      <c r="AC63" s="16">
        <f t="shared" si="9"/>
        <v>51.027923430018504</v>
      </c>
      <c r="AD63" s="20">
        <f>'PFAS Properties'!$W$22</f>
        <v>6</v>
      </c>
      <c r="AE63" s="8">
        <f>'PFAS Properties'!$S$22</f>
        <v>2.592953571547866</v>
      </c>
      <c r="AF63" s="2">
        <f>'PFAS Properties'!$V$22</f>
        <v>4.3</v>
      </c>
      <c r="AG63" s="24">
        <v>7.7</v>
      </c>
      <c r="AH63" s="2" t="s">
        <v>183</v>
      </c>
      <c r="AI63" s="2" t="s">
        <v>661</v>
      </c>
      <c r="AJ63" s="2" t="s">
        <v>661</v>
      </c>
      <c r="AK63" s="2" t="s">
        <v>661</v>
      </c>
      <c r="AL63" s="2" t="s">
        <v>661</v>
      </c>
      <c r="AM63" s="2" t="s">
        <v>661</v>
      </c>
      <c r="AN63" s="2" t="s">
        <v>661</v>
      </c>
      <c r="AO63" s="2" t="s">
        <v>661</v>
      </c>
      <c r="AP63" s="15">
        <v>4.8</v>
      </c>
      <c r="AQ63" s="2" t="s">
        <v>661</v>
      </c>
      <c r="AR63" s="16">
        <v>46</v>
      </c>
      <c r="AS63" s="16">
        <v>37</v>
      </c>
      <c r="AT63" s="16">
        <v>17</v>
      </c>
      <c r="AU63" s="2" t="s">
        <v>661</v>
      </c>
      <c r="AV63" s="16">
        <f t="shared" si="37"/>
        <v>100</v>
      </c>
      <c r="AW63" s="18">
        <v>0.25</v>
      </c>
      <c r="AX63" s="13">
        <f t="shared" si="14"/>
        <v>2.5000000000000001E-3</v>
      </c>
      <c r="AY63" s="13" t="s">
        <v>184</v>
      </c>
      <c r="AZ63" s="16">
        <v>100</v>
      </c>
      <c r="BA63" s="16" t="s">
        <v>55</v>
      </c>
      <c r="BB63" s="16">
        <v>5</v>
      </c>
      <c r="BC63" s="16" t="s">
        <v>55</v>
      </c>
      <c r="BD63" s="25">
        <v>456</v>
      </c>
      <c r="BE63" s="16">
        <f t="shared" si="15"/>
        <v>182400</v>
      </c>
      <c r="BF63" s="16">
        <f t="shared" si="16"/>
        <v>5.2610248339923977</v>
      </c>
      <c r="BG63" s="8">
        <f t="shared" si="17"/>
        <v>2.6589648426644348</v>
      </c>
      <c r="BH63" s="13" t="s">
        <v>345</v>
      </c>
      <c r="BI63" s="13"/>
      <c r="BJ63" s="13"/>
      <c r="BK63" s="13"/>
      <c r="BL63" s="13"/>
      <c r="BM63" s="17"/>
      <c r="BN63" s="17"/>
      <c r="BO63" s="2"/>
    </row>
    <row r="64" spans="1:67" s="14" customFormat="1" x14ac:dyDescent="0.3">
      <c r="A64" s="20">
        <v>62</v>
      </c>
      <c r="B64" s="2" t="s">
        <v>181</v>
      </c>
      <c r="C64" s="2">
        <v>2020</v>
      </c>
      <c r="D64" s="2" t="s">
        <v>203</v>
      </c>
      <c r="E64" s="10" t="s">
        <v>787</v>
      </c>
      <c r="F64" s="20" t="s">
        <v>29</v>
      </c>
      <c r="G64" s="2" t="s">
        <v>61</v>
      </c>
      <c r="H64" s="2" t="str">
        <f>'PFAS Properties'!$B$22</f>
        <v>AmPr-FHxSA</v>
      </c>
      <c r="I64" s="2" t="str">
        <f>'PFAS Properties'!$C$22</f>
        <v>Betaine</v>
      </c>
      <c r="J64" s="2" t="str">
        <f>'PFAS Properties'!$D$22</f>
        <v>C11H13F13N2O2S</v>
      </c>
      <c r="K64" s="25">
        <f>'PFAS Properties'!$P$22</f>
        <v>484.0487</v>
      </c>
      <c r="L64" s="2">
        <f>'PFAS Properties'!$X$22</f>
        <v>6.8</v>
      </c>
      <c r="M64" s="2">
        <f>'PFAS Properties'!$Y$22</f>
        <v>9.1999999999999993</v>
      </c>
      <c r="N64" s="33">
        <f t="shared" si="31"/>
        <v>0.1982487718534916</v>
      </c>
      <c r="O64" s="33">
        <f t="shared" si="32"/>
        <v>0.78924257628299443</v>
      </c>
      <c r="P64" s="33">
        <v>0</v>
      </c>
      <c r="Q64" s="33">
        <f t="shared" si="36"/>
        <v>1.2508651863513911E-2</v>
      </c>
      <c r="R64" s="33">
        <v>0</v>
      </c>
      <c r="S64" s="33">
        <v>0</v>
      </c>
      <c r="T64" s="8">
        <f t="shared" si="30"/>
        <v>0.99999999999999989</v>
      </c>
      <c r="U64" s="33">
        <f t="shared" si="22"/>
        <v>0.98749134813648598</v>
      </c>
      <c r="V64" s="33">
        <f t="shared" si="23"/>
        <v>-0.80175122814650834</v>
      </c>
      <c r="W64" s="33">
        <f t="shared" si="24"/>
        <v>484.23444011998998</v>
      </c>
      <c r="X64" s="33">
        <v>96485</v>
      </c>
      <c r="Y64" s="16">
        <f t="shared" si="25"/>
        <v>37.009212877944535</v>
      </c>
      <c r="Z64" s="2">
        <v>11</v>
      </c>
      <c r="AA64" s="2">
        <v>13</v>
      </c>
      <c r="AB64" s="8">
        <f t="shared" si="26"/>
        <v>0.53441295546558698</v>
      </c>
      <c r="AC64" s="16">
        <f t="shared" si="9"/>
        <v>51.027923430018504</v>
      </c>
      <c r="AD64" s="20">
        <f>'PFAS Properties'!$W$22</f>
        <v>6</v>
      </c>
      <c r="AE64" s="8">
        <f>'PFAS Properties'!$S$22</f>
        <v>2.592953571547866</v>
      </c>
      <c r="AF64" s="2">
        <f>'PFAS Properties'!$V$22</f>
        <v>4.3</v>
      </c>
      <c r="AG64" s="24">
        <v>7.4</v>
      </c>
      <c r="AH64" s="2" t="s">
        <v>183</v>
      </c>
      <c r="AI64" s="2" t="s">
        <v>661</v>
      </c>
      <c r="AJ64" s="2" t="s">
        <v>661</v>
      </c>
      <c r="AK64" s="2" t="s">
        <v>661</v>
      </c>
      <c r="AL64" s="2" t="s">
        <v>661</v>
      </c>
      <c r="AM64" s="2" t="s">
        <v>661</v>
      </c>
      <c r="AN64" s="2" t="s">
        <v>661</v>
      </c>
      <c r="AO64" s="2" t="s">
        <v>661</v>
      </c>
      <c r="AP64" s="15">
        <v>29.6</v>
      </c>
      <c r="AQ64" s="2" t="s">
        <v>661</v>
      </c>
      <c r="AR64" s="16">
        <v>39.799999999999997</v>
      </c>
      <c r="AS64" s="16">
        <v>7.7</v>
      </c>
      <c r="AT64" s="16">
        <v>52.5</v>
      </c>
      <c r="AU64" s="2" t="s">
        <v>661</v>
      </c>
      <c r="AV64" s="16">
        <f t="shared" si="37"/>
        <v>100</v>
      </c>
      <c r="AW64" s="18">
        <v>2.23</v>
      </c>
      <c r="AX64" s="13">
        <f t="shared" si="14"/>
        <v>2.23E-2</v>
      </c>
      <c r="AY64" s="8" t="s">
        <v>184</v>
      </c>
      <c r="AZ64" s="16">
        <v>100</v>
      </c>
      <c r="BA64" s="16" t="s">
        <v>55</v>
      </c>
      <c r="BB64" s="16">
        <v>5</v>
      </c>
      <c r="BC64" s="16" t="s">
        <v>55</v>
      </c>
      <c r="BD64" s="24">
        <v>4.3499999999999996</v>
      </c>
      <c r="BE64" s="16">
        <f t="shared" si="15"/>
        <v>195.06726457399103</v>
      </c>
      <c r="BF64" s="16">
        <f t="shared" si="16"/>
        <v>2.2901843939064768</v>
      </c>
      <c r="BG64" s="8">
        <f t="shared" si="17"/>
        <v>0.63848925695463732</v>
      </c>
      <c r="BH64" s="13" t="s">
        <v>345</v>
      </c>
      <c r="BI64" s="13"/>
      <c r="BJ64" s="13"/>
      <c r="BK64" s="13"/>
      <c r="BL64" s="13"/>
      <c r="BM64" s="17"/>
      <c r="BN64" s="17"/>
      <c r="BO64" s="2"/>
    </row>
    <row r="65" spans="1:67" s="14" customFormat="1" x14ac:dyDescent="0.3">
      <c r="A65" s="20">
        <v>63</v>
      </c>
      <c r="B65" s="2" t="s">
        <v>181</v>
      </c>
      <c r="C65" s="2">
        <v>2020</v>
      </c>
      <c r="D65" s="2" t="s">
        <v>203</v>
      </c>
      <c r="E65" s="10" t="s">
        <v>787</v>
      </c>
      <c r="F65" s="20" t="s">
        <v>29</v>
      </c>
      <c r="G65" s="2" t="s">
        <v>60</v>
      </c>
      <c r="H65" s="2" t="str">
        <f>'PFAS Properties'!$B$22</f>
        <v>AmPr-FHxSA</v>
      </c>
      <c r="I65" s="2" t="str">
        <f>'PFAS Properties'!$C$22</f>
        <v>Betaine</v>
      </c>
      <c r="J65" s="2" t="str">
        <f>'PFAS Properties'!$D$22</f>
        <v>C11H13F13N2O2S</v>
      </c>
      <c r="K65" s="25">
        <f>'PFAS Properties'!$P$22</f>
        <v>484.0487</v>
      </c>
      <c r="L65" s="2">
        <f>'PFAS Properties'!$X$22</f>
        <v>6.8</v>
      </c>
      <c r="M65" s="2">
        <f>'PFAS Properties'!$Y$22</f>
        <v>9.1999999999999993</v>
      </c>
      <c r="N65" s="33">
        <f t="shared" si="31"/>
        <v>0.10876101529329767</v>
      </c>
      <c r="O65" s="33">
        <f t="shared" si="32"/>
        <v>0.86391945284745819</v>
      </c>
      <c r="P65" s="33">
        <v>0</v>
      </c>
      <c r="Q65" s="33">
        <f t="shared" si="36"/>
        <v>2.7319531859244111E-2</v>
      </c>
      <c r="R65" s="33">
        <v>0</v>
      </c>
      <c r="S65" s="33">
        <v>0</v>
      </c>
      <c r="T65" s="8">
        <f t="shared" si="30"/>
        <v>0.99999999999999989</v>
      </c>
      <c r="U65" s="33">
        <f t="shared" si="22"/>
        <v>0.97268046814075582</v>
      </c>
      <c r="V65" s="33">
        <f t="shared" si="23"/>
        <v>-0.89123898470670226</v>
      </c>
      <c r="W65" s="33">
        <f t="shared" si="24"/>
        <v>484.13014148343404</v>
      </c>
      <c r="X65" s="33">
        <v>96485</v>
      </c>
      <c r="Y65" s="16">
        <f t="shared" si="25"/>
        <v>16.230928124113788</v>
      </c>
      <c r="Z65" s="2">
        <v>11</v>
      </c>
      <c r="AA65" s="2">
        <v>13</v>
      </c>
      <c r="AB65" s="8">
        <f t="shared" si="26"/>
        <v>0.53441295546558698</v>
      </c>
      <c r="AC65" s="16">
        <f t="shared" si="9"/>
        <v>51.027923430018504</v>
      </c>
      <c r="AD65" s="20">
        <f>'PFAS Properties'!$W$22</f>
        <v>6</v>
      </c>
      <c r="AE65" s="8">
        <f>'PFAS Properties'!$S$22</f>
        <v>2.592953571547866</v>
      </c>
      <c r="AF65" s="2">
        <f>'PFAS Properties'!$V$22</f>
        <v>4.3</v>
      </c>
      <c r="AG65" s="24">
        <v>7.7</v>
      </c>
      <c r="AH65" s="2" t="s">
        <v>183</v>
      </c>
      <c r="AI65" s="2" t="s">
        <v>661</v>
      </c>
      <c r="AJ65" s="2" t="s">
        <v>661</v>
      </c>
      <c r="AK65" s="2" t="s">
        <v>661</v>
      </c>
      <c r="AL65" s="2" t="s">
        <v>661</v>
      </c>
      <c r="AM65" s="2" t="s">
        <v>661</v>
      </c>
      <c r="AN65" s="2" t="s">
        <v>661</v>
      </c>
      <c r="AO65" s="2" t="s">
        <v>661</v>
      </c>
      <c r="AP65" s="15">
        <v>21.63</v>
      </c>
      <c r="AQ65" s="2" t="s">
        <v>661</v>
      </c>
      <c r="AR65" s="16">
        <v>70</v>
      </c>
      <c r="AS65" s="16">
        <v>11</v>
      </c>
      <c r="AT65" s="16">
        <v>19</v>
      </c>
      <c r="AU65" s="2" t="s">
        <v>661</v>
      </c>
      <c r="AV65" s="16">
        <f t="shared" si="37"/>
        <v>100</v>
      </c>
      <c r="AW65" s="18">
        <v>4.9000000000000004</v>
      </c>
      <c r="AX65" s="13">
        <f t="shared" si="14"/>
        <v>4.9000000000000002E-2</v>
      </c>
      <c r="AY65" s="8" t="s">
        <v>184</v>
      </c>
      <c r="AZ65" s="16">
        <v>100</v>
      </c>
      <c r="BA65" s="16" t="s">
        <v>55</v>
      </c>
      <c r="BB65" s="16">
        <v>5</v>
      </c>
      <c r="BC65" s="16" t="s">
        <v>55</v>
      </c>
      <c r="BD65" s="24">
        <v>8.08</v>
      </c>
      <c r="BE65" s="16">
        <f t="shared" si="15"/>
        <v>164.89795918367346</v>
      </c>
      <c r="BF65" s="16">
        <f t="shared" si="16"/>
        <v>2.2172152807460725</v>
      </c>
      <c r="BG65" s="8">
        <f t="shared" si="17"/>
        <v>0.90741136077458617</v>
      </c>
      <c r="BH65" s="13" t="s">
        <v>345</v>
      </c>
      <c r="BI65" s="13"/>
      <c r="BJ65" s="13"/>
      <c r="BK65" s="13"/>
      <c r="BL65" s="13"/>
      <c r="BM65" s="17"/>
      <c r="BN65" s="17"/>
      <c r="BO65" s="2"/>
    </row>
    <row r="66" spans="1:67" s="14" customFormat="1" x14ac:dyDescent="0.3">
      <c r="A66" s="20">
        <v>64</v>
      </c>
      <c r="B66" s="2" t="s">
        <v>181</v>
      </c>
      <c r="C66" s="2">
        <v>2020</v>
      </c>
      <c r="D66" s="2" t="s">
        <v>203</v>
      </c>
      <c r="E66" s="10" t="s">
        <v>787</v>
      </c>
      <c r="F66" s="20" t="s">
        <v>29</v>
      </c>
      <c r="G66" s="2" t="s">
        <v>77</v>
      </c>
      <c r="H66" s="2" t="str">
        <f>'PFAS Properties'!$B$22</f>
        <v>AmPr-FHxSA</v>
      </c>
      <c r="I66" s="2" t="str">
        <f>'PFAS Properties'!$C$22</f>
        <v>Betaine</v>
      </c>
      <c r="J66" s="2" t="str">
        <f>'PFAS Properties'!$D$22</f>
        <v>C11H13F13N2O2S</v>
      </c>
      <c r="K66" s="25">
        <f>'PFAS Properties'!$P$22</f>
        <v>484.0487</v>
      </c>
      <c r="L66" s="2">
        <f>'PFAS Properties'!$X$22</f>
        <v>6.8</v>
      </c>
      <c r="M66" s="2">
        <f>'PFAS Properties'!$Y$22</f>
        <v>9.1999999999999993</v>
      </c>
      <c r="N66" s="33">
        <f t="shared" si="31"/>
        <v>0.10876101529329767</v>
      </c>
      <c r="O66" s="33">
        <f t="shared" si="32"/>
        <v>0.86391945284745819</v>
      </c>
      <c r="P66" s="33">
        <v>0</v>
      </c>
      <c r="Q66" s="33">
        <f t="shared" si="36"/>
        <v>2.7319531859244111E-2</v>
      </c>
      <c r="R66" s="33">
        <v>0</v>
      </c>
      <c r="S66" s="33">
        <v>0</v>
      </c>
      <c r="T66" s="8">
        <f t="shared" si="30"/>
        <v>0.99999999999999989</v>
      </c>
      <c r="U66" s="33">
        <f t="shared" si="22"/>
        <v>0.97268046814075582</v>
      </c>
      <c r="V66" s="33">
        <f t="shared" si="23"/>
        <v>-0.89123898470670226</v>
      </c>
      <c r="W66" s="33">
        <f t="shared" si="24"/>
        <v>484.13014148343404</v>
      </c>
      <c r="X66" s="33">
        <v>96485</v>
      </c>
      <c r="Y66" s="16">
        <f t="shared" si="25"/>
        <v>16.230928124113788</v>
      </c>
      <c r="Z66" s="2">
        <v>11</v>
      </c>
      <c r="AA66" s="2">
        <v>13</v>
      </c>
      <c r="AB66" s="8">
        <f t="shared" si="26"/>
        <v>0.53441295546558698</v>
      </c>
      <c r="AC66" s="16">
        <f t="shared" si="9"/>
        <v>51.027923430018504</v>
      </c>
      <c r="AD66" s="20">
        <f>'PFAS Properties'!$W$22</f>
        <v>6</v>
      </c>
      <c r="AE66" s="8">
        <f>'PFAS Properties'!$S$22</f>
        <v>2.592953571547866</v>
      </c>
      <c r="AF66" s="2">
        <f>'PFAS Properties'!$V$22</f>
        <v>4.3</v>
      </c>
      <c r="AG66" s="24">
        <v>7.7</v>
      </c>
      <c r="AH66" s="2" t="s">
        <v>183</v>
      </c>
      <c r="AI66" s="2" t="s">
        <v>661</v>
      </c>
      <c r="AJ66" s="2" t="s">
        <v>661</v>
      </c>
      <c r="AK66" s="2" t="s">
        <v>661</v>
      </c>
      <c r="AL66" s="2" t="s">
        <v>661</v>
      </c>
      <c r="AM66" s="2" t="s">
        <v>661</v>
      </c>
      <c r="AN66" s="2" t="s">
        <v>661</v>
      </c>
      <c r="AO66" s="2" t="s">
        <v>661</v>
      </c>
      <c r="AP66" s="15">
        <v>7.8</v>
      </c>
      <c r="AQ66" s="2" t="s">
        <v>661</v>
      </c>
      <c r="AR66" s="16">
        <v>48.9</v>
      </c>
      <c r="AS66" s="16">
        <v>32.6</v>
      </c>
      <c r="AT66" s="16">
        <v>18.5</v>
      </c>
      <c r="AU66" s="2" t="s">
        <v>661</v>
      </c>
      <c r="AV66" s="16">
        <f t="shared" si="37"/>
        <v>100</v>
      </c>
      <c r="AW66" s="18">
        <v>0.13</v>
      </c>
      <c r="AX66" s="13">
        <f t="shared" si="14"/>
        <v>1.2999999999999999E-3</v>
      </c>
      <c r="AY66" s="8" t="s">
        <v>184</v>
      </c>
      <c r="AZ66" s="16">
        <v>100</v>
      </c>
      <c r="BA66" s="16" t="s">
        <v>55</v>
      </c>
      <c r="BB66" s="16">
        <v>5</v>
      </c>
      <c r="BC66" s="16" t="s">
        <v>55</v>
      </c>
      <c r="BD66" s="24">
        <v>4.3499999999999996</v>
      </c>
      <c r="BE66" s="16">
        <f t="shared" si="15"/>
        <v>3346.1538461538462</v>
      </c>
      <c r="BF66" s="16">
        <f t="shared" si="16"/>
        <v>3.5245459046478005</v>
      </c>
      <c r="BG66" s="8">
        <f t="shared" si="17"/>
        <v>0.63848925695463732</v>
      </c>
      <c r="BH66" s="13" t="s">
        <v>345</v>
      </c>
      <c r="BI66" s="13"/>
      <c r="BJ66" s="13"/>
      <c r="BK66" s="13"/>
      <c r="BL66" s="13"/>
      <c r="BM66" s="17"/>
      <c r="BN66" s="17"/>
      <c r="BO66" s="2"/>
    </row>
    <row r="67" spans="1:67" s="14" customFormat="1" x14ac:dyDescent="0.3">
      <c r="A67" s="20">
        <v>65</v>
      </c>
      <c r="B67" s="2" t="s">
        <v>181</v>
      </c>
      <c r="C67" s="2">
        <v>2020</v>
      </c>
      <c r="D67" s="2" t="s">
        <v>203</v>
      </c>
      <c r="E67" s="10" t="s">
        <v>787</v>
      </c>
      <c r="F67" s="20" t="s">
        <v>29</v>
      </c>
      <c r="G67" s="2" t="s">
        <v>182</v>
      </c>
      <c r="H67" s="2" t="str">
        <f>'PFAS Properties'!$B$22</f>
        <v>AmPr-FHxSA</v>
      </c>
      <c r="I67" s="2" t="str">
        <f>'PFAS Properties'!$C$22</f>
        <v>Betaine</v>
      </c>
      <c r="J67" s="2" t="str">
        <f>'PFAS Properties'!$D$22</f>
        <v>C11H13F13N2O2S</v>
      </c>
      <c r="K67" s="25">
        <f>'PFAS Properties'!$P$22</f>
        <v>484.0487</v>
      </c>
      <c r="L67" s="2">
        <f>'PFAS Properties'!$X$22</f>
        <v>6.8</v>
      </c>
      <c r="M67" s="2">
        <f>'PFAS Properties'!$Y$22</f>
        <v>9.1999999999999993</v>
      </c>
      <c r="N67" s="33">
        <f t="shared" si="31"/>
        <v>0.16361598295586155</v>
      </c>
      <c r="O67" s="33">
        <f t="shared" si="32"/>
        <v>0.82002241874855242</v>
      </c>
      <c r="P67" s="33">
        <v>0</v>
      </c>
      <c r="Q67" s="33">
        <f t="shared" si="36"/>
        <v>1.6361598295586179E-2</v>
      </c>
      <c r="R67" s="33">
        <v>0</v>
      </c>
      <c r="S67" s="33">
        <v>0</v>
      </c>
      <c r="T67" s="8">
        <f t="shared" si="30"/>
        <v>1.0000000000000002</v>
      </c>
      <c r="U67" s="33">
        <f t="shared" ref="U67:U91" si="38">((1*N67)+(1*O67)+(1*P67))</f>
        <v>0.98363840170441397</v>
      </c>
      <c r="V67" s="33">
        <f t="shared" ref="V67:V91" si="39">-((1*O67)+(2*P67)+(1*Q67)+(2*R67))</f>
        <v>-0.83638401704413856</v>
      </c>
      <c r="W67" s="33">
        <f t="shared" ref="W67:W91" si="40">(N67*(K67+1))+(O67*K67)+(P67*(K67-1))+(Q67*(K67-1))+(R67*(K67-2))+(S67*K67)</f>
        <v>484.1959543846603</v>
      </c>
      <c r="X67" s="33">
        <v>96485</v>
      </c>
      <c r="Y67" s="16">
        <f t="shared" ref="Y67:Y91" si="41">((V67+U67)/W67)*X67</f>
        <v>29.343159882454376</v>
      </c>
      <c r="Z67" s="2">
        <v>11</v>
      </c>
      <c r="AA67" s="2">
        <v>13</v>
      </c>
      <c r="AB67" s="8">
        <f t="shared" ref="AB67:AB91" si="42">(Z67/AA67)*(12/19)</f>
        <v>0.53441295546558698</v>
      </c>
      <c r="AC67" s="16">
        <f t="shared" ref="AC67:AC130" si="43">((AA67*19)/K67)*100</f>
        <v>51.027923430018504</v>
      </c>
      <c r="AD67" s="20">
        <f>'PFAS Properties'!$W$22</f>
        <v>6</v>
      </c>
      <c r="AE67" s="8">
        <f>'PFAS Properties'!$S$22</f>
        <v>2.592953571547866</v>
      </c>
      <c r="AF67" s="2">
        <f>'PFAS Properties'!$V$22</f>
        <v>4.3</v>
      </c>
      <c r="AG67" s="24">
        <v>7.5</v>
      </c>
      <c r="AH67" s="2" t="s">
        <v>183</v>
      </c>
      <c r="AI67" s="2" t="s">
        <v>661</v>
      </c>
      <c r="AJ67" s="2" t="s">
        <v>661</v>
      </c>
      <c r="AK67" s="2" t="s">
        <v>661</v>
      </c>
      <c r="AL67" s="2" t="s">
        <v>661</v>
      </c>
      <c r="AM67" s="2" t="s">
        <v>661</v>
      </c>
      <c r="AN67" s="2" t="s">
        <v>661</v>
      </c>
      <c r="AO67" s="2" t="s">
        <v>661</v>
      </c>
      <c r="AP67" s="15">
        <v>2.2799999999999998</v>
      </c>
      <c r="AQ67" s="2" t="s">
        <v>661</v>
      </c>
      <c r="AR67" s="16">
        <v>93</v>
      </c>
      <c r="AS67" s="16">
        <v>1</v>
      </c>
      <c r="AT67" s="16">
        <v>5</v>
      </c>
      <c r="AU67" s="2" t="s">
        <v>661</v>
      </c>
      <c r="AV67" s="16">
        <f t="shared" si="37"/>
        <v>99</v>
      </c>
      <c r="AW67" s="18">
        <v>0.4</v>
      </c>
      <c r="AX67" s="13">
        <f t="shared" si="14"/>
        <v>4.0000000000000001E-3</v>
      </c>
      <c r="AY67" s="8" t="s">
        <v>184</v>
      </c>
      <c r="AZ67" s="16">
        <v>100</v>
      </c>
      <c r="BA67" s="16" t="s">
        <v>55</v>
      </c>
      <c r="BB67" s="16">
        <v>5</v>
      </c>
      <c r="BC67" s="16" t="s">
        <v>55</v>
      </c>
      <c r="BD67" s="24">
        <v>4.1900000000000004</v>
      </c>
      <c r="BE67" s="16">
        <f t="shared" si="15"/>
        <v>1047.5</v>
      </c>
      <c r="BF67" s="16">
        <f t="shared" si="16"/>
        <v>3.0201540316383331</v>
      </c>
      <c r="BG67" s="8">
        <f t="shared" si="17"/>
        <v>0.62221402296629535</v>
      </c>
      <c r="BH67" s="13" t="s">
        <v>345</v>
      </c>
      <c r="BI67" s="13"/>
      <c r="BJ67" s="13"/>
      <c r="BK67" s="13"/>
      <c r="BL67" s="13"/>
      <c r="BM67" s="17"/>
      <c r="BN67" s="17"/>
      <c r="BO67" s="2"/>
    </row>
    <row r="68" spans="1:67" s="14" customFormat="1" x14ac:dyDescent="0.3">
      <c r="A68" s="20">
        <v>66</v>
      </c>
      <c r="B68" s="2" t="s">
        <v>181</v>
      </c>
      <c r="C68" s="2">
        <v>2020</v>
      </c>
      <c r="D68" s="2" t="s">
        <v>203</v>
      </c>
      <c r="E68" s="10" t="s">
        <v>787</v>
      </c>
      <c r="F68" s="20" t="s">
        <v>29</v>
      </c>
      <c r="G68" s="2" t="s">
        <v>78</v>
      </c>
      <c r="H68" s="2" t="str">
        <f>'PFAS Properties'!$B$22</f>
        <v>AmPr-FHxSA</v>
      </c>
      <c r="I68" s="2" t="str">
        <f>'PFAS Properties'!$C$22</f>
        <v>Betaine</v>
      </c>
      <c r="J68" s="2" t="str">
        <f>'PFAS Properties'!$D$22</f>
        <v>C11H13F13N2O2S</v>
      </c>
      <c r="K68" s="25">
        <f>'PFAS Properties'!$P$22</f>
        <v>484.0487</v>
      </c>
      <c r="L68" s="2">
        <f>'PFAS Properties'!$X$22</f>
        <v>6.8</v>
      </c>
      <c r="M68" s="2">
        <f>'PFAS Properties'!$Y$22</f>
        <v>9.1999999999999993</v>
      </c>
      <c r="N68" s="33">
        <f t="shared" si="31"/>
        <v>0.33210330605741722</v>
      </c>
      <c r="O68" s="33">
        <f t="shared" si="32"/>
        <v>0.6626332112529405</v>
      </c>
      <c r="P68" s="33">
        <v>0</v>
      </c>
      <c r="Q68" s="33">
        <f t="shared" si="36"/>
        <v>5.2634826896422997E-3</v>
      </c>
      <c r="R68" s="33">
        <v>0</v>
      </c>
      <c r="S68" s="33">
        <v>0</v>
      </c>
      <c r="T68" s="8">
        <f t="shared" si="30"/>
        <v>1</v>
      </c>
      <c r="U68" s="33">
        <f t="shared" si="38"/>
        <v>0.99473651731035773</v>
      </c>
      <c r="V68" s="33">
        <f t="shared" si="39"/>
        <v>-0.66789669394258278</v>
      </c>
      <c r="W68" s="33">
        <f t="shared" si="40"/>
        <v>484.37553982336777</v>
      </c>
      <c r="X68" s="33">
        <v>96485</v>
      </c>
      <c r="Y68" s="16">
        <f t="shared" si="41"/>
        <v>65.104733342107565</v>
      </c>
      <c r="Z68" s="2">
        <v>11</v>
      </c>
      <c r="AA68" s="2">
        <v>13</v>
      </c>
      <c r="AB68" s="8">
        <f t="shared" si="42"/>
        <v>0.53441295546558698</v>
      </c>
      <c r="AC68" s="16">
        <f t="shared" si="43"/>
        <v>51.027923430018504</v>
      </c>
      <c r="AD68" s="20">
        <f>'PFAS Properties'!$W$22</f>
        <v>6</v>
      </c>
      <c r="AE68" s="8">
        <f>'PFAS Properties'!$S$22</f>
        <v>2.592953571547866</v>
      </c>
      <c r="AF68" s="2">
        <f>'PFAS Properties'!$V$22</f>
        <v>4.3</v>
      </c>
      <c r="AG68" s="24">
        <v>7.1</v>
      </c>
      <c r="AH68" s="2" t="s">
        <v>183</v>
      </c>
      <c r="AI68" s="2" t="s">
        <v>661</v>
      </c>
      <c r="AJ68" s="2" t="s">
        <v>661</v>
      </c>
      <c r="AK68" s="2" t="s">
        <v>661</v>
      </c>
      <c r="AL68" s="2" t="s">
        <v>661</v>
      </c>
      <c r="AM68" s="2" t="s">
        <v>661</v>
      </c>
      <c r="AN68" s="2" t="s">
        <v>661</v>
      </c>
      <c r="AO68" s="2" t="s">
        <v>661</v>
      </c>
      <c r="AP68" s="15">
        <v>17.420000000000002</v>
      </c>
      <c r="AQ68" s="2" t="s">
        <v>661</v>
      </c>
      <c r="AR68" s="16">
        <v>48.86</v>
      </c>
      <c r="AS68" s="16">
        <v>16.05</v>
      </c>
      <c r="AT68" s="16">
        <v>35.090000000000003</v>
      </c>
      <c r="AU68" s="2" t="s">
        <v>661</v>
      </c>
      <c r="AV68" s="16">
        <f t="shared" si="37"/>
        <v>100</v>
      </c>
      <c r="AW68" s="18">
        <v>1.19</v>
      </c>
      <c r="AX68" s="13">
        <f t="shared" ref="AX68:AX79" si="44">AW68/100</f>
        <v>1.1899999999999999E-2</v>
      </c>
      <c r="AY68" s="8" t="s">
        <v>184</v>
      </c>
      <c r="AZ68" s="16">
        <v>100</v>
      </c>
      <c r="BA68" s="16" t="s">
        <v>55</v>
      </c>
      <c r="BB68" s="16">
        <v>5</v>
      </c>
      <c r="BC68" s="16" t="s">
        <v>55</v>
      </c>
      <c r="BD68" s="24">
        <v>3.37</v>
      </c>
      <c r="BE68" s="16">
        <f t="shared" si="15"/>
        <v>283.19327731092437</v>
      </c>
      <c r="BF68" s="16">
        <f t="shared" si="16"/>
        <v>2.452082939478808</v>
      </c>
      <c r="BG68" s="8">
        <f t="shared" si="17"/>
        <v>0.52762990087133865</v>
      </c>
      <c r="BH68" s="13" t="s">
        <v>345</v>
      </c>
      <c r="BI68" s="13"/>
      <c r="BJ68" s="13"/>
      <c r="BK68" s="13"/>
      <c r="BL68" s="13"/>
      <c r="BM68" s="17"/>
      <c r="BN68" s="17"/>
      <c r="BO68" s="2"/>
    </row>
    <row r="69" spans="1:67" s="14" customFormat="1" x14ac:dyDescent="0.3">
      <c r="A69" s="20">
        <v>67</v>
      </c>
      <c r="B69" s="2" t="s">
        <v>181</v>
      </c>
      <c r="C69" s="2">
        <v>2020</v>
      </c>
      <c r="D69" s="2" t="s">
        <v>203</v>
      </c>
      <c r="E69" s="10" t="s">
        <v>787</v>
      </c>
      <c r="F69" s="20" t="s">
        <v>29</v>
      </c>
      <c r="G69" s="2" t="s">
        <v>98</v>
      </c>
      <c r="H69" s="2" t="str">
        <f>'PFAS Properties'!$B$22</f>
        <v>AmPr-FHxSA</v>
      </c>
      <c r="I69" s="2" t="str">
        <f>'PFAS Properties'!$C$22</f>
        <v>Betaine</v>
      </c>
      <c r="J69" s="2" t="str">
        <f>'PFAS Properties'!$D$22</f>
        <v>C11H13F13N2O2S</v>
      </c>
      <c r="K69" s="25">
        <f>'PFAS Properties'!$P$22</f>
        <v>484.0487</v>
      </c>
      <c r="L69" s="2">
        <f>'PFAS Properties'!$X$22</f>
        <v>6.8</v>
      </c>
      <c r="M69" s="2">
        <f>'PFAS Properties'!$Y$22</f>
        <v>9.1999999999999993</v>
      </c>
      <c r="N69" s="33">
        <f t="shared" si="31"/>
        <v>0.7149301073981581</v>
      </c>
      <c r="O69" s="33">
        <f t="shared" si="32"/>
        <v>0.28461880219978897</v>
      </c>
      <c r="P69" s="33">
        <v>0</v>
      </c>
      <c r="Q69" s="33">
        <f t="shared" si="36"/>
        <v>4.51090402052882E-4</v>
      </c>
      <c r="R69" s="33">
        <v>0</v>
      </c>
      <c r="S69" s="33">
        <v>0</v>
      </c>
      <c r="T69" s="8">
        <f t="shared" si="30"/>
        <v>1</v>
      </c>
      <c r="U69" s="33">
        <f t="shared" si="38"/>
        <v>0.99954890959794707</v>
      </c>
      <c r="V69" s="33">
        <f t="shared" si="39"/>
        <v>-0.28506989260184185</v>
      </c>
      <c r="W69" s="33">
        <f t="shared" si="40"/>
        <v>484.76317901699605</v>
      </c>
      <c r="X69" s="33">
        <v>96485</v>
      </c>
      <c r="Y69" s="16">
        <f t="shared" si="41"/>
        <v>142.20656794655656</v>
      </c>
      <c r="Z69" s="2">
        <v>11</v>
      </c>
      <c r="AA69" s="2">
        <v>13</v>
      </c>
      <c r="AB69" s="8">
        <f t="shared" si="42"/>
        <v>0.53441295546558698</v>
      </c>
      <c r="AC69" s="16">
        <f t="shared" si="43"/>
        <v>51.027923430018504</v>
      </c>
      <c r="AD69" s="20">
        <f>'PFAS Properties'!$W$22</f>
        <v>6</v>
      </c>
      <c r="AE69" s="8">
        <f>'PFAS Properties'!$S$22</f>
        <v>2.592953571547866</v>
      </c>
      <c r="AF69" s="2">
        <f>'PFAS Properties'!$V$22</f>
        <v>4.3</v>
      </c>
      <c r="AG69" s="24">
        <v>6.4</v>
      </c>
      <c r="AH69" s="2" t="s">
        <v>183</v>
      </c>
      <c r="AI69" s="2" t="s">
        <v>661</v>
      </c>
      <c r="AJ69" s="15" t="s">
        <v>661</v>
      </c>
      <c r="AK69" s="8" t="s">
        <v>661</v>
      </c>
      <c r="AL69" s="2" t="s">
        <v>661</v>
      </c>
      <c r="AM69" s="15" t="s">
        <v>661</v>
      </c>
      <c r="AN69" s="8" t="s">
        <v>661</v>
      </c>
      <c r="AO69" s="15" t="s">
        <v>661</v>
      </c>
      <c r="AP69" s="15">
        <v>16.54</v>
      </c>
      <c r="AQ69" s="13" t="s">
        <v>661</v>
      </c>
      <c r="AR69" s="16">
        <v>29.38</v>
      </c>
      <c r="AS69" s="16">
        <v>13.9</v>
      </c>
      <c r="AT69" s="16">
        <v>56.71</v>
      </c>
      <c r="AU69" s="15" t="s">
        <v>661</v>
      </c>
      <c r="AV69" s="16">
        <f t="shared" si="37"/>
        <v>99.990000000000009</v>
      </c>
      <c r="AW69" s="18">
        <v>0.17</v>
      </c>
      <c r="AX69" s="13">
        <f t="shared" si="44"/>
        <v>1.7000000000000001E-3</v>
      </c>
      <c r="AY69" s="8" t="s">
        <v>184</v>
      </c>
      <c r="AZ69" s="16">
        <v>100</v>
      </c>
      <c r="BA69" s="16" t="s">
        <v>55</v>
      </c>
      <c r="BB69" s="16">
        <v>5</v>
      </c>
      <c r="BC69" s="16" t="s">
        <v>55</v>
      </c>
      <c r="BD69" s="25">
        <v>20.79</v>
      </c>
      <c r="BE69" s="16">
        <f t="shared" si="15"/>
        <v>12229.411764705881</v>
      </c>
      <c r="BF69" s="16">
        <f t="shared" si="16"/>
        <v>4.0874055679531951</v>
      </c>
      <c r="BG69" s="8">
        <f t="shared" si="17"/>
        <v>1.3178544893314692</v>
      </c>
      <c r="BH69" s="13" t="s">
        <v>345</v>
      </c>
      <c r="BI69" s="13"/>
      <c r="BJ69" s="13"/>
      <c r="BK69" s="13"/>
      <c r="BL69" s="13"/>
      <c r="BM69" s="17"/>
      <c r="BN69" s="17"/>
      <c r="BO69" s="2"/>
    </row>
    <row r="70" spans="1:67" s="14" customFormat="1" x14ac:dyDescent="0.3">
      <c r="A70" s="20">
        <v>68</v>
      </c>
      <c r="B70" s="2" t="s">
        <v>181</v>
      </c>
      <c r="C70" s="2">
        <v>2020</v>
      </c>
      <c r="D70" s="2" t="s">
        <v>203</v>
      </c>
      <c r="E70" s="10" t="s">
        <v>787</v>
      </c>
      <c r="F70" s="20" t="s">
        <v>29</v>
      </c>
      <c r="G70" s="2" t="s">
        <v>62</v>
      </c>
      <c r="H70" s="2" t="str">
        <f>'PFAS Properties'!$B$23</f>
        <v>TAmPr-FHxSA</v>
      </c>
      <c r="I70" s="2" t="str">
        <f>'PFAS Properties'!$C$23</f>
        <v>Betaine</v>
      </c>
      <c r="J70" s="2" t="str">
        <f>'PFAS Properties'!$D$23</f>
        <v>C12H15F13N2O2S</v>
      </c>
      <c r="K70" s="25">
        <f>'PFAS Properties'!$P$23</f>
        <v>498.0643</v>
      </c>
      <c r="L70" s="2">
        <f>'PFAS Properties'!$X$23</f>
        <v>6.8</v>
      </c>
      <c r="M70" s="2" t="str">
        <f>'PFAS Properties'!$Y$23</f>
        <v>-</v>
      </c>
      <c r="N70" s="33">
        <v>0</v>
      </c>
      <c r="O70" s="33">
        <f t="shared" ref="O70:O79" si="45">(10^(AG70-L70))/(1+(10^(AG70-L70)))</f>
        <v>0.83366246918343823</v>
      </c>
      <c r="P70" s="33">
        <v>0</v>
      </c>
      <c r="Q70" s="33">
        <f t="shared" ref="Q70:Q79" si="46">(1/(1+(10^(AG70-L70))))</f>
        <v>0.1663375308165618</v>
      </c>
      <c r="R70" s="33">
        <v>0</v>
      </c>
      <c r="S70" s="33">
        <v>0</v>
      </c>
      <c r="T70" s="8">
        <f t="shared" ref="T70:T79" si="47">SUM(O70:S70)</f>
        <v>1</v>
      </c>
      <c r="U70" s="33">
        <f t="shared" si="38"/>
        <v>0.83366246918343823</v>
      </c>
      <c r="V70" s="33">
        <f t="shared" si="39"/>
        <v>-1</v>
      </c>
      <c r="W70" s="33">
        <f t="shared" si="40"/>
        <v>497.89796246918343</v>
      </c>
      <c r="X70" s="33">
        <v>96485</v>
      </c>
      <c r="Y70" s="16">
        <f t="shared" si="41"/>
        <v>-32.233666073355934</v>
      </c>
      <c r="Z70" s="2">
        <v>12</v>
      </c>
      <c r="AA70" s="2">
        <v>13</v>
      </c>
      <c r="AB70" s="8">
        <f t="shared" si="42"/>
        <v>0.582995951417004</v>
      </c>
      <c r="AC70" s="16">
        <f t="shared" si="43"/>
        <v>49.591990431757502</v>
      </c>
      <c r="AD70" s="20">
        <f>'PFAS Properties'!$W$23</f>
        <v>6</v>
      </c>
      <c r="AE70" s="8">
        <f>'PFAS Properties'!$S$23</f>
        <v>2.3111178426625059</v>
      </c>
      <c r="AF70" s="2">
        <f>'PFAS Properties'!$V$23</f>
        <v>4.0999999999999996</v>
      </c>
      <c r="AG70" s="24">
        <v>7.5</v>
      </c>
      <c r="AH70" s="2" t="s">
        <v>183</v>
      </c>
      <c r="AI70" s="2" t="s">
        <v>661</v>
      </c>
      <c r="AJ70" s="2" t="s">
        <v>661</v>
      </c>
      <c r="AK70" s="2" t="s">
        <v>661</v>
      </c>
      <c r="AL70" s="2" t="s">
        <v>661</v>
      </c>
      <c r="AM70" s="2" t="s">
        <v>661</v>
      </c>
      <c r="AN70" s="2" t="s">
        <v>661</v>
      </c>
      <c r="AO70" s="2" t="s">
        <v>661</v>
      </c>
      <c r="AP70" s="15">
        <v>41.4</v>
      </c>
      <c r="AQ70" s="2" t="s">
        <v>661</v>
      </c>
      <c r="AR70" s="16">
        <v>16.899999999999999</v>
      </c>
      <c r="AS70" s="16">
        <v>17.5</v>
      </c>
      <c r="AT70" s="16">
        <v>65.599999999999994</v>
      </c>
      <c r="AU70" s="2" t="s">
        <v>661</v>
      </c>
      <c r="AV70" s="16">
        <f t="shared" si="37"/>
        <v>100</v>
      </c>
      <c r="AW70" s="18">
        <v>0.7</v>
      </c>
      <c r="AX70" s="13">
        <f t="shared" si="44"/>
        <v>6.9999999999999993E-3</v>
      </c>
      <c r="AY70" s="13" t="s">
        <v>184</v>
      </c>
      <c r="AZ70" s="16">
        <v>100</v>
      </c>
      <c r="BA70" s="16" t="s">
        <v>55</v>
      </c>
      <c r="BB70" s="16">
        <v>5</v>
      </c>
      <c r="BC70" s="16" t="s">
        <v>55</v>
      </c>
      <c r="BD70" s="24">
        <v>5.32</v>
      </c>
      <c r="BE70" s="16">
        <f t="shared" si="15"/>
        <v>760.00000000000011</v>
      </c>
      <c r="BF70" s="16">
        <f t="shared" si="16"/>
        <v>2.8808135922807914</v>
      </c>
      <c r="BG70" s="8">
        <f t="shared" si="17"/>
        <v>0.72591163229504818</v>
      </c>
      <c r="BH70" s="13" t="s">
        <v>345</v>
      </c>
      <c r="BI70" s="13"/>
      <c r="BJ70" s="13"/>
      <c r="BK70" s="13"/>
      <c r="BL70" s="13"/>
      <c r="BM70" s="17"/>
      <c r="BN70" s="17"/>
      <c r="BO70" s="2"/>
    </row>
    <row r="71" spans="1:67" s="14" customFormat="1" x14ac:dyDescent="0.3">
      <c r="A71" s="20">
        <v>69</v>
      </c>
      <c r="B71" s="2" t="s">
        <v>181</v>
      </c>
      <c r="C71" s="2">
        <v>2020</v>
      </c>
      <c r="D71" s="2" t="s">
        <v>203</v>
      </c>
      <c r="E71" s="10" t="s">
        <v>787</v>
      </c>
      <c r="F71" s="20" t="s">
        <v>29</v>
      </c>
      <c r="G71" s="2" t="s">
        <v>57</v>
      </c>
      <c r="H71" s="2" t="str">
        <f>'PFAS Properties'!$B$23</f>
        <v>TAmPr-FHxSA</v>
      </c>
      <c r="I71" s="2" t="str">
        <f>'PFAS Properties'!$C$23</f>
        <v>Betaine</v>
      </c>
      <c r="J71" s="2" t="str">
        <f>'PFAS Properties'!$D$23</f>
        <v>C12H15F13N2O2S</v>
      </c>
      <c r="K71" s="25">
        <f>'PFAS Properties'!$P$23</f>
        <v>498.0643</v>
      </c>
      <c r="L71" s="2">
        <f>'PFAS Properties'!$X$23</f>
        <v>6.8</v>
      </c>
      <c r="M71" s="2" t="str">
        <f>'PFAS Properties'!$Y$23</f>
        <v>-</v>
      </c>
      <c r="N71" s="33">
        <v>0</v>
      </c>
      <c r="O71" s="33">
        <f t="shared" si="45"/>
        <v>0.5</v>
      </c>
      <c r="P71" s="33">
        <v>0</v>
      </c>
      <c r="Q71" s="33">
        <f t="shared" si="46"/>
        <v>0.5</v>
      </c>
      <c r="R71" s="33">
        <v>0</v>
      </c>
      <c r="S71" s="33">
        <v>0</v>
      </c>
      <c r="T71" s="8">
        <f t="shared" si="47"/>
        <v>1</v>
      </c>
      <c r="U71" s="33">
        <f t="shared" si="38"/>
        <v>0.5</v>
      </c>
      <c r="V71" s="33">
        <f t="shared" si="39"/>
        <v>-1</v>
      </c>
      <c r="W71" s="33">
        <f t="shared" si="40"/>
        <v>497.5643</v>
      </c>
      <c r="X71" s="33">
        <v>96485</v>
      </c>
      <c r="Y71" s="16">
        <f t="shared" si="41"/>
        <v>-96.957317878312395</v>
      </c>
      <c r="Z71" s="2">
        <v>12</v>
      </c>
      <c r="AA71" s="2">
        <v>13</v>
      </c>
      <c r="AB71" s="8">
        <f t="shared" si="42"/>
        <v>0.582995951417004</v>
      </c>
      <c r="AC71" s="16">
        <f t="shared" si="43"/>
        <v>49.591990431757502</v>
      </c>
      <c r="AD71" s="20">
        <f>'PFAS Properties'!$W$23</f>
        <v>6</v>
      </c>
      <c r="AE71" s="8">
        <f>'PFAS Properties'!$S$23</f>
        <v>2.3111178426625059</v>
      </c>
      <c r="AF71" s="2">
        <f>'PFAS Properties'!$V$23</f>
        <v>4.0999999999999996</v>
      </c>
      <c r="AG71" s="24">
        <v>6.8</v>
      </c>
      <c r="AH71" s="2" t="s">
        <v>183</v>
      </c>
      <c r="AI71" s="2" t="s">
        <v>661</v>
      </c>
      <c r="AJ71" s="2" t="s">
        <v>661</v>
      </c>
      <c r="AK71" s="2" t="s">
        <v>661</v>
      </c>
      <c r="AL71" s="2" t="s">
        <v>661</v>
      </c>
      <c r="AM71" s="2" t="s">
        <v>661</v>
      </c>
      <c r="AN71" s="2" t="s">
        <v>661</v>
      </c>
      <c r="AO71" s="2" t="s">
        <v>661</v>
      </c>
      <c r="AP71" s="15">
        <v>7.1</v>
      </c>
      <c r="AQ71" s="2" t="s">
        <v>661</v>
      </c>
      <c r="AR71" s="16">
        <v>48.9</v>
      </c>
      <c r="AS71" s="16">
        <v>27</v>
      </c>
      <c r="AT71" s="16">
        <v>24.2</v>
      </c>
      <c r="AU71" s="2" t="s">
        <v>661</v>
      </c>
      <c r="AV71" s="16">
        <f t="shared" si="37"/>
        <v>100.10000000000001</v>
      </c>
      <c r="AW71" s="18">
        <v>0.37</v>
      </c>
      <c r="AX71" s="13">
        <f t="shared" si="44"/>
        <v>3.7000000000000002E-3</v>
      </c>
      <c r="AY71" s="13" t="s">
        <v>184</v>
      </c>
      <c r="AZ71" s="16">
        <v>100</v>
      </c>
      <c r="BA71" s="16" t="s">
        <v>55</v>
      </c>
      <c r="BB71" s="16">
        <v>5</v>
      </c>
      <c r="BC71" s="16" t="s">
        <v>55</v>
      </c>
      <c r="BD71" s="24">
        <v>1.87</v>
      </c>
      <c r="BE71" s="16">
        <f t="shared" si="15"/>
        <v>505.40540540540542</v>
      </c>
      <c r="BF71" s="16">
        <f t="shared" si="16"/>
        <v>2.703639882469504</v>
      </c>
      <c r="BG71" s="8">
        <f t="shared" si="17"/>
        <v>0.27184160653649897</v>
      </c>
      <c r="BH71" s="13" t="s">
        <v>345</v>
      </c>
      <c r="BI71" s="13"/>
      <c r="BJ71" s="13"/>
      <c r="BK71" s="13"/>
      <c r="BL71" s="13"/>
      <c r="BM71" s="17"/>
      <c r="BN71" s="17"/>
      <c r="BO71" s="2"/>
    </row>
    <row r="72" spans="1:67" s="14" customFormat="1" x14ac:dyDescent="0.3">
      <c r="A72" s="20">
        <v>70</v>
      </c>
      <c r="B72" s="2" t="s">
        <v>181</v>
      </c>
      <c r="C72" s="2">
        <v>2020</v>
      </c>
      <c r="D72" s="2" t="s">
        <v>203</v>
      </c>
      <c r="E72" s="10" t="s">
        <v>787</v>
      </c>
      <c r="F72" s="20" t="s">
        <v>29</v>
      </c>
      <c r="G72" s="2" t="s">
        <v>58</v>
      </c>
      <c r="H72" s="2" t="str">
        <f>'PFAS Properties'!$B$23</f>
        <v>TAmPr-FHxSA</v>
      </c>
      <c r="I72" s="2" t="str">
        <f>'PFAS Properties'!$C$23</f>
        <v>Betaine</v>
      </c>
      <c r="J72" s="2" t="str">
        <f>'PFAS Properties'!$D$23</f>
        <v>C12H15F13N2O2S</v>
      </c>
      <c r="K72" s="25">
        <f>'PFAS Properties'!$P$23</f>
        <v>498.0643</v>
      </c>
      <c r="L72" s="2">
        <f>'PFAS Properties'!$X$23</f>
        <v>6.8</v>
      </c>
      <c r="M72" s="2" t="str">
        <f>'PFAS Properties'!$Y$23</f>
        <v>-</v>
      </c>
      <c r="N72" s="33">
        <v>0</v>
      </c>
      <c r="O72" s="33">
        <f t="shared" si="45"/>
        <v>0.20076000891310183</v>
      </c>
      <c r="P72" s="33">
        <v>0</v>
      </c>
      <c r="Q72" s="33">
        <f t="shared" si="46"/>
        <v>0.79923999108689814</v>
      </c>
      <c r="R72" s="33">
        <v>0</v>
      </c>
      <c r="S72" s="33">
        <v>0</v>
      </c>
      <c r="T72" s="8">
        <f t="shared" si="47"/>
        <v>1</v>
      </c>
      <c r="U72" s="33">
        <f t="shared" si="38"/>
        <v>0.20076000891310183</v>
      </c>
      <c r="V72" s="33">
        <f t="shared" si="39"/>
        <v>-1</v>
      </c>
      <c r="W72" s="33">
        <f t="shared" si="40"/>
        <v>497.26506000891305</v>
      </c>
      <c r="X72" s="33">
        <v>96485</v>
      </c>
      <c r="Y72" s="16">
        <f t="shared" si="41"/>
        <v>-155.07759692313221</v>
      </c>
      <c r="Z72" s="2">
        <v>12</v>
      </c>
      <c r="AA72" s="2">
        <v>13</v>
      </c>
      <c r="AB72" s="8">
        <f t="shared" si="42"/>
        <v>0.582995951417004</v>
      </c>
      <c r="AC72" s="16">
        <f t="shared" si="43"/>
        <v>49.591990431757502</v>
      </c>
      <c r="AD72" s="20">
        <f>'PFAS Properties'!$W$23</f>
        <v>6</v>
      </c>
      <c r="AE72" s="8">
        <f>'PFAS Properties'!$S$23</f>
        <v>2.3111178426625059</v>
      </c>
      <c r="AF72" s="2">
        <f>'PFAS Properties'!$V$23</f>
        <v>4.0999999999999996</v>
      </c>
      <c r="AG72" s="24">
        <v>6.2</v>
      </c>
      <c r="AH72" s="2" t="s">
        <v>183</v>
      </c>
      <c r="AI72" s="2" t="s">
        <v>661</v>
      </c>
      <c r="AJ72" s="2" t="s">
        <v>661</v>
      </c>
      <c r="AK72" s="2" t="s">
        <v>661</v>
      </c>
      <c r="AL72" s="2" t="s">
        <v>661</v>
      </c>
      <c r="AM72" s="2" t="s">
        <v>661</v>
      </c>
      <c r="AN72" s="2" t="s">
        <v>661</v>
      </c>
      <c r="AO72" s="2" t="s">
        <v>661</v>
      </c>
      <c r="AP72" s="15">
        <v>8</v>
      </c>
      <c r="AQ72" s="2" t="s">
        <v>661</v>
      </c>
      <c r="AR72" s="16">
        <v>51.44</v>
      </c>
      <c r="AS72" s="16">
        <v>10.17</v>
      </c>
      <c r="AT72" s="16">
        <v>38.380000000000003</v>
      </c>
      <c r="AU72" s="2" t="s">
        <v>661</v>
      </c>
      <c r="AV72" s="16">
        <f t="shared" si="37"/>
        <v>99.990000000000009</v>
      </c>
      <c r="AW72" s="18">
        <v>0.08</v>
      </c>
      <c r="AX72" s="13">
        <f t="shared" si="44"/>
        <v>8.0000000000000004E-4</v>
      </c>
      <c r="AY72" s="8" t="s">
        <v>184</v>
      </c>
      <c r="AZ72" s="16">
        <v>100</v>
      </c>
      <c r="BA72" s="16" t="s">
        <v>55</v>
      </c>
      <c r="BB72" s="16">
        <v>5</v>
      </c>
      <c r="BC72" s="16" t="s">
        <v>55</v>
      </c>
      <c r="BD72" s="25">
        <v>141.63999999999999</v>
      </c>
      <c r="BE72" s="16">
        <f t="shared" si="15"/>
        <v>177049.99999999997</v>
      </c>
      <c r="BF72" s="16">
        <f t="shared" si="16"/>
        <v>5.24809593109413</v>
      </c>
      <c r="BG72" s="8">
        <f t="shared" si="17"/>
        <v>2.1511859180860733</v>
      </c>
      <c r="BH72" s="13" t="s">
        <v>345</v>
      </c>
      <c r="BI72" s="13"/>
      <c r="BJ72" s="13"/>
      <c r="BK72" s="13"/>
      <c r="BL72" s="13"/>
      <c r="BM72" s="17"/>
      <c r="BN72" s="17"/>
      <c r="BO72" s="2"/>
    </row>
    <row r="73" spans="1:67" s="14" customFormat="1" x14ac:dyDescent="0.3">
      <c r="A73" s="20">
        <v>71</v>
      </c>
      <c r="B73" s="2" t="s">
        <v>181</v>
      </c>
      <c r="C73" s="2">
        <v>2020</v>
      </c>
      <c r="D73" s="2" t="s">
        <v>203</v>
      </c>
      <c r="E73" s="10" t="s">
        <v>787</v>
      </c>
      <c r="F73" s="20" t="s">
        <v>29</v>
      </c>
      <c r="G73" s="2" t="s">
        <v>59</v>
      </c>
      <c r="H73" s="2" t="str">
        <f>'PFAS Properties'!$B$23</f>
        <v>TAmPr-FHxSA</v>
      </c>
      <c r="I73" s="2" t="str">
        <f>'PFAS Properties'!$C$23</f>
        <v>Betaine</v>
      </c>
      <c r="J73" s="2" t="str">
        <f>'PFAS Properties'!$D$23</f>
        <v>C12H15F13N2O2S</v>
      </c>
      <c r="K73" s="25">
        <f>'PFAS Properties'!$P$23</f>
        <v>498.0643</v>
      </c>
      <c r="L73" s="2">
        <f>'PFAS Properties'!$X$23</f>
        <v>6.8</v>
      </c>
      <c r="M73" s="2" t="str">
        <f>'PFAS Properties'!$Y$23</f>
        <v>-</v>
      </c>
      <c r="N73" s="33">
        <v>0</v>
      </c>
      <c r="O73" s="33">
        <f t="shared" si="45"/>
        <v>0.8881842302218832</v>
      </c>
      <c r="P73" s="33">
        <v>0</v>
      </c>
      <c r="Q73" s="33">
        <f t="shared" si="46"/>
        <v>0.11181576977811683</v>
      </c>
      <c r="R73" s="33">
        <v>0</v>
      </c>
      <c r="S73" s="33">
        <v>0</v>
      </c>
      <c r="T73" s="8">
        <f t="shared" si="47"/>
        <v>1</v>
      </c>
      <c r="U73" s="33">
        <f t="shared" si="38"/>
        <v>0.8881842302218832</v>
      </c>
      <c r="V73" s="33">
        <f t="shared" si="39"/>
        <v>-1</v>
      </c>
      <c r="W73" s="33">
        <f t="shared" si="40"/>
        <v>497.9524842302219</v>
      </c>
      <c r="X73" s="33">
        <v>96485</v>
      </c>
      <c r="Y73" s="16">
        <f t="shared" si="41"/>
        <v>-21.665811274582687</v>
      </c>
      <c r="Z73" s="2">
        <v>12</v>
      </c>
      <c r="AA73" s="2">
        <v>13</v>
      </c>
      <c r="AB73" s="8">
        <f t="shared" si="42"/>
        <v>0.582995951417004</v>
      </c>
      <c r="AC73" s="16">
        <f t="shared" si="43"/>
        <v>49.591990431757502</v>
      </c>
      <c r="AD73" s="20">
        <f>'PFAS Properties'!$W$23</f>
        <v>6</v>
      </c>
      <c r="AE73" s="8">
        <f>'PFAS Properties'!$S$23</f>
        <v>2.3111178426625059</v>
      </c>
      <c r="AF73" s="2">
        <f>'PFAS Properties'!$V$23</f>
        <v>4.0999999999999996</v>
      </c>
      <c r="AG73" s="24">
        <v>7.7</v>
      </c>
      <c r="AH73" s="2" t="s">
        <v>183</v>
      </c>
      <c r="AI73" s="2" t="s">
        <v>661</v>
      </c>
      <c r="AJ73" s="2" t="s">
        <v>661</v>
      </c>
      <c r="AK73" s="2" t="s">
        <v>661</v>
      </c>
      <c r="AL73" s="2" t="s">
        <v>661</v>
      </c>
      <c r="AM73" s="2" t="s">
        <v>661</v>
      </c>
      <c r="AN73" s="2" t="s">
        <v>661</v>
      </c>
      <c r="AO73" s="2" t="s">
        <v>661</v>
      </c>
      <c r="AP73" s="15">
        <v>4.8</v>
      </c>
      <c r="AQ73" s="2" t="s">
        <v>661</v>
      </c>
      <c r="AR73" s="16">
        <v>46</v>
      </c>
      <c r="AS73" s="16">
        <v>37</v>
      </c>
      <c r="AT73" s="16">
        <v>17</v>
      </c>
      <c r="AU73" s="2" t="s">
        <v>661</v>
      </c>
      <c r="AV73" s="16">
        <f t="shared" si="37"/>
        <v>100</v>
      </c>
      <c r="AW73" s="18">
        <v>0.25</v>
      </c>
      <c r="AX73" s="13">
        <f t="shared" si="44"/>
        <v>2.5000000000000001E-3</v>
      </c>
      <c r="AY73" s="13" t="s">
        <v>184</v>
      </c>
      <c r="AZ73" s="16">
        <v>100</v>
      </c>
      <c r="BA73" s="16" t="s">
        <v>55</v>
      </c>
      <c r="BB73" s="16">
        <v>5</v>
      </c>
      <c r="BC73" s="16" t="s">
        <v>55</v>
      </c>
      <c r="BD73" s="25">
        <v>547</v>
      </c>
      <c r="BE73" s="16">
        <f t="shared" si="15"/>
        <v>218800</v>
      </c>
      <c r="BF73" s="16">
        <f t="shared" si="16"/>
        <v>5.3400473176613934</v>
      </c>
      <c r="BG73" s="8">
        <f t="shared" si="17"/>
        <v>2.7379873263334309</v>
      </c>
      <c r="BH73" s="13" t="s">
        <v>345</v>
      </c>
      <c r="BI73" s="13"/>
      <c r="BJ73" s="13"/>
      <c r="BK73" s="13"/>
      <c r="BL73" s="13"/>
      <c r="BM73" s="17"/>
      <c r="BN73" s="17"/>
      <c r="BO73" s="2"/>
    </row>
    <row r="74" spans="1:67" s="14" customFormat="1" x14ac:dyDescent="0.3">
      <c r="A74" s="20">
        <v>72</v>
      </c>
      <c r="B74" s="2" t="s">
        <v>181</v>
      </c>
      <c r="C74" s="2">
        <v>2020</v>
      </c>
      <c r="D74" s="2" t="s">
        <v>203</v>
      </c>
      <c r="E74" s="10" t="s">
        <v>787</v>
      </c>
      <c r="F74" s="20" t="s">
        <v>29</v>
      </c>
      <c r="G74" s="2" t="s">
        <v>61</v>
      </c>
      <c r="H74" s="2" t="str">
        <f>'PFAS Properties'!$B$23</f>
        <v>TAmPr-FHxSA</v>
      </c>
      <c r="I74" s="2" t="str">
        <f>'PFAS Properties'!$C$23</f>
        <v>Betaine</v>
      </c>
      <c r="J74" s="2" t="str">
        <f>'PFAS Properties'!$D$23</f>
        <v>C12H15F13N2O2S</v>
      </c>
      <c r="K74" s="25">
        <f>'PFAS Properties'!$P$23</f>
        <v>498.0643</v>
      </c>
      <c r="L74" s="2">
        <f>'PFAS Properties'!$X$23</f>
        <v>6.8</v>
      </c>
      <c r="M74" s="2" t="str">
        <f>'PFAS Properties'!$Y$23</f>
        <v>-</v>
      </c>
      <c r="N74" s="33">
        <v>0</v>
      </c>
      <c r="O74" s="33">
        <f t="shared" si="45"/>
        <v>0.79923999108689847</v>
      </c>
      <c r="P74" s="33">
        <v>0</v>
      </c>
      <c r="Q74" s="33">
        <f t="shared" si="46"/>
        <v>0.20076000891310153</v>
      </c>
      <c r="R74" s="33">
        <v>0</v>
      </c>
      <c r="S74" s="33">
        <v>0</v>
      </c>
      <c r="T74" s="8">
        <f t="shared" si="47"/>
        <v>1</v>
      </c>
      <c r="U74" s="33">
        <f t="shared" si="38"/>
        <v>0.79923999108689847</v>
      </c>
      <c r="V74" s="33">
        <f t="shared" si="39"/>
        <v>-1</v>
      </c>
      <c r="W74" s="33">
        <f t="shared" si="40"/>
        <v>497.8635399910869</v>
      </c>
      <c r="X74" s="33">
        <v>96485</v>
      </c>
      <c r="Y74" s="16">
        <f t="shared" si="41"/>
        <v>-38.90690501322387</v>
      </c>
      <c r="Z74" s="2">
        <v>12</v>
      </c>
      <c r="AA74" s="2">
        <v>13</v>
      </c>
      <c r="AB74" s="8">
        <f t="shared" si="42"/>
        <v>0.582995951417004</v>
      </c>
      <c r="AC74" s="16">
        <f t="shared" si="43"/>
        <v>49.591990431757502</v>
      </c>
      <c r="AD74" s="20">
        <f>'PFAS Properties'!$W$23</f>
        <v>6</v>
      </c>
      <c r="AE74" s="8">
        <f>'PFAS Properties'!$S$23</f>
        <v>2.3111178426625059</v>
      </c>
      <c r="AF74" s="2">
        <f>'PFAS Properties'!$V$23</f>
        <v>4.0999999999999996</v>
      </c>
      <c r="AG74" s="24">
        <v>7.4</v>
      </c>
      <c r="AH74" s="2" t="s">
        <v>183</v>
      </c>
      <c r="AI74" s="2" t="s">
        <v>661</v>
      </c>
      <c r="AJ74" s="2" t="s">
        <v>661</v>
      </c>
      <c r="AK74" s="2" t="s">
        <v>661</v>
      </c>
      <c r="AL74" s="2" t="s">
        <v>661</v>
      </c>
      <c r="AM74" s="2" t="s">
        <v>661</v>
      </c>
      <c r="AN74" s="2" t="s">
        <v>661</v>
      </c>
      <c r="AO74" s="2" t="s">
        <v>661</v>
      </c>
      <c r="AP74" s="15">
        <v>29.6</v>
      </c>
      <c r="AQ74" s="2" t="s">
        <v>661</v>
      </c>
      <c r="AR74" s="16">
        <v>39.799999999999997</v>
      </c>
      <c r="AS74" s="16">
        <v>7.7</v>
      </c>
      <c r="AT74" s="16">
        <v>52.5</v>
      </c>
      <c r="AU74" s="2" t="s">
        <v>661</v>
      </c>
      <c r="AV74" s="16">
        <f t="shared" si="37"/>
        <v>100</v>
      </c>
      <c r="AW74" s="18">
        <v>2.23</v>
      </c>
      <c r="AX74" s="13">
        <f t="shared" si="44"/>
        <v>2.23E-2</v>
      </c>
      <c r="AY74" s="8" t="s">
        <v>184</v>
      </c>
      <c r="AZ74" s="16">
        <v>100</v>
      </c>
      <c r="BA74" s="16" t="s">
        <v>55</v>
      </c>
      <c r="BB74" s="16">
        <v>5</v>
      </c>
      <c r="BC74" s="16" t="s">
        <v>55</v>
      </c>
      <c r="BD74" s="24">
        <v>4.8099999999999996</v>
      </c>
      <c r="BE74" s="16">
        <f t="shared" si="15"/>
        <v>215.69506726457396</v>
      </c>
      <c r="BF74" s="16">
        <f t="shared" si="16"/>
        <v>2.3338402133256708</v>
      </c>
      <c r="BG74" s="8">
        <f t="shared" si="17"/>
        <v>0.6821450763738317</v>
      </c>
      <c r="BH74" s="13" t="s">
        <v>345</v>
      </c>
      <c r="BI74" s="13"/>
      <c r="BJ74" s="13"/>
      <c r="BK74" s="13"/>
      <c r="BL74" s="13"/>
      <c r="BM74" s="17"/>
      <c r="BN74" s="17"/>
      <c r="BO74" s="2"/>
    </row>
    <row r="75" spans="1:67" s="14" customFormat="1" x14ac:dyDescent="0.3">
      <c r="A75" s="20">
        <v>73</v>
      </c>
      <c r="B75" s="2" t="s">
        <v>181</v>
      </c>
      <c r="C75" s="2">
        <v>2020</v>
      </c>
      <c r="D75" s="2" t="s">
        <v>203</v>
      </c>
      <c r="E75" s="10" t="s">
        <v>787</v>
      </c>
      <c r="F75" s="20" t="s">
        <v>29</v>
      </c>
      <c r="G75" s="2" t="s">
        <v>60</v>
      </c>
      <c r="H75" s="2" t="str">
        <f>'PFAS Properties'!$B$23</f>
        <v>TAmPr-FHxSA</v>
      </c>
      <c r="I75" s="2" t="str">
        <f>'PFAS Properties'!$C$23</f>
        <v>Betaine</v>
      </c>
      <c r="J75" s="2" t="str">
        <f>'PFAS Properties'!$D$23</f>
        <v>C12H15F13N2O2S</v>
      </c>
      <c r="K75" s="25">
        <f>'PFAS Properties'!$P$23</f>
        <v>498.0643</v>
      </c>
      <c r="L75" s="2">
        <f>'PFAS Properties'!$X$23</f>
        <v>6.8</v>
      </c>
      <c r="M75" s="2" t="str">
        <f>'PFAS Properties'!$Y$23</f>
        <v>-</v>
      </c>
      <c r="N75" s="33">
        <v>0</v>
      </c>
      <c r="O75" s="33">
        <f t="shared" si="45"/>
        <v>0.8881842302218832</v>
      </c>
      <c r="P75" s="33">
        <v>0</v>
      </c>
      <c r="Q75" s="33">
        <f t="shared" si="46"/>
        <v>0.11181576977811683</v>
      </c>
      <c r="R75" s="33">
        <v>0</v>
      </c>
      <c r="S75" s="33">
        <v>0</v>
      </c>
      <c r="T75" s="8">
        <f t="shared" si="47"/>
        <v>1</v>
      </c>
      <c r="U75" s="33">
        <f t="shared" si="38"/>
        <v>0.8881842302218832</v>
      </c>
      <c r="V75" s="33">
        <f t="shared" si="39"/>
        <v>-1</v>
      </c>
      <c r="W75" s="33">
        <f t="shared" si="40"/>
        <v>497.9524842302219</v>
      </c>
      <c r="X75" s="33">
        <v>96485</v>
      </c>
      <c r="Y75" s="16">
        <f t="shared" si="41"/>
        <v>-21.665811274582687</v>
      </c>
      <c r="Z75" s="2">
        <v>12</v>
      </c>
      <c r="AA75" s="2">
        <v>13</v>
      </c>
      <c r="AB75" s="8">
        <f t="shared" si="42"/>
        <v>0.582995951417004</v>
      </c>
      <c r="AC75" s="16">
        <f t="shared" si="43"/>
        <v>49.591990431757502</v>
      </c>
      <c r="AD75" s="20">
        <f>'PFAS Properties'!$W$23</f>
        <v>6</v>
      </c>
      <c r="AE75" s="8">
        <f>'PFAS Properties'!$S$23</f>
        <v>2.3111178426625059</v>
      </c>
      <c r="AF75" s="2">
        <f>'PFAS Properties'!$V$23</f>
        <v>4.0999999999999996</v>
      </c>
      <c r="AG75" s="24">
        <v>7.7</v>
      </c>
      <c r="AH75" s="2" t="s">
        <v>183</v>
      </c>
      <c r="AI75" s="2" t="s">
        <v>661</v>
      </c>
      <c r="AJ75" s="2" t="s">
        <v>661</v>
      </c>
      <c r="AK75" s="2" t="s">
        <v>661</v>
      </c>
      <c r="AL75" s="2" t="s">
        <v>661</v>
      </c>
      <c r="AM75" s="2" t="s">
        <v>661</v>
      </c>
      <c r="AN75" s="2" t="s">
        <v>661</v>
      </c>
      <c r="AO75" s="2" t="s">
        <v>661</v>
      </c>
      <c r="AP75" s="15">
        <v>21.63</v>
      </c>
      <c r="AQ75" s="2" t="s">
        <v>661</v>
      </c>
      <c r="AR75" s="16">
        <v>70</v>
      </c>
      <c r="AS75" s="16">
        <v>11</v>
      </c>
      <c r="AT75" s="16">
        <v>19</v>
      </c>
      <c r="AU75" s="2" t="s">
        <v>661</v>
      </c>
      <c r="AV75" s="16">
        <f t="shared" si="37"/>
        <v>100</v>
      </c>
      <c r="AW75" s="18">
        <v>4.9000000000000004</v>
      </c>
      <c r="AX75" s="13">
        <f t="shared" si="44"/>
        <v>4.9000000000000002E-2</v>
      </c>
      <c r="AY75" s="8" t="s">
        <v>184</v>
      </c>
      <c r="AZ75" s="16">
        <v>100</v>
      </c>
      <c r="BA75" s="16" t="s">
        <v>55</v>
      </c>
      <c r="BB75" s="16">
        <v>5</v>
      </c>
      <c r="BC75" s="16" t="s">
        <v>55</v>
      </c>
      <c r="BD75" s="24">
        <v>5.52</v>
      </c>
      <c r="BE75" s="16">
        <f t="shared" si="15"/>
        <v>112.65306122448979</v>
      </c>
      <c r="BF75" s="16">
        <f t="shared" si="16"/>
        <v>2.0517429977006851</v>
      </c>
      <c r="BG75" s="8">
        <f t="shared" si="17"/>
        <v>0.74193907772919887</v>
      </c>
      <c r="BH75" s="13" t="s">
        <v>345</v>
      </c>
      <c r="BI75" s="13"/>
      <c r="BJ75" s="13"/>
      <c r="BK75" s="13"/>
      <c r="BL75" s="13"/>
      <c r="BM75" s="17"/>
      <c r="BN75" s="17"/>
      <c r="BO75" s="2"/>
    </row>
    <row r="76" spans="1:67" s="14" customFormat="1" x14ac:dyDescent="0.3">
      <c r="A76" s="20">
        <v>74</v>
      </c>
      <c r="B76" s="2" t="s">
        <v>181</v>
      </c>
      <c r="C76" s="2">
        <v>2020</v>
      </c>
      <c r="D76" s="2" t="s">
        <v>203</v>
      </c>
      <c r="E76" s="10" t="s">
        <v>787</v>
      </c>
      <c r="F76" s="20" t="s">
        <v>29</v>
      </c>
      <c r="G76" s="2" t="s">
        <v>77</v>
      </c>
      <c r="H76" s="2" t="str">
        <f>'PFAS Properties'!$B$23</f>
        <v>TAmPr-FHxSA</v>
      </c>
      <c r="I76" s="2" t="str">
        <f>'PFAS Properties'!$C$23</f>
        <v>Betaine</v>
      </c>
      <c r="J76" s="2" t="str">
        <f>'PFAS Properties'!$D$23</f>
        <v>C12H15F13N2O2S</v>
      </c>
      <c r="K76" s="25">
        <f>'PFAS Properties'!$P$23</f>
        <v>498.0643</v>
      </c>
      <c r="L76" s="2">
        <f>'PFAS Properties'!$X$23</f>
        <v>6.8</v>
      </c>
      <c r="M76" s="2" t="str">
        <f>'PFAS Properties'!$Y$23</f>
        <v>-</v>
      </c>
      <c r="N76" s="33">
        <v>0</v>
      </c>
      <c r="O76" s="33">
        <f t="shared" si="45"/>
        <v>0.8881842302218832</v>
      </c>
      <c r="P76" s="33">
        <v>0</v>
      </c>
      <c r="Q76" s="33">
        <f t="shared" si="46"/>
        <v>0.11181576977811683</v>
      </c>
      <c r="R76" s="33">
        <v>0</v>
      </c>
      <c r="S76" s="33">
        <v>0</v>
      </c>
      <c r="T76" s="8">
        <f t="shared" si="47"/>
        <v>1</v>
      </c>
      <c r="U76" s="33">
        <f t="shared" si="38"/>
        <v>0.8881842302218832</v>
      </c>
      <c r="V76" s="33">
        <f t="shared" si="39"/>
        <v>-1</v>
      </c>
      <c r="W76" s="33">
        <f t="shared" si="40"/>
        <v>497.9524842302219</v>
      </c>
      <c r="X76" s="33">
        <v>96485</v>
      </c>
      <c r="Y76" s="16">
        <f t="shared" si="41"/>
        <v>-21.665811274582687</v>
      </c>
      <c r="Z76" s="2">
        <v>12</v>
      </c>
      <c r="AA76" s="2">
        <v>13</v>
      </c>
      <c r="AB76" s="8">
        <f t="shared" si="42"/>
        <v>0.582995951417004</v>
      </c>
      <c r="AC76" s="16">
        <f t="shared" si="43"/>
        <v>49.591990431757502</v>
      </c>
      <c r="AD76" s="20">
        <f>'PFAS Properties'!$W$23</f>
        <v>6</v>
      </c>
      <c r="AE76" s="8">
        <f>'PFAS Properties'!$S$23</f>
        <v>2.3111178426625059</v>
      </c>
      <c r="AF76" s="2">
        <f>'PFAS Properties'!$V$23</f>
        <v>4.0999999999999996</v>
      </c>
      <c r="AG76" s="24">
        <v>7.7</v>
      </c>
      <c r="AH76" s="2" t="s">
        <v>183</v>
      </c>
      <c r="AI76" s="2" t="s">
        <v>661</v>
      </c>
      <c r="AJ76" s="2" t="s">
        <v>661</v>
      </c>
      <c r="AK76" s="2" t="s">
        <v>661</v>
      </c>
      <c r="AL76" s="2" t="s">
        <v>661</v>
      </c>
      <c r="AM76" s="2" t="s">
        <v>661</v>
      </c>
      <c r="AN76" s="2" t="s">
        <v>661</v>
      </c>
      <c r="AO76" s="2" t="s">
        <v>661</v>
      </c>
      <c r="AP76" s="15">
        <v>7.8</v>
      </c>
      <c r="AQ76" s="2" t="s">
        <v>661</v>
      </c>
      <c r="AR76" s="16">
        <v>48.9</v>
      </c>
      <c r="AS76" s="16">
        <v>32.6</v>
      </c>
      <c r="AT76" s="16">
        <v>18.5</v>
      </c>
      <c r="AU76" s="2" t="s">
        <v>661</v>
      </c>
      <c r="AV76" s="16">
        <f t="shared" si="37"/>
        <v>100</v>
      </c>
      <c r="AW76" s="18">
        <v>0.13</v>
      </c>
      <c r="AX76" s="13">
        <f t="shared" si="44"/>
        <v>1.2999999999999999E-3</v>
      </c>
      <c r="AY76" s="8" t="s">
        <v>184</v>
      </c>
      <c r="AZ76" s="16">
        <v>100</v>
      </c>
      <c r="BA76" s="16" t="s">
        <v>55</v>
      </c>
      <c r="BB76" s="16">
        <v>5</v>
      </c>
      <c r="BC76" s="16" t="s">
        <v>55</v>
      </c>
      <c r="BD76" s="24">
        <v>7.1</v>
      </c>
      <c r="BE76" s="16">
        <f t="shared" si="15"/>
        <v>5461.5384615384619</v>
      </c>
      <c r="BF76" s="16">
        <f t="shared" si="16"/>
        <v>3.7373149964122385</v>
      </c>
      <c r="BG76" s="8">
        <f t="shared" si="17"/>
        <v>0.85125834871907524</v>
      </c>
      <c r="BH76" s="13" t="s">
        <v>345</v>
      </c>
      <c r="BI76" s="13"/>
      <c r="BJ76" s="13"/>
      <c r="BK76" s="13"/>
      <c r="BL76" s="13"/>
      <c r="BM76" s="17"/>
      <c r="BN76" s="17"/>
      <c r="BO76" s="2"/>
    </row>
    <row r="77" spans="1:67" s="14" customFormat="1" x14ac:dyDescent="0.3">
      <c r="A77" s="20">
        <v>75</v>
      </c>
      <c r="B77" s="2" t="s">
        <v>181</v>
      </c>
      <c r="C77" s="2">
        <v>2020</v>
      </c>
      <c r="D77" s="2" t="s">
        <v>203</v>
      </c>
      <c r="E77" s="10" t="s">
        <v>787</v>
      </c>
      <c r="F77" s="20" t="s">
        <v>29</v>
      </c>
      <c r="G77" s="2" t="s">
        <v>182</v>
      </c>
      <c r="H77" s="2" t="str">
        <f>'PFAS Properties'!$B$23</f>
        <v>TAmPr-FHxSA</v>
      </c>
      <c r="I77" s="2" t="str">
        <f>'PFAS Properties'!$C$23</f>
        <v>Betaine</v>
      </c>
      <c r="J77" s="2" t="str">
        <f>'PFAS Properties'!$D$23</f>
        <v>C12H15F13N2O2S</v>
      </c>
      <c r="K77" s="25">
        <f>'PFAS Properties'!$P$23</f>
        <v>498.0643</v>
      </c>
      <c r="L77" s="2">
        <f>'PFAS Properties'!$X$23</f>
        <v>6.8</v>
      </c>
      <c r="M77" s="2" t="str">
        <f>'PFAS Properties'!$Y$23</f>
        <v>-</v>
      </c>
      <c r="N77" s="33">
        <v>0</v>
      </c>
      <c r="O77" s="33">
        <f t="shared" si="45"/>
        <v>0.83366246918343823</v>
      </c>
      <c r="P77" s="33">
        <v>0</v>
      </c>
      <c r="Q77" s="33">
        <f t="shared" si="46"/>
        <v>0.1663375308165618</v>
      </c>
      <c r="R77" s="33">
        <v>0</v>
      </c>
      <c r="S77" s="33">
        <v>0</v>
      </c>
      <c r="T77" s="8">
        <f t="shared" si="47"/>
        <v>1</v>
      </c>
      <c r="U77" s="33">
        <f t="shared" si="38"/>
        <v>0.83366246918343823</v>
      </c>
      <c r="V77" s="33">
        <f t="shared" si="39"/>
        <v>-1</v>
      </c>
      <c r="W77" s="33">
        <f t="shared" si="40"/>
        <v>497.89796246918343</v>
      </c>
      <c r="X77" s="33">
        <v>96485</v>
      </c>
      <c r="Y77" s="16">
        <f t="shared" si="41"/>
        <v>-32.233666073355934</v>
      </c>
      <c r="Z77" s="2">
        <v>12</v>
      </c>
      <c r="AA77" s="2">
        <v>13</v>
      </c>
      <c r="AB77" s="8">
        <f t="shared" si="42"/>
        <v>0.582995951417004</v>
      </c>
      <c r="AC77" s="16">
        <f t="shared" si="43"/>
        <v>49.591990431757502</v>
      </c>
      <c r="AD77" s="20">
        <f>'PFAS Properties'!$W$23</f>
        <v>6</v>
      </c>
      <c r="AE77" s="8">
        <f>'PFAS Properties'!$S$23</f>
        <v>2.3111178426625059</v>
      </c>
      <c r="AF77" s="2">
        <f>'PFAS Properties'!$V$23</f>
        <v>4.0999999999999996</v>
      </c>
      <c r="AG77" s="24">
        <v>7.5</v>
      </c>
      <c r="AH77" s="2" t="s">
        <v>183</v>
      </c>
      <c r="AI77" s="2" t="s">
        <v>661</v>
      </c>
      <c r="AJ77" s="2" t="s">
        <v>661</v>
      </c>
      <c r="AK77" s="2" t="s">
        <v>661</v>
      </c>
      <c r="AL77" s="2" t="s">
        <v>661</v>
      </c>
      <c r="AM77" s="2" t="s">
        <v>661</v>
      </c>
      <c r="AN77" s="2" t="s">
        <v>661</v>
      </c>
      <c r="AO77" s="2" t="s">
        <v>661</v>
      </c>
      <c r="AP77" s="15">
        <v>2.2799999999999998</v>
      </c>
      <c r="AQ77" s="2" t="s">
        <v>661</v>
      </c>
      <c r="AR77" s="16">
        <v>93</v>
      </c>
      <c r="AS77" s="16">
        <v>1</v>
      </c>
      <c r="AT77" s="16">
        <v>5</v>
      </c>
      <c r="AU77" s="2" t="s">
        <v>661</v>
      </c>
      <c r="AV77" s="16">
        <f t="shared" si="37"/>
        <v>99</v>
      </c>
      <c r="AW77" s="18">
        <v>0.4</v>
      </c>
      <c r="AX77" s="13">
        <f t="shared" si="44"/>
        <v>4.0000000000000001E-3</v>
      </c>
      <c r="AY77" s="8" t="s">
        <v>184</v>
      </c>
      <c r="AZ77" s="16">
        <v>100</v>
      </c>
      <c r="BA77" s="16" t="s">
        <v>55</v>
      </c>
      <c r="BB77" s="16">
        <v>5</v>
      </c>
      <c r="BC77" s="16" t="s">
        <v>55</v>
      </c>
      <c r="BD77" s="24">
        <v>7.26</v>
      </c>
      <c r="BE77" s="16">
        <f t="shared" si="15"/>
        <v>1815</v>
      </c>
      <c r="BF77" s="16">
        <f t="shared" si="16"/>
        <v>3.2588766293721312</v>
      </c>
      <c r="BG77" s="8">
        <f t="shared" si="17"/>
        <v>0.86093662070009369</v>
      </c>
      <c r="BH77" s="13" t="s">
        <v>345</v>
      </c>
      <c r="BI77" s="13"/>
      <c r="BJ77" s="13"/>
      <c r="BK77" s="13"/>
      <c r="BL77" s="13"/>
      <c r="BM77" s="17"/>
      <c r="BN77" s="17"/>
      <c r="BO77" s="2"/>
    </row>
    <row r="78" spans="1:67" s="14" customFormat="1" x14ac:dyDescent="0.3">
      <c r="A78" s="20">
        <v>76</v>
      </c>
      <c r="B78" s="2" t="s">
        <v>181</v>
      </c>
      <c r="C78" s="2">
        <v>2020</v>
      </c>
      <c r="D78" s="2" t="s">
        <v>203</v>
      </c>
      <c r="E78" s="10" t="s">
        <v>787</v>
      </c>
      <c r="F78" s="20" t="s">
        <v>29</v>
      </c>
      <c r="G78" s="2" t="s">
        <v>78</v>
      </c>
      <c r="H78" s="2" t="str">
        <f>'PFAS Properties'!$B$23</f>
        <v>TAmPr-FHxSA</v>
      </c>
      <c r="I78" s="2" t="str">
        <f>'PFAS Properties'!$C$23</f>
        <v>Betaine</v>
      </c>
      <c r="J78" s="2" t="str">
        <f>'PFAS Properties'!$D$23</f>
        <v>C12H15F13N2O2S</v>
      </c>
      <c r="K78" s="25">
        <f>'PFAS Properties'!$P$23</f>
        <v>498.0643</v>
      </c>
      <c r="L78" s="2">
        <f>'PFAS Properties'!$X$23</f>
        <v>6.8</v>
      </c>
      <c r="M78" s="2" t="str">
        <f>'PFAS Properties'!$Y$23</f>
        <v>-</v>
      </c>
      <c r="N78" s="33">
        <v>0</v>
      </c>
      <c r="O78" s="33">
        <f t="shared" si="45"/>
        <v>0.66613942458312203</v>
      </c>
      <c r="P78" s="33">
        <v>0</v>
      </c>
      <c r="Q78" s="33">
        <f t="shared" si="46"/>
        <v>0.33386057541687802</v>
      </c>
      <c r="R78" s="33">
        <v>0</v>
      </c>
      <c r="S78" s="33">
        <v>0</v>
      </c>
      <c r="T78" s="8">
        <f t="shared" si="47"/>
        <v>1</v>
      </c>
      <c r="U78" s="33">
        <f t="shared" si="38"/>
        <v>0.66613942458312203</v>
      </c>
      <c r="V78" s="33">
        <f t="shared" si="39"/>
        <v>-1</v>
      </c>
      <c r="W78" s="33">
        <f t="shared" si="40"/>
        <v>497.73043942458315</v>
      </c>
      <c r="X78" s="33">
        <v>96485</v>
      </c>
      <c r="Y78" s="16">
        <f t="shared" si="41"/>
        <v>-64.718841902331278</v>
      </c>
      <c r="Z78" s="2">
        <v>12</v>
      </c>
      <c r="AA78" s="2">
        <v>13</v>
      </c>
      <c r="AB78" s="8">
        <f t="shared" si="42"/>
        <v>0.582995951417004</v>
      </c>
      <c r="AC78" s="16">
        <f t="shared" si="43"/>
        <v>49.591990431757502</v>
      </c>
      <c r="AD78" s="20">
        <f>'PFAS Properties'!$W$23</f>
        <v>6</v>
      </c>
      <c r="AE78" s="8">
        <f>'PFAS Properties'!$S$23</f>
        <v>2.3111178426625059</v>
      </c>
      <c r="AF78" s="2">
        <f>'PFAS Properties'!$V$23</f>
        <v>4.0999999999999996</v>
      </c>
      <c r="AG78" s="24">
        <v>7.1</v>
      </c>
      <c r="AH78" s="2" t="s">
        <v>183</v>
      </c>
      <c r="AI78" s="2" t="s">
        <v>661</v>
      </c>
      <c r="AJ78" s="2" t="s">
        <v>661</v>
      </c>
      <c r="AK78" s="2" t="s">
        <v>661</v>
      </c>
      <c r="AL78" s="2" t="s">
        <v>661</v>
      </c>
      <c r="AM78" s="2" t="s">
        <v>661</v>
      </c>
      <c r="AN78" s="2" t="s">
        <v>661</v>
      </c>
      <c r="AO78" s="2" t="s">
        <v>661</v>
      </c>
      <c r="AP78" s="15">
        <v>17.420000000000002</v>
      </c>
      <c r="AQ78" s="2" t="s">
        <v>661</v>
      </c>
      <c r="AR78" s="16">
        <v>48.86</v>
      </c>
      <c r="AS78" s="16">
        <v>16.05</v>
      </c>
      <c r="AT78" s="16">
        <v>35.090000000000003</v>
      </c>
      <c r="AU78" s="2" t="s">
        <v>661</v>
      </c>
      <c r="AV78" s="16">
        <f t="shared" si="37"/>
        <v>100</v>
      </c>
      <c r="AW78" s="18">
        <v>1.19</v>
      </c>
      <c r="AX78" s="13">
        <f t="shared" si="44"/>
        <v>1.1899999999999999E-2</v>
      </c>
      <c r="AY78" s="8" t="s">
        <v>184</v>
      </c>
      <c r="AZ78" s="16">
        <v>100</v>
      </c>
      <c r="BA78" s="16" t="s">
        <v>55</v>
      </c>
      <c r="BB78" s="16">
        <v>5</v>
      </c>
      <c r="BC78" s="16" t="s">
        <v>55</v>
      </c>
      <c r="BD78" s="24">
        <v>8.07</v>
      </c>
      <c r="BE78" s="16">
        <f t="shared" ref="BE78:BE91" si="48">BD78/AX78</f>
        <v>678.15126050420179</v>
      </c>
      <c r="BF78" s="16">
        <f t="shared" ref="BF78:BF91" si="49">LOG(BE78)</f>
        <v>2.8313265733295396</v>
      </c>
      <c r="BG78" s="8">
        <f t="shared" ref="BG78:BG91" si="50">LOG(BD78)</f>
        <v>0.90687353472207044</v>
      </c>
      <c r="BH78" s="13" t="s">
        <v>345</v>
      </c>
      <c r="BI78" s="13"/>
      <c r="BJ78" s="13"/>
      <c r="BK78" s="13"/>
      <c r="BL78" s="13"/>
      <c r="BM78" s="17"/>
      <c r="BN78" s="17"/>
      <c r="BO78" s="2"/>
    </row>
    <row r="79" spans="1:67" s="14" customFormat="1" x14ac:dyDescent="0.3">
      <c r="A79" s="20">
        <v>77</v>
      </c>
      <c r="B79" s="2" t="s">
        <v>181</v>
      </c>
      <c r="C79" s="2">
        <v>2020</v>
      </c>
      <c r="D79" s="2" t="s">
        <v>203</v>
      </c>
      <c r="E79" s="10" t="s">
        <v>787</v>
      </c>
      <c r="F79" s="20" t="s">
        <v>29</v>
      </c>
      <c r="G79" s="2" t="s">
        <v>98</v>
      </c>
      <c r="H79" s="2" t="str">
        <f>'PFAS Properties'!$B$23</f>
        <v>TAmPr-FHxSA</v>
      </c>
      <c r="I79" s="2" t="str">
        <f>'PFAS Properties'!$C$23</f>
        <v>Betaine</v>
      </c>
      <c r="J79" s="2" t="str">
        <f>'PFAS Properties'!$D$23</f>
        <v>C12H15F13N2O2S</v>
      </c>
      <c r="K79" s="25">
        <f>'PFAS Properties'!$P$23</f>
        <v>498.0643</v>
      </c>
      <c r="L79" s="2">
        <f>'PFAS Properties'!$X$23</f>
        <v>6.8</v>
      </c>
      <c r="M79" s="2" t="str">
        <f>'PFAS Properties'!$Y$23</f>
        <v>-</v>
      </c>
      <c r="N79" s="33">
        <v>0</v>
      </c>
      <c r="O79" s="33">
        <f t="shared" si="45"/>
        <v>0.28474724895080167</v>
      </c>
      <c r="P79" s="33">
        <v>0</v>
      </c>
      <c r="Q79" s="33">
        <f t="shared" si="46"/>
        <v>0.71525275104919828</v>
      </c>
      <c r="R79" s="33">
        <v>0</v>
      </c>
      <c r="S79" s="33">
        <v>0</v>
      </c>
      <c r="T79" s="8">
        <f t="shared" si="47"/>
        <v>1</v>
      </c>
      <c r="U79" s="33">
        <f t="shared" si="38"/>
        <v>0.28474724895080167</v>
      </c>
      <c r="V79" s="33">
        <f t="shared" si="39"/>
        <v>-1</v>
      </c>
      <c r="W79" s="33">
        <f t="shared" si="40"/>
        <v>497.3490472489508</v>
      </c>
      <c r="X79" s="33">
        <v>96485</v>
      </c>
      <c r="Y79" s="16">
        <f t="shared" si="41"/>
        <v>-138.75800520120026</v>
      </c>
      <c r="Z79" s="2">
        <v>12</v>
      </c>
      <c r="AA79" s="2">
        <v>13</v>
      </c>
      <c r="AB79" s="8">
        <f t="shared" si="42"/>
        <v>0.582995951417004</v>
      </c>
      <c r="AC79" s="16">
        <f t="shared" si="43"/>
        <v>49.591990431757502</v>
      </c>
      <c r="AD79" s="20">
        <f>'PFAS Properties'!$W$23</f>
        <v>6</v>
      </c>
      <c r="AE79" s="8">
        <f>'PFAS Properties'!$S$23</f>
        <v>2.3111178426625059</v>
      </c>
      <c r="AF79" s="2">
        <f>'PFAS Properties'!$V$23</f>
        <v>4.0999999999999996</v>
      </c>
      <c r="AG79" s="24">
        <v>6.4</v>
      </c>
      <c r="AH79" s="2" t="s">
        <v>183</v>
      </c>
      <c r="AI79" s="2" t="s">
        <v>661</v>
      </c>
      <c r="AJ79" s="15" t="s">
        <v>661</v>
      </c>
      <c r="AK79" s="8" t="s">
        <v>661</v>
      </c>
      <c r="AL79" s="2" t="s">
        <v>661</v>
      </c>
      <c r="AM79" s="15" t="s">
        <v>661</v>
      </c>
      <c r="AN79" s="8" t="s">
        <v>661</v>
      </c>
      <c r="AO79" s="15" t="s">
        <v>661</v>
      </c>
      <c r="AP79" s="15">
        <v>16.54</v>
      </c>
      <c r="AQ79" s="13" t="s">
        <v>661</v>
      </c>
      <c r="AR79" s="16">
        <v>29.38</v>
      </c>
      <c r="AS79" s="16">
        <v>13.9</v>
      </c>
      <c r="AT79" s="16">
        <v>56.71</v>
      </c>
      <c r="AU79" s="15" t="s">
        <v>661</v>
      </c>
      <c r="AV79" s="16">
        <f t="shared" si="37"/>
        <v>99.990000000000009</v>
      </c>
      <c r="AW79" s="18">
        <v>0.17</v>
      </c>
      <c r="AX79" s="13">
        <f t="shared" si="44"/>
        <v>1.7000000000000001E-3</v>
      </c>
      <c r="AY79" s="8" t="s">
        <v>184</v>
      </c>
      <c r="AZ79" s="16">
        <v>100</v>
      </c>
      <c r="BA79" s="16" t="s">
        <v>55</v>
      </c>
      <c r="BB79" s="16">
        <v>5</v>
      </c>
      <c r="BC79" s="16" t="s">
        <v>55</v>
      </c>
      <c r="BD79" s="25">
        <v>40.21</v>
      </c>
      <c r="BE79" s="16">
        <f t="shared" si="48"/>
        <v>23652.941176470587</v>
      </c>
      <c r="BF79" s="16">
        <f t="shared" si="49"/>
        <v>4.3738851517246369</v>
      </c>
      <c r="BG79" s="8">
        <f t="shared" si="50"/>
        <v>1.6043340731029112</v>
      </c>
      <c r="BH79" s="13" t="s">
        <v>345</v>
      </c>
      <c r="BI79" s="13"/>
      <c r="BJ79" s="13"/>
      <c r="BK79" s="13"/>
      <c r="BL79" s="13"/>
      <c r="BM79" s="17"/>
      <c r="BN79" s="17"/>
      <c r="BO79" s="2"/>
    </row>
    <row r="80" spans="1:67" s="14" customFormat="1" x14ac:dyDescent="0.3">
      <c r="A80" s="20">
        <v>78</v>
      </c>
      <c r="B80" s="2" t="s">
        <v>283</v>
      </c>
      <c r="C80" s="2">
        <v>2007</v>
      </c>
      <c r="D80" s="2" t="s">
        <v>203</v>
      </c>
      <c r="E80" s="74" t="s">
        <v>292</v>
      </c>
      <c r="F80" s="20" t="s">
        <v>29</v>
      </c>
      <c r="G80" s="2" t="s">
        <v>288</v>
      </c>
      <c r="H80" s="2" t="str">
        <f>'PFAS Properties'!$B$24</f>
        <v>4:2 FTOH</v>
      </c>
      <c r="I80" s="2" t="str">
        <f>'PFAS Properties'!$C$24</f>
        <v>FTOH</v>
      </c>
      <c r="J80" s="2" t="str">
        <f>'PFAS Properties'!$D$24</f>
        <v>C6H5F9O</v>
      </c>
      <c r="K80" s="25">
        <f>'PFAS Properties'!$P$24</f>
        <v>264.01949999999999</v>
      </c>
      <c r="L80" s="2">
        <f>'PFAS Properties'!$X$24</f>
        <v>14.2</v>
      </c>
      <c r="M80" s="2" t="str">
        <f>'PFAS Properties'!$Y$24</f>
        <v>-</v>
      </c>
      <c r="N80" s="33">
        <v>0</v>
      </c>
      <c r="O80" s="33">
        <v>0</v>
      </c>
      <c r="P80" s="33">
        <v>0</v>
      </c>
      <c r="Q80" s="33">
        <f t="shared" ref="Q80:Q143" si="51">(10^(AG80-L80))/(1+(10^(AG80-L80)))</f>
        <v>1.2589254102092737E-9</v>
      </c>
      <c r="R80" s="33">
        <v>0</v>
      </c>
      <c r="S80" s="33">
        <f t="shared" ref="S80:S143" si="52">(1/(1+(10^(AG80-L80))))</f>
        <v>0.99999999874107459</v>
      </c>
      <c r="T80" s="8">
        <f t="shared" ref="T80:T91" si="53">SUM(N80:S80)</f>
        <v>1</v>
      </c>
      <c r="U80" s="33">
        <f t="shared" si="38"/>
        <v>0</v>
      </c>
      <c r="V80" s="33">
        <f t="shared" si="39"/>
        <v>-1.2589254102092737E-9</v>
      </c>
      <c r="W80" s="33">
        <f t="shared" si="40"/>
        <v>264.01949999874108</v>
      </c>
      <c r="X80" s="33">
        <v>96485</v>
      </c>
      <c r="Y80" s="16">
        <f t="shared" si="41"/>
        <v>-4.6006987440178074E-7</v>
      </c>
      <c r="Z80" s="16">
        <v>6</v>
      </c>
      <c r="AA80" s="16">
        <v>9</v>
      </c>
      <c r="AB80" s="8">
        <f t="shared" si="42"/>
        <v>0.42105263157894735</v>
      </c>
      <c r="AC80" s="16">
        <f t="shared" si="43"/>
        <v>64.767943276917052</v>
      </c>
      <c r="AD80" s="20">
        <f>'PFAS Properties'!$W$24</f>
        <v>4</v>
      </c>
      <c r="AE80" s="8">
        <f>'PFAS Properties'!$S$24</f>
        <v>4.9869507878585164</v>
      </c>
      <c r="AF80" s="2">
        <f>'PFAS Properties'!$V$24</f>
        <v>3</v>
      </c>
      <c r="AG80" s="24">
        <v>5.3</v>
      </c>
      <c r="AH80" s="2" t="s">
        <v>122</v>
      </c>
      <c r="AI80" s="2" t="s">
        <v>661</v>
      </c>
      <c r="AJ80" s="2" t="s">
        <v>661</v>
      </c>
      <c r="AK80" s="2" t="s">
        <v>661</v>
      </c>
      <c r="AL80" s="2" t="s">
        <v>661</v>
      </c>
      <c r="AM80" s="2" t="s">
        <v>661</v>
      </c>
      <c r="AN80" s="2" t="s">
        <v>661</v>
      </c>
      <c r="AO80" s="2" t="s">
        <v>661</v>
      </c>
      <c r="AP80" s="15">
        <v>10.9</v>
      </c>
      <c r="AQ80" s="2" t="s">
        <v>661</v>
      </c>
      <c r="AR80" s="16">
        <v>32</v>
      </c>
      <c r="AS80" s="16">
        <v>50</v>
      </c>
      <c r="AT80" s="16">
        <v>18</v>
      </c>
      <c r="AU80" s="2" t="s">
        <v>661</v>
      </c>
      <c r="AV80" s="16">
        <f t="shared" si="37"/>
        <v>100</v>
      </c>
      <c r="AW80" s="20">
        <v>8.18</v>
      </c>
      <c r="AX80" s="13">
        <v>8.1799999999999998E-2</v>
      </c>
      <c r="AY80" s="8" t="s">
        <v>184</v>
      </c>
      <c r="AZ80" s="16">
        <f>1/0.05</f>
        <v>20</v>
      </c>
      <c r="BA80" s="16">
        <f>1/0.02</f>
        <v>50</v>
      </c>
      <c r="BB80" s="16">
        <v>500</v>
      </c>
      <c r="BC80" s="16">
        <v>20000</v>
      </c>
      <c r="BD80" s="18">
        <v>0.70099999999999996</v>
      </c>
      <c r="BE80" s="16">
        <f t="shared" si="48"/>
        <v>8.569682151589241</v>
      </c>
      <c r="BF80" s="16">
        <f t="shared" si="49"/>
        <v>0.93296471429533556</v>
      </c>
      <c r="BG80" s="8">
        <f t="shared" si="50"/>
        <v>-0.15428198203334137</v>
      </c>
      <c r="BH80" s="13" t="s">
        <v>373</v>
      </c>
      <c r="BI80" s="8"/>
      <c r="BJ80" s="16"/>
      <c r="BK80" s="8"/>
      <c r="BL80" s="12"/>
      <c r="BM80" s="16"/>
      <c r="BN80" s="16"/>
      <c r="BO80" s="18"/>
    </row>
    <row r="81" spans="1:67" s="14" customFormat="1" x14ac:dyDescent="0.3">
      <c r="A81" s="20">
        <v>79</v>
      </c>
      <c r="B81" s="2" t="s">
        <v>283</v>
      </c>
      <c r="C81" s="2">
        <v>2007</v>
      </c>
      <c r="D81" s="2" t="s">
        <v>203</v>
      </c>
      <c r="E81" s="75" t="s">
        <v>292</v>
      </c>
      <c r="F81" s="20" t="s">
        <v>29</v>
      </c>
      <c r="G81" s="2" t="s">
        <v>288</v>
      </c>
      <c r="H81" s="2" t="str">
        <f>'PFAS Properties'!$B$25</f>
        <v>6:2 FTOH</v>
      </c>
      <c r="I81" s="2" t="str">
        <f>'PFAS Properties'!$C$25</f>
        <v>FTOH</v>
      </c>
      <c r="J81" s="2" t="str">
        <f>'PFAS Properties'!$D$25</f>
        <v>C8H5F13O</v>
      </c>
      <c r="K81" s="25">
        <f>'PFAS Properties'!$P$25</f>
        <v>364.01309999999995</v>
      </c>
      <c r="L81" s="2">
        <f>'PFAS Properties'!$X$25</f>
        <v>14.2</v>
      </c>
      <c r="M81" s="2" t="str">
        <f>'PFAS Properties'!$Y$25</f>
        <v>-</v>
      </c>
      <c r="N81" s="33">
        <v>0</v>
      </c>
      <c r="O81" s="33">
        <v>0</v>
      </c>
      <c r="P81" s="33">
        <v>0</v>
      </c>
      <c r="Q81" s="33">
        <f t="shared" si="51"/>
        <v>1.2589254102092737E-9</v>
      </c>
      <c r="R81" s="33">
        <v>0</v>
      </c>
      <c r="S81" s="33">
        <f t="shared" si="52"/>
        <v>0.99999999874107459</v>
      </c>
      <c r="T81" s="8">
        <f t="shared" si="53"/>
        <v>1</v>
      </c>
      <c r="U81" s="33">
        <f t="shared" si="38"/>
        <v>0</v>
      </c>
      <c r="V81" s="33">
        <f t="shared" si="39"/>
        <v>-1.2589254102092737E-9</v>
      </c>
      <c r="W81" s="33">
        <f t="shared" si="40"/>
        <v>364.01309999874104</v>
      </c>
      <c r="X81" s="33">
        <v>96485</v>
      </c>
      <c r="Y81" s="16">
        <f t="shared" si="41"/>
        <v>-3.3368968920201461E-7</v>
      </c>
      <c r="Z81" s="16">
        <v>8</v>
      </c>
      <c r="AA81" s="16">
        <v>13</v>
      </c>
      <c r="AB81" s="8">
        <f t="shared" si="42"/>
        <v>0.38866396761133604</v>
      </c>
      <c r="AC81" s="16">
        <f t="shared" si="43"/>
        <v>67.854700833568913</v>
      </c>
      <c r="AD81" s="20">
        <f>'PFAS Properties'!$W$25</f>
        <v>6</v>
      </c>
      <c r="AE81" s="8">
        <f>'PFAS Properties'!$S$25</f>
        <v>3.3394514413064407</v>
      </c>
      <c r="AF81" s="2">
        <f>'PFAS Properties'!$V$25</f>
        <v>4.4000000000000004</v>
      </c>
      <c r="AG81" s="24">
        <v>5.3</v>
      </c>
      <c r="AH81" s="2" t="s">
        <v>122</v>
      </c>
      <c r="AI81" s="2" t="s">
        <v>661</v>
      </c>
      <c r="AJ81" s="2" t="s">
        <v>661</v>
      </c>
      <c r="AK81" s="2" t="s">
        <v>661</v>
      </c>
      <c r="AL81" s="2" t="s">
        <v>661</v>
      </c>
      <c r="AM81" s="2" t="s">
        <v>661</v>
      </c>
      <c r="AN81" s="2" t="s">
        <v>661</v>
      </c>
      <c r="AO81" s="2" t="s">
        <v>661</v>
      </c>
      <c r="AP81" s="15">
        <v>10.9</v>
      </c>
      <c r="AQ81" s="2" t="s">
        <v>661</v>
      </c>
      <c r="AR81" s="16">
        <v>32</v>
      </c>
      <c r="AS81" s="16">
        <v>50</v>
      </c>
      <c r="AT81" s="16">
        <v>18</v>
      </c>
      <c r="AU81" s="2" t="s">
        <v>661</v>
      </c>
      <c r="AV81" s="16">
        <f t="shared" si="37"/>
        <v>100</v>
      </c>
      <c r="AW81" s="20">
        <v>8.18</v>
      </c>
      <c r="AX81" s="13">
        <v>8.1799999999999998E-2</v>
      </c>
      <c r="AY81" s="8" t="s">
        <v>184</v>
      </c>
      <c r="AZ81" s="16">
        <f>1/0.05</f>
        <v>20</v>
      </c>
      <c r="BA81" s="16">
        <f>1/0.02</f>
        <v>50</v>
      </c>
      <c r="BB81" s="16">
        <v>300</v>
      </c>
      <c r="BC81" s="16">
        <v>3000</v>
      </c>
      <c r="BD81" s="25">
        <v>17</v>
      </c>
      <c r="BE81" s="16">
        <f t="shared" si="48"/>
        <v>207.82396088019561</v>
      </c>
      <c r="BF81" s="16">
        <f t="shared" si="49"/>
        <v>2.317695617706951</v>
      </c>
      <c r="BG81" s="8">
        <f t="shared" si="50"/>
        <v>1.2304489213782739</v>
      </c>
      <c r="BH81" s="13" t="s">
        <v>373</v>
      </c>
      <c r="BI81" s="8"/>
      <c r="BJ81" s="16"/>
      <c r="BK81" s="8"/>
      <c r="BL81" s="13"/>
      <c r="BM81" s="16"/>
      <c r="BN81" s="16"/>
      <c r="BO81" s="18"/>
    </row>
    <row r="82" spans="1:67" s="14" customFormat="1" x14ac:dyDescent="0.3">
      <c r="A82" s="20">
        <v>80</v>
      </c>
      <c r="B82" s="2" t="s">
        <v>283</v>
      </c>
      <c r="C82" s="2">
        <v>2007</v>
      </c>
      <c r="D82" s="2" t="s">
        <v>203</v>
      </c>
      <c r="E82" s="74" t="s">
        <v>292</v>
      </c>
      <c r="F82" s="20" t="s">
        <v>29</v>
      </c>
      <c r="G82" s="2" t="s">
        <v>286</v>
      </c>
      <c r="H82" s="2" t="str">
        <f>'PFAS Properties'!$B$25</f>
        <v>6:2 FTOH</v>
      </c>
      <c r="I82" s="2" t="str">
        <f>'PFAS Properties'!$C$25</f>
        <v>FTOH</v>
      </c>
      <c r="J82" s="2" t="str">
        <f>'PFAS Properties'!$D$25</f>
        <v>C8H5F13O</v>
      </c>
      <c r="K82" s="25">
        <f>'PFAS Properties'!$P$25</f>
        <v>364.01309999999995</v>
      </c>
      <c r="L82" s="2">
        <f>'PFAS Properties'!$X$25</f>
        <v>14.2</v>
      </c>
      <c r="M82" s="2" t="str">
        <f>'PFAS Properties'!$Y$25</f>
        <v>-</v>
      </c>
      <c r="N82" s="33">
        <v>0</v>
      </c>
      <c r="O82" s="33">
        <v>0</v>
      </c>
      <c r="P82" s="33">
        <v>0</v>
      </c>
      <c r="Q82" s="33">
        <f t="shared" si="51"/>
        <v>3.9810716896860486E-9</v>
      </c>
      <c r="R82" s="33">
        <v>0</v>
      </c>
      <c r="S82" s="33">
        <f t="shared" si="52"/>
        <v>0.99999999601892831</v>
      </c>
      <c r="T82" s="8">
        <f t="shared" si="53"/>
        <v>1</v>
      </c>
      <c r="U82" s="33">
        <f t="shared" si="38"/>
        <v>0</v>
      </c>
      <c r="V82" s="33">
        <f t="shared" si="39"/>
        <v>-3.9810716896860486E-9</v>
      </c>
      <c r="W82" s="33">
        <f t="shared" si="40"/>
        <v>364.01309999601887</v>
      </c>
      <c r="X82" s="33">
        <v>96485</v>
      </c>
      <c r="Y82" s="16">
        <f t="shared" si="41"/>
        <v>-1.0552194467274923E-6</v>
      </c>
      <c r="Z82" s="16">
        <v>8</v>
      </c>
      <c r="AA82" s="16">
        <v>13</v>
      </c>
      <c r="AB82" s="8">
        <f t="shared" si="42"/>
        <v>0.38866396761133604</v>
      </c>
      <c r="AC82" s="16">
        <f t="shared" si="43"/>
        <v>67.854700833568913</v>
      </c>
      <c r="AD82" s="20">
        <f>'PFAS Properties'!$W$25</f>
        <v>6</v>
      </c>
      <c r="AE82" s="8">
        <f>'PFAS Properties'!$S$25</f>
        <v>3.3394514413064407</v>
      </c>
      <c r="AF82" s="2">
        <f>'PFAS Properties'!$V$25</f>
        <v>4.4000000000000004</v>
      </c>
      <c r="AG82" s="24">
        <v>5.8</v>
      </c>
      <c r="AH82" s="2" t="s">
        <v>122</v>
      </c>
      <c r="AI82" s="2" t="s">
        <v>661</v>
      </c>
      <c r="AJ82" s="2" t="s">
        <v>661</v>
      </c>
      <c r="AK82" s="2" t="s">
        <v>661</v>
      </c>
      <c r="AL82" s="2" t="s">
        <v>661</v>
      </c>
      <c r="AM82" s="2" t="s">
        <v>661</v>
      </c>
      <c r="AN82" s="2" t="s">
        <v>661</v>
      </c>
      <c r="AO82" s="2" t="s">
        <v>661</v>
      </c>
      <c r="AP82" s="15">
        <v>23.3</v>
      </c>
      <c r="AQ82" s="2" t="s">
        <v>661</v>
      </c>
      <c r="AR82" s="16">
        <v>21</v>
      </c>
      <c r="AS82" s="16">
        <v>43</v>
      </c>
      <c r="AT82" s="16">
        <v>36</v>
      </c>
      <c r="AU82" s="2" t="s">
        <v>661</v>
      </c>
      <c r="AV82" s="16">
        <f t="shared" si="37"/>
        <v>100</v>
      </c>
      <c r="AW82" s="20">
        <v>2.5</v>
      </c>
      <c r="AX82" s="13">
        <v>2.5000000000000001E-2</v>
      </c>
      <c r="AY82" s="8" t="s">
        <v>184</v>
      </c>
      <c r="AZ82" s="16">
        <f>1/0.05</f>
        <v>20</v>
      </c>
      <c r="BA82" s="16">
        <f>1/0.02</f>
        <v>50</v>
      </c>
      <c r="BB82" s="16">
        <v>300</v>
      </c>
      <c r="BC82" s="16">
        <v>3000</v>
      </c>
      <c r="BD82" s="24">
        <v>6.09</v>
      </c>
      <c r="BE82" s="16">
        <f t="shared" si="48"/>
        <v>243.6</v>
      </c>
      <c r="BF82" s="16">
        <f t="shared" si="49"/>
        <v>2.3866772839608377</v>
      </c>
      <c r="BG82" s="8">
        <f t="shared" si="50"/>
        <v>0.78461729263287538</v>
      </c>
      <c r="BH82" s="13" t="s">
        <v>373</v>
      </c>
      <c r="BI82" s="8"/>
      <c r="BJ82" s="16"/>
      <c r="BK82" s="8"/>
      <c r="BL82" s="13"/>
      <c r="BM82" s="16"/>
      <c r="BN82" s="16"/>
      <c r="BO82" s="18"/>
    </row>
    <row r="83" spans="1:67" s="14" customFormat="1" x14ac:dyDescent="0.3">
      <c r="A83" s="20">
        <v>81</v>
      </c>
      <c r="B83" s="2" t="s">
        <v>283</v>
      </c>
      <c r="C83" s="2">
        <v>2007</v>
      </c>
      <c r="D83" s="2" t="s">
        <v>203</v>
      </c>
      <c r="E83" s="10" t="s">
        <v>292</v>
      </c>
      <c r="F83" s="20" t="s">
        <v>29</v>
      </c>
      <c r="G83" s="2" t="s">
        <v>287</v>
      </c>
      <c r="H83" s="2" t="str">
        <f>'PFAS Properties'!$B$25</f>
        <v>6:2 FTOH</v>
      </c>
      <c r="I83" s="2" t="str">
        <f>'PFAS Properties'!$C$25</f>
        <v>FTOH</v>
      </c>
      <c r="J83" s="2" t="str">
        <f>'PFAS Properties'!$D$25</f>
        <v>C8H5F13O</v>
      </c>
      <c r="K83" s="25">
        <f>'PFAS Properties'!$P$25</f>
        <v>364.01309999999995</v>
      </c>
      <c r="L83" s="2">
        <f>'PFAS Properties'!$X$25</f>
        <v>14.2</v>
      </c>
      <c r="M83" s="2" t="str">
        <f>'PFAS Properties'!$Y$25</f>
        <v>-</v>
      </c>
      <c r="N83" s="33">
        <v>0</v>
      </c>
      <c r="O83" s="33">
        <v>0</v>
      </c>
      <c r="P83" s="33">
        <v>0</v>
      </c>
      <c r="Q83" s="33">
        <f t="shared" si="51"/>
        <v>1.5848931922099271E-10</v>
      </c>
      <c r="R83" s="33">
        <v>0</v>
      </c>
      <c r="S83" s="33">
        <f t="shared" si="52"/>
        <v>0.99999999984151078</v>
      </c>
      <c r="T83" s="8">
        <f t="shared" si="53"/>
        <v>1</v>
      </c>
      <c r="U83" s="33">
        <f t="shared" si="38"/>
        <v>0</v>
      </c>
      <c r="V83" s="33">
        <f t="shared" si="39"/>
        <v>-1.5848931922099271E-10</v>
      </c>
      <c r="W83" s="33">
        <f t="shared" si="40"/>
        <v>364.01309999984153</v>
      </c>
      <c r="X83" s="33">
        <v>96485</v>
      </c>
      <c r="Y83" s="16">
        <f t="shared" si="41"/>
        <v>-4.2009042985112734E-8</v>
      </c>
      <c r="Z83" s="16">
        <v>8</v>
      </c>
      <c r="AA83" s="16">
        <v>13</v>
      </c>
      <c r="AB83" s="8">
        <f t="shared" si="42"/>
        <v>0.38866396761133604</v>
      </c>
      <c r="AC83" s="16">
        <f t="shared" si="43"/>
        <v>67.854700833568913</v>
      </c>
      <c r="AD83" s="20">
        <f>'PFAS Properties'!$W$25</f>
        <v>6</v>
      </c>
      <c r="AE83" s="8">
        <f>'PFAS Properties'!$S$25</f>
        <v>3.3394514413064407</v>
      </c>
      <c r="AF83" s="2">
        <f>'PFAS Properties'!$V$25</f>
        <v>4.4000000000000004</v>
      </c>
      <c r="AG83" s="24">
        <v>4.4000000000000004</v>
      </c>
      <c r="AH83" s="2" t="s">
        <v>122</v>
      </c>
      <c r="AI83" s="2" t="s">
        <v>661</v>
      </c>
      <c r="AJ83" s="2" t="s">
        <v>661</v>
      </c>
      <c r="AK83" s="2" t="s">
        <v>661</v>
      </c>
      <c r="AL83" s="2" t="s">
        <v>661</v>
      </c>
      <c r="AM83" s="2" t="s">
        <v>661</v>
      </c>
      <c r="AN83" s="2" t="s">
        <v>661</v>
      </c>
      <c r="AO83" s="2" t="s">
        <v>661</v>
      </c>
      <c r="AP83" s="15">
        <v>3.8</v>
      </c>
      <c r="AQ83" s="2" t="s">
        <v>661</v>
      </c>
      <c r="AR83" s="16">
        <v>92</v>
      </c>
      <c r="AS83" s="16">
        <v>4</v>
      </c>
      <c r="AT83" s="16">
        <v>4</v>
      </c>
      <c r="AU83" s="2" t="s">
        <v>661</v>
      </c>
      <c r="AV83" s="16">
        <f t="shared" si="37"/>
        <v>100</v>
      </c>
      <c r="AW83" s="20">
        <v>0.52</v>
      </c>
      <c r="AX83" s="13">
        <v>5.1999999999999998E-3</v>
      </c>
      <c r="AY83" s="8" t="s">
        <v>184</v>
      </c>
      <c r="AZ83" s="16">
        <f>1/0.05</f>
        <v>20</v>
      </c>
      <c r="BA83" s="16">
        <f>1/0.02</f>
        <v>50</v>
      </c>
      <c r="BB83" s="16">
        <v>300</v>
      </c>
      <c r="BC83" s="16">
        <v>3000</v>
      </c>
      <c r="BD83" s="24">
        <v>1.94</v>
      </c>
      <c r="BE83" s="16">
        <f t="shared" si="48"/>
        <v>373.07692307692309</v>
      </c>
      <c r="BF83" s="16">
        <f t="shared" si="49"/>
        <v>2.571798386295427</v>
      </c>
      <c r="BG83" s="8">
        <f t="shared" si="50"/>
        <v>0.28780172993022601</v>
      </c>
      <c r="BH83" s="13" t="s">
        <v>373</v>
      </c>
      <c r="BI83" s="8"/>
      <c r="BJ83" s="16"/>
      <c r="BK83" s="8"/>
      <c r="BL83" s="13"/>
      <c r="BM83" s="16"/>
      <c r="BN83" s="16"/>
      <c r="BO83" s="18"/>
    </row>
    <row r="84" spans="1:67" s="14" customFormat="1" x14ac:dyDescent="0.3">
      <c r="A84" s="20">
        <v>82</v>
      </c>
      <c r="B84" s="2" t="s">
        <v>283</v>
      </c>
      <c r="C84" s="2">
        <v>2005</v>
      </c>
      <c r="D84" s="2" t="s">
        <v>203</v>
      </c>
      <c r="E84" s="75" t="s">
        <v>284</v>
      </c>
      <c r="F84" s="20" t="s">
        <v>29</v>
      </c>
      <c r="G84" s="2" t="s">
        <v>285</v>
      </c>
      <c r="H84" s="2" t="str">
        <f>'PFAS Properties'!$B$26</f>
        <v>8:2 FTOH</v>
      </c>
      <c r="I84" s="2" t="str">
        <f>'PFAS Properties'!$C$26</f>
        <v>FTOH</v>
      </c>
      <c r="J84" s="2" t="str">
        <f>'PFAS Properties'!$D$26</f>
        <v>C10H5F17O</v>
      </c>
      <c r="K84" s="25">
        <f>'PFAS Properties'!$P$26</f>
        <v>464.00669999999997</v>
      </c>
      <c r="L84" s="2">
        <f>'PFAS Properties'!$X$26</f>
        <v>14.2</v>
      </c>
      <c r="M84" s="2" t="str">
        <f>'PFAS Properties'!$Y$26</f>
        <v>-</v>
      </c>
      <c r="N84" s="33">
        <v>0</v>
      </c>
      <c r="O84" s="33">
        <v>0</v>
      </c>
      <c r="P84" s="33">
        <v>0</v>
      </c>
      <c r="Q84" s="33">
        <f t="shared" si="51"/>
        <v>2.5118864314464804E-11</v>
      </c>
      <c r="R84" s="33">
        <v>0</v>
      </c>
      <c r="S84" s="33">
        <f t="shared" si="52"/>
        <v>0.9999999999748812</v>
      </c>
      <c r="T84" s="8">
        <f t="shared" si="53"/>
        <v>1</v>
      </c>
      <c r="U84" s="33">
        <f t="shared" si="38"/>
        <v>0</v>
      </c>
      <c r="V84" s="33">
        <f t="shared" si="39"/>
        <v>-2.5118864314464804E-11</v>
      </c>
      <c r="W84" s="33">
        <f t="shared" si="40"/>
        <v>464.0066999999749</v>
      </c>
      <c r="X84" s="33">
        <v>96485</v>
      </c>
      <c r="Y84" s="16">
        <f t="shared" si="41"/>
        <v>-5.2231866983413554E-9</v>
      </c>
      <c r="Z84" s="16">
        <v>10</v>
      </c>
      <c r="AA84" s="16">
        <v>17</v>
      </c>
      <c r="AB84" s="8">
        <f t="shared" si="42"/>
        <v>0.37151702786377711</v>
      </c>
      <c r="AC84" s="16">
        <f t="shared" si="43"/>
        <v>69.611063805759713</v>
      </c>
      <c r="AD84" s="20">
        <f>'PFAS Properties'!$W$26</f>
        <v>8</v>
      </c>
      <c r="AE84" s="8">
        <f>'PFAS Properties'!$S$26</f>
        <v>1.8286598965353198</v>
      </c>
      <c r="AF84" s="2">
        <f>'PFAS Properties'!$V$26</f>
        <v>5.7</v>
      </c>
      <c r="AG84" s="24">
        <v>3.6</v>
      </c>
      <c r="AH84" s="2" t="s">
        <v>122</v>
      </c>
      <c r="AI84" s="2" t="s">
        <v>661</v>
      </c>
      <c r="AJ84" s="2" t="s">
        <v>661</v>
      </c>
      <c r="AK84" s="2" t="s">
        <v>661</v>
      </c>
      <c r="AL84" s="2" t="s">
        <v>661</v>
      </c>
      <c r="AM84" s="2" t="s">
        <v>661</v>
      </c>
      <c r="AN84" s="2" t="s">
        <v>661</v>
      </c>
      <c r="AO84" s="2" t="s">
        <v>661</v>
      </c>
      <c r="AP84" s="15">
        <v>18.899999999999999</v>
      </c>
      <c r="AQ84" s="2" t="s">
        <v>661</v>
      </c>
      <c r="AR84" s="16">
        <v>2</v>
      </c>
      <c r="AS84" s="16">
        <v>34</v>
      </c>
      <c r="AT84" s="16">
        <v>64</v>
      </c>
      <c r="AU84" s="2" t="s">
        <v>661</v>
      </c>
      <c r="AV84" s="16">
        <f t="shared" si="37"/>
        <v>100</v>
      </c>
      <c r="AW84" s="20">
        <v>0.48</v>
      </c>
      <c r="AX84" s="13">
        <f>AW84/100</f>
        <v>4.7999999999999996E-3</v>
      </c>
      <c r="AY84" s="8" t="s">
        <v>184</v>
      </c>
      <c r="AZ84" s="16">
        <f>1/0.04</f>
        <v>25</v>
      </c>
      <c r="BA84" s="16">
        <f>1/0.01</f>
        <v>100</v>
      </c>
      <c r="BB84" s="2">
        <v>180</v>
      </c>
      <c r="BC84" s="16">
        <v>1800</v>
      </c>
      <c r="BD84" s="25">
        <v>34.200000000000003</v>
      </c>
      <c r="BE84" s="16">
        <f t="shared" si="48"/>
        <v>7125.0000000000009</v>
      </c>
      <c r="BF84" s="16">
        <f t="shared" si="49"/>
        <v>3.8527848686805477</v>
      </c>
      <c r="BG84" s="8">
        <f t="shared" si="50"/>
        <v>1.5340261060561351</v>
      </c>
      <c r="BH84" s="13" t="s">
        <v>389</v>
      </c>
      <c r="BI84" s="13"/>
      <c r="BJ84" s="13"/>
      <c r="BK84" s="13"/>
      <c r="BL84" s="13"/>
      <c r="BM84" s="17"/>
      <c r="BN84" s="17"/>
      <c r="BO84" s="2"/>
    </row>
    <row r="85" spans="1:67" s="14" customFormat="1" x14ac:dyDescent="0.3">
      <c r="A85" s="20">
        <v>83</v>
      </c>
      <c r="B85" s="2" t="s">
        <v>283</v>
      </c>
      <c r="C85" s="2">
        <v>2005</v>
      </c>
      <c r="D85" s="2" t="s">
        <v>203</v>
      </c>
      <c r="E85" s="10" t="s">
        <v>284</v>
      </c>
      <c r="F85" s="20" t="s">
        <v>29</v>
      </c>
      <c r="G85" s="2" t="s">
        <v>286</v>
      </c>
      <c r="H85" s="2" t="str">
        <f>'PFAS Properties'!$B$26</f>
        <v>8:2 FTOH</v>
      </c>
      <c r="I85" s="2" t="str">
        <f>'PFAS Properties'!$C$26</f>
        <v>FTOH</v>
      </c>
      <c r="J85" s="2" t="str">
        <f>'PFAS Properties'!$D$26</f>
        <v>C10H5F17O</v>
      </c>
      <c r="K85" s="25">
        <f>'PFAS Properties'!$P$26</f>
        <v>464.00669999999997</v>
      </c>
      <c r="L85" s="2">
        <f>'PFAS Properties'!$X$26</f>
        <v>14.2</v>
      </c>
      <c r="M85" s="2" t="str">
        <f>'PFAS Properties'!$Y$26</f>
        <v>-</v>
      </c>
      <c r="N85" s="33">
        <v>0</v>
      </c>
      <c r="O85" s="33">
        <v>0</v>
      </c>
      <c r="P85" s="33">
        <v>0</v>
      </c>
      <c r="Q85" s="33">
        <f t="shared" si="51"/>
        <v>3.9810716896860486E-9</v>
      </c>
      <c r="R85" s="33">
        <v>0</v>
      </c>
      <c r="S85" s="33">
        <f t="shared" si="52"/>
        <v>0.99999999601892831</v>
      </c>
      <c r="T85" s="8">
        <f t="shared" si="53"/>
        <v>1</v>
      </c>
      <c r="U85" s="33">
        <f t="shared" si="38"/>
        <v>0</v>
      </c>
      <c r="V85" s="33">
        <f t="shared" si="39"/>
        <v>-3.9810716896860486E-9</v>
      </c>
      <c r="W85" s="33">
        <f t="shared" si="40"/>
        <v>464.00669999601888</v>
      </c>
      <c r="X85" s="33">
        <v>96485</v>
      </c>
      <c r="Y85" s="16">
        <f t="shared" si="41"/>
        <v>-8.2781930084771202E-7</v>
      </c>
      <c r="Z85" s="16">
        <v>10</v>
      </c>
      <c r="AA85" s="16">
        <v>17</v>
      </c>
      <c r="AB85" s="8">
        <f t="shared" si="42"/>
        <v>0.37151702786377711</v>
      </c>
      <c r="AC85" s="16">
        <f t="shared" si="43"/>
        <v>69.611063805759713</v>
      </c>
      <c r="AD85" s="20">
        <f>'PFAS Properties'!$W$26</f>
        <v>8</v>
      </c>
      <c r="AE85" s="8">
        <f>'PFAS Properties'!$S$26</f>
        <v>1.8286598965353198</v>
      </c>
      <c r="AF85" s="2">
        <f>'PFAS Properties'!$V$26</f>
        <v>5.7</v>
      </c>
      <c r="AG85" s="24">
        <v>5.8</v>
      </c>
      <c r="AH85" s="2" t="s">
        <v>122</v>
      </c>
      <c r="AI85" s="2" t="s">
        <v>661</v>
      </c>
      <c r="AJ85" s="2" t="s">
        <v>661</v>
      </c>
      <c r="AK85" s="2" t="s">
        <v>661</v>
      </c>
      <c r="AL85" s="2" t="s">
        <v>661</v>
      </c>
      <c r="AM85" s="2" t="s">
        <v>661</v>
      </c>
      <c r="AN85" s="2" t="s">
        <v>661</v>
      </c>
      <c r="AO85" s="2" t="s">
        <v>661</v>
      </c>
      <c r="AP85" s="15">
        <v>23.3</v>
      </c>
      <c r="AQ85" s="2" t="s">
        <v>661</v>
      </c>
      <c r="AR85" s="16">
        <v>21</v>
      </c>
      <c r="AS85" s="16">
        <v>43</v>
      </c>
      <c r="AT85" s="16">
        <v>36</v>
      </c>
      <c r="AU85" s="2" t="s">
        <v>661</v>
      </c>
      <c r="AV85" s="16">
        <f t="shared" si="37"/>
        <v>100</v>
      </c>
      <c r="AW85" s="20">
        <v>2.5</v>
      </c>
      <c r="AX85" s="13">
        <f>AW85/100</f>
        <v>2.5000000000000001E-2</v>
      </c>
      <c r="AY85" s="8" t="s">
        <v>184</v>
      </c>
      <c r="AZ85" s="16">
        <f>1/0.04</f>
        <v>25</v>
      </c>
      <c r="BA85" s="16">
        <f>1/0.01</f>
        <v>100</v>
      </c>
      <c r="BB85" s="2">
        <v>180</v>
      </c>
      <c r="BC85" s="16">
        <v>1800</v>
      </c>
      <c r="BD85" s="25">
        <v>148.1</v>
      </c>
      <c r="BE85" s="16">
        <f t="shared" si="48"/>
        <v>5923.9999999999991</v>
      </c>
      <c r="BF85" s="16">
        <f t="shared" si="49"/>
        <v>3.7726150498491706</v>
      </c>
      <c r="BG85" s="8">
        <f t="shared" si="50"/>
        <v>2.1705550585212086</v>
      </c>
      <c r="BH85" s="13" t="s">
        <v>389</v>
      </c>
      <c r="BI85" s="13"/>
      <c r="BJ85" s="13"/>
      <c r="BK85" s="13"/>
      <c r="BL85" s="13"/>
      <c r="BM85" s="17"/>
      <c r="BN85" s="17"/>
      <c r="BO85" s="2"/>
    </row>
    <row r="86" spans="1:67" s="14" customFormat="1" x14ac:dyDescent="0.3">
      <c r="A86" s="20">
        <v>84</v>
      </c>
      <c r="B86" s="2" t="s">
        <v>283</v>
      </c>
      <c r="C86" s="2">
        <v>2005</v>
      </c>
      <c r="D86" s="2" t="s">
        <v>203</v>
      </c>
      <c r="E86" s="10" t="s">
        <v>284</v>
      </c>
      <c r="F86" s="20" t="s">
        <v>29</v>
      </c>
      <c r="G86" s="2" t="s">
        <v>287</v>
      </c>
      <c r="H86" s="2" t="str">
        <f>'PFAS Properties'!$B$26</f>
        <v>8:2 FTOH</v>
      </c>
      <c r="I86" s="2" t="str">
        <f>'PFAS Properties'!$C$26</f>
        <v>FTOH</v>
      </c>
      <c r="J86" s="2" t="str">
        <f>'PFAS Properties'!$D$26</f>
        <v>C10H5F17O</v>
      </c>
      <c r="K86" s="25">
        <f>'PFAS Properties'!$P$26</f>
        <v>464.00669999999997</v>
      </c>
      <c r="L86" s="2">
        <f>'PFAS Properties'!$X$26</f>
        <v>14.2</v>
      </c>
      <c r="M86" s="2" t="str">
        <f>'PFAS Properties'!$Y$26</f>
        <v>-</v>
      </c>
      <c r="N86" s="33">
        <v>0</v>
      </c>
      <c r="O86" s="33">
        <v>0</v>
      </c>
      <c r="P86" s="33">
        <v>0</v>
      </c>
      <c r="Q86" s="33">
        <f t="shared" si="51"/>
        <v>1.5848931922099271E-10</v>
      </c>
      <c r="R86" s="33">
        <v>0</v>
      </c>
      <c r="S86" s="33">
        <f t="shared" si="52"/>
        <v>0.99999999984151078</v>
      </c>
      <c r="T86" s="8">
        <f t="shared" si="53"/>
        <v>1</v>
      </c>
      <c r="U86" s="33">
        <f t="shared" si="38"/>
        <v>0</v>
      </c>
      <c r="V86" s="33">
        <f t="shared" si="39"/>
        <v>-1.5848931922099271E-10</v>
      </c>
      <c r="W86" s="33">
        <f t="shared" si="40"/>
        <v>464.00669999984154</v>
      </c>
      <c r="X86" s="33">
        <v>96485</v>
      </c>
      <c r="Y86" s="16">
        <f t="shared" si="41"/>
        <v>-3.29560800847115E-8</v>
      </c>
      <c r="Z86" s="16">
        <v>10</v>
      </c>
      <c r="AA86" s="16">
        <v>17</v>
      </c>
      <c r="AB86" s="8">
        <f t="shared" si="42"/>
        <v>0.37151702786377711</v>
      </c>
      <c r="AC86" s="16">
        <f t="shared" si="43"/>
        <v>69.611063805759713</v>
      </c>
      <c r="AD86" s="20">
        <f>'PFAS Properties'!$W$26</f>
        <v>8</v>
      </c>
      <c r="AE86" s="8">
        <f>'PFAS Properties'!$S$26</f>
        <v>1.8286598965353198</v>
      </c>
      <c r="AF86" s="2">
        <f>'PFAS Properties'!$V$26</f>
        <v>5.7</v>
      </c>
      <c r="AG86" s="24">
        <v>4.4000000000000004</v>
      </c>
      <c r="AH86" s="2" t="s">
        <v>122</v>
      </c>
      <c r="AI86" s="2" t="s">
        <v>661</v>
      </c>
      <c r="AJ86" s="2" t="s">
        <v>661</v>
      </c>
      <c r="AK86" s="2" t="s">
        <v>661</v>
      </c>
      <c r="AL86" s="2" t="s">
        <v>661</v>
      </c>
      <c r="AM86" s="2" t="s">
        <v>661</v>
      </c>
      <c r="AN86" s="2" t="s">
        <v>661</v>
      </c>
      <c r="AO86" s="2" t="s">
        <v>661</v>
      </c>
      <c r="AP86" s="15">
        <v>3.8</v>
      </c>
      <c r="AQ86" s="2" t="s">
        <v>661</v>
      </c>
      <c r="AR86" s="16">
        <v>92</v>
      </c>
      <c r="AS86" s="16">
        <v>4</v>
      </c>
      <c r="AT86" s="16">
        <v>4</v>
      </c>
      <c r="AU86" s="2" t="s">
        <v>661</v>
      </c>
      <c r="AV86" s="16">
        <f t="shared" si="37"/>
        <v>100</v>
      </c>
      <c r="AW86" s="20">
        <v>0.52</v>
      </c>
      <c r="AX86" s="13">
        <f>AW86/100</f>
        <v>5.1999999999999998E-3</v>
      </c>
      <c r="AY86" s="8" t="s">
        <v>184</v>
      </c>
      <c r="AZ86" s="16">
        <f>1/0.04</f>
        <v>25</v>
      </c>
      <c r="BA86" s="16">
        <f>1/0.01</f>
        <v>100</v>
      </c>
      <c r="BB86" s="2">
        <v>180</v>
      </c>
      <c r="BC86" s="16">
        <v>1800</v>
      </c>
      <c r="BD86" s="25">
        <v>28.2</v>
      </c>
      <c r="BE86" s="16">
        <f t="shared" si="48"/>
        <v>5423.0769230769229</v>
      </c>
      <c r="BF86" s="16">
        <f t="shared" si="49"/>
        <v>3.7342457646845619</v>
      </c>
      <c r="BG86" s="8">
        <f t="shared" si="50"/>
        <v>1.4502491083193612</v>
      </c>
      <c r="BH86" s="13" t="s">
        <v>389</v>
      </c>
      <c r="BI86" s="13"/>
      <c r="BJ86" s="13"/>
      <c r="BK86" s="13"/>
      <c r="BL86" s="13"/>
      <c r="BM86" s="17"/>
      <c r="BN86" s="17"/>
      <c r="BO86" s="2"/>
    </row>
    <row r="87" spans="1:67" s="14" customFormat="1" x14ac:dyDescent="0.3">
      <c r="A87" s="20">
        <v>85</v>
      </c>
      <c r="B87" s="2" t="s">
        <v>283</v>
      </c>
      <c r="C87" s="2">
        <v>2005</v>
      </c>
      <c r="D87" s="2" t="s">
        <v>203</v>
      </c>
      <c r="E87" s="10" t="s">
        <v>284</v>
      </c>
      <c r="F87" s="20" t="s">
        <v>29</v>
      </c>
      <c r="G87" s="2" t="s">
        <v>288</v>
      </c>
      <c r="H87" s="2" t="str">
        <f>'PFAS Properties'!$B$26</f>
        <v>8:2 FTOH</v>
      </c>
      <c r="I87" s="2" t="str">
        <f>'PFAS Properties'!$C$26</f>
        <v>FTOH</v>
      </c>
      <c r="J87" s="2" t="str">
        <f>'PFAS Properties'!$D$26</f>
        <v>C10H5F17O</v>
      </c>
      <c r="K87" s="25">
        <f>'PFAS Properties'!$P$26</f>
        <v>464.00669999999997</v>
      </c>
      <c r="L87" s="2">
        <f>'PFAS Properties'!$X$26</f>
        <v>14.2</v>
      </c>
      <c r="M87" s="2" t="str">
        <f>'PFAS Properties'!$Y$26</f>
        <v>-</v>
      </c>
      <c r="N87" s="33">
        <v>0</v>
      </c>
      <c r="O87" s="33">
        <v>0</v>
      </c>
      <c r="P87" s="33">
        <v>0</v>
      </c>
      <c r="Q87" s="33">
        <f t="shared" si="51"/>
        <v>1.2589254102092737E-9</v>
      </c>
      <c r="R87" s="33">
        <v>0</v>
      </c>
      <c r="S87" s="33">
        <f t="shared" si="52"/>
        <v>0.99999999874107459</v>
      </c>
      <c r="T87" s="8">
        <f t="shared" si="53"/>
        <v>1</v>
      </c>
      <c r="U87" s="33">
        <f t="shared" si="38"/>
        <v>0</v>
      </c>
      <c r="V87" s="33">
        <f t="shared" si="39"/>
        <v>-1.2589254102092737E-9</v>
      </c>
      <c r="W87" s="33">
        <f t="shared" si="40"/>
        <v>464.00669999874106</v>
      </c>
      <c r="X87" s="33">
        <v>96485</v>
      </c>
      <c r="Y87" s="16">
        <f t="shared" si="41"/>
        <v>-2.6177944888375825E-7</v>
      </c>
      <c r="Z87" s="16">
        <v>10</v>
      </c>
      <c r="AA87" s="16">
        <v>17</v>
      </c>
      <c r="AB87" s="8">
        <f t="shared" si="42"/>
        <v>0.37151702786377711</v>
      </c>
      <c r="AC87" s="16">
        <f t="shared" si="43"/>
        <v>69.611063805759713</v>
      </c>
      <c r="AD87" s="20">
        <f>'PFAS Properties'!$W$26</f>
        <v>8</v>
      </c>
      <c r="AE87" s="8">
        <f>'PFAS Properties'!$S$26</f>
        <v>1.8286598965353198</v>
      </c>
      <c r="AF87" s="2">
        <f>'PFAS Properties'!$V$26</f>
        <v>5.7</v>
      </c>
      <c r="AG87" s="24">
        <v>5.3</v>
      </c>
      <c r="AH87" s="2" t="s">
        <v>122</v>
      </c>
      <c r="AI87" s="2" t="s">
        <v>661</v>
      </c>
      <c r="AJ87" s="2" t="s">
        <v>661</v>
      </c>
      <c r="AK87" s="2" t="s">
        <v>661</v>
      </c>
      <c r="AL87" s="2" t="s">
        <v>661</v>
      </c>
      <c r="AM87" s="2" t="s">
        <v>661</v>
      </c>
      <c r="AN87" s="2" t="s">
        <v>661</v>
      </c>
      <c r="AO87" s="2" t="s">
        <v>661</v>
      </c>
      <c r="AP87" s="15">
        <v>10.9</v>
      </c>
      <c r="AQ87" s="2" t="s">
        <v>661</v>
      </c>
      <c r="AR87" s="16">
        <v>32</v>
      </c>
      <c r="AS87" s="16">
        <v>50</v>
      </c>
      <c r="AT87" s="16">
        <v>18</v>
      </c>
      <c r="AU87" s="2" t="s">
        <v>661</v>
      </c>
      <c r="AV87" s="16">
        <f t="shared" si="37"/>
        <v>100</v>
      </c>
      <c r="AW87" s="20">
        <v>8.18</v>
      </c>
      <c r="AX87" s="13">
        <f>AW87/100</f>
        <v>8.1799999999999998E-2</v>
      </c>
      <c r="AY87" s="8" t="s">
        <v>184</v>
      </c>
      <c r="AZ87" s="16">
        <f>1/0.04</f>
        <v>25</v>
      </c>
      <c r="BA87" s="16">
        <f>1/0.01</f>
        <v>100</v>
      </c>
      <c r="BB87" s="2">
        <v>180</v>
      </c>
      <c r="BC87" s="16">
        <v>1800</v>
      </c>
      <c r="BD87" s="25">
        <v>448.9</v>
      </c>
      <c r="BE87" s="16">
        <f t="shared" si="48"/>
        <v>5487.7750611246938</v>
      </c>
      <c r="BF87" s="16">
        <f t="shared" si="49"/>
        <v>3.7393963017303298</v>
      </c>
      <c r="BG87" s="8">
        <f t="shared" si="50"/>
        <v>2.6521496054016529</v>
      </c>
      <c r="BH87" s="13" t="s">
        <v>389</v>
      </c>
      <c r="BI87" s="13"/>
      <c r="BJ87" s="13"/>
      <c r="BK87" s="13"/>
      <c r="BL87" s="13"/>
      <c r="BM87" s="17"/>
      <c r="BN87" s="17"/>
      <c r="BO87" s="2"/>
    </row>
    <row r="88" spans="1:67" s="14" customFormat="1" x14ac:dyDescent="0.3">
      <c r="A88" s="20">
        <v>86</v>
      </c>
      <c r="B88" s="2" t="s">
        <v>283</v>
      </c>
      <c r="C88" s="2">
        <v>2005</v>
      </c>
      <c r="D88" s="2" t="s">
        <v>203</v>
      </c>
      <c r="E88" s="10" t="s">
        <v>284</v>
      </c>
      <c r="F88" s="20" t="s">
        <v>29</v>
      </c>
      <c r="G88" s="2" t="s">
        <v>289</v>
      </c>
      <c r="H88" s="2" t="str">
        <f>'PFAS Properties'!$B$26</f>
        <v>8:2 FTOH</v>
      </c>
      <c r="I88" s="2" t="str">
        <f>'PFAS Properties'!$C$26</f>
        <v>FTOH</v>
      </c>
      <c r="J88" s="2" t="str">
        <f>'PFAS Properties'!$D$26</f>
        <v>C10H5F17O</v>
      </c>
      <c r="K88" s="25">
        <f>'PFAS Properties'!$P$26</f>
        <v>464.00669999999997</v>
      </c>
      <c r="L88" s="2">
        <f>'PFAS Properties'!$X$26</f>
        <v>14.2</v>
      </c>
      <c r="M88" s="2" t="str">
        <f>'PFAS Properties'!$Y$26</f>
        <v>-</v>
      </c>
      <c r="N88" s="33">
        <v>0</v>
      </c>
      <c r="O88" s="33">
        <v>0</v>
      </c>
      <c r="P88" s="33">
        <v>0</v>
      </c>
      <c r="Q88" s="33">
        <f t="shared" si="51"/>
        <v>1.9952619168617886E-7</v>
      </c>
      <c r="R88" s="33">
        <v>0</v>
      </c>
      <c r="S88" s="33">
        <f t="shared" si="52"/>
        <v>0.99999980047380832</v>
      </c>
      <c r="T88" s="8">
        <f t="shared" si="53"/>
        <v>1</v>
      </c>
      <c r="U88" s="33">
        <f t="shared" si="38"/>
        <v>0</v>
      </c>
      <c r="V88" s="33">
        <f t="shared" si="39"/>
        <v>-1.9952619168617886E-7</v>
      </c>
      <c r="W88" s="33">
        <f t="shared" si="40"/>
        <v>464.00669980047377</v>
      </c>
      <c r="X88" s="33">
        <v>96485</v>
      </c>
      <c r="Y88" s="16">
        <f t="shared" si="41"/>
        <v>-4.1489238437977636E-5</v>
      </c>
      <c r="Z88" s="16">
        <v>10</v>
      </c>
      <c r="AA88" s="16">
        <v>17</v>
      </c>
      <c r="AB88" s="8">
        <f t="shared" si="42"/>
        <v>0.37151702786377711</v>
      </c>
      <c r="AC88" s="16">
        <f t="shared" si="43"/>
        <v>69.611063805759713</v>
      </c>
      <c r="AD88" s="20">
        <f>'PFAS Properties'!$W$26</f>
        <v>8</v>
      </c>
      <c r="AE88" s="8">
        <f>'PFAS Properties'!$S$26</f>
        <v>1.8286598965353198</v>
      </c>
      <c r="AF88" s="2">
        <f>'PFAS Properties'!$V$26</f>
        <v>5.7</v>
      </c>
      <c r="AG88" s="24">
        <v>7.5</v>
      </c>
      <c r="AH88" s="2" t="s">
        <v>122</v>
      </c>
      <c r="AI88" s="2" t="s">
        <v>661</v>
      </c>
      <c r="AJ88" s="2" t="s">
        <v>661</v>
      </c>
      <c r="AK88" s="2" t="s">
        <v>661</v>
      </c>
      <c r="AL88" s="2" t="s">
        <v>661</v>
      </c>
      <c r="AM88" s="2" t="s">
        <v>661</v>
      </c>
      <c r="AN88" s="2" t="s">
        <v>661</v>
      </c>
      <c r="AO88" s="2" t="s">
        <v>661</v>
      </c>
      <c r="AP88" s="15">
        <v>38.200000000000003</v>
      </c>
      <c r="AQ88" s="2" t="s">
        <v>661</v>
      </c>
      <c r="AR88" s="16">
        <v>38</v>
      </c>
      <c r="AS88" s="16">
        <v>28</v>
      </c>
      <c r="AT88" s="16">
        <v>34</v>
      </c>
      <c r="AU88" s="2" t="s">
        <v>661</v>
      </c>
      <c r="AV88" s="16">
        <f t="shared" si="37"/>
        <v>100</v>
      </c>
      <c r="AW88" s="20">
        <v>4.5999999999999996</v>
      </c>
      <c r="AX88" s="13">
        <f>AW88/100</f>
        <v>4.5999999999999999E-2</v>
      </c>
      <c r="AY88" s="8" t="s">
        <v>184</v>
      </c>
      <c r="AZ88" s="16">
        <f>1/0.04</f>
        <v>25</v>
      </c>
      <c r="BA88" s="16">
        <f>1/0.01</f>
        <v>100</v>
      </c>
      <c r="BB88" s="2">
        <v>180</v>
      </c>
      <c r="BC88" s="16">
        <v>1800</v>
      </c>
      <c r="BD88" s="20">
        <v>274</v>
      </c>
      <c r="BE88" s="16">
        <f t="shared" si="48"/>
        <v>5956.521739130435</v>
      </c>
      <c r="BF88" s="16">
        <f t="shared" si="49"/>
        <v>3.7749927311388141</v>
      </c>
      <c r="BG88" s="8">
        <f t="shared" si="50"/>
        <v>2.4377505628203879</v>
      </c>
      <c r="BH88" s="13" t="s">
        <v>389</v>
      </c>
      <c r="BI88" s="13"/>
      <c r="BJ88" s="13"/>
      <c r="BK88" s="13"/>
      <c r="BL88" s="13"/>
      <c r="BM88" s="17"/>
      <c r="BN88" s="17"/>
      <c r="BO88" s="2"/>
    </row>
    <row r="89" spans="1:67" s="14" customFormat="1" x14ac:dyDescent="0.3">
      <c r="A89" s="20">
        <v>87</v>
      </c>
      <c r="B89" s="2" t="s">
        <v>283</v>
      </c>
      <c r="C89" s="2">
        <v>2007</v>
      </c>
      <c r="D89" s="2" t="s">
        <v>203</v>
      </c>
      <c r="E89" s="75" t="s">
        <v>292</v>
      </c>
      <c r="F89" s="20" t="s">
        <v>29</v>
      </c>
      <c r="G89" s="2" t="s">
        <v>288</v>
      </c>
      <c r="H89" s="2" t="str">
        <f>'PFAS Properties'!$B$27</f>
        <v>10:2 FTOH</v>
      </c>
      <c r="I89" s="2" t="str">
        <f>'PFAS Properties'!$C$27</f>
        <v>FTOH</v>
      </c>
      <c r="J89" s="2" t="str">
        <f>'PFAS Properties'!$D$27</f>
        <v>C12H5F21O</v>
      </c>
      <c r="K89" s="25">
        <f>'PFAS Properties'!$P$27</f>
        <v>564.00030000000004</v>
      </c>
      <c r="L89" s="2">
        <f>'PFAS Properties'!$X$27</f>
        <v>14.2</v>
      </c>
      <c r="M89" s="2" t="str">
        <f>'PFAS Properties'!$Y$27</f>
        <v>-</v>
      </c>
      <c r="N89" s="33">
        <v>0</v>
      </c>
      <c r="O89" s="33">
        <v>0</v>
      </c>
      <c r="P89" s="33">
        <v>0</v>
      </c>
      <c r="Q89" s="33">
        <f t="shared" si="51"/>
        <v>1.2589254102092737E-9</v>
      </c>
      <c r="R89" s="33">
        <v>0</v>
      </c>
      <c r="S89" s="33">
        <f t="shared" si="52"/>
        <v>0.99999999874107459</v>
      </c>
      <c r="T89" s="8">
        <f t="shared" si="53"/>
        <v>1</v>
      </c>
      <c r="U89" s="33">
        <f t="shared" si="38"/>
        <v>0</v>
      </c>
      <c r="V89" s="33">
        <f t="shared" si="39"/>
        <v>-1.2589254102092737E-9</v>
      </c>
      <c r="W89" s="33">
        <f t="shared" si="40"/>
        <v>564.00029999874107</v>
      </c>
      <c r="X89" s="33">
        <v>96485</v>
      </c>
      <c r="Y89" s="16">
        <f t="shared" si="41"/>
        <v>-2.1536764821634478E-7</v>
      </c>
      <c r="Z89" s="16">
        <v>12</v>
      </c>
      <c r="AA89" s="16">
        <v>21</v>
      </c>
      <c r="AB89" s="8">
        <f t="shared" si="42"/>
        <v>0.36090225563909772</v>
      </c>
      <c r="AC89" s="16">
        <f t="shared" si="43"/>
        <v>70.744643220934449</v>
      </c>
      <c r="AD89" s="20">
        <f>'PFAS Properties'!$W$27</f>
        <v>10</v>
      </c>
      <c r="AE89" s="8">
        <f>'PFAS Properties'!$S$27</f>
        <v>-0.10237290870955855</v>
      </c>
      <c r="AF89" s="2">
        <f>'PFAS Properties'!$V$27</f>
        <v>7.1</v>
      </c>
      <c r="AG89" s="24">
        <v>5.3</v>
      </c>
      <c r="AH89" s="2" t="s">
        <v>122</v>
      </c>
      <c r="AI89" s="2" t="s">
        <v>661</v>
      </c>
      <c r="AJ89" s="2" t="s">
        <v>661</v>
      </c>
      <c r="AK89" s="2" t="s">
        <v>661</v>
      </c>
      <c r="AL89" s="2" t="s">
        <v>661</v>
      </c>
      <c r="AM89" s="2" t="s">
        <v>661</v>
      </c>
      <c r="AN89" s="2" t="s">
        <v>661</v>
      </c>
      <c r="AO89" s="2" t="s">
        <v>661</v>
      </c>
      <c r="AP89" s="15">
        <v>10.9</v>
      </c>
      <c r="AQ89" s="2" t="s">
        <v>661</v>
      </c>
      <c r="AR89" s="16">
        <v>32</v>
      </c>
      <c r="AS89" s="16">
        <v>50</v>
      </c>
      <c r="AT89" s="16">
        <v>18</v>
      </c>
      <c r="AU89" s="2" t="s">
        <v>661</v>
      </c>
      <c r="AV89" s="16">
        <f t="shared" si="37"/>
        <v>100</v>
      </c>
      <c r="AW89" s="20">
        <v>8.18</v>
      </c>
      <c r="AX89" s="13">
        <v>8.1799999999999998E-2</v>
      </c>
      <c r="AY89" s="8" t="s">
        <v>184</v>
      </c>
      <c r="AZ89" s="16">
        <f>1/0.1</f>
        <v>10</v>
      </c>
      <c r="BA89" s="16">
        <f>1/0.03</f>
        <v>33.333333333333336</v>
      </c>
      <c r="BB89" s="16">
        <v>10</v>
      </c>
      <c r="BC89" s="16">
        <v>1800</v>
      </c>
      <c r="BD89" s="25">
        <v>3713</v>
      </c>
      <c r="BE89" s="16">
        <f t="shared" si="48"/>
        <v>45391.198044009783</v>
      </c>
      <c r="BF89" s="16">
        <f t="shared" si="49"/>
        <v>4.6569716455548358</v>
      </c>
      <c r="BG89" s="8">
        <f t="shared" si="50"/>
        <v>3.5697249492261589</v>
      </c>
      <c r="BH89" s="13" t="s">
        <v>387</v>
      </c>
      <c r="BI89" s="8"/>
      <c r="BJ89" s="16"/>
      <c r="BK89" s="8"/>
      <c r="BL89" s="15"/>
      <c r="BM89" s="16"/>
      <c r="BN89" s="16"/>
      <c r="BO89" s="18"/>
    </row>
    <row r="90" spans="1:67" s="14" customFormat="1" x14ac:dyDescent="0.3">
      <c r="A90" s="20">
        <v>88</v>
      </c>
      <c r="B90" s="2" t="s">
        <v>283</v>
      </c>
      <c r="C90" s="2">
        <v>2007</v>
      </c>
      <c r="D90" s="2" t="s">
        <v>203</v>
      </c>
      <c r="E90" s="74" t="s">
        <v>292</v>
      </c>
      <c r="F90" s="20" t="s">
        <v>29</v>
      </c>
      <c r="G90" s="2" t="s">
        <v>286</v>
      </c>
      <c r="H90" s="2" t="str">
        <f>'PFAS Properties'!$B$27</f>
        <v>10:2 FTOH</v>
      </c>
      <c r="I90" s="2" t="str">
        <f>'PFAS Properties'!$C$27</f>
        <v>FTOH</v>
      </c>
      <c r="J90" s="2" t="str">
        <f>'PFAS Properties'!$D$27</f>
        <v>C12H5F21O</v>
      </c>
      <c r="K90" s="25">
        <f>'PFAS Properties'!$P$27</f>
        <v>564.00030000000004</v>
      </c>
      <c r="L90" s="2">
        <f>'PFAS Properties'!$X$27</f>
        <v>14.2</v>
      </c>
      <c r="M90" s="2" t="str">
        <f>'PFAS Properties'!$Y$27</f>
        <v>-</v>
      </c>
      <c r="N90" s="33">
        <v>0</v>
      </c>
      <c r="O90" s="33">
        <v>0</v>
      </c>
      <c r="P90" s="33">
        <v>0</v>
      </c>
      <c r="Q90" s="33">
        <f t="shared" si="51"/>
        <v>3.9810716896860486E-9</v>
      </c>
      <c r="R90" s="33">
        <v>0</v>
      </c>
      <c r="S90" s="33">
        <f t="shared" si="52"/>
        <v>0.99999999601892831</v>
      </c>
      <c r="T90" s="8">
        <f t="shared" si="53"/>
        <v>1</v>
      </c>
      <c r="U90" s="33">
        <f t="shared" si="38"/>
        <v>0</v>
      </c>
      <c r="V90" s="33">
        <f t="shared" si="39"/>
        <v>-3.9810716896860486E-9</v>
      </c>
      <c r="W90" s="33">
        <f t="shared" si="40"/>
        <v>564.00029999601895</v>
      </c>
      <c r="X90" s="33">
        <v>96485</v>
      </c>
      <c r="Y90" s="16">
        <f t="shared" si="41"/>
        <v>-6.8105230082691391E-7</v>
      </c>
      <c r="Z90" s="16">
        <v>12</v>
      </c>
      <c r="AA90" s="16">
        <v>21</v>
      </c>
      <c r="AB90" s="8">
        <f t="shared" si="42"/>
        <v>0.36090225563909772</v>
      </c>
      <c r="AC90" s="16">
        <f t="shared" si="43"/>
        <v>70.744643220934449</v>
      </c>
      <c r="AD90" s="20">
        <f>'PFAS Properties'!$W$27</f>
        <v>10</v>
      </c>
      <c r="AE90" s="8">
        <f>'PFAS Properties'!$S$27</f>
        <v>-0.10237290870955855</v>
      </c>
      <c r="AF90" s="2">
        <f>'PFAS Properties'!$V$27</f>
        <v>7.1</v>
      </c>
      <c r="AG90" s="24">
        <v>5.8</v>
      </c>
      <c r="AH90" s="2" t="s">
        <v>122</v>
      </c>
      <c r="AI90" s="2" t="s">
        <v>661</v>
      </c>
      <c r="AJ90" s="2" t="s">
        <v>661</v>
      </c>
      <c r="AK90" s="2" t="s">
        <v>661</v>
      </c>
      <c r="AL90" s="2" t="s">
        <v>661</v>
      </c>
      <c r="AM90" s="2" t="s">
        <v>661</v>
      </c>
      <c r="AN90" s="2" t="s">
        <v>661</v>
      </c>
      <c r="AO90" s="2" t="s">
        <v>661</v>
      </c>
      <c r="AP90" s="15">
        <v>23.3</v>
      </c>
      <c r="AQ90" s="2" t="s">
        <v>661</v>
      </c>
      <c r="AR90" s="16">
        <v>21</v>
      </c>
      <c r="AS90" s="16">
        <v>43</v>
      </c>
      <c r="AT90" s="16">
        <v>36</v>
      </c>
      <c r="AU90" s="2" t="s">
        <v>661</v>
      </c>
      <c r="AV90" s="16">
        <f t="shared" si="37"/>
        <v>100</v>
      </c>
      <c r="AW90" s="20">
        <v>2.5</v>
      </c>
      <c r="AX90" s="13">
        <v>2.5000000000000001E-2</v>
      </c>
      <c r="AY90" s="8" t="s">
        <v>184</v>
      </c>
      <c r="AZ90" s="16">
        <f>1/0.1</f>
        <v>10</v>
      </c>
      <c r="BA90" s="16">
        <f>1/0.03</f>
        <v>33.333333333333336</v>
      </c>
      <c r="BB90" s="16">
        <v>10</v>
      </c>
      <c r="BC90" s="16">
        <v>1800</v>
      </c>
      <c r="BD90" s="25">
        <v>2051</v>
      </c>
      <c r="BE90" s="16">
        <f t="shared" si="48"/>
        <v>82040</v>
      </c>
      <c r="BF90" s="16">
        <f t="shared" si="49"/>
        <v>4.9140256516963285</v>
      </c>
      <c r="BG90" s="8">
        <f t="shared" si="50"/>
        <v>3.3119656603683665</v>
      </c>
      <c r="BH90" s="13" t="s">
        <v>387</v>
      </c>
      <c r="BI90" s="8"/>
      <c r="BJ90" s="16"/>
      <c r="BK90" s="8"/>
      <c r="BL90" s="15"/>
      <c r="BM90" s="16"/>
      <c r="BN90" s="16"/>
      <c r="BO90" s="18"/>
    </row>
    <row r="91" spans="1:67" s="14" customFormat="1" x14ac:dyDescent="0.3">
      <c r="A91" s="20">
        <v>89</v>
      </c>
      <c r="B91" s="2" t="s">
        <v>283</v>
      </c>
      <c r="C91" s="2">
        <v>2007</v>
      </c>
      <c r="D91" s="2" t="s">
        <v>203</v>
      </c>
      <c r="E91" s="10" t="s">
        <v>292</v>
      </c>
      <c r="F91" s="20" t="s">
        <v>29</v>
      </c>
      <c r="G91" s="2" t="s">
        <v>287</v>
      </c>
      <c r="H91" s="2" t="str">
        <f>'PFAS Properties'!$B$27</f>
        <v>10:2 FTOH</v>
      </c>
      <c r="I91" s="2" t="str">
        <f>'PFAS Properties'!$C$27</f>
        <v>FTOH</v>
      </c>
      <c r="J91" s="2" t="str">
        <f>'PFAS Properties'!$D$27</f>
        <v>C12H5F21O</v>
      </c>
      <c r="K91" s="25">
        <f>'PFAS Properties'!$P$27</f>
        <v>564.00030000000004</v>
      </c>
      <c r="L91" s="2">
        <f>'PFAS Properties'!$X$27</f>
        <v>14.2</v>
      </c>
      <c r="M91" s="2" t="str">
        <f>'PFAS Properties'!$Y$27</f>
        <v>-</v>
      </c>
      <c r="N91" s="33">
        <v>0</v>
      </c>
      <c r="O91" s="33">
        <v>0</v>
      </c>
      <c r="P91" s="33">
        <v>0</v>
      </c>
      <c r="Q91" s="33">
        <f t="shared" si="51"/>
        <v>1.5848931922099271E-10</v>
      </c>
      <c r="R91" s="33">
        <v>0</v>
      </c>
      <c r="S91" s="33">
        <f t="shared" si="52"/>
        <v>0.99999999984151078</v>
      </c>
      <c r="T91" s="8">
        <f t="shared" si="53"/>
        <v>1</v>
      </c>
      <c r="U91" s="33">
        <f t="shared" si="38"/>
        <v>0</v>
      </c>
      <c r="V91" s="33">
        <f t="shared" si="39"/>
        <v>-1.5848931922099271E-10</v>
      </c>
      <c r="W91" s="33">
        <f t="shared" si="40"/>
        <v>564.00029999984156</v>
      </c>
      <c r="X91" s="33">
        <v>96485</v>
      </c>
      <c r="Y91" s="16">
        <f t="shared" si="41"/>
        <v>-2.711318055157378E-8</v>
      </c>
      <c r="Z91" s="16">
        <v>12</v>
      </c>
      <c r="AA91" s="16">
        <v>21</v>
      </c>
      <c r="AB91" s="8">
        <f t="shared" si="42"/>
        <v>0.36090225563909772</v>
      </c>
      <c r="AC91" s="16">
        <f t="shared" si="43"/>
        <v>70.744643220934449</v>
      </c>
      <c r="AD91" s="20">
        <f>'PFAS Properties'!$W$27</f>
        <v>10</v>
      </c>
      <c r="AE91" s="8">
        <f>'PFAS Properties'!$S$27</f>
        <v>-0.10237290870955855</v>
      </c>
      <c r="AF91" s="2">
        <f>'PFAS Properties'!$V$27</f>
        <v>7.1</v>
      </c>
      <c r="AG91" s="24">
        <v>4.4000000000000004</v>
      </c>
      <c r="AH91" s="2" t="s">
        <v>122</v>
      </c>
      <c r="AI91" s="2" t="s">
        <v>661</v>
      </c>
      <c r="AJ91" s="2" t="s">
        <v>661</v>
      </c>
      <c r="AK91" s="2" t="s">
        <v>661</v>
      </c>
      <c r="AL91" s="2" t="s">
        <v>661</v>
      </c>
      <c r="AM91" s="2" t="s">
        <v>661</v>
      </c>
      <c r="AN91" s="2" t="s">
        <v>661</v>
      </c>
      <c r="AO91" s="2" t="s">
        <v>661</v>
      </c>
      <c r="AP91" s="15">
        <v>3.8</v>
      </c>
      <c r="AQ91" s="2" t="s">
        <v>661</v>
      </c>
      <c r="AR91" s="16">
        <v>92</v>
      </c>
      <c r="AS91" s="16">
        <v>4</v>
      </c>
      <c r="AT91" s="16">
        <v>4</v>
      </c>
      <c r="AU91" s="2" t="s">
        <v>661</v>
      </c>
      <c r="AV91" s="16">
        <f t="shared" si="37"/>
        <v>100</v>
      </c>
      <c r="AW91" s="20">
        <v>0.52</v>
      </c>
      <c r="AX91" s="13">
        <v>5.1999999999999998E-3</v>
      </c>
      <c r="AY91" s="8" t="s">
        <v>184</v>
      </c>
      <c r="AZ91" s="16">
        <f>1/0.1</f>
        <v>10</v>
      </c>
      <c r="BA91" s="16">
        <f>1/0.03</f>
        <v>33.333333333333336</v>
      </c>
      <c r="BB91" s="16">
        <v>10</v>
      </c>
      <c r="BC91" s="16">
        <v>1800</v>
      </c>
      <c r="BD91" s="25">
        <v>88.9</v>
      </c>
      <c r="BE91" s="16">
        <f t="shared" si="48"/>
        <v>17096.153846153848</v>
      </c>
      <c r="BF91" s="16">
        <f t="shared" si="49"/>
        <v>4.2328984173354147</v>
      </c>
      <c r="BG91" s="8">
        <f t="shared" si="50"/>
        <v>1.9489017609702137</v>
      </c>
      <c r="BH91" s="13" t="s">
        <v>388</v>
      </c>
      <c r="BI91" s="8"/>
      <c r="BJ91" s="16"/>
      <c r="BK91" s="8"/>
      <c r="BL91" s="15"/>
      <c r="BM91" s="16"/>
      <c r="BN91" s="16"/>
      <c r="BO91" s="18"/>
    </row>
    <row r="92" spans="1:67" s="2" customFormat="1" x14ac:dyDescent="0.3">
      <c r="A92" s="20">
        <v>90</v>
      </c>
      <c r="B92" s="2" t="s">
        <v>653</v>
      </c>
      <c r="C92" s="2">
        <v>1997</v>
      </c>
      <c r="D92" s="2" t="s">
        <v>203</v>
      </c>
      <c r="E92" s="41" t="s">
        <v>790</v>
      </c>
      <c r="F92" s="20" t="s">
        <v>29</v>
      </c>
      <c r="G92" s="2" t="s">
        <v>668</v>
      </c>
      <c r="H92" s="2" t="s">
        <v>654</v>
      </c>
      <c r="I92" s="2" t="s">
        <v>565</v>
      </c>
      <c r="J92" s="2" t="str">
        <f>'PFAS Properties'!$D$28</f>
        <v>C2HF3O2</v>
      </c>
      <c r="K92" s="25">
        <f>'PFAS Properties'!$P$28</f>
        <v>113.9928</v>
      </c>
      <c r="L92" s="2">
        <f>'PFAS Properties'!$X$28</f>
        <v>-0.2</v>
      </c>
      <c r="M92" s="2" t="str">
        <f>'PFAS Properties'!$Y$28</f>
        <v>-</v>
      </c>
      <c r="N92" s="33">
        <v>0</v>
      </c>
      <c r="O92" s="33">
        <v>0</v>
      </c>
      <c r="P92" s="33">
        <v>0</v>
      </c>
      <c r="Q92" s="33">
        <f t="shared" si="51"/>
        <v>0.99999683773233983</v>
      </c>
      <c r="R92" s="33">
        <v>0</v>
      </c>
      <c r="S92" s="33">
        <f t="shared" si="52"/>
        <v>3.1622676601999995E-6</v>
      </c>
      <c r="T92" s="8">
        <f t="shared" ref="T92:T155" si="54">SUM(N92:S92)</f>
        <v>1</v>
      </c>
      <c r="U92" s="33">
        <f t="shared" ref="U92:U155" si="55">((1*N92)+(1*O92)+(1*P92))</f>
        <v>0</v>
      </c>
      <c r="V92" s="33">
        <f t="shared" ref="V92:V155" si="56">-((1*O92)+(2*P92)+(1*Q92)+(2*R92))</f>
        <v>-0.99999683773233983</v>
      </c>
      <c r="W92" s="33">
        <f t="shared" ref="W92:W155" si="57">(N92*(K92+1))+(O92*K92)+(P92*(K92-1))+(Q92*(K92-1))+(R92*(K92-2))+(S92*K92)</f>
        <v>112.99280316226768</v>
      </c>
      <c r="X92" s="33">
        <v>96485</v>
      </c>
      <c r="Y92" s="16">
        <f t="shared" ref="Y92:Y155" si="58">((V92+U92)/W92)*X92</f>
        <v>-853.90124139184547</v>
      </c>
      <c r="Z92" s="2">
        <v>2</v>
      </c>
      <c r="AA92" s="2">
        <v>3</v>
      </c>
      <c r="AB92" s="8">
        <f t="shared" ref="AB92:AB155" si="59">(Z92/AA92)*(12/19)</f>
        <v>0.42105263157894735</v>
      </c>
      <c r="AC92" s="16">
        <f t="shared" si="43"/>
        <v>50.00315809419542</v>
      </c>
      <c r="AD92" s="20">
        <v>1</v>
      </c>
      <c r="AE92" s="8">
        <f>'PFAS Properties'!$S$28</f>
        <v>7.9887818434536406</v>
      </c>
      <c r="AF92" s="8">
        <f>'PFAS Properties'!$V$28</f>
        <v>0.9</v>
      </c>
      <c r="AG92" s="24">
        <v>5.3</v>
      </c>
      <c r="AH92" s="2" t="s">
        <v>655</v>
      </c>
      <c r="AI92" s="2" t="s">
        <v>661</v>
      </c>
      <c r="AJ92" s="2" t="s">
        <v>661</v>
      </c>
      <c r="AK92" s="2" t="s">
        <v>661</v>
      </c>
      <c r="AL92" s="2" t="s">
        <v>661</v>
      </c>
      <c r="AM92" s="2" t="s">
        <v>661</v>
      </c>
      <c r="AN92" s="2" t="s">
        <v>661</v>
      </c>
      <c r="AO92" s="2" t="s">
        <v>661</v>
      </c>
      <c r="AP92" s="15">
        <v>63.6</v>
      </c>
      <c r="AQ92" s="2" t="s">
        <v>689</v>
      </c>
      <c r="AR92" s="71">
        <v>29.444759999999999</v>
      </c>
      <c r="AS92" s="71">
        <v>36.921840000000003</v>
      </c>
      <c r="AT92" s="16">
        <v>33.395319999999998</v>
      </c>
      <c r="AU92" s="70" t="s">
        <v>752</v>
      </c>
      <c r="AV92" s="16">
        <f t="shared" si="37"/>
        <v>99.761920000000003</v>
      </c>
      <c r="AW92" s="18">
        <v>41.25</v>
      </c>
      <c r="AX92" s="13">
        <f t="shared" ref="AX92:AX123" si="60">AW92/100</f>
        <v>0.41249999999999998</v>
      </c>
      <c r="AY92" s="2" t="s">
        <v>658</v>
      </c>
      <c r="AZ92" s="16">
        <f>1/(0.005)</f>
        <v>200</v>
      </c>
      <c r="BA92" s="16" t="s">
        <v>55</v>
      </c>
      <c r="BB92" s="8">
        <f t="shared" ref="BB92:BB111" si="61">(2*137.02)/1000</f>
        <v>0.27404000000000001</v>
      </c>
      <c r="BC92" s="8">
        <f t="shared" ref="BC92:BC111" si="62">(40*137.02)/1000</f>
        <v>5.4808000000000003</v>
      </c>
      <c r="BD92" s="20">
        <v>11</v>
      </c>
      <c r="BE92" s="16">
        <f t="shared" ref="BE92:BE123" si="63">BD92/AX92</f>
        <v>26.666666666666668</v>
      </c>
      <c r="BF92" s="8">
        <f t="shared" ref="BF92:BF155" si="64">LOG(BE92)</f>
        <v>1.4259687322722812</v>
      </c>
      <c r="BG92" s="8">
        <f t="shared" ref="BG92:BG123" si="65">LOG(BD92)</f>
        <v>1.0413926851582251</v>
      </c>
      <c r="BH92" s="2" t="s">
        <v>678</v>
      </c>
      <c r="BM92" s="20"/>
      <c r="BN92" s="20"/>
    </row>
    <row r="93" spans="1:67" s="14" customFormat="1" x14ac:dyDescent="0.3">
      <c r="A93" s="20">
        <v>91</v>
      </c>
      <c r="B93" s="2" t="s">
        <v>653</v>
      </c>
      <c r="C93" s="2">
        <v>1997</v>
      </c>
      <c r="D93" s="2" t="s">
        <v>203</v>
      </c>
      <c r="E93" s="41" t="s">
        <v>790</v>
      </c>
      <c r="F93" s="20" t="s">
        <v>29</v>
      </c>
      <c r="G93" s="2" t="s">
        <v>669</v>
      </c>
      <c r="H93" s="2" t="s">
        <v>654</v>
      </c>
      <c r="I93" s="2" t="s">
        <v>565</v>
      </c>
      <c r="J93" s="2" t="str">
        <f>'PFAS Properties'!$D$28</f>
        <v>C2HF3O2</v>
      </c>
      <c r="K93" s="25">
        <f>'PFAS Properties'!$P$28</f>
        <v>113.9928</v>
      </c>
      <c r="L93" s="2">
        <f>'PFAS Properties'!$X$28</f>
        <v>-0.2</v>
      </c>
      <c r="M93" s="2" t="str">
        <f>'PFAS Properties'!$Y$28</f>
        <v>-</v>
      </c>
      <c r="N93" s="33">
        <v>0</v>
      </c>
      <c r="O93" s="33">
        <v>0</v>
      </c>
      <c r="P93" s="33">
        <v>0</v>
      </c>
      <c r="Q93" s="33">
        <f t="shared" si="51"/>
        <v>0.99998451207369043</v>
      </c>
      <c r="R93" s="33">
        <v>0</v>
      </c>
      <c r="S93" s="33">
        <f t="shared" si="52"/>
        <v>1.5487926309548176E-5</v>
      </c>
      <c r="T93" s="8">
        <f t="shared" si="54"/>
        <v>1</v>
      </c>
      <c r="U93" s="33">
        <f t="shared" si="55"/>
        <v>0</v>
      </c>
      <c r="V93" s="33">
        <f t="shared" si="56"/>
        <v>-0.99998451207369043</v>
      </c>
      <c r="W93" s="33">
        <f t="shared" si="57"/>
        <v>112.99281548792631</v>
      </c>
      <c r="X93" s="33">
        <v>96485</v>
      </c>
      <c r="Y93" s="16">
        <f t="shared" si="58"/>
        <v>-853.89062331790137</v>
      </c>
      <c r="Z93" s="2">
        <v>2</v>
      </c>
      <c r="AA93" s="2">
        <v>3</v>
      </c>
      <c r="AB93" s="8">
        <f t="shared" si="59"/>
        <v>0.42105263157894735</v>
      </c>
      <c r="AC93" s="16">
        <f t="shared" si="43"/>
        <v>50.00315809419542</v>
      </c>
      <c r="AD93" s="20">
        <v>1</v>
      </c>
      <c r="AE93" s="8">
        <f>'PFAS Properties'!$S$28</f>
        <v>7.9887818434536406</v>
      </c>
      <c r="AF93" s="8">
        <f>'PFAS Properties'!$V$28</f>
        <v>0.9</v>
      </c>
      <c r="AG93" s="24">
        <v>4.6100000000000003</v>
      </c>
      <c r="AH93" s="2" t="s">
        <v>655</v>
      </c>
      <c r="AI93" s="2" t="s">
        <v>661</v>
      </c>
      <c r="AJ93" s="2" t="s">
        <v>661</v>
      </c>
      <c r="AK93" s="2" t="s">
        <v>661</v>
      </c>
      <c r="AL93" s="2" t="s">
        <v>661</v>
      </c>
      <c r="AM93" s="2" t="s">
        <v>661</v>
      </c>
      <c r="AN93" s="2" t="s">
        <v>661</v>
      </c>
      <c r="AO93" s="2" t="s">
        <v>661</v>
      </c>
      <c r="AP93" s="15">
        <v>12.1</v>
      </c>
      <c r="AQ93" s="2" t="s">
        <v>689</v>
      </c>
      <c r="AR93" s="71">
        <v>31.160260000000001</v>
      </c>
      <c r="AS93" s="71">
        <v>41.962400000000002</v>
      </c>
      <c r="AT93" s="16">
        <v>26.782399999999999</v>
      </c>
      <c r="AU93" s="70" t="s">
        <v>752</v>
      </c>
      <c r="AV93" s="16">
        <f t="shared" ref="AV93:AV123" si="66">SUM(AR93:AT93)</f>
        <v>99.905059999999992</v>
      </c>
      <c r="AW93" s="18">
        <v>15.15</v>
      </c>
      <c r="AX93" s="13">
        <f t="shared" si="60"/>
        <v>0.1515</v>
      </c>
      <c r="AY93" s="2" t="s">
        <v>658</v>
      </c>
      <c r="AZ93" s="16">
        <f>1/(0.005)</f>
        <v>200</v>
      </c>
      <c r="BA93" s="16" t="s">
        <v>55</v>
      </c>
      <c r="BB93" s="8">
        <f t="shared" si="61"/>
        <v>0.27404000000000001</v>
      </c>
      <c r="BC93" s="8">
        <f t="shared" si="62"/>
        <v>5.4808000000000003</v>
      </c>
      <c r="BD93" s="20">
        <v>0.86</v>
      </c>
      <c r="BE93" s="16">
        <f t="shared" si="63"/>
        <v>5.6765676567656769</v>
      </c>
      <c r="BF93" s="8">
        <f t="shared" si="64"/>
        <v>0.75408581840524391</v>
      </c>
      <c r="BG93" s="8">
        <f t="shared" si="65"/>
        <v>-6.5501548756432285E-2</v>
      </c>
      <c r="BH93" s="2" t="s">
        <v>678</v>
      </c>
      <c r="BI93" s="2"/>
      <c r="BJ93" s="2"/>
      <c r="BK93" s="2"/>
      <c r="BL93" s="2"/>
      <c r="BM93" s="20"/>
      <c r="BN93" s="20"/>
      <c r="BO93" s="2"/>
    </row>
    <row r="94" spans="1:67" s="14" customFormat="1" x14ac:dyDescent="0.3">
      <c r="A94" s="20">
        <v>92</v>
      </c>
      <c r="B94" s="2" t="s">
        <v>653</v>
      </c>
      <c r="C94" s="2">
        <v>1997</v>
      </c>
      <c r="D94" s="2" t="s">
        <v>203</v>
      </c>
      <c r="E94" s="41" t="s">
        <v>790</v>
      </c>
      <c r="F94" s="20" t="s">
        <v>29</v>
      </c>
      <c r="G94" s="2" t="s">
        <v>670</v>
      </c>
      <c r="H94" s="2" t="s">
        <v>654</v>
      </c>
      <c r="I94" s="2" t="s">
        <v>565</v>
      </c>
      <c r="J94" s="2" t="str">
        <f>'PFAS Properties'!$D$28</f>
        <v>C2HF3O2</v>
      </c>
      <c r="K94" s="25">
        <f>'PFAS Properties'!$P$28</f>
        <v>113.9928</v>
      </c>
      <c r="L94" s="2">
        <f>'PFAS Properties'!$X$28</f>
        <v>-0.2</v>
      </c>
      <c r="M94" s="2" t="str">
        <f>'PFAS Properties'!$Y$28</f>
        <v>-</v>
      </c>
      <c r="N94" s="33">
        <v>0</v>
      </c>
      <c r="O94" s="33">
        <v>0</v>
      </c>
      <c r="P94" s="33">
        <v>0</v>
      </c>
      <c r="Q94" s="33">
        <f t="shared" si="51"/>
        <v>0.99995635032215358</v>
      </c>
      <c r="R94" s="33">
        <v>0</v>
      </c>
      <c r="S94" s="33">
        <f t="shared" si="52"/>
        <v>4.3649677846471338E-5</v>
      </c>
      <c r="T94" s="8">
        <f t="shared" si="54"/>
        <v>1</v>
      </c>
      <c r="U94" s="33">
        <f t="shared" si="55"/>
        <v>0</v>
      </c>
      <c r="V94" s="33">
        <f t="shared" si="56"/>
        <v>-0.99995635032215358</v>
      </c>
      <c r="W94" s="33">
        <f t="shared" si="57"/>
        <v>112.99284364967785</v>
      </c>
      <c r="X94" s="33">
        <v>96485</v>
      </c>
      <c r="Y94" s="16">
        <f t="shared" si="58"/>
        <v>-853.86636307659705</v>
      </c>
      <c r="Z94" s="2">
        <v>2</v>
      </c>
      <c r="AA94" s="2">
        <v>3</v>
      </c>
      <c r="AB94" s="8">
        <f t="shared" si="59"/>
        <v>0.42105263157894735</v>
      </c>
      <c r="AC94" s="16">
        <f t="shared" si="43"/>
        <v>50.00315809419542</v>
      </c>
      <c r="AD94" s="20">
        <v>1</v>
      </c>
      <c r="AE94" s="8">
        <f>'PFAS Properties'!$S$28</f>
        <v>7.9887818434536406</v>
      </c>
      <c r="AF94" s="8">
        <f>'PFAS Properties'!$V$28</f>
        <v>0.9</v>
      </c>
      <c r="AG94" s="24">
        <v>4.16</v>
      </c>
      <c r="AH94" s="2" t="s">
        <v>655</v>
      </c>
      <c r="AI94" s="2" t="s">
        <v>661</v>
      </c>
      <c r="AJ94" s="2" t="s">
        <v>661</v>
      </c>
      <c r="AK94" s="2" t="s">
        <v>661</v>
      </c>
      <c r="AL94" s="2" t="s">
        <v>661</v>
      </c>
      <c r="AM94" s="2" t="s">
        <v>661</v>
      </c>
      <c r="AN94" s="2" t="s">
        <v>661</v>
      </c>
      <c r="AO94" s="2" t="s">
        <v>661</v>
      </c>
      <c r="AP94" s="15">
        <v>2.1</v>
      </c>
      <c r="AQ94" s="2" t="s">
        <v>689</v>
      </c>
      <c r="AR94" s="71">
        <v>48.229533331999988</v>
      </c>
      <c r="AS94" s="71">
        <v>27.424466668000001</v>
      </c>
      <c r="AT94" s="16">
        <v>24.326000000000001</v>
      </c>
      <c r="AU94" s="70" t="s">
        <v>752</v>
      </c>
      <c r="AV94" s="16">
        <f t="shared" si="66"/>
        <v>99.97999999999999</v>
      </c>
      <c r="AW94" s="18">
        <v>4.7</v>
      </c>
      <c r="AX94" s="13">
        <f t="shared" si="60"/>
        <v>4.7E-2</v>
      </c>
      <c r="AY94" s="2" t="s">
        <v>658</v>
      </c>
      <c r="AZ94" s="16">
        <f>1/(0.02)</f>
        <v>50</v>
      </c>
      <c r="BA94" s="2" t="s">
        <v>55</v>
      </c>
      <c r="BB94" s="8">
        <f t="shared" si="61"/>
        <v>0.27404000000000001</v>
      </c>
      <c r="BC94" s="8">
        <f t="shared" si="62"/>
        <v>5.4808000000000003</v>
      </c>
      <c r="BD94" s="20">
        <v>1.5</v>
      </c>
      <c r="BE94" s="16">
        <f t="shared" si="63"/>
        <v>31.914893617021278</v>
      </c>
      <c r="BF94" s="8">
        <f t="shared" si="64"/>
        <v>1.5039934011199638</v>
      </c>
      <c r="BG94" s="8">
        <f t="shared" si="65"/>
        <v>0.17609125905568124</v>
      </c>
      <c r="BH94" s="2" t="s">
        <v>678</v>
      </c>
      <c r="BI94" s="2"/>
      <c r="BJ94" s="2"/>
      <c r="BK94" s="2"/>
      <c r="BL94" s="2"/>
      <c r="BM94" s="20"/>
      <c r="BN94" s="20"/>
      <c r="BO94" s="2"/>
    </row>
    <row r="95" spans="1:67" s="14" customFormat="1" x14ac:dyDescent="0.3">
      <c r="A95" s="20">
        <v>93</v>
      </c>
      <c r="B95" s="2" t="s">
        <v>653</v>
      </c>
      <c r="C95" s="2">
        <v>1997</v>
      </c>
      <c r="D95" s="2" t="s">
        <v>203</v>
      </c>
      <c r="E95" s="41" t="s">
        <v>790</v>
      </c>
      <c r="F95" s="20" t="s">
        <v>29</v>
      </c>
      <c r="G95" s="2" t="s">
        <v>671</v>
      </c>
      <c r="H95" s="2" t="s">
        <v>654</v>
      </c>
      <c r="I95" s="2" t="s">
        <v>565</v>
      </c>
      <c r="J95" s="2" t="str">
        <f>'PFAS Properties'!$D$28</f>
        <v>C2HF3O2</v>
      </c>
      <c r="K95" s="25">
        <f>'PFAS Properties'!$P$28</f>
        <v>113.9928</v>
      </c>
      <c r="L95" s="2">
        <f>'PFAS Properties'!$X$28</f>
        <v>-0.2</v>
      </c>
      <c r="M95" s="2" t="str">
        <f>'PFAS Properties'!$Y$28</f>
        <v>-</v>
      </c>
      <c r="N95" s="33">
        <v>0</v>
      </c>
      <c r="O95" s="33">
        <v>0</v>
      </c>
      <c r="P95" s="33">
        <v>0</v>
      </c>
      <c r="Q95" s="33">
        <f t="shared" si="51"/>
        <v>0.99996019086777477</v>
      </c>
      <c r="R95" s="33">
        <v>0</v>
      </c>
      <c r="S95" s="33">
        <f t="shared" si="52"/>
        <v>3.9809132225250393E-5</v>
      </c>
      <c r="T95" s="8">
        <f t="shared" si="54"/>
        <v>1</v>
      </c>
      <c r="U95" s="33">
        <f t="shared" si="55"/>
        <v>0</v>
      </c>
      <c r="V95" s="33">
        <f t="shared" si="56"/>
        <v>-0.99996019086777477</v>
      </c>
      <c r="W95" s="33">
        <f t="shared" si="57"/>
        <v>112.99283980913224</v>
      </c>
      <c r="X95" s="33">
        <v>96485</v>
      </c>
      <c r="Y95" s="16">
        <f t="shared" si="58"/>
        <v>-853.86967155488298</v>
      </c>
      <c r="Z95" s="2">
        <v>2</v>
      </c>
      <c r="AA95" s="2">
        <v>3</v>
      </c>
      <c r="AB95" s="8">
        <f t="shared" si="59"/>
        <v>0.42105263157894735</v>
      </c>
      <c r="AC95" s="16">
        <f t="shared" si="43"/>
        <v>50.00315809419542</v>
      </c>
      <c r="AD95" s="20">
        <v>1</v>
      </c>
      <c r="AE95" s="8">
        <f>'PFAS Properties'!$S$28</f>
        <v>7.9887818434536406</v>
      </c>
      <c r="AF95" s="8">
        <f>'PFAS Properties'!$V$28</f>
        <v>0.9</v>
      </c>
      <c r="AG95" s="24">
        <v>4.2</v>
      </c>
      <c r="AH95" s="2" t="s">
        <v>655</v>
      </c>
      <c r="AI95" s="2" t="s">
        <v>661</v>
      </c>
      <c r="AJ95" s="2" t="s">
        <v>661</v>
      </c>
      <c r="AK95" s="2" t="s">
        <v>661</v>
      </c>
      <c r="AL95" s="2" t="s">
        <v>661</v>
      </c>
      <c r="AM95" s="2" t="s">
        <v>661</v>
      </c>
      <c r="AN95" s="2" t="s">
        <v>661</v>
      </c>
      <c r="AO95" s="2" t="s">
        <v>661</v>
      </c>
      <c r="AP95" s="15">
        <v>1.4</v>
      </c>
      <c r="AQ95" s="2" t="s">
        <v>689</v>
      </c>
      <c r="AR95" s="71">
        <v>53.058466663999987</v>
      </c>
      <c r="AS95" s="71">
        <v>24.137800001399999</v>
      </c>
      <c r="AT95" s="16">
        <v>23.219333336599998</v>
      </c>
      <c r="AU95" s="70" t="s">
        <v>752</v>
      </c>
      <c r="AV95" s="16">
        <f t="shared" si="66"/>
        <v>100.41560000199999</v>
      </c>
      <c r="AW95" s="18">
        <v>3.1</v>
      </c>
      <c r="AX95" s="13">
        <f t="shared" si="60"/>
        <v>3.1E-2</v>
      </c>
      <c r="AY95" s="2" t="s">
        <v>658</v>
      </c>
      <c r="AZ95" s="16">
        <f>1/(0.02)</f>
        <v>50</v>
      </c>
      <c r="BA95" s="2" t="s">
        <v>55</v>
      </c>
      <c r="BB95" s="8">
        <f t="shared" si="61"/>
        <v>0.27404000000000001</v>
      </c>
      <c r="BC95" s="8">
        <f t="shared" si="62"/>
        <v>5.4808000000000003</v>
      </c>
      <c r="BD95" s="20">
        <v>0.68</v>
      </c>
      <c r="BE95" s="16">
        <f t="shared" si="63"/>
        <v>21.935483870967744</v>
      </c>
      <c r="BF95" s="8">
        <f t="shared" si="64"/>
        <v>1.3411472188719638</v>
      </c>
      <c r="BG95" s="8">
        <f t="shared" si="65"/>
        <v>-0.16749108729376366</v>
      </c>
      <c r="BH95" s="2" t="s">
        <v>678</v>
      </c>
      <c r="BI95" s="2"/>
      <c r="BJ95" s="2"/>
      <c r="BK95" s="2"/>
      <c r="BL95" s="2"/>
      <c r="BM95" s="20"/>
      <c r="BN95" s="20"/>
      <c r="BO95" s="2"/>
    </row>
    <row r="96" spans="1:67" s="14" customFormat="1" x14ac:dyDescent="0.3">
      <c r="A96" s="20">
        <v>94</v>
      </c>
      <c r="B96" s="2" t="s">
        <v>653</v>
      </c>
      <c r="C96" s="2">
        <v>1997</v>
      </c>
      <c r="D96" s="2" t="s">
        <v>203</v>
      </c>
      <c r="E96" s="41" t="s">
        <v>790</v>
      </c>
      <c r="F96" s="20" t="s">
        <v>29</v>
      </c>
      <c r="G96" s="2" t="s">
        <v>672</v>
      </c>
      <c r="H96" s="2" t="s">
        <v>654</v>
      </c>
      <c r="I96" s="2" t="s">
        <v>565</v>
      </c>
      <c r="J96" s="2" t="str">
        <f>'PFAS Properties'!$D$28</f>
        <v>C2HF3O2</v>
      </c>
      <c r="K96" s="25">
        <f>'PFAS Properties'!$P$28</f>
        <v>113.9928</v>
      </c>
      <c r="L96" s="2">
        <f>'PFAS Properties'!$X$28</f>
        <v>-0.2</v>
      </c>
      <c r="M96" s="2" t="str">
        <f>'PFAS Properties'!$Y$28</f>
        <v>-</v>
      </c>
      <c r="N96" s="33">
        <v>0</v>
      </c>
      <c r="O96" s="33">
        <v>0</v>
      </c>
      <c r="P96" s="33">
        <v>0</v>
      </c>
      <c r="Q96" s="33">
        <f t="shared" si="51"/>
        <v>0.99995213928152571</v>
      </c>
      <c r="R96" s="33">
        <v>0</v>
      </c>
      <c r="S96" s="33">
        <f t="shared" si="52"/>
        <v>4.7860718474253574E-5</v>
      </c>
      <c r="T96" s="8">
        <f t="shared" si="54"/>
        <v>1</v>
      </c>
      <c r="U96" s="33">
        <f t="shared" si="55"/>
        <v>0</v>
      </c>
      <c r="V96" s="33">
        <f t="shared" si="56"/>
        <v>-0.99995213928152571</v>
      </c>
      <c r="W96" s="33">
        <f t="shared" si="57"/>
        <v>112.99284786071847</v>
      </c>
      <c r="X96" s="33">
        <v>96485</v>
      </c>
      <c r="Y96" s="16">
        <f t="shared" si="58"/>
        <v>-853.86273543176208</v>
      </c>
      <c r="Z96" s="2">
        <v>2</v>
      </c>
      <c r="AA96" s="2">
        <v>3</v>
      </c>
      <c r="AB96" s="8">
        <f t="shared" si="59"/>
        <v>0.42105263157894735</v>
      </c>
      <c r="AC96" s="16">
        <f t="shared" si="43"/>
        <v>50.00315809419542</v>
      </c>
      <c r="AD96" s="20">
        <v>1</v>
      </c>
      <c r="AE96" s="8">
        <f>'PFAS Properties'!$S$28</f>
        <v>7.9887818434536406</v>
      </c>
      <c r="AF96" s="8">
        <f>'PFAS Properties'!$V$28</f>
        <v>0.9</v>
      </c>
      <c r="AG96" s="24">
        <v>4.12</v>
      </c>
      <c r="AH96" s="2" t="s">
        <v>655</v>
      </c>
      <c r="AI96" s="2" t="s">
        <v>661</v>
      </c>
      <c r="AJ96" s="2" t="s">
        <v>661</v>
      </c>
      <c r="AK96" s="2" t="s">
        <v>661</v>
      </c>
      <c r="AL96" s="2" t="s">
        <v>661</v>
      </c>
      <c r="AM96" s="2" t="s">
        <v>661</v>
      </c>
      <c r="AN96" s="2" t="s">
        <v>661</v>
      </c>
      <c r="AO96" s="2" t="s">
        <v>661</v>
      </c>
      <c r="AP96" s="15">
        <v>5.4</v>
      </c>
      <c r="AQ96" s="2" t="s">
        <v>689</v>
      </c>
      <c r="AR96" s="71">
        <v>41.206433332000003</v>
      </c>
      <c r="AS96" s="71">
        <v>34.288066667999999</v>
      </c>
      <c r="AT96" s="16">
        <v>24.420400000000001</v>
      </c>
      <c r="AU96" s="70" t="s">
        <v>752</v>
      </c>
      <c r="AV96" s="16">
        <f t="shared" si="66"/>
        <v>99.914900000000003</v>
      </c>
      <c r="AW96" s="18">
        <v>12.4</v>
      </c>
      <c r="AX96" s="13">
        <f t="shared" si="60"/>
        <v>0.124</v>
      </c>
      <c r="AY96" s="2" t="s">
        <v>658</v>
      </c>
      <c r="AZ96" s="16">
        <f>1/(0.005)</f>
        <v>200</v>
      </c>
      <c r="BA96" s="16" t="s">
        <v>55</v>
      </c>
      <c r="BB96" s="8">
        <f t="shared" si="61"/>
        <v>0.27404000000000001</v>
      </c>
      <c r="BC96" s="8">
        <f t="shared" si="62"/>
        <v>5.4808000000000003</v>
      </c>
      <c r="BD96" s="20">
        <v>1.2</v>
      </c>
      <c r="BE96" s="16">
        <f t="shared" si="63"/>
        <v>9.67741935483871</v>
      </c>
      <c r="BF96" s="8">
        <f t="shared" si="64"/>
        <v>0.98575956088538974</v>
      </c>
      <c r="BG96" s="8">
        <f t="shared" si="65"/>
        <v>7.9181246047624818E-2</v>
      </c>
      <c r="BH96" s="2" t="s">
        <v>678</v>
      </c>
      <c r="BI96" s="2"/>
      <c r="BJ96" s="2"/>
      <c r="BK96" s="2"/>
      <c r="BL96" s="2"/>
      <c r="BM96" s="20"/>
      <c r="BN96" s="20"/>
      <c r="BO96" s="2"/>
    </row>
    <row r="97" spans="1:69" x14ac:dyDescent="0.3">
      <c r="A97" s="20">
        <v>95</v>
      </c>
      <c r="B97" s="2" t="s">
        <v>653</v>
      </c>
      <c r="C97" s="2">
        <v>1997</v>
      </c>
      <c r="D97" s="2" t="s">
        <v>203</v>
      </c>
      <c r="E97" s="41" t="s">
        <v>790</v>
      </c>
      <c r="F97" s="20" t="s">
        <v>29</v>
      </c>
      <c r="G97" s="2" t="s">
        <v>673</v>
      </c>
      <c r="H97" s="2" t="s">
        <v>654</v>
      </c>
      <c r="I97" s="2" t="s">
        <v>565</v>
      </c>
      <c r="J97" s="2" t="str">
        <f>'PFAS Properties'!$D$28</f>
        <v>C2HF3O2</v>
      </c>
      <c r="K97" s="25">
        <f>'PFAS Properties'!$P$28</f>
        <v>113.9928</v>
      </c>
      <c r="L97" s="2">
        <f>'PFAS Properties'!$X$28</f>
        <v>-0.2</v>
      </c>
      <c r="M97" s="2" t="str">
        <f>'PFAS Properties'!$Y$28</f>
        <v>-</v>
      </c>
      <c r="N97" s="33">
        <v>0</v>
      </c>
      <c r="O97" s="33">
        <v>0</v>
      </c>
      <c r="P97" s="33">
        <v>0</v>
      </c>
      <c r="Q97" s="33">
        <f t="shared" si="51"/>
        <v>0.99890472275147857</v>
      </c>
      <c r="R97" s="33">
        <v>0</v>
      </c>
      <c r="S97" s="33">
        <f t="shared" si="52"/>
        <v>1.0952772485214495E-3</v>
      </c>
      <c r="T97" s="8">
        <f t="shared" si="54"/>
        <v>1</v>
      </c>
      <c r="U97" s="33">
        <f t="shared" si="55"/>
        <v>0</v>
      </c>
      <c r="V97" s="33">
        <f t="shared" si="56"/>
        <v>-0.99890472275147857</v>
      </c>
      <c r="W97" s="33">
        <f t="shared" si="57"/>
        <v>112.99389527724853</v>
      </c>
      <c r="X97" s="33">
        <v>96485</v>
      </c>
      <c r="Y97" s="16">
        <f t="shared" si="58"/>
        <v>-852.96043594385685</v>
      </c>
      <c r="Z97" s="2">
        <v>2</v>
      </c>
      <c r="AA97" s="2">
        <v>3</v>
      </c>
      <c r="AB97" s="8">
        <f t="shared" si="59"/>
        <v>0.42105263157894735</v>
      </c>
      <c r="AC97" s="16">
        <f t="shared" si="43"/>
        <v>50.00315809419542</v>
      </c>
      <c r="AD97" s="20">
        <v>1</v>
      </c>
      <c r="AE97" s="8">
        <f>'PFAS Properties'!$S$28</f>
        <v>7.9887818434536406</v>
      </c>
      <c r="AF97" s="8">
        <f>'PFAS Properties'!$V$28</f>
        <v>0.9</v>
      </c>
      <c r="AG97" s="26">
        <v>2.76</v>
      </c>
      <c r="AH97" s="2" t="s">
        <v>655</v>
      </c>
      <c r="AI97" s="2" t="s">
        <v>661</v>
      </c>
      <c r="AJ97" s="2" t="s">
        <v>661</v>
      </c>
      <c r="AK97" s="2" t="s">
        <v>661</v>
      </c>
      <c r="AL97" s="2" t="s">
        <v>661</v>
      </c>
      <c r="AM97" s="2" t="s">
        <v>661</v>
      </c>
      <c r="AN97" s="2" t="s">
        <v>661</v>
      </c>
      <c r="AO97" s="2" t="s">
        <v>661</v>
      </c>
      <c r="AP97" s="73">
        <v>20.6</v>
      </c>
      <c r="AQ97" s="4" t="s">
        <v>689</v>
      </c>
      <c r="AR97" s="71">
        <v>26.27664</v>
      </c>
      <c r="AS97" s="71">
        <v>41.3538</v>
      </c>
      <c r="AT97" s="16">
        <v>32.242899999999999</v>
      </c>
      <c r="AU97" s="70" t="s">
        <v>752</v>
      </c>
      <c r="AV97" s="16">
        <f t="shared" si="66"/>
        <v>99.873339999999985</v>
      </c>
      <c r="AW97" s="18">
        <v>19.25</v>
      </c>
      <c r="AX97" s="13">
        <f t="shared" si="60"/>
        <v>0.1925</v>
      </c>
      <c r="AY97" s="1" t="s">
        <v>658</v>
      </c>
      <c r="AZ97" s="16">
        <f>1/(0.005)</f>
        <v>200</v>
      </c>
      <c r="BA97" s="16" t="s">
        <v>55</v>
      </c>
      <c r="BB97" s="8">
        <f t="shared" si="61"/>
        <v>0.27404000000000001</v>
      </c>
      <c r="BC97" s="8">
        <f t="shared" si="62"/>
        <v>5.4808000000000003</v>
      </c>
      <c r="BD97" s="7">
        <v>0.71</v>
      </c>
      <c r="BE97" s="16">
        <f t="shared" si="63"/>
        <v>3.6883116883116882</v>
      </c>
      <c r="BF97" s="8">
        <f t="shared" si="64"/>
        <v>0.5668276148745558</v>
      </c>
      <c r="BG97" s="8">
        <f t="shared" si="65"/>
        <v>-0.14874165128092473</v>
      </c>
      <c r="BH97" s="2" t="s">
        <v>678</v>
      </c>
      <c r="BI97" s="1"/>
      <c r="BJ97" s="2"/>
      <c r="BK97" s="1"/>
      <c r="BL97" s="1"/>
      <c r="BM97" s="7"/>
      <c r="BN97" s="7"/>
      <c r="BO97" s="1"/>
      <c r="BP97" s="11"/>
      <c r="BQ97" s="11"/>
    </row>
    <row r="98" spans="1:69" x14ac:dyDescent="0.3">
      <c r="A98" s="20">
        <v>96</v>
      </c>
      <c r="B98" s="2" t="s">
        <v>653</v>
      </c>
      <c r="C98" s="2">
        <v>1997</v>
      </c>
      <c r="D98" s="2" t="s">
        <v>203</v>
      </c>
      <c r="E98" s="41" t="s">
        <v>790</v>
      </c>
      <c r="F98" s="20" t="s">
        <v>29</v>
      </c>
      <c r="G98" s="2" t="s">
        <v>674</v>
      </c>
      <c r="H98" s="2" t="s">
        <v>654</v>
      </c>
      <c r="I98" s="2" t="s">
        <v>565</v>
      </c>
      <c r="J98" s="2" t="str">
        <f>'PFAS Properties'!$D$28</f>
        <v>C2HF3O2</v>
      </c>
      <c r="K98" s="25">
        <f>'PFAS Properties'!$P$28</f>
        <v>113.9928</v>
      </c>
      <c r="L98" s="2">
        <f>'PFAS Properties'!$X$28</f>
        <v>-0.2</v>
      </c>
      <c r="M98" s="2" t="str">
        <f>'PFAS Properties'!$Y$28</f>
        <v>-</v>
      </c>
      <c r="N98" s="33">
        <v>0</v>
      </c>
      <c r="O98" s="33">
        <v>0</v>
      </c>
      <c r="P98" s="33">
        <v>0</v>
      </c>
      <c r="Q98" s="33">
        <f t="shared" si="51"/>
        <v>0.99951046094649121</v>
      </c>
      <c r="R98" s="33">
        <v>0</v>
      </c>
      <c r="S98" s="33">
        <f t="shared" si="52"/>
        <v>4.8953905350878333E-4</v>
      </c>
      <c r="T98" s="8">
        <f t="shared" si="54"/>
        <v>1</v>
      </c>
      <c r="U98" s="33">
        <f t="shared" si="55"/>
        <v>0</v>
      </c>
      <c r="V98" s="33">
        <f t="shared" si="56"/>
        <v>-0.99951046094649121</v>
      </c>
      <c r="W98" s="33">
        <f t="shared" si="57"/>
        <v>112.99328953905352</v>
      </c>
      <c r="X98" s="33">
        <v>96485</v>
      </c>
      <c r="Y98" s="16">
        <f t="shared" si="58"/>
        <v>-853.4822485284908</v>
      </c>
      <c r="Z98" s="2">
        <v>2</v>
      </c>
      <c r="AA98" s="2">
        <v>3</v>
      </c>
      <c r="AB98" s="8">
        <f t="shared" si="59"/>
        <v>0.42105263157894735</v>
      </c>
      <c r="AC98" s="16">
        <f t="shared" si="43"/>
        <v>50.00315809419542</v>
      </c>
      <c r="AD98" s="20">
        <v>1</v>
      </c>
      <c r="AE98" s="8">
        <f>'PFAS Properties'!$S$28</f>
        <v>7.9887818434536406</v>
      </c>
      <c r="AF98" s="8">
        <f>'PFAS Properties'!$V$28</f>
        <v>0.9</v>
      </c>
      <c r="AG98" s="26">
        <v>3.11</v>
      </c>
      <c r="AH98" s="2" t="s">
        <v>655</v>
      </c>
      <c r="AI98" s="2" t="s">
        <v>661</v>
      </c>
      <c r="AJ98" s="2" t="s">
        <v>661</v>
      </c>
      <c r="AK98" s="2" t="s">
        <v>661</v>
      </c>
      <c r="AL98" s="2" t="s">
        <v>661</v>
      </c>
      <c r="AM98" s="2" t="s">
        <v>661</v>
      </c>
      <c r="AN98" s="2" t="s">
        <v>661</v>
      </c>
      <c r="AO98" s="2" t="s">
        <v>661</v>
      </c>
      <c r="AP98" s="73">
        <v>4</v>
      </c>
      <c r="AQ98" s="4" t="s">
        <v>689</v>
      </c>
      <c r="AR98" s="71">
        <v>39.787999999999997</v>
      </c>
      <c r="AS98" s="71">
        <v>32.98762</v>
      </c>
      <c r="AT98" s="16">
        <v>27.945879999999999</v>
      </c>
      <c r="AU98" s="70" t="s">
        <v>752</v>
      </c>
      <c r="AV98" s="16">
        <f t="shared" si="66"/>
        <v>100.72150000000001</v>
      </c>
      <c r="AW98" s="18">
        <v>1.45</v>
      </c>
      <c r="AX98" s="13">
        <f t="shared" si="60"/>
        <v>1.4499999999999999E-2</v>
      </c>
      <c r="AY98" s="1" t="s">
        <v>658</v>
      </c>
      <c r="AZ98" s="16">
        <f>1/(0.02)</f>
        <v>50</v>
      </c>
      <c r="BA98" s="2" t="s">
        <v>55</v>
      </c>
      <c r="BB98" s="8">
        <f t="shared" si="61"/>
        <v>0.27404000000000001</v>
      </c>
      <c r="BC98" s="8">
        <f t="shared" si="62"/>
        <v>5.4808000000000003</v>
      </c>
      <c r="BD98" s="27">
        <v>0.3</v>
      </c>
      <c r="BE98" s="16">
        <f t="shared" si="63"/>
        <v>20.689655172413794</v>
      </c>
      <c r="BF98" s="8">
        <f t="shared" si="64"/>
        <v>1.3157532524846876</v>
      </c>
      <c r="BG98" s="8">
        <f t="shared" si="65"/>
        <v>-0.52287874528033762</v>
      </c>
      <c r="BH98" s="2" t="s">
        <v>678</v>
      </c>
      <c r="BI98" s="1"/>
      <c r="BJ98" s="2"/>
      <c r="BK98" s="1"/>
      <c r="BL98" s="1"/>
      <c r="BM98" s="7"/>
      <c r="BN98" s="7"/>
      <c r="BO98" s="1"/>
      <c r="BP98" s="11"/>
      <c r="BQ98" s="11"/>
    </row>
    <row r="99" spans="1:69" x14ac:dyDescent="0.3">
      <c r="A99" s="20">
        <v>97</v>
      </c>
      <c r="B99" s="2" t="s">
        <v>653</v>
      </c>
      <c r="C99" s="2">
        <v>1997</v>
      </c>
      <c r="D99" s="2" t="s">
        <v>203</v>
      </c>
      <c r="E99" s="41" t="s">
        <v>790</v>
      </c>
      <c r="F99" s="20" t="s">
        <v>29</v>
      </c>
      <c r="G99" s="2" t="s">
        <v>675</v>
      </c>
      <c r="H99" s="2" t="s">
        <v>654</v>
      </c>
      <c r="I99" s="2" t="s">
        <v>565</v>
      </c>
      <c r="J99" s="2" t="str">
        <f>'PFAS Properties'!$D$28</f>
        <v>C2HF3O2</v>
      </c>
      <c r="K99" s="25">
        <f>'PFAS Properties'!$P$28</f>
        <v>113.9928</v>
      </c>
      <c r="L99" s="2">
        <f>'PFAS Properties'!$X$28</f>
        <v>-0.2</v>
      </c>
      <c r="M99" s="2" t="str">
        <f>'PFAS Properties'!$Y$28</f>
        <v>-</v>
      </c>
      <c r="N99" s="33">
        <v>0</v>
      </c>
      <c r="O99" s="33">
        <v>0</v>
      </c>
      <c r="P99" s="33">
        <v>0</v>
      </c>
      <c r="Q99" s="33">
        <f t="shared" si="51"/>
        <v>0.99971168000208299</v>
      </c>
      <c r="R99" s="33">
        <v>0</v>
      </c>
      <c r="S99" s="33">
        <f t="shared" si="52"/>
        <v>2.883199979169627E-4</v>
      </c>
      <c r="T99" s="8">
        <f t="shared" si="54"/>
        <v>1</v>
      </c>
      <c r="U99" s="33">
        <f t="shared" si="55"/>
        <v>0</v>
      </c>
      <c r="V99" s="33">
        <f t="shared" si="56"/>
        <v>-0.99971168000208299</v>
      </c>
      <c r="W99" s="33">
        <f t="shared" si="57"/>
        <v>112.99308831999791</v>
      </c>
      <c r="X99" s="33">
        <v>96485</v>
      </c>
      <c r="Y99" s="16">
        <f t="shared" si="58"/>
        <v>-853.65558972804581</v>
      </c>
      <c r="Z99" s="2">
        <v>2</v>
      </c>
      <c r="AA99" s="2">
        <v>3</v>
      </c>
      <c r="AB99" s="8">
        <f t="shared" si="59"/>
        <v>0.42105263157894735</v>
      </c>
      <c r="AC99" s="16">
        <f t="shared" si="43"/>
        <v>50.00315809419542</v>
      </c>
      <c r="AD99" s="20">
        <v>1</v>
      </c>
      <c r="AE99" s="8">
        <f>'PFAS Properties'!$S$28</f>
        <v>7.9887818434536406</v>
      </c>
      <c r="AF99" s="8">
        <f>'PFAS Properties'!$V$28</f>
        <v>0.9</v>
      </c>
      <c r="AG99" s="26">
        <v>3.34</v>
      </c>
      <c r="AH99" s="2" t="s">
        <v>655</v>
      </c>
      <c r="AI99" s="2" t="s">
        <v>661</v>
      </c>
      <c r="AJ99" s="2" t="s">
        <v>661</v>
      </c>
      <c r="AK99" s="2" t="s">
        <v>661</v>
      </c>
      <c r="AL99" s="2" t="s">
        <v>661</v>
      </c>
      <c r="AM99" s="2" t="s">
        <v>661</v>
      </c>
      <c r="AN99" s="2" t="s">
        <v>661</v>
      </c>
      <c r="AO99" s="2" t="s">
        <v>661</v>
      </c>
      <c r="AP99" s="73">
        <v>11.6</v>
      </c>
      <c r="AQ99" s="4" t="s">
        <v>689</v>
      </c>
      <c r="AR99" s="71">
        <v>26.444199999999999</v>
      </c>
      <c r="AS99" s="71">
        <v>44.642479999999999</v>
      </c>
      <c r="AT99" s="16">
        <v>29.08042</v>
      </c>
      <c r="AU99" s="70" t="s">
        <v>752</v>
      </c>
      <c r="AV99" s="16">
        <f t="shared" si="66"/>
        <v>100.1671</v>
      </c>
      <c r="AW99" s="18">
        <v>3.95</v>
      </c>
      <c r="AX99" s="13">
        <f t="shared" si="60"/>
        <v>3.95E-2</v>
      </c>
      <c r="AY99" s="1" t="s">
        <v>658</v>
      </c>
      <c r="AZ99" s="16">
        <f>1/(0.02)</f>
        <v>50</v>
      </c>
      <c r="BA99" s="2" t="s">
        <v>55</v>
      </c>
      <c r="BB99" s="8">
        <f t="shared" si="61"/>
        <v>0.27404000000000001</v>
      </c>
      <c r="BC99" s="8">
        <f t="shared" si="62"/>
        <v>5.4808000000000003</v>
      </c>
      <c r="BD99" s="7">
        <v>0.54</v>
      </c>
      <c r="BE99" s="16">
        <f t="shared" si="63"/>
        <v>13.670886075949367</v>
      </c>
      <c r="BF99" s="8">
        <f t="shared" si="64"/>
        <v>1.1357966641965083</v>
      </c>
      <c r="BG99" s="8">
        <f t="shared" si="65"/>
        <v>-0.26760624017703144</v>
      </c>
      <c r="BH99" s="2" t="s">
        <v>678</v>
      </c>
      <c r="BI99" s="1"/>
      <c r="BJ99" s="2"/>
      <c r="BK99" s="1"/>
      <c r="BL99" s="1"/>
      <c r="BM99" s="7"/>
      <c r="BN99" s="7"/>
      <c r="BO99" s="1"/>
      <c r="BP99" s="11"/>
      <c r="BQ99" s="11"/>
    </row>
    <row r="100" spans="1:69" x14ac:dyDescent="0.3">
      <c r="A100" s="20">
        <v>98</v>
      </c>
      <c r="B100" s="2" t="s">
        <v>653</v>
      </c>
      <c r="C100" s="2">
        <v>1997</v>
      </c>
      <c r="D100" s="2" t="s">
        <v>203</v>
      </c>
      <c r="E100" s="41" t="s">
        <v>790</v>
      </c>
      <c r="F100" s="20" t="s">
        <v>29</v>
      </c>
      <c r="G100" s="2" t="s">
        <v>676</v>
      </c>
      <c r="H100" s="2" t="s">
        <v>654</v>
      </c>
      <c r="I100" s="2" t="s">
        <v>565</v>
      </c>
      <c r="J100" s="2" t="str">
        <f>'PFAS Properties'!$D$28</f>
        <v>C2HF3O2</v>
      </c>
      <c r="K100" s="25">
        <f>'PFAS Properties'!$P$28</f>
        <v>113.9928</v>
      </c>
      <c r="L100" s="2">
        <f>'PFAS Properties'!$X$28</f>
        <v>-0.2</v>
      </c>
      <c r="M100" s="2" t="str">
        <f>'PFAS Properties'!$Y$28</f>
        <v>-</v>
      </c>
      <c r="N100" s="33">
        <v>0</v>
      </c>
      <c r="O100" s="33">
        <v>0</v>
      </c>
      <c r="P100" s="33">
        <v>0</v>
      </c>
      <c r="Q100" s="33">
        <f t="shared" si="51"/>
        <v>0.99990228582689711</v>
      </c>
      <c r="R100" s="33">
        <v>0</v>
      </c>
      <c r="S100" s="33">
        <f t="shared" si="52"/>
        <v>9.7714173102883895E-5</v>
      </c>
      <c r="T100" s="8">
        <f t="shared" si="54"/>
        <v>1</v>
      </c>
      <c r="U100" s="33">
        <f t="shared" si="55"/>
        <v>0</v>
      </c>
      <c r="V100" s="33">
        <f t="shared" si="56"/>
        <v>-0.99990228582689711</v>
      </c>
      <c r="W100" s="33">
        <f t="shared" si="57"/>
        <v>112.9928977141731</v>
      </c>
      <c r="X100" s="33">
        <v>96485</v>
      </c>
      <c r="Y100" s="16">
        <f t="shared" si="58"/>
        <v>-853.81978867426551</v>
      </c>
      <c r="Z100" s="2">
        <v>2</v>
      </c>
      <c r="AA100" s="2">
        <v>3</v>
      </c>
      <c r="AB100" s="8">
        <f t="shared" si="59"/>
        <v>0.42105263157894735</v>
      </c>
      <c r="AC100" s="16">
        <f t="shared" si="43"/>
        <v>50.00315809419542</v>
      </c>
      <c r="AD100" s="20">
        <v>1</v>
      </c>
      <c r="AE100" s="8">
        <f>'PFAS Properties'!$S$28</f>
        <v>7.9887818434536406</v>
      </c>
      <c r="AF100" s="8">
        <f>'PFAS Properties'!$V$28</f>
        <v>0.9</v>
      </c>
      <c r="AG100" s="26">
        <v>3.81</v>
      </c>
      <c r="AH100" s="2" t="s">
        <v>655</v>
      </c>
      <c r="AI100" s="2" t="s">
        <v>661</v>
      </c>
      <c r="AJ100" s="2" t="s">
        <v>661</v>
      </c>
      <c r="AK100" s="2" t="s">
        <v>661</v>
      </c>
      <c r="AL100" s="2" t="s">
        <v>661</v>
      </c>
      <c r="AM100" s="2" t="s">
        <v>661</v>
      </c>
      <c r="AN100" s="2" t="s">
        <v>661</v>
      </c>
      <c r="AO100" s="2" t="s">
        <v>661</v>
      </c>
      <c r="AP100" s="73">
        <v>7.3</v>
      </c>
      <c r="AQ100" s="4" t="s">
        <v>689</v>
      </c>
      <c r="AR100" s="71">
        <v>33.674500000000002</v>
      </c>
      <c r="AS100" s="71">
        <v>39.165199999999999</v>
      </c>
      <c r="AT100" s="16">
        <v>27.11468</v>
      </c>
      <c r="AU100" s="70" t="s">
        <v>752</v>
      </c>
      <c r="AV100" s="16">
        <f t="shared" si="66"/>
        <v>99.954379999999986</v>
      </c>
      <c r="AW100" s="18">
        <v>3.55</v>
      </c>
      <c r="AX100" s="13">
        <f t="shared" si="60"/>
        <v>3.5499999999999997E-2</v>
      </c>
      <c r="AY100" s="1" t="s">
        <v>658</v>
      </c>
      <c r="AZ100" s="16">
        <f>1/(0.02)</f>
        <v>50</v>
      </c>
      <c r="BA100" s="2" t="s">
        <v>55</v>
      </c>
      <c r="BB100" s="8">
        <f t="shared" si="61"/>
        <v>0.27404000000000001</v>
      </c>
      <c r="BC100" s="8">
        <f t="shared" si="62"/>
        <v>5.4808000000000003</v>
      </c>
      <c r="BD100" s="7">
        <v>0.53</v>
      </c>
      <c r="BE100" s="16">
        <f t="shared" si="63"/>
        <v>14.929577464788734</v>
      </c>
      <c r="BF100" s="8">
        <f t="shared" si="64"/>
        <v>1.1740475165456949</v>
      </c>
      <c r="BG100" s="8">
        <f t="shared" si="65"/>
        <v>-0.27572413039921095</v>
      </c>
      <c r="BH100" s="2" t="s">
        <v>678</v>
      </c>
      <c r="BI100" s="1"/>
      <c r="BJ100" s="2"/>
      <c r="BK100" s="1"/>
      <c r="BL100" s="1"/>
      <c r="BM100" s="7"/>
      <c r="BN100" s="7"/>
      <c r="BO100" s="1"/>
      <c r="BP100" s="11"/>
      <c r="BQ100" s="11"/>
    </row>
    <row r="101" spans="1:69" x14ac:dyDescent="0.3">
      <c r="A101" s="20">
        <v>99</v>
      </c>
      <c r="B101" s="2" t="s">
        <v>653</v>
      </c>
      <c r="C101" s="2">
        <v>1997</v>
      </c>
      <c r="D101" s="2" t="s">
        <v>203</v>
      </c>
      <c r="E101" s="41" t="s">
        <v>790</v>
      </c>
      <c r="F101" s="20" t="s">
        <v>29</v>
      </c>
      <c r="G101" s="2" t="s">
        <v>677</v>
      </c>
      <c r="H101" s="2" t="s">
        <v>654</v>
      </c>
      <c r="I101" s="2" t="s">
        <v>565</v>
      </c>
      <c r="J101" s="2" t="str">
        <f>'PFAS Properties'!$D$28</f>
        <v>C2HF3O2</v>
      </c>
      <c r="K101" s="25">
        <f>'PFAS Properties'!$P$28</f>
        <v>113.9928</v>
      </c>
      <c r="L101" s="2">
        <f>'PFAS Properties'!$X$28</f>
        <v>-0.2</v>
      </c>
      <c r="M101" s="2" t="str">
        <f>'PFAS Properties'!$Y$28</f>
        <v>-</v>
      </c>
      <c r="N101" s="33">
        <v>0</v>
      </c>
      <c r="O101" s="33">
        <v>0</v>
      </c>
      <c r="P101" s="33">
        <v>0</v>
      </c>
      <c r="Q101" s="33">
        <f t="shared" si="51"/>
        <v>0.99994376902958082</v>
      </c>
      <c r="R101" s="33">
        <v>0</v>
      </c>
      <c r="S101" s="33">
        <f t="shared" si="52"/>
        <v>5.6230970419192664E-5</v>
      </c>
      <c r="T101" s="8">
        <f t="shared" si="54"/>
        <v>1</v>
      </c>
      <c r="U101" s="33">
        <f t="shared" si="55"/>
        <v>0</v>
      </c>
      <c r="V101" s="33">
        <f t="shared" si="56"/>
        <v>-0.99994376902958082</v>
      </c>
      <c r="W101" s="33">
        <f t="shared" si="57"/>
        <v>112.99285623097042</v>
      </c>
      <c r="X101" s="33">
        <v>96485</v>
      </c>
      <c r="Y101" s="16">
        <f t="shared" si="58"/>
        <v>-853.85552479179512</v>
      </c>
      <c r="Z101" s="2">
        <v>2</v>
      </c>
      <c r="AA101" s="2">
        <v>3</v>
      </c>
      <c r="AB101" s="8">
        <f t="shared" si="59"/>
        <v>0.42105263157894735</v>
      </c>
      <c r="AC101" s="16">
        <f t="shared" si="43"/>
        <v>50.00315809419542</v>
      </c>
      <c r="AD101" s="20">
        <v>1</v>
      </c>
      <c r="AE101" s="8">
        <f>'PFAS Properties'!$S$28</f>
        <v>7.9887818434536406</v>
      </c>
      <c r="AF101" s="8">
        <f>'PFAS Properties'!$V$28</f>
        <v>0.9</v>
      </c>
      <c r="AG101" s="26">
        <v>4.05</v>
      </c>
      <c r="AH101" s="2" t="s">
        <v>655</v>
      </c>
      <c r="AI101" s="2" t="s">
        <v>661</v>
      </c>
      <c r="AJ101" s="2" t="s">
        <v>661</v>
      </c>
      <c r="AK101" s="2" t="s">
        <v>661</v>
      </c>
      <c r="AL101" s="2" t="s">
        <v>661</v>
      </c>
      <c r="AM101" s="2" t="s">
        <v>661</v>
      </c>
      <c r="AN101" s="2" t="s">
        <v>661</v>
      </c>
      <c r="AO101" s="2" t="s">
        <v>661</v>
      </c>
      <c r="AP101" s="73">
        <v>3.7</v>
      </c>
      <c r="AQ101" s="4" t="s">
        <v>689</v>
      </c>
      <c r="AR101" s="71">
        <v>40.789533331999998</v>
      </c>
      <c r="AS101" s="71">
        <v>32.565086667999999</v>
      </c>
      <c r="AT101" s="16">
        <v>27.02148</v>
      </c>
      <c r="AU101" s="70" t="s">
        <v>752</v>
      </c>
      <c r="AV101" s="16">
        <f t="shared" si="66"/>
        <v>100.37609999999999</v>
      </c>
      <c r="AW101" s="18">
        <v>2</v>
      </c>
      <c r="AX101" s="13">
        <f t="shared" si="60"/>
        <v>0.02</v>
      </c>
      <c r="AY101" s="1" t="s">
        <v>658</v>
      </c>
      <c r="AZ101" s="16">
        <f>1/(0.02)</f>
        <v>50</v>
      </c>
      <c r="BA101" s="2" t="s">
        <v>55</v>
      </c>
      <c r="BB101" s="8">
        <f t="shared" si="61"/>
        <v>0.27404000000000001</v>
      </c>
      <c r="BC101" s="8">
        <f t="shared" si="62"/>
        <v>5.4808000000000003</v>
      </c>
      <c r="BD101" s="27">
        <v>0.6</v>
      </c>
      <c r="BE101" s="16">
        <f t="shared" si="63"/>
        <v>30</v>
      </c>
      <c r="BF101" s="8">
        <f t="shared" si="64"/>
        <v>1.4771212547196624</v>
      </c>
      <c r="BG101" s="8">
        <f t="shared" si="65"/>
        <v>-0.22184874961635639</v>
      </c>
      <c r="BH101" s="2" t="s">
        <v>678</v>
      </c>
      <c r="BI101" s="1"/>
      <c r="BJ101" s="2"/>
      <c r="BK101" s="1"/>
      <c r="BL101" s="1"/>
      <c r="BM101" s="7"/>
      <c r="BN101" s="7"/>
      <c r="BO101" s="1"/>
      <c r="BP101" s="11"/>
      <c r="BQ101" s="11"/>
    </row>
    <row r="102" spans="1:69" x14ac:dyDescent="0.3">
      <c r="A102" s="20">
        <v>100</v>
      </c>
      <c r="B102" s="2" t="s">
        <v>653</v>
      </c>
      <c r="C102" s="2">
        <v>1997</v>
      </c>
      <c r="D102" s="2" t="s">
        <v>203</v>
      </c>
      <c r="E102" s="41" t="s">
        <v>790</v>
      </c>
      <c r="F102" s="20" t="s">
        <v>29</v>
      </c>
      <c r="G102" s="2" t="s">
        <v>679</v>
      </c>
      <c r="H102" s="2" t="s">
        <v>654</v>
      </c>
      <c r="I102" s="2" t="s">
        <v>565</v>
      </c>
      <c r="J102" s="2" t="str">
        <f>'PFAS Properties'!$D$28</f>
        <v>C2HF3O2</v>
      </c>
      <c r="K102" s="25">
        <f>'PFAS Properties'!$P$28</f>
        <v>113.9928</v>
      </c>
      <c r="L102" s="2">
        <f>'PFAS Properties'!$X$28</f>
        <v>-0.2</v>
      </c>
      <c r="M102" s="2" t="str">
        <f>'PFAS Properties'!$Y$28</f>
        <v>-</v>
      </c>
      <c r="N102" s="33">
        <v>0</v>
      </c>
      <c r="O102" s="33">
        <v>0</v>
      </c>
      <c r="P102" s="33">
        <v>0</v>
      </c>
      <c r="Q102" s="33">
        <f t="shared" si="51"/>
        <v>0.99942489100334786</v>
      </c>
      <c r="R102" s="33">
        <v>0</v>
      </c>
      <c r="S102" s="33">
        <f t="shared" si="52"/>
        <v>5.7510899665216082E-4</v>
      </c>
      <c r="T102" s="8">
        <f t="shared" si="54"/>
        <v>1</v>
      </c>
      <c r="U102" s="33">
        <f t="shared" si="55"/>
        <v>0</v>
      </c>
      <c r="V102" s="33">
        <f t="shared" si="56"/>
        <v>-0.99942489100334786</v>
      </c>
      <c r="W102" s="33">
        <f t="shared" si="57"/>
        <v>112.99337510899666</v>
      </c>
      <c r="X102" s="33">
        <v>96485</v>
      </c>
      <c r="Y102" s="16">
        <f t="shared" si="58"/>
        <v>-853.40853404404766</v>
      </c>
      <c r="Z102" s="2">
        <v>2</v>
      </c>
      <c r="AA102" s="2">
        <v>3</v>
      </c>
      <c r="AB102" s="8">
        <f t="shared" si="59"/>
        <v>0.42105263157894735</v>
      </c>
      <c r="AC102" s="16">
        <f t="shared" si="43"/>
        <v>50.00315809419542</v>
      </c>
      <c r="AD102" s="20">
        <v>1</v>
      </c>
      <c r="AE102" s="8">
        <f>'PFAS Properties'!$S$28</f>
        <v>7.9887818434536406</v>
      </c>
      <c r="AF102" s="8">
        <f>'PFAS Properties'!$V$28</f>
        <v>0.9</v>
      </c>
      <c r="AG102" s="26">
        <v>3.04</v>
      </c>
      <c r="AH102" s="2" t="s">
        <v>655</v>
      </c>
      <c r="AI102" s="2" t="s">
        <v>661</v>
      </c>
      <c r="AJ102" s="2" t="s">
        <v>661</v>
      </c>
      <c r="AK102" s="2" t="s">
        <v>661</v>
      </c>
      <c r="AL102" s="2" t="s">
        <v>661</v>
      </c>
      <c r="AM102" s="2" t="s">
        <v>661</v>
      </c>
      <c r="AN102" s="2" t="s">
        <v>661</v>
      </c>
      <c r="AO102" s="2" t="s">
        <v>661</v>
      </c>
      <c r="AP102" s="73">
        <v>17.2</v>
      </c>
      <c r="AQ102" s="4" t="s">
        <v>689</v>
      </c>
      <c r="AR102" s="71">
        <v>31.082180000000001</v>
      </c>
      <c r="AS102" s="71">
        <v>42.079700000000003</v>
      </c>
      <c r="AT102" s="16">
        <v>26.428380000000001</v>
      </c>
      <c r="AU102" s="70" t="s">
        <v>752</v>
      </c>
      <c r="AV102" s="16">
        <f t="shared" si="66"/>
        <v>99.590260000000001</v>
      </c>
      <c r="AW102" s="18">
        <v>39.75</v>
      </c>
      <c r="AX102" s="13">
        <f t="shared" si="60"/>
        <v>0.39750000000000002</v>
      </c>
      <c r="AY102" s="1" t="s">
        <v>658</v>
      </c>
      <c r="AZ102" s="16">
        <f>1/(0.005)</f>
        <v>200</v>
      </c>
      <c r="BA102" s="16" t="s">
        <v>55</v>
      </c>
      <c r="BB102" s="8">
        <f t="shared" si="61"/>
        <v>0.27404000000000001</v>
      </c>
      <c r="BC102" s="8">
        <f t="shared" si="62"/>
        <v>5.4808000000000003</v>
      </c>
      <c r="BD102" s="7">
        <v>3.9</v>
      </c>
      <c r="BE102" s="16">
        <f t="shared" si="63"/>
        <v>9.8113207547169807</v>
      </c>
      <c r="BF102" s="8">
        <f t="shared" si="64"/>
        <v>0.99172747403401007</v>
      </c>
      <c r="BG102" s="8">
        <f t="shared" si="65"/>
        <v>0.59106460702649921</v>
      </c>
      <c r="BH102" s="2" t="s">
        <v>678</v>
      </c>
      <c r="BI102" s="1"/>
      <c r="BJ102" s="2"/>
      <c r="BK102" s="1"/>
      <c r="BL102" s="1"/>
      <c r="BM102" s="7"/>
      <c r="BN102" s="7"/>
      <c r="BO102" s="1"/>
      <c r="BP102" s="11"/>
      <c r="BQ102" s="11"/>
    </row>
    <row r="103" spans="1:69" x14ac:dyDescent="0.3">
      <c r="A103" s="20">
        <v>101</v>
      </c>
      <c r="B103" s="2" t="s">
        <v>653</v>
      </c>
      <c r="C103" s="2">
        <v>1997</v>
      </c>
      <c r="D103" s="2" t="s">
        <v>203</v>
      </c>
      <c r="E103" s="41" t="s">
        <v>790</v>
      </c>
      <c r="F103" s="20" t="s">
        <v>29</v>
      </c>
      <c r="G103" s="2" t="s">
        <v>680</v>
      </c>
      <c r="H103" s="2" t="s">
        <v>654</v>
      </c>
      <c r="I103" s="2" t="s">
        <v>565</v>
      </c>
      <c r="J103" s="2" t="str">
        <f>'PFAS Properties'!$D$28</f>
        <v>C2HF3O2</v>
      </c>
      <c r="K103" s="25">
        <f>'PFAS Properties'!$P$28</f>
        <v>113.9928</v>
      </c>
      <c r="L103" s="2">
        <f>'PFAS Properties'!$X$28</f>
        <v>-0.2</v>
      </c>
      <c r="M103" s="2" t="str">
        <f>'PFAS Properties'!$Y$28</f>
        <v>-</v>
      </c>
      <c r="N103" s="33">
        <v>0</v>
      </c>
      <c r="O103" s="33">
        <v>0</v>
      </c>
      <c r="P103" s="33">
        <v>0</v>
      </c>
      <c r="Q103" s="33">
        <f t="shared" si="51"/>
        <v>0.99958330432419917</v>
      </c>
      <c r="R103" s="33">
        <v>0</v>
      </c>
      <c r="S103" s="33">
        <f t="shared" si="52"/>
        <v>4.166956758008689E-4</v>
      </c>
      <c r="T103" s="8">
        <f t="shared" si="54"/>
        <v>1</v>
      </c>
      <c r="U103" s="33">
        <f t="shared" si="55"/>
        <v>0</v>
      </c>
      <c r="V103" s="33">
        <f t="shared" si="56"/>
        <v>-0.99958330432419917</v>
      </c>
      <c r="W103" s="33">
        <f t="shared" si="57"/>
        <v>112.99321669567581</v>
      </c>
      <c r="X103" s="33">
        <v>96485</v>
      </c>
      <c r="Y103" s="16">
        <f t="shared" si="58"/>
        <v>-853.54499976290379</v>
      </c>
      <c r="Z103" s="2">
        <v>2</v>
      </c>
      <c r="AA103" s="2">
        <v>3</v>
      </c>
      <c r="AB103" s="8">
        <f t="shared" si="59"/>
        <v>0.42105263157894735</v>
      </c>
      <c r="AC103" s="16">
        <f t="shared" si="43"/>
        <v>50.00315809419542</v>
      </c>
      <c r="AD103" s="20">
        <v>1</v>
      </c>
      <c r="AE103" s="8">
        <f>'PFAS Properties'!$S$28</f>
        <v>7.9887818434536406</v>
      </c>
      <c r="AF103" s="8">
        <f>'PFAS Properties'!$V$28</f>
        <v>0.9</v>
      </c>
      <c r="AG103" s="26">
        <v>3.18</v>
      </c>
      <c r="AH103" s="2" t="s">
        <v>655</v>
      </c>
      <c r="AI103" s="2" t="s">
        <v>661</v>
      </c>
      <c r="AJ103" s="2" t="s">
        <v>661</v>
      </c>
      <c r="AK103" s="2" t="s">
        <v>661</v>
      </c>
      <c r="AL103" s="2" t="s">
        <v>661</v>
      </c>
      <c r="AM103" s="2" t="s">
        <v>661</v>
      </c>
      <c r="AN103" s="2" t="s">
        <v>661</v>
      </c>
      <c r="AO103" s="2" t="s">
        <v>661</v>
      </c>
      <c r="AP103" s="73">
        <v>1</v>
      </c>
      <c r="AQ103" s="4" t="s">
        <v>689</v>
      </c>
      <c r="AR103" s="71">
        <v>53.902133331999998</v>
      </c>
      <c r="AS103" s="71">
        <v>23.068733333400001</v>
      </c>
      <c r="AT103" s="16">
        <v>22.9687333366</v>
      </c>
      <c r="AU103" s="70" t="s">
        <v>752</v>
      </c>
      <c r="AV103" s="16">
        <f t="shared" si="66"/>
        <v>99.939600001999992</v>
      </c>
      <c r="AW103" s="18">
        <v>0.7</v>
      </c>
      <c r="AX103" s="13">
        <f t="shared" si="60"/>
        <v>6.9999999999999993E-3</v>
      </c>
      <c r="AY103" s="1" t="s">
        <v>658</v>
      </c>
      <c r="AZ103" s="16">
        <f>1/(0.02)</f>
        <v>50</v>
      </c>
      <c r="BA103" s="2" t="s">
        <v>55</v>
      </c>
      <c r="BB103" s="8">
        <f t="shared" si="61"/>
        <v>0.27404000000000001</v>
      </c>
      <c r="BC103" s="8">
        <f t="shared" si="62"/>
        <v>5.4808000000000003</v>
      </c>
      <c r="BD103" s="7">
        <v>0.34</v>
      </c>
      <c r="BE103" s="16">
        <f t="shared" si="63"/>
        <v>48.571428571428577</v>
      </c>
      <c r="BF103" s="8">
        <f t="shared" si="64"/>
        <v>1.6863808770279984</v>
      </c>
      <c r="BG103" s="8">
        <f t="shared" si="65"/>
        <v>-0.46852108295774486</v>
      </c>
      <c r="BH103" s="2" t="s">
        <v>678</v>
      </c>
      <c r="BI103" s="1"/>
      <c r="BJ103" s="2"/>
      <c r="BK103" s="1"/>
      <c r="BL103" s="1"/>
      <c r="BM103" s="7"/>
      <c r="BN103" s="7"/>
      <c r="BO103" s="1"/>
      <c r="BP103" s="11"/>
      <c r="BQ103" s="11"/>
    </row>
    <row r="104" spans="1:69" x14ac:dyDescent="0.3">
      <c r="A104" s="20">
        <v>102</v>
      </c>
      <c r="B104" s="2" t="s">
        <v>653</v>
      </c>
      <c r="C104" s="2">
        <v>1997</v>
      </c>
      <c r="D104" s="2" t="s">
        <v>203</v>
      </c>
      <c r="E104" s="41" t="s">
        <v>790</v>
      </c>
      <c r="F104" s="20" t="s">
        <v>29</v>
      </c>
      <c r="G104" s="2" t="s">
        <v>681</v>
      </c>
      <c r="H104" s="2" t="s">
        <v>654</v>
      </c>
      <c r="I104" s="2" t="s">
        <v>565</v>
      </c>
      <c r="J104" s="2" t="str">
        <f>'PFAS Properties'!$D$28</f>
        <v>C2HF3O2</v>
      </c>
      <c r="K104" s="25">
        <f>'PFAS Properties'!$P$28</f>
        <v>113.9928</v>
      </c>
      <c r="L104" s="2">
        <f>'PFAS Properties'!$X$28</f>
        <v>-0.2</v>
      </c>
      <c r="M104" s="2" t="str">
        <f>'PFAS Properties'!$Y$28</f>
        <v>-</v>
      </c>
      <c r="N104" s="33">
        <v>0</v>
      </c>
      <c r="O104" s="33">
        <v>0</v>
      </c>
      <c r="P104" s="33">
        <v>0</v>
      </c>
      <c r="Q104" s="33">
        <f t="shared" si="51"/>
        <v>0.99983406884697312</v>
      </c>
      <c r="R104" s="33">
        <v>0</v>
      </c>
      <c r="S104" s="33">
        <f t="shared" si="52"/>
        <v>1.6593115302684591E-4</v>
      </c>
      <c r="T104" s="8">
        <f t="shared" si="54"/>
        <v>1</v>
      </c>
      <c r="U104" s="33">
        <f t="shared" si="55"/>
        <v>0</v>
      </c>
      <c r="V104" s="33">
        <f t="shared" si="56"/>
        <v>-0.99983406884697312</v>
      </c>
      <c r="W104" s="33">
        <f t="shared" si="57"/>
        <v>112.99296593115302</v>
      </c>
      <c r="X104" s="33">
        <v>96485</v>
      </c>
      <c r="Y104" s="16">
        <f t="shared" si="58"/>
        <v>-853.76102253550073</v>
      </c>
      <c r="Z104" s="2">
        <v>2</v>
      </c>
      <c r="AA104" s="2">
        <v>3</v>
      </c>
      <c r="AB104" s="8">
        <f t="shared" si="59"/>
        <v>0.42105263157894735</v>
      </c>
      <c r="AC104" s="16">
        <f t="shared" si="43"/>
        <v>50.00315809419542</v>
      </c>
      <c r="AD104" s="20">
        <v>1</v>
      </c>
      <c r="AE104" s="8">
        <f>'PFAS Properties'!$S$28</f>
        <v>7.9887818434536406</v>
      </c>
      <c r="AF104" s="8">
        <f>'PFAS Properties'!$V$28</f>
        <v>0.9</v>
      </c>
      <c r="AG104" s="26">
        <v>3.58</v>
      </c>
      <c r="AH104" s="2" t="s">
        <v>655</v>
      </c>
      <c r="AI104" s="2" t="s">
        <v>661</v>
      </c>
      <c r="AJ104" s="2" t="s">
        <v>661</v>
      </c>
      <c r="AK104" s="2" t="s">
        <v>661</v>
      </c>
      <c r="AL104" s="2" t="s">
        <v>661</v>
      </c>
      <c r="AM104" s="2" t="s">
        <v>661</v>
      </c>
      <c r="AN104" s="2" t="s">
        <v>661</v>
      </c>
      <c r="AO104" s="2" t="s">
        <v>661</v>
      </c>
      <c r="AP104" s="73">
        <v>12.5</v>
      </c>
      <c r="AQ104" s="4" t="s">
        <v>689</v>
      </c>
      <c r="AR104" s="71">
        <v>26.484860000000001</v>
      </c>
      <c r="AS104" s="71">
        <v>43.699399999999997</v>
      </c>
      <c r="AT104" s="16">
        <v>29.7468</v>
      </c>
      <c r="AU104" s="70" t="s">
        <v>752</v>
      </c>
      <c r="AV104" s="16">
        <f t="shared" si="66"/>
        <v>99.931060000000002</v>
      </c>
      <c r="AW104" s="18">
        <v>8.5</v>
      </c>
      <c r="AX104" s="13">
        <f t="shared" si="60"/>
        <v>8.5000000000000006E-2</v>
      </c>
      <c r="AY104" s="1" t="s">
        <v>658</v>
      </c>
      <c r="AZ104" s="16">
        <f>1/(0.005)</f>
        <v>200</v>
      </c>
      <c r="BA104" s="16" t="s">
        <v>55</v>
      </c>
      <c r="BB104" s="8">
        <f t="shared" si="61"/>
        <v>0.27404000000000001</v>
      </c>
      <c r="BC104" s="8">
        <f t="shared" si="62"/>
        <v>5.4808000000000003</v>
      </c>
      <c r="BD104" s="7">
        <v>0.68</v>
      </c>
      <c r="BE104" s="16">
        <f t="shared" si="63"/>
        <v>8</v>
      </c>
      <c r="BF104" s="8">
        <f t="shared" si="64"/>
        <v>0.90308998699194354</v>
      </c>
      <c r="BG104" s="8">
        <f t="shared" si="65"/>
        <v>-0.16749108729376366</v>
      </c>
      <c r="BH104" s="2" t="s">
        <v>678</v>
      </c>
      <c r="BI104" s="1"/>
      <c r="BJ104" s="2"/>
      <c r="BK104" s="1"/>
      <c r="BL104" s="1"/>
      <c r="BM104" s="7"/>
      <c r="BN104" s="7"/>
      <c r="BO104" s="1"/>
      <c r="BP104" s="11"/>
      <c r="BQ104" s="11"/>
    </row>
    <row r="105" spans="1:69" x14ac:dyDescent="0.3">
      <c r="A105" s="20">
        <v>103</v>
      </c>
      <c r="B105" s="2" t="s">
        <v>653</v>
      </c>
      <c r="C105" s="2">
        <v>1997</v>
      </c>
      <c r="D105" s="2" t="s">
        <v>203</v>
      </c>
      <c r="E105" s="41" t="s">
        <v>790</v>
      </c>
      <c r="F105" s="20" t="s">
        <v>29</v>
      </c>
      <c r="G105" s="2" t="s">
        <v>682</v>
      </c>
      <c r="H105" s="2" t="s">
        <v>654</v>
      </c>
      <c r="I105" s="2" t="s">
        <v>565</v>
      </c>
      <c r="J105" s="2" t="str">
        <f>'PFAS Properties'!$D$28</f>
        <v>C2HF3O2</v>
      </c>
      <c r="K105" s="25">
        <f>'PFAS Properties'!$P$28</f>
        <v>113.9928</v>
      </c>
      <c r="L105" s="2">
        <f>'PFAS Properties'!$X$28</f>
        <v>-0.2</v>
      </c>
      <c r="M105" s="2" t="str">
        <f>'PFAS Properties'!$Y$28</f>
        <v>-</v>
      </c>
      <c r="N105" s="33">
        <v>0</v>
      </c>
      <c r="O105" s="33">
        <v>0</v>
      </c>
      <c r="P105" s="33">
        <v>0</v>
      </c>
      <c r="Q105" s="33">
        <f t="shared" si="51"/>
        <v>0.99994988378839778</v>
      </c>
      <c r="R105" s="33">
        <v>0</v>
      </c>
      <c r="S105" s="33">
        <f t="shared" si="52"/>
        <v>5.0116211602181963E-5</v>
      </c>
      <c r="T105" s="8">
        <f t="shared" si="54"/>
        <v>1</v>
      </c>
      <c r="U105" s="33">
        <f t="shared" si="55"/>
        <v>0</v>
      </c>
      <c r="V105" s="33">
        <f t="shared" si="56"/>
        <v>-0.99994988378839778</v>
      </c>
      <c r="W105" s="33">
        <f t="shared" si="57"/>
        <v>112.9928501162116</v>
      </c>
      <c r="X105" s="33">
        <v>96485</v>
      </c>
      <c r="Y105" s="16">
        <f t="shared" si="58"/>
        <v>-853.86079241381231</v>
      </c>
      <c r="Z105" s="2">
        <v>2</v>
      </c>
      <c r="AA105" s="2">
        <v>3</v>
      </c>
      <c r="AB105" s="8">
        <f t="shared" si="59"/>
        <v>0.42105263157894735</v>
      </c>
      <c r="AC105" s="16">
        <f t="shared" si="43"/>
        <v>50.00315809419542</v>
      </c>
      <c r="AD105" s="20">
        <v>1</v>
      </c>
      <c r="AE105" s="8">
        <f>'PFAS Properties'!$S$28</f>
        <v>7.9887818434536406</v>
      </c>
      <c r="AF105" s="8">
        <f>'PFAS Properties'!$V$28</f>
        <v>0.9</v>
      </c>
      <c r="AG105" s="26">
        <v>4.0999999999999996</v>
      </c>
      <c r="AH105" s="2" t="s">
        <v>655</v>
      </c>
      <c r="AI105" s="2" t="s">
        <v>661</v>
      </c>
      <c r="AJ105" s="2" t="s">
        <v>661</v>
      </c>
      <c r="AK105" s="2" t="s">
        <v>661</v>
      </c>
      <c r="AL105" s="2" t="s">
        <v>661</v>
      </c>
      <c r="AM105" s="2" t="s">
        <v>661</v>
      </c>
      <c r="AN105" s="2" t="s">
        <v>661</v>
      </c>
      <c r="AO105" s="2" t="s">
        <v>661</v>
      </c>
      <c r="AP105" s="73">
        <v>2.2999999999999998</v>
      </c>
      <c r="AQ105" s="4" t="s">
        <v>689</v>
      </c>
      <c r="AR105" s="71">
        <v>47.718333331999993</v>
      </c>
      <c r="AS105" s="71">
        <v>27.502666668</v>
      </c>
      <c r="AT105" s="16">
        <v>24.922599999999999</v>
      </c>
      <c r="AU105" s="70" t="s">
        <v>752</v>
      </c>
      <c r="AV105" s="16">
        <f t="shared" si="66"/>
        <v>100.14359999999999</v>
      </c>
      <c r="AW105" s="18">
        <v>4.05</v>
      </c>
      <c r="AX105" s="13">
        <f t="shared" si="60"/>
        <v>4.0500000000000001E-2</v>
      </c>
      <c r="AY105" s="1" t="s">
        <v>658</v>
      </c>
      <c r="AZ105" s="16">
        <f>1/(0.02)</f>
        <v>50</v>
      </c>
      <c r="BA105" s="2" t="s">
        <v>55</v>
      </c>
      <c r="BB105" s="8">
        <f t="shared" si="61"/>
        <v>0.27404000000000001</v>
      </c>
      <c r="BC105" s="8">
        <f t="shared" si="62"/>
        <v>5.4808000000000003</v>
      </c>
      <c r="BD105" s="7">
        <v>0.42</v>
      </c>
      <c r="BE105" s="16">
        <f t="shared" si="63"/>
        <v>10.37037037037037</v>
      </c>
      <c r="BF105" s="8">
        <f t="shared" si="64"/>
        <v>1.0157942671832318</v>
      </c>
      <c r="BG105" s="8">
        <f t="shared" si="65"/>
        <v>-0.37675070960209955</v>
      </c>
      <c r="BH105" s="2" t="s">
        <v>678</v>
      </c>
      <c r="BI105" s="1"/>
      <c r="BJ105" s="2"/>
      <c r="BK105" s="1"/>
      <c r="BL105" s="1"/>
      <c r="BM105" s="7"/>
      <c r="BN105" s="7"/>
      <c r="BO105" s="1"/>
      <c r="BP105" s="11"/>
      <c r="BQ105" s="11"/>
    </row>
    <row r="106" spans="1:69" x14ac:dyDescent="0.3">
      <c r="A106" s="20">
        <v>104</v>
      </c>
      <c r="B106" s="2" t="s">
        <v>653</v>
      </c>
      <c r="C106" s="2">
        <v>1997</v>
      </c>
      <c r="D106" s="2" t="s">
        <v>203</v>
      </c>
      <c r="E106" s="41" t="s">
        <v>790</v>
      </c>
      <c r="F106" s="20" t="s">
        <v>29</v>
      </c>
      <c r="G106" s="2" t="s">
        <v>683</v>
      </c>
      <c r="H106" s="2" t="s">
        <v>654</v>
      </c>
      <c r="I106" s="2" t="s">
        <v>565</v>
      </c>
      <c r="J106" s="2" t="str">
        <f>'PFAS Properties'!$D$28</f>
        <v>C2HF3O2</v>
      </c>
      <c r="K106" s="25">
        <f>'PFAS Properties'!$P$28</f>
        <v>113.9928</v>
      </c>
      <c r="L106" s="2">
        <f>'PFAS Properties'!$X$28</f>
        <v>-0.2</v>
      </c>
      <c r="M106" s="2" t="str">
        <f>'PFAS Properties'!$Y$28</f>
        <v>-</v>
      </c>
      <c r="N106" s="33">
        <v>0</v>
      </c>
      <c r="O106" s="33">
        <v>0</v>
      </c>
      <c r="P106" s="33">
        <v>0</v>
      </c>
      <c r="Q106" s="33">
        <f t="shared" si="51"/>
        <v>0.99998741090436938</v>
      </c>
      <c r="R106" s="33">
        <v>0</v>
      </c>
      <c r="S106" s="33">
        <f t="shared" si="52"/>
        <v>1.258909563061765E-5</v>
      </c>
      <c r="T106" s="8">
        <f t="shared" si="54"/>
        <v>1</v>
      </c>
      <c r="U106" s="33">
        <f t="shared" si="55"/>
        <v>0</v>
      </c>
      <c r="V106" s="33">
        <f t="shared" si="56"/>
        <v>-0.99998741090436938</v>
      </c>
      <c r="W106" s="33">
        <f t="shared" si="57"/>
        <v>112.99281258909564</v>
      </c>
      <c r="X106" s="33">
        <v>96485</v>
      </c>
      <c r="Y106" s="16">
        <f t="shared" si="58"/>
        <v>-853.89312054720233</v>
      </c>
      <c r="Z106" s="2">
        <v>2</v>
      </c>
      <c r="AA106" s="2">
        <v>3</v>
      </c>
      <c r="AB106" s="8">
        <f t="shared" si="59"/>
        <v>0.42105263157894735</v>
      </c>
      <c r="AC106" s="16">
        <f t="shared" si="43"/>
        <v>50.00315809419542</v>
      </c>
      <c r="AD106" s="20">
        <v>1</v>
      </c>
      <c r="AE106" s="8">
        <f>'PFAS Properties'!$S$28</f>
        <v>7.9887818434536406</v>
      </c>
      <c r="AF106" s="8">
        <f>'PFAS Properties'!$V$28</f>
        <v>0.9</v>
      </c>
      <c r="AG106" s="26">
        <v>4.7</v>
      </c>
      <c r="AH106" s="2" t="s">
        <v>655</v>
      </c>
      <c r="AI106" s="2" t="s">
        <v>661</v>
      </c>
      <c r="AJ106" s="2" t="s">
        <v>661</v>
      </c>
      <c r="AK106" s="2" t="s">
        <v>661</v>
      </c>
      <c r="AL106" s="2" t="s">
        <v>661</v>
      </c>
      <c r="AM106" s="2" t="s">
        <v>661</v>
      </c>
      <c r="AN106" s="2" t="s">
        <v>661</v>
      </c>
      <c r="AO106" s="2" t="s">
        <v>661</v>
      </c>
      <c r="AP106" s="73">
        <v>0.05</v>
      </c>
      <c r="AQ106" s="4" t="s">
        <v>689</v>
      </c>
      <c r="AR106" s="71">
        <v>55.095733332000002</v>
      </c>
      <c r="AS106" s="71">
        <v>23.2071733334</v>
      </c>
      <c r="AT106" s="16">
        <v>21.859333336599999</v>
      </c>
      <c r="AU106" s="70" t="s">
        <v>752</v>
      </c>
      <c r="AV106" s="16">
        <f t="shared" si="66"/>
        <v>100.162240002</v>
      </c>
      <c r="AW106" s="18">
        <v>0.25</v>
      </c>
      <c r="AX106" s="13">
        <f t="shared" si="60"/>
        <v>2.5000000000000001E-3</v>
      </c>
      <c r="AY106" s="1" t="s">
        <v>658</v>
      </c>
      <c r="AZ106" s="16">
        <f>1/(0.02)</f>
        <v>50</v>
      </c>
      <c r="BA106" s="2" t="s">
        <v>55</v>
      </c>
      <c r="BB106" s="8">
        <f t="shared" si="61"/>
        <v>0.27404000000000001</v>
      </c>
      <c r="BC106" s="8">
        <f t="shared" si="62"/>
        <v>5.4808000000000003</v>
      </c>
      <c r="BD106" s="7">
        <v>0.17</v>
      </c>
      <c r="BE106" s="16">
        <f t="shared" si="63"/>
        <v>68</v>
      </c>
      <c r="BF106" s="8">
        <f t="shared" si="64"/>
        <v>1.8325089127062364</v>
      </c>
      <c r="BG106" s="8">
        <f t="shared" si="65"/>
        <v>-0.769551078621726</v>
      </c>
      <c r="BH106" s="2" t="s">
        <v>678</v>
      </c>
      <c r="BI106" s="1"/>
      <c r="BJ106" s="2"/>
      <c r="BK106" s="1"/>
      <c r="BL106" s="1"/>
      <c r="BM106" s="7"/>
      <c r="BN106" s="7"/>
      <c r="BO106" s="1"/>
      <c r="BP106" s="11"/>
      <c r="BQ106" s="11"/>
    </row>
    <row r="107" spans="1:69" x14ac:dyDescent="0.3">
      <c r="A107" s="20">
        <v>105</v>
      </c>
      <c r="B107" s="2" t="s">
        <v>653</v>
      </c>
      <c r="C107" s="2">
        <v>1997</v>
      </c>
      <c r="D107" s="2" t="s">
        <v>203</v>
      </c>
      <c r="E107" s="41" t="s">
        <v>790</v>
      </c>
      <c r="F107" s="20" t="s">
        <v>29</v>
      </c>
      <c r="G107" s="2" t="s">
        <v>684</v>
      </c>
      <c r="H107" s="2" t="s">
        <v>654</v>
      </c>
      <c r="I107" s="2" t="s">
        <v>565</v>
      </c>
      <c r="J107" s="2" t="str">
        <f>'PFAS Properties'!$D$28</f>
        <v>C2HF3O2</v>
      </c>
      <c r="K107" s="25">
        <f>'PFAS Properties'!$P$28</f>
        <v>113.9928</v>
      </c>
      <c r="L107" s="2">
        <f>'PFAS Properties'!$X$28</f>
        <v>-0.2</v>
      </c>
      <c r="M107" s="2" t="str">
        <f>'PFAS Properties'!$Y$28</f>
        <v>-</v>
      </c>
      <c r="N107" s="33">
        <v>0</v>
      </c>
      <c r="O107" s="33">
        <v>0</v>
      </c>
      <c r="P107" s="33">
        <v>0</v>
      </c>
      <c r="Q107" s="33">
        <f t="shared" si="51"/>
        <v>0.99999424563373951</v>
      </c>
      <c r="R107" s="33">
        <v>0</v>
      </c>
      <c r="S107" s="33">
        <f t="shared" si="52"/>
        <v>5.7543662604499578E-6</v>
      </c>
      <c r="T107" s="8">
        <f t="shared" si="54"/>
        <v>1</v>
      </c>
      <c r="U107" s="33">
        <f t="shared" si="55"/>
        <v>0</v>
      </c>
      <c r="V107" s="33">
        <f t="shared" si="56"/>
        <v>-0.99999424563373951</v>
      </c>
      <c r="W107" s="33">
        <f t="shared" si="57"/>
        <v>112.99280575436626</v>
      </c>
      <c r="X107" s="33">
        <v>96485</v>
      </c>
      <c r="Y107" s="16">
        <f t="shared" si="58"/>
        <v>-853.89900839986012</v>
      </c>
      <c r="Z107" s="2">
        <v>2</v>
      </c>
      <c r="AA107" s="2">
        <v>3</v>
      </c>
      <c r="AB107" s="8">
        <f t="shared" si="59"/>
        <v>0.42105263157894735</v>
      </c>
      <c r="AC107" s="16">
        <f t="shared" si="43"/>
        <v>50.00315809419542</v>
      </c>
      <c r="AD107" s="20">
        <v>1</v>
      </c>
      <c r="AE107" s="8">
        <f>'PFAS Properties'!$S$28</f>
        <v>7.9887818434536406</v>
      </c>
      <c r="AF107" s="8">
        <f>'PFAS Properties'!$V$28</f>
        <v>0.9</v>
      </c>
      <c r="AG107" s="26">
        <v>5.04</v>
      </c>
      <c r="AH107" s="2" t="s">
        <v>655</v>
      </c>
      <c r="AI107" s="2" t="s">
        <v>661</v>
      </c>
      <c r="AJ107" s="2" t="s">
        <v>661</v>
      </c>
      <c r="AK107" s="2" t="s">
        <v>661</v>
      </c>
      <c r="AL107" s="2" t="s">
        <v>661</v>
      </c>
      <c r="AM107" s="2" t="s">
        <v>661</v>
      </c>
      <c r="AN107" s="2" t="s">
        <v>661</v>
      </c>
      <c r="AO107" s="2" t="s">
        <v>661</v>
      </c>
      <c r="AP107" s="73">
        <v>17.7</v>
      </c>
      <c r="AQ107" s="4" t="s">
        <v>689</v>
      </c>
      <c r="AR107" s="71">
        <v>30.67088</v>
      </c>
      <c r="AS107" s="71">
        <v>41.485500000000002</v>
      </c>
      <c r="AT107" s="16">
        <v>27.36758</v>
      </c>
      <c r="AU107" s="70" t="s">
        <v>752</v>
      </c>
      <c r="AV107" s="16">
        <f t="shared" si="66"/>
        <v>99.523960000000002</v>
      </c>
      <c r="AW107" s="18">
        <v>37.6</v>
      </c>
      <c r="AX107" s="13">
        <f t="shared" si="60"/>
        <v>0.376</v>
      </c>
      <c r="AY107" s="1" t="s">
        <v>658</v>
      </c>
      <c r="AZ107" s="16">
        <f>1/(0.005)</f>
        <v>200</v>
      </c>
      <c r="BA107" s="16" t="s">
        <v>55</v>
      </c>
      <c r="BB107" s="8">
        <f t="shared" si="61"/>
        <v>0.27404000000000001</v>
      </c>
      <c r="BC107" s="8">
        <f t="shared" si="62"/>
        <v>5.4808000000000003</v>
      </c>
      <c r="BD107" s="7">
        <v>5.8</v>
      </c>
      <c r="BE107" s="16">
        <f t="shared" si="63"/>
        <v>15.425531914893616</v>
      </c>
      <c r="BF107" s="8">
        <f t="shared" si="64"/>
        <v>1.1882401486352763</v>
      </c>
      <c r="BG107" s="8">
        <f t="shared" si="65"/>
        <v>0.76342799356293722</v>
      </c>
      <c r="BH107" s="2" t="s">
        <v>678</v>
      </c>
      <c r="BI107" s="1"/>
      <c r="BJ107" s="2"/>
      <c r="BK107" s="1"/>
      <c r="BL107" s="1"/>
      <c r="BM107" s="7"/>
      <c r="BN107" s="7"/>
      <c r="BO107" s="1"/>
      <c r="BP107" s="11"/>
      <c r="BQ107" s="11"/>
    </row>
    <row r="108" spans="1:69" x14ac:dyDescent="0.3">
      <c r="A108" s="20">
        <v>106</v>
      </c>
      <c r="B108" s="2" t="s">
        <v>653</v>
      </c>
      <c r="C108" s="2">
        <v>1997</v>
      </c>
      <c r="D108" s="2" t="s">
        <v>203</v>
      </c>
      <c r="E108" s="41" t="s">
        <v>790</v>
      </c>
      <c r="F108" s="20" t="s">
        <v>29</v>
      </c>
      <c r="G108" s="2" t="s">
        <v>685</v>
      </c>
      <c r="H108" s="2" t="s">
        <v>654</v>
      </c>
      <c r="I108" s="2" t="s">
        <v>565</v>
      </c>
      <c r="J108" s="2" t="str">
        <f>'PFAS Properties'!$D$28</f>
        <v>C2HF3O2</v>
      </c>
      <c r="K108" s="25">
        <f>'PFAS Properties'!$P$28</f>
        <v>113.9928</v>
      </c>
      <c r="L108" s="2">
        <f>'PFAS Properties'!$X$28</f>
        <v>-0.2</v>
      </c>
      <c r="M108" s="2" t="str">
        <f>'PFAS Properties'!$Y$28</f>
        <v>-</v>
      </c>
      <c r="N108" s="33">
        <v>0</v>
      </c>
      <c r="O108" s="33">
        <v>0</v>
      </c>
      <c r="P108" s="33">
        <v>0</v>
      </c>
      <c r="Q108" s="33">
        <f t="shared" si="51"/>
        <v>0.99961995509272328</v>
      </c>
      <c r="R108" s="33">
        <v>0</v>
      </c>
      <c r="S108" s="33">
        <f t="shared" si="52"/>
        <v>3.8004490727668819E-4</v>
      </c>
      <c r="T108" s="8">
        <f t="shared" si="54"/>
        <v>1</v>
      </c>
      <c r="U108" s="33">
        <f t="shared" si="55"/>
        <v>0</v>
      </c>
      <c r="V108" s="33">
        <f t="shared" si="56"/>
        <v>-0.99961995509272328</v>
      </c>
      <c r="W108" s="33">
        <f t="shared" si="57"/>
        <v>112.99318004490728</v>
      </c>
      <c r="X108" s="33">
        <v>96485</v>
      </c>
      <c r="Y108" s="16">
        <f t="shared" si="58"/>
        <v>-853.57657275235204</v>
      </c>
      <c r="Z108" s="2">
        <v>2</v>
      </c>
      <c r="AA108" s="2">
        <v>3</v>
      </c>
      <c r="AB108" s="8">
        <f t="shared" si="59"/>
        <v>0.42105263157894735</v>
      </c>
      <c r="AC108" s="16">
        <f t="shared" si="43"/>
        <v>50.00315809419542</v>
      </c>
      <c r="AD108" s="20">
        <v>1</v>
      </c>
      <c r="AE108" s="8">
        <f>'PFAS Properties'!$S$28</f>
        <v>7.9887818434536406</v>
      </c>
      <c r="AF108" s="8">
        <f>'PFAS Properties'!$V$28</f>
        <v>0.9</v>
      </c>
      <c r="AG108" s="26">
        <v>3.22</v>
      </c>
      <c r="AH108" s="2" t="s">
        <v>655</v>
      </c>
      <c r="AI108" s="2" t="s">
        <v>661</v>
      </c>
      <c r="AJ108" s="2" t="s">
        <v>661</v>
      </c>
      <c r="AK108" s="2" t="s">
        <v>661</v>
      </c>
      <c r="AL108" s="2" t="s">
        <v>661</v>
      </c>
      <c r="AM108" s="2" t="s">
        <v>661</v>
      </c>
      <c r="AN108" s="2" t="s">
        <v>661</v>
      </c>
      <c r="AO108" s="2" t="s">
        <v>661</v>
      </c>
      <c r="AP108" s="73">
        <v>17</v>
      </c>
      <c r="AQ108" s="4" t="s">
        <v>689</v>
      </c>
      <c r="AR108" s="71">
        <v>32.373779999999996</v>
      </c>
      <c r="AS108" s="71">
        <v>41.575100000000013</v>
      </c>
      <c r="AT108" s="16">
        <v>25.684380000000001</v>
      </c>
      <c r="AU108" s="70" t="s">
        <v>752</v>
      </c>
      <c r="AV108" s="16">
        <f t="shared" si="66"/>
        <v>99.633260000000007</v>
      </c>
      <c r="AW108" s="18">
        <v>46.65</v>
      </c>
      <c r="AX108" s="13">
        <f t="shared" si="60"/>
        <v>0.46649999999999997</v>
      </c>
      <c r="AY108" s="1" t="s">
        <v>658</v>
      </c>
      <c r="AZ108" s="16">
        <f>1/(0.005)</f>
        <v>200</v>
      </c>
      <c r="BA108" s="16" t="s">
        <v>55</v>
      </c>
      <c r="BB108" s="8">
        <f t="shared" si="61"/>
        <v>0.27404000000000001</v>
      </c>
      <c r="BC108" s="8">
        <f t="shared" si="62"/>
        <v>5.4808000000000003</v>
      </c>
      <c r="BD108" s="7">
        <v>20</v>
      </c>
      <c r="BE108" s="16">
        <f t="shared" si="63"/>
        <v>42.872454448017152</v>
      </c>
      <c r="BF108" s="8">
        <f t="shared" si="64"/>
        <v>1.6321783475814624</v>
      </c>
      <c r="BG108" s="8">
        <f t="shared" si="65"/>
        <v>1.3010299956639813</v>
      </c>
      <c r="BH108" s="2" t="s">
        <v>678</v>
      </c>
      <c r="BI108" s="1"/>
      <c r="BJ108" s="2"/>
      <c r="BK108" s="1"/>
      <c r="BL108" s="1"/>
      <c r="BM108" s="7"/>
      <c r="BN108" s="7"/>
      <c r="BO108" s="1"/>
      <c r="BP108" s="11"/>
      <c r="BQ108" s="11"/>
    </row>
    <row r="109" spans="1:69" x14ac:dyDescent="0.3">
      <c r="A109" s="20">
        <v>107</v>
      </c>
      <c r="B109" s="2" t="s">
        <v>653</v>
      </c>
      <c r="C109" s="2">
        <v>1997</v>
      </c>
      <c r="D109" s="2" t="s">
        <v>203</v>
      </c>
      <c r="E109" s="41" t="s">
        <v>790</v>
      </c>
      <c r="F109" s="20" t="s">
        <v>29</v>
      </c>
      <c r="G109" s="2" t="s">
        <v>686</v>
      </c>
      <c r="H109" s="2" t="s">
        <v>654</v>
      </c>
      <c r="I109" s="2" t="s">
        <v>565</v>
      </c>
      <c r="J109" s="2" t="str">
        <f>'PFAS Properties'!$D$28</f>
        <v>C2HF3O2</v>
      </c>
      <c r="K109" s="25">
        <f>'PFAS Properties'!$P$28</f>
        <v>113.9928</v>
      </c>
      <c r="L109" s="2">
        <f>'PFAS Properties'!$X$28</f>
        <v>-0.2</v>
      </c>
      <c r="M109" s="2" t="str">
        <f>'PFAS Properties'!$Y$28</f>
        <v>-</v>
      </c>
      <c r="N109" s="33">
        <v>0</v>
      </c>
      <c r="O109" s="33">
        <v>0</v>
      </c>
      <c r="P109" s="33">
        <v>0</v>
      </c>
      <c r="Q109" s="33">
        <f t="shared" si="51"/>
        <v>0.9999991087498562</v>
      </c>
      <c r="R109" s="33">
        <v>0</v>
      </c>
      <c r="S109" s="33">
        <f t="shared" si="52"/>
        <v>8.9125014380621806E-7</v>
      </c>
      <c r="T109" s="8">
        <f t="shared" si="54"/>
        <v>1</v>
      </c>
      <c r="U109" s="33">
        <f t="shared" si="55"/>
        <v>0</v>
      </c>
      <c r="V109" s="33">
        <f t="shared" si="56"/>
        <v>-0.9999991087498562</v>
      </c>
      <c r="W109" s="33">
        <f t="shared" si="57"/>
        <v>112.99280089125016</v>
      </c>
      <c r="X109" s="33">
        <v>96485</v>
      </c>
      <c r="Y109" s="16">
        <f t="shared" si="58"/>
        <v>-853.90319778506694</v>
      </c>
      <c r="Z109" s="2">
        <v>2</v>
      </c>
      <c r="AA109" s="2">
        <v>3</v>
      </c>
      <c r="AB109" s="8">
        <f t="shared" si="59"/>
        <v>0.42105263157894735</v>
      </c>
      <c r="AC109" s="16">
        <f t="shared" si="43"/>
        <v>50.00315809419542</v>
      </c>
      <c r="AD109" s="20">
        <v>1</v>
      </c>
      <c r="AE109" s="8">
        <f>'PFAS Properties'!$S$28</f>
        <v>7.9887818434536406</v>
      </c>
      <c r="AF109" s="8">
        <f>'PFAS Properties'!$V$28</f>
        <v>0.9</v>
      </c>
      <c r="AG109" s="26">
        <v>5.85</v>
      </c>
      <c r="AH109" s="2" t="s">
        <v>655</v>
      </c>
      <c r="AI109" s="2" t="s">
        <v>661</v>
      </c>
      <c r="AJ109" s="2" t="s">
        <v>661</v>
      </c>
      <c r="AK109" s="2" t="s">
        <v>661</v>
      </c>
      <c r="AL109" s="2" t="s">
        <v>661</v>
      </c>
      <c r="AM109" s="2" t="s">
        <v>661</v>
      </c>
      <c r="AN109" s="2" t="s">
        <v>661</v>
      </c>
      <c r="AO109" s="2" t="s">
        <v>661</v>
      </c>
      <c r="AP109" s="73">
        <v>23.1</v>
      </c>
      <c r="AQ109" s="4" t="s">
        <v>689</v>
      </c>
      <c r="AR109" s="71">
        <v>27.626999999999999</v>
      </c>
      <c r="AS109" s="71">
        <v>39.012440000000012</v>
      </c>
      <c r="AT109" s="16">
        <v>32.874420000000001</v>
      </c>
      <c r="AU109" s="70" t="s">
        <v>752</v>
      </c>
      <c r="AV109" s="16">
        <f t="shared" si="66"/>
        <v>99.513860000000008</v>
      </c>
      <c r="AW109" s="18">
        <v>5.05</v>
      </c>
      <c r="AX109" s="13">
        <f t="shared" si="60"/>
        <v>5.0499999999999996E-2</v>
      </c>
      <c r="AY109" s="1" t="s">
        <v>658</v>
      </c>
      <c r="AZ109" s="16">
        <f>1/(0.02)</f>
        <v>50</v>
      </c>
      <c r="BA109" s="2" t="s">
        <v>55</v>
      </c>
      <c r="BB109" s="8">
        <f t="shared" si="61"/>
        <v>0.27404000000000001</v>
      </c>
      <c r="BC109" s="8">
        <f t="shared" si="62"/>
        <v>5.4808000000000003</v>
      </c>
      <c r="BD109" s="7">
        <v>1.5</v>
      </c>
      <c r="BE109" s="16">
        <f t="shared" si="63"/>
        <v>29.702970297029704</v>
      </c>
      <c r="BF109" s="8">
        <f t="shared" si="64"/>
        <v>1.47279988093702</v>
      </c>
      <c r="BG109" s="8">
        <f t="shared" si="65"/>
        <v>0.17609125905568124</v>
      </c>
      <c r="BH109" s="2" t="s">
        <v>678</v>
      </c>
      <c r="BI109" s="1"/>
      <c r="BJ109" s="2"/>
      <c r="BK109" s="1"/>
      <c r="BL109" s="1"/>
      <c r="BM109" s="7"/>
      <c r="BN109" s="7"/>
      <c r="BO109" s="1"/>
      <c r="BP109" s="11"/>
      <c r="BQ109" s="11"/>
    </row>
    <row r="110" spans="1:69" x14ac:dyDescent="0.3">
      <c r="A110" s="20">
        <v>108</v>
      </c>
      <c r="B110" s="2" t="s">
        <v>653</v>
      </c>
      <c r="C110" s="2">
        <v>1997</v>
      </c>
      <c r="D110" s="2" t="s">
        <v>203</v>
      </c>
      <c r="E110" s="41" t="s">
        <v>790</v>
      </c>
      <c r="F110" s="20" t="s">
        <v>29</v>
      </c>
      <c r="G110" s="2" t="s">
        <v>687</v>
      </c>
      <c r="H110" s="2" t="s">
        <v>654</v>
      </c>
      <c r="I110" s="2" t="s">
        <v>565</v>
      </c>
      <c r="J110" s="2" t="str">
        <f>'PFAS Properties'!$D$28</f>
        <v>C2HF3O2</v>
      </c>
      <c r="K110" s="25">
        <f>'PFAS Properties'!$P$28</f>
        <v>113.9928</v>
      </c>
      <c r="L110" s="2">
        <f>'PFAS Properties'!$X$28</f>
        <v>-0.2</v>
      </c>
      <c r="M110" s="2" t="str">
        <f>'PFAS Properties'!$Y$28</f>
        <v>-</v>
      </c>
      <c r="N110" s="33">
        <v>0</v>
      </c>
      <c r="O110" s="33">
        <v>0</v>
      </c>
      <c r="P110" s="33">
        <v>0</v>
      </c>
      <c r="Q110" s="33">
        <f t="shared" si="51"/>
        <v>0.99997048877867123</v>
      </c>
      <c r="R110" s="33">
        <v>0</v>
      </c>
      <c r="S110" s="33">
        <f t="shared" si="52"/>
        <v>2.9511221328777069E-5</v>
      </c>
      <c r="T110" s="8">
        <f t="shared" si="54"/>
        <v>1</v>
      </c>
      <c r="U110" s="33">
        <f t="shared" si="55"/>
        <v>0</v>
      </c>
      <c r="V110" s="33">
        <f t="shared" si="56"/>
        <v>-0.99997048877867123</v>
      </c>
      <c r="W110" s="33">
        <f t="shared" si="57"/>
        <v>112.99282951122133</v>
      </c>
      <c r="X110" s="33">
        <v>96485</v>
      </c>
      <c r="Y110" s="16">
        <f t="shared" si="58"/>
        <v>-853.87854279928831</v>
      </c>
      <c r="Z110" s="2">
        <v>2</v>
      </c>
      <c r="AA110" s="2">
        <v>3</v>
      </c>
      <c r="AB110" s="8">
        <f t="shared" si="59"/>
        <v>0.42105263157894735</v>
      </c>
      <c r="AC110" s="16">
        <f t="shared" si="43"/>
        <v>50.00315809419542</v>
      </c>
      <c r="AD110" s="20">
        <v>1</v>
      </c>
      <c r="AE110" s="8">
        <f>'PFAS Properties'!$S$28</f>
        <v>7.9887818434536406</v>
      </c>
      <c r="AF110" s="8">
        <f>'PFAS Properties'!$V$28</f>
        <v>0.9</v>
      </c>
      <c r="AG110" s="26">
        <v>4.33</v>
      </c>
      <c r="AH110" s="2" t="s">
        <v>655</v>
      </c>
      <c r="AI110" s="2" t="s">
        <v>661</v>
      </c>
      <c r="AJ110" s="2" t="s">
        <v>661</v>
      </c>
      <c r="AK110" s="2" t="s">
        <v>661</v>
      </c>
      <c r="AL110" s="2" t="s">
        <v>661</v>
      </c>
      <c r="AM110" s="2" t="s">
        <v>661</v>
      </c>
      <c r="AN110" s="2" t="s">
        <v>661</v>
      </c>
      <c r="AO110" s="2" t="s">
        <v>661</v>
      </c>
      <c r="AP110" s="73">
        <v>5.5</v>
      </c>
      <c r="AQ110" s="4" t="s">
        <v>689</v>
      </c>
      <c r="AR110" s="71">
        <v>41.294633331999997</v>
      </c>
      <c r="AS110" s="71">
        <v>33.906466668</v>
      </c>
      <c r="AT110" s="16">
        <v>24.7012</v>
      </c>
      <c r="AU110" s="70" t="s">
        <v>752</v>
      </c>
      <c r="AV110" s="16">
        <f t="shared" si="66"/>
        <v>99.902299999999997</v>
      </c>
      <c r="AW110" s="18">
        <v>9.3000000000000007</v>
      </c>
      <c r="AX110" s="13">
        <f t="shared" si="60"/>
        <v>9.3000000000000013E-2</v>
      </c>
      <c r="AY110" s="1" t="s">
        <v>658</v>
      </c>
      <c r="AZ110" s="16">
        <f>1/(0.005)</f>
        <v>200</v>
      </c>
      <c r="BA110" s="16" t="s">
        <v>55</v>
      </c>
      <c r="BB110" s="8">
        <f t="shared" si="61"/>
        <v>0.27404000000000001</v>
      </c>
      <c r="BC110" s="8">
        <f t="shared" si="62"/>
        <v>5.4808000000000003</v>
      </c>
      <c r="BD110" s="7">
        <v>0.19</v>
      </c>
      <c r="BE110" s="16">
        <f t="shared" si="63"/>
        <v>2.0430107526881716</v>
      </c>
      <c r="BF110" s="8">
        <f t="shared" si="64"/>
        <v>0.31027065239889373</v>
      </c>
      <c r="BG110" s="8">
        <f t="shared" si="65"/>
        <v>-0.72124639904717103</v>
      </c>
      <c r="BH110" s="2" t="s">
        <v>678</v>
      </c>
      <c r="BI110" s="1"/>
      <c r="BJ110" s="2"/>
      <c r="BK110" s="1"/>
      <c r="BL110" s="1"/>
      <c r="BM110" s="7"/>
      <c r="BN110" s="7"/>
      <c r="BO110" s="1"/>
      <c r="BP110" s="11"/>
      <c r="BQ110" s="11"/>
    </row>
    <row r="111" spans="1:69" x14ac:dyDescent="0.3">
      <c r="A111" s="20">
        <v>109</v>
      </c>
      <c r="B111" s="2" t="s">
        <v>653</v>
      </c>
      <c r="C111" s="2">
        <v>1997</v>
      </c>
      <c r="D111" s="2" t="s">
        <v>203</v>
      </c>
      <c r="E111" s="41" t="s">
        <v>790</v>
      </c>
      <c r="F111" s="20" t="s">
        <v>29</v>
      </c>
      <c r="G111" s="2" t="s">
        <v>688</v>
      </c>
      <c r="H111" s="2" t="s">
        <v>654</v>
      </c>
      <c r="I111" s="2" t="s">
        <v>565</v>
      </c>
      <c r="J111" s="2" t="str">
        <f>'PFAS Properties'!$D$28</f>
        <v>C2HF3O2</v>
      </c>
      <c r="K111" s="25">
        <f>'PFAS Properties'!$P$28</f>
        <v>113.9928</v>
      </c>
      <c r="L111" s="2">
        <f>'PFAS Properties'!$X$28</f>
        <v>-0.2</v>
      </c>
      <c r="M111" s="2" t="str">
        <f>'PFAS Properties'!$Y$28</f>
        <v>-</v>
      </c>
      <c r="N111" s="33">
        <v>0</v>
      </c>
      <c r="O111" s="33">
        <v>0</v>
      </c>
      <c r="P111" s="33">
        <v>0</v>
      </c>
      <c r="Q111" s="33">
        <f t="shared" si="51"/>
        <v>0.99998769746364613</v>
      </c>
      <c r="R111" s="33">
        <v>0</v>
      </c>
      <c r="S111" s="33">
        <f t="shared" si="52"/>
        <v>1.2302536353861022E-5</v>
      </c>
      <c r="T111" s="8">
        <f t="shared" si="54"/>
        <v>1</v>
      </c>
      <c r="U111" s="33">
        <f t="shared" si="55"/>
        <v>0</v>
      </c>
      <c r="V111" s="33">
        <f t="shared" si="56"/>
        <v>-0.99998769746364613</v>
      </c>
      <c r="W111" s="33">
        <f t="shared" si="57"/>
        <v>112.99281230253635</v>
      </c>
      <c r="X111" s="33">
        <v>96485</v>
      </c>
      <c r="Y111" s="16">
        <f t="shared" si="58"/>
        <v>-853.89336740682336</v>
      </c>
      <c r="Z111" s="2">
        <v>2</v>
      </c>
      <c r="AA111" s="2">
        <v>3</v>
      </c>
      <c r="AB111" s="8">
        <f t="shared" si="59"/>
        <v>0.42105263157894735</v>
      </c>
      <c r="AC111" s="16">
        <f t="shared" si="43"/>
        <v>50.00315809419542</v>
      </c>
      <c r="AD111" s="20">
        <v>1</v>
      </c>
      <c r="AE111" s="8">
        <f>'PFAS Properties'!$S$28</f>
        <v>7.9887818434536406</v>
      </c>
      <c r="AF111" s="8">
        <f>'PFAS Properties'!$V$28</f>
        <v>0.9</v>
      </c>
      <c r="AG111" s="26">
        <v>4.71</v>
      </c>
      <c r="AH111" s="2" t="s">
        <v>655</v>
      </c>
      <c r="AI111" s="2" t="s">
        <v>661</v>
      </c>
      <c r="AJ111" s="2" t="s">
        <v>661</v>
      </c>
      <c r="AK111" s="2" t="s">
        <v>661</v>
      </c>
      <c r="AL111" s="2" t="s">
        <v>661</v>
      </c>
      <c r="AM111" s="2" t="s">
        <v>661</v>
      </c>
      <c r="AN111" s="2" t="s">
        <v>661</v>
      </c>
      <c r="AO111" s="2" t="s">
        <v>661</v>
      </c>
      <c r="AP111" s="73">
        <v>10.4</v>
      </c>
      <c r="AQ111" s="4" t="s">
        <v>689</v>
      </c>
      <c r="AR111" s="71">
        <v>28.642600000000002</v>
      </c>
      <c r="AS111" s="71">
        <v>43.101199999999999</v>
      </c>
      <c r="AT111" s="16">
        <v>28.362819999999999</v>
      </c>
      <c r="AU111" s="70" t="s">
        <v>752</v>
      </c>
      <c r="AV111" s="16">
        <f t="shared" si="66"/>
        <v>100.10661999999999</v>
      </c>
      <c r="AW111" s="18">
        <v>3.05</v>
      </c>
      <c r="AX111" s="13">
        <f t="shared" si="60"/>
        <v>3.0499999999999999E-2</v>
      </c>
      <c r="AY111" s="1" t="s">
        <v>658</v>
      </c>
      <c r="AZ111" s="16">
        <f>1/(0.02)</f>
        <v>50</v>
      </c>
      <c r="BA111" s="2" t="s">
        <v>55</v>
      </c>
      <c r="BB111" s="8">
        <f t="shared" si="61"/>
        <v>0.27404000000000001</v>
      </c>
      <c r="BC111" s="8">
        <f t="shared" si="62"/>
        <v>5.4808000000000003</v>
      </c>
      <c r="BD111" s="7">
        <v>0.32</v>
      </c>
      <c r="BE111" s="16">
        <f t="shared" si="63"/>
        <v>10.491803278688526</v>
      </c>
      <c r="BF111" s="8">
        <f t="shared" si="64"/>
        <v>1.0208501389731202</v>
      </c>
      <c r="BG111" s="8">
        <f t="shared" si="65"/>
        <v>-0.49485002168009401</v>
      </c>
      <c r="BH111" s="2" t="s">
        <v>678</v>
      </c>
      <c r="BI111" s="1"/>
      <c r="BJ111" s="2"/>
      <c r="BK111" s="1"/>
      <c r="BL111" s="1"/>
      <c r="BM111" s="7"/>
      <c r="BN111" s="7"/>
      <c r="BO111" s="1"/>
      <c r="BP111" s="11"/>
      <c r="BQ111" s="11"/>
    </row>
    <row r="112" spans="1:69" s="14" customFormat="1" x14ac:dyDescent="0.3">
      <c r="A112" s="20">
        <v>110</v>
      </c>
      <c r="B112" s="2" t="s">
        <v>202</v>
      </c>
      <c r="C112" s="2">
        <v>2019</v>
      </c>
      <c r="D112" s="2" t="s">
        <v>199</v>
      </c>
      <c r="E112" s="22" t="s">
        <v>791</v>
      </c>
      <c r="F112" s="20" t="s">
        <v>29</v>
      </c>
      <c r="G112" s="2" t="s">
        <v>39</v>
      </c>
      <c r="H112" s="2" t="str">
        <f>'PFAS Properties'!$B$29</f>
        <v>PFBA</v>
      </c>
      <c r="I112" s="2" t="str">
        <f>'PFAS Properties'!$C$29</f>
        <v>PFCA</v>
      </c>
      <c r="J112" s="2" t="str">
        <f>'PFAS Properties'!$D$29</f>
        <v>C4HF7O2</v>
      </c>
      <c r="K112" s="25">
        <f>'PFAS Properties'!$P$29</f>
        <v>213.9864</v>
      </c>
      <c r="L112" s="2">
        <f>'PFAS Properties'!$X$29</f>
        <v>-0.2</v>
      </c>
      <c r="M112" s="2" t="str">
        <f>'PFAS Properties'!$Y$29</f>
        <v>-</v>
      </c>
      <c r="N112" s="33">
        <v>0</v>
      </c>
      <c r="O112" s="33">
        <v>0</v>
      </c>
      <c r="P112" s="33">
        <v>0</v>
      </c>
      <c r="Q112" s="33">
        <f t="shared" si="51"/>
        <v>0.9999964518786969</v>
      </c>
      <c r="R112" s="33">
        <v>0</v>
      </c>
      <c r="S112" s="33">
        <f t="shared" si="52"/>
        <v>3.5481213031263005E-6</v>
      </c>
      <c r="T112" s="8">
        <f t="shared" si="54"/>
        <v>1</v>
      </c>
      <c r="U112" s="33">
        <f t="shared" si="55"/>
        <v>0</v>
      </c>
      <c r="V112" s="33">
        <f t="shared" si="56"/>
        <v>-0.9999964518786969</v>
      </c>
      <c r="W112" s="33">
        <f t="shared" si="57"/>
        <v>212.98640354812133</v>
      </c>
      <c r="X112" s="33">
        <v>96485</v>
      </c>
      <c r="Y112" s="16">
        <f t="shared" si="58"/>
        <v>-453.00853036713534</v>
      </c>
      <c r="Z112" s="16">
        <v>4</v>
      </c>
      <c r="AA112" s="16">
        <v>7</v>
      </c>
      <c r="AB112" s="8">
        <f t="shared" si="59"/>
        <v>0.36090225563909772</v>
      </c>
      <c r="AC112" s="16">
        <f t="shared" si="43"/>
        <v>62.153482651233901</v>
      </c>
      <c r="AD112" s="20">
        <f>'PFAS Properties'!$W$29</f>
        <v>3</v>
      </c>
      <c r="AE112" s="8">
        <f>'PFAS Properties'!$S$29</f>
        <v>6.1376705372367555</v>
      </c>
      <c r="AF112" s="2">
        <f>'PFAS Properties'!$V$29</f>
        <v>2.2000000000000002</v>
      </c>
      <c r="AG112" s="24">
        <v>5.25</v>
      </c>
      <c r="AH112" s="2" t="s">
        <v>661</v>
      </c>
      <c r="AI112" s="2" t="s">
        <v>661</v>
      </c>
      <c r="AJ112" s="2" t="s">
        <v>661</v>
      </c>
      <c r="AK112" s="2" t="s">
        <v>661</v>
      </c>
      <c r="AL112" s="2" t="s">
        <v>661</v>
      </c>
      <c r="AM112" s="2" t="s">
        <v>661</v>
      </c>
      <c r="AN112" s="2" t="s">
        <v>661</v>
      </c>
      <c r="AO112" s="2" t="s">
        <v>661</v>
      </c>
      <c r="AP112" s="72">
        <v>5.7023166666666656</v>
      </c>
      <c r="AQ112" s="70" t="s">
        <v>752</v>
      </c>
      <c r="AR112" s="16">
        <v>100</v>
      </c>
      <c r="AS112" s="16">
        <v>0</v>
      </c>
      <c r="AT112" s="16">
        <v>0</v>
      </c>
      <c r="AU112" s="2" t="s">
        <v>661</v>
      </c>
      <c r="AV112" s="16">
        <f t="shared" si="66"/>
        <v>100</v>
      </c>
      <c r="AW112" s="18">
        <v>0.4</v>
      </c>
      <c r="AX112" s="13">
        <f t="shared" si="60"/>
        <v>4.0000000000000001E-3</v>
      </c>
      <c r="AY112" s="13" t="s">
        <v>658</v>
      </c>
      <c r="AZ112" s="16">
        <f>2/0.01</f>
        <v>200</v>
      </c>
      <c r="BA112" s="16" t="s">
        <v>55</v>
      </c>
      <c r="BB112" s="16">
        <v>1</v>
      </c>
      <c r="BC112" s="16">
        <v>1000</v>
      </c>
      <c r="BD112" s="18">
        <v>0.11</v>
      </c>
      <c r="BE112" s="15">
        <f t="shared" si="63"/>
        <v>27.5</v>
      </c>
      <c r="BF112" s="15">
        <f t="shared" si="64"/>
        <v>1.4393326938302626</v>
      </c>
      <c r="BG112" s="8">
        <f t="shared" si="65"/>
        <v>-0.95860731484177497</v>
      </c>
      <c r="BH112" s="2" t="s">
        <v>605</v>
      </c>
      <c r="BI112" s="2"/>
      <c r="BJ112" s="2"/>
      <c r="BK112" s="2"/>
      <c r="BL112" s="2"/>
      <c r="BM112" s="20"/>
      <c r="BN112" s="20"/>
      <c r="BO112" s="2"/>
    </row>
    <row r="113" spans="1:67" s="14" customFormat="1" x14ac:dyDescent="0.3">
      <c r="A113" s="20">
        <v>111</v>
      </c>
      <c r="B113" s="2" t="s">
        <v>202</v>
      </c>
      <c r="C113" s="2">
        <v>2019</v>
      </c>
      <c r="D113" s="2" t="s">
        <v>199</v>
      </c>
      <c r="E113" s="10" t="s">
        <v>791</v>
      </c>
      <c r="F113" s="20" t="s">
        <v>29</v>
      </c>
      <c r="G113" s="2" t="s">
        <v>43</v>
      </c>
      <c r="H113" s="2" t="str">
        <f>'PFAS Properties'!$B$29</f>
        <v>PFBA</v>
      </c>
      <c r="I113" s="2" t="str">
        <f>'PFAS Properties'!$C$29</f>
        <v>PFCA</v>
      </c>
      <c r="J113" s="2" t="str">
        <f>'PFAS Properties'!$D$29</f>
        <v>C4HF7O2</v>
      </c>
      <c r="K113" s="25">
        <f>'PFAS Properties'!$P$29</f>
        <v>213.9864</v>
      </c>
      <c r="L113" s="2">
        <f>'PFAS Properties'!$X$29</f>
        <v>-0.2</v>
      </c>
      <c r="M113" s="2" t="str">
        <f>'PFAS Properties'!$Y$29</f>
        <v>-</v>
      </c>
      <c r="N113" s="33">
        <v>0</v>
      </c>
      <c r="O113" s="33">
        <v>0</v>
      </c>
      <c r="P113" s="33">
        <v>0</v>
      </c>
      <c r="Q113" s="33">
        <f t="shared" si="51"/>
        <v>0.99999865103893715</v>
      </c>
      <c r="R113" s="33">
        <v>0</v>
      </c>
      <c r="S113" s="33">
        <f t="shared" si="52"/>
        <v>1.3489610628932487E-6</v>
      </c>
      <c r="T113" s="8">
        <f t="shared" si="54"/>
        <v>1</v>
      </c>
      <c r="U113" s="33">
        <f t="shared" si="55"/>
        <v>0</v>
      </c>
      <c r="V113" s="33">
        <f t="shared" si="56"/>
        <v>-0.99999865103893715</v>
      </c>
      <c r="W113" s="33">
        <f t="shared" si="57"/>
        <v>212.9864013489611</v>
      </c>
      <c r="X113" s="33">
        <v>96485</v>
      </c>
      <c r="Y113" s="16">
        <f t="shared" si="58"/>
        <v>-453.00953128650292</v>
      </c>
      <c r="Z113" s="16">
        <v>4</v>
      </c>
      <c r="AA113" s="16">
        <v>7</v>
      </c>
      <c r="AB113" s="8">
        <f t="shared" si="59"/>
        <v>0.36090225563909772</v>
      </c>
      <c r="AC113" s="16">
        <f t="shared" si="43"/>
        <v>62.153482651233901</v>
      </c>
      <c r="AD113" s="20">
        <f>'PFAS Properties'!$W$29</f>
        <v>3</v>
      </c>
      <c r="AE113" s="8">
        <f>'PFAS Properties'!$S$29</f>
        <v>6.1376705372367555</v>
      </c>
      <c r="AF113" s="2">
        <f>'PFAS Properties'!$V$29</f>
        <v>2.2000000000000002</v>
      </c>
      <c r="AG113" s="24">
        <v>5.67</v>
      </c>
      <c r="AH113" s="2" t="s">
        <v>661</v>
      </c>
      <c r="AI113" s="15" t="s">
        <v>661</v>
      </c>
      <c r="AJ113" s="16" t="s">
        <v>661</v>
      </c>
      <c r="AK113" s="2" t="s">
        <v>661</v>
      </c>
      <c r="AL113" s="15" t="s">
        <v>661</v>
      </c>
      <c r="AM113" s="16" t="s">
        <v>661</v>
      </c>
      <c r="AN113" s="2" t="s">
        <v>661</v>
      </c>
      <c r="AO113" s="2" t="s">
        <v>661</v>
      </c>
      <c r="AP113" s="72">
        <v>9.2037666666666649</v>
      </c>
      <c r="AQ113" s="70" t="s">
        <v>752</v>
      </c>
      <c r="AR113" s="16">
        <v>71</v>
      </c>
      <c r="AS113" s="16">
        <v>24</v>
      </c>
      <c r="AT113" s="16">
        <v>5</v>
      </c>
      <c r="AU113" s="2" t="s">
        <v>661</v>
      </c>
      <c r="AV113" s="16">
        <f t="shared" si="66"/>
        <v>100</v>
      </c>
      <c r="AW113" s="18">
        <v>0.93</v>
      </c>
      <c r="AX113" s="13">
        <f t="shared" si="60"/>
        <v>9.300000000000001E-3</v>
      </c>
      <c r="AY113" s="13" t="s">
        <v>658</v>
      </c>
      <c r="AZ113" s="16">
        <f>2/0.01</f>
        <v>200</v>
      </c>
      <c r="BA113" s="16" t="s">
        <v>55</v>
      </c>
      <c r="BB113" s="16">
        <v>1</v>
      </c>
      <c r="BC113" s="16">
        <v>1000</v>
      </c>
      <c r="BD113" s="18">
        <v>0.12</v>
      </c>
      <c r="BE113" s="15">
        <f t="shared" si="63"/>
        <v>12.90322580645161</v>
      </c>
      <c r="BF113" s="15">
        <f t="shared" si="64"/>
        <v>1.1106982974936896</v>
      </c>
      <c r="BG113" s="8">
        <f t="shared" si="65"/>
        <v>-0.92081875395237522</v>
      </c>
      <c r="BH113" s="2" t="s">
        <v>605</v>
      </c>
      <c r="BI113" s="2"/>
      <c r="BJ113" s="2"/>
      <c r="BK113" s="2"/>
      <c r="BL113" s="2"/>
      <c r="BM113" s="20"/>
      <c r="BN113" s="20"/>
      <c r="BO113" s="2"/>
    </row>
    <row r="114" spans="1:67" s="14" customFormat="1" x14ac:dyDescent="0.3">
      <c r="A114" s="20">
        <v>112</v>
      </c>
      <c r="B114" s="2" t="s">
        <v>204</v>
      </c>
      <c r="C114" s="2">
        <v>2013</v>
      </c>
      <c r="D114" s="2" t="s">
        <v>203</v>
      </c>
      <c r="E114" s="10" t="s">
        <v>792</v>
      </c>
      <c r="F114" s="20" t="s">
        <v>29</v>
      </c>
      <c r="G114" s="2" t="s">
        <v>46</v>
      </c>
      <c r="H114" s="2" t="str">
        <f>'PFAS Properties'!$B$29</f>
        <v>PFBA</v>
      </c>
      <c r="I114" s="2" t="str">
        <f>'PFAS Properties'!$C$29</f>
        <v>PFCA</v>
      </c>
      <c r="J114" s="2" t="str">
        <f>'PFAS Properties'!$D$29</f>
        <v>C4HF7O2</v>
      </c>
      <c r="K114" s="25">
        <f>'PFAS Properties'!$P$29</f>
        <v>213.9864</v>
      </c>
      <c r="L114" s="2">
        <f>'PFAS Properties'!$X$29</f>
        <v>-0.2</v>
      </c>
      <c r="M114" s="2" t="str">
        <f>'PFAS Properties'!$Y$29</f>
        <v>-</v>
      </c>
      <c r="N114" s="33">
        <v>0</v>
      </c>
      <c r="O114" s="33">
        <v>0</v>
      </c>
      <c r="P114" s="33">
        <v>0</v>
      </c>
      <c r="Q114" s="33">
        <f t="shared" si="51"/>
        <v>0.99999949881301753</v>
      </c>
      <c r="R114" s="33">
        <v>0</v>
      </c>
      <c r="S114" s="33">
        <f t="shared" si="52"/>
        <v>5.0118698243875488E-7</v>
      </c>
      <c r="T114" s="8">
        <f t="shared" si="54"/>
        <v>1</v>
      </c>
      <c r="U114" s="33">
        <f t="shared" si="55"/>
        <v>0</v>
      </c>
      <c r="V114" s="33">
        <f t="shared" si="56"/>
        <v>-0.99999949881301753</v>
      </c>
      <c r="W114" s="33">
        <f t="shared" si="57"/>
        <v>212.98640050118698</v>
      </c>
      <c r="X114" s="33">
        <v>96485</v>
      </c>
      <c r="Y114" s="16">
        <f t="shared" si="58"/>
        <v>-453.00991713992693</v>
      </c>
      <c r="Z114" s="16">
        <v>4</v>
      </c>
      <c r="AA114" s="16">
        <v>7</v>
      </c>
      <c r="AB114" s="8">
        <f t="shared" si="59"/>
        <v>0.36090225563909772</v>
      </c>
      <c r="AC114" s="16">
        <f t="shared" si="43"/>
        <v>62.153482651233901</v>
      </c>
      <c r="AD114" s="20">
        <f>'PFAS Properties'!$W$29</f>
        <v>3</v>
      </c>
      <c r="AE114" s="8">
        <f>'PFAS Properties'!$S$29</f>
        <v>6.1376705372367555</v>
      </c>
      <c r="AF114" s="2">
        <f>'PFAS Properties'!$V$29</f>
        <v>2.2000000000000002</v>
      </c>
      <c r="AG114" s="24">
        <v>6.1</v>
      </c>
      <c r="AH114" s="2" t="s">
        <v>661</v>
      </c>
      <c r="AI114" s="15">
        <v>2.21</v>
      </c>
      <c r="AJ114" s="16">
        <f>AI114*1000/55.845</f>
        <v>39.573820395738203</v>
      </c>
      <c r="AK114" s="8">
        <f>AI114/10</f>
        <v>0.221</v>
      </c>
      <c r="AL114" s="15">
        <v>0.93</v>
      </c>
      <c r="AM114" s="16">
        <f>AL114*1000/26.98</f>
        <v>34.469977761304669</v>
      </c>
      <c r="AN114" s="8">
        <f>AL114/10</f>
        <v>9.2999999999999999E-2</v>
      </c>
      <c r="AO114" s="15" t="s">
        <v>41</v>
      </c>
      <c r="AP114" s="72">
        <v>14.27683666666667</v>
      </c>
      <c r="AQ114" s="70" t="s">
        <v>752</v>
      </c>
      <c r="AR114" s="16">
        <v>81</v>
      </c>
      <c r="AS114" s="16">
        <v>1</v>
      </c>
      <c r="AT114" s="16">
        <v>9</v>
      </c>
      <c r="AU114" s="16" t="s">
        <v>661</v>
      </c>
      <c r="AV114" s="16">
        <f t="shared" si="66"/>
        <v>91</v>
      </c>
      <c r="AW114" s="18">
        <v>1.7</v>
      </c>
      <c r="AX114" s="13">
        <f t="shared" si="60"/>
        <v>1.7000000000000001E-2</v>
      </c>
      <c r="AY114" s="13" t="s">
        <v>42</v>
      </c>
      <c r="AZ114" s="16">
        <f>15/0.04</f>
        <v>375</v>
      </c>
      <c r="BA114" s="16" t="s">
        <v>55</v>
      </c>
      <c r="BB114" s="15">
        <v>0.5</v>
      </c>
      <c r="BC114" s="16">
        <v>1000</v>
      </c>
      <c r="BD114" s="18">
        <v>0.61</v>
      </c>
      <c r="BE114" s="15">
        <f t="shared" si="63"/>
        <v>35.882352941176464</v>
      </c>
      <c r="BF114" s="15">
        <f t="shared" si="64"/>
        <v>1.554880913632493</v>
      </c>
      <c r="BG114" s="8">
        <f t="shared" si="65"/>
        <v>-0.21467016498923297</v>
      </c>
      <c r="BH114" s="13" t="s">
        <v>844</v>
      </c>
      <c r="BI114" s="15"/>
      <c r="BJ114" s="13"/>
      <c r="BK114" s="15"/>
      <c r="BL114" s="15"/>
      <c r="BM114" s="18"/>
      <c r="BN114" s="8"/>
      <c r="BO114" s="24"/>
    </row>
    <row r="115" spans="1:67" s="94" customFormat="1" x14ac:dyDescent="0.3">
      <c r="A115" s="83">
        <v>113</v>
      </c>
      <c r="B115" s="84" t="s">
        <v>204</v>
      </c>
      <c r="C115" s="84">
        <v>2013</v>
      </c>
      <c r="D115" s="84" t="s">
        <v>203</v>
      </c>
      <c r="E115" s="85" t="s">
        <v>792</v>
      </c>
      <c r="F115" s="83" t="s">
        <v>29</v>
      </c>
      <c r="G115" s="84" t="s">
        <v>50</v>
      </c>
      <c r="H115" s="84" t="str">
        <f>'PFAS Properties'!$B$29</f>
        <v>PFBA</v>
      </c>
      <c r="I115" s="84" t="str">
        <f>'PFAS Properties'!$C$29</f>
        <v>PFCA</v>
      </c>
      <c r="J115" s="84" t="str">
        <f>'PFAS Properties'!$D$29</f>
        <v>C4HF7O2</v>
      </c>
      <c r="K115" s="99">
        <f>'PFAS Properties'!$P$29</f>
        <v>213.9864</v>
      </c>
      <c r="L115" s="84">
        <f>'PFAS Properties'!$X$29</f>
        <v>-0.2</v>
      </c>
      <c r="M115" s="84" t="str">
        <f>'PFAS Properties'!$Y$29</f>
        <v>-</v>
      </c>
      <c r="N115" s="87">
        <v>0</v>
      </c>
      <c r="O115" s="87">
        <v>0</v>
      </c>
      <c r="P115" s="87">
        <v>0</v>
      </c>
      <c r="Q115" s="87">
        <f t="shared" si="51"/>
        <v>0.99999999000000006</v>
      </c>
      <c r="R115" s="87">
        <v>0</v>
      </c>
      <c r="S115" s="87">
        <f t="shared" si="52"/>
        <v>9.9999999000000002E-9</v>
      </c>
      <c r="T115" s="88">
        <f t="shared" si="54"/>
        <v>1</v>
      </c>
      <c r="U115" s="87">
        <f t="shared" si="55"/>
        <v>0</v>
      </c>
      <c r="V115" s="87">
        <f t="shared" si="56"/>
        <v>-0.99999999000000006</v>
      </c>
      <c r="W115" s="87">
        <f t="shared" si="57"/>
        <v>212.98640000999998</v>
      </c>
      <c r="X115" s="87">
        <v>96485</v>
      </c>
      <c r="Y115" s="89">
        <f t="shared" si="58"/>
        <v>-453.01014069733986</v>
      </c>
      <c r="Z115" s="89">
        <v>4</v>
      </c>
      <c r="AA115" s="89">
        <v>7</v>
      </c>
      <c r="AB115" s="88">
        <f t="shared" si="59"/>
        <v>0.36090225563909772</v>
      </c>
      <c r="AC115" s="89">
        <f t="shared" si="43"/>
        <v>62.153482651233901</v>
      </c>
      <c r="AD115" s="83">
        <f>'PFAS Properties'!$W$29</f>
        <v>3</v>
      </c>
      <c r="AE115" s="88">
        <f>'PFAS Properties'!$S$29</f>
        <v>6.1376705372367555</v>
      </c>
      <c r="AF115" s="84">
        <f>'PFAS Properties'!$V$29</f>
        <v>2.2000000000000002</v>
      </c>
      <c r="AG115" s="93">
        <v>7.8</v>
      </c>
      <c r="AH115" s="84" t="s">
        <v>661</v>
      </c>
      <c r="AI115" s="90">
        <v>6.14</v>
      </c>
      <c r="AJ115" s="89">
        <f>AI115/10</f>
        <v>0.61399999999999999</v>
      </c>
      <c r="AK115" s="88">
        <f>AI115/10</f>
        <v>0.61399999999999999</v>
      </c>
      <c r="AL115" s="90">
        <v>1.67</v>
      </c>
      <c r="AM115" s="90">
        <f>AL115/10</f>
        <v>0.16699999999999998</v>
      </c>
      <c r="AN115" s="88">
        <f>AL115/10</f>
        <v>0.16699999999999998</v>
      </c>
      <c r="AO115" s="90" t="s">
        <v>41</v>
      </c>
      <c r="AP115" s="92">
        <v>6.4956666666666676</v>
      </c>
      <c r="AQ115" s="84" t="s">
        <v>752</v>
      </c>
      <c r="AR115" s="89">
        <v>33</v>
      </c>
      <c r="AS115" s="89">
        <v>42</v>
      </c>
      <c r="AT115" s="89">
        <v>25</v>
      </c>
      <c r="AU115" s="89" t="s">
        <v>661</v>
      </c>
      <c r="AV115" s="89">
        <f t="shared" si="66"/>
        <v>100</v>
      </c>
      <c r="AW115" s="86">
        <v>4.5</v>
      </c>
      <c r="AX115" s="91">
        <f t="shared" si="60"/>
        <v>4.4999999999999998E-2</v>
      </c>
      <c r="AY115" s="91" t="s">
        <v>42</v>
      </c>
      <c r="AZ115" s="89">
        <f>15/0.04</f>
        <v>375</v>
      </c>
      <c r="BA115" s="89" t="s">
        <v>55</v>
      </c>
      <c r="BB115" s="90">
        <v>0.5</v>
      </c>
      <c r="BC115" s="89">
        <v>1000</v>
      </c>
      <c r="BD115" s="93">
        <v>3.18</v>
      </c>
      <c r="BE115" s="90">
        <f t="shared" si="63"/>
        <v>70.666666666666671</v>
      </c>
      <c r="BF115" s="90">
        <f t="shared" si="64"/>
        <v>1.8492146062090891</v>
      </c>
      <c r="BG115" s="88">
        <f t="shared" si="65"/>
        <v>0.50242711998443268</v>
      </c>
      <c r="BH115" s="91" t="s">
        <v>844</v>
      </c>
      <c r="BI115" s="90"/>
      <c r="BJ115" s="91"/>
      <c r="BK115" s="90"/>
      <c r="BL115" s="90"/>
      <c r="BM115" s="86"/>
      <c r="BN115" s="88"/>
      <c r="BO115" s="93"/>
    </row>
    <row r="116" spans="1:67" s="14" customFormat="1" x14ac:dyDescent="0.3">
      <c r="A116" s="20">
        <v>114</v>
      </c>
      <c r="B116" s="2" t="s">
        <v>204</v>
      </c>
      <c r="C116" s="2">
        <v>2013</v>
      </c>
      <c r="D116" s="2" t="s">
        <v>203</v>
      </c>
      <c r="E116" s="22" t="s">
        <v>792</v>
      </c>
      <c r="F116" s="20" t="s">
        <v>29</v>
      </c>
      <c r="G116" s="2" t="s">
        <v>40</v>
      </c>
      <c r="H116" s="2" t="str">
        <f>'PFAS Properties'!$B$29</f>
        <v>PFBA</v>
      </c>
      <c r="I116" s="2" t="str">
        <f>'PFAS Properties'!$C$29</f>
        <v>PFCA</v>
      </c>
      <c r="J116" s="2" t="str">
        <f>'PFAS Properties'!$D$29</f>
        <v>C4HF7O2</v>
      </c>
      <c r="K116" s="25">
        <f>'PFAS Properties'!$P$29</f>
        <v>213.9864</v>
      </c>
      <c r="L116" s="2">
        <f>'PFAS Properties'!$X$29</f>
        <v>-0.2</v>
      </c>
      <c r="M116" s="2" t="str">
        <f>'PFAS Properties'!$Y$29</f>
        <v>-</v>
      </c>
      <c r="N116" s="33">
        <v>0</v>
      </c>
      <c r="O116" s="33">
        <v>0</v>
      </c>
      <c r="P116" s="33">
        <v>0</v>
      </c>
      <c r="Q116" s="33">
        <f t="shared" si="51"/>
        <v>0.99999601894414336</v>
      </c>
      <c r="R116" s="33">
        <v>0</v>
      </c>
      <c r="S116" s="33">
        <f t="shared" si="52"/>
        <v>3.981055856666137E-6</v>
      </c>
      <c r="T116" s="8">
        <f t="shared" si="54"/>
        <v>1</v>
      </c>
      <c r="U116" s="33">
        <f t="shared" si="55"/>
        <v>0</v>
      </c>
      <c r="V116" s="33">
        <f t="shared" si="56"/>
        <v>-0.99999601894414336</v>
      </c>
      <c r="W116" s="33">
        <f t="shared" si="57"/>
        <v>212.98640398105584</v>
      </c>
      <c r="X116" s="33">
        <v>96485</v>
      </c>
      <c r="Y116" s="16">
        <f t="shared" si="58"/>
        <v>-453.00833332256991</v>
      </c>
      <c r="Z116" s="16">
        <v>4</v>
      </c>
      <c r="AA116" s="16">
        <v>7</v>
      </c>
      <c r="AB116" s="8">
        <f t="shared" si="59"/>
        <v>0.36090225563909772</v>
      </c>
      <c r="AC116" s="16">
        <f t="shared" si="43"/>
        <v>62.153482651233901</v>
      </c>
      <c r="AD116" s="20">
        <f>'PFAS Properties'!$W$29</f>
        <v>3</v>
      </c>
      <c r="AE116" s="8">
        <f>'PFAS Properties'!$S$29</f>
        <v>6.1376705372367555</v>
      </c>
      <c r="AF116" s="2">
        <f>'PFAS Properties'!$V$29</f>
        <v>2.2000000000000002</v>
      </c>
      <c r="AG116" s="24">
        <v>5.2</v>
      </c>
      <c r="AH116" s="2" t="s">
        <v>661</v>
      </c>
      <c r="AI116" s="15">
        <v>24.17</v>
      </c>
      <c r="AJ116" s="16">
        <f>AI116*1000/55.845</f>
        <v>432.80508550452146</v>
      </c>
      <c r="AK116" s="8">
        <f>AI116/10</f>
        <v>2.4170000000000003</v>
      </c>
      <c r="AL116" s="15">
        <v>3.99</v>
      </c>
      <c r="AM116" s="16">
        <f>AL116*1000/26.98</f>
        <v>147.88732394366198</v>
      </c>
      <c r="AN116" s="8">
        <f>AL116/10</f>
        <v>0.39900000000000002</v>
      </c>
      <c r="AO116" s="15" t="s">
        <v>41</v>
      </c>
      <c r="AP116" s="72">
        <v>12.009766666666669</v>
      </c>
      <c r="AQ116" s="70" t="s">
        <v>752</v>
      </c>
      <c r="AR116" s="16">
        <v>47</v>
      </c>
      <c r="AS116" s="16">
        <v>20</v>
      </c>
      <c r="AT116" s="16">
        <v>33</v>
      </c>
      <c r="AU116" s="16" t="s">
        <v>661</v>
      </c>
      <c r="AV116" s="16">
        <f t="shared" si="66"/>
        <v>100</v>
      </c>
      <c r="AW116" s="18">
        <v>0.8</v>
      </c>
      <c r="AX116" s="13">
        <f t="shared" si="60"/>
        <v>8.0000000000000002E-3</v>
      </c>
      <c r="AY116" s="13" t="s">
        <v>42</v>
      </c>
      <c r="AZ116" s="16">
        <f>15/0.04</f>
        <v>375</v>
      </c>
      <c r="BA116" s="16" t="s">
        <v>55</v>
      </c>
      <c r="BB116" s="15">
        <v>0.5</v>
      </c>
      <c r="BC116" s="16">
        <v>1000</v>
      </c>
      <c r="BD116" s="18">
        <v>0.79</v>
      </c>
      <c r="BE116" s="15">
        <f t="shared" si="63"/>
        <v>98.75</v>
      </c>
      <c r="BF116" s="15">
        <f t="shared" si="64"/>
        <v>1.9945371042984978</v>
      </c>
      <c r="BG116" s="8">
        <f t="shared" si="65"/>
        <v>-0.10237290870955855</v>
      </c>
      <c r="BH116" s="13" t="s">
        <v>844</v>
      </c>
      <c r="BI116" s="16"/>
      <c r="BJ116" s="13"/>
      <c r="BK116" s="15"/>
      <c r="BL116" s="16"/>
      <c r="BM116" s="18"/>
      <c r="BN116" s="8"/>
      <c r="BO116" s="24"/>
    </row>
    <row r="117" spans="1:67" s="14" customFormat="1" x14ac:dyDescent="0.3">
      <c r="A117" s="20">
        <v>115</v>
      </c>
      <c r="B117" s="2" t="s">
        <v>206</v>
      </c>
      <c r="C117" s="2">
        <v>2020</v>
      </c>
      <c r="D117" s="2" t="s">
        <v>201</v>
      </c>
      <c r="E117" s="10" t="s">
        <v>793</v>
      </c>
      <c r="F117" s="20" t="s">
        <v>29</v>
      </c>
      <c r="G117" s="2" t="s">
        <v>44</v>
      </c>
      <c r="H117" s="2" t="str">
        <f>'PFAS Properties'!$B$29</f>
        <v>PFBA</v>
      </c>
      <c r="I117" s="2" t="str">
        <f>'PFAS Properties'!$C$29</f>
        <v>PFCA</v>
      </c>
      <c r="J117" s="2" t="str">
        <f>'PFAS Properties'!$D$29</f>
        <v>C4HF7O2</v>
      </c>
      <c r="K117" s="25">
        <f>'PFAS Properties'!$P$29</f>
        <v>213.9864</v>
      </c>
      <c r="L117" s="2">
        <f>'PFAS Properties'!$X$29</f>
        <v>-0.2</v>
      </c>
      <c r="M117" s="2" t="str">
        <f>'PFAS Properties'!$Y$29</f>
        <v>-</v>
      </c>
      <c r="N117" s="33">
        <v>0</v>
      </c>
      <c r="O117" s="33">
        <v>0</v>
      </c>
      <c r="P117" s="33">
        <v>0</v>
      </c>
      <c r="Q117" s="33">
        <f t="shared" si="51"/>
        <v>0.99999999000000006</v>
      </c>
      <c r="R117" s="33">
        <v>0</v>
      </c>
      <c r="S117" s="33">
        <f t="shared" si="52"/>
        <v>9.9999999000000002E-9</v>
      </c>
      <c r="T117" s="8">
        <f t="shared" si="54"/>
        <v>1</v>
      </c>
      <c r="U117" s="33">
        <f t="shared" si="55"/>
        <v>0</v>
      </c>
      <c r="V117" s="33">
        <f t="shared" si="56"/>
        <v>-0.99999999000000006</v>
      </c>
      <c r="W117" s="33">
        <f t="shared" si="57"/>
        <v>212.98640000999998</v>
      </c>
      <c r="X117" s="33">
        <v>96485</v>
      </c>
      <c r="Y117" s="16">
        <f t="shared" si="58"/>
        <v>-453.01014069733986</v>
      </c>
      <c r="Z117" s="16">
        <v>4</v>
      </c>
      <c r="AA117" s="16">
        <v>7</v>
      </c>
      <c r="AB117" s="8">
        <f t="shared" si="59"/>
        <v>0.36090225563909772</v>
      </c>
      <c r="AC117" s="16">
        <f t="shared" si="43"/>
        <v>62.153482651233901</v>
      </c>
      <c r="AD117" s="20">
        <f>'PFAS Properties'!$W$29</f>
        <v>3</v>
      </c>
      <c r="AE117" s="8">
        <f>'PFAS Properties'!$S$29</f>
        <v>6.1376705372367555</v>
      </c>
      <c r="AF117" s="2">
        <f>'PFAS Properties'!$V$29</f>
        <v>2.2000000000000002</v>
      </c>
      <c r="AG117" s="24">
        <v>7.8</v>
      </c>
      <c r="AH117" s="2" t="s">
        <v>661</v>
      </c>
      <c r="AI117" s="2" t="s">
        <v>661</v>
      </c>
      <c r="AJ117" s="2" t="s">
        <v>661</v>
      </c>
      <c r="AK117" s="2" t="s">
        <v>661</v>
      </c>
      <c r="AL117" s="2" t="s">
        <v>661</v>
      </c>
      <c r="AM117" s="2" t="s">
        <v>661</v>
      </c>
      <c r="AN117" s="2" t="s">
        <v>661</v>
      </c>
      <c r="AO117" s="2" t="s">
        <v>661</v>
      </c>
      <c r="AP117" s="72">
        <v>11.17476666666666</v>
      </c>
      <c r="AQ117" s="70" t="s">
        <v>752</v>
      </c>
      <c r="AR117" s="16">
        <v>47</v>
      </c>
      <c r="AS117" s="16">
        <v>38</v>
      </c>
      <c r="AT117" s="16">
        <v>15</v>
      </c>
      <c r="AU117" s="16" t="s">
        <v>661</v>
      </c>
      <c r="AV117" s="16">
        <f t="shared" si="66"/>
        <v>100</v>
      </c>
      <c r="AW117" s="18">
        <v>1.43</v>
      </c>
      <c r="AX117" s="13">
        <f t="shared" si="60"/>
        <v>1.43E-2</v>
      </c>
      <c r="AY117" s="8" t="s">
        <v>45</v>
      </c>
      <c r="AZ117" s="16">
        <f>5/0.025</f>
        <v>200</v>
      </c>
      <c r="BA117" s="16" t="s">
        <v>55</v>
      </c>
      <c r="BB117" s="16">
        <v>1</v>
      </c>
      <c r="BC117" s="16">
        <v>500</v>
      </c>
      <c r="BD117" s="20">
        <v>0.85</v>
      </c>
      <c r="BE117" s="15">
        <f t="shared" si="63"/>
        <v>59.44055944055944</v>
      </c>
      <c r="BF117" s="15">
        <f t="shared" si="64"/>
        <v>1.774082888249231</v>
      </c>
      <c r="BG117" s="8">
        <f t="shared" si="65"/>
        <v>-7.0581074285707285E-2</v>
      </c>
      <c r="BH117" s="2" t="s">
        <v>855</v>
      </c>
      <c r="BI117" s="8"/>
      <c r="BJ117" s="13"/>
      <c r="BK117" s="15"/>
      <c r="BL117" s="8"/>
      <c r="BM117" s="18"/>
      <c r="BN117" s="8"/>
      <c r="BO117" s="24"/>
    </row>
    <row r="118" spans="1:67" s="14" customFormat="1" x14ac:dyDescent="0.3">
      <c r="A118" s="20">
        <v>116</v>
      </c>
      <c r="B118" s="2" t="s">
        <v>214</v>
      </c>
      <c r="C118" s="2">
        <v>2022</v>
      </c>
      <c r="D118" s="2" t="s">
        <v>201</v>
      </c>
      <c r="E118" s="22" t="s">
        <v>808</v>
      </c>
      <c r="F118" s="20" t="s">
        <v>29</v>
      </c>
      <c r="G118" s="2" t="s">
        <v>233</v>
      </c>
      <c r="H118" s="2" t="str">
        <f>'PFAS Properties'!$B$29</f>
        <v>PFBA</v>
      </c>
      <c r="I118" s="2" t="str">
        <f>'PFAS Properties'!$C$29</f>
        <v>PFCA</v>
      </c>
      <c r="J118" s="2" t="str">
        <f>'PFAS Properties'!$D$29</f>
        <v>C4HF7O2</v>
      </c>
      <c r="K118" s="25">
        <f>'PFAS Properties'!$P$29</f>
        <v>213.9864</v>
      </c>
      <c r="L118" s="2">
        <f>'PFAS Properties'!$X$29</f>
        <v>-0.2</v>
      </c>
      <c r="M118" s="2" t="str">
        <f>'PFAS Properties'!$Y$29</f>
        <v>-</v>
      </c>
      <c r="N118" s="33">
        <v>0</v>
      </c>
      <c r="O118" s="33">
        <v>0</v>
      </c>
      <c r="P118" s="33">
        <v>0</v>
      </c>
      <c r="Q118" s="33">
        <f t="shared" si="51"/>
        <v>0.99999000009999905</v>
      </c>
      <c r="R118" s="33">
        <v>0</v>
      </c>
      <c r="S118" s="33">
        <f t="shared" si="52"/>
        <v>9.9999000009999908E-6</v>
      </c>
      <c r="T118" s="8">
        <f t="shared" si="54"/>
        <v>1</v>
      </c>
      <c r="U118" s="33">
        <f t="shared" si="55"/>
        <v>0</v>
      </c>
      <c r="V118" s="33">
        <f t="shared" si="56"/>
        <v>-0.99999000009999905</v>
      </c>
      <c r="W118" s="33">
        <f t="shared" si="57"/>
        <v>212.98640999990002</v>
      </c>
      <c r="X118" s="33">
        <v>96485</v>
      </c>
      <c r="Y118" s="16">
        <f t="shared" si="58"/>
        <v>-453.00559392354512</v>
      </c>
      <c r="Z118" s="16">
        <v>4</v>
      </c>
      <c r="AA118" s="16">
        <v>7</v>
      </c>
      <c r="AB118" s="8">
        <f t="shared" si="59"/>
        <v>0.36090225563909772</v>
      </c>
      <c r="AC118" s="16">
        <f t="shared" si="43"/>
        <v>62.153482651233901</v>
      </c>
      <c r="AD118" s="20">
        <f>'PFAS Properties'!$W$29</f>
        <v>3</v>
      </c>
      <c r="AE118" s="8">
        <f>'PFAS Properties'!$S$29</f>
        <v>6.1376705372367555</v>
      </c>
      <c r="AF118" s="2">
        <f>'PFAS Properties'!$V$29</f>
        <v>2.2000000000000002</v>
      </c>
      <c r="AG118" s="24">
        <v>4.8</v>
      </c>
      <c r="AH118" s="2" t="s">
        <v>216</v>
      </c>
      <c r="AI118" s="2">
        <v>8.3000000000000007</v>
      </c>
      <c r="AJ118" s="15">
        <f t="shared" ref="AJ118:AJ125" si="67">AI118*1000/55.845</f>
        <v>148.62566030978601</v>
      </c>
      <c r="AK118" s="15">
        <f t="shared" ref="AK118:AK126" si="68">AI118/10</f>
        <v>0.83000000000000007</v>
      </c>
      <c r="AL118" s="15">
        <v>7.85</v>
      </c>
      <c r="AM118" s="15">
        <f t="shared" ref="AM118:AM125" si="69">AL118*1000/26.98</f>
        <v>290.95626389918459</v>
      </c>
      <c r="AN118" s="15">
        <f t="shared" ref="AN118:AN126" si="70">AL118/10</f>
        <v>0.78499999999999992</v>
      </c>
      <c r="AO118" s="15" t="s">
        <v>217</v>
      </c>
      <c r="AP118" s="72">
        <v>15.34083666666667</v>
      </c>
      <c r="AQ118" s="70" t="s">
        <v>752</v>
      </c>
      <c r="AR118" s="16">
        <v>32</v>
      </c>
      <c r="AS118" s="16">
        <v>40</v>
      </c>
      <c r="AT118" s="16">
        <v>28</v>
      </c>
      <c r="AU118" s="16" t="s">
        <v>661</v>
      </c>
      <c r="AV118" s="16">
        <f t="shared" si="66"/>
        <v>100</v>
      </c>
      <c r="AW118" s="18">
        <v>4.9000000000000004</v>
      </c>
      <c r="AX118" s="13">
        <f t="shared" si="60"/>
        <v>4.9000000000000002E-2</v>
      </c>
      <c r="AY118" s="8" t="s">
        <v>218</v>
      </c>
      <c r="AZ118" s="16">
        <f>1.5/0.075</f>
        <v>20</v>
      </c>
      <c r="BA118" s="16" t="s">
        <v>55</v>
      </c>
      <c r="BB118" s="16">
        <v>10</v>
      </c>
      <c r="BC118" s="16" t="s">
        <v>55</v>
      </c>
      <c r="BD118" s="20">
        <v>0.24</v>
      </c>
      <c r="BE118" s="15">
        <f t="shared" si="63"/>
        <v>4.8979591836734686</v>
      </c>
      <c r="BF118" s="15">
        <f t="shared" si="64"/>
        <v>0.69001516168309229</v>
      </c>
      <c r="BG118" s="8">
        <f t="shared" si="65"/>
        <v>-0.61978875828839397</v>
      </c>
      <c r="BH118" s="2" t="s">
        <v>374</v>
      </c>
      <c r="BI118" s="2"/>
      <c r="BJ118" s="2"/>
      <c r="BK118" s="2"/>
      <c r="BL118" s="2"/>
      <c r="BM118" s="20"/>
      <c r="BN118" s="20"/>
      <c r="BO118" s="2"/>
    </row>
    <row r="119" spans="1:67" s="14" customFormat="1" x14ac:dyDescent="0.3">
      <c r="A119" s="20">
        <v>117</v>
      </c>
      <c r="B119" s="2" t="s">
        <v>200</v>
      </c>
      <c r="C119" s="2">
        <v>2021</v>
      </c>
      <c r="D119" s="2" t="s">
        <v>201</v>
      </c>
      <c r="E119" s="10" t="s">
        <v>794</v>
      </c>
      <c r="F119" s="20" t="s">
        <v>29</v>
      </c>
      <c r="G119" s="2" t="s">
        <v>30</v>
      </c>
      <c r="H119" s="2" t="str">
        <f>'PFAS Properties'!$B$29</f>
        <v>PFBA</v>
      </c>
      <c r="I119" s="2" t="str">
        <f>'PFAS Properties'!$C$29</f>
        <v>PFCA</v>
      </c>
      <c r="J119" s="2" t="str">
        <f>'PFAS Properties'!$D$29</f>
        <v>C4HF7O2</v>
      </c>
      <c r="K119" s="25">
        <f>'PFAS Properties'!$P$29</f>
        <v>213.9864</v>
      </c>
      <c r="L119" s="2">
        <f>'PFAS Properties'!$X$29</f>
        <v>-0.2</v>
      </c>
      <c r="M119" s="2" t="str">
        <f>'PFAS Properties'!$Y$29</f>
        <v>-</v>
      </c>
      <c r="N119" s="33">
        <v>0</v>
      </c>
      <c r="O119" s="33">
        <v>0</v>
      </c>
      <c r="P119" s="33">
        <v>0</v>
      </c>
      <c r="Q119" s="33">
        <f t="shared" si="51"/>
        <v>0.99999800474166611</v>
      </c>
      <c r="R119" s="33">
        <v>0</v>
      </c>
      <c r="S119" s="33">
        <f t="shared" si="52"/>
        <v>1.9952583339051124E-6</v>
      </c>
      <c r="T119" s="8">
        <f t="shared" si="54"/>
        <v>1</v>
      </c>
      <c r="U119" s="33">
        <f t="shared" si="55"/>
        <v>0</v>
      </c>
      <c r="V119" s="33">
        <f t="shared" si="56"/>
        <v>-0.99999800474166611</v>
      </c>
      <c r="W119" s="33">
        <f t="shared" si="57"/>
        <v>212.98640199525835</v>
      </c>
      <c r="X119" s="33">
        <v>96485</v>
      </c>
      <c r="Y119" s="16">
        <f t="shared" si="58"/>
        <v>-453.00923713264876</v>
      </c>
      <c r="Z119" s="16">
        <v>4</v>
      </c>
      <c r="AA119" s="16">
        <v>7</v>
      </c>
      <c r="AB119" s="8">
        <f t="shared" si="59"/>
        <v>0.36090225563909772</v>
      </c>
      <c r="AC119" s="16">
        <f t="shared" si="43"/>
        <v>62.153482651233901</v>
      </c>
      <c r="AD119" s="20">
        <f>'PFAS Properties'!$W$29</f>
        <v>3</v>
      </c>
      <c r="AE119" s="8">
        <f>'PFAS Properties'!$S$29</f>
        <v>6.1376705372367555</v>
      </c>
      <c r="AF119" s="2">
        <f>'PFAS Properties'!$V$29</f>
        <v>2.2000000000000002</v>
      </c>
      <c r="AG119" s="24">
        <v>5.5</v>
      </c>
      <c r="AH119" s="2" t="s">
        <v>834</v>
      </c>
      <c r="AI119" s="15">
        <v>1.0129999999999999</v>
      </c>
      <c r="AJ119" s="16">
        <f t="shared" si="67"/>
        <v>18.13949324021846</v>
      </c>
      <c r="AK119" s="8">
        <f t="shared" si="68"/>
        <v>0.10129999999999999</v>
      </c>
      <c r="AL119" s="15">
        <v>0.40400000000000003</v>
      </c>
      <c r="AM119" s="16">
        <f t="shared" si="69"/>
        <v>14.974054855448481</v>
      </c>
      <c r="AN119" s="8">
        <f t="shared" si="70"/>
        <v>4.0400000000000005E-2</v>
      </c>
      <c r="AO119" s="15" t="s">
        <v>31</v>
      </c>
      <c r="AP119" s="15">
        <v>23.4</v>
      </c>
      <c r="AQ119" s="16" t="s">
        <v>689</v>
      </c>
      <c r="AR119" s="16">
        <v>54.4</v>
      </c>
      <c r="AS119" s="16">
        <v>35</v>
      </c>
      <c r="AT119" s="16">
        <v>10.6</v>
      </c>
      <c r="AU119" s="16" t="s">
        <v>664</v>
      </c>
      <c r="AV119" s="16">
        <f t="shared" si="66"/>
        <v>100</v>
      </c>
      <c r="AW119" s="18">
        <v>1.6</v>
      </c>
      <c r="AX119" s="13">
        <f t="shared" si="60"/>
        <v>1.6E-2</v>
      </c>
      <c r="AY119" s="8" t="s">
        <v>32</v>
      </c>
      <c r="AZ119" s="16">
        <f t="shared" ref="AZ119:AZ125" si="71">3/0.03</f>
        <v>100</v>
      </c>
      <c r="BA119" s="16" t="s">
        <v>55</v>
      </c>
      <c r="BB119" s="16">
        <v>30</v>
      </c>
      <c r="BC119" s="16" t="s">
        <v>55</v>
      </c>
      <c r="BD119" s="20">
        <v>0.55000000000000004</v>
      </c>
      <c r="BE119" s="15">
        <f t="shared" si="63"/>
        <v>34.375</v>
      </c>
      <c r="BF119" s="15">
        <f t="shared" si="64"/>
        <v>1.5362427068383191</v>
      </c>
      <c r="BG119" s="8">
        <f t="shared" si="65"/>
        <v>-0.25963731050575611</v>
      </c>
      <c r="BH119" s="2" t="s">
        <v>841</v>
      </c>
      <c r="BI119" s="2"/>
      <c r="BJ119" s="2"/>
      <c r="BK119" s="2"/>
      <c r="BL119" s="2"/>
      <c r="BM119" s="20"/>
      <c r="BN119" s="20"/>
      <c r="BO119" s="2"/>
    </row>
    <row r="120" spans="1:67" s="14" customFormat="1" x14ac:dyDescent="0.3">
      <c r="A120" s="20">
        <v>118</v>
      </c>
      <c r="B120" s="2" t="s">
        <v>200</v>
      </c>
      <c r="C120" s="2">
        <v>2021</v>
      </c>
      <c r="D120" s="2" t="s">
        <v>201</v>
      </c>
      <c r="E120" s="22" t="s">
        <v>794</v>
      </c>
      <c r="F120" s="20" t="s">
        <v>29</v>
      </c>
      <c r="G120" s="2" t="s">
        <v>33</v>
      </c>
      <c r="H120" s="2" t="str">
        <f>'PFAS Properties'!$B$29</f>
        <v>PFBA</v>
      </c>
      <c r="I120" s="2" t="str">
        <f>'PFAS Properties'!$C$29</f>
        <v>PFCA</v>
      </c>
      <c r="J120" s="2" t="str">
        <f>'PFAS Properties'!$D$29</f>
        <v>C4HF7O2</v>
      </c>
      <c r="K120" s="25">
        <f>'PFAS Properties'!$P$29</f>
        <v>213.9864</v>
      </c>
      <c r="L120" s="2">
        <f>'PFAS Properties'!$X$29</f>
        <v>-0.2</v>
      </c>
      <c r="M120" s="2" t="str">
        <f>'PFAS Properties'!$Y$29</f>
        <v>-</v>
      </c>
      <c r="N120" s="33">
        <v>0</v>
      </c>
      <c r="O120" s="33">
        <v>0</v>
      </c>
      <c r="P120" s="33">
        <v>0</v>
      </c>
      <c r="Q120" s="33">
        <f t="shared" si="51"/>
        <v>0.99999999369042658</v>
      </c>
      <c r="R120" s="33">
        <v>0</v>
      </c>
      <c r="S120" s="33">
        <f t="shared" si="52"/>
        <v>6.3095734049912165E-9</v>
      </c>
      <c r="T120" s="8">
        <f t="shared" si="54"/>
        <v>1</v>
      </c>
      <c r="U120" s="33">
        <f t="shared" si="55"/>
        <v>0</v>
      </c>
      <c r="V120" s="33">
        <f t="shared" si="56"/>
        <v>-0.99999999369042658</v>
      </c>
      <c r="W120" s="33">
        <f t="shared" si="57"/>
        <v>212.98640000630957</v>
      </c>
      <c r="X120" s="33">
        <v>96485</v>
      </c>
      <c r="Y120" s="16">
        <f t="shared" si="58"/>
        <v>-453.0101423769899</v>
      </c>
      <c r="Z120" s="16">
        <v>4</v>
      </c>
      <c r="AA120" s="16">
        <v>7</v>
      </c>
      <c r="AB120" s="8">
        <f t="shared" si="59"/>
        <v>0.36090225563909772</v>
      </c>
      <c r="AC120" s="16">
        <f t="shared" si="43"/>
        <v>62.153482651233901</v>
      </c>
      <c r="AD120" s="20">
        <f>'PFAS Properties'!$W$29</f>
        <v>3</v>
      </c>
      <c r="AE120" s="8">
        <f>'PFAS Properties'!$S$29</f>
        <v>6.1376705372367555</v>
      </c>
      <c r="AF120" s="2">
        <f>'PFAS Properties'!$V$29</f>
        <v>2.2000000000000002</v>
      </c>
      <c r="AG120" s="24">
        <v>8</v>
      </c>
      <c r="AH120" s="2" t="s">
        <v>834</v>
      </c>
      <c r="AI120" s="15">
        <v>2.9660000000000002</v>
      </c>
      <c r="AJ120" s="16">
        <f t="shared" si="67"/>
        <v>53.111290178171728</v>
      </c>
      <c r="AK120" s="8">
        <f t="shared" si="68"/>
        <v>0.29660000000000003</v>
      </c>
      <c r="AL120" s="15">
        <v>0.23</v>
      </c>
      <c r="AM120" s="16">
        <f t="shared" si="69"/>
        <v>8.5248332097850259</v>
      </c>
      <c r="AN120" s="8">
        <f t="shared" si="70"/>
        <v>2.3E-2</v>
      </c>
      <c r="AO120" s="15" t="s">
        <v>31</v>
      </c>
      <c r="AP120" s="15">
        <v>87.3</v>
      </c>
      <c r="AQ120" s="16" t="s">
        <v>689</v>
      </c>
      <c r="AR120" s="16">
        <v>12.2</v>
      </c>
      <c r="AS120" s="16">
        <v>54.3</v>
      </c>
      <c r="AT120" s="16">
        <v>33.5</v>
      </c>
      <c r="AU120" s="16" t="s">
        <v>664</v>
      </c>
      <c r="AV120" s="16">
        <f t="shared" si="66"/>
        <v>100</v>
      </c>
      <c r="AW120" s="18">
        <v>7.7</v>
      </c>
      <c r="AX120" s="13">
        <f t="shared" si="60"/>
        <v>7.6999999999999999E-2</v>
      </c>
      <c r="AY120" s="8" t="s">
        <v>32</v>
      </c>
      <c r="AZ120" s="16">
        <f t="shared" si="71"/>
        <v>100</v>
      </c>
      <c r="BA120" s="16" t="s">
        <v>55</v>
      </c>
      <c r="BB120" s="16">
        <v>30</v>
      </c>
      <c r="BC120" s="16" t="s">
        <v>55</v>
      </c>
      <c r="BD120" s="20">
        <v>0.89</v>
      </c>
      <c r="BE120" s="15">
        <f t="shared" si="63"/>
        <v>11.558441558441558</v>
      </c>
      <c r="BF120" s="15">
        <f t="shared" si="64"/>
        <v>1.062899281472431</v>
      </c>
      <c r="BG120" s="8">
        <f t="shared" si="65"/>
        <v>-5.0609993355087209E-2</v>
      </c>
      <c r="BH120" s="2" t="s">
        <v>841</v>
      </c>
      <c r="BI120" s="2"/>
      <c r="BJ120" s="2"/>
      <c r="BK120" s="2"/>
      <c r="BL120" s="2"/>
      <c r="BM120" s="20"/>
      <c r="BN120" s="20"/>
      <c r="BO120" s="2"/>
    </row>
    <row r="121" spans="1:67" s="14" customFormat="1" x14ac:dyDescent="0.3">
      <c r="A121" s="20">
        <v>119</v>
      </c>
      <c r="B121" s="2" t="s">
        <v>200</v>
      </c>
      <c r="C121" s="2">
        <v>2021</v>
      </c>
      <c r="D121" s="2" t="s">
        <v>201</v>
      </c>
      <c r="E121" s="10" t="s">
        <v>794</v>
      </c>
      <c r="F121" s="20" t="s">
        <v>29</v>
      </c>
      <c r="G121" s="2" t="s">
        <v>34</v>
      </c>
      <c r="H121" s="2" t="str">
        <f>'PFAS Properties'!$B$29</f>
        <v>PFBA</v>
      </c>
      <c r="I121" s="2" t="str">
        <f>'PFAS Properties'!$C$29</f>
        <v>PFCA</v>
      </c>
      <c r="J121" s="2" t="str">
        <f>'PFAS Properties'!$D$29</f>
        <v>C4HF7O2</v>
      </c>
      <c r="K121" s="25">
        <f>'PFAS Properties'!$P$29</f>
        <v>213.9864</v>
      </c>
      <c r="L121" s="2">
        <f>'PFAS Properties'!$X$29</f>
        <v>-0.2</v>
      </c>
      <c r="M121" s="2" t="str">
        <f>'PFAS Properties'!$Y$29</f>
        <v>-</v>
      </c>
      <c r="N121" s="33">
        <v>0</v>
      </c>
      <c r="O121" s="33">
        <v>0</v>
      </c>
      <c r="P121" s="33">
        <v>0</v>
      </c>
      <c r="Q121" s="33">
        <f t="shared" si="51"/>
        <v>0.99999601894414336</v>
      </c>
      <c r="R121" s="33">
        <v>0</v>
      </c>
      <c r="S121" s="33">
        <f t="shared" si="52"/>
        <v>3.981055856666137E-6</v>
      </c>
      <c r="T121" s="8">
        <f t="shared" si="54"/>
        <v>1</v>
      </c>
      <c r="U121" s="33">
        <f t="shared" si="55"/>
        <v>0</v>
      </c>
      <c r="V121" s="33">
        <f t="shared" si="56"/>
        <v>-0.99999601894414336</v>
      </c>
      <c r="W121" s="33">
        <f t="shared" si="57"/>
        <v>212.98640398105584</v>
      </c>
      <c r="X121" s="33">
        <v>96485</v>
      </c>
      <c r="Y121" s="16">
        <f t="shared" si="58"/>
        <v>-453.00833332256991</v>
      </c>
      <c r="Z121" s="16">
        <v>4</v>
      </c>
      <c r="AA121" s="16">
        <v>7</v>
      </c>
      <c r="AB121" s="8">
        <f t="shared" si="59"/>
        <v>0.36090225563909772</v>
      </c>
      <c r="AC121" s="16">
        <f t="shared" si="43"/>
        <v>62.153482651233901</v>
      </c>
      <c r="AD121" s="20">
        <f>'PFAS Properties'!$W$29</f>
        <v>3</v>
      </c>
      <c r="AE121" s="8">
        <f>'PFAS Properties'!$S$29</f>
        <v>6.1376705372367555</v>
      </c>
      <c r="AF121" s="2">
        <f>'PFAS Properties'!$V$29</f>
        <v>2.2000000000000002</v>
      </c>
      <c r="AG121" s="24">
        <v>5.2</v>
      </c>
      <c r="AH121" s="2" t="s">
        <v>834</v>
      </c>
      <c r="AI121" s="15">
        <v>4.5149999999999997</v>
      </c>
      <c r="AJ121" s="16">
        <f t="shared" si="67"/>
        <v>80.848777867311313</v>
      </c>
      <c r="AK121" s="8">
        <f t="shared" si="68"/>
        <v>0.45149999999999996</v>
      </c>
      <c r="AL121" s="15">
        <v>0.377</v>
      </c>
      <c r="AM121" s="16">
        <f t="shared" si="69"/>
        <v>13.973313565604151</v>
      </c>
      <c r="AN121" s="8">
        <f t="shared" si="70"/>
        <v>3.7699999999999997E-2</v>
      </c>
      <c r="AO121" s="15" t="s">
        <v>31</v>
      </c>
      <c r="AP121" s="15">
        <v>44.3</v>
      </c>
      <c r="AQ121" s="16" t="s">
        <v>689</v>
      </c>
      <c r="AR121" s="16">
        <v>41.3</v>
      </c>
      <c r="AS121" s="16">
        <v>39.799999999999997</v>
      </c>
      <c r="AT121" s="16">
        <v>18.899999999999999</v>
      </c>
      <c r="AU121" s="16" t="s">
        <v>664</v>
      </c>
      <c r="AV121" s="16">
        <f t="shared" si="66"/>
        <v>100</v>
      </c>
      <c r="AW121" s="18">
        <v>9.4</v>
      </c>
      <c r="AX121" s="13">
        <f t="shared" si="60"/>
        <v>9.4E-2</v>
      </c>
      <c r="AY121" s="8" t="s">
        <v>32</v>
      </c>
      <c r="AZ121" s="16">
        <f t="shared" si="71"/>
        <v>100</v>
      </c>
      <c r="BA121" s="16" t="s">
        <v>55</v>
      </c>
      <c r="BB121" s="16">
        <v>30</v>
      </c>
      <c r="BC121" s="16" t="s">
        <v>55</v>
      </c>
      <c r="BD121" s="20">
        <v>0.33</v>
      </c>
      <c r="BE121" s="15">
        <f t="shared" si="63"/>
        <v>3.5106382978723407</v>
      </c>
      <c r="BF121" s="15">
        <f t="shared" si="64"/>
        <v>0.54538608627818885</v>
      </c>
      <c r="BG121" s="8">
        <f t="shared" si="65"/>
        <v>-0.48148606012211248</v>
      </c>
      <c r="BH121" s="2" t="s">
        <v>841</v>
      </c>
      <c r="BI121" s="2"/>
      <c r="BJ121" s="2"/>
      <c r="BK121" s="2"/>
      <c r="BL121" s="2"/>
      <c r="BM121" s="20"/>
      <c r="BN121" s="20"/>
      <c r="BO121" s="2"/>
    </row>
    <row r="122" spans="1:67" s="14" customFormat="1" x14ac:dyDescent="0.3">
      <c r="A122" s="20">
        <v>120</v>
      </c>
      <c r="B122" s="2" t="s">
        <v>200</v>
      </c>
      <c r="C122" s="2">
        <v>2021</v>
      </c>
      <c r="D122" s="2" t="s">
        <v>201</v>
      </c>
      <c r="E122" s="10" t="s">
        <v>794</v>
      </c>
      <c r="F122" s="20" t="s">
        <v>29</v>
      </c>
      <c r="G122" s="2" t="s">
        <v>35</v>
      </c>
      <c r="H122" s="2" t="str">
        <f>'PFAS Properties'!$B$29</f>
        <v>PFBA</v>
      </c>
      <c r="I122" s="2" t="str">
        <f>'PFAS Properties'!$C$29</f>
        <v>PFCA</v>
      </c>
      <c r="J122" s="2" t="str">
        <f>'PFAS Properties'!$D$29</f>
        <v>C4HF7O2</v>
      </c>
      <c r="K122" s="25">
        <f>'PFAS Properties'!$P$29</f>
        <v>213.9864</v>
      </c>
      <c r="L122" s="2">
        <f>'PFAS Properties'!$X$29</f>
        <v>-0.2</v>
      </c>
      <c r="M122" s="2" t="str">
        <f>'PFAS Properties'!$Y$29</f>
        <v>-</v>
      </c>
      <c r="N122" s="33">
        <v>0</v>
      </c>
      <c r="O122" s="33">
        <v>0</v>
      </c>
      <c r="P122" s="33">
        <v>0</v>
      </c>
      <c r="Q122" s="33">
        <f t="shared" si="51"/>
        <v>0.99999900000099995</v>
      </c>
      <c r="R122" s="33">
        <v>0</v>
      </c>
      <c r="S122" s="33">
        <f t="shared" si="52"/>
        <v>9.9999900000100006E-7</v>
      </c>
      <c r="T122" s="8">
        <f t="shared" si="54"/>
        <v>1</v>
      </c>
      <c r="U122" s="33">
        <f t="shared" si="55"/>
        <v>0</v>
      </c>
      <c r="V122" s="33">
        <f t="shared" si="56"/>
        <v>-0.99999900000099995</v>
      </c>
      <c r="W122" s="33">
        <f t="shared" si="57"/>
        <v>212.98640099999901</v>
      </c>
      <c r="X122" s="33">
        <v>96485</v>
      </c>
      <c r="Y122" s="16">
        <f t="shared" si="58"/>
        <v>-453.00969011207872</v>
      </c>
      <c r="Z122" s="16">
        <v>4</v>
      </c>
      <c r="AA122" s="16">
        <v>7</v>
      </c>
      <c r="AB122" s="8">
        <f t="shared" si="59"/>
        <v>0.36090225563909772</v>
      </c>
      <c r="AC122" s="16">
        <f t="shared" si="43"/>
        <v>62.153482651233901</v>
      </c>
      <c r="AD122" s="20">
        <f>'PFAS Properties'!$W$29</f>
        <v>3</v>
      </c>
      <c r="AE122" s="8">
        <f>'PFAS Properties'!$S$29</f>
        <v>6.1376705372367555</v>
      </c>
      <c r="AF122" s="2">
        <f>'PFAS Properties'!$V$29</f>
        <v>2.2000000000000002</v>
      </c>
      <c r="AG122" s="24">
        <v>5.8</v>
      </c>
      <c r="AH122" s="2" t="s">
        <v>834</v>
      </c>
      <c r="AI122" s="15">
        <v>6.5019999999999998</v>
      </c>
      <c r="AJ122" s="16">
        <f t="shared" si="67"/>
        <v>116.42940281135286</v>
      </c>
      <c r="AK122" s="8">
        <f t="shared" si="68"/>
        <v>0.6502</v>
      </c>
      <c r="AL122" s="15">
        <v>1.732</v>
      </c>
      <c r="AM122" s="16">
        <f t="shared" si="69"/>
        <v>64.195700518902896</v>
      </c>
      <c r="AN122" s="8">
        <f t="shared" si="70"/>
        <v>0.17319999999999999</v>
      </c>
      <c r="AO122" s="15" t="s">
        <v>31</v>
      </c>
      <c r="AP122" s="15">
        <v>90</v>
      </c>
      <c r="AQ122" s="16" t="s">
        <v>689</v>
      </c>
      <c r="AR122" s="16">
        <v>46</v>
      </c>
      <c r="AS122" s="16">
        <v>51</v>
      </c>
      <c r="AT122" s="16">
        <v>3</v>
      </c>
      <c r="AU122" s="16" t="s">
        <v>664</v>
      </c>
      <c r="AV122" s="16">
        <f t="shared" si="66"/>
        <v>100</v>
      </c>
      <c r="AW122" s="18">
        <v>27</v>
      </c>
      <c r="AX122" s="13">
        <f t="shared" si="60"/>
        <v>0.27</v>
      </c>
      <c r="AY122" s="8" t="s">
        <v>32</v>
      </c>
      <c r="AZ122" s="16">
        <f t="shared" si="71"/>
        <v>100</v>
      </c>
      <c r="BA122" s="16" t="s">
        <v>55</v>
      </c>
      <c r="BB122" s="16">
        <v>30</v>
      </c>
      <c r="BC122" s="16" t="s">
        <v>55</v>
      </c>
      <c r="BD122" s="20">
        <v>0.91</v>
      </c>
      <c r="BE122" s="15">
        <f t="shared" si="63"/>
        <v>3.3703703703703702</v>
      </c>
      <c r="BF122" s="15">
        <f t="shared" si="64"/>
        <v>0.52767762816210628</v>
      </c>
      <c r="BG122" s="8">
        <f t="shared" si="65"/>
        <v>-4.0958607678906384E-2</v>
      </c>
      <c r="BH122" s="2" t="s">
        <v>841</v>
      </c>
      <c r="BI122" s="2"/>
      <c r="BJ122" s="2"/>
      <c r="BK122" s="2"/>
      <c r="BL122" s="2"/>
      <c r="BM122" s="20"/>
      <c r="BN122" s="20"/>
      <c r="BO122" s="2"/>
    </row>
    <row r="123" spans="1:67" s="14" customFormat="1" x14ac:dyDescent="0.3">
      <c r="A123" s="20">
        <v>121</v>
      </c>
      <c r="B123" s="2" t="s">
        <v>200</v>
      </c>
      <c r="C123" s="2">
        <v>2021</v>
      </c>
      <c r="D123" s="2" t="s">
        <v>201</v>
      </c>
      <c r="E123" s="10" t="s">
        <v>794</v>
      </c>
      <c r="F123" s="20" t="s">
        <v>29</v>
      </c>
      <c r="G123" s="2" t="s">
        <v>36</v>
      </c>
      <c r="H123" s="2" t="str">
        <f>'PFAS Properties'!$B$29</f>
        <v>PFBA</v>
      </c>
      <c r="I123" s="2" t="str">
        <f>'PFAS Properties'!$C$29</f>
        <v>PFCA</v>
      </c>
      <c r="J123" s="2" t="str">
        <f>'PFAS Properties'!$D$29</f>
        <v>C4HF7O2</v>
      </c>
      <c r="K123" s="25">
        <f>'PFAS Properties'!$P$29</f>
        <v>213.9864</v>
      </c>
      <c r="L123" s="2">
        <f>'PFAS Properties'!$X$29</f>
        <v>-0.2</v>
      </c>
      <c r="M123" s="2" t="str">
        <f>'PFAS Properties'!$Y$29</f>
        <v>-</v>
      </c>
      <c r="N123" s="33">
        <v>0</v>
      </c>
      <c r="O123" s="33">
        <v>0</v>
      </c>
      <c r="P123" s="33">
        <v>0</v>
      </c>
      <c r="Q123" s="33">
        <f t="shared" si="51"/>
        <v>0.99999874107617315</v>
      </c>
      <c r="R123" s="33">
        <v>0</v>
      </c>
      <c r="S123" s="33">
        <f t="shared" si="52"/>
        <v>1.2589238269029671E-6</v>
      </c>
      <c r="T123" s="8">
        <f t="shared" si="54"/>
        <v>1</v>
      </c>
      <c r="U123" s="33">
        <f t="shared" si="55"/>
        <v>0</v>
      </c>
      <c r="V123" s="33">
        <f t="shared" si="56"/>
        <v>-0.99999874107617315</v>
      </c>
      <c r="W123" s="33">
        <f t="shared" si="57"/>
        <v>212.98640125892385</v>
      </c>
      <c r="X123" s="33">
        <v>96485</v>
      </c>
      <c r="Y123" s="16">
        <f t="shared" si="58"/>
        <v>-453.00957226578794</v>
      </c>
      <c r="Z123" s="16">
        <v>4</v>
      </c>
      <c r="AA123" s="16">
        <v>7</v>
      </c>
      <c r="AB123" s="8">
        <f t="shared" si="59"/>
        <v>0.36090225563909772</v>
      </c>
      <c r="AC123" s="16">
        <f t="shared" si="43"/>
        <v>62.153482651233901</v>
      </c>
      <c r="AD123" s="20">
        <f>'PFAS Properties'!$W$29</f>
        <v>3</v>
      </c>
      <c r="AE123" s="8">
        <f>'PFAS Properties'!$S$29</f>
        <v>6.1376705372367555</v>
      </c>
      <c r="AF123" s="2">
        <f>'PFAS Properties'!$V$29</f>
        <v>2.2000000000000002</v>
      </c>
      <c r="AG123" s="24">
        <v>5.7</v>
      </c>
      <c r="AH123" s="2" t="s">
        <v>834</v>
      </c>
      <c r="AI123" s="15">
        <v>12.358000000000001</v>
      </c>
      <c r="AJ123" s="16">
        <f t="shared" si="67"/>
        <v>221.29107350702839</v>
      </c>
      <c r="AK123" s="8">
        <f t="shared" si="68"/>
        <v>1.2358</v>
      </c>
      <c r="AL123" s="15">
        <v>1.0269999999999999</v>
      </c>
      <c r="AM123" s="16">
        <f t="shared" si="69"/>
        <v>38.065233506300963</v>
      </c>
      <c r="AN123" s="8">
        <f t="shared" si="70"/>
        <v>0.10269999999999999</v>
      </c>
      <c r="AO123" s="15" t="s">
        <v>31</v>
      </c>
      <c r="AP123" s="15">
        <v>103</v>
      </c>
      <c r="AQ123" s="16" t="s">
        <v>689</v>
      </c>
      <c r="AR123" s="16">
        <v>35</v>
      </c>
      <c r="AS123" s="16">
        <v>63</v>
      </c>
      <c r="AT123" s="16">
        <v>2</v>
      </c>
      <c r="AU123" s="16" t="s">
        <v>664</v>
      </c>
      <c r="AV123" s="16">
        <f t="shared" si="66"/>
        <v>100</v>
      </c>
      <c r="AW123" s="18">
        <v>32</v>
      </c>
      <c r="AX123" s="13">
        <f t="shared" si="60"/>
        <v>0.32</v>
      </c>
      <c r="AY123" s="8" t="s">
        <v>32</v>
      </c>
      <c r="AZ123" s="16">
        <f t="shared" si="71"/>
        <v>100</v>
      </c>
      <c r="BA123" s="16" t="s">
        <v>55</v>
      </c>
      <c r="BB123" s="16">
        <v>30</v>
      </c>
      <c r="BC123" s="16" t="s">
        <v>55</v>
      </c>
      <c r="BD123" s="20">
        <v>1.2</v>
      </c>
      <c r="BE123" s="15">
        <f t="shared" si="63"/>
        <v>3.75</v>
      </c>
      <c r="BF123" s="15">
        <f t="shared" si="64"/>
        <v>0.57403126772771884</v>
      </c>
      <c r="BG123" s="8">
        <f t="shared" si="65"/>
        <v>7.9181246047624818E-2</v>
      </c>
      <c r="BH123" s="2" t="s">
        <v>841</v>
      </c>
      <c r="BI123" s="2"/>
      <c r="BJ123" s="2"/>
      <c r="BK123" s="2"/>
      <c r="BL123" s="2"/>
      <c r="BM123" s="20"/>
      <c r="BN123" s="20"/>
      <c r="BO123" s="2"/>
    </row>
    <row r="124" spans="1:67" s="14" customFormat="1" x14ac:dyDescent="0.3">
      <c r="A124" s="20">
        <v>122</v>
      </c>
      <c r="B124" s="2" t="s">
        <v>200</v>
      </c>
      <c r="C124" s="2">
        <v>2021</v>
      </c>
      <c r="D124" s="2" t="s">
        <v>201</v>
      </c>
      <c r="E124" s="10" t="s">
        <v>794</v>
      </c>
      <c r="F124" s="20" t="s">
        <v>29</v>
      </c>
      <c r="G124" s="2" t="s">
        <v>37</v>
      </c>
      <c r="H124" s="2" t="str">
        <f>'PFAS Properties'!$B$29</f>
        <v>PFBA</v>
      </c>
      <c r="I124" s="2" t="str">
        <f>'PFAS Properties'!$C$29</f>
        <v>PFCA</v>
      </c>
      <c r="J124" s="2" t="str">
        <f>'PFAS Properties'!$D$29</f>
        <v>C4HF7O2</v>
      </c>
      <c r="K124" s="25">
        <f>'PFAS Properties'!$P$29</f>
        <v>213.9864</v>
      </c>
      <c r="L124" s="2">
        <f>'PFAS Properties'!$X$29</f>
        <v>-0.2</v>
      </c>
      <c r="M124" s="2" t="str">
        <f>'PFAS Properties'!$Y$29</f>
        <v>-</v>
      </c>
      <c r="N124" s="33">
        <v>0</v>
      </c>
      <c r="O124" s="33">
        <v>0</v>
      </c>
      <c r="P124" s="33">
        <v>0</v>
      </c>
      <c r="Q124" s="33">
        <f t="shared" si="51"/>
        <v>0.99999874107617315</v>
      </c>
      <c r="R124" s="33">
        <v>0</v>
      </c>
      <c r="S124" s="33">
        <f t="shared" si="52"/>
        <v>1.2589238269029671E-6</v>
      </c>
      <c r="T124" s="8">
        <f t="shared" si="54"/>
        <v>1</v>
      </c>
      <c r="U124" s="33">
        <f t="shared" si="55"/>
        <v>0</v>
      </c>
      <c r="V124" s="33">
        <f t="shared" si="56"/>
        <v>-0.99999874107617315</v>
      </c>
      <c r="W124" s="33">
        <f t="shared" si="57"/>
        <v>212.98640125892385</v>
      </c>
      <c r="X124" s="33">
        <v>96485</v>
      </c>
      <c r="Y124" s="16">
        <f t="shared" si="58"/>
        <v>-453.00957226578794</v>
      </c>
      <c r="Z124" s="16">
        <v>4</v>
      </c>
      <c r="AA124" s="16">
        <v>7</v>
      </c>
      <c r="AB124" s="8">
        <f t="shared" si="59"/>
        <v>0.36090225563909772</v>
      </c>
      <c r="AC124" s="16">
        <f t="shared" si="43"/>
        <v>62.153482651233901</v>
      </c>
      <c r="AD124" s="20">
        <f>'PFAS Properties'!$W$29</f>
        <v>3</v>
      </c>
      <c r="AE124" s="8">
        <f>'PFAS Properties'!$S$29</f>
        <v>6.1376705372367555</v>
      </c>
      <c r="AF124" s="2">
        <f>'PFAS Properties'!$V$29</f>
        <v>2.2000000000000002</v>
      </c>
      <c r="AG124" s="24">
        <v>5.7</v>
      </c>
      <c r="AH124" s="2" t="s">
        <v>834</v>
      </c>
      <c r="AI124" s="15">
        <v>10.64</v>
      </c>
      <c r="AJ124" s="16">
        <f t="shared" si="67"/>
        <v>190.52735249350883</v>
      </c>
      <c r="AK124" s="8">
        <f t="shared" si="68"/>
        <v>1.0640000000000001</v>
      </c>
      <c r="AL124" s="15">
        <v>0.16700000000000001</v>
      </c>
      <c r="AM124" s="16">
        <f t="shared" si="69"/>
        <v>6.1897702001482582</v>
      </c>
      <c r="AN124" s="8">
        <f t="shared" si="70"/>
        <v>1.67E-2</v>
      </c>
      <c r="AO124" s="15" t="s">
        <v>31</v>
      </c>
      <c r="AP124" s="15">
        <v>140</v>
      </c>
      <c r="AQ124" s="16" t="s">
        <v>689</v>
      </c>
      <c r="AR124" s="16">
        <v>20.7</v>
      </c>
      <c r="AS124" s="16">
        <v>78</v>
      </c>
      <c r="AT124" s="16">
        <v>1.3</v>
      </c>
      <c r="AU124" s="16" t="s">
        <v>664</v>
      </c>
      <c r="AV124" s="16">
        <f t="shared" ref="AV124:AV148" si="72">SUM(AR124:AT124)</f>
        <v>100</v>
      </c>
      <c r="AW124" s="18">
        <v>39</v>
      </c>
      <c r="AX124" s="13">
        <f t="shared" ref="AX124:AX154" si="73">AW124/100</f>
        <v>0.39</v>
      </c>
      <c r="AY124" s="8" t="s">
        <v>32</v>
      </c>
      <c r="AZ124" s="16">
        <f t="shared" si="71"/>
        <v>100</v>
      </c>
      <c r="BA124" s="16" t="s">
        <v>55</v>
      </c>
      <c r="BB124" s="16">
        <v>30</v>
      </c>
      <c r="BC124" s="16" t="s">
        <v>55</v>
      </c>
      <c r="BD124" s="20">
        <v>1.7</v>
      </c>
      <c r="BE124" s="15">
        <f t="shared" ref="BE124:BE148" si="74">BD124/AX124</f>
        <v>4.3589743589743586</v>
      </c>
      <c r="BF124" s="15">
        <f t="shared" si="64"/>
        <v>0.63938431435177467</v>
      </c>
      <c r="BG124" s="8">
        <f t="shared" ref="BG124:BG148" si="75">LOG(BD124)</f>
        <v>0.23044892137827391</v>
      </c>
      <c r="BH124" s="2" t="s">
        <v>841</v>
      </c>
      <c r="BI124" s="2"/>
      <c r="BJ124" s="2"/>
      <c r="BK124" s="2"/>
      <c r="BL124" s="2"/>
      <c r="BM124" s="20"/>
      <c r="BN124" s="20"/>
      <c r="BO124" s="2"/>
    </row>
    <row r="125" spans="1:67" s="14" customFormat="1" x14ac:dyDescent="0.3">
      <c r="A125" s="20">
        <v>123</v>
      </c>
      <c r="B125" s="2" t="s">
        <v>200</v>
      </c>
      <c r="C125" s="2">
        <v>2021</v>
      </c>
      <c r="D125" s="2" t="s">
        <v>201</v>
      </c>
      <c r="E125" s="10" t="s">
        <v>794</v>
      </c>
      <c r="F125" s="20" t="s">
        <v>29</v>
      </c>
      <c r="G125" s="2" t="s">
        <v>38</v>
      </c>
      <c r="H125" s="2" t="str">
        <f>'PFAS Properties'!$B$29</f>
        <v>PFBA</v>
      </c>
      <c r="I125" s="2" t="str">
        <f>'PFAS Properties'!$C$29</f>
        <v>PFCA</v>
      </c>
      <c r="J125" s="2" t="str">
        <f>'PFAS Properties'!$D$29</f>
        <v>C4HF7O2</v>
      </c>
      <c r="K125" s="25">
        <f>'PFAS Properties'!$P$29</f>
        <v>213.9864</v>
      </c>
      <c r="L125" s="2">
        <f>'PFAS Properties'!$X$29</f>
        <v>-0.2</v>
      </c>
      <c r="M125" s="2" t="str">
        <f>'PFAS Properties'!$Y$29</f>
        <v>-</v>
      </c>
      <c r="N125" s="33">
        <v>0</v>
      </c>
      <c r="O125" s="33">
        <v>0</v>
      </c>
      <c r="P125" s="33">
        <v>0</v>
      </c>
      <c r="Q125" s="33">
        <f t="shared" si="51"/>
        <v>0.99999874107617315</v>
      </c>
      <c r="R125" s="33">
        <v>0</v>
      </c>
      <c r="S125" s="33">
        <f t="shared" si="52"/>
        <v>1.2589238269029671E-6</v>
      </c>
      <c r="T125" s="8">
        <f t="shared" si="54"/>
        <v>1</v>
      </c>
      <c r="U125" s="33">
        <f t="shared" si="55"/>
        <v>0</v>
      </c>
      <c r="V125" s="33">
        <f t="shared" si="56"/>
        <v>-0.99999874107617315</v>
      </c>
      <c r="W125" s="33">
        <f t="shared" si="57"/>
        <v>212.98640125892385</v>
      </c>
      <c r="X125" s="33">
        <v>96485</v>
      </c>
      <c r="Y125" s="16">
        <f t="shared" si="58"/>
        <v>-453.00957226578794</v>
      </c>
      <c r="Z125" s="16">
        <v>4</v>
      </c>
      <c r="AA125" s="16">
        <v>7</v>
      </c>
      <c r="AB125" s="8">
        <f t="shared" si="59"/>
        <v>0.36090225563909772</v>
      </c>
      <c r="AC125" s="16">
        <f t="shared" si="43"/>
        <v>62.153482651233901</v>
      </c>
      <c r="AD125" s="20">
        <f>'PFAS Properties'!$W$29</f>
        <v>3</v>
      </c>
      <c r="AE125" s="8">
        <f>'PFAS Properties'!$S$29</f>
        <v>6.1376705372367555</v>
      </c>
      <c r="AF125" s="2">
        <f>'PFAS Properties'!$V$29</f>
        <v>2.2000000000000002</v>
      </c>
      <c r="AG125" s="24">
        <v>5.7</v>
      </c>
      <c r="AH125" s="2" t="s">
        <v>834</v>
      </c>
      <c r="AI125" s="15">
        <v>19.667999999999999</v>
      </c>
      <c r="AJ125" s="16">
        <f t="shared" si="67"/>
        <v>352.18909481600861</v>
      </c>
      <c r="AK125" s="8">
        <f t="shared" si="68"/>
        <v>1.9667999999999999</v>
      </c>
      <c r="AL125" s="15">
        <v>0.48099999999999998</v>
      </c>
      <c r="AM125" s="16">
        <f t="shared" si="69"/>
        <v>17.828020756115642</v>
      </c>
      <c r="AN125" s="8">
        <f t="shared" si="70"/>
        <v>4.8099999999999997E-2</v>
      </c>
      <c r="AO125" s="15" t="s">
        <v>31</v>
      </c>
      <c r="AP125" s="15">
        <v>114</v>
      </c>
      <c r="AQ125" s="16" t="s">
        <v>689</v>
      </c>
      <c r="AR125" s="16">
        <v>20</v>
      </c>
      <c r="AS125" s="16">
        <v>78.900000000000006</v>
      </c>
      <c r="AT125" s="16">
        <v>1.1000000000000001</v>
      </c>
      <c r="AU125" s="16" t="s">
        <v>664</v>
      </c>
      <c r="AV125" s="16">
        <f t="shared" si="72"/>
        <v>100</v>
      </c>
      <c r="AW125" s="18">
        <v>41</v>
      </c>
      <c r="AX125" s="13">
        <f t="shared" si="73"/>
        <v>0.41</v>
      </c>
      <c r="AY125" s="8" t="s">
        <v>32</v>
      </c>
      <c r="AZ125" s="16">
        <f t="shared" si="71"/>
        <v>100</v>
      </c>
      <c r="BA125" s="16" t="s">
        <v>55</v>
      </c>
      <c r="BB125" s="16">
        <v>30</v>
      </c>
      <c r="BC125" s="16" t="s">
        <v>55</v>
      </c>
      <c r="BD125" s="20">
        <v>1.2</v>
      </c>
      <c r="BE125" s="15">
        <f t="shared" si="74"/>
        <v>2.9268292682926829</v>
      </c>
      <c r="BF125" s="15">
        <f t="shared" si="64"/>
        <v>0.46639738932788932</v>
      </c>
      <c r="BG125" s="8">
        <f t="shared" si="75"/>
        <v>7.9181246047624818E-2</v>
      </c>
      <c r="BH125" s="2" t="s">
        <v>841</v>
      </c>
      <c r="BI125" s="2"/>
      <c r="BJ125" s="2"/>
      <c r="BK125" s="2"/>
      <c r="BL125" s="2"/>
      <c r="BM125" s="20"/>
      <c r="BN125" s="20"/>
      <c r="BO125" s="2"/>
    </row>
    <row r="126" spans="1:67" s="14" customFormat="1" x14ac:dyDescent="0.3">
      <c r="A126" s="20">
        <v>124</v>
      </c>
      <c r="B126" s="2" t="s">
        <v>195</v>
      </c>
      <c r="C126" s="2">
        <v>2018</v>
      </c>
      <c r="D126" s="2" t="s">
        <v>199</v>
      </c>
      <c r="E126" s="22" t="s">
        <v>795</v>
      </c>
      <c r="F126" s="20" t="s">
        <v>29</v>
      </c>
      <c r="G126" s="2" t="s">
        <v>47</v>
      </c>
      <c r="H126" s="2" t="str">
        <f>'PFAS Properties'!$B$29</f>
        <v>PFBA</v>
      </c>
      <c r="I126" s="2" t="str">
        <f>'PFAS Properties'!$C$29</f>
        <v>PFCA</v>
      </c>
      <c r="J126" s="2" t="str">
        <f>'PFAS Properties'!$D$29</f>
        <v>C4HF7O2</v>
      </c>
      <c r="K126" s="25">
        <f>'PFAS Properties'!$P$29</f>
        <v>213.9864</v>
      </c>
      <c r="L126" s="2">
        <f>'PFAS Properties'!$X$29</f>
        <v>-0.2</v>
      </c>
      <c r="M126" s="2" t="str">
        <f>'PFAS Properties'!$Y$29</f>
        <v>-</v>
      </c>
      <c r="N126" s="33">
        <v>0</v>
      </c>
      <c r="O126" s="33">
        <v>0</v>
      </c>
      <c r="P126" s="33">
        <v>0</v>
      </c>
      <c r="Q126" s="33">
        <f t="shared" si="51"/>
        <v>0.99998004777494953</v>
      </c>
      <c r="R126" s="33">
        <v>0</v>
      </c>
      <c r="S126" s="33">
        <f t="shared" si="52"/>
        <v>1.9952225050461341E-5</v>
      </c>
      <c r="T126" s="8">
        <f t="shared" si="54"/>
        <v>1</v>
      </c>
      <c r="U126" s="33">
        <f t="shared" si="55"/>
        <v>0</v>
      </c>
      <c r="V126" s="33">
        <f t="shared" si="56"/>
        <v>-0.99998004777494953</v>
      </c>
      <c r="W126" s="33">
        <f t="shared" si="57"/>
        <v>212.98641995222505</v>
      </c>
      <c r="X126" s="33">
        <v>96485</v>
      </c>
      <c r="Y126" s="16">
        <f t="shared" si="58"/>
        <v>-453.00106425192791</v>
      </c>
      <c r="Z126" s="16">
        <v>4</v>
      </c>
      <c r="AA126" s="16">
        <v>7</v>
      </c>
      <c r="AB126" s="8">
        <f t="shared" si="59"/>
        <v>0.36090225563909772</v>
      </c>
      <c r="AC126" s="16">
        <f t="shared" si="43"/>
        <v>62.153482651233901</v>
      </c>
      <c r="AD126" s="20">
        <f>'PFAS Properties'!$W$29</f>
        <v>3</v>
      </c>
      <c r="AE126" s="8">
        <f>'PFAS Properties'!$S$29</f>
        <v>6.1376705372367555</v>
      </c>
      <c r="AF126" s="2">
        <f>'PFAS Properties'!$V$29</f>
        <v>2.2000000000000002</v>
      </c>
      <c r="AG126" s="24">
        <v>4.5</v>
      </c>
      <c r="AH126" s="2" t="s">
        <v>658</v>
      </c>
      <c r="AI126" s="8">
        <f>AJ126*55.845/1000</f>
        <v>5.8637250000000002E-2</v>
      </c>
      <c r="AJ126" s="16">
        <v>1.05</v>
      </c>
      <c r="AK126" s="8">
        <f t="shared" si="68"/>
        <v>5.8637250000000002E-3</v>
      </c>
      <c r="AL126" s="15">
        <f>AM126*26.98/1000</f>
        <v>0.18454320000000002</v>
      </c>
      <c r="AM126" s="16">
        <v>6.84</v>
      </c>
      <c r="AN126" s="8">
        <f t="shared" si="70"/>
        <v>1.8454320000000003E-2</v>
      </c>
      <c r="AO126" s="2" t="s">
        <v>48</v>
      </c>
      <c r="AP126" s="72">
        <v>21.496500000000001</v>
      </c>
      <c r="AQ126" s="70" t="s">
        <v>752</v>
      </c>
      <c r="AR126" s="71">
        <v>41.737499999999997</v>
      </c>
      <c r="AS126" s="71">
        <v>35.036999999999999</v>
      </c>
      <c r="AT126" s="71">
        <v>21.971</v>
      </c>
      <c r="AU126" s="70" t="s">
        <v>752</v>
      </c>
      <c r="AV126" s="16">
        <f t="shared" si="72"/>
        <v>98.745499999999993</v>
      </c>
      <c r="AW126" s="18">
        <v>45</v>
      </c>
      <c r="AX126" s="13">
        <f t="shared" si="73"/>
        <v>0.45</v>
      </c>
      <c r="AY126" s="8" t="s">
        <v>49</v>
      </c>
      <c r="AZ126" s="16">
        <f>0.45/0.04</f>
        <v>11.25</v>
      </c>
      <c r="BA126" s="16" t="s">
        <v>55</v>
      </c>
      <c r="BB126" s="8">
        <v>1.25</v>
      </c>
      <c r="BC126" s="8" t="s">
        <v>55</v>
      </c>
      <c r="BD126" s="24">
        <f>(10^(0.8)*AX126)</f>
        <v>2.8393080501608705</v>
      </c>
      <c r="BE126" s="15">
        <f t="shared" si="74"/>
        <v>6.3095734448019343</v>
      </c>
      <c r="BF126" s="15">
        <f t="shared" si="64"/>
        <v>0.80000000000000016</v>
      </c>
      <c r="BG126" s="8">
        <f t="shared" si="75"/>
        <v>0.45321251377534383</v>
      </c>
      <c r="BH126" s="2" t="s">
        <v>820</v>
      </c>
      <c r="BI126" s="2"/>
      <c r="BJ126" s="2"/>
      <c r="BK126" s="2"/>
      <c r="BL126" s="2"/>
      <c r="BM126" s="20"/>
      <c r="BN126" s="20"/>
      <c r="BO126" s="2"/>
    </row>
    <row r="127" spans="1:67" s="14" customFormat="1" x14ac:dyDescent="0.3">
      <c r="A127" s="20">
        <v>125</v>
      </c>
      <c r="B127" s="2" t="s">
        <v>181</v>
      </c>
      <c r="C127" s="2">
        <v>2020</v>
      </c>
      <c r="D127" s="2" t="s">
        <v>203</v>
      </c>
      <c r="E127" s="10" t="s">
        <v>787</v>
      </c>
      <c r="F127" s="20" t="s">
        <v>29</v>
      </c>
      <c r="G127" s="2" t="s">
        <v>62</v>
      </c>
      <c r="H127" s="2" t="str">
        <f>'PFAS Properties'!$B$29</f>
        <v>PFBA</v>
      </c>
      <c r="I127" s="2" t="str">
        <f>'PFAS Properties'!$C$29</f>
        <v>PFCA</v>
      </c>
      <c r="J127" s="2" t="str">
        <f>'PFAS Properties'!$D$29</f>
        <v>C4HF7O2</v>
      </c>
      <c r="K127" s="25">
        <f>'PFAS Properties'!$P$29</f>
        <v>213.9864</v>
      </c>
      <c r="L127" s="2">
        <f>'PFAS Properties'!$X$29</f>
        <v>-0.2</v>
      </c>
      <c r="M127" s="2" t="str">
        <f>'PFAS Properties'!$Y$29</f>
        <v>-</v>
      </c>
      <c r="N127" s="33">
        <v>0</v>
      </c>
      <c r="O127" s="33">
        <v>0</v>
      </c>
      <c r="P127" s="33">
        <v>0</v>
      </c>
      <c r="Q127" s="33">
        <f t="shared" si="51"/>
        <v>0.99999998004737722</v>
      </c>
      <c r="R127" s="33">
        <v>0</v>
      </c>
      <c r="S127" s="33">
        <f t="shared" si="52"/>
        <v>1.995262275158161E-8</v>
      </c>
      <c r="T127" s="8">
        <f t="shared" si="54"/>
        <v>1</v>
      </c>
      <c r="U127" s="33">
        <f t="shared" si="55"/>
        <v>0</v>
      </c>
      <c r="V127" s="33">
        <f t="shared" si="56"/>
        <v>-0.99999998004737722</v>
      </c>
      <c r="W127" s="33">
        <f t="shared" si="57"/>
        <v>212.98640001995261</v>
      </c>
      <c r="X127" s="33">
        <v>96485</v>
      </c>
      <c r="Y127" s="16">
        <f t="shared" si="58"/>
        <v>-453.01013616753204</v>
      </c>
      <c r="Z127" s="16">
        <v>4</v>
      </c>
      <c r="AA127" s="16">
        <v>7</v>
      </c>
      <c r="AB127" s="8">
        <f t="shared" si="59"/>
        <v>0.36090225563909772</v>
      </c>
      <c r="AC127" s="16">
        <f t="shared" si="43"/>
        <v>62.153482651233901</v>
      </c>
      <c r="AD127" s="20">
        <f>'PFAS Properties'!$W$29</f>
        <v>3</v>
      </c>
      <c r="AE127" s="8">
        <f>'PFAS Properties'!$S$29</f>
        <v>6.1376705372367555</v>
      </c>
      <c r="AF127" s="2">
        <f>'PFAS Properties'!$V$29</f>
        <v>2.2000000000000002</v>
      </c>
      <c r="AG127" s="24">
        <v>7.5</v>
      </c>
      <c r="AH127" s="2" t="s">
        <v>183</v>
      </c>
      <c r="AI127" s="2" t="s">
        <v>661</v>
      </c>
      <c r="AJ127" s="2" t="s">
        <v>661</v>
      </c>
      <c r="AK127" s="2" t="s">
        <v>661</v>
      </c>
      <c r="AL127" s="2" t="s">
        <v>661</v>
      </c>
      <c r="AM127" s="2" t="s">
        <v>661</v>
      </c>
      <c r="AN127" s="2" t="s">
        <v>661</v>
      </c>
      <c r="AO127" s="2" t="s">
        <v>661</v>
      </c>
      <c r="AP127" s="15">
        <v>41.4</v>
      </c>
      <c r="AQ127" s="2" t="s">
        <v>661</v>
      </c>
      <c r="AR127" s="16">
        <v>16.899999999999999</v>
      </c>
      <c r="AS127" s="16">
        <v>17.5</v>
      </c>
      <c r="AT127" s="16">
        <v>65.599999999999994</v>
      </c>
      <c r="AU127" s="2" t="s">
        <v>661</v>
      </c>
      <c r="AV127" s="16">
        <f t="shared" si="72"/>
        <v>100</v>
      </c>
      <c r="AW127" s="18">
        <v>0.7</v>
      </c>
      <c r="AX127" s="13">
        <f t="shared" si="73"/>
        <v>6.9999999999999993E-3</v>
      </c>
      <c r="AY127" s="13" t="s">
        <v>184</v>
      </c>
      <c r="AZ127" s="16">
        <f t="shared" ref="AZ127:AZ136" si="76">0.8/0.008</f>
        <v>100</v>
      </c>
      <c r="BA127" s="16" t="s">
        <v>55</v>
      </c>
      <c r="BB127" s="16">
        <v>5</v>
      </c>
      <c r="BC127" s="16" t="s">
        <v>55</v>
      </c>
      <c r="BD127" s="18">
        <v>0.44</v>
      </c>
      <c r="BE127" s="15">
        <f t="shared" si="74"/>
        <v>62.857142857142861</v>
      </c>
      <c r="BF127" s="15">
        <f t="shared" si="64"/>
        <v>1.7983546364719307</v>
      </c>
      <c r="BG127" s="8">
        <f t="shared" si="75"/>
        <v>-0.35654732351381258</v>
      </c>
      <c r="BH127" s="13" t="s">
        <v>345</v>
      </c>
      <c r="BI127" s="2"/>
      <c r="BJ127" s="2"/>
      <c r="BK127" s="2"/>
      <c r="BL127" s="2"/>
      <c r="BM127" s="20"/>
      <c r="BN127" s="20"/>
      <c r="BO127" s="2"/>
    </row>
    <row r="128" spans="1:67" s="14" customFormat="1" x14ac:dyDescent="0.3">
      <c r="A128" s="20">
        <v>126</v>
      </c>
      <c r="B128" s="2" t="s">
        <v>181</v>
      </c>
      <c r="C128" s="2">
        <v>2020</v>
      </c>
      <c r="D128" s="2" t="s">
        <v>203</v>
      </c>
      <c r="E128" s="10" t="s">
        <v>787</v>
      </c>
      <c r="F128" s="20" t="s">
        <v>29</v>
      </c>
      <c r="G128" s="2" t="s">
        <v>57</v>
      </c>
      <c r="H128" s="2" t="str">
        <f>'PFAS Properties'!$B$29</f>
        <v>PFBA</v>
      </c>
      <c r="I128" s="2" t="str">
        <f>'PFAS Properties'!$C$29</f>
        <v>PFCA</v>
      </c>
      <c r="J128" s="2" t="str">
        <f>'PFAS Properties'!$D$29</f>
        <v>C4HF7O2</v>
      </c>
      <c r="K128" s="25">
        <f>'PFAS Properties'!$P$29</f>
        <v>213.9864</v>
      </c>
      <c r="L128" s="2">
        <f>'PFAS Properties'!$X$29</f>
        <v>-0.2</v>
      </c>
      <c r="M128" s="2" t="str">
        <f>'PFAS Properties'!$Y$29</f>
        <v>-</v>
      </c>
      <c r="N128" s="33">
        <v>0</v>
      </c>
      <c r="O128" s="33">
        <v>0</v>
      </c>
      <c r="P128" s="33">
        <v>0</v>
      </c>
      <c r="Q128" s="33">
        <f t="shared" si="51"/>
        <v>0.99999990000001004</v>
      </c>
      <c r="R128" s="33">
        <v>0</v>
      </c>
      <c r="S128" s="33">
        <f t="shared" si="52"/>
        <v>9.9999990000001005E-8</v>
      </c>
      <c r="T128" s="8">
        <f t="shared" si="54"/>
        <v>1</v>
      </c>
      <c r="U128" s="33">
        <f t="shared" si="55"/>
        <v>0</v>
      </c>
      <c r="V128" s="33">
        <f t="shared" si="56"/>
        <v>-0.99999990000001004</v>
      </c>
      <c r="W128" s="33">
        <f t="shared" si="57"/>
        <v>212.98640010000003</v>
      </c>
      <c r="X128" s="33">
        <v>96485</v>
      </c>
      <c r="Y128" s="16">
        <f t="shared" si="58"/>
        <v>-453.01009973500629</v>
      </c>
      <c r="Z128" s="16">
        <v>4</v>
      </c>
      <c r="AA128" s="16">
        <v>7</v>
      </c>
      <c r="AB128" s="8">
        <f t="shared" si="59"/>
        <v>0.36090225563909772</v>
      </c>
      <c r="AC128" s="16">
        <f t="shared" si="43"/>
        <v>62.153482651233901</v>
      </c>
      <c r="AD128" s="20">
        <f>'PFAS Properties'!$W$29</f>
        <v>3</v>
      </c>
      <c r="AE128" s="8">
        <f>'PFAS Properties'!$S$29</f>
        <v>6.1376705372367555</v>
      </c>
      <c r="AF128" s="2">
        <f>'PFAS Properties'!$V$29</f>
        <v>2.2000000000000002</v>
      </c>
      <c r="AG128" s="24">
        <v>6.8</v>
      </c>
      <c r="AH128" s="2" t="s">
        <v>183</v>
      </c>
      <c r="AI128" s="2" t="s">
        <v>661</v>
      </c>
      <c r="AJ128" s="2" t="s">
        <v>661</v>
      </c>
      <c r="AK128" s="2" t="s">
        <v>661</v>
      </c>
      <c r="AL128" s="2" t="s">
        <v>661</v>
      </c>
      <c r="AM128" s="2" t="s">
        <v>661</v>
      </c>
      <c r="AN128" s="2" t="s">
        <v>661</v>
      </c>
      <c r="AO128" s="2" t="s">
        <v>661</v>
      </c>
      <c r="AP128" s="15">
        <v>7.1</v>
      </c>
      <c r="AQ128" s="2" t="s">
        <v>661</v>
      </c>
      <c r="AR128" s="16">
        <v>48.9</v>
      </c>
      <c r="AS128" s="16">
        <v>27</v>
      </c>
      <c r="AT128" s="16">
        <v>24.2</v>
      </c>
      <c r="AU128" s="2" t="s">
        <v>661</v>
      </c>
      <c r="AV128" s="16">
        <f t="shared" si="72"/>
        <v>100.10000000000001</v>
      </c>
      <c r="AW128" s="18">
        <v>0.37</v>
      </c>
      <c r="AX128" s="13">
        <f t="shared" si="73"/>
        <v>3.7000000000000002E-3</v>
      </c>
      <c r="AY128" s="13" t="s">
        <v>184</v>
      </c>
      <c r="AZ128" s="16">
        <f t="shared" si="76"/>
        <v>100</v>
      </c>
      <c r="BA128" s="16" t="s">
        <v>55</v>
      </c>
      <c r="BB128" s="16">
        <v>5</v>
      </c>
      <c r="BC128" s="16" t="s">
        <v>55</v>
      </c>
      <c r="BD128" s="20">
        <v>0.41</v>
      </c>
      <c r="BE128" s="15">
        <f t="shared" si="74"/>
        <v>110.81081081081079</v>
      </c>
      <c r="BF128" s="15">
        <f t="shared" si="64"/>
        <v>2.0445821326527405</v>
      </c>
      <c r="BG128" s="8">
        <f t="shared" si="75"/>
        <v>-0.38721614328026455</v>
      </c>
      <c r="BH128" s="13" t="s">
        <v>345</v>
      </c>
      <c r="BI128" s="2"/>
      <c r="BJ128" s="2"/>
      <c r="BK128" s="2"/>
      <c r="BL128" s="2"/>
      <c r="BM128" s="20"/>
      <c r="BN128" s="20"/>
      <c r="BO128" s="2"/>
    </row>
    <row r="129" spans="1:67" s="14" customFormat="1" x14ac:dyDescent="0.3">
      <c r="A129" s="20">
        <v>127</v>
      </c>
      <c r="B129" s="2" t="s">
        <v>181</v>
      </c>
      <c r="C129" s="2">
        <v>2020</v>
      </c>
      <c r="D129" s="2" t="s">
        <v>203</v>
      </c>
      <c r="E129" s="10" t="s">
        <v>787</v>
      </c>
      <c r="F129" s="20" t="s">
        <v>29</v>
      </c>
      <c r="G129" s="2" t="s">
        <v>58</v>
      </c>
      <c r="H129" s="2" t="str">
        <f>'PFAS Properties'!$B$29</f>
        <v>PFBA</v>
      </c>
      <c r="I129" s="2" t="str">
        <f>'PFAS Properties'!$C$29</f>
        <v>PFCA</v>
      </c>
      <c r="J129" s="2" t="str">
        <f>'PFAS Properties'!$D$29</f>
        <v>C4HF7O2</v>
      </c>
      <c r="K129" s="25">
        <f>'PFAS Properties'!$P$29</f>
        <v>213.9864</v>
      </c>
      <c r="L129" s="2">
        <f>'PFAS Properties'!$X$29</f>
        <v>-0.2</v>
      </c>
      <c r="M129" s="2" t="str">
        <f>'PFAS Properties'!$Y$29</f>
        <v>-</v>
      </c>
      <c r="N129" s="33">
        <v>0</v>
      </c>
      <c r="O129" s="33">
        <v>0</v>
      </c>
      <c r="P129" s="33">
        <v>0</v>
      </c>
      <c r="Q129" s="33">
        <f t="shared" si="51"/>
        <v>0.99999960189298798</v>
      </c>
      <c r="R129" s="33">
        <v>0</v>
      </c>
      <c r="S129" s="33">
        <f t="shared" si="52"/>
        <v>3.9810701206424001E-7</v>
      </c>
      <c r="T129" s="8">
        <f t="shared" si="54"/>
        <v>1</v>
      </c>
      <c r="U129" s="33">
        <f t="shared" si="55"/>
        <v>0</v>
      </c>
      <c r="V129" s="33">
        <f t="shared" si="56"/>
        <v>-0.99999960189298798</v>
      </c>
      <c r="W129" s="33">
        <f t="shared" si="57"/>
        <v>212.98640039810704</v>
      </c>
      <c r="X129" s="33">
        <v>96485</v>
      </c>
      <c r="Y129" s="16">
        <f t="shared" si="58"/>
        <v>-453.0099640554443</v>
      </c>
      <c r="Z129" s="16">
        <v>4</v>
      </c>
      <c r="AA129" s="16">
        <v>7</v>
      </c>
      <c r="AB129" s="8">
        <f t="shared" si="59"/>
        <v>0.36090225563909772</v>
      </c>
      <c r="AC129" s="16">
        <f t="shared" si="43"/>
        <v>62.153482651233901</v>
      </c>
      <c r="AD129" s="20">
        <f>'PFAS Properties'!$W$29</f>
        <v>3</v>
      </c>
      <c r="AE129" s="8">
        <f>'PFAS Properties'!$S$29</f>
        <v>6.1376705372367555</v>
      </c>
      <c r="AF129" s="2">
        <f>'PFAS Properties'!$V$29</f>
        <v>2.2000000000000002</v>
      </c>
      <c r="AG129" s="24">
        <v>6.2</v>
      </c>
      <c r="AH129" s="2" t="s">
        <v>183</v>
      </c>
      <c r="AI129" s="2" t="s">
        <v>661</v>
      </c>
      <c r="AJ129" s="2" t="s">
        <v>661</v>
      </c>
      <c r="AK129" s="2" t="s">
        <v>661</v>
      </c>
      <c r="AL129" s="2" t="s">
        <v>661</v>
      </c>
      <c r="AM129" s="2" t="s">
        <v>661</v>
      </c>
      <c r="AN129" s="2" t="s">
        <v>661</v>
      </c>
      <c r="AO129" s="2" t="s">
        <v>661</v>
      </c>
      <c r="AP129" s="15">
        <v>8</v>
      </c>
      <c r="AQ129" s="2" t="s">
        <v>661</v>
      </c>
      <c r="AR129" s="16">
        <v>51.44</v>
      </c>
      <c r="AS129" s="16">
        <v>10.17</v>
      </c>
      <c r="AT129" s="16">
        <v>38.380000000000003</v>
      </c>
      <c r="AU129" s="2" t="s">
        <v>661</v>
      </c>
      <c r="AV129" s="16">
        <f t="shared" si="72"/>
        <v>99.990000000000009</v>
      </c>
      <c r="AW129" s="18">
        <v>0.08</v>
      </c>
      <c r="AX129" s="13">
        <f t="shared" si="73"/>
        <v>8.0000000000000004E-4</v>
      </c>
      <c r="AY129" s="8" t="s">
        <v>184</v>
      </c>
      <c r="AZ129" s="16">
        <f t="shared" si="76"/>
        <v>100</v>
      </c>
      <c r="BA129" s="16" t="s">
        <v>55</v>
      </c>
      <c r="BB129" s="16">
        <v>5</v>
      </c>
      <c r="BC129" s="16" t="s">
        <v>55</v>
      </c>
      <c r="BD129" s="20">
        <v>0.32</v>
      </c>
      <c r="BE129" s="16">
        <f t="shared" si="74"/>
        <v>400</v>
      </c>
      <c r="BF129" s="59">
        <f t="shared" si="64"/>
        <v>2.6020599913279625</v>
      </c>
      <c r="BG129" s="8">
        <f t="shared" si="75"/>
        <v>-0.49485002168009401</v>
      </c>
      <c r="BH129" s="13" t="s">
        <v>345</v>
      </c>
      <c r="BI129" s="2"/>
      <c r="BJ129" s="2"/>
      <c r="BK129" s="2"/>
      <c r="BL129" s="2"/>
      <c r="BM129" s="20"/>
      <c r="BN129" s="20"/>
      <c r="BO129" s="2"/>
    </row>
    <row r="130" spans="1:67" s="14" customFormat="1" x14ac:dyDescent="0.3">
      <c r="A130" s="20">
        <v>128</v>
      </c>
      <c r="B130" s="2" t="s">
        <v>181</v>
      </c>
      <c r="C130" s="2">
        <v>2020</v>
      </c>
      <c r="D130" s="2" t="s">
        <v>203</v>
      </c>
      <c r="E130" s="10" t="s">
        <v>787</v>
      </c>
      <c r="F130" s="20" t="s">
        <v>29</v>
      </c>
      <c r="G130" s="2" t="s">
        <v>59</v>
      </c>
      <c r="H130" s="2" t="str">
        <f>'PFAS Properties'!$B$29</f>
        <v>PFBA</v>
      </c>
      <c r="I130" s="2" t="str">
        <f>'PFAS Properties'!$C$29</f>
        <v>PFCA</v>
      </c>
      <c r="J130" s="2" t="str">
        <f>'PFAS Properties'!$D$29</f>
        <v>C4HF7O2</v>
      </c>
      <c r="K130" s="25">
        <f>'PFAS Properties'!$P$29</f>
        <v>213.9864</v>
      </c>
      <c r="L130" s="2">
        <f>'PFAS Properties'!$X$29</f>
        <v>-0.2</v>
      </c>
      <c r="M130" s="2" t="str">
        <f>'PFAS Properties'!$Y$29</f>
        <v>-</v>
      </c>
      <c r="N130" s="33">
        <v>0</v>
      </c>
      <c r="O130" s="33">
        <v>0</v>
      </c>
      <c r="P130" s="33">
        <v>0</v>
      </c>
      <c r="Q130" s="33">
        <f t="shared" si="51"/>
        <v>0.99999998741074603</v>
      </c>
      <c r="R130" s="33">
        <v>0</v>
      </c>
      <c r="S130" s="33">
        <f t="shared" si="52"/>
        <v>1.258925395945232E-8</v>
      </c>
      <c r="T130" s="8">
        <f t="shared" si="54"/>
        <v>1</v>
      </c>
      <c r="U130" s="33">
        <f t="shared" si="55"/>
        <v>0</v>
      </c>
      <c r="V130" s="33">
        <f t="shared" si="56"/>
        <v>-0.99999998741074603</v>
      </c>
      <c r="W130" s="33">
        <f t="shared" si="57"/>
        <v>212.98640001258926</v>
      </c>
      <c r="X130" s="33">
        <v>96485</v>
      </c>
      <c r="Y130" s="16">
        <f t="shared" si="58"/>
        <v>-453.01013951887433</v>
      </c>
      <c r="Z130" s="16">
        <v>4</v>
      </c>
      <c r="AA130" s="16">
        <v>7</v>
      </c>
      <c r="AB130" s="8">
        <f t="shared" si="59"/>
        <v>0.36090225563909772</v>
      </c>
      <c r="AC130" s="16">
        <f t="shared" si="43"/>
        <v>62.153482651233901</v>
      </c>
      <c r="AD130" s="20">
        <f>'PFAS Properties'!$W$29</f>
        <v>3</v>
      </c>
      <c r="AE130" s="8">
        <f>'PFAS Properties'!$S$29</f>
        <v>6.1376705372367555</v>
      </c>
      <c r="AF130" s="2">
        <f>'PFAS Properties'!$V$29</f>
        <v>2.2000000000000002</v>
      </c>
      <c r="AG130" s="24">
        <v>7.7</v>
      </c>
      <c r="AH130" s="2" t="s">
        <v>183</v>
      </c>
      <c r="AI130" s="2" t="s">
        <v>661</v>
      </c>
      <c r="AJ130" s="2" t="s">
        <v>661</v>
      </c>
      <c r="AK130" s="2" t="s">
        <v>661</v>
      </c>
      <c r="AL130" s="2" t="s">
        <v>661</v>
      </c>
      <c r="AM130" s="2" t="s">
        <v>661</v>
      </c>
      <c r="AN130" s="2" t="s">
        <v>661</v>
      </c>
      <c r="AO130" s="2" t="s">
        <v>661</v>
      </c>
      <c r="AP130" s="15">
        <v>4.8</v>
      </c>
      <c r="AQ130" s="2" t="s">
        <v>661</v>
      </c>
      <c r="AR130" s="16">
        <v>46</v>
      </c>
      <c r="AS130" s="16">
        <v>37</v>
      </c>
      <c r="AT130" s="16">
        <v>17</v>
      </c>
      <c r="AU130" s="2" t="s">
        <v>661</v>
      </c>
      <c r="AV130" s="16">
        <f t="shared" si="72"/>
        <v>100</v>
      </c>
      <c r="AW130" s="18">
        <v>0.25</v>
      </c>
      <c r="AX130" s="13">
        <f t="shared" si="73"/>
        <v>2.5000000000000001E-3</v>
      </c>
      <c r="AY130" s="13" t="s">
        <v>184</v>
      </c>
      <c r="AZ130" s="16">
        <f t="shared" si="76"/>
        <v>100</v>
      </c>
      <c r="BA130" s="16" t="s">
        <v>55</v>
      </c>
      <c r="BB130" s="16">
        <v>5</v>
      </c>
      <c r="BC130" s="16" t="s">
        <v>55</v>
      </c>
      <c r="BD130" s="18">
        <v>0.2</v>
      </c>
      <c r="BE130" s="15">
        <f t="shared" si="74"/>
        <v>80</v>
      </c>
      <c r="BF130" s="15">
        <f t="shared" si="64"/>
        <v>1.9030899869919435</v>
      </c>
      <c r="BG130" s="8">
        <f t="shared" si="75"/>
        <v>-0.69897000433601875</v>
      </c>
      <c r="BH130" s="13" t="s">
        <v>345</v>
      </c>
      <c r="BI130" s="2"/>
      <c r="BJ130" s="2"/>
      <c r="BK130" s="2"/>
      <c r="BL130" s="2"/>
      <c r="BM130" s="20"/>
      <c r="BN130" s="20"/>
      <c r="BO130" s="2"/>
    </row>
    <row r="131" spans="1:67" s="14" customFormat="1" x14ac:dyDescent="0.3">
      <c r="A131" s="20">
        <v>129</v>
      </c>
      <c r="B131" s="2" t="s">
        <v>181</v>
      </c>
      <c r="C131" s="2">
        <v>2020</v>
      </c>
      <c r="D131" s="2" t="s">
        <v>203</v>
      </c>
      <c r="E131" s="22" t="s">
        <v>787</v>
      </c>
      <c r="F131" s="20" t="s">
        <v>29</v>
      </c>
      <c r="G131" s="2" t="s">
        <v>61</v>
      </c>
      <c r="H131" s="2" t="str">
        <f>'PFAS Properties'!$B$29</f>
        <v>PFBA</v>
      </c>
      <c r="I131" s="2" t="str">
        <f>'PFAS Properties'!$C$29</f>
        <v>PFCA</v>
      </c>
      <c r="J131" s="2" t="str">
        <f>'PFAS Properties'!$D$29</f>
        <v>C4HF7O2</v>
      </c>
      <c r="K131" s="25">
        <f>'PFAS Properties'!$P$29</f>
        <v>213.9864</v>
      </c>
      <c r="L131" s="2">
        <f>'PFAS Properties'!$X$29</f>
        <v>-0.2</v>
      </c>
      <c r="M131" s="2" t="str">
        <f>'PFAS Properties'!$Y$29</f>
        <v>-</v>
      </c>
      <c r="N131" s="33">
        <v>0</v>
      </c>
      <c r="O131" s="33">
        <v>0</v>
      </c>
      <c r="P131" s="33">
        <v>0</v>
      </c>
      <c r="Q131" s="33">
        <f t="shared" si="51"/>
        <v>0.99999997488113634</v>
      </c>
      <c r="R131" s="33">
        <v>0</v>
      </c>
      <c r="S131" s="33">
        <f t="shared" si="52"/>
        <v>2.5118863684138424E-8</v>
      </c>
      <c r="T131" s="8">
        <f t="shared" si="54"/>
        <v>1</v>
      </c>
      <c r="U131" s="33">
        <f t="shared" si="55"/>
        <v>0</v>
      </c>
      <c r="V131" s="33">
        <f t="shared" si="56"/>
        <v>-0.99999997488113634</v>
      </c>
      <c r="W131" s="33">
        <f t="shared" si="57"/>
        <v>212.98640002511888</v>
      </c>
      <c r="X131" s="33">
        <v>96485</v>
      </c>
      <c r="Y131" s="16">
        <f t="shared" si="58"/>
        <v>-453.01013381618418</v>
      </c>
      <c r="Z131" s="16">
        <v>4</v>
      </c>
      <c r="AA131" s="16">
        <v>7</v>
      </c>
      <c r="AB131" s="8">
        <f t="shared" si="59"/>
        <v>0.36090225563909772</v>
      </c>
      <c r="AC131" s="16">
        <f t="shared" ref="AC131:AC194" si="77">((AA131*19)/K131)*100</f>
        <v>62.153482651233901</v>
      </c>
      <c r="AD131" s="20">
        <f>'PFAS Properties'!$W$29</f>
        <v>3</v>
      </c>
      <c r="AE131" s="8">
        <f>'PFAS Properties'!$S$29</f>
        <v>6.1376705372367555</v>
      </c>
      <c r="AF131" s="2">
        <f>'PFAS Properties'!$V$29</f>
        <v>2.2000000000000002</v>
      </c>
      <c r="AG131" s="24">
        <v>7.4</v>
      </c>
      <c r="AH131" s="2" t="s">
        <v>183</v>
      </c>
      <c r="AI131" s="2" t="s">
        <v>661</v>
      </c>
      <c r="AJ131" s="2" t="s">
        <v>661</v>
      </c>
      <c r="AK131" s="2" t="s">
        <v>661</v>
      </c>
      <c r="AL131" s="2" t="s">
        <v>661</v>
      </c>
      <c r="AM131" s="2" t="s">
        <v>661</v>
      </c>
      <c r="AN131" s="2" t="s">
        <v>661</v>
      </c>
      <c r="AO131" s="2" t="s">
        <v>661</v>
      </c>
      <c r="AP131" s="15">
        <v>29.6</v>
      </c>
      <c r="AQ131" s="2" t="s">
        <v>661</v>
      </c>
      <c r="AR131" s="16">
        <v>39.799999999999997</v>
      </c>
      <c r="AS131" s="16">
        <v>7.7</v>
      </c>
      <c r="AT131" s="16">
        <v>52.5</v>
      </c>
      <c r="AU131" s="2" t="s">
        <v>661</v>
      </c>
      <c r="AV131" s="16">
        <f t="shared" si="72"/>
        <v>100</v>
      </c>
      <c r="AW131" s="18">
        <v>2.23</v>
      </c>
      <c r="AX131" s="13">
        <f t="shared" si="73"/>
        <v>2.23E-2</v>
      </c>
      <c r="AY131" s="8" t="s">
        <v>184</v>
      </c>
      <c r="AZ131" s="16">
        <f t="shared" si="76"/>
        <v>100</v>
      </c>
      <c r="BA131" s="16" t="s">
        <v>55</v>
      </c>
      <c r="BB131" s="16">
        <v>5</v>
      </c>
      <c r="BC131" s="16" t="s">
        <v>55</v>
      </c>
      <c r="BD131" s="20">
        <v>0.31</v>
      </c>
      <c r="BE131" s="15">
        <f t="shared" si="74"/>
        <v>13.901345291479821</v>
      </c>
      <c r="BF131" s="15">
        <f t="shared" si="64"/>
        <v>1.143056830786112</v>
      </c>
      <c r="BG131" s="8">
        <f t="shared" si="75"/>
        <v>-0.50863830616572736</v>
      </c>
      <c r="BH131" s="13" t="s">
        <v>345</v>
      </c>
      <c r="BI131" s="2"/>
      <c r="BJ131" s="2"/>
      <c r="BK131" s="2"/>
      <c r="BL131" s="2"/>
      <c r="BM131" s="20"/>
      <c r="BN131" s="20"/>
      <c r="BO131" s="2"/>
    </row>
    <row r="132" spans="1:67" s="14" customFormat="1" x14ac:dyDescent="0.3">
      <c r="A132" s="20">
        <v>130</v>
      </c>
      <c r="B132" s="2" t="s">
        <v>181</v>
      </c>
      <c r="C132" s="2">
        <v>2020</v>
      </c>
      <c r="D132" s="2" t="s">
        <v>203</v>
      </c>
      <c r="E132" s="10" t="s">
        <v>787</v>
      </c>
      <c r="F132" s="20" t="s">
        <v>29</v>
      </c>
      <c r="G132" s="2" t="s">
        <v>60</v>
      </c>
      <c r="H132" s="2" t="str">
        <f>'PFAS Properties'!$B$29</f>
        <v>PFBA</v>
      </c>
      <c r="I132" s="2" t="str">
        <f>'PFAS Properties'!$C$29</f>
        <v>PFCA</v>
      </c>
      <c r="J132" s="2" t="str">
        <f>'PFAS Properties'!$D$29</f>
        <v>C4HF7O2</v>
      </c>
      <c r="K132" s="25">
        <f>'PFAS Properties'!$P$29</f>
        <v>213.9864</v>
      </c>
      <c r="L132" s="2">
        <f>'PFAS Properties'!$X$29</f>
        <v>-0.2</v>
      </c>
      <c r="M132" s="2" t="str">
        <f>'PFAS Properties'!$Y$29</f>
        <v>-</v>
      </c>
      <c r="N132" s="33">
        <v>0</v>
      </c>
      <c r="O132" s="33">
        <v>0</v>
      </c>
      <c r="P132" s="33">
        <v>0</v>
      </c>
      <c r="Q132" s="33">
        <f t="shared" si="51"/>
        <v>0.99999998741074603</v>
      </c>
      <c r="R132" s="33">
        <v>0</v>
      </c>
      <c r="S132" s="33">
        <f t="shared" si="52"/>
        <v>1.258925395945232E-8</v>
      </c>
      <c r="T132" s="8">
        <f t="shared" si="54"/>
        <v>1</v>
      </c>
      <c r="U132" s="33">
        <f t="shared" si="55"/>
        <v>0</v>
      </c>
      <c r="V132" s="33">
        <f t="shared" si="56"/>
        <v>-0.99999998741074603</v>
      </c>
      <c r="W132" s="33">
        <f t="shared" si="57"/>
        <v>212.98640001258926</v>
      </c>
      <c r="X132" s="33">
        <v>96485</v>
      </c>
      <c r="Y132" s="16">
        <f t="shared" si="58"/>
        <v>-453.01013951887433</v>
      </c>
      <c r="Z132" s="16">
        <v>4</v>
      </c>
      <c r="AA132" s="16">
        <v>7</v>
      </c>
      <c r="AB132" s="8">
        <f t="shared" si="59"/>
        <v>0.36090225563909772</v>
      </c>
      <c r="AC132" s="16">
        <f t="shared" si="77"/>
        <v>62.153482651233901</v>
      </c>
      <c r="AD132" s="20">
        <f>'PFAS Properties'!$W$29</f>
        <v>3</v>
      </c>
      <c r="AE132" s="8">
        <f>'PFAS Properties'!$S$29</f>
        <v>6.1376705372367555</v>
      </c>
      <c r="AF132" s="2">
        <f>'PFAS Properties'!$V$29</f>
        <v>2.2000000000000002</v>
      </c>
      <c r="AG132" s="24">
        <v>7.7</v>
      </c>
      <c r="AH132" s="2" t="s">
        <v>183</v>
      </c>
      <c r="AI132" s="2" t="s">
        <v>661</v>
      </c>
      <c r="AJ132" s="2" t="s">
        <v>661</v>
      </c>
      <c r="AK132" s="2" t="s">
        <v>661</v>
      </c>
      <c r="AL132" s="2" t="s">
        <v>661</v>
      </c>
      <c r="AM132" s="2" t="s">
        <v>661</v>
      </c>
      <c r="AN132" s="2" t="s">
        <v>661</v>
      </c>
      <c r="AO132" s="2" t="s">
        <v>661</v>
      </c>
      <c r="AP132" s="15">
        <v>21.63</v>
      </c>
      <c r="AQ132" s="2" t="s">
        <v>661</v>
      </c>
      <c r="AR132" s="16">
        <v>70</v>
      </c>
      <c r="AS132" s="16">
        <v>11</v>
      </c>
      <c r="AT132" s="16">
        <v>19</v>
      </c>
      <c r="AU132" s="2" t="s">
        <v>661</v>
      </c>
      <c r="AV132" s="16">
        <f t="shared" si="72"/>
        <v>100</v>
      </c>
      <c r="AW132" s="18">
        <v>4.9000000000000004</v>
      </c>
      <c r="AX132" s="13">
        <f t="shared" si="73"/>
        <v>4.9000000000000002E-2</v>
      </c>
      <c r="AY132" s="8" t="s">
        <v>184</v>
      </c>
      <c r="AZ132" s="16">
        <f t="shared" si="76"/>
        <v>100</v>
      </c>
      <c r="BA132" s="16" t="s">
        <v>55</v>
      </c>
      <c r="BB132" s="16">
        <v>5</v>
      </c>
      <c r="BC132" s="16" t="s">
        <v>55</v>
      </c>
      <c r="BD132" s="20">
        <v>0.47</v>
      </c>
      <c r="BE132" s="15">
        <f t="shared" si="74"/>
        <v>9.5918367346938762</v>
      </c>
      <c r="BF132" s="15">
        <f t="shared" si="64"/>
        <v>0.98190177790720379</v>
      </c>
      <c r="BG132" s="8">
        <f t="shared" si="75"/>
        <v>-0.32790214206428259</v>
      </c>
      <c r="BH132" s="13" t="s">
        <v>345</v>
      </c>
      <c r="BI132" s="2"/>
      <c r="BJ132" s="2"/>
      <c r="BK132" s="2"/>
      <c r="BL132" s="2"/>
      <c r="BM132" s="20"/>
      <c r="BN132" s="20"/>
      <c r="BO132" s="2"/>
    </row>
    <row r="133" spans="1:67" s="14" customFormat="1" x14ac:dyDescent="0.3">
      <c r="A133" s="20">
        <v>131</v>
      </c>
      <c r="B133" s="2" t="s">
        <v>181</v>
      </c>
      <c r="C133" s="2">
        <v>2020</v>
      </c>
      <c r="D133" s="2" t="s">
        <v>203</v>
      </c>
      <c r="E133" s="10" t="s">
        <v>787</v>
      </c>
      <c r="F133" s="20" t="s">
        <v>29</v>
      </c>
      <c r="G133" s="2" t="s">
        <v>77</v>
      </c>
      <c r="H133" s="2" t="str">
        <f>'PFAS Properties'!$B$29</f>
        <v>PFBA</v>
      </c>
      <c r="I133" s="2" t="str">
        <f>'PFAS Properties'!$C$29</f>
        <v>PFCA</v>
      </c>
      <c r="J133" s="2" t="str">
        <f>'PFAS Properties'!$D$29</f>
        <v>C4HF7O2</v>
      </c>
      <c r="K133" s="25">
        <f>'PFAS Properties'!$P$29</f>
        <v>213.9864</v>
      </c>
      <c r="L133" s="2">
        <f>'PFAS Properties'!$X$29</f>
        <v>-0.2</v>
      </c>
      <c r="M133" s="2" t="str">
        <f>'PFAS Properties'!$Y$29</f>
        <v>-</v>
      </c>
      <c r="N133" s="33">
        <v>0</v>
      </c>
      <c r="O133" s="33">
        <v>0</v>
      </c>
      <c r="P133" s="33">
        <v>0</v>
      </c>
      <c r="Q133" s="33">
        <f t="shared" si="51"/>
        <v>0.99999998741074603</v>
      </c>
      <c r="R133" s="33">
        <v>0</v>
      </c>
      <c r="S133" s="33">
        <f t="shared" si="52"/>
        <v>1.258925395945232E-8</v>
      </c>
      <c r="T133" s="8">
        <f t="shared" si="54"/>
        <v>1</v>
      </c>
      <c r="U133" s="33">
        <f t="shared" si="55"/>
        <v>0</v>
      </c>
      <c r="V133" s="33">
        <f t="shared" si="56"/>
        <v>-0.99999998741074603</v>
      </c>
      <c r="W133" s="33">
        <f t="shared" si="57"/>
        <v>212.98640001258926</v>
      </c>
      <c r="X133" s="33">
        <v>96485</v>
      </c>
      <c r="Y133" s="16">
        <f t="shared" si="58"/>
        <v>-453.01013951887433</v>
      </c>
      <c r="Z133" s="16">
        <v>4</v>
      </c>
      <c r="AA133" s="16">
        <v>7</v>
      </c>
      <c r="AB133" s="8">
        <f t="shared" si="59"/>
        <v>0.36090225563909772</v>
      </c>
      <c r="AC133" s="16">
        <f t="shared" si="77"/>
        <v>62.153482651233901</v>
      </c>
      <c r="AD133" s="20">
        <f>'PFAS Properties'!$W$29</f>
        <v>3</v>
      </c>
      <c r="AE133" s="8">
        <f>'PFAS Properties'!$S$29</f>
        <v>6.1376705372367555</v>
      </c>
      <c r="AF133" s="2">
        <f>'PFAS Properties'!$V$29</f>
        <v>2.2000000000000002</v>
      </c>
      <c r="AG133" s="24">
        <v>7.7</v>
      </c>
      <c r="AH133" s="2" t="s">
        <v>183</v>
      </c>
      <c r="AI133" s="2" t="s">
        <v>661</v>
      </c>
      <c r="AJ133" s="2" t="s">
        <v>661</v>
      </c>
      <c r="AK133" s="2" t="s">
        <v>661</v>
      </c>
      <c r="AL133" s="2" t="s">
        <v>661</v>
      </c>
      <c r="AM133" s="2" t="s">
        <v>661</v>
      </c>
      <c r="AN133" s="2" t="s">
        <v>661</v>
      </c>
      <c r="AO133" s="2" t="s">
        <v>661</v>
      </c>
      <c r="AP133" s="15">
        <v>7.8</v>
      </c>
      <c r="AQ133" s="2" t="s">
        <v>661</v>
      </c>
      <c r="AR133" s="16">
        <v>48.9</v>
      </c>
      <c r="AS133" s="16">
        <v>32.6</v>
      </c>
      <c r="AT133" s="16">
        <v>18.5</v>
      </c>
      <c r="AU133" s="2" t="s">
        <v>661</v>
      </c>
      <c r="AV133" s="16">
        <f t="shared" si="72"/>
        <v>100</v>
      </c>
      <c r="AW133" s="18">
        <v>0.13</v>
      </c>
      <c r="AX133" s="13">
        <f t="shared" si="73"/>
        <v>1.2999999999999999E-3</v>
      </c>
      <c r="AY133" s="8" t="s">
        <v>184</v>
      </c>
      <c r="AZ133" s="16">
        <f t="shared" si="76"/>
        <v>100</v>
      </c>
      <c r="BA133" s="16" t="s">
        <v>55</v>
      </c>
      <c r="BB133" s="16">
        <v>5</v>
      </c>
      <c r="BC133" s="16" t="s">
        <v>55</v>
      </c>
      <c r="BD133" s="20">
        <v>0.22</v>
      </c>
      <c r="BE133" s="15">
        <f t="shared" si="74"/>
        <v>169.23076923076923</v>
      </c>
      <c r="BF133" s="15">
        <f t="shared" si="64"/>
        <v>2.2284793285153697</v>
      </c>
      <c r="BG133" s="8">
        <f t="shared" si="75"/>
        <v>-0.65757731917779372</v>
      </c>
      <c r="BH133" s="13" t="s">
        <v>345</v>
      </c>
      <c r="BI133" s="2"/>
      <c r="BJ133" s="2"/>
      <c r="BK133" s="2"/>
      <c r="BL133" s="2"/>
      <c r="BM133" s="20"/>
      <c r="BN133" s="20"/>
      <c r="BO133" s="2"/>
    </row>
    <row r="134" spans="1:67" s="14" customFormat="1" x14ac:dyDescent="0.3">
      <c r="A134" s="20">
        <v>132</v>
      </c>
      <c r="B134" s="2" t="s">
        <v>181</v>
      </c>
      <c r="C134" s="2">
        <v>2020</v>
      </c>
      <c r="D134" s="2" t="s">
        <v>203</v>
      </c>
      <c r="E134" s="10" t="s">
        <v>787</v>
      </c>
      <c r="F134" s="20" t="s">
        <v>29</v>
      </c>
      <c r="G134" s="2" t="s">
        <v>182</v>
      </c>
      <c r="H134" s="2" t="str">
        <f>'PFAS Properties'!$B$29</f>
        <v>PFBA</v>
      </c>
      <c r="I134" s="2" t="str">
        <f>'PFAS Properties'!$C$29</f>
        <v>PFCA</v>
      </c>
      <c r="J134" s="2" t="str">
        <f>'PFAS Properties'!$D$29</f>
        <v>C4HF7O2</v>
      </c>
      <c r="K134" s="25">
        <f>'PFAS Properties'!$P$29</f>
        <v>213.9864</v>
      </c>
      <c r="L134" s="2">
        <f>'PFAS Properties'!$X$29</f>
        <v>-0.2</v>
      </c>
      <c r="M134" s="2" t="str">
        <f>'PFAS Properties'!$Y$29</f>
        <v>-</v>
      </c>
      <c r="N134" s="33">
        <v>0</v>
      </c>
      <c r="O134" s="33">
        <v>0</v>
      </c>
      <c r="P134" s="33">
        <v>0</v>
      </c>
      <c r="Q134" s="33">
        <f t="shared" si="51"/>
        <v>0.99999998004737722</v>
      </c>
      <c r="R134" s="33">
        <v>0</v>
      </c>
      <c r="S134" s="33">
        <f t="shared" si="52"/>
        <v>1.995262275158161E-8</v>
      </c>
      <c r="T134" s="8">
        <f t="shared" si="54"/>
        <v>1</v>
      </c>
      <c r="U134" s="33">
        <f t="shared" si="55"/>
        <v>0</v>
      </c>
      <c r="V134" s="33">
        <f t="shared" si="56"/>
        <v>-0.99999998004737722</v>
      </c>
      <c r="W134" s="33">
        <f t="shared" si="57"/>
        <v>212.98640001995261</v>
      </c>
      <c r="X134" s="33">
        <v>96485</v>
      </c>
      <c r="Y134" s="16">
        <f t="shared" si="58"/>
        <v>-453.01013616753204</v>
      </c>
      <c r="Z134" s="16">
        <v>4</v>
      </c>
      <c r="AA134" s="16">
        <v>7</v>
      </c>
      <c r="AB134" s="8">
        <f t="shared" si="59"/>
        <v>0.36090225563909772</v>
      </c>
      <c r="AC134" s="16">
        <f t="shared" si="77"/>
        <v>62.153482651233901</v>
      </c>
      <c r="AD134" s="20">
        <f>'PFAS Properties'!$W$29</f>
        <v>3</v>
      </c>
      <c r="AE134" s="8">
        <f>'PFAS Properties'!$S$29</f>
        <v>6.1376705372367555</v>
      </c>
      <c r="AF134" s="2">
        <f>'PFAS Properties'!$V$29</f>
        <v>2.2000000000000002</v>
      </c>
      <c r="AG134" s="24">
        <v>7.5</v>
      </c>
      <c r="AH134" s="2" t="s">
        <v>183</v>
      </c>
      <c r="AI134" s="2" t="s">
        <v>661</v>
      </c>
      <c r="AJ134" s="2" t="s">
        <v>661</v>
      </c>
      <c r="AK134" s="2" t="s">
        <v>661</v>
      </c>
      <c r="AL134" s="2" t="s">
        <v>661</v>
      </c>
      <c r="AM134" s="2" t="s">
        <v>661</v>
      </c>
      <c r="AN134" s="2" t="s">
        <v>661</v>
      </c>
      <c r="AO134" s="2" t="s">
        <v>661</v>
      </c>
      <c r="AP134" s="15">
        <v>2.2799999999999998</v>
      </c>
      <c r="AQ134" s="2" t="s">
        <v>661</v>
      </c>
      <c r="AR134" s="16">
        <v>93</v>
      </c>
      <c r="AS134" s="16">
        <v>1</v>
      </c>
      <c r="AT134" s="16">
        <v>5</v>
      </c>
      <c r="AU134" s="2" t="s">
        <v>661</v>
      </c>
      <c r="AV134" s="16">
        <f t="shared" si="72"/>
        <v>99</v>
      </c>
      <c r="AW134" s="18">
        <v>0.4</v>
      </c>
      <c r="AX134" s="13">
        <f t="shared" si="73"/>
        <v>4.0000000000000001E-3</v>
      </c>
      <c r="AY134" s="8" t="s">
        <v>184</v>
      </c>
      <c r="AZ134" s="16">
        <f t="shared" si="76"/>
        <v>100</v>
      </c>
      <c r="BA134" s="16" t="s">
        <v>55</v>
      </c>
      <c r="BB134" s="16">
        <v>5</v>
      </c>
      <c r="BC134" s="16" t="s">
        <v>55</v>
      </c>
      <c r="BD134" s="20">
        <v>0.06</v>
      </c>
      <c r="BE134" s="15">
        <f t="shared" si="74"/>
        <v>15</v>
      </c>
      <c r="BF134" s="15">
        <f t="shared" si="64"/>
        <v>1.1760912590556813</v>
      </c>
      <c r="BG134" s="8">
        <f t="shared" si="75"/>
        <v>-1.2218487496163564</v>
      </c>
      <c r="BH134" s="13" t="s">
        <v>345</v>
      </c>
      <c r="BI134" s="2"/>
      <c r="BJ134" s="2"/>
      <c r="BK134" s="2"/>
      <c r="BL134" s="2"/>
      <c r="BM134" s="20"/>
      <c r="BN134" s="20"/>
      <c r="BO134" s="2"/>
    </row>
    <row r="135" spans="1:67" s="14" customFormat="1" x14ac:dyDescent="0.3">
      <c r="A135" s="20">
        <v>133</v>
      </c>
      <c r="B135" s="2" t="s">
        <v>181</v>
      </c>
      <c r="C135" s="2">
        <v>2020</v>
      </c>
      <c r="D135" s="2" t="s">
        <v>203</v>
      </c>
      <c r="E135" s="10" t="s">
        <v>787</v>
      </c>
      <c r="F135" s="20" t="s">
        <v>29</v>
      </c>
      <c r="G135" s="2" t="s">
        <v>78</v>
      </c>
      <c r="H135" s="2" t="str">
        <f>'PFAS Properties'!$B$29</f>
        <v>PFBA</v>
      </c>
      <c r="I135" s="2" t="str">
        <f>'PFAS Properties'!$C$29</f>
        <v>PFCA</v>
      </c>
      <c r="J135" s="2" t="str">
        <f>'PFAS Properties'!$D$29</f>
        <v>C4HF7O2</v>
      </c>
      <c r="K135" s="25">
        <f>'PFAS Properties'!$P$29</f>
        <v>213.9864</v>
      </c>
      <c r="L135" s="2">
        <f>'PFAS Properties'!$X$29</f>
        <v>-0.2</v>
      </c>
      <c r="M135" s="2" t="str">
        <f>'PFAS Properties'!$Y$29</f>
        <v>-</v>
      </c>
      <c r="N135" s="33">
        <v>0</v>
      </c>
      <c r="O135" s="33">
        <v>0</v>
      </c>
      <c r="P135" s="33">
        <v>0</v>
      </c>
      <c r="Q135" s="33">
        <f t="shared" si="51"/>
        <v>0.99999994988127916</v>
      </c>
      <c r="R135" s="33">
        <v>0</v>
      </c>
      <c r="S135" s="33">
        <f t="shared" si="52"/>
        <v>5.011872085084086E-8</v>
      </c>
      <c r="T135" s="8">
        <f t="shared" si="54"/>
        <v>1</v>
      </c>
      <c r="U135" s="33">
        <f t="shared" si="55"/>
        <v>0</v>
      </c>
      <c r="V135" s="33">
        <f t="shared" si="56"/>
        <v>-0.99999994988127916</v>
      </c>
      <c r="W135" s="33">
        <f t="shared" si="57"/>
        <v>212.98640005011873</v>
      </c>
      <c r="X135" s="33">
        <v>96485</v>
      </c>
      <c r="Y135" s="16">
        <f t="shared" si="58"/>
        <v>-453.01012243782202</v>
      </c>
      <c r="Z135" s="16">
        <v>4</v>
      </c>
      <c r="AA135" s="16">
        <v>7</v>
      </c>
      <c r="AB135" s="8">
        <f t="shared" si="59"/>
        <v>0.36090225563909772</v>
      </c>
      <c r="AC135" s="16">
        <f t="shared" si="77"/>
        <v>62.153482651233901</v>
      </c>
      <c r="AD135" s="20">
        <f>'PFAS Properties'!$W$29</f>
        <v>3</v>
      </c>
      <c r="AE135" s="8">
        <f>'PFAS Properties'!$S$29</f>
        <v>6.1376705372367555</v>
      </c>
      <c r="AF135" s="2">
        <f>'PFAS Properties'!$V$29</f>
        <v>2.2000000000000002</v>
      </c>
      <c r="AG135" s="24">
        <v>7.1</v>
      </c>
      <c r="AH135" s="2" t="s">
        <v>183</v>
      </c>
      <c r="AI135" s="2" t="s">
        <v>661</v>
      </c>
      <c r="AJ135" s="2" t="s">
        <v>661</v>
      </c>
      <c r="AK135" s="2" t="s">
        <v>661</v>
      </c>
      <c r="AL135" s="2" t="s">
        <v>661</v>
      </c>
      <c r="AM135" s="2" t="s">
        <v>661</v>
      </c>
      <c r="AN135" s="2" t="s">
        <v>661</v>
      </c>
      <c r="AO135" s="2" t="s">
        <v>661</v>
      </c>
      <c r="AP135" s="15">
        <v>17.420000000000002</v>
      </c>
      <c r="AQ135" s="2" t="s">
        <v>661</v>
      </c>
      <c r="AR135" s="16">
        <v>48.86</v>
      </c>
      <c r="AS135" s="16">
        <v>16.05</v>
      </c>
      <c r="AT135" s="16">
        <v>35.090000000000003</v>
      </c>
      <c r="AU135" s="2" t="s">
        <v>661</v>
      </c>
      <c r="AV135" s="16">
        <f t="shared" si="72"/>
        <v>100</v>
      </c>
      <c r="AW135" s="18">
        <v>1.19</v>
      </c>
      <c r="AX135" s="13">
        <f t="shared" si="73"/>
        <v>1.1899999999999999E-2</v>
      </c>
      <c r="AY135" s="8" t="s">
        <v>184</v>
      </c>
      <c r="AZ135" s="16">
        <f t="shared" si="76"/>
        <v>100</v>
      </c>
      <c r="BA135" s="16" t="s">
        <v>55</v>
      </c>
      <c r="BB135" s="16">
        <v>5</v>
      </c>
      <c r="BC135" s="16" t="s">
        <v>55</v>
      </c>
      <c r="BD135" s="20">
        <v>0.23</v>
      </c>
      <c r="BE135" s="15">
        <f t="shared" si="74"/>
        <v>19.327731092436977</v>
      </c>
      <c r="BF135" s="15">
        <f t="shared" si="64"/>
        <v>1.2861808746250623</v>
      </c>
      <c r="BG135" s="8">
        <f t="shared" si="75"/>
        <v>-0.63827216398240705</v>
      </c>
      <c r="BH135" s="13" t="s">
        <v>345</v>
      </c>
      <c r="BI135" s="2"/>
      <c r="BJ135" s="2"/>
      <c r="BK135" s="2"/>
      <c r="BL135" s="2"/>
      <c r="BM135" s="20"/>
      <c r="BN135" s="20"/>
      <c r="BO135" s="2"/>
    </row>
    <row r="136" spans="1:67" s="14" customFormat="1" x14ac:dyDescent="0.3">
      <c r="A136" s="20">
        <v>134</v>
      </c>
      <c r="B136" s="2" t="s">
        <v>181</v>
      </c>
      <c r="C136" s="2">
        <v>2020</v>
      </c>
      <c r="D136" s="2" t="s">
        <v>203</v>
      </c>
      <c r="E136" s="10" t="s">
        <v>787</v>
      </c>
      <c r="F136" s="20" t="s">
        <v>29</v>
      </c>
      <c r="G136" s="2" t="s">
        <v>98</v>
      </c>
      <c r="H136" s="2" t="str">
        <f>'PFAS Properties'!$B$29</f>
        <v>PFBA</v>
      </c>
      <c r="I136" s="2" t="str">
        <f>'PFAS Properties'!$C$29</f>
        <v>PFCA</v>
      </c>
      <c r="J136" s="2" t="str">
        <f>'PFAS Properties'!$D$29</f>
        <v>C4HF7O2</v>
      </c>
      <c r="K136" s="25">
        <f>'PFAS Properties'!$P$29</f>
        <v>213.9864</v>
      </c>
      <c r="L136" s="2">
        <f>'PFAS Properties'!$X$29</f>
        <v>-0.2</v>
      </c>
      <c r="M136" s="2" t="str">
        <f>'PFAS Properties'!$Y$29</f>
        <v>-</v>
      </c>
      <c r="N136" s="33">
        <v>0</v>
      </c>
      <c r="O136" s="33">
        <v>0</v>
      </c>
      <c r="P136" s="33">
        <v>0</v>
      </c>
      <c r="Q136" s="33">
        <f t="shared" si="51"/>
        <v>0.99999974881141995</v>
      </c>
      <c r="R136" s="33">
        <v>0</v>
      </c>
      <c r="S136" s="33">
        <f t="shared" si="52"/>
        <v>2.5118858005523878E-7</v>
      </c>
      <c r="T136" s="8">
        <f t="shared" si="54"/>
        <v>1</v>
      </c>
      <c r="U136" s="33">
        <f t="shared" si="55"/>
        <v>0</v>
      </c>
      <c r="V136" s="33">
        <f t="shared" si="56"/>
        <v>-0.99999974881141995</v>
      </c>
      <c r="W136" s="33">
        <f t="shared" si="57"/>
        <v>212.9864002511886</v>
      </c>
      <c r="X136" s="33">
        <v>96485</v>
      </c>
      <c r="Y136" s="16">
        <f t="shared" si="58"/>
        <v>-453.01003092347167</v>
      </c>
      <c r="Z136" s="16">
        <v>4</v>
      </c>
      <c r="AA136" s="16">
        <v>7</v>
      </c>
      <c r="AB136" s="8">
        <f t="shared" si="59"/>
        <v>0.36090225563909772</v>
      </c>
      <c r="AC136" s="16">
        <f t="shared" si="77"/>
        <v>62.153482651233901</v>
      </c>
      <c r="AD136" s="20">
        <f>'PFAS Properties'!$W$29</f>
        <v>3</v>
      </c>
      <c r="AE136" s="8">
        <f>'PFAS Properties'!$S$29</f>
        <v>6.1376705372367555</v>
      </c>
      <c r="AF136" s="2">
        <f>'PFAS Properties'!$V$29</f>
        <v>2.2000000000000002</v>
      </c>
      <c r="AG136" s="24">
        <v>6.4</v>
      </c>
      <c r="AH136" s="2" t="s">
        <v>183</v>
      </c>
      <c r="AI136" s="2" t="s">
        <v>661</v>
      </c>
      <c r="AJ136" s="2" t="s">
        <v>661</v>
      </c>
      <c r="AK136" s="2" t="s">
        <v>661</v>
      </c>
      <c r="AL136" s="2" t="s">
        <v>661</v>
      </c>
      <c r="AM136" s="2" t="s">
        <v>661</v>
      </c>
      <c r="AN136" s="2" t="s">
        <v>661</v>
      </c>
      <c r="AO136" s="2" t="s">
        <v>661</v>
      </c>
      <c r="AP136" s="15">
        <v>16.54</v>
      </c>
      <c r="AQ136" s="2" t="s">
        <v>661</v>
      </c>
      <c r="AR136" s="16">
        <v>29.38</v>
      </c>
      <c r="AS136" s="16">
        <v>13.9</v>
      </c>
      <c r="AT136" s="16">
        <v>56.71</v>
      </c>
      <c r="AU136" s="2" t="s">
        <v>661</v>
      </c>
      <c r="AV136" s="16">
        <f t="shared" si="72"/>
        <v>99.990000000000009</v>
      </c>
      <c r="AW136" s="18">
        <v>0.17</v>
      </c>
      <c r="AX136" s="13">
        <f t="shared" si="73"/>
        <v>1.7000000000000001E-3</v>
      </c>
      <c r="AY136" s="8" t="s">
        <v>184</v>
      </c>
      <c r="AZ136" s="16">
        <f t="shared" si="76"/>
        <v>100</v>
      </c>
      <c r="BA136" s="16" t="s">
        <v>55</v>
      </c>
      <c r="BB136" s="16">
        <v>5</v>
      </c>
      <c r="BC136" s="16" t="s">
        <v>55</v>
      </c>
      <c r="BD136" s="18">
        <v>0.3</v>
      </c>
      <c r="BE136" s="15">
        <f t="shared" si="74"/>
        <v>176.47058823529409</v>
      </c>
      <c r="BF136" s="15">
        <f t="shared" si="64"/>
        <v>2.2466723333413885</v>
      </c>
      <c r="BG136" s="8">
        <f t="shared" si="75"/>
        <v>-0.52287874528033762</v>
      </c>
      <c r="BH136" s="13" t="s">
        <v>345</v>
      </c>
      <c r="BI136" s="2"/>
      <c r="BJ136" s="2"/>
      <c r="BK136" s="2"/>
      <c r="BL136" s="2"/>
      <c r="BM136" s="20"/>
      <c r="BN136" s="20"/>
      <c r="BO136" s="2"/>
    </row>
    <row r="137" spans="1:67" s="14" customFormat="1" x14ac:dyDescent="0.3">
      <c r="A137" s="20">
        <v>135</v>
      </c>
      <c r="B137" s="2" t="s">
        <v>202</v>
      </c>
      <c r="C137" s="2">
        <v>2019</v>
      </c>
      <c r="D137" s="2" t="s">
        <v>199</v>
      </c>
      <c r="E137" s="10" t="s">
        <v>791</v>
      </c>
      <c r="F137" s="20" t="s">
        <v>29</v>
      </c>
      <c r="G137" s="2" t="s">
        <v>39</v>
      </c>
      <c r="H137" s="2" t="str">
        <f>'PFAS Properties'!$B$30</f>
        <v>PFPeA</v>
      </c>
      <c r="I137" s="2" t="str">
        <f>'PFAS Properties'!$C$30</f>
        <v>PFCA</v>
      </c>
      <c r="J137" s="2" t="str">
        <f>'PFAS Properties'!$D$30</f>
        <v>C5HF9O2</v>
      </c>
      <c r="K137" s="25">
        <f>'PFAS Properties'!$P$30</f>
        <v>263.98320000000001</v>
      </c>
      <c r="L137" s="2">
        <f>'PFAS Properties'!$X$30</f>
        <v>-0.2</v>
      </c>
      <c r="M137" s="2" t="str">
        <f>'PFAS Properties'!$Y$30</f>
        <v>-</v>
      </c>
      <c r="N137" s="33">
        <v>0</v>
      </c>
      <c r="O137" s="33">
        <v>0</v>
      </c>
      <c r="P137" s="33">
        <v>0</v>
      </c>
      <c r="Q137" s="33">
        <f t="shared" si="51"/>
        <v>0.9999964518786969</v>
      </c>
      <c r="R137" s="33">
        <v>0</v>
      </c>
      <c r="S137" s="33">
        <f t="shared" si="52"/>
        <v>3.5481213031263005E-6</v>
      </c>
      <c r="T137" s="8">
        <f t="shared" si="54"/>
        <v>1</v>
      </c>
      <c r="U137" s="33">
        <f t="shared" si="55"/>
        <v>0</v>
      </c>
      <c r="V137" s="33">
        <f t="shared" si="56"/>
        <v>-0.9999964518786969</v>
      </c>
      <c r="W137" s="33">
        <f t="shared" si="57"/>
        <v>262.98320354812131</v>
      </c>
      <c r="X137" s="33">
        <v>96485</v>
      </c>
      <c r="Y137" s="16">
        <f t="shared" si="58"/>
        <v>-366.88524726204071</v>
      </c>
      <c r="Z137" s="16">
        <v>5</v>
      </c>
      <c r="AA137" s="16">
        <v>9</v>
      </c>
      <c r="AB137" s="8">
        <f t="shared" si="59"/>
        <v>0.35087719298245612</v>
      </c>
      <c r="AC137" s="16">
        <f t="shared" si="77"/>
        <v>64.776849435873189</v>
      </c>
      <c r="AD137" s="20">
        <f>'PFAS Properties'!$W$30</f>
        <v>4</v>
      </c>
      <c r="AE137" s="8">
        <f>'PFAS Properties'!$S$30</f>
        <v>5.2933625547114458</v>
      </c>
      <c r="AF137" s="2">
        <f>'PFAS Properties'!$V$30</f>
        <v>2.9</v>
      </c>
      <c r="AG137" s="24">
        <v>5.25</v>
      </c>
      <c r="AH137" s="2" t="s">
        <v>661</v>
      </c>
      <c r="AI137" s="2" t="s">
        <v>661</v>
      </c>
      <c r="AJ137" s="2" t="s">
        <v>661</v>
      </c>
      <c r="AK137" s="2" t="s">
        <v>661</v>
      </c>
      <c r="AL137" s="2" t="s">
        <v>661</v>
      </c>
      <c r="AM137" s="2" t="s">
        <v>661</v>
      </c>
      <c r="AN137" s="2" t="s">
        <v>661</v>
      </c>
      <c r="AO137" s="2" t="s">
        <v>661</v>
      </c>
      <c r="AP137" s="72">
        <v>5.7023166666666656</v>
      </c>
      <c r="AQ137" s="70" t="s">
        <v>752</v>
      </c>
      <c r="AR137" s="16">
        <v>100</v>
      </c>
      <c r="AS137" s="16">
        <v>0</v>
      </c>
      <c r="AT137" s="16">
        <v>0</v>
      </c>
      <c r="AU137" s="2" t="s">
        <v>661</v>
      </c>
      <c r="AV137" s="16">
        <f t="shared" si="72"/>
        <v>100</v>
      </c>
      <c r="AW137" s="18">
        <v>0.4</v>
      </c>
      <c r="AX137" s="13">
        <f t="shared" si="73"/>
        <v>4.0000000000000001E-3</v>
      </c>
      <c r="AY137" s="13" t="s">
        <v>658</v>
      </c>
      <c r="AZ137" s="16">
        <f>2/0.01</f>
        <v>200</v>
      </c>
      <c r="BA137" s="16" t="s">
        <v>55</v>
      </c>
      <c r="BB137" s="16">
        <v>1</v>
      </c>
      <c r="BC137" s="16">
        <v>1000</v>
      </c>
      <c r="BD137" s="18">
        <v>0.21</v>
      </c>
      <c r="BE137" s="15">
        <f t="shared" si="74"/>
        <v>52.5</v>
      </c>
      <c r="BF137" s="8">
        <f t="shared" si="64"/>
        <v>1.7201593034059568</v>
      </c>
      <c r="BG137" s="8">
        <f t="shared" si="75"/>
        <v>-0.6777807052660807</v>
      </c>
      <c r="BH137" s="2" t="s">
        <v>605</v>
      </c>
      <c r="BI137" s="13"/>
      <c r="BJ137" s="13"/>
      <c r="BK137" s="13"/>
      <c r="BL137" s="13"/>
      <c r="BM137" s="17"/>
      <c r="BN137" s="17"/>
      <c r="BO137" s="2"/>
    </row>
    <row r="138" spans="1:67" s="14" customFormat="1" x14ac:dyDescent="0.3">
      <c r="A138" s="20">
        <v>136</v>
      </c>
      <c r="B138" s="2" t="s">
        <v>202</v>
      </c>
      <c r="C138" s="2">
        <v>2019</v>
      </c>
      <c r="D138" s="2" t="s">
        <v>199</v>
      </c>
      <c r="E138" s="10" t="s">
        <v>791</v>
      </c>
      <c r="F138" s="20" t="s">
        <v>29</v>
      </c>
      <c r="G138" s="2" t="s">
        <v>43</v>
      </c>
      <c r="H138" s="2" t="str">
        <f>'PFAS Properties'!$B$30</f>
        <v>PFPeA</v>
      </c>
      <c r="I138" s="2" t="str">
        <f>'PFAS Properties'!$C$30</f>
        <v>PFCA</v>
      </c>
      <c r="J138" s="2" t="str">
        <f>'PFAS Properties'!$D$30</f>
        <v>C5HF9O2</v>
      </c>
      <c r="K138" s="25">
        <f>'PFAS Properties'!$P$30</f>
        <v>263.98320000000001</v>
      </c>
      <c r="L138" s="2">
        <f>'PFAS Properties'!$X$30</f>
        <v>-0.2</v>
      </c>
      <c r="M138" s="2" t="str">
        <f>'PFAS Properties'!$Y$30</f>
        <v>-</v>
      </c>
      <c r="N138" s="33">
        <v>0</v>
      </c>
      <c r="O138" s="33">
        <v>0</v>
      </c>
      <c r="P138" s="33">
        <v>0</v>
      </c>
      <c r="Q138" s="33">
        <f t="shared" si="51"/>
        <v>0.99999865103893715</v>
      </c>
      <c r="R138" s="33">
        <v>0</v>
      </c>
      <c r="S138" s="33">
        <f t="shared" si="52"/>
        <v>1.3489610628932487E-6</v>
      </c>
      <c r="T138" s="8">
        <f t="shared" si="54"/>
        <v>1</v>
      </c>
      <c r="U138" s="33">
        <f t="shared" si="55"/>
        <v>0</v>
      </c>
      <c r="V138" s="33">
        <f t="shared" si="56"/>
        <v>-0.99999865103893715</v>
      </c>
      <c r="W138" s="33">
        <f t="shared" si="57"/>
        <v>262.98320134896107</v>
      </c>
      <c r="X138" s="33">
        <v>96485</v>
      </c>
      <c r="Y138" s="16">
        <f t="shared" si="58"/>
        <v>-366.88605717238528</v>
      </c>
      <c r="Z138" s="16">
        <v>5</v>
      </c>
      <c r="AA138" s="16">
        <v>9</v>
      </c>
      <c r="AB138" s="8">
        <f t="shared" si="59"/>
        <v>0.35087719298245612</v>
      </c>
      <c r="AC138" s="16">
        <f t="shared" si="77"/>
        <v>64.776849435873189</v>
      </c>
      <c r="AD138" s="20">
        <f>'PFAS Properties'!$W$30</f>
        <v>4</v>
      </c>
      <c r="AE138" s="8">
        <f>'PFAS Properties'!$S$30</f>
        <v>5.2933625547114458</v>
      </c>
      <c r="AF138" s="2">
        <f>'PFAS Properties'!$V$30</f>
        <v>2.9</v>
      </c>
      <c r="AG138" s="24">
        <v>5.67</v>
      </c>
      <c r="AH138" s="2" t="s">
        <v>661</v>
      </c>
      <c r="AI138" s="15" t="s">
        <v>661</v>
      </c>
      <c r="AJ138" s="16" t="s">
        <v>661</v>
      </c>
      <c r="AK138" s="2" t="s">
        <v>661</v>
      </c>
      <c r="AL138" s="15" t="s">
        <v>661</v>
      </c>
      <c r="AM138" s="16" t="s">
        <v>661</v>
      </c>
      <c r="AN138" s="2" t="s">
        <v>661</v>
      </c>
      <c r="AO138" s="2" t="s">
        <v>661</v>
      </c>
      <c r="AP138" s="72">
        <v>9.2037666666666649</v>
      </c>
      <c r="AQ138" s="70" t="s">
        <v>752</v>
      </c>
      <c r="AR138" s="16">
        <v>71</v>
      </c>
      <c r="AS138" s="16">
        <v>24</v>
      </c>
      <c r="AT138" s="16">
        <v>5</v>
      </c>
      <c r="AU138" s="2" t="s">
        <v>661</v>
      </c>
      <c r="AV138" s="16">
        <f t="shared" si="72"/>
        <v>100</v>
      </c>
      <c r="AW138" s="18">
        <v>0.93</v>
      </c>
      <c r="AX138" s="13">
        <f t="shared" si="73"/>
        <v>9.300000000000001E-3</v>
      </c>
      <c r="AY138" s="13" t="s">
        <v>658</v>
      </c>
      <c r="AZ138" s="16">
        <f>2/0.01</f>
        <v>200</v>
      </c>
      <c r="BA138" s="16" t="s">
        <v>55</v>
      </c>
      <c r="BB138" s="16">
        <v>1</v>
      </c>
      <c r="BC138" s="16">
        <v>1000</v>
      </c>
      <c r="BD138" s="18">
        <v>0.23</v>
      </c>
      <c r="BE138" s="15">
        <f t="shared" si="74"/>
        <v>24.731182795698924</v>
      </c>
      <c r="BF138" s="8">
        <f t="shared" si="64"/>
        <v>1.3932448874636578</v>
      </c>
      <c r="BG138" s="8">
        <f t="shared" si="75"/>
        <v>-0.63827216398240705</v>
      </c>
      <c r="BH138" s="2" t="s">
        <v>605</v>
      </c>
      <c r="BI138" s="13"/>
      <c r="BJ138" s="13"/>
      <c r="BK138" s="13"/>
      <c r="BL138" s="13"/>
      <c r="BM138" s="17"/>
      <c r="BN138" s="17"/>
      <c r="BO138" s="2"/>
    </row>
    <row r="139" spans="1:67" s="14" customFormat="1" x14ac:dyDescent="0.3">
      <c r="A139" s="20">
        <v>137</v>
      </c>
      <c r="B139" s="2" t="s">
        <v>204</v>
      </c>
      <c r="C139" s="2">
        <v>2013</v>
      </c>
      <c r="D139" s="2" t="s">
        <v>203</v>
      </c>
      <c r="E139" s="10" t="s">
        <v>792</v>
      </c>
      <c r="F139" s="20" t="s">
        <v>29</v>
      </c>
      <c r="G139" s="2" t="s">
        <v>46</v>
      </c>
      <c r="H139" s="2" t="str">
        <f>'PFAS Properties'!$B$30</f>
        <v>PFPeA</v>
      </c>
      <c r="I139" s="2" t="str">
        <f>'PFAS Properties'!$C$30</f>
        <v>PFCA</v>
      </c>
      <c r="J139" s="2" t="str">
        <f>'PFAS Properties'!$D$30</f>
        <v>C5HF9O2</v>
      </c>
      <c r="K139" s="25">
        <f>'PFAS Properties'!$P$30</f>
        <v>263.98320000000001</v>
      </c>
      <c r="L139" s="2">
        <f>'PFAS Properties'!$X$30</f>
        <v>-0.2</v>
      </c>
      <c r="M139" s="2" t="str">
        <f>'PFAS Properties'!$Y$30</f>
        <v>-</v>
      </c>
      <c r="N139" s="33">
        <v>0</v>
      </c>
      <c r="O139" s="33">
        <v>0</v>
      </c>
      <c r="P139" s="33">
        <v>0</v>
      </c>
      <c r="Q139" s="33">
        <f t="shared" si="51"/>
        <v>0.99999949881301753</v>
      </c>
      <c r="R139" s="33">
        <v>0</v>
      </c>
      <c r="S139" s="33">
        <f t="shared" si="52"/>
        <v>5.0118698243875488E-7</v>
      </c>
      <c r="T139" s="8">
        <f t="shared" si="54"/>
        <v>1</v>
      </c>
      <c r="U139" s="33">
        <f t="shared" si="55"/>
        <v>0</v>
      </c>
      <c r="V139" s="33">
        <f t="shared" si="56"/>
        <v>-0.99999949881301753</v>
      </c>
      <c r="W139" s="33">
        <f t="shared" si="57"/>
        <v>262.98320050118696</v>
      </c>
      <c r="X139" s="33">
        <v>96485</v>
      </c>
      <c r="Y139" s="16">
        <f t="shared" si="58"/>
        <v>-366.88636939201945</v>
      </c>
      <c r="Z139" s="16">
        <v>5</v>
      </c>
      <c r="AA139" s="16">
        <v>9</v>
      </c>
      <c r="AB139" s="8">
        <f t="shared" si="59"/>
        <v>0.35087719298245612</v>
      </c>
      <c r="AC139" s="16">
        <f t="shared" si="77"/>
        <v>64.776849435873189</v>
      </c>
      <c r="AD139" s="20">
        <f>'PFAS Properties'!$W$30</f>
        <v>4</v>
      </c>
      <c r="AE139" s="8">
        <f>'PFAS Properties'!$S$30</f>
        <v>5.2933625547114458</v>
      </c>
      <c r="AF139" s="2">
        <f>'PFAS Properties'!$V$30</f>
        <v>2.9</v>
      </c>
      <c r="AG139" s="24">
        <v>6.1</v>
      </c>
      <c r="AH139" s="2" t="s">
        <v>661</v>
      </c>
      <c r="AI139" s="15">
        <v>2.21</v>
      </c>
      <c r="AJ139" s="16">
        <f>AI139*1000/55.845</f>
        <v>39.573820395738203</v>
      </c>
      <c r="AK139" s="8">
        <f>AI139/10</f>
        <v>0.221</v>
      </c>
      <c r="AL139" s="15">
        <v>0.93</v>
      </c>
      <c r="AM139" s="16">
        <f>AL139*1000/26.98</f>
        <v>34.469977761304669</v>
      </c>
      <c r="AN139" s="8">
        <f>AL139/10</f>
        <v>9.2999999999999999E-2</v>
      </c>
      <c r="AO139" s="15" t="s">
        <v>41</v>
      </c>
      <c r="AP139" s="72">
        <v>14.27683666666667</v>
      </c>
      <c r="AQ139" s="2" t="s">
        <v>752</v>
      </c>
      <c r="AR139" s="16">
        <v>81</v>
      </c>
      <c r="AS139" s="16">
        <v>1</v>
      </c>
      <c r="AT139" s="16">
        <v>9</v>
      </c>
      <c r="AU139" s="16" t="s">
        <v>661</v>
      </c>
      <c r="AV139" s="16">
        <f t="shared" si="72"/>
        <v>91</v>
      </c>
      <c r="AW139" s="18">
        <v>1.7</v>
      </c>
      <c r="AX139" s="13">
        <f t="shared" si="73"/>
        <v>1.7000000000000001E-2</v>
      </c>
      <c r="AY139" s="13" t="s">
        <v>42</v>
      </c>
      <c r="AZ139" s="16">
        <f>15/0.04</f>
        <v>375</v>
      </c>
      <c r="BA139" s="16" t="s">
        <v>55</v>
      </c>
      <c r="BB139" s="15">
        <v>0.5</v>
      </c>
      <c r="BC139" s="16">
        <v>1000</v>
      </c>
      <c r="BD139" s="18">
        <v>0.24</v>
      </c>
      <c r="BE139" s="15">
        <f t="shared" si="74"/>
        <v>14.117647058823527</v>
      </c>
      <c r="BF139" s="8">
        <f t="shared" si="64"/>
        <v>1.149762320333332</v>
      </c>
      <c r="BG139" s="8">
        <f t="shared" si="75"/>
        <v>-0.61978875828839397</v>
      </c>
      <c r="BH139" s="13" t="s">
        <v>844</v>
      </c>
      <c r="BI139" s="15"/>
      <c r="BJ139" s="13"/>
      <c r="BK139" s="15"/>
      <c r="BL139" s="15"/>
      <c r="BM139" s="18"/>
      <c r="BN139" s="8"/>
      <c r="BO139" s="24"/>
    </row>
    <row r="140" spans="1:67" s="14" customFormat="1" x14ac:dyDescent="0.3">
      <c r="A140" s="20">
        <v>138</v>
      </c>
      <c r="B140" s="2" t="s">
        <v>204</v>
      </c>
      <c r="C140" s="2">
        <v>2013</v>
      </c>
      <c r="D140" s="2" t="s">
        <v>203</v>
      </c>
      <c r="E140" s="10" t="s">
        <v>792</v>
      </c>
      <c r="F140" s="20" t="s">
        <v>29</v>
      </c>
      <c r="G140" s="2" t="s">
        <v>50</v>
      </c>
      <c r="H140" s="2" t="str">
        <f>'PFAS Properties'!$B$30</f>
        <v>PFPeA</v>
      </c>
      <c r="I140" s="2" t="str">
        <f>'PFAS Properties'!$C$30</f>
        <v>PFCA</v>
      </c>
      <c r="J140" s="2" t="str">
        <f>'PFAS Properties'!$D$30</f>
        <v>C5HF9O2</v>
      </c>
      <c r="K140" s="25">
        <f>'PFAS Properties'!$P$30</f>
        <v>263.98320000000001</v>
      </c>
      <c r="L140" s="2">
        <f>'PFAS Properties'!$X$30</f>
        <v>-0.2</v>
      </c>
      <c r="M140" s="2" t="str">
        <f>'PFAS Properties'!$Y$30</f>
        <v>-</v>
      </c>
      <c r="N140" s="33">
        <v>0</v>
      </c>
      <c r="O140" s="33">
        <v>0</v>
      </c>
      <c r="P140" s="33">
        <v>0</v>
      </c>
      <c r="Q140" s="33">
        <f t="shared" si="51"/>
        <v>0.99999999000000006</v>
      </c>
      <c r="R140" s="33">
        <v>0</v>
      </c>
      <c r="S140" s="33">
        <f t="shared" si="52"/>
        <v>9.9999999000000002E-9</v>
      </c>
      <c r="T140" s="8">
        <f t="shared" si="54"/>
        <v>1</v>
      </c>
      <c r="U140" s="33">
        <f t="shared" si="55"/>
        <v>0</v>
      </c>
      <c r="V140" s="33">
        <f t="shared" si="56"/>
        <v>-0.99999999000000006</v>
      </c>
      <c r="W140" s="33">
        <f t="shared" si="57"/>
        <v>262.98320000999996</v>
      </c>
      <c r="X140" s="33">
        <v>96485</v>
      </c>
      <c r="Y140" s="16">
        <f t="shared" si="58"/>
        <v>-366.88655028717102</v>
      </c>
      <c r="Z140" s="16">
        <v>5</v>
      </c>
      <c r="AA140" s="16">
        <v>9</v>
      </c>
      <c r="AB140" s="8">
        <f t="shared" si="59"/>
        <v>0.35087719298245612</v>
      </c>
      <c r="AC140" s="16">
        <f t="shared" si="77"/>
        <v>64.776849435873189</v>
      </c>
      <c r="AD140" s="20">
        <f>'PFAS Properties'!$W$30</f>
        <v>4</v>
      </c>
      <c r="AE140" s="8">
        <f>'PFAS Properties'!$S$30</f>
        <v>5.2933625547114458</v>
      </c>
      <c r="AF140" s="2">
        <f>'PFAS Properties'!$V$30</f>
        <v>2.9</v>
      </c>
      <c r="AG140" s="24">
        <v>7.8</v>
      </c>
      <c r="AH140" s="2" t="s">
        <v>661</v>
      </c>
      <c r="AI140" s="15">
        <v>6.14</v>
      </c>
      <c r="AJ140" s="16">
        <f>AI140/10</f>
        <v>0.61399999999999999</v>
      </c>
      <c r="AK140" s="8">
        <f>AI140/10</f>
        <v>0.61399999999999999</v>
      </c>
      <c r="AL140" s="15">
        <v>1.67</v>
      </c>
      <c r="AM140" s="15">
        <f>AL140/10</f>
        <v>0.16699999999999998</v>
      </c>
      <c r="AN140" s="8">
        <f>AL140/10</f>
        <v>0.16699999999999998</v>
      </c>
      <c r="AO140" s="15" t="s">
        <v>41</v>
      </c>
      <c r="AP140" s="72">
        <v>6.4956666666666676</v>
      </c>
      <c r="AQ140" s="2" t="s">
        <v>752</v>
      </c>
      <c r="AR140" s="16">
        <v>33</v>
      </c>
      <c r="AS140" s="16">
        <v>42</v>
      </c>
      <c r="AT140" s="16">
        <v>25</v>
      </c>
      <c r="AU140" s="16" t="s">
        <v>661</v>
      </c>
      <c r="AV140" s="16">
        <f t="shared" si="72"/>
        <v>100</v>
      </c>
      <c r="AW140" s="18">
        <v>4.5</v>
      </c>
      <c r="AX140" s="13">
        <f t="shared" si="73"/>
        <v>4.4999999999999998E-2</v>
      </c>
      <c r="AY140" s="13" t="s">
        <v>42</v>
      </c>
      <c r="AZ140" s="16">
        <f>15/0.04</f>
        <v>375</v>
      </c>
      <c r="BA140" s="16" t="s">
        <v>55</v>
      </c>
      <c r="BB140" s="15">
        <v>0.5</v>
      </c>
      <c r="BC140" s="16">
        <v>1000</v>
      </c>
      <c r="BD140" s="18">
        <v>0.36</v>
      </c>
      <c r="BE140" s="15">
        <f t="shared" si="74"/>
        <v>8</v>
      </c>
      <c r="BF140" s="8">
        <f t="shared" si="64"/>
        <v>0.90308998699194354</v>
      </c>
      <c r="BG140" s="8">
        <f t="shared" si="75"/>
        <v>-0.44369749923271273</v>
      </c>
      <c r="BH140" s="13" t="s">
        <v>844</v>
      </c>
      <c r="BI140" s="15"/>
      <c r="BJ140" s="13"/>
      <c r="BK140" s="15"/>
      <c r="BL140" s="16"/>
      <c r="BM140" s="18"/>
      <c r="BN140" s="8"/>
      <c r="BO140" s="24"/>
    </row>
    <row r="141" spans="1:67" s="14" customFormat="1" x14ac:dyDescent="0.3">
      <c r="A141" s="20">
        <v>139</v>
      </c>
      <c r="B141" s="2" t="s">
        <v>204</v>
      </c>
      <c r="C141" s="2">
        <v>2013</v>
      </c>
      <c r="D141" s="2" t="s">
        <v>203</v>
      </c>
      <c r="E141" s="10" t="s">
        <v>792</v>
      </c>
      <c r="F141" s="20" t="s">
        <v>29</v>
      </c>
      <c r="G141" s="2" t="s">
        <v>40</v>
      </c>
      <c r="H141" s="2" t="str">
        <f>'PFAS Properties'!$B$30</f>
        <v>PFPeA</v>
      </c>
      <c r="I141" s="2" t="str">
        <f>'PFAS Properties'!$C$30</f>
        <v>PFCA</v>
      </c>
      <c r="J141" s="2" t="str">
        <f>'PFAS Properties'!$D$30</f>
        <v>C5HF9O2</v>
      </c>
      <c r="K141" s="25">
        <f>'PFAS Properties'!$P$30</f>
        <v>263.98320000000001</v>
      </c>
      <c r="L141" s="2">
        <f>'PFAS Properties'!$X$30</f>
        <v>-0.2</v>
      </c>
      <c r="M141" s="2" t="str">
        <f>'PFAS Properties'!$Y$30</f>
        <v>-</v>
      </c>
      <c r="N141" s="33">
        <v>0</v>
      </c>
      <c r="O141" s="33">
        <v>0</v>
      </c>
      <c r="P141" s="33">
        <v>0</v>
      </c>
      <c r="Q141" s="33">
        <f t="shared" si="51"/>
        <v>0.99999601894414336</v>
      </c>
      <c r="R141" s="33">
        <v>0</v>
      </c>
      <c r="S141" s="33">
        <f t="shared" si="52"/>
        <v>3.981055856666137E-6</v>
      </c>
      <c r="T141" s="8">
        <f t="shared" si="54"/>
        <v>1</v>
      </c>
      <c r="U141" s="33">
        <f t="shared" si="55"/>
        <v>0</v>
      </c>
      <c r="V141" s="33">
        <f t="shared" si="56"/>
        <v>-0.99999601894414336</v>
      </c>
      <c r="W141" s="33">
        <f t="shared" si="57"/>
        <v>262.98320398105591</v>
      </c>
      <c r="X141" s="33">
        <v>96485</v>
      </c>
      <c r="Y141" s="16">
        <f t="shared" si="58"/>
        <v>-366.88508782019392</v>
      </c>
      <c r="Z141" s="16">
        <v>5</v>
      </c>
      <c r="AA141" s="16">
        <v>9</v>
      </c>
      <c r="AB141" s="8">
        <f t="shared" si="59"/>
        <v>0.35087719298245612</v>
      </c>
      <c r="AC141" s="16">
        <f t="shared" si="77"/>
        <v>64.776849435873189</v>
      </c>
      <c r="AD141" s="20">
        <f>'PFAS Properties'!$W$30</f>
        <v>4</v>
      </c>
      <c r="AE141" s="8">
        <f>'PFAS Properties'!$S$30</f>
        <v>5.2933625547114458</v>
      </c>
      <c r="AF141" s="2">
        <f>'PFAS Properties'!$V$30</f>
        <v>2.9</v>
      </c>
      <c r="AG141" s="24">
        <v>5.2</v>
      </c>
      <c r="AH141" s="2" t="s">
        <v>661</v>
      </c>
      <c r="AI141" s="15">
        <v>24.17</v>
      </c>
      <c r="AJ141" s="16">
        <f>AI141*1000/55.845</f>
        <v>432.80508550452146</v>
      </c>
      <c r="AK141" s="8">
        <f>AI141/10</f>
        <v>2.4170000000000003</v>
      </c>
      <c r="AL141" s="15">
        <v>3.99</v>
      </c>
      <c r="AM141" s="16">
        <f>AL141*1000/26.98</f>
        <v>147.88732394366198</v>
      </c>
      <c r="AN141" s="8">
        <f>AL141/10</f>
        <v>0.39900000000000002</v>
      </c>
      <c r="AO141" s="15" t="s">
        <v>41</v>
      </c>
      <c r="AP141" s="72">
        <v>12.009766666666669</v>
      </c>
      <c r="AQ141" s="2" t="s">
        <v>752</v>
      </c>
      <c r="AR141" s="16">
        <v>47</v>
      </c>
      <c r="AS141" s="16">
        <v>20</v>
      </c>
      <c r="AT141" s="16">
        <v>33</v>
      </c>
      <c r="AU141" s="16" t="s">
        <v>661</v>
      </c>
      <c r="AV141" s="16">
        <f t="shared" si="72"/>
        <v>100</v>
      </c>
      <c r="AW141" s="18">
        <v>0.8</v>
      </c>
      <c r="AX141" s="13">
        <f t="shared" si="73"/>
        <v>8.0000000000000002E-3</v>
      </c>
      <c r="AY141" s="13" t="s">
        <v>42</v>
      </c>
      <c r="AZ141" s="16">
        <f>15/0.04</f>
        <v>375</v>
      </c>
      <c r="BA141" s="16" t="s">
        <v>55</v>
      </c>
      <c r="BB141" s="15">
        <v>0.5</v>
      </c>
      <c r="BC141" s="16">
        <v>1000</v>
      </c>
      <c r="BD141" s="18">
        <v>0.53</v>
      </c>
      <c r="BE141" s="15">
        <f t="shared" si="74"/>
        <v>66.25</v>
      </c>
      <c r="BF141" s="8">
        <f t="shared" si="64"/>
        <v>1.8211858826088454</v>
      </c>
      <c r="BG141" s="8">
        <f t="shared" si="75"/>
        <v>-0.27572413039921095</v>
      </c>
      <c r="BH141" s="13" t="s">
        <v>844</v>
      </c>
      <c r="BI141" s="15"/>
      <c r="BJ141" s="13"/>
      <c r="BK141" s="15"/>
      <c r="BL141" s="16"/>
      <c r="BM141" s="18"/>
      <c r="BN141" s="8"/>
      <c r="BO141" s="24"/>
    </row>
    <row r="142" spans="1:67" s="14" customFormat="1" x14ac:dyDescent="0.3">
      <c r="A142" s="20">
        <v>140</v>
      </c>
      <c r="B142" s="2" t="s">
        <v>195</v>
      </c>
      <c r="C142" s="2">
        <v>2018</v>
      </c>
      <c r="D142" s="2" t="s">
        <v>199</v>
      </c>
      <c r="E142" s="10" t="s">
        <v>795</v>
      </c>
      <c r="F142" s="20" t="s">
        <v>29</v>
      </c>
      <c r="G142" s="2" t="s">
        <v>47</v>
      </c>
      <c r="H142" s="2" t="str">
        <f>'PFAS Properties'!$B$30</f>
        <v>PFPeA</v>
      </c>
      <c r="I142" s="2" t="str">
        <f>'PFAS Properties'!$C$30</f>
        <v>PFCA</v>
      </c>
      <c r="J142" s="2" t="str">
        <f>'PFAS Properties'!$D$30</f>
        <v>C5HF9O2</v>
      </c>
      <c r="K142" s="25">
        <f>'PFAS Properties'!$P$30</f>
        <v>263.98320000000001</v>
      </c>
      <c r="L142" s="2">
        <f>'PFAS Properties'!$X$30</f>
        <v>-0.2</v>
      </c>
      <c r="M142" s="2" t="str">
        <f>'PFAS Properties'!$Y$30</f>
        <v>-</v>
      </c>
      <c r="N142" s="33">
        <v>0</v>
      </c>
      <c r="O142" s="33">
        <v>0</v>
      </c>
      <c r="P142" s="33">
        <v>0</v>
      </c>
      <c r="Q142" s="33">
        <f t="shared" si="51"/>
        <v>0.99998004777494953</v>
      </c>
      <c r="R142" s="33">
        <v>0</v>
      </c>
      <c r="S142" s="33">
        <f t="shared" si="52"/>
        <v>1.9952225050461341E-5</v>
      </c>
      <c r="T142" s="8">
        <f t="shared" si="54"/>
        <v>1</v>
      </c>
      <c r="U142" s="33">
        <f t="shared" si="55"/>
        <v>0</v>
      </c>
      <c r="V142" s="33">
        <f t="shared" si="56"/>
        <v>-0.99998004777494953</v>
      </c>
      <c r="W142" s="33">
        <f t="shared" si="57"/>
        <v>262.98321995222506</v>
      </c>
      <c r="X142" s="33">
        <v>96485</v>
      </c>
      <c r="Y142" s="16">
        <f t="shared" si="58"/>
        <v>-366.87920593220218</v>
      </c>
      <c r="Z142" s="16">
        <v>5</v>
      </c>
      <c r="AA142" s="16">
        <v>9</v>
      </c>
      <c r="AB142" s="8">
        <f t="shared" si="59"/>
        <v>0.35087719298245612</v>
      </c>
      <c r="AC142" s="16">
        <f t="shared" si="77"/>
        <v>64.776849435873189</v>
      </c>
      <c r="AD142" s="20">
        <f>'PFAS Properties'!$W$30</f>
        <v>4</v>
      </c>
      <c r="AE142" s="8">
        <f>'PFAS Properties'!$S$30</f>
        <v>5.2933625547114458</v>
      </c>
      <c r="AF142" s="2">
        <f>'PFAS Properties'!$V$30</f>
        <v>2.9</v>
      </c>
      <c r="AG142" s="24">
        <v>4.5</v>
      </c>
      <c r="AH142" s="2" t="s">
        <v>658</v>
      </c>
      <c r="AI142" s="8">
        <f>AJ142*55.845/1000</f>
        <v>5.8637250000000002E-2</v>
      </c>
      <c r="AJ142" s="16">
        <v>1.05</v>
      </c>
      <c r="AK142" s="8">
        <f t="shared" ref="AK142:AK144" si="78">AI142/10</f>
        <v>5.8637250000000002E-3</v>
      </c>
      <c r="AL142" s="15">
        <f>AM142*26.98/1000</f>
        <v>0.18454320000000002</v>
      </c>
      <c r="AM142" s="16">
        <v>6.84</v>
      </c>
      <c r="AN142" s="8">
        <f t="shared" ref="AN142:AN144" si="79">AL142/10</f>
        <v>1.8454320000000003E-2</v>
      </c>
      <c r="AO142" s="2" t="s">
        <v>48</v>
      </c>
      <c r="AP142" s="72">
        <v>21.496500000000001</v>
      </c>
      <c r="AQ142" s="70" t="s">
        <v>752</v>
      </c>
      <c r="AR142" s="71">
        <v>41.737499999999997</v>
      </c>
      <c r="AS142" s="71">
        <v>35.036999999999999</v>
      </c>
      <c r="AT142" s="71">
        <v>21.971</v>
      </c>
      <c r="AU142" s="70" t="s">
        <v>752</v>
      </c>
      <c r="AV142" s="16">
        <f t="shared" si="72"/>
        <v>98.745499999999993</v>
      </c>
      <c r="AW142" s="18">
        <v>45</v>
      </c>
      <c r="AX142" s="13">
        <f t="shared" si="73"/>
        <v>0.45</v>
      </c>
      <c r="AY142" s="8" t="s">
        <v>49</v>
      </c>
      <c r="AZ142" s="16">
        <f>0.45/0.04</f>
        <v>11.25</v>
      </c>
      <c r="BA142" s="16" t="s">
        <v>55</v>
      </c>
      <c r="BB142" s="8">
        <v>1.25</v>
      </c>
      <c r="BC142" s="8" t="s">
        <v>55</v>
      </c>
      <c r="BD142" s="24">
        <f>(10^(1.3)*AX142)</f>
        <v>8.9786804173599624</v>
      </c>
      <c r="BE142" s="15">
        <f t="shared" si="74"/>
        <v>19.952623149688804</v>
      </c>
      <c r="BF142" s="8">
        <f t="shared" si="64"/>
        <v>1.3000000000000003</v>
      </c>
      <c r="BG142" s="8">
        <f t="shared" si="75"/>
        <v>0.95321251377534388</v>
      </c>
      <c r="BH142" s="2" t="s">
        <v>821</v>
      </c>
      <c r="BI142" s="2"/>
      <c r="BJ142" s="2"/>
      <c r="BK142" s="15"/>
      <c r="BL142" s="2"/>
      <c r="BM142" s="20"/>
      <c r="BN142" s="20"/>
      <c r="BO142" s="2"/>
    </row>
    <row r="143" spans="1:67" s="14" customFormat="1" x14ac:dyDescent="0.3">
      <c r="A143" s="20">
        <v>141</v>
      </c>
      <c r="B143" s="2" t="s">
        <v>214</v>
      </c>
      <c r="C143" s="2">
        <v>2022</v>
      </c>
      <c r="D143" s="2" t="s">
        <v>201</v>
      </c>
      <c r="E143" s="10" t="s">
        <v>808</v>
      </c>
      <c r="F143" s="20" t="s">
        <v>29</v>
      </c>
      <c r="G143" s="2" t="s">
        <v>215</v>
      </c>
      <c r="H143" s="2" t="str">
        <f>'PFAS Properties'!$B$30</f>
        <v>PFPeA</v>
      </c>
      <c r="I143" s="2" t="str">
        <f>'PFAS Properties'!$C$30</f>
        <v>PFCA</v>
      </c>
      <c r="J143" s="2" t="str">
        <f>'PFAS Properties'!$D$30</f>
        <v>C5HF9O2</v>
      </c>
      <c r="K143" s="25">
        <f>'PFAS Properties'!$P$30</f>
        <v>263.98320000000001</v>
      </c>
      <c r="L143" s="2">
        <f>'PFAS Properties'!$X$30</f>
        <v>-0.2</v>
      </c>
      <c r="M143" s="2" t="str">
        <f>'PFAS Properties'!$Y$30</f>
        <v>-</v>
      </c>
      <c r="N143" s="33">
        <v>0</v>
      </c>
      <c r="O143" s="33">
        <v>0</v>
      </c>
      <c r="P143" s="33">
        <v>0</v>
      </c>
      <c r="Q143" s="33">
        <f t="shared" si="51"/>
        <v>0.99999000009999905</v>
      </c>
      <c r="R143" s="33">
        <v>0</v>
      </c>
      <c r="S143" s="33">
        <f t="shared" si="52"/>
        <v>9.9999000009999908E-6</v>
      </c>
      <c r="T143" s="8">
        <f t="shared" si="54"/>
        <v>1</v>
      </c>
      <c r="U143" s="33">
        <f t="shared" si="55"/>
        <v>0</v>
      </c>
      <c r="V143" s="33">
        <f t="shared" si="56"/>
        <v>-0.99999000009999905</v>
      </c>
      <c r="W143" s="33">
        <f t="shared" si="57"/>
        <v>262.9832099999</v>
      </c>
      <c r="X143" s="33">
        <v>96485</v>
      </c>
      <c r="Y143" s="16">
        <f t="shared" si="58"/>
        <v>-366.88287119046538</v>
      </c>
      <c r="Z143" s="16">
        <v>5</v>
      </c>
      <c r="AA143" s="16">
        <v>9</v>
      </c>
      <c r="AB143" s="8">
        <f t="shared" si="59"/>
        <v>0.35087719298245612</v>
      </c>
      <c r="AC143" s="16">
        <f t="shared" si="77"/>
        <v>64.776849435873189</v>
      </c>
      <c r="AD143" s="20">
        <f>'PFAS Properties'!$W$30</f>
        <v>4</v>
      </c>
      <c r="AE143" s="8">
        <f>'PFAS Properties'!$S$30</f>
        <v>5.2933625547114458</v>
      </c>
      <c r="AF143" s="2">
        <f>'PFAS Properties'!$V$30</f>
        <v>2.9</v>
      </c>
      <c r="AG143" s="24">
        <v>4.8</v>
      </c>
      <c r="AH143" s="2" t="s">
        <v>216</v>
      </c>
      <c r="AI143" s="2">
        <v>8.3000000000000007</v>
      </c>
      <c r="AJ143" s="15">
        <f>AI143*1000/55.845</f>
        <v>148.62566030978601</v>
      </c>
      <c r="AK143" s="15">
        <f t="shared" si="78"/>
        <v>0.83000000000000007</v>
      </c>
      <c r="AL143" s="15">
        <v>7.85</v>
      </c>
      <c r="AM143" s="15">
        <f>AL143*1000/26.98</f>
        <v>290.95626389918459</v>
      </c>
      <c r="AN143" s="15">
        <f t="shared" si="79"/>
        <v>0.78499999999999992</v>
      </c>
      <c r="AO143" s="15" t="s">
        <v>217</v>
      </c>
      <c r="AP143" s="72">
        <v>15.34083666666667</v>
      </c>
      <c r="AQ143" s="70" t="s">
        <v>752</v>
      </c>
      <c r="AR143" s="16">
        <v>32</v>
      </c>
      <c r="AS143" s="16">
        <v>40</v>
      </c>
      <c r="AT143" s="16">
        <v>28</v>
      </c>
      <c r="AU143" s="2" t="s">
        <v>661</v>
      </c>
      <c r="AV143" s="16">
        <f t="shared" si="72"/>
        <v>100</v>
      </c>
      <c r="AW143" s="18">
        <v>4.9000000000000004</v>
      </c>
      <c r="AX143" s="13">
        <f t="shared" si="73"/>
        <v>4.9000000000000002E-2</v>
      </c>
      <c r="AY143" s="8" t="s">
        <v>218</v>
      </c>
      <c r="AZ143" s="16">
        <f>1.5/0.075</f>
        <v>20</v>
      </c>
      <c r="BA143" s="16" t="s">
        <v>55</v>
      </c>
      <c r="BB143" s="16">
        <v>10</v>
      </c>
      <c r="BC143" s="16" t="s">
        <v>55</v>
      </c>
      <c r="BD143" s="20">
        <v>0.54</v>
      </c>
      <c r="BE143" s="15">
        <f t="shared" si="74"/>
        <v>11.020408163265307</v>
      </c>
      <c r="BF143" s="8">
        <f t="shared" si="64"/>
        <v>1.0421976797944548</v>
      </c>
      <c r="BG143" s="8">
        <f t="shared" si="75"/>
        <v>-0.26760624017703144</v>
      </c>
      <c r="BH143" s="2" t="s">
        <v>379</v>
      </c>
      <c r="BI143" s="2"/>
      <c r="BJ143" s="2"/>
      <c r="BK143" s="15"/>
      <c r="BL143" s="2"/>
      <c r="BM143" s="20"/>
      <c r="BN143" s="20"/>
      <c r="BO143" s="2"/>
    </row>
    <row r="144" spans="1:67" s="14" customFormat="1" x14ac:dyDescent="0.3">
      <c r="A144" s="20">
        <v>142</v>
      </c>
      <c r="B144" s="2" t="s">
        <v>214</v>
      </c>
      <c r="C144" s="2">
        <v>2022</v>
      </c>
      <c r="D144" s="2" t="s">
        <v>201</v>
      </c>
      <c r="E144" s="10" t="s">
        <v>808</v>
      </c>
      <c r="F144" s="20" t="s">
        <v>29</v>
      </c>
      <c r="G144" s="2" t="s">
        <v>233</v>
      </c>
      <c r="H144" s="2" t="str">
        <f>'PFAS Properties'!$B$30</f>
        <v>PFPeA</v>
      </c>
      <c r="I144" s="2" t="str">
        <f>'PFAS Properties'!$C$30</f>
        <v>PFCA</v>
      </c>
      <c r="J144" s="2" t="str">
        <f>'PFAS Properties'!$D$30</f>
        <v>C5HF9O2</v>
      </c>
      <c r="K144" s="25">
        <f>'PFAS Properties'!$P$30</f>
        <v>263.98320000000001</v>
      </c>
      <c r="L144" s="2">
        <f>'PFAS Properties'!$X$30</f>
        <v>-0.2</v>
      </c>
      <c r="M144" s="2" t="str">
        <f>'PFAS Properties'!$Y$30</f>
        <v>-</v>
      </c>
      <c r="N144" s="33">
        <v>0</v>
      </c>
      <c r="O144" s="33">
        <v>0</v>
      </c>
      <c r="P144" s="33">
        <v>0</v>
      </c>
      <c r="Q144" s="33">
        <f t="shared" ref="Q144:Q207" si="80">(10^(AG144-L144))/(1+(10^(AG144-L144)))</f>
        <v>0.9999992056723962</v>
      </c>
      <c r="R144" s="33">
        <v>0</v>
      </c>
      <c r="S144" s="33">
        <f t="shared" ref="S144:S207" si="81">(1/(1+(10^(AG144-L144))))</f>
        <v>7.9432760376743655E-7</v>
      </c>
      <c r="T144" s="8">
        <f t="shared" si="54"/>
        <v>1</v>
      </c>
      <c r="U144" s="33">
        <f t="shared" si="55"/>
        <v>0</v>
      </c>
      <c r="V144" s="33">
        <f t="shared" si="56"/>
        <v>-0.9999992056723962</v>
      </c>
      <c r="W144" s="33">
        <f t="shared" si="57"/>
        <v>262.98320079432762</v>
      </c>
      <c r="X144" s="33">
        <v>96485</v>
      </c>
      <c r="Y144" s="16">
        <f t="shared" si="58"/>
        <v>-366.88626143370851</v>
      </c>
      <c r="Z144" s="16">
        <v>5</v>
      </c>
      <c r="AA144" s="16">
        <v>9</v>
      </c>
      <c r="AB144" s="8">
        <f t="shared" si="59"/>
        <v>0.35087719298245612</v>
      </c>
      <c r="AC144" s="16">
        <f t="shared" si="77"/>
        <v>64.776849435873189</v>
      </c>
      <c r="AD144" s="20">
        <f>'PFAS Properties'!$W$30</f>
        <v>4</v>
      </c>
      <c r="AE144" s="8">
        <f>'PFAS Properties'!$S$30</f>
        <v>5.2933625547114458</v>
      </c>
      <c r="AF144" s="2">
        <f>'PFAS Properties'!$V$30</f>
        <v>2.9</v>
      </c>
      <c r="AG144" s="24">
        <v>5.9</v>
      </c>
      <c r="AH144" s="2" t="s">
        <v>216</v>
      </c>
      <c r="AI144" s="2">
        <v>1.4</v>
      </c>
      <c r="AJ144" s="15">
        <f>AI144*1000/55.845</f>
        <v>25.069388485988004</v>
      </c>
      <c r="AK144" s="15">
        <f t="shared" si="78"/>
        <v>0.13999999999999999</v>
      </c>
      <c r="AL144" s="15">
        <v>0.92</v>
      </c>
      <c r="AM144" s="15">
        <f>AL144*1000/26.98</f>
        <v>34.099332839140104</v>
      </c>
      <c r="AN144" s="15">
        <f t="shared" si="79"/>
        <v>9.1999999999999998E-2</v>
      </c>
      <c r="AO144" s="15" t="s">
        <v>217</v>
      </c>
      <c r="AP144" s="72">
        <v>15.34083666666667</v>
      </c>
      <c r="AQ144" s="70" t="s">
        <v>752</v>
      </c>
      <c r="AR144" s="16">
        <v>37</v>
      </c>
      <c r="AS144" s="16">
        <v>22</v>
      </c>
      <c r="AT144" s="16">
        <v>41</v>
      </c>
      <c r="AU144" s="2" t="s">
        <v>661</v>
      </c>
      <c r="AV144" s="16">
        <f t="shared" si="72"/>
        <v>100</v>
      </c>
      <c r="AW144" s="18">
        <v>2.6</v>
      </c>
      <c r="AX144" s="13">
        <f t="shared" si="73"/>
        <v>2.6000000000000002E-2</v>
      </c>
      <c r="AY144" s="8" t="s">
        <v>218</v>
      </c>
      <c r="AZ144" s="16">
        <f>1.5/0.075</f>
        <v>20</v>
      </c>
      <c r="BA144" s="16" t="s">
        <v>55</v>
      </c>
      <c r="BB144" s="16">
        <v>10</v>
      </c>
      <c r="BC144" s="16" t="s">
        <v>55</v>
      </c>
      <c r="BD144" s="20">
        <v>0.13</v>
      </c>
      <c r="BE144" s="15">
        <f t="shared" si="74"/>
        <v>5</v>
      </c>
      <c r="BF144" s="8">
        <f t="shared" si="64"/>
        <v>0.69897000433601886</v>
      </c>
      <c r="BG144" s="8">
        <f t="shared" si="75"/>
        <v>-0.88605664769316317</v>
      </c>
      <c r="BH144" s="2" t="s">
        <v>380</v>
      </c>
      <c r="BI144" s="2"/>
      <c r="BJ144" s="2"/>
      <c r="BK144" s="15"/>
      <c r="BL144" s="2"/>
      <c r="BM144" s="20"/>
      <c r="BN144" s="20"/>
      <c r="BO144" s="2"/>
    </row>
    <row r="145" spans="1:67" s="14" customFormat="1" x14ac:dyDescent="0.3">
      <c r="A145" s="20">
        <v>143</v>
      </c>
      <c r="B145" s="2" t="s">
        <v>206</v>
      </c>
      <c r="C145" s="2">
        <v>2020</v>
      </c>
      <c r="D145" s="2" t="s">
        <v>201</v>
      </c>
      <c r="E145" s="10" t="s">
        <v>793</v>
      </c>
      <c r="F145" s="20" t="s">
        <v>29</v>
      </c>
      <c r="G145" s="2" t="s">
        <v>44</v>
      </c>
      <c r="H145" s="2" t="str">
        <f>'PFAS Properties'!$B$30</f>
        <v>PFPeA</v>
      </c>
      <c r="I145" s="2" t="str">
        <f>'PFAS Properties'!$C$30</f>
        <v>PFCA</v>
      </c>
      <c r="J145" s="2" t="str">
        <f>'PFAS Properties'!$D$30</f>
        <v>C5HF9O2</v>
      </c>
      <c r="K145" s="25">
        <f>'PFAS Properties'!$P$30</f>
        <v>263.98320000000001</v>
      </c>
      <c r="L145" s="2">
        <f>'PFAS Properties'!$X$30</f>
        <v>-0.2</v>
      </c>
      <c r="M145" s="2" t="str">
        <f>'PFAS Properties'!$Y$30</f>
        <v>-</v>
      </c>
      <c r="N145" s="33">
        <v>0</v>
      </c>
      <c r="O145" s="33">
        <v>0</v>
      </c>
      <c r="P145" s="33">
        <v>0</v>
      </c>
      <c r="Q145" s="33">
        <f t="shared" si="80"/>
        <v>0.99999999000000006</v>
      </c>
      <c r="R145" s="33">
        <v>0</v>
      </c>
      <c r="S145" s="33">
        <f t="shared" si="81"/>
        <v>9.9999999000000002E-9</v>
      </c>
      <c r="T145" s="8">
        <f t="shared" si="54"/>
        <v>1</v>
      </c>
      <c r="U145" s="33">
        <f t="shared" si="55"/>
        <v>0</v>
      </c>
      <c r="V145" s="33">
        <f t="shared" si="56"/>
        <v>-0.99999999000000006</v>
      </c>
      <c r="W145" s="33">
        <f t="shared" si="57"/>
        <v>262.98320000999996</v>
      </c>
      <c r="X145" s="33">
        <v>96485</v>
      </c>
      <c r="Y145" s="16">
        <f t="shared" si="58"/>
        <v>-366.88655028717102</v>
      </c>
      <c r="Z145" s="16">
        <v>5</v>
      </c>
      <c r="AA145" s="16">
        <v>9</v>
      </c>
      <c r="AB145" s="8">
        <f t="shared" si="59"/>
        <v>0.35087719298245612</v>
      </c>
      <c r="AC145" s="16">
        <f t="shared" si="77"/>
        <v>64.776849435873189</v>
      </c>
      <c r="AD145" s="20">
        <f>'PFAS Properties'!$W$30</f>
        <v>4</v>
      </c>
      <c r="AE145" s="8">
        <f>'PFAS Properties'!$S$30</f>
        <v>5.2933625547114458</v>
      </c>
      <c r="AF145" s="2">
        <f>'PFAS Properties'!$V$30</f>
        <v>2.9</v>
      </c>
      <c r="AG145" s="24">
        <v>7.8</v>
      </c>
      <c r="AH145" s="2" t="s">
        <v>661</v>
      </c>
      <c r="AI145" s="2" t="s">
        <v>661</v>
      </c>
      <c r="AJ145" s="2" t="s">
        <v>661</v>
      </c>
      <c r="AK145" s="2" t="s">
        <v>661</v>
      </c>
      <c r="AL145" s="2" t="s">
        <v>661</v>
      </c>
      <c r="AM145" s="2" t="s">
        <v>661</v>
      </c>
      <c r="AN145" s="2" t="s">
        <v>661</v>
      </c>
      <c r="AO145" s="2" t="s">
        <v>661</v>
      </c>
      <c r="AP145" s="72">
        <v>11.17476666666666</v>
      </c>
      <c r="AQ145" s="70" t="s">
        <v>752</v>
      </c>
      <c r="AR145" s="16">
        <v>47</v>
      </c>
      <c r="AS145" s="16">
        <v>38</v>
      </c>
      <c r="AT145" s="16">
        <v>15</v>
      </c>
      <c r="AU145" s="16" t="s">
        <v>661</v>
      </c>
      <c r="AV145" s="16">
        <f t="shared" si="72"/>
        <v>100</v>
      </c>
      <c r="AW145" s="18">
        <v>1.43</v>
      </c>
      <c r="AX145" s="13">
        <f t="shared" si="73"/>
        <v>1.43E-2</v>
      </c>
      <c r="AY145" s="8" t="s">
        <v>45</v>
      </c>
      <c r="AZ145" s="16">
        <f>5/0.025</f>
        <v>200</v>
      </c>
      <c r="BA145" s="16" t="s">
        <v>55</v>
      </c>
      <c r="BB145" s="16">
        <v>10</v>
      </c>
      <c r="BC145" s="16">
        <v>100</v>
      </c>
      <c r="BD145" s="20">
        <v>0.57999999999999996</v>
      </c>
      <c r="BE145" s="15">
        <f t="shared" si="74"/>
        <v>40.559440559440553</v>
      </c>
      <c r="BF145" s="8">
        <f t="shared" si="64"/>
        <v>1.6080919560978755</v>
      </c>
      <c r="BG145" s="8">
        <f t="shared" si="75"/>
        <v>-0.23657200643706275</v>
      </c>
      <c r="BH145" s="13" t="s">
        <v>836</v>
      </c>
      <c r="BI145" s="8"/>
      <c r="BJ145" s="13"/>
      <c r="BK145" s="15"/>
      <c r="BL145" s="8"/>
      <c r="BM145" s="18"/>
      <c r="BN145" s="8"/>
      <c r="BO145" s="24"/>
    </row>
    <row r="146" spans="1:67" s="94" customFormat="1" x14ac:dyDescent="0.3">
      <c r="A146" s="83">
        <v>144</v>
      </c>
      <c r="B146" s="84" t="s">
        <v>706</v>
      </c>
      <c r="C146" s="84">
        <v>2022</v>
      </c>
      <c r="D146" s="84" t="s">
        <v>199</v>
      </c>
      <c r="E146" s="85" t="s">
        <v>796</v>
      </c>
      <c r="F146" s="83" t="s">
        <v>29</v>
      </c>
      <c r="G146" s="84" t="s">
        <v>707</v>
      </c>
      <c r="H146" s="84" t="str">
        <f>'PFAS Properties'!$B$30</f>
        <v>PFPeA</v>
      </c>
      <c r="I146" s="84" t="str">
        <f>'PFAS Properties'!$C$30</f>
        <v>PFCA</v>
      </c>
      <c r="J146" s="84" t="str">
        <f>'PFAS Properties'!$D$30</f>
        <v>C5HF9O2</v>
      </c>
      <c r="K146" s="99">
        <f>'PFAS Properties'!$P$30</f>
        <v>263.98320000000001</v>
      </c>
      <c r="L146" s="84">
        <f>'PFAS Properties'!$X$30</f>
        <v>-0.2</v>
      </c>
      <c r="M146" s="84" t="str">
        <f>'PFAS Properties'!$Y$30</f>
        <v>-</v>
      </c>
      <c r="N146" s="87">
        <v>0</v>
      </c>
      <c r="O146" s="87">
        <v>0</v>
      </c>
      <c r="P146" s="87">
        <v>0</v>
      </c>
      <c r="Q146" s="87">
        <f t="shared" si="80"/>
        <v>0.99999849893552062</v>
      </c>
      <c r="R146" s="87">
        <v>0</v>
      </c>
      <c r="S146" s="87">
        <f t="shared" si="81"/>
        <v>1.50106447937241E-6</v>
      </c>
      <c r="T146" s="88">
        <f t="shared" si="54"/>
        <v>1</v>
      </c>
      <c r="U146" s="87">
        <f t="shared" si="55"/>
        <v>0</v>
      </c>
      <c r="V146" s="87">
        <f t="shared" si="56"/>
        <v>-0.99999849893552062</v>
      </c>
      <c r="W146" s="87">
        <f t="shared" si="57"/>
        <v>262.98320150106451</v>
      </c>
      <c r="X146" s="87">
        <v>96485</v>
      </c>
      <c r="Y146" s="89">
        <f t="shared" si="58"/>
        <v>-366.88600115548883</v>
      </c>
      <c r="Z146" s="89">
        <v>5</v>
      </c>
      <c r="AA146" s="89">
        <v>9</v>
      </c>
      <c r="AB146" s="88">
        <f t="shared" si="59"/>
        <v>0.35087719298245612</v>
      </c>
      <c r="AC146" s="89">
        <f t="shared" si="77"/>
        <v>64.776849435873189</v>
      </c>
      <c r="AD146" s="83">
        <f>'PFAS Properties'!$W$30</f>
        <v>4</v>
      </c>
      <c r="AE146" s="88">
        <f>'PFAS Properties'!$S$30</f>
        <v>5.2933625547114458</v>
      </c>
      <c r="AF146" s="84">
        <f>'PFAS Properties'!$V$30</f>
        <v>2.9</v>
      </c>
      <c r="AG146" s="125">
        <v>5.6236000000000006</v>
      </c>
      <c r="AH146" s="84" t="s">
        <v>752</v>
      </c>
      <c r="AI146" s="84" t="s">
        <v>661</v>
      </c>
      <c r="AJ146" s="84" t="s">
        <v>661</v>
      </c>
      <c r="AK146" s="84" t="s">
        <v>661</v>
      </c>
      <c r="AL146" s="84" t="s">
        <v>661</v>
      </c>
      <c r="AM146" s="84" t="s">
        <v>661</v>
      </c>
      <c r="AN146" s="84" t="s">
        <v>661</v>
      </c>
      <c r="AO146" s="84" t="s">
        <v>661</v>
      </c>
      <c r="AP146" s="90">
        <v>17.2</v>
      </c>
      <c r="AQ146" s="84" t="s">
        <v>661</v>
      </c>
      <c r="AR146" s="89">
        <v>44.8</v>
      </c>
      <c r="AS146" s="89">
        <v>27</v>
      </c>
      <c r="AT146" s="89">
        <v>28.2</v>
      </c>
      <c r="AU146" s="84" t="s">
        <v>661</v>
      </c>
      <c r="AV146" s="89">
        <f t="shared" si="72"/>
        <v>100</v>
      </c>
      <c r="AW146" s="86">
        <v>4</v>
      </c>
      <c r="AX146" s="91">
        <f t="shared" si="73"/>
        <v>0.04</v>
      </c>
      <c r="AY146" s="84" t="s">
        <v>184</v>
      </c>
      <c r="AZ146" s="84">
        <f>0.5/0.01</f>
        <v>50</v>
      </c>
      <c r="BA146" s="89" t="s">
        <v>55</v>
      </c>
      <c r="BB146" s="84">
        <v>0</v>
      </c>
      <c r="BC146" s="84">
        <v>100</v>
      </c>
      <c r="BD146" s="99">
        <v>35</v>
      </c>
      <c r="BE146" s="89">
        <f t="shared" si="74"/>
        <v>875</v>
      </c>
      <c r="BF146" s="89">
        <f t="shared" si="64"/>
        <v>2.9420080530223132</v>
      </c>
      <c r="BG146" s="88">
        <f t="shared" si="75"/>
        <v>1.5440680443502757</v>
      </c>
      <c r="BH146" s="84" t="s">
        <v>835</v>
      </c>
      <c r="BI146" s="84"/>
      <c r="BJ146" s="84"/>
      <c r="BK146" s="84"/>
      <c r="BL146" s="84"/>
      <c r="BM146" s="83"/>
      <c r="BN146" s="83"/>
      <c r="BO146" s="84"/>
    </row>
    <row r="147" spans="1:67" s="94" customFormat="1" x14ac:dyDescent="0.3">
      <c r="A147" s="83">
        <v>145</v>
      </c>
      <c r="B147" s="84" t="s">
        <v>706</v>
      </c>
      <c r="C147" s="84">
        <v>2022</v>
      </c>
      <c r="D147" s="84" t="s">
        <v>199</v>
      </c>
      <c r="E147" s="85" t="s">
        <v>796</v>
      </c>
      <c r="F147" s="83" t="s">
        <v>29</v>
      </c>
      <c r="G147" s="84" t="s">
        <v>708</v>
      </c>
      <c r="H147" s="84" t="str">
        <f>'PFAS Properties'!$B$30</f>
        <v>PFPeA</v>
      </c>
      <c r="I147" s="84" t="str">
        <f>'PFAS Properties'!$C$30</f>
        <v>PFCA</v>
      </c>
      <c r="J147" s="84" t="str">
        <f>'PFAS Properties'!$D$30</f>
        <v>C5HF9O2</v>
      </c>
      <c r="K147" s="99">
        <f>'PFAS Properties'!$P$30</f>
        <v>263.98320000000001</v>
      </c>
      <c r="L147" s="84">
        <f>'PFAS Properties'!$X$30</f>
        <v>-0.2</v>
      </c>
      <c r="M147" s="84" t="str">
        <f>'PFAS Properties'!$Y$30</f>
        <v>-</v>
      </c>
      <c r="N147" s="87">
        <v>0</v>
      </c>
      <c r="O147" s="87">
        <v>0</v>
      </c>
      <c r="P147" s="87">
        <v>0</v>
      </c>
      <c r="Q147" s="87">
        <f t="shared" si="80"/>
        <v>0.9999982333959051</v>
      </c>
      <c r="R147" s="87">
        <v>0</v>
      </c>
      <c r="S147" s="87">
        <f t="shared" si="81"/>
        <v>1.7666040948916728E-6</v>
      </c>
      <c r="T147" s="88">
        <f t="shared" si="54"/>
        <v>1</v>
      </c>
      <c r="U147" s="87">
        <f t="shared" si="55"/>
        <v>0</v>
      </c>
      <c r="V147" s="87">
        <f t="shared" si="56"/>
        <v>-0.9999982333959051</v>
      </c>
      <c r="W147" s="87">
        <f t="shared" si="57"/>
        <v>262.98320176660411</v>
      </c>
      <c r="X147" s="87">
        <v>96485</v>
      </c>
      <c r="Y147" s="89">
        <f t="shared" si="58"/>
        <v>-366.88590336212258</v>
      </c>
      <c r="Z147" s="89">
        <v>5</v>
      </c>
      <c r="AA147" s="89">
        <v>9</v>
      </c>
      <c r="AB147" s="88">
        <f t="shared" si="59"/>
        <v>0.35087719298245612</v>
      </c>
      <c r="AC147" s="89">
        <f t="shared" si="77"/>
        <v>64.776849435873189</v>
      </c>
      <c r="AD147" s="83">
        <f>'PFAS Properties'!$W$30</f>
        <v>4</v>
      </c>
      <c r="AE147" s="88">
        <f>'PFAS Properties'!$S$30</f>
        <v>5.2933625547114458</v>
      </c>
      <c r="AF147" s="84">
        <f>'PFAS Properties'!$V$30</f>
        <v>2.9</v>
      </c>
      <c r="AG147" s="125">
        <v>5.5528600000000008</v>
      </c>
      <c r="AH147" s="84" t="s">
        <v>752</v>
      </c>
      <c r="AI147" s="84" t="s">
        <v>661</v>
      </c>
      <c r="AJ147" s="84" t="s">
        <v>661</v>
      </c>
      <c r="AK147" s="84" t="s">
        <v>661</v>
      </c>
      <c r="AL147" s="84" t="s">
        <v>661</v>
      </c>
      <c r="AM147" s="84" t="s">
        <v>661</v>
      </c>
      <c r="AN147" s="84" t="s">
        <v>661</v>
      </c>
      <c r="AO147" s="84" t="s">
        <v>661</v>
      </c>
      <c r="AP147" s="90">
        <v>12.2</v>
      </c>
      <c r="AQ147" s="84" t="s">
        <v>661</v>
      </c>
      <c r="AR147" s="89">
        <v>41.8</v>
      </c>
      <c r="AS147" s="89">
        <v>30</v>
      </c>
      <c r="AT147" s="89">
        <v>28.2</v>
      </c>
      <c r="AU147" s="84" t="s">
        <v>661</v>
      </c>
      <c r="AV147" s="89">
        <f t="shared" si="72"/>
        <v>100</v>
      </c>
      <c r="AW147" s="86">
        <v>2</v>
      </c>
      <c r="AX147" s="91">
        <f t="shared" si="73"/>
        <v>0.02</v>
      </c>
      <c r="AY147" s="84" t="s">
        <v>184</v>
      </c>
      <c r="AZ147" s="84">
        <f>0.5/0.01</f>
        <v>50</v>
      </c>
      <c r="BA147" s="89" t="s">
        <v>55</v>
      </c>
      <c r="BB147" s="84">
        <v>0</v>
      </c>
      <c r="BC147" s="84">
        <v>100</v>
      </c>
      <c r="BD147" s="99">
        <v>26.9</v>
      </c>
      <c r="BE147" s="89">
        <f t="shared" si="74"/>
        <v>1345</v>
      </c>
      <c r="BF147" s="89">
        <f t="shared" si="64"/>
        <v>3.1287222843384268</v>
      </c>
      <c r="BG147" s="88">
        <f t="shared" si="75"/>
        <v>1.4297522800024081</v>
      </c>
      <c r="BH147" s="84" t="s">
        <v>835</v>
      </c>
      <c r="BI147" s="84"/>
      <c r="BJ147" s="84"/>
      <c r="BK147" s="84"/>
      <c r="BL147" s="84"/>
      <c r="BM147" s="83"/>
      <c r="BN147" s="83"/>
      <c r="BO147" s="84"/>
    </row>
    <row r="148" spans="1:67" s="94" customFormat="1" x14ac:dyDescent="0.3">
      <c r="A148" s="83">
        <v>146</v>
      </c>
      <c r="B148" s="84" t="s">
        <v>706</v>
      </c>
      <c r="C148" s="84">
        <v>2022</v>
      </c>
      <c r="D148" s="84" t="s">
        <v>199</v>
      </c>
      <c r="E148" s="85" t="s">
        <v>796</v>
      </c>
      <c r="F148" s="83" t="s">
        <v>29</v>
      </c>
      <c r="G148" s="84" t="s">
        <v>709</v>
      </c>
      <c r="H148" s="84" t="str">
        <f>'PFAS Properties'!$B$30</f>
        <v>PFPeA</v>
      </c>
      <c r="I148" s="84" t="str">
        <f>'PFAS Properties'!$C$30</f>
        <v>PFCA</v>
      </c>
      <c r="J148" s="84" t="str">
        <f>'PFAS Properties'!$D$30</f>
        <v>C5HF9O2</v>
      </c>
      <c r="K148" s="99">
        <f>'PFAS Properties'!$P$30</f>
        <v>263.98320000000001</v>
      </c>
      <c r="L148" s="84">
        <f>'PFAS Properties'!$X$30</f>
        <v>-0.2</v>
      </c>
      <c r="M148" s="84" t="str">
        <f>'PFAS Properties'!$Y$30</f>
        <v>-</v>
      </c>
      <c r="N148" s="87">
        <v>0</v>
      </c>
      <c r="O148" s="87">
        <v>0</v>
      </c>
      <c r="P148" s="87">
        <v>0</v>
      </c>
      <c r="Q148" s="87">
        <f t="shared" si="80"/>
        <v>0.99999774680374132</v>
      </c>
      <c r="R148" s="87">
        <v>0</v>
      </c>
      <c r="S148" s="87">
        <f t="shared" si="81"/>
        <v>2.2531962587246622E-6</v>
      </c>
      <c r="T148" s="88">
        <f t="shared" si="54"/>
        <v>1</v>
      </c>
      <c r="U148" s="87">
        <f t="shared" si="55"/>
        <v>0</v>
      </c>
      <c r="V148" s="87">
        <f t="shared" si="56"/>
        <v>-0.99999774680374132</v>
      </c>
      <c r="W148" s="87">
        <f t="shared" si="57"/>
        <v>262.98320225319628</v>
      </c>
      <c r="X148" s="87">
        <v>96485</v>
      </c>
      <c r="Y148" s="89">
        <f t="shared" si="58"/>
        <v>-366.88572415916082</v>
      </c>
      <c r="Z148" s="89">
        <v>5</v>
      </c>
      <c r="AA148" s="89">
        <v>9</v>
      </c>
      <c r="AB148" s="88">
        <f t="shared" si="59"/>
        <v>0.35087719298245612</v>
      </c>
      <c r="AC148" s="89">
        <f t="shared" si="77"/>
        <v>64.776849435873189</v>
      </c>
      <c r="AD148" s="83">
        <f>'PFAS Properties'!$W$30</f>
        <v>4</v>
      </c>
      <c r="AE148" s="88">
        <f>'PFAS Properties'!$S$30</f>
        <v>5.2933625547114458</v>
      </c>
      <c r="AF148" s="84">
        <f>'PFAS Properties'!$V$30</f>
        <v>2.9</v>
      </c>
      <c r="AG148" s="125">
        <v>5.4471999999999996</v>
      </c>
      <c r="AH148" s="84" t="s">
        <v>752</v>
      </c>
      <c r="AI148" s="84" t="s">
        <v>661</v>
      </c>
      <c r="AJ148" s="84" t="s">
        <v>661</v>
      </c>
      <c r="AK148" s="84" t="s">
        <v>661</v>
      </c>
      <c r="AL148" s="84" t="s">
        <v>661</v>
      </c>
      <c r="AM148" s="84" t="s">
        <v>661</v>
      </c>
      <c r="AN148" s="84" t="s">
        <v>661</v>
      </c>
      <c r="AO148" s="84" t="s">
        <v>661</v>
      </c>
      <c r="AP148" s="90">
        <v>7.3</v>
      </c>
      <c r="AQ148" s="84" t="s">
        <v>661</v>
      </c>
      <c r="AR148" s="89">
        <v>48.9</v>
      </c>
      <c r="AS148" s="89">
        <v>26.9</v>
      </c>
      <c r="AT148" s="89">
        <v>24.2</v>
      </c>
      <c r="AU148" s="84" t="s">
        <v>661</v>
      </c>
      <c r="AV148" s="89">
        <f t="shared" si="72"/>
        <v>100</v>
      </c>
      <c r="AW148" s="86">
        <v>2.2000000000000002</v>
      </c>
      <c r="AX148" s="91">
        <f t="shared" si="73"/>
        <v>2.2000000000000002E-2</v>
      </c>
      <c r="AY148" s="84" t="s">
        <v>184</v>
      </c>
      <c r="AZ148" s="84">
        <f>0.5/0.01</f>
        <v>50</v>
      </c>
      <c r="BA148" s="89" t="s">
        <v>55</v>
      </c>
      <c r="BB148" s="84">
        <v>0</v>
      </c>
      <c r="BC148" s="84">
        <v>100</v>
      </c>
      <c r="BD148" s="99">
        <v>28.8</v>
      </c>
      <c r="BE148" s="89">
        <f t="shared" si="74"/>
        <v>1309.090909090909</v>
      </c>
      <c r="BF148" s="89">
        <f t="shared" si="64"/>
        <v>3.1169698069370244</v>
      </c>
      <c r="BG148" s="88">
        <f t="shared" si="75"/>
        <v>1.4593924877592308</v>
      </c>
      <c r="BH148" s="84" t="s">
        <v>835</v>
      </c>
      <c r="BI148" s="84"/>
      <c r="BJ148" s="84"/>
      <c r="BK148" s="84"/>
      <c r="BL148" s="84"/>
      <c r="BM148" s="83"/>
      <c r="BN148" s="83"/>
      <c r="BO148" s="84"/>
    </row>
    <row r="149" spans="1:67" s="2" customFormat="1" x14ac:dyDescent="0.3">
      <c r="A149" s="20">
        <v>147</v>
      </c>
      <c r="B149" s="2" t="s">
        <v>720</v>
      </c>
      <c r="C149" s="2">
        <v>2019</v>
      </c>
      <c r="D149" s="2" t="s">
        <v>201</v>
      </c>
      <c r="E149" s="10" t="s">
        <v>797</v>
      </c>
      <c r="F149" s="20" t="s">
        <v>29</v>
      </c>
      <c r="G149" s="2" t="s">
        <v>713</v>
      </c>
      <c r="H149" s="2" t="str">
        <f>'PFAS Properties'!$B$30</f>
        <v>PFPeA</v>
      </c>
      <c r="I149" s="2" t="str">
        <f>'PFAS Properties'!$C$30</f>
        <v>PFCA</v>
      </c>
      <c r="J149" s="2" t="str">
        <f>'PFAS Properties'!$D$30</f>
        <v>C5HF9O2</v>
      </c>
      <c r="K149" s="25">
        <f>'PFAS Properties'!$P$30</f>
        <v>263.98320000000001</v>
      </c>
      <c r="L149" s="2">
        <f>'PFAS Properties'!$X$30</f>
        <v>-0.2</v>
      </c>
      <c r="M149" s="2" t="str">
        <f>'PFAS Properties'!$Y$30</f>
        <v>-</v>
      </c>
      <c r="N149" s="33">
        <v>0</v>
      </c>
      <c r="O149" s="33">
        <v>0</v>
      </c>
      <c r="P149" s="33">
        <v>0</v>
      </c>
      <c r="Q149" s="33">
        <f t="shared" si="80"/>
        <v>0.9999984511857799</v>
      </c>
      <c r="R149" s="33">
        <v>0</v>
      </c>
      <c r="S149" s="33">
        <f t="shared" si="81"/>
        <v>1.5488142200832729E-6</v>
      </c>
      <c r="T149" s="8">
        <f t="shared" si="54"/>
        <v>1</v>
      </c>
      <c r="U149" s="33">
        <f t="shared" si="55"/>
        <v>0</v>
      </c>
      <c r="V149" s="33">
        <f t="shared" si="56"/>
        <v>-0.9999984511857799</v>
      </c>
      <c r="W149" s="33">
        <f t="shared" si="57"/>
        <v>262.98320154881424</v>
      </c>
      <c r="X149" s="33">
        <v>96485</v>
      </c>
      <c r="Y149" s="16">
        <f t="shared" si="58"/>
        <v>-366.88598357013581</v>
      </c>
      <c r="Z149" s="16">
        <v>5</v>
      </c>
      <c r="AA149" s="16">
        <v>9</v>
      </c>
      <c r="AB149" s="8">
        <f t="shared" si="59"/>
        <v>0.35087719298245612</v>
      </c>
      <c r="AC149" s="16">
        <f t="shared" si="77"/>
        <v>64.776849435873189</v>
      </c>
      <c r="AD149" s="20">
        <f>'PFAS Properties'!$W$30</f>
        <v>4</v>
      </c>
      <c r="AE149" s="8">
        <f>'PFAS Properties'!$S$30</f>
        <v>5.2933625547114458</v>
      </c>
      <c r="AF149" s="2">
        <f>'PFAS Properties'!$V$30</f>
        <v>2.9</v>
      </c>
      <c r="AG149" s="24">
        <v>5.61</v>
      </c>
      <c r="AH149" s="2" t="s">
        <v>652</v>
      </c>
      <c r="AI149" s="15">
        <f>9.1*2*55.845/159.69</f>
        <v>6.3647003569415741</v>
      </c>
      <c r="AJ149" s="16">
        <f t="shared" ref="AJ149:AJ154" si="82">AI149*1000/55.845</f>
        <v>113.97081846076773</v>
      </c>
      <c r="AK149" s="15">
        <f t="shared" ref="AK149:AK154" si="83">AI149/10</f>
        <v>0.63647003569415739</v>
      </c>
      <c r="AL149" s="15">
        <f>22.3*2*26.98/101.96</f>
        <v>11.801765398195371</v>
      </c>
      <c r="AM149" s="16">
        <f>AL149*1000/26.98</f>
        <v>437.42644174185961</v>
      </c>
      <c r="AN149" s="15">
        <f t="shared" ref="AN149:AN154" si="84">AL149/10</f>
        <v>1.1801765398195372</v>
      </c>
      <c r="AO149" s="15" t="s">
        <v>41</v>
      </c>
      <c r="AP149" s="15">
        <v>11</v>
      </c>
      <c r="AQ149" s="2" t="s">
        <v>652</v>
      </c>
      <c r="AR149" s="16">
        <v>40.700000000000003</v>
      </c>
      <c r="AS149" s="2">
        <v>23.3</v>
      </c>
      <c r="AT149" s="2">
        <v>36</v>
      </c>
      <c r="AU149" s="2" t="s">
        <v>652</v>
      </c>
      <c r="AV149" s="16">
        <f t="shared" ref="AV149:AV154" si="85">SUM(AR149:AT149)</f>
        <v>100</v>
      </c>
      <c r="AW149" s="18">
        <v>3.82</v>
      </c>
      <c r="AX149" s="13">
        <f t="shared" si="73"/>
        <v>3.8199999999999998E-2</v>
      </c>
      <c r="AY149" s="16" t="s">
        <v>750</v>
      </c>
      <c r="AZ149" s="16">
        <f>5/0.04</f>
        <v>125</v>
      </c>
      <c r="BA149" s="16" t="s">
        <v>55</v>
      </c>
      <c r="BB149" s="16">
        <f t="shared" ref="BB149:BB154" si="86">50*K149/1000</f>
        <v>13.199159999999999</v>
      </c>
      <c r="BC149" s="16">
        <f t="shared" ref="BC149:BC154" si="87">1000*K149/1000</f>
        <v>263.98320000000001</v>
      </c>
      <c r="BD149" s="18">
        <f t="shared" ref="BD149:BD154" si="88">BO149</f>
        <v>0.297357806760568</v>
      </c>
      <c r="BE149" s="16">
        <f t="shared" ref="BE149:BE154" si="89">BD149/AX149</f>
        <v>7.7842357790724614</v>
      </c>
      <c r="BF149" s="16">
        <f t="shared" si="64"/>
        <v>0.89121598193646812</v>
      </c>
      <c r="BG149" s="8">
        <f t="shared" ref="BG149:BG154" si="90">LOG(BD149)</f>
        <v>-0.5267206551518232</v>
      </c>
      <c r="BH149" s="13" t="s">
        <v>782</v>
      </c>
      <c r="BI149" s="16">
        <f>10^1.1298</f>
        <v>13.483418052460824</v>
      </c>
      <c r="BJ149" s="16" t="s">
        <v>329</v>
      </c>
      <c r="BK149" s="8">
        <v>0.71860000000000002</v>
      </c>
      <c r="BL149" s="16">
        <f t="shared" ref="BL149:BL154" si="91">(BI149*K149/1000)/(BI149*(K149^BK149)/1000)</f>
        <v>4.8021040699938258</v>
      </c>
      <c r="BM149" s="25">
        <f>'PFAS Properties'!$U$30</f>
        <v>19650</v>
      </c>
      <c r="BN149" s="16">
        <f t="shared" ref="BN149:BN154" si="92">(BL149*(BM149^BK149))</f>
        <v>5843.0809028451613</v>
      </c>
      <c r="BO149" s="18">
        <f t="shared" ref="BO149:BO154" si="93">BN149/BM149</f>
        <v>0.297357806760568</v>
      </c>
    </row>
    <row r="150" spans="1:67" s="14" customFormat="1" x14ac:dyDescent="0.3">
      <c r="A150" s="20">
        <v>148</v>
      </c>
      <c r="B150" s="2" t="s">
        <v>720</v>
      </c>
      <c r="C150" s="2">
        <v>2019</v>
      </c>
      <c r="D150" s="2" t="s">
        <v>201</v>
      </c>
      <c r="E150" s="22" t="s">
        <v>797</v>
      </c>
      <c r="F150" s="20" t="s">
        <v>29</v>
      </c>
      <c r="G150" s="2" t="s">
        <v>714</v>
      </c>
      <c r="H150" s="2" t="str">
        <f>'PFAS Properties'!$B$30</f>
        <v>PFPeA</v>
      </c>
      <c r="I150" s="2" t="str">
        <f>'PFAS Properties'!$C$30</f>
        <v>PFCA</v>
      </c>
      <c r="J150" s="2" t="str">
        <f>'PFAS Properties'!$D$30</f>
        <v>C5HF9O2</v>
      </c>
      <c r="K150" s="25">
        <f>'PFAS Properties'!$P$30</f>
        <v>263.98320000000001</v>
      </c>
      <c r="L150" s="2">
        <f>'PFAS Properties'!$X$30</f>
        <v>-0.2</v>
      </c>
      <c r="M150" s="2" t="str">
        <f>'PFAS Properties'!$Y$30</f>
        <v>-</v>
      </c>
      <c r="N150" s="33">
        <v>0</v>
      </c>
      <c r="O150" s="33">
        <v>0</v>
      </c>
      <c r="P150" s="33">
        <v>0</v>
      </c>
      <c r="Q150" s="33">
        <f t="shared" si="80"/>
        <v>0.99997048877867123</v>
      </c>
      <c r="R150" s="33">
        <v>0</v>
      </c>
      <c r="S150" s="33">
        <f t="shared" si="81"/>
        <v>2.9511221328777069E-5</v>
      </c>
      <c r="T150" s="8">
        <f t="shared" si="54"/>
        <v>1</v>
      </c>
      <c r="U150" s="33">
        <f t="shared" si="55"/>
        <v>0</v>
      </c>
      <c r="V150" s="33">
        <f t="shared" si="56"/>
        <v>-0.99997048877867123</v>
      </c>
      <c r="W150" s="33">
        <f t="shared" si="57"/>
        <v>262.98322951122134</v>
      </c>
      <c r="X150" s="33">
        <v>96485</v>
      </c>
      <c r="Y150" s="16">
        <f t="shared" si="58"/>
        <v>-366.87568552995219</v>
      </c>
      <c r="Z150" s="16">
        <v>5</v>
      </c>
      <c r="AA150" s="16">
        <v>9</v>
      </c>
      <c r="AB150" s="8">
        <f t="shared" si="59"/>
        <v>0.35087719298245612</v>
      </c>
      <c r="AC150" s="16">
        <f t="shared" si="77"/>
        <v>64.776849435873189</v>
      </c>
      <c r="AD150" s="20">
        <f>'PFAS Properties'!$W$30</f>
        <v>4</v>
      </c>
      <c r="AE150" s="8">
        <f>'PFAS Properties'!$S$30</f>
        <v>5.2933625547114458</v>
      </c>
      <c r="AF150" s="2">
        <f>'PFAS Properties'!$V$30</f>
        <v>2.9</v>
      </c>
      <c r="AG150" s="24">
        <v>4.33</v>
      </c>
      <c r="AH150" s="2" t="s">
        <v>652</v>
      </c>
      <c r="AI150" s="15">
        <f>4.25*2*55.845/159.69</f>
        <v>2.9725248919782077</v>
      </c>
      <c r="AJ150" s="16">
        <f t="shared" si="82"/>
        <v>53.228129500908004</v>
      </c>
      <c r="AK150" s="15">
        <f t="shared" si="83"/>
        <v>0.29725248919782077</v>
      </c>
      <c r="AL150" s="15">
        <f>4.49*2*26.98/101.96</f>
        <v>2.3762298940761086</v>
      </c>
      <c r="AM150" s="16">
        <f t="shared" ref="AM150:AM154" si="94">AL150*1000/26.98</f>
        <v>88.073754413495507</v>
      </c>
      <c r="AN150" s="15">
        <f t="shared" si="84"/>
        <v>0.23762298940761087</v>
      </c>
      <c r="AO150" s="15" t="s">
        <v>41</v>
      </c>
      <c r="AP150" s="15">
        <v>19</v>
      </c>
      <c r="AQ150" s="2" t="s">
        <v>652</v>
      </c>
      <c r="AR150" s="16">
        <v>46.7</v>
      </c>
      <c r="AS150" s="2">
        <v>50</v>
      </c>
      <c r="AT150" s="16">
        <v>3.3</v>
      </c>
      <c r="AU150" s="2" t="s">
        <v>652</v>
      </c>
      <c r="AV150" s="16">
        <f t="shared" si="85"/>
        <v>100</v>
      </c>
      <c r="AW150" s="18">
        <v>0.52</v>
      </c>
      <c r="AX150" s="13">
        <f t="shared" si="73"/>
        <v>5.1999999999999998E-3</v>
      </c>
      <c r="AY150" s="16" t="s">
        <v>750</v>
      </c>
      <c r="AZ150" s="16">
        <f t="shared" ref="AZ150:AZ154" si="95">5/0.04</f>
        <v>125</v>
      </c>
      <c r="BA150" s="16" t="s">
        <v>55</v>
      </c>
      <c r="BB150" s="16">
        <f t="shared" si="86"/>
        <v>13.199159999999999</v>
      </c>
      <c r="BC150" s="16">
        <f t="shared" si="87"/>
        <v>263.98320000000001</v>
      </c>
      <c r="BD150" s="18">
        <f t="shared" si="88"/>
        <v>0.49554833048530611</v>
      </c>
      <c r="BE150" s="16">
        <f t="shared" si="89"/>
        <v>95.297755862558873</v>
      </c>
      <c r="BF150" s="16">
        <f t="shared" si="64"/>
        <v>1.9790826736920233</v>
      </c>
      <c r="BG150" s="8">
        <f t="shared" si="90"/>
        <v>-0.30491398267317765</v>
      </c>
      <c r="BH150" s="13" t="s">
        <v>782</v>
      </c>
      <c r="BI150" s="16">
        <f>10^0.7736</f>
        <v>5.9374504730219533</v>
      </c>
      <c r="BJ150" s="16" t="s">
        <v>329</v>
      </c>
      <c r="BK150" s="8">
        <v>0.83709999999999996</v>
      </c>
      <c r="BL150" s="16">
        <f t="shared" si="91"/>
        <v>2.4801318949469331</v>
      </c>
      <c r="BM150" s="25">
        <f>'PFAS Properties'!$U$30</f>
        <v>19650</v>
      </c>
      <c r="BN150" s="16">
        <f t="shared" si="92"/>
        <v>9737.5246940362649</v>
      </c>
      <c r="BO150" s="18">
        <f t="shared" si="93"/>
        <v>0.49554833048530611</v>
      </c>
    </row>
    <row r="151" spans="1:67" s="14" customFormat="1" x14ac:dyDescent="0.3">
      <c r="A151" s="20">
        <v>149</v>
      </c>
      <c r="B151" s="2" t="s">
        <v>720</v>
      </c>
      <c r="C151" s="2">
        <v>2019</v>
      </c>
      <c r="D151" s="2" t="s">
        <v>201</v>
      </c>
      <c r="E151" s="10" t="s">
        <v>797</v>
      </c>
      <c r="F151" s="20" t="s">
        <v>29</v>
      </c>
      <c r="G151" s="2" t="s">
        <v>715</v>
      </c>
      <c r="H151" s="2" t="str">
        <f>'PFAS Properties'!$B$30</f>
        <v>PFPeA</v>
      </c>
      <c r="I151" s="2" t="str">
        <f>'PFAS Properties'!$C$30</f>
        <v>PFCA</v>
      </c>
      <c r="J151" s="2" t="str">
        <f>'PFAS Properties'!$D$30</f>
        <v>C5HF9O2</v>
      </c>
      <c r="K151" s="25">
        <f>'PFAS Properties'!$P$30</f>
        <v>263.98320000000001</v>
      </c>
      <c r="L151" s="2">
        <f>'PFAS Properties'!$X$30</f>
        <v>-0.2</v>
      </c>
      <c r="M151" s="2" t="str">
        <f>'PFAS Properties'!$Y$30</f>
        <v>-</v>
      </c>
      <c r="N151" s="33">
        <v>0</v>
      </c>
      <c r="O151" s="33">
        <v>0</v>
      </c>
      <c r="P151" s="33">
        <v>0</v>
      </c>
      <c r="Q151" s="33">
        <f t="shared" si="80"/>
        <v>0.99986512190629506</v>
      </c>
      <c r="R151" s="33">
        <v>0</v>
      </c>
      <c r="S151" s="33">
        <f t="shared" si="81"/>
        <v>1.3487809370495705E-4</v>
      </c>
      <c r="T151" s="8">
        <f t="shared" si="54"/>
        <v>1</v>
      </c>
      <c r="U151" s="33">
        <f t="shared" si="55"/>
        <v>0</v>
      </c>
      <c r="V151" s="33">
        <f t="shared" si="56"/>
        <v>-0.99986512190629506</v>
      </c>
      <c r="W151" s="33">
        <f t="shared" si="57"/>
        <v>262.98333487809373</v>
      </c>
      <c r="X151" s="33">
        <v>96485</v>
      </c>
      <c r="Y151" s="16">
        <f t="shared" si="58"/>
        <v>-366.83688086870069</v>
      </c>
      <c r="Z151" s="16">
        <v>5</v>
      </c>
      <c r="AA151" s="16">
        <v>9</v>
      </c>
      <c r="AB151" s="8">
        <f t="shared" si="59"/>
        <v>0.35087719298245612</v>
      </c>
      <c r="AC151" s="16">
        <f t="shared" si="77"/>
        <v>64.776849435873189</v>
      </c>
      <c r="AD151" s="20">
        <f>'PFAS Properties'!$W$30</f>
        <v>4</v>
      </c>
      <c r="AE151" s="8">
        <f>'PFAS Properties'!$S$30</f>
        <v>5.2933625547114458</v>
      </c>
      <c r="AF151" s="2">
        <f>'PFAS Properties'!$V$30</f>
        <v>2.9</v>
      </c>
      <c r="AG151" s="24">
        <v>3.67</v>
      </c>
      <c r="AH151" s="2" t="s">
        <v>652</v>
      </c>
      <c r="AI151" s="15">
        <f>1.51*2*55.845/159.69</f>
        <v>1.056120608679316</v>
      </c>
      <c r="AJ151" s="16">
        <f t="shared" si="82"/>
        <v>18.911641305028493</v>
      </c>
      <c r="AK151" s="15">
        <f t="shared" si="83"/>
        <v>0.1056120608679316</v>
      </c>
      <c r="AL151" s="15">
        <f>1.01*2*26.98/101.96</f>
        <v>0.53451941938014913</v>
      </c>
      <c r="AM151" s="16">
        <f t="shared" si="94"/>
        <v>19.811690859160453</v>
      </c>
      <c r="AN151" s="15">
        <f t="shared" si="84"/>
        <v>5.3451941938014912E-2</v>
      </c>
      <c r="AO151" s="15" t="s">
        <v>41</v>
      </c>
      <c r="AP151" s="15">
        <v>6.57</v>
      </c>
      <c r="AQ151" s="2" t="s">
        <v>652</v>
      </c>
      <c r="AR151" s="16">
        <v>59.3</v>
      </c>
      <c r="AS151" s="16">
        <v>21.3</v>
      </c>
      <c r="AT151" s="16">
        <v>19.399999999999999</v>
      </c>
      <c r="AU151" s="2" t="s">
        <v>652</v>
      </c>
      <c r="AV151" s="16">
        <f t="shared" si="85"/>
        <v>100</v>
      </c>
      <c r="AW151" s="18">
        <v>0.25800000000000001</v>
      </c>
      <c r="AX151" s="13">
        <f t="shared" si="73"/>
        <v>2.5800000000000003E-3</v>
      </c>
      <c r="AY151" s="16" t="s">
        <v>750</v>
      </c>
      <c r="AZ151" s="16">
        <f t="shared" si="95"/>
        <v>125</v>
      </c>
      <c r="BA151" s="16" t="s">
        <v>55</v>
      </c>
      <c r="BB151" s="16">
        <f t="shared" si="86"/>
        <v>13.199159999999999</v>
      </c>
      <c r="BC151" s="16">
        <f t="shared" si="87"/>
        <v>263.98320000000001</v>
      </c>
      <c r="BD151" s="18">
        <f t="shared" si="88"/>
        <v>0.46874859013386433</v>
      </c>
      <c r="BE151" s="16">
        <f t="shared" si="89"/>
        <v>181.68550005188538</v>
      </c>
      <c r="BF151" s="16">
        <f t="shared" si="64"/>
        <v>2.2593202685368037</v>
      </c>
      <c r="BG151" s="8">
        <f t="shared" si="90"/>
        <v>-0.3290600254999661</v>
      </c>
      <c r="BH151" s="13" t="s">
        <v>782</v>
      </c>
      <c r="BI151" s="16">
        <f>10^0.6883</f>
        <v>4.8786537919747781</v>
      </c>
      <c r="BJ151" s="16" t="s">
        <v>329</v>
      </c>
      <c r="BK151" s="8">
        <v>0.82420000000000004</v>
      </c>
      <c r="BL151" s="16">
        <f t="shared" si="91"/>
        <v>2.6650975596715014</v>
      </c>
      <c r="BM151" s="25">
        <f>'PFAS Properties'!$U$30</f>
        <v>19650</v>
      </c>
      <c r="BN151" s="16">
        <f t="shared" si="92"/>
        <v>9210.9097961304342</v>
      </c>
      <c r="BO151" s="18">
        <f t="shared" si="93"/>
        <v>0.46874859013386433</v>
      </c>
    </row>
    <row r="152" spans="1:67" s="14" customFormat="1" x14ac:dyDescent="0.3">
      <c r="A152" s="20">
        <v>150</v>
      </c>
      <c r="B152" s="2" t="s">
        <v>720</v>
      </c>
      <c r="C152" s="2">
        <v>2019</v>
      </c>
      <c r="D152" s="2" t="s">
        <v>201</v>
      </c>
      <c r="E152" s="10" t="s">
        <v>797</v>
      </c>
      <c r="F152" s="20" t="s">
        <v>29</v>
      </c>
      <c r="G152" s="2" t="s">
        <v>716</v>
      </c>
      <c r="H152" s="2" t="str">
        <f>'PFAS Properties'!$B$30</f>
        <v>PFPeA</v>
      </c>
      <c r="I152" s="2" t="str">
        <f>'PFAS Properties'!$C$30</f>
        <v>PFCA</v>
      </c>
      <c r="J152" s="2" t="str">
        <f>'PFAS Properties'!$D$30</f>
        <v>C5HF9O2</v>
      </c>
      <c r="K152" s="25">
        <f>'PFAS Properties'!$P$30</f>
        <v>263.98320000000001</v>
      </c>
      <c r="L152" s="2">
        <f>'PFAS Properties'!$X$30</f>
        <v>-0.2</v>
      </c>
      <c r="M152" s="2" t="str">
        <f>'PFAS Properties'!$Y$30</f>
        <v>-</v>
      </c>
      <c r="N152" s="33">
        <v>0</v>
      </c>
      <c r="O152" s="33">
        <v>0</v>
      </c>
      <c r="P152" s="33">
        <v>0</v>
      </c>
      <c r="Q152" s="33">
        <f t="shared" si="80"/>
        <v>0.99998554581121912</v>
      </c>
      <c r="R152" s="33">
        <v>0</v>
      </c>
      <c r="S152" s="33">
        <f t="shared" si="81"/>
        <v>1.4454188780866098E-5</v>
      </c>
      <c r="T152" s="8">
        <f t="shared" si="54"/>
        <v>1</v>
      </c>
      <c r="U152" s="33">
        <f t="shared" si="55"/>
        <v>0</v>
      </c>
      <c r="V152" s="33">
        <f t="shared" si="56"/>
        <v>-0.99998554581121912</v>
      </c>
      <c r="W152" s="33">
        <f t="shared" si="57"/>
        <v>262.98321445418878</v>
      </c>
      <c r="X152" s="33">
        <v>96485</v>
      </c>
      <c r="Y152" s="16">
        <f t="shared" si="58"/>
        <v>-366.88123075780095</v>
      </c>
      <c r="Z152" s="16">
        <v>5</v>
      </c>
      <c r="AA152" s="16">
        <v>9</v>
      </c>
      <c r="AB152" s="8">
        <f t="shared" si="59"/>
        <v>0.35087719298245612</v>
      </c>
      <c r="AC152" s="16">
        <f t="shared" si="77"/>
        <v>64.776849435873189</v>
      </c>
      <c r="AD152" s="20">
        <f>'PFAS Properties'!$W$30</f>
        <v>4</v>
      </c>
      <c r="AE152" s="8">
        <f>'PFAS Properties'!$S$30</f>
        <v>5.2933625547114458</v>
      </c>
      <c r="AF152" s="2">
        <f>'PFAS Properties'!$V$30</f>
        <v>2.9</v>
      </c>
      <c r="AG152" s="24">
        <v>4.6399999999999997</v>
      </c>
      <c r="AH152" s="2" t="s">
        <v>652</v>
      </c>
      <c r="AI152" s="15">
        <f>6.69*2*55.845/159.69</f>
        <v>4.6791038887845202</v>
      </c>
      <c r="AJ152" s="16">
        <f t="shared" si="82"/>
        <v>83.787337967311657</v>
      </c>
      <c r="AK152" s="15">
        <f t="shared" si="83"/>
        <v>0.46791038887845204</v>
      </c>
      <c r="AL152" s="15">
        <f>14.7*2*26.98/101.96</f>
        <v>7.7796390741467247</v>
      </c>
      <c r="AM152" s="16">
        <f t="shared" si="94"/>
        <v>288.34837191055317</v>
      </c>
      <c r="AN152" s="15">
        <f t="shared" si="84"/>
        <v>0.77796390741467247</v>
      </c>
      <c r="AO152" s="15" t="s">
        <v>41</v>
      </c>
      <c r="AP152" s="15">
        <v>19.600000000000001</v>
      </c>
      <c r="AQ152" s="2" t="s">
        <v>652</v>
      </c>
      <c r="AR152" s="2">
        <v>42</v>
      </c>
      <c r="AS152" s="16">
        <v>36.700000000000003</v>
      </c>
      <c r="AT152" s="16">
        <v>21.3</v>
      </c>
      <c r="AU152" s="2" t="s">
        <v>652</v>
      </c>
      <c r="AV152" s="16">
        <f t="shared" si="85"/>
        <v>100</v>
      </c>
      <c r="AW152" s="18">
        <v>0.92800000000000005</v>
      </c>
      <c r="AX152" s="13">
        <f t="shared" si="73"/>
        <v>9.2800000000000001E-3</v>
      </c>
      <c r="AY152" s="16" t="s">
        <v>750</v>
      </c>
      <c r="AZ152" s="16">
        <f t="shared" si="95"/>
        <v>125</v>
      </c>
      <c r="BA152" s="16" t="s">
        <v>55</v>
      </c>
      <c r="BB152" s="16">
        <f t="shared" si="86"/>
        <v>13.199159999999999</v>
      </c>
      <c r="BC152" s="16">
        <f t="shared" si="87"/>
        <v>263.98320000000001</v>
      </c>
      <c r="BD152" s="18">
        <f t="shared" si="88"/>
        <v>0.262307292368131</v>
      </c>
      <c r="BE152" s="16">
        <f t="shared" si="89"/>
        <v>28.26587202242791</v>
      </c>
      <c r="BF152" s="16">
        <f t="shared" si="64"/>
        <v>1.4512623882991154</v>
      </c>
      <c r="BG152" s="8">
        <f t="shared" si="90"/>
        <v>-0.58118963548202263</v>
      </c>
      <c r="BH152" s="13" t="s">
        <v>782</v>
      </c>
      <c r="BI152" s="16">
        <f>10^1.0379</f>
        <v>10.911890519552035</v>
      </c>
      <c r="BJ152" s="16" t="s">
        <v>329</v>
      </c>
      <c r="BK152" s="8">
        <v>0.6895</v>
      </c>
      <c r="BL152" s="16">
        <f t="shared" si="91"/>
        <v>5.6480617703469571</v>
      </c>
      <c r="BM152" s="25">
        <f>'PFAS Properties'!$U$30</f>
        <v>19650</v>
      </c>
      <c r="BN152" s="16">
        <f t="shared" si="92"/>
        <v>5154.3382950337736</v>
      </c>
      <c r="BO152" s="18">
        <f t="shared" si="93"/>
        <v>0.262307292368131</v>
      </c>
    </row>
    <row r="153" spans="1:67" s="14" customFormat="1" x14ac:dyDescent="0.3">
      <c r="A153" s="20">
        <v>151</v>
      </c>
      <c r="B153" s="2" t="s">
        <v>720</v>
      </c>
      <c r="C153" s="2">
        <v>2019</v>
      </c>
      <c r="D153" s="2" t="s">
        <v>201</v>
      </c>
      <c r="E153" s="10" t="s">
        <v>797</v>
      </c>
      <c r="F153" s="20" t="s">
        <v>29</v>
      </c>
      <c r="G153" s="2" t="s">
        <v>717</v>
      </c>
      <c r="H153" s="2" t="str">
        <f>'PFAS Properties'!$B$30</f>
        <v>PFPeA</v>
      </c>
      <c r="I153" s="2" t="str">
        <f>'PFAS Properties'!$C$30</f>
        <v>PFCA</v>
      </c>
      <c r="J153" s="2" t="str">
        <f>'PFAS Properties'!$D$30</f>
        <v>C5HF9O2</v>
      </c>
      <c r="K153" s="25">
        <f>'PFAS Properties'!$P$30</f>
        <v>263.98320000000001</v>
      </c>
      <c r="L153" s="2">
        <f>'PFAS Properties'!$X$30</f>
        <v>-0.2</v>
      </c>
      <c r="M153" s="2" t="str">
        <f>'PFAS Properties'!$Y$30</f>
        <v>-</v>
      </c>
      <c r="N153" s="33">
        <v>0</v>
      </c>
      <c r="O153" s="33">
        <v>0</v>
      </c>
      <c r="P153" s="33">
        <v>0</v>
      </c>
      <c r="Q153" s="33">
        <f t="shared" si="80"/>
        <v>0.99995533363595812</v>
      </c>
      <c r="R153" s="33">
        <v>0</v>
      </c>
      <c r="S153" s="33">
        <f t="shared" si="81"/>
        <v>4.4666364041902332E-5</v>
      </c>
      <c r="T153" s="8">
        <f t="shared" si="54"/>
        <v>1</v>
      </c>
      <c r="U153" s="33">
        <f t="shared" si="55"/>
        <v>0</v>
      </c>
      <c r="V153" s="33">
        <f t="shared" si="56"/>
        <v>-0.99995533363595812</v>
      </c>
      <c r="W153" s="33">
        <f t="shared" si="57"/>
        <v>262.98324466636404</v>
      </c>
      <c r="X153" s="33">
        <v>96485</v>
      </c>
      <c r="Y153" s="16">
        <f t="shared" si="58"/>
        <v>-366.87010417057741</v>
      </c>
      <c r="Z153" s="16">
        <v>5</v>
      </c>
      <c r="AA153" s="16">
        <v>9</v>
      </c>
      <c r="AB153" s="8">
        <f t="shared" si="59"/>
        <v>0.35087719298245612</v>
      </c>
      <c r="AC153" s="16">
        <f t="shared" si="77"/>
        <v>64.776849435873189</v>
      </c>
      <c r="AD153" s="20">
        <f>'PFAS Properties'!$W$30</f>
        <v>4</v>
      </c>
      <c r="AE153" s="8">
        <f>'PFAS Properties'!$S$30</f>
        <v>5.2933625547114458</v>
      </c>
      <c r="AF153" s="2">
        <f>'PFAS Properties'!$V$30</f>
        <v>2.9</v>
      </c>
      <c r="AG153" s="24">
        <v>4.1500000000000004</v>
      </c>
      <c r="AH153" s="2" t="s">
        <v>652</v>
      </c>
      <c r="AI153" s="15">
        <f>5.68*2*55.845/159.69</f>
        <v>3.9726920909261692</v>
      </c>
      <c r="AJ153" s="16">
        <f t="shared" si="82"/>
        <v>71.137829544742928</v>
      </c>
      <c r="AK153" s="15">
        <f t="shared" si="83"/>
        <v>0.39726920909261693</v>
      </c>
      <c r="AL153" s="15">
        <f>9.78*2*26.98/101.96</f>
        <v>5.1758415064731267</v>
      </c>
      <c r="AM153" s="16">
        <f t="shared" si="94"/>
        <v>191.83993723028641</v>
      </c>
      <c r="AN153" s="15">
        <f t="shared" si="84"/>
        <v>0.51758415064731267</v>
      </c>
      <c r="AO153" s="15" t="s">
        <v>41</v>
      </c>
      <c r="AP153" s="15">
        <v>9.76</v>
      </c>
      <c r="AQ153" s="2" t="s">
        <v>652</v>
      </c>
      <c r="AR153" s="16">
        <v>49.3</v>
      </c>
      <c r="AS153" s="16">
        <v>39.4</v>
      </c>
      <c r="AT153" s="16">
        <v>11.3</v>
      </c>
      <c r="AU153" s="2" t="s">
        <v>652</v>
      </c>
      <c r="AV153" s="16">
        <f t="shared" si="85"/>
        <v>99.999999999999986</v>
      </c>
      <c r="AW153" s="18">
        <v>2.48</v>
      </c>
      <c r="AX153" s="13">
        <f t="shared" si="73"/>
        <v>2.4799999999999999E-2</v>
      </c>
      <c r="AY153" s="16" t="s">
        <v>750</v>
      </c>
      <c r="AZ153" s="16">
        <f t="shared" si="95"/>
        <v>125</v>
      </c>
      <c r="BA153" s="16" t="s">
        <v>55</v>
      </c>
      <c r="BB153" s="16">
        <f t="shared" si="86"/>
        <v>13.199159999999999</v>
      </c>
      <c r="BC153" s="16">
        <f t="shared" si="87"/>
        <v>263.98320000000001</v>
      </c>
      <c r="BD153" s="18">
        <f t="shared" si="88"/>
        <v>0.43657162080158596</v>
      </c>
      <c r="BE153" s="16">
        <f t="shared" si="89"/>
        <v>17.603694387160726</v>
      </c>
      <c r="BF153" s="16">
        <f t="shared" si="64"/>
        <v>1.2456038202907145</v>
      </c>
      <c r="BG153" s="8">
        <f t="shared" si="90"/>
        <v>-0.35994449888306929</v>
      </c>
      <c r="BH153" s="13" t="s">
        <v>782</v>
      </c>
      <c r="BI153" s="16">
        <f>10^0.8774</f>
        <v>7.5404974948530761</v>
      </c>
      <c r="BJ153" s="16" t="s">
        <v>329</v>
      </c>
      <c r="BK153" s="8">
        <v>0.80769999999999997</v>
      </c>
      <c r="BL153" s="16">
        <f t="shared" si="91"/>
        <v>2.9219253775856617</v>
      </c>
      <c r="BM153" s="25">
        <f>'PFAS Properties'!$U$30</f>
        <v>19650</v>
      </c>
      <c r="BN153" s="16">
        <f t="shared" si="92"/>
        <v>8578.6323487511636</v>
      </c>
      <c r="BO153" s="18">
        <f t="shared" si="93"/>
        <v>0.43657162080158596</v>
      </c>
    </row>
    <row r="154" spans="1:67" s="14" customFormat="1" x14ac:dyDescent="0.3">
      <c r="A154" s="20">
        <v>152</v>
      </c>
      <c r="B154" s="2" t="s">
        <v>720</v>
      </c>
      <c r="C154" s="2">
        <v>2019</v>
      </c>
      <c r="D154" s="2" t="s">
        <v>201</v>
      </c>
      <c r="E154" s="10" t="s">
        <v>797</v>
      </c>
      <c r="F154" s="20" t="s">
        <v>29</v>
      </c>
      <c r="G154" s="2" t="s">
        <v>718</v>
      </c>
      <c r="H154" s="2" t="str">
        <f>'PFAS Properties'!$B$30</f>
        <v>PFPeA</v>
      </c>
      <c r="I154" s="2" t="str">
        <f>'PFAS Properties'!$C$30</f>
        <v>PFCA</v>
      </c>
      <c r="J154" s="2" t="str">
        <f>'PFAS Properties'!$D$30</f>
        <v>C5HF9O2</v>
      </c>
      <c r="K154" s="25">
        <f>'PFAS Properties'!$P$30</f>
        <v>263.98320000000001</v>
      </c>
      <c r="L154" s="2">
        <f>'PFAS Properties'!$X$30</f>
        <v>-0.2</v>
      </c>
      <c r="M154" s="2" t="str">
        <f>'PFAS Properties'!$Y$30</f>
        <v>-</v>
      </c>
      <c r="N154" s="33">
        <v>0</v>
      </c>
      <c r="O154" s="33">
        <v>0</v>
      </c>
      <c r="P154" s="33">
        <v>0</v>
      </c>
      <c r="Q154" s="33">
        <f t="shared" si="80"/>
        <v>0.99991872355478106</v>
      </c>
      <c r="R154" s="33">
        <v>0</v>
      </c>
      <c r="S154" s="33">
        <f t="shared" si="81"/>
        <v>8.1276445218917993E-5</v>
      </c>
      <c r="T154" s="8">
        <f t="shared" si="54"/>
        <v>1</v>
      </c>
      <c r="U154" s="33">
        <f t="shared" si="55"/>
        <v>0</v>
      </c>
      <c r="V154" s="33">
        <f t="shared" si="56"/>
        <v>-0.99991872355478106</v>
      </c>
      <c r="W154" s="33">
        <f t="shared" si="57"/>
        <v>262.98328127644527</v>
      </c>
      <c r="X154" s="33">
        <v>96485</v>
      </c>
      <c r="Y154" s="16">
        <f t="shared" si="58"/>
        <v>-366.85662135596851</v>
      </c>
      <c r="Z154" s="16">
        <v>5</v>
      </c>
      <c r="AA154" s="16">
        <v>9</v>
      </c>
      <c r="AB154" s="8">
        <f t="shared" si="59"/>
        <v>0.35087719298245612</v>
      </c>
      <c r="AC154" s="16">
        <f t="shared" si="77"/>
        <v>64.776849435873189</v>
      </c>
      <c r="AD154" s="20">
        <f>'PFAS Properties'!$W$30</f>
        <v>4</v>
      </c>
      <c r="AE154" s="8">
        <f>'PFAS Properties'!$S$30</f>
        <v>5.2933625547114458</v>
      </c>
      <c r="AF154" s="2">
        <f>'PFAS Properties'!$V$30</f>
        <v>2.9</v>
      </c>
      <c r="AG154" s="24">
        <v>3.89</v>
      </c>
      <c r="AH154" s="2" t="s">
        <v>652</v>
      </c>
      <c r="AI154" s="15">
        <f>2.95*2*55.845/159.69</f>
        <v>2.0632819838436971</v>
      </c>
      <c r="AJ154" s="16">
        <f t="shared" si="82"/>
        <v>36.946584006512616</v>
      </c>
      <c r="AK154" s="15">
        <f t="shared" si="83"/>
        <v>0.20632819838436972</v>
      </c>
      <c r="AL154" s="15">
        <f>0.634*2*26.98/101.96</f>
        <v>0.33553001176932129</v>
      </c>
      <c r="AM154" s="16">
        <f t="shared" si="94"/>
        <v>12.436249509611612</v>
      </c>
      <c r="AN154" s="15">
        <f t="shared" si="84"/>
        <v>3.3553001176932128E-2</v>
      </c>
      <c r="AO154" s="15" t="s">
        <v>41</v>
      </c>
      <c r="AP154" s="15">
        <v>2.89</v>
      </c>
      <c r="AQ154" s="2" t="s">
        <v>652</v>
      </c>
      <c r="AR154" s="2">
        <v>60</v>
      </c>
      <c r="AS154" s="2">
        <v>16</v>
      </c>
      <c r="AT154" s="2">
        <v>24</v>
      </c>
      <c r="AU154" s="2" t="s">
        <v>652</v>
      </c>
      <c r="AV154" s="16">
        <f t="shared" si="85"/>
        <v>100</v>
      </c>
      <c r="AW154" s="18">
        <v>0.99299999999999999</v>
      </c>
      <c r="AX154" s="13">
        <f t="shared" si="73"/>
        <v>9.9299999999999996E-3</v>
      </c>
      <c r="AY154" s="16" t="s">
        <v>750</v>
      </c>
      <c r="AZ154" s="16">
        <f t="shared" si="95"/>
        <v>125</v>
      </c>
      <c r="BA154" s="16" t="s">
        <v>55</v>
      </c>
      <c r="BB154" s="16">
        <f t="shared" si="86"/>
        <v>13.199159999999999</v>
      </c>
      <c r="BC154" s="16">
        <f t="shared" si="87"/>
        <v>263.98320000000001</v>
      </c>
      <c r="BD154" s="18">
        <f t="shared" si="88"/>
        <v>0.35027345241725832</v>
      </c>
      <c r="BE154" s="16">
        <f t="shared" si="89"/>
        <v>35.274265097407685</v>
      </c>
      <c r="BF154" s="16">
        <f t="shared" si="64"/>
        <v>1.5474579744472137</v>
      </c>
      <c r="BG154" s="8">
        <f t="shared" si="90"/>
        <v>-0.45559277705740509</v>
      </c>
      <c r="BH154" s="13" t="s">
        <v>782</v>
      </c>
      <c r="BI154" s="16">
        <f>10^0.8178</f>
        <v>6.5735504445489665</v>
      </c>
      <c r="BJ154" s="16" t="s">
        <v>329</v>
      </c>
      <c r="BK154" s="8">
        <v>0.75660000000000005</v>
      </c>
      <c r="BL154" s="16">
        <f t="shared" si="91"/>
        <v>3.885184690694877</v>
      </c>
      <c r="BM154" s="25">
        <f>'PFAS Properties'!$U$30</f>
        <v>19650</v>
      </c>
      <c r="BN154" s="16">
        <f t="shared" si="92"/>
        <v>6882.8733399991261</v>
      </c>
      <c r="BO154" s="18">
        <f t="shared" si="93"/>
        <v>0.35027345241725832</v>
      </c>
    </row>
    <row r="155" spans="1:67" s="14" customFormat="1" x14ac:dyDescent="0.3">
      <c r="A155" s="20">
        <v>153</v>
      </c>
      <c r="B155" s="2" t="s">
        <v>181</v>
      </c>
      <c r="C155" s="2">
        <v>2020</v>
      </c>
      <c r="D155" s="2" t="s">
        <v>203</v>
      </c>
      <c r="E155" s="10" t="s">
        <v>787</v>
      </c>
      <c r="F155" s="20" t="s">
        <v>29</v>
      </c>
      <c r="G155" s="2" t="s">
        <v>62</v>
      </c>
      <c r="H155" s="2" t="str">
        <f>'PFAS Properties'!$B$30</f>
        <v>PFPeA</v>
      </c>
      <c r="I155" s="2" t="str">
        <f>'PFAS Properties'!$C$30</f>
        <v>PFCA</v>
      </c>
      <c r="J155" s="2" t="str">
        <f>'PFAS Properties'!$D$30</f>
        <v>C5HF9O2</v>
      </c>
      <c r="K155" s="25">
        <f>'PFAS Properties'!$P$30</f>
        <v>263.98320000000001</v>
      </c>
      <c r="L155" s="2">
        <f>'PFAS Properties'!$X$30</f>
        <v>-0.2</v>
      </c>
      <c r="M155" s="2" t="str">
        <f>'PFAS Properties'!$Y$30</f>
        <v>-</v>
      </c>
      <c r="N155" s="33">
        <v>0</v>
      </c>
      <c r="O155" s="33">
        <v>0</v>
      </c>
      <c r="P155" s="33">
        <v>0</v>
      </c>
      <c r="Q155" s="33">
        <f t="shared" si="80"/>
        <v>0.99999998004737722</v>
      </c>
      <c r="R155" s="33">
        <v>0</v>
      </c>
      <c r="S155" s="33">
        <f t="shared" si="81"/>
        <v>1.995262275158161E-8</v>
      </c>
      <c r="T155" s="8">
        <f t="shared" si="54"/>
        <v>1</v>
      </c>
      <c r="U155" s="33">
        <f t="shared" si="55"/>
        <v>0</v>
      </c>
      <c r="V155" s="33">
        <f t="shared" si="56"/>
        <v>-0.99999998004737722</v>
      </c>
      <c r="W155" s="33">
        <f t="shared" si="57"/>
        <v>262.98320001995262</v>
      </c>
      <c r="X155" s="33">
        <v>96485</v>
      </c>
      <c r="Y155" s="16">
        <f t="shared" si="58"/>
        <v>-366.88654662180267</v>
      </c>
      <c r="Z155" s="16">
        <v>5</v>
      </c>
      <c r="AA155" s="16">
        <v>9</v>
      </c>
      <c r="AB155" s="8">
        <f t="shared" si="59"/>
        <v>0.35087719298245612</v>
      </c>
      <c r="AC155" s="16">
        <f t="shared" si="77"/>
        <v>64.776849435873189</v>
      </c>
      <c r="AD155" s="20">
        <f>'PFAS Properties'!$W$30</f>
        <v>4</v>
      </c>
      <c r="AE155" s="8">
        <f>'PFAS Properties'!$S$30</f>
        <v>5.2933625547114458</v>
      </c>
      <c r="AF155" s="2">
        <f>'PFAS Properties'!$V$30</f>
        <v>2.9</v>
      </c>
      <c r="AG155" s="24">
        <v>7.5</v>
      </c>
      <c r="AH155" s="2" t="s">
        <v>183</v>
      </c>
      <c r="AI155" s="2" t="s">
        <v>661</v>
      </c>
      <c r="AJ155" s="2" t="s">
        <v>661</v>
      </c>
      <c r="AK155" s="2" t="s">
        <v>661</v>
      </c>
      <c r="AL155" s="2" t="s">
        <v>661</v>
      </c>
      <c r="AM155" s="2" t="s">
        <v>661</v>
      </c>
      <c r="AN155" s="2" t="s">
        <v>661</v>
      </c>
      <c r="AO155" s="2" t="s">
        <v>661</v>
      </c>
      <c r="AP155" s="15">
        <v>41.4</v>
      </c>
      <c r="AQ155" s="2" t="s">
        <v>661</v>
      </c>
      <c r="AR155" s="16">
        <v>16.899999999999999</v>
      </c>
      <c r="AS155" s="16">
        <v>17.5</v>
      </c>
      <c r="AT155" s="16">
        <v>65.599999999999994</v>
      </c>
      <c r="AU155" s="2" t="s">
        <v>661</v>
      </c>
      <c r="AV155" s="16">
        <f t="shared" ref="AV155:AV186" si="96">SUM(AR155:AT155)</f>
        <v>100</v>
      </c>
      <c r="AW155" s="18">
        <v>0.7</v>
      </c>
      <c r="AX155" s="13">
        <v>6.9999999999999993E-3</v>
      </c>
      <c r="AY155" s="13" t="s">
        <v>184</v>
      </c>
      <c r="AZ155" s="16">
        <v>100</v>
      </c>
      <c r="BA155" s="16" t="s">
        <v>55</v>
      </c>
      <c r="BB155" s="16">
        <v>5</v>
      </c>
      <c r="BC155" s="16" t="s">
        <v>55</v>
      </c>
      <c r="BD155" s="18">
        <v>0.36</v>
      </c>
      <c r="BE155" s="15">
        <f t="shared" ref="BE155:BE186" si="97">BD155/AX155</f>
        <v>51.428571428571431</v>
      </c>
      <c r="BF155" s="8">
        <f t="shared" si="64"/>
        <v>1.7112044607530303</v>
      </c>
      <c r="BG155" s="8">
        <f t="shared" ref="BG155:BG186" si="98">LOG(BD155)</f>
        <v>-0.44369749923271273</v>
      </c>
      <c r="BH155" s="13" t="s">
        <v>345</v>
      </c>
      <c r="BI155" s="2"/>
      <c r="BJ155" s="2"/>
      <c r="BK155" s="15"/>
      <c r="BL155" s="2"/>
      <c r="BM155" s="20"/>
      <c r="BN155" s="20"/>
      <c r="BO155" s="2"/>
    </row>
    <row r="156" spans="1:67" s="14" customFormat="1" x14ac:dyDescent="0.3">
      <c r="A156" s="20">
        <v>154</v>
      </c>
      <c r="B156" s="2" t="s">
        <v>181</v>
      </c>
      <c r="C156" s="2">
        <v>2020</v>
      </c>
      <c r="D156" s="2" t="s">
        <v>203</v>
      </c>
      <c r="E156" s="10" t="s">
        <v>787</v>
      </c>
      <c r="F156" s="20" t="s">
        <v>29</v>
      </c>
      <c r="G156" s="2" t="s">
        <v>57</v>
      </c>
      <c r="H156" s="2" t="str">
        <f>'PFAS Properties'!$B$30</f>
        <v>PFPeA</v>
      </c>
      <c r="I156" s="2" t="str">
        <f>'PFAS Properties'!$C$30</f>
        <v>PFCA</v>
      </c>
      <c r="J156" s="2" t="str">
        <f>'PFAS Properties'!$D$30</f>
        <v>C5HF9O2</v>
      </c>
      <c r="K156" s="25">
        <f>'PFAS Properties'!$P$30</f>
        <v>263.98320000000001</v>
      </c>
      <c r="L156" s="2">
        <f>'PFAS Properties'!$X$30</f>
        <v>-0.2</v>
      </c>
      <c r="M156" s="2" t="str">
        <f>'PFAS Properties'!$Y$30</f>
        <v>-</v>
      </c>
      <c r="N156" s="33">
        <v>0</v>
      </c>
      <c r="O156" s="33">
        <v>0</v>
      </c>
      <c r="P156" s="33">
        <v>0</v>
      </c>
      <c r="Q156" s="33">
        <f t="shared" si="80"/>
        <v>0.99999990000001004</v>
      </c>
      <c r="R156" s="33">
        <v>0</v>
      </c>
      <c r="S156" s="33">
        <f t="shared" si="81"/>
        <v>9.9999990000001005E-8</v>
      </c>
      <c r="T156" s="8">
        <f t="shared" ref="T156:T219" si="99">SUM(N156:S156)</f>
        <v>1</v>
      </c>
      <c r="U156" s="33">
        <f t="shared" ref="U156:U219" si="100">((1*N156)+(1*O156)+(1*P156))</f>
        <v>0</v>
      </c>
      <c r="V156" s="33">
        <f t="shared" ref="V156:V219" si="101">-((1*O156)+(2*P156)+(1*Q156)+(2*R156))</f>
        <v>-0.99999990000001004</v>
      </c>
      <c r="W156" s="33">
        <f t="shared" ref="W156:W219" si="102">(N156*(K156+1))+(O156*K156)+(P156*(K156-1))+(Q156*(K156-1))+(R156*(K156-2))+(S156*K156)</f>
        <v>262.98320009999998</v>
      </c>
      <c r="X156" s="33">
        <v>96485</v>
      </c>
      <c r="Y156" s="16">
        <f t="shared" ref="Y156:Y219" si="103">((V156+U156)/W156)*X156</f>
        <v>-366.88651714182623</v>
      </c>
      <c r="Z156" s="16">
        <v>5</v>
      </c>
      <c r="AA156" s="16">
        <v>9</v>
      </c>
      <c r="AB156" s="8">
        <f t="shared" ref="AB156:AB219" si="104">(Z156/AA156)*(12/19)</f>
        <v>0.35087719298245612</v>
      </c>
      <c r="AC156" s="16">
        <f t="shared" si="77"/>
        <v>64.776849435873189</v>
      </c>
      <c r="AD156" s="20">
        <f>'PFAS Properties'!$W$30</f>
        <v>4</v>
      </c>
      <c r="AE156" s="8">
        <f>'PFAS Properties'!$S$30</f>
        <v>5.2933625547114458</v>
      </c>
      <c r="AF156" s="2">
        <f>'PFAS Properties'!$V$30</f>
        <v>2.9</v>
      </c>
      <c r="AG156" s="24">
        <v>6.8</v>
      </c>
      <c r="AH156" s="2" t="s">
        <v>183</v>
      </c>
      <c r="AI156" s="2" t="s">
        <v>661</v>
      </c>
      <c r="AJ156" s="2" t="s">
        <v>661</v>
      </c>
      <c r="AK156" s="2" t="s">
        <v>661</v>
      </c>
      <c r="AL156" s="2" t="s">
        <v>661</v>
      </c>
      <c r="AM156" s="2" t="s">
        <v>661</v>
      </c>
      <c r="AN156" s="2" t="s">
        <v>661</v>
      </c>
      <c r="AO156" s="2" t="s">
        <v>661</v>
      </c>
      <c r="AP156" s="15">
        <v>7.1</v>
      </c>
      <c r="AQ156" s="2" t="s">
        <v>661</v>
      </c>
      <c r="AR156" s="16">
        <v>48.9</v>
      </c>
      <c r="AS156" s="16">
        <v>27</v>
      </c>
      <c r="AT156" s="16">
        <v>24.2</v>
      </c>
      <c r="AU156" s="2" t="s">
        <v>661</v>
      </c>
      <c r="AV156" s="16">
        <f t="shared" si="96"/>
        <v>100.10000000000001</v>
      </c>
      <c r="AW156" s="18">
        <v>0.37</v>
      </c>
      <c r="AX156" s="13">
        <v>3.7000000000000002E-3</v>
      </c>
      <c r="AY156" s="13" t="s">
        <v>184</v>
      </c>
      <c r="AZ156" s="16">
        <v>100</v>
      </c>
      <c r="BA156" s="16" t="s">
        <v>55</v>
      </c>
      <c r="BB156" s="16">
        <v>5</v>
      </c>
      <c r="BC156" s="16" t="s">
        <v>55</v>
      </c>
      <c r="BD156" s="20">
        <v>0.35</v>
      </c>
      <c r="BE156" s="15">
        <f t="shared" si="97"/>
        <v>94.594594594594582</v>
      </c>
      <c r="BF156" s="8">
        <f t="shared" ref="BF156:BF219" si="105">LOG(BE156)</f>
        <v>1.9758663202832807</v>
      </c>
      <c r="BG156" s="8">
        <f t="shared" si="98"/>
        <v>-0.45593195564972439</v>
      </c>
      <c r="BH156" s="13" t="s">
        <v>345</v>
      </c>
      <c r="BI156" s="2"/>
      <c r="BJ156" s="2"/>
      <c r="BK156" s="15"/>
      <c r="BL156" s="2"/>
      <c r="BM156" s="20"/>
      <c r="BN156" s="20"/>
      <c r="BO156" s="2"/>
    </row>
    <row r="157" spans="1:67" s="14" customFormat="1" x14ac:dyDescent="0.3">
      <c r="A157" s="20">
        <v>155</v>
      </c>
      <c r="B157" s="2" t="s">
        <v>181</v>
      </c>
      <c r="C157" s="2">
        <v>2020</v>
      </c>
      <c r="D157" s="2" t="s">
        <v>203</v>
      </c>
      <c r="E157" s="10" t="s">
        <v>787</v>
      </c>
      <c r="F157" s="20" t="s">
        <v>29</v>
      </c>
      <c r="G157" s="2" t="s">
        <v>58</v>
      </c>
      <c r="H157" s="2" t="str">
        <f>'PFAS Properties'!$B$30</f>
        <v>PFPeA</v>
      </c>
      <c r="I157" s="2" t="str">
        <f>'PFAS Properties'!$C$30</f>
        <v>PFCA</v>
      </c>
      <c r="J157" s="2" t="str">
        <f>'PFAS Properties'!$D$30</f>
        <v>C5HF9O2</v>
      </c>
      <c r="K157" s="25">
        <f>'PFAS Properties'!$P$30</f>
        <v>263.98320000000001</v>
      </c>
      <c r="L157" s="2">
        <f>'PFAS Properties'!$X$30</f>
        <v>-0.2</v>
      </c>
      <c r="M157" s="2" t="str">
        <f>'PFAS Properties'!$Y$30</f>
        <v>-</v>
      </c>
      <c r="N157" s="33">
        <v>0</v>
      </c>
      <c r="O157" s="33">
        <v>0</v>
      </c>
      <c r="P157" s="33">
        <v>0</v>
      </c>
      <c r="Q157" s="33">
        <f t="shared" si="80"/>
        <v>0.99999960189298798</v>
      </c>
      <c r="R157" s="33">
        <v>0</v>
      </c>
      <c r="S157" s="33">
        <f t="shared" si="81"/>
        <v>3.9810701206424001E-7</v>
      </c>
      <c r="T157" s="8">
        <f t="shared" si="99"/>
        <v>1</v>
      </c>
      <c r="U157" s="33">
        <f t="shared" si="100"/>
        <v>0</v>
      </c>
      <c r="V157" s="33">
        <f t="shared" si="101"/>
        <v>-0.99999960189298798</v>
      </c>
      <c r="W157" s="33">
        <f t="shared" si="102"/>
        <v>262.98320039810704</v>
      </c>
      <c r="X157" s="33">
        <v>96485</v>
      </c>
      <c r="Y157" s="16">
        <f t="shared" si="103"/>
        <v>-366.88640735448075</v>
      </c>
      <c r="Z157" s="16">
        <v>5</v>
      </c>
      <c r="AA157" s="16">
        <v>9</v>
      </c>
      <c r="AB157" s="8">
        <f t="shared" si="104"/>
        <v>0.35087719298245612</v>
      </c>
      <c r="AC157" s="16">
        <f t="shared" si="77"/>
        <v>64.776849435873189</v>
      </c>
      <c r="AD157" s="20">
        <f>'PFAS Properties'!$W$30</f>
        <v>4</v>
      </c>
      <c r="AE157" s="8">
        <f>'PFAS Properties'!$S$30</f>
        <v>5.2933625547114458</v>
      </c>
      <c r="AF157" s="2">
        <f>'PFAS Properties'!$V$30</f>
        <v>2.9</v>
      </c>
      <c r="AG157" s="24">
        <v>6.2</v>
      </c>
      <c r="AH157" s="2" t="s">
        <v>183</v>
      </c>
      <c r="AI157" s="2" t="s">
        <v>661</v>
      </c>
      <c r="AJ157" s="2" t="s">
        <v>661</v>
      </c>
      <c r="AK157" s="2" t="s">
        <v>661</v>
      </c>
      <c r="AL157" s="2" t="s">
        <v>661</v>
      </c>
      <c r="AM157" s="2" t="s">
        <v>661</v>
      </c>
      <c r="AN157" s="2" t="s">
        <v>661</v>
      </c>
      <c r="AO157" s="2" t="s">
        <v>661</v>
      </c>
      <c r="AP157" s="15">
        <v>8</v>
      </c>
      <c r="AQ157" s="2" t="s">
        <v>661</v>
      </c>
      <c r="AR157" s="16">
        <v>51.44</v>
      </c>
      <c r="AS157" s="16">
        <v>10.17</v>
      </c>
      <c r="AT157" s="16">
        <v>38.380000000000003</v>
      </c>
      <c r="AU157" s="2" t="s">
        <v>661</v>
      </c>
      <c r="AV157" s="16">
        <f t="shared" si="96"/>
        <v>99.990000000000009</v>
      </c>
      <c r="AW157" s="18">
        <v>0.08</v>
      </c>
      <c r="AX157" s="13">
        <v>8.0000000000000004E-4</v>
      </c>
      <c r="AY157" s="8" t="s">
        <v>184</v>
      </c>
      <c r="AZ157" s="16">
        <v>100</v>
      </c>
      <c r="BA157" s="16" t="s">
        <v>55</v>
      </c>
      <c r="BB157" s="16">
        <v>5</v>
      </c>
      <c r="BC157" s="16" t="s">
        <v>55</v>
      </c>
      <c r="BD157" s="20">
        <v>0.24</v>
      </c>
      <c r="BE157" s="15">
        <f t="shared" si="97"/>
        <v>300</v>
      </c>
      <c r="BF157" s="8">
        <f t="shared" si="105"/>
        <v>2.4771212547196626</v>
      </c>
      <c r="BG157" s="8">
        <f t="shared" si="98"/>
        <v>-0.61978875828839397</v>
      </c>
      <c r="BH157" s="13" t="s">
        <v>345</v>
      </c>
      <c r="BI157" s="2"/>
      <c r="BJ157" s="2"/>
      <c r="BK157" s="15"/>
      <c r="BL157" s="2"/>
      <c r="BM157" s="20"/>
      <c r="BN157" s="20"/>
      <c r="BO157" s="2"/>
    </row>
    <row r="158" spans="1:67" s="14" customFormat="1" x14ac:dyDescent="0.3">
      <c r="A158" s="20">
        <v>156</v>
      </c>
      <c r="B158" s="2" t="s">
        <v>181</v>
      </c>
      <c r="C158" s="2">
        <v>2020</v>
      </c>
      <c r="D158" s="2" t="s">
        <v>203</v>
      </c>
      <c r="E158" s="10" t="s">
        <v>787</v>
      </c>
      <c r="F158" s="20" t="s">
        <v>29</v>
      </c>
      <c r="G158" s="2" t="s">
        <v>59</v>
      </c>
      <c r="H158" s="2" t="str">
        <f>'PFAS Properties'!$B$30</f>
        <v>PFPeA</v>
      </c>
      <c r="I158" s="2" t="str">
        <f>'PFAS Properties'!$C$30</f>
        <v>PFCA</v>
      </c>
      <c r="J158" s="2" t="str">
        <f>'PFAS Properties'!$D$30</f>
        <v>C5HF9O2</v>
      </c>
      <c r="K158" s="25">
        <f>'PFAS Properties'!$P$30</f>
        <v>263.98320000000001</v>
      </c>
      <c r="L158" s="2">
        <f>'PFAS Properties'!$X$30</f>
        <v>-0.2</v>
      </c>
      <c r="M158" s="2" t="str">
        <f>'PFAS Properties'!$Y$30</f>
        <v>-</v>
      </c>
      <c r="N158" s="33">
        <v>0</v>
      </c>
      <c r="O158" s="33">
        <v>0</v>
      </c>
      <c r="P158" s="33">
        <v>0</v>
      </c>
      <c r="Q158" s="33">
        <f t="shared" si="80"/>
        <v>0.99999998741074603</v>
      </c>
      <c r="R158" s="33">
        <v>0</v>
      </c>
      <c r="S158" s="33">
        <f t="shared" si="81"/>
        <v>1.258925395945232E-8</v>
      </c>
      <c r="T158" s="8">
        <f t="shared" si="99"/>
        <v>1</v>
      </c>
      <c r="U158" s="33">
        <f t="shared" si="100"/>
        <v>0</v>
      </c>
      <c r="V158" s="33">
        <f t="shared" si="101"/>
        <v>-0.99999998741074603</v>
      </c>
      <c r="W158" s="33">
        <f t="shared" si="102"/>
        <v>262.98320001258929</v>
      </c>
      <c r="X158" s="33">
        <v>96485</v>
      </c>
      <c r="Y158" s="16">
        <f t="shared" si="103"/>
        <v>-366.88654933359618</v>
      </c>
      <c r="Z158" s="16">
        <v>5</v>
      </c>
      <c r="AA158" s="16">
        <v>9</v>
      </c>
      <c r="AB158" s="8">
        <f t="shared" si="104"/>
        <v>0.35087719298245612</v>
      </c>
      <c r="AC158" s="16">
        <f t="shared" si="77"/>
        <v>64.776849435873189</v>
      </c>
      <c r="AD158" s="20">
        <f>'PFAS Properties'!$W$30</f>
        <v>4</v>
      </c>
      <c r="AE158" s="8">
        <f>'PFAS Properties'!$S$30</f>
        <v>5.2933625547114458</v>
      </c>
      <c r="AF158" s="2">
        <f>'PFAS Properties'!$V$30</f>
        <v>2.9</v>
      </c>
      <c r="AG158" s="24">
        <v>7.7</v>
      </c>
      <c r="AH158" s="2" t="s">
        <v>183</v>
      </c>
      <c r="AI158" s="2" t="s">
        <v>661</v>
      </c>
      <c r="AJ158" s="2" t="s">
        <v>661</v>
      </c>
      <c r="AK158" s="2" t="s">
        <v>661</v>
      </c>
      <c r="AL158" s="2" t="s">
        <v>661</v>
      </c>
      <c r="AM158" s="2" t="s">
        <v>661</v>
      </c>
      <c r="AN158" s="2" t="s">
        <v>661</v>
      </c>
      <c r="AO158" s="2" t="s">
        <v>661</v>
      </c>
      <c r="AP158" s="15">
        <v>4.8</v>
      </c>
      <c r="AQ158" s="2" t="s">
        <v>661</v>
      </c>
      <c r="AR158" s="16">
        <v>46</v>
      </c>
      <c r="AS158" s="16">
        <v>37</v>
      </c>
      <c r="AT158" s="16">
        <v>17</v>
      </c>
      <c r="AU158" s="2" t="s">
        <v>661</v>
      </c>
      <c r="AV158" s="16">
        <f t="shared" si="96"/>
        <v>100</v>
      </c>
      <c r="AW158" s="18">
        <v>0.25</v>
      </c>
      <c r="AX158" s="13">
        <v>2.5000000000000001E-3</v>
      </c>
      <c r="AY158" s="13" t="s">
        <v>184</v>
      </c>
      <c r="AZ158" s="16">
        <v>100</v>
      </c>
      <c r="BA158" s="16" t="s">
        <v>55</v>
      </c>
      <c r="BB158" s="16">
        <v>5</v>
      </c>
      <c r="BC158" s="16" t="s">
        <v>55</v>
      </c>
      <c r="BD158" s="18">
        <v>0.15</v>
      </c>
      <c r="BE158" s="15">
        <f t="shared" si="97"/>
        <v>60</v>
      </c>
      <c r="BF158" s="8">
        <f t="shared" si="105"/>
        <v>1.7781512503836436</v>
      </c>
      <c r="BG158" s="8">
        <f t="shared" si="98"/>
        <v>-0.82390874094431876</v>
      </c>
      <c r="BH158" s="13" t="s">
        <v>345</v>
      </c>
      <c r="BI158" s="2"/>
      <c r="BJ158" s="2"/>
      <c r="BK158" s="15"/>
      <c r="BL158" s="2"/>
      <c r="BM158" s="20"/>
      <c r="BN158" s="20"/>
      <c r="BO158" s="2"/>
    </row>
    <row r="159" spans="1:67" s="14" customFormat="1" x14ac:dyDescent="0.3">
      <c r="A159" s="20">
        <v>157</v>
      </c>
      <c r="B159" s="2" t="s">
        <v>181</v>
      </c>
      <c r="C159" s="2">
        <v>2020</v>
      </c>
      <c r="D159" s="2" t="s">
        <v>203</v>
      </c>
      <c r="E159" s="10" t="s">
        <v>787</v>
      </c>
      <c r="F159" s="20" t="s">
        <v>29</v>
      </c>
      <c r="G159" s="2" t="s">
        <v>61</v>
      </c>
      <c r="H159" s="2" t="str">
        <f>'PFAS Properties'!$B$30</f>
        <v>PFPeA</v>
      </c>
      <c r="I159" s="2" t="str">
        <f>'PFAS Properties'!$C$30</f>
        <v>PFCA</v>
      </c>
      <c r="J159" s="2" t="str">
        <f>'PFAS Properties'!$D$30</f>
        <v>C5HF9O2</v>
      </c>
      <c r="K159" s="25">
        <f>'PFAS Properties'!$P$30</f>
        <v>263.98320000000001</v>
      </c>
      <c r="L159" s="2">
        <f>'PFAS Properties'!$X$30</f>
        <v>-0.2</v>
      </c>
      <c r="M159" s="2" t="str">
        <f>'PFAS Properties'!$Y$30</f>
        <v>-</v>
      </c>
      <c r="N159" s="33">
        <v>0</v>
      </c>
      <c r="O159" s="33">
        <v>0</v>
      </c>
      <c r="P159" s="33">
        <v>0</v>
      </c>
      <c r="Q159" s="33">
        <f t="shared" si="80"/>
        <v>0.99999997488113634</v>
      </c>
      <c r="R159" s="33">
        <v>0</v>
      </c>
      <c r="S159" s="33">
        <f t="shared" si="81"/>
        <v>2.5118863684138424E-8</v>
      </c>
      <c r="T159" s="8">
        <f t="shared" si="99"/>
        <v>1</v>
      </c>
      <c r="U159" s="33">
        <f t="shared" si="100"/>
        <v>0</v>
      </c>
      <c r="V159" s="33">
        <f t="shared" si="101"/>
        <v>-0.99999997488113634</v>
      </c>
      <c r="W159" s="33">
        <f t="shared" si="102"/>
        <v>262.98320002511889</v>
      </c>
      <c r="X159" s="33">
        <v>96485</v>
      </c>
      <c r="Y159" s="16">
        <f t="shared" si="103"/>
        <v>-366.8865447191709</v>
      </c>
      <c r="Z159" s="16">
        <v>5</v>
      </c>
      <c r="AA159" s="16">
        <v>9</v>
      </c>
      <c r="AB159" s="8">
        <f t="shared" si="104"/>
        <v>0.35087719298245612</v>
      </c>
      <c r="AC159" s="16">
        <f t="shared" si="77"/>
        <v>64.776849435873189</v>
      </c>
      <c r="AD159" s="20">
        <f>'PFAS Properties'!$W$30</f>
        <v>4</v>
      </c>
      <c r="AE159" s="8">
        <f>'PFAS Properties'!$S$30</f>
        <v>5.2933625547114458</v>
      </c>
      <c r="AF159" s="2">
        <f>'PFAS Properties'!$V$30</f>
        <v>2.9</v>
      </c>
      <c r="AG159" s="24">
        <v>7.4</v>
      </c>
      <c r="AH159" s="2" t="s">
        <v>183</v>
      </c>
      <c r="AI159" s="2" t="s">
        <v>661</v>
      </c>
      <c r="AJ159" s="2" t="s">
        <v>661</v>
      </c>
      <c r="AK159" s="2" t="s">
        <v>661</v>
      </c>
      <c r="AL159" s="2" t="s">
        <v>661</v>
      </c>
      <c r="AM159" s="2" t="s">
        <v>661</v>
      </c>
      <c r="AN159" s="2" t="s">
        <v>661</v>
      </c>
      <c r="AO159" s="2" t="s">
        <v>661</v>
      </c>
      <c r="AP159" s="15">
        <v>29.6</v>
      </c>
      <c r="AQ159" s="2" t="s">
        <v>661</v>
      </c>
      <c r="AR159" s="16">
        <v>39.799999999999997</v>
      </c>
      <c r="AS159" s="16">
        <v>7.7</v>
      </c>
      <c r="AT159" s="16">
        <v>52.5</v>
      </c>
      <c r="AU159" s="2" t="s">
        <v>661</v>
      </c>
      <c r="AV159" s="16">
        <f t="shared" si="96"/>
        <v>100</v>
      </c>
      <c r="AW159" s="18">
        <v>2.23</v>
      </c>
      <c r="AX159" s="13">
        <v>2.23E-2</v>
      </c>
      <c r="AY159" s="8" t="s">
        <v>184</v>
      </c>
      <c r="AZ159" s="16">
        <v>100</v>
      </c>
      <c r="BA159" s="16" t="s">
        <v>55</v>
      </c>
      <c r="BB159" s="16">
        <v>5</v>
      </c>
      <c r="BC159" s="16" t="s">
        <v>55</v>
      </c>
      <c r="BD159" s="20">
        <v>0.31</v>
      </c>
      <c r="BE159" s="15">
        <f t="shared" si="97"/>
        <v>13.901345291479821</v>
      </c>
      <c r="BF159" s="8">
        <f t="shared" si="105"/>
        <v>1.143056830786112</v>
      </c>
      <c r="BG159" s="8">
        <f t="shared" si="98"/>
        <v>-0.50863830616572736</v>
      </c>
      <c r="BH159" s="13" t="s">
        <v>345</v>
      </c>
      <c r="BI159" s="2"/>
      <c r="BJ159" s="2"/>
      <c r="BK159" s="15"/>
      <c r="BL159" s="2"/>
      <c r="BM159" s="20"/>
      <c r="BN159" s="20"/>
      <c r="BO159" s="2"/>
    </row>
    <row r="160" spans="1:67" s="14" customFormat="1" x14ac:dyDescent="0.3">
      <c r="A160" s="20">
        <v>158</v>
      </c>
      <c r="B160" s="2" t="s">
        <v>181</v>
      </c>
      <c r="C160" s="2">
        <v>2020</v>
      </c>
      <c r="D160" s="2" t="s">
        <v>203</v>
      </c>
      <c r="E160" s="10" t="s">
        <v>787</v>
      </c>
      <c r="F160" s="20" t="s">
        <v>29</v>
      </c>
      <c r="G160" s="2" t="s">
        <v>60</v>
      </c>
      <c r="H160" s="2" t="str">
        <f>'PFAS Properties'!$B$30</f>
        <v>PFPeA</v>
      </c>
      <c r="I160" s="2" t="str">
        <f>'PFAS Properties'!$C$30</f>
        <v>PFCA</v>
      </c>
      <c r="J160" s="2" t="str">
        <f>'PFAS Properties'!$D$30</f>
        <v>C5HF9O2</v>
      </c>
      <c r="K160" s="25">
        <f>'PFAS Properties'!$P$30</f>
        <v>263.98320000000001</v>
      </c>
      <c r="L160" s="2">
        <f>'PFAS Properties'!$X$30</f>
        <v>-0.2</v>
      </c>
      <c r="M160" s="2" t="str">
        <f>'PFAS Properties'!$Y$30</f>
        <v>-</v>
      </c>
      <c r="N160" s="33">
        <v>0</v>
      </c>
      <c r="O160" s="33">
        <v>0</v>
      </c>
      <c r="P160" s="33">
        <v>0</v>
      </c>
      <c r="Q160" s="33">
        <f t="shared" si="80"/>
        <v>0.99999998741074603</v>
      </c>
      <c r="R160" s="33">
        <v>0</v>
      </c>
      <c r="S160" s="33">
        <f t="shared" si="81"/>
        <v>1.258925395945232E-8</v>
      </c>
      <c r="T160" s="8">
        <f t="shared" si="99"/>
        <v>1</v>
      </c>
      <c r="U160" s="33">
        <f t="shared" si="100"/>
        <v>0</v>
      </c>
      <c r="V160" s="33">
        <f t="shared" si="101"/>
        <v>-0.99999998741074603</v>
      </c>
      <c r="W160" s="33">
        <f t="shared" si="102"/>
        <v>262.98320001258929</v>
      </c>
      <c r="X160" s="33">
        <v>96485</v>
      </c>
      <c r="Y160" s="16">
        <f t="shared" si="103"/>
        <v>-366.88654933359618</v>
      </c>
      <c r="Z160" s="16">
        <v>5</v>
      </c>
      <c r="AA160" s="16">
        <v>9</v>
      </c>
      <c r="AB160" s="8">
        <f t="shared" si="104"/>
        <v>0.35087719298245612</v>
      </c>
      <c r="AC160" s="16">
        <f t="shared" si="77"/>
        <v>64.776849435873189</v>
      </c>
      <c r="AD160" s="20">
        <f>'PFAS Properties'!$W$30</f>
        <v>4</v>
      </c>
      <c r="AE160" s="8">
        <f>'PFAS Properties'!$S$30</f>
        <v>5.2933625547114458</v>
      </c>
      <c r="AF160" s="2">
        <f>'PFAS Properties'!$V$30</f>
        <v>2.9</v>
      </c>
      <c r="AG160" s="24">
        <v>7.7</v>
      </c>
      <c r="AH160" s="2" t="s">
        <v>183</v>
      </c>
      <c r="AI160" s="2" t="s">
        <v>661</v>
      </c>
      <c r="AJ160" s="2" t="s">
        <v>661</v>
      </c>
      <c r="AK160" s="2" t="s">
        <v>661</v>
      </c>
      <c r="AL160" s="2" t="s">
        <v>661</v>
      </c>
      <c r="AM160" s="2" t="s">
        <v>661</v>
      </c>
      <c r="AN160" s="2" t="s">
        <v>661</v>
      </c>
      <c r="AO160" s="2" t="s">
        <v>661</v>
      </c>
      <c r="AP160" s="15">
        <v>21.63</v>
      </c>
      <c r="AQ160" s="2" t="s">
        <v>661</v>
      </c>
      <c r="AR160" s="16">
        <v>70</v>
      </c>
      <c r="AS160" s="16">
        <v>11</v>
      </c>
      <c r="AT160" s="16">
        <v>19</v>
      </c>
      <c r="AU160" s="2" t="s">
        <v>661</v>
      </c>
      <c r="AV160" s="16">
        <f t="shared" si="96"/>
        <v>100</v>
      </c>
      <c r="AW160" s="18">
        <v>4.9000000000000004</v>
      </c>
      <c r="AX160" s="13">
        <v>4.9000000000000002E-2</v>
      </c>
      <c r="AY160" s="8" t="s">
        <v>184</v>
      </c>
      <c r="AZ160" s="16">
        <v>100</v>
      </c>
      <c r="BA160" s="16" t="s">
        <v>55</v>
      </c>
      <c r="BB160" s="16">
        <v>5</v>
      </c>
      <c r="BC160" s="16" t="s">
        <v>55</v>
      </c>
      <c r="BD160" s="20">
        <v>0.44</v>
      </c>
      <c r="BE160" s="15">
        <f t="shared" si="97"/>
        <v>8.9795918367346932</v>
      </c>
      <c r="BF160" s="8">
        <f t="shared" si="105"/>
        <v>0.95325659645767369</v>
      </c>
      <c r="BG160" s="8">
        <f t="shared" si="98"/>
        <v>-0.35654732351381258</v>
      </c>
      <c r="BH160" s="13" t="s">
        <v>345</v>
      </c>
      <c r="BI160" s="2"/>
      <c r="BJ160" s="2"/>
      <c r="BK160" s="15"/>
      <c r="BL160" s="2"/>
      <c r="BM160" s="20"/>
      <c r="BN160" s="20"/>
      <c r="BO160" s="2"/>
    </row>
    <row r="161" spans="1:67" s="14" customFormat="1" x14ac:dyDescent="0.3">
      <c r="A161" s="20">
        <v>159</v>
      </c>
      <c r="B161" s="2" t="s">
        <v>181</v>
      </c>
      <c r="C161" s="2">
        <v>2020</v>
      </c>
      <c r="D161" s="2" t="s">
        <v>203</v>
      </c>
      <c r="E161" s="10" t="s">
        <v>787</v>
      </c>
      <c r="F161" s="20" t="s">
        <v>29</v>
      </c>
      <c r="G161" s="2" t="s">
        <v>77</v>
      </c>
      <c r="H161" s="2" t="str">
        <f>'PFAS Properties'!$B$30</f>
        <v>PFPeA</v>
      </c>
      <c r="I161" s="2" t="str">
        <f>'PFAS Properties'!$C$30</f>
        <v>PFCA</v>
      </c>
      <c r="J161" s="2" t="str">
        <f>'PFAS Properties'!$D$30</f>
        <v>C5HF9O2</v>
      </c>
      <c r="K161" s="25">
        <f>'PFAS Properties'!$P$30</f>
        <v>263.98320000000001</v>
      </c>
      <c r="L161" s="2">
        <f>'PFAS Properties'!$X$30</f>
        <v>-0.2</v>
      </c>
      <c r="M161" s="2" t="str">
        <f>'PFAS Properties'!$Y$30</f>
        <v>-</v>
      </c>
      <c r="N161" s="33">
        <v>0</v>
      </c>
      <c r="O161" s="33">
        <v>0</v>
      </c>
      <c r="P161" s="33">
        <v>0</v>
      </c>
      <c r="Q161" s="33">
        <f t="shared" si="80"/>
        <v>0.99999998741074603</v>
      </c>
      <c r="R161" s="33">
        <v>0</v>
      </c>
      <c r="S161" s="33">
        <f t="shared" si="81"/>
        <v>1.258925395945232E-8</v>
      </c>
      <c r="T161" s="8">
        <f t="shared" si="99"/>
        <v>1</v>
      </c>
      <c r="U161" s="33">
        <f t="shared" si="100"/>
        <v>0</v>
      </c>
      <c r="V161" s="33">
        <f t="shared" si="101"/>
        <v>-0.99999998741074603</v>
      </c>
      <c r="W161" s="33">
        <f t="shared" si="102"/>
        <v>262.98320001258929</v>
      </c>
      <c r="X161" s="33">
        <v>96485</v>
      </c>
      <c r="Y161" s="16">
        <f t="shared" si="103"/>
        <v>-366.88654933359618</v>
      </c>
      <c r="Z161" s="16">
        <v>5</v>
      </c>
      <c r="AA161" s="16">
        <v>9</v>
      </c>
      <c r="AB161" s="8">
        <f t="shared" si="104"/>
        <v>0.35087719298245612</v>
      </c>
      <c r="AC161" s="16">
        <f t="shared" si="77"/>
        <v>64.776849435873189</v>
      </c>
      <c r="AD161" s="20">
        <f>'PFAS Properties'!$W$30</f>
        <v>4</v>
      </c>
      <c r="AE161" s="8">
        <f>'PFAS Properties'!$S$30</f>
        <v>5.2933625547114458</v>
      </c>
      <c r="AF161" s="2">
        <f>'PFAS Properties'!$V$30</f>
        <v>2.9</v>
      </c>
      <c r="AG161" s="24">
        <v>7.7</v>
      </c>
      <c r="AH161" s="2" t="s">
        <v>183</v>
      </c>
      <c r="AI161" s="2" t="s">
        <v>661</v>
      </c>
      <c r="AJ161" s="2" t="s">
        <v>661</v>
      </c>
      <c r="AK161" s="2" t="s">
        <v>661</v>
      </c>
      <c r="AL161" s="2" t="s">
        <v>661</v>
      </c>
      <c r="AM161" s="2" t="s">
        <v>661</v>
      </c>
      <c r="AN161" s="2" t="s">
        <v>661</v>
      </c>
      <c r="AO161" s="2" t="s">
        <v>661</v>
      </c>
      <c r="AP161" s="15">
        <v>7.8</v>
      </c>
      <c r="AQ161" s="2" t="s">
        <v>661</v>
      </c>
      <c r="AR161" s="16">
        <v>48.9</v>
      </c>
      <c r="AS161" s="16">
        <v>32.6</v>
      </c>
      <c r="AT161" s="16">
        <v>18.5</v>
      </c>
      <c r="AU161" s="2" t="s">
        <v>661</v>
      </c>
      <c r="AV161" s="16">
        <f t="shared" si="96"/>
        <v>100</v>
      </c>
      <c r="AW161" s="18">
        <v>0.13</v>
      </c>
      <c r="AX161" s="13">
        <v>1.2999999999999999E-3</v>
      </c>
      <c r="AY161" s="8" t="s">
        <v>184</v>
      </c>
      <c r="AZ161" s="16">
        <v>100</v>
      </c>
      <c r="BA161" s="16" t="s">
        <v>55</v>
      </c>
      <c r="BB161" s="16">
        <v>5</v>
      </c>
      <c r="BC161" s="16" t="s">
        <v>55</v>
      </c>
      <c r="BD161" s="18">
        <v>0.2</v>
      </c>
      <c r="BE161" s="15">
        <f t="shared" si="97"/>
        <v>153.84615384615387</v>
      </c>
      <c r="BF161" s="8">
        <f t="shared" si="105"/>
        <v>2.1870866433571443</v>
      </c>
      <c r="BG161" s="8">
        <f t="shared" si="98"/>
        <v>-0.69897000433601875</v>
      </c>
      <c r="BH161" s="13" t="s">
        <v>345</v>
      </c>
      <c r="BI161" s="2"/>
      <c r="BJ161" s="2"/>
      <c r="BK161" s="15"/>
      <c r="BL161" s="2"/>
      <c r="BM161" s="20"/>
      <c r="BN161" s="20"/>
      <c r="BO161" s="2"/>
    </row>
    <row r="162" spans="1:67" s="14" customFormat="1" x14ac:dyDescent="0.3">
      <c r="A162" s="20">
        <v>160</v>
      </c>
      <c r="B162" s="2" t="s">
        <v>181</v>
      </c>
      <c r="C162" s="2">
        <v>2020</v>
      </c>
      <c r="D162" s="2" t="s">
        <v>203</v>
      </c>
      <c r="E162" s="10" t="s">
        <v>787</v>
      </c>
      <c r="F162" s="20" t="s">
        <v>29</v>
      </c>
      <c r="G162" s="2" t="s">
        <v>182</v>
      </c>
      <c r="H162" s="2" t="str">
        <f>'PFAS Properties'!$B$30</f>
        <v>PFPeA</v>
      </c>
      <c r="I162" s="2" t="str">
        <f>'PFAS Properties'!$C$30</f>
        <v>PFCA</v>
      </c>
      <c r="J162" s="2" t="str">
        <f>'PFAS Properties'!$D$30</f>
        <v>C5HF9O2</v>
      </c>
      <c r="K162" s="25">
        <f>'PFAS Properties'!$P$30</f>
        <v>263.98320000000001</v>
      </c>
      <c r="L162" s="2">
        <f>'PFAS Properties'!$X$30</f>
        <v>-0.2</v>
      </c>
      <c r="M162" s="2" t="str">
        <f>'PFAS Properties'!$Y$30</f>
        <v>-</v>
      </c>
      <c r="N162" s="33">
        <v>0</v>
      </c>
      <c r="O162" s="33">
        <v>0</v>
      </c>
      <c r="P162" s="33">
        <v>0</v>
      </c>
      <c r="Q162" s="33">
        <f t="shared" si="80"/>
        <v>0.99999998004737722</v>
      </c>
      <c r="R162" s="33">
        <v>0</v>
      </c>
      <c r="S162" s="33">
        <f t="shared" si="81"/>
        <v>1.995262275158161E-8</v>
      </c>
      <c r="T162" s="8">
        <f t="shared" si="99"/>
        <v>1</v>
      </c>
      <c r="U162" s="33">
        <f t="shared" si="100"/>
        <v>0</v>
      </c>
      <c r="V162" s="33">
        <f t="shared" si="101"/>
        <v>-0.99999998004737722</v>
      </c>
      <c r="W162" s="33">
        <f t="shared" si="102"/>
        <v>262.98320001995262</v>
      </c>
      <c r="X162" s="33">
        <v>96485</v>
      </c>
      <c r="Y162" s="16">
        <f t="shared" si="103"/>
        <v>-366.88654662180267</v>
      </c>
      <c r="Z162" s="16">
        <v>5</v>
      </c>
      <c r="AA162" s="16">
        <v>9</v>
      </c>
      <c r="AB162" s="8">
        <f t="shared" si="104"/>
        <v>0.35087719298245612</v>
      </c>
      <c r="AC162" s="16">
        <f t="shared" si="77"/>
        <v>64.776849435873189</v>
      </c>
      <c r="AD162" s="20">
        <f>'PFAS Properties'!$W$30</f>
        <v>4</v>
      </c>
      <c r="AE162" s="8">
        <f>'PFAS Properties'!$S$30</f>
        <v>5.2933625547114458</v>
      </c>
      <c r="AF162" s="2">
        <f>'PFAS Properties'!$V$30</f>
        <v>2.9</v>
      </c>
      <c r="AG162" s="24">
        <v>7.5</v>
      </c>
      <c r="AH162" s="2" t="s">
        <v>183</v>
      </c>
      <c r="AI162" s="2" t="s">
        <v>661</v>
      </c>
      <c r="AJ162" s="2" t="s">
        <v>661</v>
      </c>
      <c r="AK162" s="2" t="s">
        <v>661</v>
      </c>
      <c r="AL162" s="2" t="s">
        <v>661</v>
      </c>
      <c r="AM162" s="2" t="s">
        <v>661</v>
      </c>
      <c r="AN162" s="2" t="s">
        <v>661</v>
      </c>
      <c r="AO162" s="2" t="s">
        <v>661</v>
      </c>
      <c r="AP162" s="15">
        <v>2.2799999999999998</v>
      </c>
      <c r="AQ162" s="2" t="s">
        <v>661</v>
      </c>
      <c r="AR162" s="16">
        <v>93</v>
      </c>
      <c r="AS162" s="16">
        <v>1</v>
      </c>
      <c r="AT162" s="16">
        <v>5</v>
      </c>
      <c r="AU162" s="2" t="s">
        <v>661</v>
      </c>
      <c r="AV162" s="16">
        <f t="shared" si="96"/>
        <v>99</v>
      </c>
      <c r="AW162" s="18">
        <v>0.4</v>
      </c>
      <c r="AX162" s="13">
        <v>4.0000000000000001E-3</v>
      </c>
      <c r="AY162" s="8" t="s">
        <v>184</v>
      </c>
      <c r="AZ162" s="16">
        <v>100</v>
      </c>
      <c r="BA162" s="16" t="s">
        <v>55</v>
      </c>
      <c r="BB162" s="16">
        <v>5</v>
      </c>
      <c r="BC162" s="16" t="s">
        <v>55</v>
      </c>
      <c r="BD162" s="20">
        <v>0.04</v>
      </c>
      <c r="BE162" s="15">
        <f t="shared" si="97"/>
        <v>10</v>
      </c>
      <c r="BF162" s="8">
        <f t="shared" si="105"/>
        <v>1</v>
      </c>
      <c r="BG162" s="8">
        <f t="shared" si="98"/>
        <v>-1.3979400086720375</v>
      </c>
      <c r="BH162" s="13" t="s">
        <v>345</v>
      </c>
      <c r="BI162" s="2"/>
      <c r="BJ162" s="2"/>
      <c r="BK162" s="15"/>
      <c r="BL162" s="2"/>
      <c r="BM162" s="20"/>
      <c r="BN162" s="20"/>
      <c r="BO162" s="2"/>
    </row>
    <row r="163" spans="1:67" s="14" customFormat="1" x14ac:dyDescent="0.3">
      <c r="A163" s="20">
        <v>161</v>
      </c>
      <c r="B163" s="2" t="s">
        <v>181</v>
      </c>
      <c r="C163" s="2">
        <v>2020</v>
      </c>
      <c r="D163" s="2" t="s">
        <v>203</v>
      </c>
      <c r="E163" s="10" t="s">
        <v>787</v>
      </c>
      <c r="F163" s="20" t="s">
        <v>29</v>
      </c>
      <c r="G163" s="2" t="s">
        <v>78</v>
      </c>
      <c r="H163" s="2" t="str">
        <f>'PFAS Properties'!$B$30</f>
        <v>PFPeA</v>
      </c>
      <c r="I163" s="2" t="str">
        <f>'PFAS Properties'!$C$30</f>
        <v>PFCA</v>
      </c>
      <c r="J163" s="2" t="str">
        <f>'PFAS Properties'!$D$30</f>
        <v>C5HF9O2</v>
      </c>
      <c r="K163" s="25">
        <f>'PFAS Properties'!$P$30</f>
        <v>263.98320000000001</v>
      </c>
      <c r="L163" s="2">
        <f>'PFAS Properties'!$X$30</f>
        <v>-0.2</v>
      </c>
      <c r="M163" s="2" t="str">
        <f>'PFAS Properties'!$Y$30</f>
        <v>-</v>
      </c>
      <c r="N163" s="33">
        <v>0</v>
      </c>
      <c r="O163" s="33">
        <v>0</v>
      </c>
      <c r="P163" s="33">
        <v>0</v>
      </c>
      <c r="Q163" s="33">
        <f t="shared" si="80"/>
        <v>0.99999994988127916</v>
      </c>
      <c r="R163" s="33">
        <v>0</v>
      </c>
      <c r="S163" s="33">
        <f t="shared" si="81"/>
        <v>5.011872085084086E-8</v>
      </c>
      <c r="T163" s="8">
        <f t="shared" si="99"/>
        <v>1</v>
      </c>
      <c r="U163" s="33">
        <f t="shared" si="100"/>
        <v>0</v>
      </c>
      <c r="V163" s="33">
        <f t="shared" si="101"/>
        <v>-0.99999994988127916</v>
      </c>
      <c r="W163" s="33">
        <f t="shared" si="102"/>
        <v>262.98320005011874</v>
      </c>
      <c r="X163" s="33">
        <v>96485</v>
      </c>
      <c r="Y163" s="16">
        <f t="shared" si="103"/>
        <v>-366.88653551218226</v>
      </c>
      <c r="Z163" s="16">
        <v>5</v>
      </c>
      <c r="AA163" s="16">
        <v>9</v>
      </c>
      <c r="AB163" s="8">
        <f t="shared" si="104"/>
        <v>0.35087719298245612</v>
      </c>
      <c r="AC163" s="16">
        <f t="shared" si="77"/>
        <v>64.776849435873189</v>
      </c>
      <c r="AD163" s="20">
        <f>'PFAS Properties'!$W$30</f>
        <v>4</v>
      </c>
      <c r="AE163" s="8">
        <f>'PFAS Properties'!$S$30</f>
        <v>5.2933625547114458</v>
      </c>
      <c r="AF163" s="2">
        <f>'PFAS Properties'!$V$30</f>
        <v>2.9</v>
      </c>
      <c r="AG163" s="24">
        <v>7.1</v>
      </c>
      <c r="AH163" s="2" t="s">
        <v>183</v>
      </c>
      <c r="AI163" s="2" t="s">
        <v>661</v>
      </c>
      <c r="AJ163" s="2" t="s">
        <v>661</v>
      </c>
      <c r="AK163" s="2" t="s">
        <v>661</v>
      </c>
      <c r="AL163" s="2" t="s">
        <v>661</v>
      </c>
      <c r="AM163" s="2" t="s">
        <v>661</v>
      </c>
      <c r="AN163" s="2" t="s">
        <v>661</v>
      </c>
      <c r="AO163" s="2" t="s">
        <v>661</v>
      </c>
      <c r="AP163" s="15">
        <v>17.420000000000002</v>
      </c>
      <c r="AQ163" s="2" t="s">
        <v>661</v>
      </c>
      <c r="AR163" s="16">
        <v>48.86</v>
      </c>
      <c r="AS163" s="16">
        <v>16.05</v>
      </c>
      <c r="AT163" s="16">
        <v>35.090000000000003</v>
      </c>
      <c r="AU163" s="2" t="s">
        <v>661</v>
      </c>
      <c r="AV163" s="16">
        <f t="shared" si="96"/>
        <v>100</v>
      </c>
      <c r="AW163" s="18">
        <v>1.19</v>
      </c>
      <c r="AX163" s="13">
        <v>1.1899999999999999E-2</v>
      </c>
      <c r="AY163" s="8" t="s">
        <v>184</v>
      </c>
      <c r="AZ163" s="16">
        <v>100</v>
      </c>
      <c r="BA163" s="16" t="s">
        <v>55</v>
      </c>
      <c r="BB163" s="16">
        <v>5</v>
      </c>
      <c r="BC163" s="16" t="s">
        <v>55</v>
      </c>
      <c r="BD163" s="18">
        <v>0.2</v>
      </c>
      <c r="BE163" s="15">
        <f t="shared" si="97"/>
        <v>16.806722689075631</v>
      </c>
      <c r="BF163" s="8">
        <f t="shared" si="105"/>
        <v>1.2254830342714504</v>
      </c>
      <c r="BG163" s="8">
        <f t="shared" si="98"/>
        <v>-0.69897000433601875</v>
      </c>
      <c r="BH163" s="13" t="s">
        <v>345</v>
      </c>
      <c r="BI163" s="2"/>
      <c r="BJ163" s="2"/>
      <c r="BK163" s="15"/>
      <c r="BL163" s="2"/>
      <c r="BM163" s="20"/>
      <c r="BN163" s="20"/>
      <c r="BO163" s="2"/>
    </row>
    <row r="164" spans="1:67" s="14" customFormat="1" x14ac:dyDescent="0.3">
      <c r="A164" s="20">
        <v>162</v>
      </c>
      <c r="B164" s="2" t="s">
        <v>181</v>
      </c>
      <c r="C164" s="2">
        <v>2020</v>
      </c>
      <c r="D164" s="2" t="s">
        <v>203</v>
      </c>
      <c r="E164" s="10" t="s">
        <v>787</v>
      </c>
      <c r="F164" s="20" t="s">
        <v>29</v>
      </c>
      <c r="G164" s="2" t="s">
        <v>98</v>
      </c>
      <c r="H164" s="2" t="str">
        <f>'PFAS Properties'!$B$30</f>
        <v>PFPeA</v>
      </c>
      <c r="I164" s="2" t="str">
        <f>'PFAS Properties'!$C$30</f>
        <v>PFCA</v>
      </c>
      <c r="J164" s="2" t="str">
        <f>'PFAS Properties'!$D$30</f>
        <v>C5HF9O2</v>
      </c>
      <c r="K164" s="25">
        <f>'PFAS Properties'!$P$30</f>
        <v>263.98320000000001</v>
      </c>
      <c r="L164" s="2">
        <f>'PFAS Properties'!$X$30</f>
        <v>-0.2</v>
      </c>
      <c r="M164" s="2" t="str">
        <f>'PFAS Properties'!$Y$30</f>
        <v>-</v>
      </c>
      <c r="N164" s="33">
        <v>0</v>
      </c>
      <c r="O164" s="33">
        <v>0</v>
      </c>
      <c r="P164" s="33">
        <v>0</v>
      </c>
      <c r="Q164" s="33">
        <f t="shared" si="80"/>
        <v>0.99999974881141995</v>
      </c>
      <c r="R164" s="33">
        <v>0</v>
      </c>
      <c r="S164" s="33">
        <f t="shared" si="81"/>
        <v>2.5118858005523878E-7</v>
      </c>
      <c r="T164" s="8">
        <f t="shared" si="99"/>
        <v>1</v>
      </c>
      <c r="U164" s="33">
        <f t="shared" si="100"/>
        <v>0</v>
      </c>
      <c r="V164" s="33">
        <f t="shared" si="101"/>
        <v>-0.99999974881141995</v>
      </c>
      <c r="W164" s="33">
        <f t="shared" si="102"/>
        <v>262.98320025118858</v>
      </c>
      <c r="X164" s="33">
        <v>96485</v>
      </c>
      <c r="Y164" s="16">
        <f t="shared" si="103"/>
        <v>-366.88646146184306</v>
      </c>
      <c r="Z164" s="16">
        <v>5</v>
      </c>
      <c r="AA164" s="16">
        <v>9</v>
      </c>
      <c r="AB164" s="8">
        <f t="shared" si="104"/>
        <v>0.35087719298245612</v>
      </c>
      <c r="AC164" s="16">
        <f t="shared" si="77"/>
        <v>64.776849435873189</v>
      </c>
      <c r="AD164" s="20">
        <f>'PFAS Properties'!$W$30</f>
        <v>4</v>
      </c>
      <c r="AE164" s="8">
        <f>'PFAS Properties'!$S$30</f>
        <v>5.2933625547114458</v>
      </c>
      <c r="AF164" s="2">
        <f>'PFAS Properties'!$V$30</f>
        <v>2.9</v>
      </c>
      <c r="AG164" s="24">
        <v>6.4</v>
      </c>
      <c r="AH164" s="2" t="s">
        <v>183</v>
      </c>
      <c r="AI164" s="2" t="s">
        <v>661</v>
      </c>
      <c r="AJ164" s="2" t="s">
        <v>661</v>
      </c>
      <c r="AK164" s="2" t="s">
        <v>661</v>
      </c>
      <c r="AL164" s="2" t="s">
        <v>661</v>
      </c>
      <c r="AM164" s="2" t="s">
        <v>661</v>
      </c>
      <c r="AN164" s="2" t="s">
        <v>661</v>
      </c>
      <c r="AO164" s="2" t="s">
        <v>661</v>
      </c>
      <c r="AP164" s="15">
        <v>16.54</v>
      </c>
      <c r="AQ164" s="2" t="s">
        <v>661</v>
      </c>
      <c r="AR164" s="16">
        <v>29.38</v>
      </c>
      <c r="AS164" s="16">
        <v>13.9</v>
      </c>
      <c r="AT164" s="16">
        <v>56.71</v>
      </c>
      <c r="AU164" s="2" t="s">
        <v>661</v>
      </c>
      <c r="AV164" s="16">
        <f t="shared" si="96"/>
        <v>99.990000000000009</v>
      </c>
      <c r="AW164" s="18">
        <v>0.17</v>
      </c>
      <c r="AX164" s="13">
        <v>1.7000000000000001E-3</v>
      </c>
      <c r="AY164" s="8" t="s">
        <v>184</v>
      </c>
      <c r="AZ164" s="16">
        <v>100</v>
      </c>
      <c r="BA164" s="16" t="s">
        <v>55</v>
      </c>
      <c r="BB164" s="16">
        <v>5</v>
      </c>
      <c r="BC164" s="16" t="s">
        <v>55</v>
      </c>
      <c r="BD164" s="20">
        <v>0.28000000000000003</v>
      </c>
      <c r="BE164" s="15">
        <f t="shared" si="97"/>
        <v>164.70588235294119</v>
      </c>
      <c r="BF164" s="8">
        <f t="shared" si="105"/>
        <v>2.2167091099639453</v>
      </c>
      <c r="BG164" s="8">
        <f t="shared" si="98"/>
        <v>-0.55284196865778079</v>
      </c>
      <c r="BH164" s="13" t="s">
        <v>345</v>
      </c>
      <c r="BI164" s="2"/>
      <c r="BJ164" s="2"/>
      <c r="BK164" s="15"/>
      <c r="BL164" s="2"/>
      <c r="BM164" s="20"/>
      <c r="BN164" s="20"/>
      <c r="BO164" s="2"/>
    </row>
    <row r="165" spans="1:67" s="14" customFormat="1" x14ac:dyDescent="0.3">
      <c r="A165" s="20">
        <v>163</v>
      </c>
      <c r="B165" s="2" t="s">
        <v>202</v>
      </c>
      <c r="C165" s="2">
        <v>2019</v>
      </c>
      <c r="D165" s="2" t="s">
        <v>199</v>
      </c>
      <c r="E165" s="10" t="s">
        <v>791</v>
      </c>
      <c r="F165" s="20" t="s">
        <v>29</v>
      </c>
      <c r="G165" s="2" t="s">
        <v>39</v>
      </c>
      <c r="H165" s="2" t="str">
        <f>'PFAS Properties'!$B$31</f>
        <v>PFHxA</v>
      </c>
      <c r="I165" s="2" t="str">
        <f>'PFAS Properties'!$C$31</f>
        <v>PFCA</v>
      </c>
      <c r="J165" s="2" t="str">
        <f>'PFAS Properties'!$D$31</f>
        <v>C6HF11O2</v>
      </c>
      <c r="K165" s="25">
        <f>'PFAS Properties'!$P$31</f>
        <v>313.97999999999996</v>
      </c>
      <c r="L165" s="2">
        <f>'PFAS Properties'!$X$31</f>
        <v>-0.2</v>
      </c>
      <c r="M165" s="2" t="str">
        <f>'PFAS Properties'!$Y$31</f>
        <v>-</v>
      </c>
      <c r="N165" s="33">
        <v>0</v>
      </c>
      <c r="O165" s="33">
        <v>0</v>
      </c>
      <c r="P165" s="33">
        <v>0</v>
      </c>
      <c r="Q165" s="33">
        <f t="shared" si="80"/>
        <v>0.9999964518786969</v>
      </c>
      <c r="R165" s="33">
        <v>0</v>
      </c>
      <c r="S165" s="33">
        <f t="shared" si="81"/>
        <v>3.5481213031263005E-6</v>
      </c>
      <c r="T165" s="8">
        <f t="shared" si="99"/>
        <v>1</v>
      </c>
      <c r="U165" s="33">
        <f t="shared" si="100"/>
        <v>0</v>
      </c>
      <c r="V165" s="33">
        <f t="shared" si="101"/>
        <v>-0.9999964518786969</v>
      </c>
      <c r="W165" s="33">
        <f t="shared" si="102"/>
        <v>312.98000354812132</v>
      </c>
      <c r="X165" s="33">
        <v>96485</v>
      </c>
      <c r="Y165" s="16">
        <f t="shared" si="103"/>
        <v>-308.27738694392775</v>
      </c>
      <c r="Z165" s="16">
        <v>6</v>
      </c>
      <c r="AA165" s="16">
        <v>11</v>
      </c>
      <c r="AB165" s="8">
        <f t="shared" si="104"/>
        <v>0.34449760765550236</v>
      </c>
      <c r="AC165" s="16">
        <f t="shared" si="77"/>
        <v>66.564749347092175</v>
      </c>
      <c r="AD165" s="20">
        <f>'PFAS Properties'!$W$31</f>
        <v>5</v>
      </c>
      <c r="AE165" s="8">
        <f>'PFAS Properties'!$S$31</f>
        <v>4.4332896851950254</v>
      </c>
      <c r="AF165" s="15">
        <f>'PFAS Properties'!$V$31</f>
        <v>3.6</v>
      </c>
      <c r="AG165" s="24">
        <v>5.25</v>
      </c>
      <c r="AH165" s="2" t="s">
        <v>661</v>
      </c>
      <c r="AI165" s="2" t="s">
        <v>661</v>
      </c>
      <c r="AJ165" s="2" t="s">
        <v>661</v>
      </c>
      <c r="AK165" s="2" t="s">
        <v>661</v>
      </c>
      <c r="AL165" s="2" t="s">
        <v>661</v>
      </c>
      <c r="AM165" s="2" t="s">
        <v>661</v>
      </c>
      <c r="AN165" s="2" t="s">
        <v>661</v>
      </c>
      <c r="AO165" s="2" t="s">
        <v>661</v>
      </c>
      <c r="AP165" s="72">
        <v>5.7023166666666656</v>
      </c>
      <c r="AQ165" s="70" t="s">
        <v>752</v>
      </c>
      <c r="AR165" s="16">
        <v>100</v>
      </c>
      <c r="AS165" s="16">
        <v>0</v>
      </c>
      <c r="AT165" s="16">
        <v>0</v>
      </c>
      <c r="AU165" s="2" t="s">
        <v>661</v>
      </c>
      <c r="AV165" s="16">
        <f t="shared" si="96"/>
        <v>100</v>
      </c>
      <c r="AW165" s="18">
        <v>0.4</v>
      </c>
      <c r="AX165" s="13">
        <f t="shared" ref="AX165:AX180" si="106">AW165/100</f>
        <v>4.0000000000000001E-3</v>
      </c>
      <c r="AY165" s="13" t="s">
        <v>658</v>
      </c>
      <c r="AZ165" s="16">
        <f>2/0.01</f>
        <v>200</v>
      </c>
      <c r="BA165" s="16" t="s">
        <v>55</v>
      </c>
      <c r="BB165" s="16">
        <v>1</v>
      </c>
      <c r="BC165" s="16">
        <v>1000</v>
      </c>
      <c r="BD165" s="18">
        <v>0.28000000000000003</v>
      </c>
      <c r="BE165" s="15">
        <f t="shared" si="97"/>
        <v>70</v>
      </c>
      <c r="BF165" s="8">
        <f t="shared" si="105"/>
        <v>1.8450980400142569</v>
      </c>
      <c r="BG165" s="8">
        <f t="shared" si="98"/>
        <v>-0.55284196865778079</v>
      </c>
      <c r="BH165" s="2" t="s">
        <v>605</v>
      </c>
      <c r="BI165" s="13"/>
      <c r="BJ165" s="13"/>
      <c r="BK165" s="15"/>
      <c r="BL165" s="13"/>
      <c r="BM165" s="17"/>
      <c r="BN165" s="17"/>
      <c r="BO165" s="2"/>
    </row>
    <row r="166" spans="1:67" s="14" customFormat="1" x14ac:dyDescent="0.3">
      <c r="A166" s="20">
        <v>164</v>
      </c>
      <c r="B166" s="2" t="s">
        <v>202</v>
      </c>
      <c r="C166" s="2">
        <v>2019</v>
      </c>
      <c r="D166" s="2" t="s">
        <v>199</v>
      </c>
      <c r="E166" s="10" t="s">
        <v>791</v>
      </c>
      <c r="F166" s="20" t="s">
        <v>29</v>
      </c>
      <c r="G166" s="2" t="s">
        <v>43</v>
      </c>
      <c r="H166" s="2" t="str">
        <f>'PFAS Properties'!$B$31</f>
        <v>PFHxA</v>
      </c>
      <c r="I166" s="2" t="str">
        <f>'PFAS Properties'!$C$31</f>
        <v>PFCA</v>
      </c>
      <c r="J166" s="2" t="str">
        <f>'PFAS Properties'!$D$31</f>
        <v>C6HF11O2</v>
      </c>
      <c r="K166" s="25">
        <f>'PFAS Properties'!$P$31</f>
        <v>313.97999999999996</v>
      </c>
      <c r="L166" s="2">
        <f>'PFAS Properties'!$X$31</f>
        <v>-0.2</v>
      </c>
      <c r="M166" s="2" t="str">
        <f>'PFAS Properties'!$Y$31</f>
        <v>-</v>
      </c>
      <c r="N166" s="33">
        <v>0</v>
      </c>
      <c r="O166" s="33">
        <v>0</v>
      </c>
      <c r="P166" s="33">
        <v>0</v>
      </c>
      <c r="Q166" s="33">
        <f t="shared" si="80"/>
        <v>0.99999865103893715</v>
      </c>
      <c r="R166" s="33">
        <v>0</v>
      </c>
      <c r="S166" s="33">
        <f t="shared" si="81"/>
        <v>1.3489610628932487E-6</v>
      </c>
      <c r="T166" s="8">
        <f t="shared" si="99"/>
        <v>1</v>
      </c>
      <c r="U166" s="33">
        <f t="shared" si="100"/>
        <v>0</v>
      </c>
      <c r="V166" s="33">
        <f t="shared" si="101"/>
        <v>-0.99999865103893715</v>
      </c>
      <c r="W166" s="33">
        <f t="shared" si="102"/>
        <v>312.98000134896103</v>
      </c>
      <c r="X166" s="33">
        <v>96485</v>
      </c>
      <c r="Y166" s="16">
        <f t="shared" si="103"/>
        <v>-308.27806706382756</v>
      </c>
      <c r="Z166" s="16">
        <v>6</v>
      </c>
      <c r="AA166" s="16">
        <v>11</v>
      </c>
      <c r="AB166" s="8">
        <f t="shared" si="104"/>
        <v>0.34449760765550236</v>
      </c>
      <c r="AC166" s="16">
        <f t="shared" si="77"/>
        <v>66.564749347092175</v>
      </c>
      <c r="AD166" s="20">
        <f>'PFAS Properties'!$W$31</f>
        <v>5</v>
      </c>
      <c r="AE166" s="8">
        <f>'PFAS Properties'!$S$31</f>
        <v>4.4332896851950254</v>
      </c>
      <c r="AF166" s="15">
        <f>'PFAS Properties'!$V$31</f>
        <v>3.6</v>
      </c>
      <c r="AG166" s="24">
        <v>5.67</v>
      </c>
      <c r="AH166" s="2" t="s">
        <v>661</v>
      </c>
      <c r="AI166" s="15" t="s">
        <v>661</v>
      </c>
      <c r="AJ166" s="16" t="s">
        <v>661</v>
      </c>
      <c r="AK166" s="2" t="s">
        <v>661</v>
      </c>
      <c r="AL166" s="15" t="s">
        <v>661</v>
      </c>
      <c r="AM166" s="16" t="s">
        <v>661</v>
      </c>
      <c r="AN166" s="2" t="s">
        <v>661</v>
      </c>
      <c r="AO166" s="2" t="s">
        <v>661</v>
      </c>
      <c r="AP166" s="72">
        <v>9.2037666666666649</v>
      </c>
      <c r="AQ166" s="70" t="s">
        <v>752</v>
      </c>
      <c r="AR166" s="16">
        <v>71</v>
      </c>
      <c r="AS166" s="16">
        <v>24</v>
      </c>
      <c r="AT166" s="16">
        <v>5</v>
      </c>
      <c r="AU166" s="2" t="s">
        <v>661</v>
      </c>
      <c r="AV166" s="16">
        <f t="shared" si="96"/>
        <v>100</v>
      </c>
      <c r="AW166" s="18">
        <v>0.93</v>
      </c>
      <c r="AX166" s="13">
        <f t="shared" si="106"/>
        <v>9.300000000000001E-3</v>
      </c>
      <c r="AY166" s="13" t="s">
        <v>658</v>
      </c>
      <c r="AZ166" s="16">
        <f>2/0.01</f>
        <v>200</v>
      </c>
      <c r="BA166" s="16" t="s">
        <v>55</v>
      </c>
      <c r="BB166" s="16">
        <v>1</v>
      </c>
      <c r="BC166" s="16">
        <v>1000</v>
      </c>
      <c r="BD166" s="18">
        <v>0.38</v>
      </c>
      <c r="BE166" s="15">
        <f t="shared" si="97"/>
        <v>40.86021505376344</v>
      </c>
      <c r="BF166" s="8">
        <f t="shared" si="105"/>
        <v>1.6113006480628751</v>
      </c>
      <c r="BG166" s="8">
        <f t="shared" si="98"/>
        <v>-0.42021640338318983</v>
      </c>
      <c r="BH166" s="2" t="s">
        <v>605</v>
      </c>
      <c r="BI166" s="13"/>
      <c r="BJ166" s="13"/>
      <c r="BK166" s="15"/>
      <c r="BL166" s="13"/>
      <c r="BM166" s="17"/>
      <c r="BN166" s="17"/>
      <c r="BO166" s="2"/>
    </row>
    <row r="167" spans="1:67" s="14" customFormat="1" x14ac:dyDescent="0.3">
      <c r="A167" s="20">
        <v>165</v>
      </c>
      <c r="B167" s="2" t="s">
        <v>204</v>
      </c>
      <c r="C167" s="2">
        <v>2013</v>
      </c>
      <c r="D167" s="2" t="s">
        <v>203</v>
      </c>
      <c r="E167" s="10" t="s">
        <v>792</v>
      </c>
      <c r="F167" s="20" t="s">
        <v>29</v>
      </c>
      <c r="G167" s="2" t="s">
        <v>46</v>
      </c>
      <c r="H167" s="2" t="str">
        <f>'PFAS Properties'!$B$31</f>
        <v>PFHxA</v>
      </c>
      <c r="I167" s="2" t="str">
        <f>'PFAS Properties'!$C$31</f>
        <v>PFCA</v>
      </c>
      <c r="J167" s="2" t="str">
        <f>'PFAS Properties'!$D$31</f>
        <v>C6HF11O2</v>
      </c>
      <c r="K167" s="25">
        <f>'PFAS Properties'!$P$31</f>
        <v>313.97999999999996</v>
      </c>
      <c r="L167" s="2">
        <f>'PFAS Properties'!$X$31</f>
        <v>-0.2</v>
      </c>
      <c r="M167" s="2" t="str">
        <f>'PFAS Properties'!$Y$31</f>
        <v>-</v>
      </c>
      <c r="N167" s="33">
        <v>0</v>
      </c>
      <c r="O167" s="33">
        <v>0</v>
      </c>
      <c r="P167" s="33">
        <v>0</v>
      </c>
      <c r="Q167" s="33">
        <f t="shared" si="80"/>
        <v>0.99999949881301753</v>
      </c>
      <c r="R167" s="33">
        <v>0</v>
      </c>
      <c r="S167" s="33">
        <f t="shared" si="81"/>
        <v>5.0118698243875488E-7</v>
      </c>
      <c r="T167" s="8">
        <f t="shared" si="99"/>
        <v>1</v>
      </c>
      <c r="U167" s="33">
        <f t="shared" si="100"/>
        <v>0</v>
      </c>
      <c r="V167" s="33">
        <f t="shared" si="101"/>
        <v>-0.99999949881301753</v>
      </c>
      <c r="W167" s="33">
        <f t="shared" si="102"/>
        <v>312.98000050118696</v>
      </c>
      <c r="X167" s="33">
        <v>96485</v>
      </c>
      <c r="Y167" s="16">
        <f t="shared" si="103"/>
        <v>-308.27832924937348</v>
      </c>
      <c r="Z167" s="16">
        <v>6</v>
      </c>
      <c r="AA167" s="16">
        <v>11</v>
      </c>
      <c r="AB167" s="8">
        <f t="shared" si="104"/>
        <v>0.34449760765550236</v>
      </c>
      <c r="AC167" s="16">
        <f t="shared" si="77"/>
        <v>66.564749347092175</v>
      </c>
      <c r="AD167" s="20">
        <f>'PFAS Properties'!$W$31</f>
        <v>5</v>
      </c>
      <c r="AE167" s="8">
        <f>'PFAS Properties'!$S$31</f>
        <v>4.4332896851950254</v>
      </c>
      <c r="AF167" s="15">
        <f>'PFAS Properties'!$V$31</f>
        <v>3.6</v>
      </c>
      <c r="AG167" s="24">
        <v>6.1</v>
      </c>
      <c r="AH167" s="2" t="s">
        <v>661</v>
      </c>
      <c r="AI167" s="15">
        <v>2.21</v>
      </c>
      <c r="AJ167" s="16">
        <f>AI167*1000/55.845</f>
        <v>39.573820395738203</v>
      </c>
      <c r="AK167" s="8">
        <f>AI167/10</f>
        <v>0.221</v>
      </c>
      <c r="AL167" s="15">
        <v>0.93</v>
      </c>
      <c r="AM167" s="16">
        <f>AL167*1000/26.98</f>
        <v>34.469977761304669</v>
      </c>
      <c r="AN167" s="8">
        <f>AL167/10</f>
        <v>9.2999999999999999E-2</v>
      </c>
      <c r="AO167" s="15" t="s">
        <v>41</v>
      </c>
      <c r="AP167" s="72">
        <v>14.27683666666667</v>
      </c>
      <c r="AQ167" s="2" t="s">
        <v>752</v>
      </c>
      <c r="AR167" s="16">
        <v>81</v>
      </c>
      <c r="AS167" s="16">
        <v>1</v>
      </c>
      <c r="AT167" s="16">
        <v>9</v>
      </c>
      <c r="AU167" s="16" t="s">
        <v>661</v>
      </c>
      <c r="AV167" s="16">
        <f t="shared" si="96"/>
        <v>91</v>
      </c>
      <c r="AW167" s="18">
        <v>1.7</v>
      </c>
      <c r="AX167" s="13">
        <f t="shared" si="106"/>
        <v>1.7000000000000001E-2</v>
      </c>
      <c r="AY167" s="13" t="s">
        <v>42</v>
      </c>
      <c r="AZ167" s="16">
        <f>15/0.04</f>
        <v>375</v>
      </c>
      <c r="BA167" s="16" t="s">
        <v>55</v>
      </c>
      <c r="BB167" s="15">
        <v>0.5</v>
      </c>
      <c r="BC167" s="16">
        <v>1000</v>
      </c>
      <c r="BD167" s="18">
        <v>0.24</v>
      </c>
      <c r="BE167" s="15">
        <f t="shared" si="97"/>
        <v>14.117647058823527</v>
      </c>
      <c r="BF167" s="8">
        <f t="shared" si="105"/>
        <v>1.149762320333332</v>
      </c>
      <c r="BG167" s="8">
        <f t="shared" si="98"/>
        <v>-0.61978875828839397</v>
      </c>
      <c r="BH167" s="13" t="s">
        <v>844</v>
      </c>
      <c r="BI167" s="13"/>
      <c r="BJ167" s="13"/>
      <c r="BK167" s="15"/>
      <c r="BL167" s="8"/>
      <c r="BM167" s="18"/>
      <c r="BN167" s="8"/>
      <c r="BO167" s="24"/>
    </row>
    <row r="168" spans="1:67" s="14" customFormat="1" x14ac:dyDescent="0.3">
      <c r="A168" s="20">
        <v>166</v>
      </c>
      <c r="B168" s="2" t="s">
        <v>204</v>
      </c>
      <c r="C168" s="2">
        <v>2013</v>
      </c>
      <c r="D168" s="2" t="s">
        <v>203</v>
      </c>
      <c r="E168" s="10" t="s">
        <v>792</v>
      </c>
      <c r="F168" s="20" t="s">
        <v>29</v>
      </c>
      <c r="G168" s="2" t="s">
        <v>50</v>
      </c>
      <c r="H168" s="2" t="str">
        <f>'PFAS Properties'!$B$31</f>
        <v>PFHxA</v>
      </c>
      <c r="I168" s="2" t="str">
        <f>'PFAS Properties'!$C$31</f>
        <v>PFCA</v>
      </c>
      <c r="J168" s="2" t="str">
        <f>'PFAS Properties'!$D$31</f>
        <v>C6HF11O2</v>
      </c>
      <c r="K168" s="25">
        <f>'PFAS Properties'!$P$31</f>
        <v>313.97999999999996</v>
      </c>
      <c r="L168" s="2">
        <f>'PFAS Properties'!$X$31</f>
        <v>-0.2</v>
      </c>
      <c r="M168" s="2" t="str">
        <f>'PFAS Properties'!$Y$31</f>
        <v>-</v>
      </c>
      <c r="N168" s="33">
        <v>0</v>
      </c>
      <c r="O168" s="33">
        <v>0</v>
      </c>
      <c r="P168" s="33">
        <v>0</v>
      </c>
      <c r="Q168" s="33">
        <f t="shared" si="80"/>
        <v>0.99999999000000006</v>
      </c>
      <c r="R168" s="33">
        <v>0</v>
      </c>
      <c r="S168" s="33">
        <f t="shared" si="81"/>
        <v>9.9999999000000002E-9</v>
      </c>
      <c r="T168" s="8">
        <f t="shared" si="99"/>
        <v>1</v>
      </c>
      <c r="U168" s="33">
        <f t="shared" si="100"/>
        <v>0</v>
      </c>
      <c r="V168" s="33">
        <f t="shared" si="101"/>
        <v>-0.99999999000000006</v>
      </c>
      <c r="W168" s="33">
        <f t="shared" si="102"/>
        <v>312.98000000999991</v>
      </c>
      <c r="X168" s="33">
        <v>96485</v>
      </c>
      <c r="Y168" s="16">
        <f t="shared" si="103"/>
        <v>-308.27848115556026</v>
      </c>
      <c r="Z168" s="16">
        <v>6</v>
      </c>
      <c r="AA168" s="16">
        <v>11</v>
      </c>
      <c r="AB168" s="8">
        <f t="shared" si="104"/>
        <v>0.34449760765550236</v>
      </c>
      <c r="AC168" s="16">
        <f t="shared" si="77"/>
        <v>66.564749347092175</v>
      </c>
      <c r="AD168" s="20">
        <f>'PFAS Properties'!$W$31</f>
        <v>5</v>
      </c>
      <c r="AE168" s="8">
        <f>'PFAS Properties'!$S$31</f>
        <v>4.4332896851950254</v>
      </c>
      <c r="AF168" s="15">
        <f>'PFAS Properties'!$V$31</f>
        <v>3.6</v>
      </c>
      <c r="AG168" s="24">
        <v>7.8</v>
      </c>
      <c r="AH168" s="2" t="s">
        <v>661</v>
      </c>
      <c r="AI168" s="15">
        <v>6.14</v>
      </c>
      <c r="AJ168" s="16">
        <f>AI168/10</f>
        <v>0.61399999999999999</v>
      </c>
      <c r="AK168" s="8">
        <f>AI168/10</f>
        <v>0.61399999999999999</v>
      </c>
      <c r="AL168" s="15">
        <v>1.67</v>
      </c>
      <c r="AM168" s="15">
        <f>AL168/10</f>
        <v>0.16699999999999998</v>
      </c>
      <c r="AN168" s="8">
        <f>AL168/10</f>
        <v>0.16699999999999998</v>
      </c>
      <c r="AO168" s="15" t="s">
        <v>41</v>
      </c>
      <c r="AP168" s="72">
        <v>6.4956666666666676</v>
      </c>
      <c r="AQ168" s="2" t="s">
        <v>752</v>
      </c>
      <c r="AR168" s="16">
        <v>33</v>
      </c>
      <c r="AS168" s="16">
        <v>42</v>
      </c>
      <c r="AT168" s="16">
        <v>25</v>
      </c>
      <c r="AU168" s="16" t="s">
        <v>661</v>
      </c>
      <c r="AV168" s="16">
        <f t="shared" si="96"/>
        <v>100</v>
      </c>
      <c r="AW168" s="18">
        <v>4.5</v>
      </c>
      <c r="AX168" s="13">
        <f t="shared" si="106"/>
        <v>4.4999999999999998E-2</v>
      </c>
      <c r="AY168" s="13" t="s">
        <v>42</v>
      </c>
      <c r="AZ168" s="16">
        <f>15/0.04</f>
        <v>375</v>
      </c>
      <c r="BA168" s="16" t="s">
        <v>55</v>
      </c>
      <c r="BB168" s="15">
        <v>0.5</v>
      </c>
      <c r="BC168" s="16">
        <v>1000</v>
      </c>
      <c r="BD168" s="18">
        <v>0.36</v>
      </c>
      <c r="BE168" s="15">
        <f t="shared" si="97"/>
        <v>8</v>
      </c>
      <c r="BF168" s="8">
        <f t="shared" si="105"/>
        <v>0.90308998699194354</v>
      </c>
      <c r="BG168" s="8">
        <f t="shared" si="98"/>
        <v>-0.44369749923271273</v>
      </c>
      <c r="BH168" s="13" t="s">
        <v>844</v>
      </c>
      <c r="BI168" s="13"/>
      <c r="BJ168" s="13"/>
      <c r="BK168" s="15"/>
      <c r="BL168" s="8"/>
      <c r="BM168" s="18"/>
      <c r="BN168" s="8"/>
      <c r="BO168" s="24"/>
    </row>
    <row r="169" spans="1:67" s="14" customFormat="1" x14ac:dyDescent="0.3">
      <c r="A169" s="20">
        <v>167</v>
      </c>
      <c r="B169" s="2" t="s">
        <v>204</v>
      </c>
      <c r="C169" s="2">
        <v>2013</v>
      </c>
      <c r="D169" s="2" t="s">
        <v>203</v>
      </c>
      <c r="E169" s="10" t="s">
        <v>792</v>
      </c>
      <c r="F169" s="20" t="s">
        <v>29</v>
      </c>
      <c r="G169" s="2" t="s">
        <v>40</v>
      </c>
      <c r="H169" s="2" t="str">
        <f>'PFAS Properties'!$B$31</f>
        <v>PFHxA</v>
      </c>
      <c r="I169" s="2" t="str">
        <f>'PFAS Properties'!$C$31</f>
        <v>PFCA</v>
      </c>
      <c r="J169" s="2" t="str">
        <f>'PFAS Properties'!$D$31</f>
        <v>C6HF11O2</v>
      </c>
      <c r="K169" s="25">
        <f>'PFAS Properties'!$P$31</f>
        <v>313.97999999999996</v>
      </c>
      <c r="L169" s="2">
        <f>'PFAS Properties'!$X$31</f>
        <v>-0.2</v>
      </c>
      <c r="M169" s="2" t="str">
        <f>'PFAS Properties'!$Y$31</f>
        <v>-</v>
      </c>
      <c r="N169" s="33">
        <v>0</v>
      </c>
      <c r="O169" s="33">
        <v>0</v>
      </c>
      <c r="P169" s="33">
        <v>0</v>
      </c>
      <c r="Q169" s="33">
        <f t="shared" si="80"/>
        <v>0.99999601894414336</v>
      </c>
      <c r="R169" s="33">
        <v>0</v>
      </c>
      <c r="S169" s="33">
        <f t="shared" si="81"/>
        <v>3.981055856666137E-6</v>
      </c>
      <c r="T169" s="8">
        <f t="shared" si="99"/>
        <v>1</v>
      </c>
      <c r="U169" s="33">
        <f t="shared" si="100"/>
        <v>0</v>
      </c>
      <c r="V169" s="33">
        <f t="shared" si="101"/>
        <v>-0.99999601894414336</v>
      </c>
      <c r="W169" s="33">
        <f t="shared" si="102"/>
        <v>312.98000398105586</v>
      </c>
      <c r="X169" s="33">
        <v>96485</v>
      </c>
      <c r="Y169" s="16">
        <f t="shared" si="103"/>
        <v>-308.27725305309195</v>
      </c>
      <c r="Z169" s="16">
        <v>6</v>
      </c>
      <c r="AA169" s="16">
        <v>11</v>
      </c>
      <c r="AB169" s="8">
        <f t="shared" si="104"/>
        <v>0.34449760765550236</v>
      </c>
      <c r="AC169" s="16">
        <f t="shared" si="77"/>
        <v>66.564749347092175</v>
      </c>
      <c r="AD169" s="20">
        <f>'PFAS Properties'!$W$31</f>
        <v>5</v>
      </c>
      <c r="AE169" s="8">
        <f>'PFAS Properties'!$S$31</f>
        <v>4.4332896851950254</v>
      </c>
      <c r="AF169" s="15">
        <f>'PFAS Properties'!$V$31</f>
        <v>3.6</v>
      </c>
      <c r="AG169" s="24">
        <v>5.2</v>
      </c>
      <c r="AH169" s="2" t="s">
        <v>661</v>
      </c>
      <c r="AI169" s="15">
        <v>24.17</v>
      </c>
      <c r="AJ169" s="16">
        <f>AI169*1000/55.845</f>
        <v>432.80508550452146</v>
      </c>
      <c r="AK169" s="8">
        <f>AI169/10</f>
        <v>2.4170000000000003</v>
      </c>
      <c r="AL169" s="15">
        <v>3.99</v>
      </c>
      <c r="AM169" s="16">
        <f>AL169*1000/26.98</f>
        <v>147.88732394366198</v>
      </c>
      <c r="AN169" s="8">
        <f>AL169/10</f>
        <v>0.39900000000000002</v>
      </c>
      <c r="AO169" s="15" t="s">
        <v>41</v>
      </c>
      <c r="AP169" s="72">
        <v>12.009766666666669</v>
      </c>
      <c r="AQ169" s="2" t="s">
        <v>752</v>
      </c>
      <c r="AR169" s="16">
        <v>47</v>
      </c>
      <c r="AS169" s="16">
        <v>20</v>
      </c>
      <c r="AT169" s="16">
        <v>33</v>
      </c>
      <c r="AU169" s="16" t="s">
        <v>661</v>
      </c>
      <c r="AV169" s="16">
        <f t="shared" si="96"/>
        <v>100</v>
      </c>
      <c r="AW169" s="18">
        <v>0.8</v>
      </c>
      <c r="AX169" s="13">
        <f t="shared" si="106"/>
        <v>8.0000000000000002E-3</v>
      </c>
      <c r="AY169" s="13" t="s">
        <v>42</v>
      </c>
      <c r="AZ169" s="16">
        <f>15/0.04</f>
        <v>375</v>
      </c>
      <c r="BA169" s="16" t="s">
        <v>55</v>
      </c>
      <c r="BB169" s="15">
        <v>0.5</v>
      </c>
      <c r="BC169" s="16">
        <v>1000</v>
      </c>
      <c r="BD169" s="18">
        <v>0.53</v>
      </c>
      <c r="BE169" s="15">
        <f t="shared" si="97"/>
        <v>66.25</v>
      </c>
      <c r="BF169" s="8">
        <f t="shared" si="105"/>
        <v>1.8211858826088454</v>
      </c>
      <c r="BG169" s="8">
        <f t="shared" si="98"/>
        <v>-0.27572413039921095</v>
      </c>
      <c r="BH169" s="13" t="s">
        <v>844</v>
      </c>
      <c r="BI169" s="13"/>
      <c r="BJ169" s="13"/>
      <c r="BK169" s="15"/>
      <c r="BL169" s="8"/>
      <c r="BM169" s="18"/>
      <c r="BN169" s="8"/>
      <c r="BO169" s="24"/>
    </row>
    <row r="170" spans="1:67" s="14" customFormat="1" x14ac:dyDescent="0.3">
      <c r="A170" s="20">
        <v>168</v>
      </c>
      <c r="B170" s="2" t="s">
        <v>206</v>
      </c>
      <c r="C170" s="2">
        <v>2020</v>
      </c>
      <c r="D170" s="2" t="s">
        <v>201</v>
      </c>
      <c r="E170" s="10" t="s">
        <v>793</v>
      </c>
      <c r="F170" s="20" t="s">
        <v>29</v>
      </c>
      <c r="G170" s="2" t="s">
        <v>44</v>
      </c>
      <c r="H170" s="2" t="str">
        <f>'PFAS Properties'!$B$31</f>
        <v>PFHxA</v>
      </c>
      <c r="I170" s="2" t="str">
        <f>'PFAS Properties'!$C$31</f>
        <v>PFCA</v>
      </c>
      <c r="J170" s="2" t="str">
        <f>'PFAS Properties'!$D$31</f>
        <v>C6HF11O2</v>
      </c>
      <c r="K170" s="25">
        <f>'PFAS Properties'!$P$31</f>
        <v>313.97999999999996</v>
      </c>
      <c r="L170" s="2">
        <f>'PFAS Properties'!$X$31</f>
        <v>-0.2</v>
      </c>
      <c r="M170" s="2" t="str">
        <f>'PFAS Properties'!$Y$31</f>
        <v>-</v>
      </c>
      <c r="N170" s="33">
        <v>0</v>
      </c>
      <c r="O170" s="33">
        <v>0</v>
      </c>
      <c r="P170" s="33">
        <v>0</v>
      </c>
      <c r="Q170" s="33">
        <f t="shared" si="80"/>
        <v>0.99999999000000006</v>
      </c>
      <c r="R170" s="33">
        <v>0</v>
      </c>
      <c r="S170" s="33">
        <f t="shared" si="81"/>
        <v>9.9999999000000002E-9</v>
      </c>
      <c r="T170" s="8">
        <f t="shared" si="99"/>
        <v>1</v>
      </c>
      <c r="U170" s="33">
        <f t="shared" si="100"/>
        <v>0</v>
      </c>
      <c r="V170" s="33">
        <f t="shared" si="101"/>
        <v>-0.99999999000000006</v>
      </c>
      <c r="W170" s="33">
        <f t="shared" si="102"/>
        <v>312.98000000999991</v>
      </c>
      <c r="X170" s="33">
        <v>96485</v>
      </c>
      <c r="Y170" s="16">
        <f t="shared" si="103"/>
        <v>-308.27848115556026</v>
      </c>
      <c r="Z170" s="16">
        <v>6</v>
      </c>
      <c r="AA170" s="16">
        <v>11</v>
      </c>
      <c r="AB170" s="8">
        <f t="shared" si="104"/>
        <v>0.34449760765550236</v>
      </c>
      <c r="AC170" s="16">
        <f t="shared" si="77"/>
        <v>66.564749347092175</v>
      </c>
      <c r="AD170" s="20">
        <f>'PFAS Properties'!$W$31</f>
        <v>5</v>
      </c>
      <c r="AE170" s="8">
        <f>'PFAS Properties'!$S$31</f>
        <v>4.4332896851950254</v>
      </c>
      <c r="AF170" s="15">
        <f>'PFAS Properties'!$V$31</f>
        <v>3.6</v>
      </c>
      <c r="AG170" s="24">
        <v>7.8</v>
      </c>
      <c r="AH170" s="2" t="s">
        <v>661</v>
      </c>
      <c r="AI170" s="2" t="s">
        <v>661</v>
      </c>
      <c r="AJ170" s="2" t="s">
        <v>661</v>
      </c>
      <c r="AK170" s="2" t="s">
        <v>661</v>
      </c>
      <c r="AL170" s="2" t="s">
        <v>661</v>
      </c>
      <c r="AM170" s="2" t="s">
        <v>661</v>
      </c>
      <c r="AN170" s="2" t="s">
        <v>661</v>
      </c>
      <c r="AO170" s="2" t="s">
        <v>661</v>
      </c>
      <c r="AP170" s="72">
        <v>11.17476666666666</v>
      </c>
      <c r="AQ170" s="70" t="s">
        <v>752</v>
      </c>
      <c r="AR170" s="16">
        <v>47</v>
      </c>
      <c r="AS170" s="16">
        <v>38</v>
      </c>
      <c r="AT170" s="16">
        <v>15</v>
      </c>
      <c r="AU170" s="16" t="s">
        <v>661</v>
      </c>
      <c r="AV170" s="16">
        <f t="shared" si="96"/>
        <v>100</v>
      </c>
      <c r="AW170" s="18">
        <v>1.43</v>
      </c>
      <c r="AX170" s="13">
        <f t="shared" si="106"/>
        <v>1.43E-2</v>
      </c>
      <c r="AY170" s="8" t="s">
        <v>45</v>
      </c>
      <c r="AZ170" s="16">
        <f>5/0.025</f>
        <v>200</v>
      </c>
      <c r="BA170" s="16" t="s">
        <v>55</v>
      </c>
      <c r="BB170" s="16">
        <v>10</v>
      </c>
      <c r="BC170" s="16">
        <v>100</v>
      </c>
      <c r="BD170" s="20">
        <v>0.96</v>
      </c>
      <c r="BE170" s="15">
        <f t="shared" si="97"/>
        <v>67.132867132867133</v>
      </c>
      <c r="BF170" s="8">
        <f t="shared" si="105"/>
        <v>1.8269351955745066</v>
      </c>
      <c r="BG170" s="8">
        <f t="shared" si="98"/>
        <v>-1.7728766960431602E-2</v>
      </c>
      <c r="BH170" s="13" t="s">
        <v>836</v>
      </c>
      <c r="BI170" s="8"/>
      <c r="BJ170" s="13"/>
      <c r="BK170" s="15"/>
      <c r="BL170" s="8"/>
      <c r="BM170" s="18"/>
      <c r="BN170" s="8"/>
      <c r="BO170" s="24"/>
    </row>
    <row r="171" spans="1:67" s="14" customFormat="1" x14ac:dyDescent="0.3">
      <c r="A171" s="20">
        <v>169</v>
      </c>
      <c r="B171" s="2" t="s">
        <v>200</v>
      </c>
      <c r="C171" s="2">
        <v>2021</v>
      </c>
      <c r="D171" s="2" t="s">
        <v>201</v>
      </c>
      <c r="E171" s="10" t="s">
        <v>794</v>
      </c>
      <c r="F171" s="20" t="s">
        <v>29</v>
      </c>
      <c r="G171" s="2" t="s">
        <v>30</v>
      </c>
      <c r="H171" s="2" t="str">
        <f>'PFAS Properties'!$B$31</f>
        <v>PFHxA</v>
      </c>
      <c r="I171" s="2" t="str">
        <f>'PFAS Properties'!$C$31</f>
        <v>PFCA</v>
      </c>
      <c r="J171" s="2" t="str">
        <f>'PFAS Properties'!$D$31</f>
        <v>C6HF11O2</v>
      </c>
      <c r="K171" s="25">
        <f>'PFAS Properties'!$P$31</f>
        <v>313.97999999999996</v>
      </c>
      <c r="L171" s="2">
        <f>'PFAS Properties'!$X$31</f>
        <v>-0.2</v>
      </c>
      <c r="M171" s="2" t="str">
        <f>'PFAS Properties'!$Y$31</f>
        <v>-</v>
      </c>
      <c r="N171" s="33">
        <v>0</v>
      </c>
      <c r="O171" s="33">
        <v>0</v>
      </c>
      <c r="P171" s="33">
        <v>0</v>
      </c>
      <c r="Q171" s="33">
        <f t="shared" si="80"/>
        <v>0.99999800474166611</v>
      </c>
      <c r="R171" s="33">
        <v>0</v>
      </c>
      <c r="S171" s="33">
        <f t="shared" si="81"/>
        <v>1.9952583339051124E-6</v>
      </c>
      <c r="T171" s="8">
        <f t="shared" si="99"/>
        <v>1</v>
      </c>
      <c r="U171" s="33">
        <f t="shared" si="100"/>
        <v>0</v>
      </c>
      <c r="V171" s="33">
        <f t="shared" si="101"/>
        <v>-0.99999800474166611</v>
      </c>
      <c r="W171" s="33">
        <f t="shared" si="102"/>
        <v>312.98000199525831</v>
      </c>
      <c r="X171" s="33">
        <v>96485</v>
      </c>
      <c r="Y171" s="16">
        <f t="shared" si="103"/>
        <v>-308.27786718769789</v>
      </c>
      <c r="Z171" s="16">
        <v>6</v>
      </c>
      <c r="AA171" s="16">
        <v>11</v>
      </c>
      <c r="AB171" s="8">
        <f t="shared" si="104"/>
        <v>0.34449760765550236</v>
      </c>
      <c r="AC171" s="16">
        <f t="shared" si="77"/>
        <v>66.564749347092175</v>
      </c>
      <c r="AD171" s="20">
        <f>'PFAS Properties'!$W$31</f>
        <v>5</v>
      </c>
      <c r="AE171" s="8">
        <f>'PFAS Properties'!$S$31</f>
        <v>4.4332896851950254</v>
      </c>
      <c r="AF171" s="15">
        <f>'PFAS Properties'!$V$31</f>
        <v>3.6</v>
      </c>
      <c r="AG171" s="24">
        <v>5.5</v>
      </c>
      <c r="AH171" s="2" t="s">
        <v>834</v>
      </c>
      <c r="AI171" s="15">
        <v>1.0129999999999999</v>
      </c>
      <c r="AJ171" s="16">
        <f t="shared" ref="AJ171:AJ177" si="107">AI171*1000/55.845</f>
        <v>18.13949324021846</v>
      </c>
      <c r="AK171" s="8">
        <f t="shared" ref="AK171:AK180" si="108">AI171/10</f>
        <v>0.10129999999999999</v>
      </c>
      <c r="AL171" s="15">
        <v>0.40400000000000003</v>
      </c>
      <c r="AM171" s="16">
        <f t="shared" ref="AM171:AM177" si="109">AL171*1000/26.98</f>
        <v>14.974054855448481</v>
      </c>
      <c r="AN171" s="8">
        <f t="shared" ref="AN171:AN180" si="110">AL171/10</f>
        <v>4.0400000000000005E-2</v>
      </c>
      <c r="AO171" s="15" t="s">
        <v>31</v>
      </c>
      <c r="AP171" s="15">
        <v>23.4</v>
      </c>
      <c r="AQ171" s="16" t="s">
        <v>689</v>
      </c>
      <c r="AR171" s="16">
        <v>54.4</v>
      </c>
      <c r="AS171" s="16">
        <v>35</v>
      </c>
      <c r="AT171" s="16">
        <v>10.6</v>
      </c>
      <c r="AU171" s="16" t="s">
        <v>664</v>
      </c>
      <c r="AV171" s="16">
        <f t="shared" si="96"/>
        <v>100</v>
      </c>
      <c r="AW171" s="18">
        <v>1.6</v>
      </c>
      <c r="AX171" s="13">
        <f t="shared" si="106"/>
        <v>1.6E-2</v>
      </c>
      <c r="AY171" s="8" t="s">
        <v>32</v>
      </c>
      <c r="AZ171" s="16">
        <f t="shared" ref="AZ171:AZ177" si="111">3/0.03</f>
        <v>100</v>
      </c>
      <c r="BA171" s="16" t="s">
        <v>55</v>
      </c>
      <c r="BB171" s="16">
        <v>30</v>
      </c>
      <c r="BC171" s="16" t="s">
        <v>55</v>
      </c>
      <c r="BD171" s="20">
        <v>2.9</v>
      </c>
      <c r="BE171" s="15">
        <f t="shared" si="97"/>
        <v>181.25</v>
      </c>
      <c r="BF171" s="8">
        <f t="shared" si="105"/>
        <v>2.2582780152430315</v>
      </c>
      <c r="BG171" s="8">
        <f t="shared" si="98"/>
        <v>0.46239799789895608</v>
      </c>
      <c r="BH171" s="2" t="s">
        <v>841</v>
      </c>
      <c r="BI171" s="2"/>
      <c r="BJ171" s="2"/>
      <c r="BK171" s="2"/>
      <c r="BL171" s="2"/>
      <c r="BM171" s="20"/>
      <c r="BN171" s="20"/>
      <c r="BO171" s="2"/>
    </row>
    <row r="172" spans="1:67" s="14" customFormat="1" x14ac:dyDescent="0.3">
      <c r="A172" s="20">
        <v>170</v>
      </c>
      <c r="B172" s="2" t="s">
        <v>200</v>
      </c>
      <c r="C172" s="2">
        <v>2021</v>
      </c>
      <c r="D172" s="2" t="s">
        <v>201</v>
      </c>
      <c r="E172" s="10" t="s">
        <v>794</v>
      </c>
      <c r="F172" s="20" t="s">
        <v>29</v>
      </c>
      <c r="G172" s="2" t="s">
        <v>33</v>
      </c>
      <c r="H172" s="2" t="str">
        <f>'PFAS Properties'!$B$31</f>
        <v>PFHxA</v>
      </c>
      <c r="I172" s="2" t="str">
        <f>'PFAS Properties'!$C$31</f>
        <v>PFCA</v>
      </c>
      <c r="J172" s="2" t="str">
        <f>'PFAS Properties'!$D$31</f>
        <v>C6HF11O2</v>
      </c>
      <c r="K172" s="25">
        <f>'PFAS Properties'!$P$31</f>
        <v>313.97999999999996</v>
      </c>
      <c r="L172" s="2">
        <f>'PFAS Properties'!$X$31</f>
        <v>-0.2</v>
      </c>
      <c r="M172" s="2" t="str">
        <f>'PFAS Properties'!$Y$31</f>
        <v>-</v>
      </c>
      <c r="N172" s="33">
        <v>0</v>
      </c>
      <c r="O172" s="33">
        <v>0</v>
      </c>
      <c r="P172" s="33">
        <v>0</v>
      </c>
      <c r="Q172" s="33">
        <f t="shared" si="80"/>
        <v>0.99999999369042658</v>
      </c>
      <c r="R172" s="33">
        <v>0</v>
      </c>
      <c r="S172" s="33">
        <f t="shared" si="81"/>
        <v>6.3095734049912165E-9</v>
      </c>
      <c r="T172" s="8">
        <f t="shared" si="99"/>
        <v>1</v>
      </c>
      <c r="U172" s="33">
        <f t="shared" si="100"/>
        <v>0</v>
      </c>
      <c r="V172" s="33">
        <f t="shared" si="101"/>
        <v>-0.99999999369042658</v>
      </c>
      <c r="W172" s="33">
        <f t="shared" si="102"/>
        <v>312.98000000630952</v>
      </c>
      <c r="X172" s="33">
        <v>96485</v>
      </c>
      <c r="Y172" s="16">
        <f t="shared" si="103"/>
        <v>-308.2784822968743</v>
      </c>
      <c r="Z172" s="16">
        <v>6</v>
      </c>
      <c r="AA172" s="16">
        <v>11</v>
      </c>
      <c r="AB172" s="8">
        <f t="shared" si="104"/>
        <v>0.34449760765550236</v>
      </c>
      <c r="AC172" s="16">
        <f t="shared" si="77"/>
        <v>66.564749347092175</v>
      </c>
      <c r="AD172" s="20">
        <f>'PFAS Properties'!$W$31</f>
        <v>5</v>
      </c>
      <c r="AE172" s="8">
        <f>'PFAS Properties'!$S$31</f>
        <v>4.4332896851950254</v>
      </c>
      <c r="AF172" s="15">
        <f>'PFAS Properties'!$V$31</f>
        <v>3.6</v>
      </c>
      <c r="AG172" s="24">
        <v>8</v>
      </c>
      <c r="AH172" s="2" t="s">
        <v>834</v>
      </c>
      <c r="AI172" s="15">
        <v>2.9660000000000002</v>
      </c>
      <c r="AJ172" s="16">
        <f t="shared" si="107"/>
        <v>53.111290178171728</v>
      </c>
      <c r="AK172" s="8">
        <f t="shared" si="108"/>
        <v>0.29660000000000003</v>
      </c>
      <c r="AL172" s="15">
        <v>0.23</v>
      </c>
      <c r="AM172" s="16">
        <f t="shared" si="109"/>
        <v>8.5248332097850259</v>
      </c>
      <c r="AN172" s="8">
        <f t="shared" si="110"/>
        <v>2.3E-2</v>
      </c>
      <c r="AO172" s="15" t="s">
        <v>31</v>
      </c>
      <c r="AP172" s="15">
        <v>87.3</v>
      </c>
      <c r="AQ172" s="16" t="s">
        <v>689</v>
      </c>
      <c r="AR172" s="16">
        <v>12.2</v>
      </c>
      <c r="AS172" s="16">
        <v>54.3</v>
      </c>
      <c r="AT172" s="16">
        <v>33.5</v>
      </c>
      <c r="AU172" s="16" t="s">
        <v>664</v>
      </c>
      <c r="AV172" s="16">
        <f t="shared" si="96"/>
        <v>100</v>
      </c>
      <c r="AW172" s="18">
        <v>7.7</v>
      </c>
      <c r="AX172" s="13">
        <f t="shared" si="106"/>
        <v>7.6999999999999999E-2</v>
      </c>
      <c r="AY172" s="8" t="s">
        <v>32</v>
      </c>
      <c r="AZ172" s="16">
        <f t="shared" si="111"/>
        <v>100</v>
      </c>
      <c r="BA172" s="16" t="s">
        <v>55</v>
      </c>
      <c r="BB172" s="16">
        <v>30</v>
      </c>
      <c r="BC172" s="16" t="s">
        <v>55</v>
      </c>
      <c r="BD172" s="20">
        <v>2.5</v>
      </c>
      <c r="BE172" s="15">
        <f t="shared" si="97"/>
        <v>32.467532467532465</v>
      </c>
      <c r="BF172" s="8">
        <f t="shared" si="105"/>
        <v>1.5114492834995557</v>
      </c>
      <c r="BG172" s="8">
        <f t="shared" si="98"/>
        <v>0.3979400086720376</v>
      </c>
      <c r="BH172" s="2" t="s">
        <v>841</v>
      </c>
      <c r="BI172" s="2"/>
      <c r="BJ172" s="2"/>
      <c r="BK172" s="2"/>
      <c r="BL172" s="2"/>
      <c r="BM172" s="2"/>
      <c r="BN172" s="2"/>
      <c r="BO172" s="2"/>
    </row>
    <row r="173" spans="1:67" s="14" customFormat="1" x14ac:dyDescent="0.3">
      <c r="A173" s="20">
        <v>171</v>
      </c>
      <c r="B173" s="2" t="s">
        <v>200</v>
      </c>
      <c r="C173" s="2">
        <v>2021</v>
      </c>
      <c r="D173" s="2" t="s">
        <v>201</v>
      </c>
      <c r="E173" s="10" t="s">
        <v>794</v>
      </c>
      <c r="F173" s="20" t="s">
        <v>29</v>
      </c>
      <c r="G173" s="2" t="s">
        <v>34</v>
      </c>
      <c r="H173" s="2" t="str">
        <f>'PFAS Properties'!$B$31</f>
        <v>PFHxA</v>
      </c>
      <c r="I173" s="2" t="str">
        <f>'PFAS Properties'!$C$31</f>
        <v>PFCA</v>
      </c>
      <c r="J173" s="2" t="str">
        <f>'PFAS Properties'!$D$31</f>
        <v>C6HF11O2</v>
      </c>
      <c r="K173" s="25">
        <f>'PFAS Properties'!$P$31</f>
        <v>313.97999999999996</v>
      </c>
      <c r="L173" s="2">
        <f>'PFAS Properties'!$X$31</f>
        <v>-0.2</v>
      </c>
      <c r="M173" s="2" t="str">
        <f>'PFAS Properties'!$Y$31</f>
        <v>-</v>
      </c>
      <c r="N173" s="33">
        <v>0</v>
      </c>
      <c r="O173" s="33">
        <v>0</v>
      </c>
      <c r="P173" s="33">
        <v>0</v>
      </c>
      <c r="Q173" s="33">
        <f t="shared" si="80"/>
        <v>0.99999601894414336</v>
      </c>
      <c r="R173" s="33">
        <v>0</v>
      </c>
      <c r="S173" s="33">
        <f t="shared" si="81"/>
        <v>3.981055856666137E-6</v>
      </c>
      <c r="T173" s="8">
        <f t="shared" si="99"/>
        <v>1</v>
      </c>
      <c r="U173" s="33">
        <f t="shared" si="100"/>
        <v>0</v>
      </c>
      <c r="V173" s="33">
        <f t="shared" si="101"/>
        <v>-0.99999601894414336</v>
      </c>
      <c r="W173" s="33">
        <f t="shared" si="102"/>
        <v>312.98000398105586</v>
      </c>
      <c r="X173" s="33">
        <v>96485</v>
      </c>
      <c r="Y173" s="16">
        <f t="shared" si="103"/>
        <v>-308.27725305309195</v>
      </c>
      <c r="Z173" s="16">
        <v>6</v>
      </c>
      <c r="AA173" s="16">
        <v>11</v>
      </c>
      <c r="AB173" s="8">
        <f t="shared" si="104"/>
        <v>0.34449760765550236</v>
      </c>
      <c r="AC173" s="16">
        <f t="shared" si="77"/>
        <v>66.564749347092175</v>
      </c>
      <c r="AD173" s="20">
        <f>'PFAS Properties'!$W$31</f>
        <v>5</v>
      </c>
      <c r="AE173" s="8">
        <f>'PFAS Properties'!$S$31</f>
        <v>4.4332896851950254</v>
      </c>
      <c r="AF173" s="15">
        <f>'PFAS Properties'!$V$31</f>
        <v>3.6</v>
      </c>
      <c r="AG173" s="24">
        <v>5.2</v>
      </c>
      <c r="AH173" s="2" t="s">
        <v>834</v>
      </c>
      <c r="AI173" s="15">
        <v>4.5149999999999997</v>
      </c>
      <c r="AJ173" s="16">
        <f t="shared" si="107"/>
        <v>80.848777867311313</v>
      </c>
      <c r="AK173" s="8">
        <f t="shared" si="108"/>
        <v>0.45149999999999996</v>
      </c>
      <c r="AL173" s="15">
        <v>0.377</v>
      </c>
      <c r="AM173" s="16">
        <f t="shared" si="109"/>
        <v>13.973313565604151</v>
      </c>
      <c r="AN173" s="8">
        <f t="shared" si="110"/>
        <v>3.7699999999999997E-2</v>
      </c>
      <c r="AO173" s="15" t="s">
        <v>31</v>
      </c>
      <c r="AP173" s="15">
        <v>44.3</v>
      </c>
      <c r="AQ173" s="16" t="s">
        <v>689</v>
      </c>
      <c r="AR173" s="16">
        <v>41.3</v>
      </c>
      <c r="AS173" s="16">
        <v>39.799999999999997</v>
      </c>
      <c r="AT173" s="16">
        <v>18.899999999999999</v>
      </c>
      <c r="AU173" s="16" t="s">
        <v>664</v>
      </c>
      <c r="AV173" s="16">
        <f t="shared" si="96"/>
        <v>100</v>
      </c>
      <c r="AW173" s="18">
        <v>9.4</v>
      </c>
      <c r="AX173" s="13">
        <f t="shared" si="106"/>
        <v>9.4E-2</v>
      </c>
      <c r="AY173" s="8" t="s">
        <v>32</v>
      </c>
      <c r="AZ173" s="16">
        <f t="shared" si="111"/>
        <v>100</v>
      </c>
      <c r="BA173" s="16" t="s">
        <v>55</v>
      </c>
      <c r="BB173" s="16">
        <v>30</v>
      </c>
      <c r="BC173" s="16" t="s">
        <v>55</v>
      </c>
      <c r="BD173" s="20">
        <v>1.2</v>
      </c>
      <c r="BE173" s="15">
        <f t="shared" si="97"/>
        <v>12.76595744680851</v>
      </c>
      <c r="BF173" s="8">
        <f t="shared" si="105"/>
        <v>1.1060533924479261</v>
      </c>
      <c r="BG173" s="8">
        <f t="shared" si="98"/>
        <v>7.9181246047624818E-2</v>
      </c>
      <c r="BH173" s="2" t="s">
        <v>841</v>
      </c>
      <c r="BI173" s="2"/>
      <c r="BJ173" s="2"/>
      <c r="BK173" s="2"/>
      <c r="BL173" s="2"/>
      <c r="BM173" s="2"/>
      <c r="BN173" s="2"/>
      <c r="BO173" s="2"/>
    </row>
    <row r="174" spans="1:67" s="14" customFormat="1" x14ac:dyDescent="0.3">
      <c r="A174" s="20">
        <v>172</v>
      </c>
      <c r="B174" s="2" t="s">
        <v>200</v>
      </c>
      <c r="C174" s="2">
        <v>2021</v>
      </c>
      <c r="D174" s="2" t="s">
        <v>201</v>
      </c>
      <c r="E174" s="10" t="s">
        <v>794</v>
      </c>
      <c r="F174" s="20" t="s">
        <v>29</v>
      </c>
      <c r="G174" s="2" t="s">
        <v>35</v>
      </c>
      <c r="H174" s="2" t="str">
        <f>'PFAS Properties'!$B$31</f>
        <v>PFHxA</v>
      </c>
      <c r="I174" s="2" t="str">
        <f>'PFAS Properties'!$C$31</f>
        <v>PFCA</v>
      </c>
      <c r="J174" s="2" t="str">
        <f>'PFAS Properties'!$D$31</f>
        <v>C6HF11O2</v>
      </c>
      <c r="K174" s="25">
        <f>'PFAS Properties'!$P$31</f>
        <v>313.97999999999996</v>
      </c>
      <c r="L174" s="2">
        <f>'PFAS Properties'!$X$31</f>
        <v>-0.2</v>
      </c>
      <c r="M174" s="2" t="str">
        <f>'PFAS Properties'!$Y$31</f>
        <v>-</v>
      </c>
      <c r="N174" s="33">
        <v>0</v>
      </c>
      <c r="O174" s="33">
        <v>0</v>
      </c>
      <c r="P174" s="33">
        <v>0</v>
      </c>
      <c r="Q174" s="33">
        <f t="shared" si="80"/>
        <v>0.99999900000099995</v>
      </c>
      <c r="R174" s="33">
        <v>0</v>
      </c>
      <c r="S174" s="33">
        <f t="shared" si="81"/>
        <v>9.9999900000100006E-7</v>
      </c>
      <c r="T174" s="8">
        <f t="shared" si="99"/>
        <v>1</v>
      </c>
      <c r="U174" s="33">
        <f t="shared" si="100"/>
        <v>0</v>
      </c>
      <c r="V174" s="33">
        <f t="shared" si="101"/>
        <v>-0.99999900000099995</v>
      </c>
      <c r="W174" s="33">
        <f t="shared" si="102"/>
        <v>312.98000099999899</v>
      </c>
      <c r="X174" s="33">
        <v>96485</v>
      </c>
      <c r="Y174" s="16">
        <f t="shared" si="103"/>
        <v>-308.27817498504254</v>
      </c>
      <c r="Z174" s="16">
        <v>6</v>
      </c>
      <c r="AA174" s="16">
        <v>11</v>
      </c>
      <c r="AB174" s="8">
        <f t="shared" si="104"/>
        <v>0.34449760765550236</v>
      </c>
      <c r="AC174" s="16">
        <f t="shared" si="77"/>
        <v>66.564749347092175</v>
      </c>
      <c r="AD174" s="20">
        <f>'PFAS Properties'!$W$31</f>
        <v>5</v>
      </c>
      <c r="AE174" s="8">
        <f>'PFAS Properties'!$S$31</f>
        <v>4.4332896851950254</v>
      </c>
      <c r="AF174" s="15">
        <f>'PFAS Properties'!$V$31</f>
        <v>3.6</v>
      </c>
      <c r="AG174" s="24">
        <v>5.8</v>
      </c>
      <c r="AH174" s="2" t="s">
        <v>834</v>
      </c>
      <c r="AI174" s="15">
        <v>6.5019999999999998</v>
      </c>
      <c r="AJ174" s="16">
        <f t="shared" si="107"/>
        <v>116.42940281135286</v>
      </c>
      <c r="AK174" s="8">
        <f t="shared" si="108"/>
        <v>0.6502</v>
      </c>
      <c r="AL174" s="15">
        <v>1.732</v>
      </c>
      <c r="AM174" s="16">
        <f t="shared" si="109"/>
        <v>64.195700518902896</v>
      </c>
      <c r="AN174" s="8">
        <f t="shared" si="110"/>
        <v>0.17319999999999999</v>
      </c>
      <c r="AO174" s="15" t="s">
        <v>31</v>
      </c>
      <c r="AP174" s="15">
        <v>90</v>
      </c>
      <c r="AQ174" s="16" t="s">
        <v>689</v>
      </c>
      <c r="AR174" s="16">
        <v>46</v>
      </c>
      <c r="AS174" s="16">
        <v>51</v>
      </c>
      <c r="AT174" s="16">
        <v>3</v>
      </c>
      <c r="AU174" s="16" t="s">
        <v>664</v>
      </c>
      <c r="AV174" s="16">
        <f t="shared" si="96"/>
        <v>100</v>
      </c>
      <c r="AW174" s="18">
        <v>27</v>
      </c>
      <c r="AX174" s="13">
        <f t="shared" si="106"/>
        <v>0.27</v>
      </c>
      <c r="AY174" s="8" t="s">
        <v>32</v>
      </c>
      <c r="AZ174" s="16">
        <f t="shared" si="111"/>
        <v>100</v>
      </c>
      <c r="BA174" s="16" t="s">
        <v>55</v>
      </c>
      <c r="BB174" s="16">
        <v>50</v>
      </c>
      <c r="BC174" s="16" t="s">
        <v>55</v>
      </c>
      <c r="BD174" s="20">
        <v>2.6</v>
      </c>
      <c r="BE174" s="15">
        <f t="shared" si="97"/>
        <v>9.6296296296296298</v>
      </c>
      <c r="BF174" s="8">
        <f t="shared" si="105"/>
        <v>0.98360958381183061</v>
      </c>
      <c r="BG174" s="8">
        <f t="shared" si="98"/>
        <v>0.41497334797081797</v>
      </c>
      <c r="BH174" s="2" t="s">
        <v>841</v>
      </c>
      <c r="BI174" s="2"/>
      <c r="BJ174" s="2"/>
      <c r="BK174" s="2"/>
      <c r="BL174" s="2"/>
      <c r="BM174" s="2"/>
      <c r="BN174" s="2"/>
      <c r="BO174" s="2"/>
    </row>
    <row r="175" spans="1:67" s="14" customFormat="1" x14ac:dyDescent="0.3">
      <c r="A175" s="20">
        <v>173</v>
      </c>
      <c r="B175" s="2" t="s">
        <v>200</v>
      </c>
      <c r="C175" s="2">
        <v>2021</v>
      </c>
      <c r="D175" s="2" t="s">
        <v>201</v>
      </c>
      <c r="E175" s="10" t="s">
        <v>794</v>
      </c>
      <c r="F175" s="20" t="s">
        <v>29</v>
      </c>
      <c r="G175" s="2" t="s">
        <v>36</v>
      </c>
      <c r="H175" s="2" t="str">
        <f>'PFAS Properties'!$B$31</f>
        <v>PFHxA</v>
      </c>
      <c r="I175" s="2" t="str">
        <f>'PFAS Properties'!$C$31</f>
        <v>PFCA</v>
      </c>
      <c r="J175" s="2" t="str">
        <f>'PFAS Properties'!$D$31</f>
        <v>C6HF11O2</v>
      </c>
      <c r="K175" s="25">
        <f>'PFAS Properties'!$P$31</f>
        <v>313.97999999999996</v>
      </c>
      <c r="L175" s="2">
        <f>'PFAS Properties'!$X$31</f>
        <v>-0.2</v>
      </c>
      <c r="M175" s="2" t="str">
        <f>'PFAS Properties'!$Y$31</f>
        <v>-</v>
      </c>
      <c r="N175" s="33">
        <v>0</v>
      </c>
      <c r="O175" s="33">
        <v>0</v>
      </c>
      <c r="P175" s="33">
        <v>0</v>
      </c>
      <c r="Q175" s="33">
        <f t="shared" si="80"/>
        <v>0.99999874107617315</v>
      </c>
      <c r="R175" s="33">
        <v>0</v>
      </c>
      <c r="S175" s="33">
        <f t="shared" si="81"/>
        <v>1.2589238269029671E-6</v>
      </c>
      <c r="T175" s="8">
        <f t="shared" si="99"/>
        <v>1</v>
      </c>
      <c r="U175" s="33">
        <f t="shared" si="100"/>
        <v>0</v>
      </c>
      <c r="V175" s="33">
        <f t="shared" si="101"/>
        <v>-0.99999874107617315</v>
      </c>
      <c r="W175" s="33">
        <f t="shared" si="102"/>
        <v>312.98000125892383</v>
      </c>
      <c r="X175" s="33">
        <v>96485</v>
      </c>
      <c r="Y175" s="16">
        <f t="shared" si="103"/>
        <v>-308.27809490905469</v>
      </c>
      <c r="Z175" s="16">
        <v>6</v>
      </c>
      <c r="AA175" s="16">
        <v>11</v>
      </c>
      <c r="AB175" s="8">
        <f t="shared" si="104"/>
        <v>0.34449760765550236</v>
      </c>
      <c r="AC175" s="16">
        <f t="shared" si="77"/>
        <v>66.564749347092175</v>
      </c>
      <c r="AD175" s="20">
        <f>'PFAS Properties'!$W$31</f>
        <v>5</v>
      </c>
      <c r="AE175" s="8">
        <f>'PFAS Properties'!$S$31</f>
        <v>4.4332896851950254</v>
      </c>
      <c r="AF175" s="15">
        <f>'PFAS Properties'!$V$31</f>
        <v>3.6</v>
      </c>
      <c r="AG175" s="24">
        <v>5.7</v>
      </c>
      <c r="AH175" s="2" t="s">
        <v>834</v>
      </c>
      <c r="AI175" s="15">
        <v>12.358000000000001</v>
      </c>
      <c r="AJ175" s="16">
        <f t="shared" si="107"/>
        <v>221.29107350702839</v>
      </c>
      <c r="AK175" s="8">
        <f t="shared" si="108"/>
        <v>1.2358</v>
      </c>
      <c r="AL175" s="15">
        <v>1.0269999999999999</v>
      </c>
      <c r="AM175" s="16">
        <f t="shared" si="109"/>
        <v>38.065233506300963</v>
      </c>
      <c r="AN175" s="8">
        <f t="shared" si="110"/>
        <v>0.10269999999999999</v>
      </c>
      <c r="AO175" s="15" t="s">
        <v>31</v>
      </c>
      <c r="AP175" s="15">
        <v>103</v>
      </c>
      <c r="AQ175" s="16" t="s">
        <v>689</v>
      </c>
      <c r="AR175" s="16">
        <v>35</v>
      </c>
      <c r="AS175" s="16">
        <v>63</v>
      </c>
      <c r="AT175" s="16">
        <v>2</v>
      </c>
      <c r="AU175" s="16" t="s">
        <v>664</v>
      </c>
      <c r="AV175" s="16">
        <f t="shared" si="96"/>
        <v>100</v>
      </c>
      <c r="AW175" s="18">
        <v>32</v>
      </c>
      <c r="AX175" s="13">
        <f t="shared" si="106"/>
        <v>0.32</v>
      </c>
      <c r="AY175" s="8" t="s">
        <v>32</v>
      </c>
      <c r="AZ175" s="16">
        <f t="shared" si="111"/>
        <v>100</v>
      </c>
      <c r="BA175" s="16" t="s">
        <v>55</v>
      </c>
      <c r="BB175" s="16">
        <v>50</v>
      </c>
      <c r="BC175" s="16" t="s">
        <v>55</v>
      </c>
      <c r="BD175" s="20">
        <v>5.4</v>
      </c>
      <c r="BE175" s="15">
        <f t="shared" si="97"/>
        <v>16.875</v>
      </c>
      <c r="BF175" s="8">
        <f t="shared" si="105"/>
        <v>1.2272437815030626</v>
      </c>
      <c r="BG175" s="8">
        <f t="shared" si="98"/>
        <v>0.7323937598229685</v>
      </c>
      <c r="BH175" s="2" t="s">
        <v>841</v>
      </c>
      <c r="BI175" s="2"/>
      <c r="BJ175" s="2"/>
      <c r="BK175" s="2"/>
      <c r="BL175" s="2"/>
      <c r="BM175" s="20"/>
      <c r="BN175" s="20"/>
      <c r="BO175" s="2"/>
    </row>
    <row r="176" spans="1:67" s="14" customFormat="1" x14ac:dyDescent="0.3">
      <c r="A176" s="20">
        <v>174</v>
      </c>
      <c r="B176" s="2" t="s">
        <v>200</v>
      </c>
      <c r="C176" s="2">
        <v>2021</v>
      </c>
      <c r="D176" s="2" t="s">
        <v>201</v>
      </c>
      <c r="E176" s="10" t="s">
        <v>794</v>
      </c>
      <c r="F176" s="20" t="s">
        <v>29</v>
      </c>
      <c r="G176" s="2" t="s">
        <v>37</v>
      </c>
      <c r="H176" s="2" t="str">
        <f>'PFAS Properties'!$B$31</f>
        <v>PFHxA</v>
      </c>
      <c r="I176" s="2" t="str">
        <f>'PFAS Properties'!$C$31</f>
        <v>PFCA</v>
      </c>
      <c r="J176" s="2" t="str">
        <f>'PFAS Properties'!$D$31</f>
        <v>C6HF11O2</v>
      </c>
      <c r="K176" s="25">
        <f>'PFAS Properties'!$P$31</f>
        <v>313.97999999999996</v>
      </c>
      <c r="L176" s="2">
        <f>'PFAS Properties'!$X$31</f>
        <v>-0.2</v>
      </c>
      <c r="M176" s="2" t="str">
        <f>'PFAS Properties'!$Y$31</f>
        <v>-</v>
      </c>
      <c r="N176" s="33">
        <v>0</v>
      </c>
      <c r="O176" s="33">
        <v>0</v>
      </c>
      <c r="P176" s="33">
        <v>0</v>
      </c>
      <c r="Q176" s="33">
        <f t="shared" si="80"/>
        <v>0.99999874107617315</v>
      </c>
      <c r="R176" s="33">
        <v>0</v>
      </c>
      <c r="S176" s="33">
        <f t="shared" si="81"/>
        <v>1.2589238269029671E-6</v>
      </c>
      <c r="T176" s="8">
        <f t="shared" si="99"/>
        <v>1</v>
      </c>
      <c r="U176" s="33">
        <f t="shared" si="100"/>
        <v>0</v>
      </c>
      <c r="V176" s="33">
        <f t="shared" si="101"/>
        <v>-0.99999874107617315</v>
      </c>
      <c r="W176" s="33">
        <f t="shared" si="102"/>
        <v>312.98000125892383</v>
      </c>
      <c r="X176" s="33">
        <v>96485</v>
      </c>
      <c r="Y176" s="16">
        <f t="shared" si="103"/>
        <v>-308.27809490905469</v>
      </c>
      <c r="Z176" s="16">
        <v>6</v>
      </c>
      <c r="AA176" s="16">
        <v>11</v>
      </c>
      <c r="AB176" s="8">
        <f t="shared" si="104"/>
        <v>0.34449760765550236</v>
      </c>
      <c r="AC176" s="16">
        <f t="shared" si="77"/>
        <v>66.564749347092175</v>
      </c>
      <c r="AD176" s="20">
        <f>'PFAS Properties'!$W$31</f>
        <v>5</v>
      </c>
      <c r="AE176" s="8">
        <f>'PFAS Properties'!$S$31</f>
        <v>4.4332896851950254</v>
      </c>
      <c r="AF176" s="15">
        <f>'PFAS Properties'!$V$31</f>
        <v>3.6</v>
      </c>
      <c r="AG176" s="24">
        <v>5.7</v>
      </c>
      <c r="AH176" s="2" t="s">
        <v>834</v>
      </c>
      <c r="AI176" s="15">
        <v>10.64</v>
      </c>
      <c r="AJ176" s="16">
        <f t="shared" si="107"/>
        <v>190.52735249350883</v>
      </c>
      <c r="AK176" s="8">
        <f t="shared" si="108"/>
        <v>1.0640000000000001</v>
      </c>
      <c r="AL176" s="15">
        <v>0.16700000000000001</v>
      </c>
      <c r="AM176" s="16">
        <f t="shared" si="109"/>
        <v>6.1897702001482582</v>
      </c>
      <c r="AN176" s="8">
        <f t="shared" si="110"/>
        <v>1.67E-2</v>
      </c>
      <c r="AO176" s="15" t="s">
        <v>31</v>
      </c>
      <c r="AP176" s="15">
        <v>140</v>
      </c>
      <c r="AQ176" s="16" t="s">
        <v>689</v>
      </c>
      <c r="AR176" s="16">
        <v>20.7</v>
      </c>
      <c r="AS176" s="16">
        <v>78</v>
      </c>
      <c r="AT176" s="16">
        <v>1.3</v>
      </c>
      <c r="AU176" s="16" t="s">
        <v>664</v>
      </c>
      <c r="AV176" s="16">
        <f t="shared" si="96"/>
        <v>100</v>
      </c>
      <c r="AW176" s="18">
        <v>39</v>
      </c>
      <c r="AX176" s="13">
        <f t="shared" si="106"/>
        <v>0.39</v>
      </c>
      <c r="AY176" s="8" t="s">
        <v>32</v>
      </c>
      <c r="AZ176" s="16">
        <f t="shared" si="111"/>
        <v>100</v>
      </c>
      <c r="BA176" s="16" t="s">
        <v>55</v>
      </c>
      <c r="BB176" s="16">
        <v>50</v>
      </c>
      <c r="BC176" s="16" t="s">
        <v>55</v>
      </c>
      <c r="BD176" s="20">
        <v>5.0999999999999996</v>
      </c>
      <c r="BE176" s="15">
        <f t="shared" si="97"/>
        <v>13.076923076923075</v>
      </c>
      <c r="BF176" s="8">
        <f t="shared" si="105"/>
        <v>1.1165055690714372</v>
      </c>
      <c r="BG176" s="8">
        <f t="shared" si="98"/>
        <v>0.70757017609793638</v>
      </c>
      <c r="BH176" s="2" t="s">
        <v>841</v>
      </c>
      <c r="BI176" s="2"/>
      <c r="BJ176" s="2"/>
      <c r="BK176" s="2"/>
      <c r="BL176" s="2"/>
      <c r="BM176" s="20"/>
      <c r="BN176" s="20"/>
      <c r="BO176" s="2"/>
    </row>
    <row r="177" spans="1:67" s="14" customFormat="1" x14ac:dyDescent="0.3">
      <c r="A177" s="20">
        <v>175</v>
      </c>
      <c r="B177" s="2" t="s">
        <v>200</v>
      </c>
      <c r="C177" s="2">
        <v>2021</v>
      </c>
      <c r="D177" s="2" t="s">
        <v>201</v>
      </c>
      <c r="E177" s="10" t="s">
        <v>794</v>
      </c>
      <c r="F177" s="20" t="s">
        <v>29</v>
      </c>
      <c r="G177" s="2" t="s">
        <v>38</v>
      </c>
      <c r="H177" s="2" t="str">
        <f>'PFAS Properties'!$B$31</f>
        <v>PFHxA</v>
      </c>
      <c r="I177" s="2" t="str">
        <f>'PFAS Properties'!$C$31</f>
        <v>PFCA</v>
      </c>
      <c r="J177" s="2" t="str">
        <f>'PFAS Properties'!$D$31</f>
        <v>C6HF11O2</v>
      </c>
      <c r="K177" s="25">
        <f>'PFAS Properties'!$P$31</f>
        <v>313.97999999999996</v>
      </c>
      <c r="L177" s="2">
        <f>'PFAS Properties'!$X$31</f>
        <v>-0.2</v>
      </c>
      <c r="M177" s="2" t="str">
        <f>'PFAS Properties'!$Y$31</f>
        <v>-</v>
      </c>
      <c r="N177" s="33">
        <v>0</v>
      </c>
      <c r="O177" s="33">
        <v>0</v>
      </c>
      <c r="P177" s="33">
        <v>0</v>
      </c>
      <c r="Q177" s="33">
        <f t="shared" si="80"/>
        <v>0.99999874107617315</v>
      </c>
      <c r="R177" s="33">
        <v>0</v>
      </c>
      <c r="S177" s="33">
        <f t="shared" si="81"/>
        <v>1.2589238269029671E-6</v>
      </c>
      <c r="T177" s="8">
        <f t="shared" si="99"/>
        <v>1</v>
      </c>
      <c r="U177" s="33">
        <f t="shared" si="100"/>
        <v>0</v>
      </c>
      <c r="V177" s="33">
        <f t="shared" si="101"/>
        <v>-0.99999874107617315</v>
      </c>
      <c r="W177" s="33">
        <f t="shared" si="102"/>
        <v>312.98000125892383</v>
      </c>
      <c r="X177" s="33">
        <v>96485</v>
      </c>
      <c r="Y177" s="16">
        <f t="shared" si="103"/>
        <v>-308.27809490905469</v>
      </c>
      <c r="Z177" s="16">
        <v>6</v>
      </c>
      <c r="AA177" s="16">
        <v>11</v>
      </c>
      <c r="AB177" s="8">
        <f t="shared" si="104"/>
        <v>0.34449760765550236</v>
      </c>
      <c r="AC177" s="16">
        <f t="shared" si="77"/>
        <v>66.564749347092175</v>
      </c>
      <c r="AD177" s="20">
        <f>'PFAS Properties'!$W$31</f>
        <v>5</v>
      </c>
      <c r="AE177" s="8">
        <f>'PFAS Properties'!$S$31</f>
        <v>4.4332896851950254</v>
      </c>
      <c r="AF177" s="15">
        <f>'PFAS Properties'!$V$31</f>
        <v>3.6</v>
      </c>
      <c r="AG177" s="24">
        <v>5.7</v>
      </c>
      <c r="AH177" s="2" t="s">
        <v>834</v>
      </c>
      <c r="AI177" s="15">
        <v>19.667999999999999</v>
      </c>
      <c r="AJ177" s="16">
        <f t="shared" si="107"/>
        <v>352.18909481600861</v>
      </c>
      <c r="AK177" s="8">
        <f t="shared" si="108"/>
        <v>1.9667999999999999</v>
      </c>
      <c r="AL177" s="15">
        <v>0.48099999999999998</v>
      </c>
      <c r="AM177" s="16">
        <f t="shared" si="109"/>
        <v>17.828020756115642</v>
      </c>
      <c r="AN177" s="8">
        <f t="shared" si="110"/>
        <v>4.8099999999999997E-2</v>
      </c>
      <c r="AO177" s="15" t="s">
        <v>31</v>
      </c>
      <c r="AP177" s="15">
        <v>114</v>
      </c>
      <c r="AQ177" s="16" t="s">
        <v>689</v>
      </c>
      <c r="AR177" s="16">
        <v>20</v>
      </c>
      <c r="AS177" s="16">
        <v>78.900000000000006</v>
      </c>
      <c r="AT177" s="16">
        <v>1.1000000000000001</v>
      </c>
      <c r="AU177" s="16" t="s">
        <v>664</v>
      </c>
      <c r="AV177" s="16">
        <f t="shared" si="96"/>
        <v>100</v>
      </c>
      <c r="AW177" s="18">
        <v>41</v>
      </c>
      <c r="AX177" s="13">
        <f t="shared" si="106"/>
        <v>0.41</v>
      </c>
      <c r="AY177" s="8" t="s">
        <v>32</v>
      </c>
      <c r="AZ177" s="16">
        <f t="shared" si="111"/>
        <v>100</v>
      </c>
      <c r="BA177" s="16" t="s">
        <v>55</v>
      </c>
      <c r="BB177" s="16">
        <v>50</v>
      </c>
      <c r="BC177" s="16" t="s">
        <v>55</v>
      </c>
      <c r="BD177" s="20">
        <v>6.5</v>
      </c>
      <c r="BE177" s="15">
        <f t="shared" si="97"/>
        <v>15.853658536585368</v>
      </c>
      <c r="BF177" s="8">
        <f t="shared" si="105"/>
        <v>1.2001294999231202</v>
      </c>
      <c r="BG177" s="8">
        <f t="shared" si="98"/>
        <v>0.81291335664285558</v>
      </c>
      <c r="BH177" s="2" t="s">
        <v>841</v>
      </c>
      <c r="BI177" s="2"/>
      <c r="BJ177" s="2"/>
      <c r="BK177" s="2"/>
      <c r="BL177" s="2"/>
      <c r="BM177" s="20"/>
      <c r="BN177" s="20"/>
      <c r="BO177" s="2"/>
    </row>
    <row r="178" spans="1:67" s="14" customFormat="1" x14ac:dyDescent="0.3">
      <c r="A178" s="20">
        <v>176</v>
      </c>
      <c r="B178" s="2" t="s">
        <v>195</v>
      </c>
      <c r="C178" s="2">
        <v>2018</v>
      </c>
      <c r="D178" s="2" t="s">
        <v>199</v>
      </c>
      <c r="E178" s="10" t="s">
        <v>795</v>
      </c>
      <c r="F178" s="20" t="s">
        <v>29</v>
      </c>
      <c r="G178" s="2" t="s">
        <v>47</v>
      </c>
      <c r="H178" s="2" t="str">
        <f>'PFAS Properties'!$B$31</f>
        <v>PFHxA</v>
      </c>
      <c r="I178" s="2" t="str">
        <f>'PFAS Properties'!$C$31</f>
        <v>PFCA</v>
      </c>
      <c r="J178" s="2" t="str">
        <f>'PFAS Properties'!$D$31</f>
        <v>C6HF11O2</v>
      </c>
      <c r="K178" s="25">
        <f>'PFAS Properties'!$P$31</f>
        <v>313.97999999999996</v>
      </c>
      <c r="L178" s="2">
        <f>'PFAS Properties'!$X$31</f>
        <v>-0.2</v>
      </c>
      <c r="M178" s="2" t="str">
        <f>'PFAS Properties'!$Y$31</f>
        <v>-</v>
      </c>
      <c r="N178" s="33">
        <v>0</v>
      </c>
      <c r="O178" s="33">
        <v>0</v>
      </c>
      <c r="P178" s="33">
        <v>0</v>
      </c>
      <c r="Q178" s="33">
        <f t="shared" si="80"/>
        <v>0.99998004777494953</v>
      </c>
      <c r="R178" s="33">
        <v>0</v>
      </c>
      <c r="S178" s="33">
        <f t="shared" si="81"/>
        <v>1.9952225050461341E-5</v>
      </c>
      <c r="T178" s="8">
        <f t="shared" si="99"/>
        <v>1</v>
      </c>
      <c r="U178" s="33">
        <f t="shared" si="100"/>
        <v>0</v>
      </c>
      <c r="V178" s="33">
        <f t="shared" si="101"/>
        <v>-0.99998004777494953</v>
      </c>
      <c r="W178" s="33">
        <f t="shared" si="102"/>
        <v>312.98001995222501</v>
      </c>
      <c r="X178" s="33">
        <v>96485</v>
      </c>
      <c r="Y178" s="16">
        <f t="shared" si="103"/>
        <v>-308.2723137543851</v>
      </c>
      <c r="Z178" s="16">
        <v>6</v>
      </c>
      <c r="AA178" s="16">
        <v>11</v>
      </c>
      <c r="AB178" s="8">
        <f t="shared" si="104"/>
        <v>0.34449760765550236</v>
      </c>
      <c r="AC178" s="16">
        <f t="shared" si="77"/>
        <v>66.564749347092175</v>
      </c>
      <c r="AD178" s="20">
        <f>'PFAS Properties'!$W$31</f>
        <v>5</v>
      </c>
      <c r="AE178" s="8">
        <f>'PFAS Properties'!$S$31</f>
        <v>4.4332896851950254</v>
      </c>
      <c r="AF178" s="15">
        <f>'PFAS Properties'!$V$31</f>
        <v>3.6</v>
      </c>
      <c r="AG178" s="24">
        <v>4.5</v>
      </c>
      <c r="AH178" s="2" t="s">
        <v>658</v>
      </c>
      <c r="AI178" s="8">
        <f>AJ178*55.845/1000</f>
        <v>5.8637250000000002E-2</v>
      </c>
      <c r="AJ178" s="16">
        <v>1.05</v>
      </c>
      <c r="AK178" s="8">
        <f t="shared" si="108"/>
        <v>5.8637250000000002E-3</v>
      </c>
      <c r="AL178" s="15">
        <f>AM178*26.98/1000</f>
        <v>0.18454320000000002</v>
      </c>
      <c r="AM178" s="16">
        <v>6.84</v>
      </c>
      <c r="AN178" s="8">
        <f t="shared" si="110"/>
        <v>1.8454320000000003E-2</v>
      </c>
      <c r="AO178" s="2" t="s">
        <v>48</v>
      </c>
      <c r="AP178" s="72">
        <v>21.496500000000001</v>
      </c>
      <c r="AQ178" s="70" t="s">
        <v>752</v>
      </c>
      <c r="AR178" s="71">
        <v>41.737499999999997</v>
      </c>
      <c r="AS178" s="71">
        <v>35.036999999999999</v>
      </c>
      <c r="AT178" s="71">
        <v>21.971</v>
      </c>
      <c r="AU178" s="70" t="s">
        <v>752</v>
      </c>
      <c r="AV178" s="16">
        <f t="shared" si="96"/>
        <v>98.745499999999993</v>
      </c>
      <c r="AW178" s="18">
        <v>45</v>
      </c>
      <c r="AX178" s="13">
        <f t="shared" si="106"/>
        <v>0.45</v>
      </c>
      <c r="AY178" s="8" t="s">
        <v>49</v>
      </c>
      <c r="AZ178" s="16">
        <f>0.45/0.04</f>
        <v>11.25</v>
      </c>
      <c r="BA178" s="16" t="s">
        <v>55</v>
      </c>
      <c r="BB178" s="8">
        <v>1.25</v>
      </c>
      <c r="BC178" s="8" t="s">
        <v>55</v>
      </c>
      <c r="BD178" s="25">
        <f>(10^(1.2)*AX178)</f>
        <v>7.1320193660750117</v>
      </c>
      <c r="BE178" s="15">
        <f t="shared" si="97"/>
        <v>15.848931924611136</v>
      </c>
      <c r="BF178" s="8">
        <f t="shared" si="105"/>
        <v>1.2</v>
      </c>
      <c r="BG178" s="8">
        <f t="shared" si="98"/>
        <v>0.85321251377534379</v>
      </c>
      <c r="BH178" s="2" t="s">
        <v>821</v>
      </c>
      <c r="BI178" s="2"/>
      <c r="BJ178" s="2"/>
      <c r="BK178" s="2"/>
      <c r="BL178" s="2"/>
      <c r="BM178" s="20"/>
      <c r="BN178" s="20"/>
      <c r="BO178" s="2"/>
    </row>
    <row r="179" spans="1:67" s="14" customFormat="1" x14ac:dyDescent="0.3">
      <c r="A179" s="20">
        <v>177</v>
      </c>
      <c r="B179" s="2" t="s">
        <v>214</v>
      </c>
      <c r="C179" s="2">
        <v>2022</v>
      </c>
      <c r="D179" s="2" t="s">
        <v>201</v>
      </c>
      <c r="E179" s="10" t="s">
        <v>808</v>
      </c>
      <c r="F179" s="20" t="s">
        <v>29</v>
      </c>
      <c r="G179" s="2" t="s">
        <v>215</v>
      </c>
      <c r="H179" s="2" t="str">
        <f>'PFAS Properties'!$B$31</f>
        <v>PFHxA</v>
      </c>
      <c r="I179" s="2" t="str">
        <f>'PFAS Properties'!$C$31</f>
        <v>PFCA</v>
      </c>
      <c r="J179" s="2" t="str">
        <f>'PFAS Properties'!$D$31</f>
        <v>C6HF11O2</v>
      </c>
      <c r="K179" s="25">
        <f>'PFAS Properties'!$P$31</f>
        <v>313.97999999999996</v>
      </c>
      <c r="L179" s="2">
        <f>'PFAS Properties'!$X$31</f>
        <v>-0.2</v>
      </c>
      <c r="M179" s="2" t="str">
        <f>'PFAS Properties'!$Y$31</f>
        <v>-</v>
      </c>
      <c r="N179" s="33">
        <v>0</v>
      </c>
      <c r="O179" s="33">
        <v>0</v>
      </c>
      <c r="P179" s="33">
        <v>0</v>
      </c>
      <c r="Q179" s="33">
        <f t="shared" si="80"/>
        <v>0.99999000009999905</v>
      </c>
      <c r="R179" s="33">
        <v>0</v>
      </c>
      <c r="S179" s="33">
        <f t="shared" si="81"/>
        <v>9.9999000009999908E-6</v>
      </c>
      <c r="T179" s="8">
        <f t="shared" si="99"/>
        <v>1</v>
      </c>
      <c r="U179" s="33">
        <f t="shared" si="100"/>
        <v>0</v>
      </c>
      <c r="V179" s="33">
        <f t="shared" si="101"/>
        <v>-0.99999000009999905</v>
      </c>
      <c r="W179" s="33">
        <f t="shared" si="102"/>
        <v>312.98000999989995</v>
      </c>
      <c r="X179" s="33">
        <v>96485</v>
      </c>
      <c r="Y179" s="16">
        <f t="shared" si="103"/>
        <v>-308.275391644595</v>
      </c>
      <c r="Z179" s="16">
        <v>6</v>
      </c>
      <c r="AA179" s="16">
        <v>11</v>
      </c>
      <c r="AB179" s="8">
        <f t="shared" si="104"/>
        <v>0.34449760765550236</v>
      </c>
      <c r="AC179" s="16">
        <f t="shared" si="77"/>
        <v>66.564749347092175</v>
      </c>
      <c r="AD179" s="20">
        <f>'PFAS Properties'!$W$31</f>
        <v>5</v>
      </c>
      <c r="AE179" s="8">
        <f>'PFAS Properties'!$S$31</f>
        <v>4.4332896851950254</v>
      </c>
      <c r="AF179" s="15">
        <f>'PFAS Properties'!$V$31</f>
        <v>3.6</v>
      </c>
      <c r="AG179" s="24">
        <v>4.8</v>
      </c>
      <c r="AH179" s="2" t="s">
        <v>216</v>
      </c>
      <c r="AI179" s="2">
        <v>8.3000000000000007</v>
      </c>
      <c r="AJ179" s="15">
        <f>AI179*1000/55.845</f>
        <v>148.62566030978601</v>
      </c>
      <c r="AK179" s="15">
        <f t="shared" si="108"/>
        <v>0.83000000000000007</v>
      </c>
      <c r="AL179" s="15">
        <v>7.85</v>
      </c>
      <c r="AM179" s="15">
        <f>AL179*1000/26.98</f>
        <v>290.95626389918459</v>
      </c>
      <c r="AN179" s="15">
        <f t="shared" si="110"/>
        <v>0.78499999999999992</v>
      </c>
      <c r="AO179" s="15" t="s">
        <v>217</v>
      </c>
      <c r="AP179" s="72">
        <v>15.34083666666667</v>
      </c>
      <c r="AQ179" s="70" t="s">
        <v>752</v>
      </c>
      <c r="AR179" s="16">
        <v>32</v>
      </c>
      <c r="AS179" s="16">
        <v>40</v>
      </c>
      <c r="AT179" s="16">
        <v>28</v>
      </c>
      <c r="AU179" s="2" t="s">
        <v>661</v>
      </c>
      <c r="AV179" s="16">
        <f t="shared" si="96"/>
        <v>100</v>
      </c>
      <c r="AW179" s="18">
        <v>4.9000000000000004</v>
      </c>
      <c r="AX179" s="13">
        <f t="shared" si="106"/>
        <v>4.9000000000000002E-2</v>
      </c>
      <c r="AY179" s="8" t="s">
        <v>218</v>
      </c>
      <c r="AZ179" s="16">
        <f>1.5/0.075</f>
        <v>20</v>
      </c>
      <c r="BA179" s="16" t="s">
        <v>55</v>
      </c>
      <c r="BB179" s="16">
        <v>10</v>
      </c>
      <c r="BC179" s="16" t="s">
        <v>55</v>
      </c>
      <c r="BD179" s="20">
        <v>0.42</v>
      </c>
      <c r="BE179" s="15">
        <f t="shared" si="97"/>
        <v>8.5714285714285712</v>
      </c>
      <c r="BF179" s="8">
        <f t="shared" si="105"/>
        <v>0.93305321036938682</v>
      </c>
      <c r="BG179" s="8">
        <f t="shared" si="98"/>
        <v>-0.37675070960209955</v>
      </c>
      <c r="BH179" s="2" t="s">
        <v>380</v>
      </c>
      <c r="BI179" s="2"/>
      <c r="BJ179" s="2"/>
      <c r="BK179" s="2"/>
      <c r="BL179" s="2"/>
      <c r="BM179" s="20"/>
      <c r="BN179" s="20"/>
      <c r="BO179" s="2"/>
    </row>
    <row r="180" spans="1:67" s="14" customFormat="1" x14ac:dyDescent="0.3">
      <c r="A180" s="20">
        <v>178</v>
      </c>
      <c r="B180" s="2" t="s">
        <v>214</v>
      </c>
      <c r="C180" s="2">
        <v>2022</v>
      </c>
      <c r="D180" s="2" t="s">
        <v>201</v>
      </c>
      <c r="E180" s="10" t="s">
        <v>808</v>
      </c>
      <c r="F180" s="20" t="s">
        <v>29</v>
      </c>
      <c r="G180" s="2" t="s">
        <v>233</v>
      </c>
      <c r="H180" s="2" t="str">
        <f>'PFAS Properties'!$B$31</f>
        <v>PFHxA</v>
      </c>
      <c r="I180" s="2" t="str">
        <f>'PFAS Properties'!$C$31</f>
        <v>PFCA</v>
      </c>
      <c r="J180" s="2" t="str">
        <f>'PFAS Properties'!$D$31</f>
        <v>C6HF11O2</v>
      </c>
      <c r="K180" s="25">
        <f>'PFAS Properties'!$P$31</f>
        <v>313.97999999999996</v>
      </c>
      <c r="L180" s="2">
        <f>'PFAS Properties'!$X$31</f>
        <v>-0.2</v>
      </c>
      <c r="M180" s="2" t="str">
        <f>'PFAS Properties'!$Y$31</f>
        <v>-</v>
      </c>
      <c r="N180" s="33">
        <v>0</v>
      </c>
      <c r="O180" s="33">
        <v>0</v>
      </c>
      <c r="P180" s="33">
        <v>0</v>
      </c>
      <c r="Q180" s="33">
        <f t="shared" si="80"/>
        <v>0.9999992056723962</v>
      </c>
      <c r="R180" s="33">
        <v>0</v>
      </c>
      <c r="S180" s="33">
        <f t="shared" si="81"/>
        <v>7.9432760376743655E-7</v>
      </c>
      <c r="T180" s="8">
        <f t="shared" si="99"/>
        <v>1</v>
      </c>
      <c r="U180" s="33">
        <f t="shared" si="100"/>
        <v>0</v>
      </c>
      <c r="V180" s="33">
        <f t="shared" si="101"/>
        <v>-0.9999992056723962</v>
      </c>
      <c r="W180" s="33">
        <f t="shared" si="102"/>
        <v>312.98000079432751</v>
      </c>
      <c r="X180" s="33">
        <v>96485</v>
      </c>
      <c r="Y180" s="16">
        <f t="shared" si="103"/>
        <v>-308.27823859169041</v>
      </c>
      <c r="Z180" s="16">
        <v>6</v>
      </c>
      <c r="AA180" s="16">
        <v>11</v>
      </c>
      <c r="AB180" s="8">
        <f t="shared" si="104"/>
        <v>0.34449760765550236</v>
      </c>
      <c r="AC180" s="16">
        <f t="shared" si="77"/>
        <v>66.564749347092175</v>
      </c>
      <c r="AD180" s="20">
        <f>'PFAS Properties'!$W$31</f>
        <v>5</v>
      </c>
      <c r="AE180" s="8">
        <f>'PFAS Properties'!$S$31</f>
        <v>4.4332896851950254</v>
      </c>
      <c r="AF180" s="15">
        <f>'PFAS Properties'!$V$31</f>
        <v>3.6</v>
      </c>
      <c r="AG180" s="24">
        <v>5.9</v>
      </c>
      <c r="AH180" s="2" t="s">
        <v>216</v>
      </c>
      <c r="AI180" s="2">
        <v>1.4</v>
      </c>
      <c r="AJ180" s="15">
        <f>AI180*1000/55.845</f>
        <v>25.069388485988004</v>
      </c>
      <c r="AK180" s="15">
        <f t="shared" si="108"/>
        <v>0.13999999999999999</v>
      </c>
      <c r="AL180" s="15">
        <v>0.92</v>
      </c>
      <c r="AM180" s="15">
        <f>AL180*1000/26.98</f>
        <v>34.099332839140104</v>
      </c>
      <c r="AN180" s="15">
        <f t="shared" si="110"/>
        <v>9.1999999999999998E-2</v>
      </c>
      <c r="AO180" s="15" t="s">
        <v>217</v>
      </c>
      <c r="AP180" s="72">
        <v>15.34083666666667</v>
      </c>
      <c r="AQ180" s="70" t="s">
        <v>752</v>
      </c>
      <c r="AR180" s="16">
        <v>37</v>
      </c>
      <c r="AS180" s="16">
        <v>22</v>
      </c>
      <c r="AT180" s="16">
        <v>41</v>
      </c>
      <c r="AU180" s="2" t="s">
        <v>661</v>
      </c>
      <c r="AV180" s="16">
        <f t="shared" si="96"/>
        <v>100</v>
      </c>
      <c r="AW180" s="18">
        <v>2.6</v>
      </c>
      <c r="AX180" s="13">
        <f t="shared" si="106"/>
        <v>2.6000000000000002E-2</v>
      </c>
      <c r="AY180" s="8" t="s">
        <v>218</v>
      </c>
      <c r="AZ180" s="16">
        <f>1.5/0.075</f>
        <v>20</v>
      </c>
      <c r="BA180" s="16" t="s">
        <v>55</v>
      </c>
      <c r="BB180" s="16">
        <v>10</v>
      </c>
      <c r="BC180" s="16" t="s">
        <v>55</v>
      </c>
      <c r="BD180" s="20">
        <v>0.17</v>
      </c>
      <c r="BE180" s="15">
        <f t="shared" si="97"/>
        <v>6.5384615384615383</v>
      </c>
      <c r="BF180" s="8">
        <f t="shared" si="105"/>
        <v>0.81547557340745591</v>
      </c>
      <c r="BG180" s="8">
        <f t="shared" si="98"/>
        <v>-0.769551078621726</v>
      </c>
      <c r="BH180" s="2" t="s">
        <v>380</v>
      </c>
      <c r="BI180" s="2"/>
      <c r="BJ180" s="2"/>
      <c r="BK180" s="2"/>
      <c r="BL180" s="2"/>
      <c r="BM180" s="20"/>
      <c r="BN180" s="20"/>
      <c r="BO180" s="2"/>
    </row>
    <row r="181" spans="1:67" s="14" customFormat="1" x14ac:dyDescent="0.3">
      <c r="A181" s="20">
        <v>179</v>
      </c>
      <c r="B181" s="2" t="s">
        <v>181</v>
      </c>
      <c r="C181" s="2">
        <v>2020</v>
      </c>
      <c r="D181" s="2" t="s">
        <v>203</v>
      </c>
      <c r="E181" s="10" t="s">
        <v>787</v>
      </c>
      <c r="F181" s="20" t="s">
        <v>29</v>
      </c>
      <c r="G181" s="2" t="s">
        <v>62</v>
      </c>
      <c r="H181" s="2" t="str">
        <f>'PFAS Properties'!$B$31</f>
        <v>PFHxA</v>
      </c>
      <c r="I181" s="2" t="str">
        <f>'PFAS Properties'!$C$31</f>
        <v>PFCA</v>
      </c>
      <c r="J181" s="2" t="str">
        <f>'PFAS Properties'!$D$31</f>
        <v>C6HF11O2</v>
      </c>
      <c r="K181" s="25">
        <f>'PFAS Properties'!$P$31</f>
        <v>313.97999999999996</v>
      </c>
      <c r="L181" s="2">
        <f>'PFAS Properties'!$X$31</f>
        <v>-0.2</v>
      </c>
      <c r="M181" s="2" t="str">
        <f>'PFAS Properties'!$Y$31</f>
        <v>-</v>
      </c>
      <c r="N181" s="33">
        <v>0</v>
      </c>
      <c r="O181" s="33">
        <v>0</v>
      </c>
      <c r="P181" s="33">
        <v>0</v>
      </c>
      <c r="Q181" s="33">
        <f t="shared" si="80"/>
        <v>0.99999998004737722</v>
      </c>
      <c r="R181" s="33">
        <v>0</v>
      </c>
      <c r="S181" s="33">
        <f t="shared" si="81"/>
        <v>1.995262275158161E-8</v>
      </c>
      <c r="T181" s="8">
        <f t="shared" si="99"/>
        <v>1</v>
      </c>
      <c r="U181" s="33">
        <f t="shared" si="100"/>
        <v>0</v>
      </c>
      <c r="V181" s="33">
        <f t="shared" si="101"/>
        <v>-0.99999998004737722</v>
      </c>
      <c r="W181" s="33">
        <f t="shared" si="102"/>
        <v>312.98000001995257</v>
      </c>
      <c r="X181" s="33">
        <v>96485</v>
      </c>
      <c r="Y181" s="16">
        <f t="shared" si="103"/>
        <v>-308.27847807757763</v>
      </c>
      <c r="Z181" s="16">
        <v>6</v>
      </c>
      <c r="AA181" s="16">
        <v>11</v>
      </c>
      <c r="AB181" s="8">
        <f t="shared" si="104"/>
        <v>0.34449760765550236</v>
      </c>
      <c r="AC181" s="16">
        <f t="shared" si="77"/>
        <v>66.564749347092175</v>
      </c>
      <c r="AD181" s="20">
        <f>'PFAS Properties'!$W$31</f>
        <v>5</v>
      </c>
      <c r="AE181" s="8">
        <f>'PFAS Properties'!$S$31</f>
        <v>4.4332896851950254</v>
      </c>
      <c r="AF181" s="15">
        <f>'PFAS Properties'!$V$31</f>
        <v>3.6</v>
      </c>
      <c r="AG181" s="24">
        <v>7.5</v>
      </c>
      <c r="AH181" s="2" t="s">
        <v>183</v>
      </c>
      <c r="AI181" s="2" t="s">
        <v>661</v>
      </c>
      <c r="AJ181" s="2" t="s">
        <v>661</v>
      </c>
      <c r="AK181" s="2" t="s">
        <v>661</v>
      </c>
      <c r="AL181" s="2" t="s">
        <v>661</v>
      </c>
      <c r="AM181" s="2" t="s">
        <v>661</v>
      </c>
      <c r="AN181" s="2" t="s">
        <v>661</v>
      </c>
      <c r="AO181" s="2" t="s">
        <v>661</v>
      </c>
      <c r="AP181" s="15">
        <v>41.4</v>
      </c>
      <c r="AQ181" s="2" t="s">
        <v>661</v>
      </c>
      <c r="AR181" s="16">
        <v>16.899999999999999</v>
      </c>
      <c r="AS181" s="16">
        <v>17.5</v>
      </c>
      <c r="AT181" s="16">
        <v>65.599999999999994</v>
      </c>
      <c r="AU181" s="2" t="s">
        <v>661</v>
      </c>
      <c r="AV181" s="16">
        <f t="shared" si="96"/>
        <v>100</v>
      </c>
      <c r="AW181" s="18">
        <v>0.7</v>
      </c>
      <c r="AX181" s="13">
        <v>6.9999999999999993E-3</v>
      </c>
      <c r="AY181" s="13" t="s">
        <v>184</v>
      </c>
      <c r="AZ181" s="16">
        <f t="shared" ref="AZ181:AZ190" si="112">0.8/0.008</f>
        <v>100</v>
      </c>
      <c r="BA181" s="16" t="s">
        <v>55</v>
      </c>
      <c r="BB181" s="16">
        <v>5</v>
      </c>
      <c r="BC181" s="16" t="s">
        <v>55</v>
      </c>
      <c r="BD181" s="18">
        <v>0.39</v>
      </c>
      <c r="BE181" s="15">
        <f t="shared" si="97"/>
        <v>55.714285714285722</v>
      </c>
      <c r="BF181" s="8">
        <f t="shared" si="105"/>
        <v>1.7459665670122424</v>
      </c>
      <c r="BG181" s="8">
        <f t="shared" si="98"/>
        <v>-0.40893539297350079</v>
      </c>
      <c r="BH181" s="13" t="s">
        <v>345</v>
      </c>
      <c r="BI181" s="13"/>
      <c r="BJ181" s="13"/>
      <c r="BK181" s="13"/>
      <c r="BL181" s="13"/>
      <c r="BM181" s="17"/>
      <c r="BN181" s="17"/>
      <c r="BO181" s="2"/>
    </row>
    <row r="182" spans="1:67" s="14" customFormat="1" x14ac:dyDescent="0.3">
      <c r="A182" s="20">
        <v>180</v>
      </c>
      <c r="B182" s="2" t="s">
        <v>181</v>
      </c>
      <c r="C182" s="2">
        <v>2020</v>
      </c>
      <c r="D182" s="2" t="s">
        <v>203</v>
      </c>
      <c r="E182" s="10" t="s">
        <v>787</v>
      </c>
      <c r="F182" s="20" t="s">
        <v>29</v>
      </c>
      <c r="G182" s="2" t="s">
        <v>57</v>
      </c>
      <c r="H182" s="2" t="str">
        <f>'PFAS Properties'!$B$31</f>
        <v>PFHxA</v>
      </c>
      <c r="I182" s="2" t="str">
        <f>'PFAS Properties'!$C$31</f>
        <v>PFCA</v>
      </c>
      <c r="J182" s="2" t="str">
        <f>'PFAS Properties'!$D$31</f>
        <v>C6HF11O2</v>
      </c>
      <c r="K182" s="25">
        <f>'PFAS Properties'!$P$31</f>
        <v>313.97999999999996</v>
      </c>
      <c r="L182" s="2">
        <f>'PFAS Properties'!$X$31</f>
        <v>-0.2</v>
      </c>
      <c r="M182" s="2" t="str">
        <f>'PFAS Properties'!$Y$31</f>
        <v>-</v>
      </c>
      <c r="N182" s="33">
        <v>0</v>
      </c>
      <c r="O182" s="33">
        <v>0</v>
      </c>
      <c r="P182" s="33">
        <v>0</v>
      </c>
      <c r="Q182" s="33">
        <f t="shared" si="80"/>
        <v>0.99999990000001004</v>
      </c>
      <c r="R182" s="33">
        <v>0</v>
      </c>
      <c r="S182" s="33">
        <f t="shared" si="81"/>
        <v>9.9999990000001005E-8</v>
      </c>
      <c r="T182" s="8">
        <f t="shared" si="99"/>
        <v>1</v>
      </c>
      <c r="U182" s="33">
        <f t="shared" si="100"/>
        <v>0</v>
      </c>
      <c r="V182" s="33">
        <f t="shared" si="101"/>
        <v>-0.99999990000001004</v>
      </c>
      <c r="W182" s="33">
        <f t="shared" si="102"/>
        <v>312.98000009999993</v>
      </c>
      <c r="X182" s="33">
        <v>96485</v>
      </c>
      <c r="Y182" s="16">
        <f t="shared" si="103"/>
        <v>-308.27845332185171</v>
      </c>
      <c r="Z182" s="16">
        <v>6</v>
      </c>
      <c r="AA182" s="16">
        <v>11</v>
      </c>
      <c r="AB182" s="8">
        <f t="shared" si="104"/>
        <v>0.34449760765550236</v>
      </c>
      <c r="AC182" s="16">
        <f t="shared" si="77"/>
        <v>66.564749347092175</v>
      </c>
      <c r="AD182" s="20">
        <f>'PFAS Properties'!$W$31</f>
        <v>5</v>
      </c>
      <c r="AE182" s="8">
        <f>'PFAS Properties'!$S$31</f>
        <v>4.4332896851950254</v>
      </c>
      <c r="AF182" s="15">
        <f>'PFAS Properties'!$V$31</f>
        <v>3.6</v>
      </c>
      <c r="AG182" s="24">
        <v>6.8</v>
      </c>
      <c r="AH182" s="2" t="s">
        <v>183</v>
      </c>
      <c r="AI182" s="2" t="s">
        <v>661</v>
      </c>
      <c r="AJ182" s="2" t="s">
        <v>661</v>
      </c>
      <c r="AK182" s="2" t="s">
        <v>661</v>
      </c>
      <c r="AL182" s="2" t="s">
        <v>661</v>
      </c>
      <c r="AM182" s="2" t="s">
        <v>661</v>
      </c>
      <c r="AN182" s="2" t="s">
        <v>661</v>
      </c>
      <c r="AO182" s="2" t="s">
        <v>661</v>
      </c>
      <c r="AP182" s="15">
        <v>7.1</v>
      </c>
      <c r="AQ182" s="2" t="s">
        <v>661</v>
      </c>
      <c r="AR182" s="16">
        <v>48.9</v>
      </c>
      <c r="AS182" s="16">
        <v>27</v>
      </c>
      <c r="AT182" s="16">
        <v>24.2</v>
      </c>
      <c r="AU182" s="2" t="s">
        <v>661</v>
      </c>
      <c r="AV182" s="16">
        <f t="shared" si="96"/>
        <v>100.10000000000001</v>
      </c>
      <c r="AW182" s="18">
        <v>0.37</v>
      </c>
      <c r="AX182" s="13">
        <v>3.7000000000000002E-3</v>
      </c>
      <c r="AY182" s="13" t="s">
        <v>184</v>
      </c>
      <c r="AZ182" s="16">
        <f t="shared" si="112"/>
        <v>100</v>
      </c>
      <c r="BA182" s="16" t="s">
        <v>55</v>
      </c>
      <c r="BB182" s="16">
        <v>5</v>
      </c>
      <c r="BC182" s="16" t="s">
        <v>55</v>
      </c>
      <c r="BD182" s="20">
        <v>0.35</v>
      </c>
      <c r="BE182" s="15">
        <f t="shared" si="97"/>
        <v>94.594594594594582</v>
      </c>
      <c r="BF182" s="8">
        <f t="shared" si="105"/>
        <v>1.9758663202832807</v>
      </c>
      <c r="BG182" s="8">
        <f t="shared" si="98"/>
        <v>-0.45593195564972439</v>
      </c>
      <c r="BH182" s="13" t="s">
        <v>345</v>
      </c>
      <c r="BI182" s="13"/>
      <c r="BJ182" s="13"/>
      <c r="BK182" s="13"/>
      <c r="BL182" s="13"/>
      <c r="BM182" s="17"/>
      <c r="BN182" s="17"/>
      <c r="BO182" s="2"/>
    </row>
    <row r="183" spans="1:67" s="14" customFormat="1" x14ac:dyDescent="0.3">
      <c r="A183" s="20">
        <v>181</v>
      </c>
      <c r="B183" s="2" t="s">
        <v>181</v>
      </c>
      <c r="C183" s="2">
        <v>2020</v>
      </c>
      <c r="D183" s="2" t="s">
        <v>203</v>
      </c>
      <c r="E183" s="10" t="s">
        <v>787</v>
      </c>
      <c r="F183" s="20" t="s">
        <v>29</v>
      </c>
      <c r="G183" s="2" t="s">
        <v>58</v>
      </c>
      <c r="H183" s="2" t="str">
        <f>'PFAS Properties'!$B$31</f>
        <v>PFHxA</v>
      </c>
      <c r="I183" s="2" t="str">
        <f>'PFAS Properties'!$C$31</f>
        <v>PFCA</v>
      </c>
      <c r="J183" s="2" t="str">
        <f>'PFAS Properties'!$D$31</f>
        <v>C6HF11O2</v>
      </c>
      <c r="K183" s="25">
        <f>'PFAS Properties'!$P$31</f>
        <v>313.97999999999996</v>
      </c>
      <c r="L183" s="2">
        <f>'PFAS Properties'!$X$31</f>
        <v>-0.2</v>
      </c>
      <c r="M183" s="2" t="str">
        <f>'PFAS Properties'!$Y$31</f>
        <v>-</v>
      </c>
      <c r="N183" s="33">
        <v>0</v>
      </c>
      <c r="O183" s="33">
        <v>0</v>
      </c>
      <c r="P183" s="33">
        <v>0</v>
      </c>
      <c r="Q183" s="33">
        <f t="shared" si="80"/>
        <v>0.99999960189298798</v>
      </c>
      <c r="R183" s="33">
        <v>0</v>
      </c>
      <c r="S183" s="33">
        <f t="shared" si="81"/>
        <v>3.9810701206424001E-7</v>
      </c>
      <c r="T183" s="8">
        <f t="shared" si="99"/>
        <v>1</v>
      </c>
      <c r="U183" s="33">
        <f t="shared" si="100"/>
        <v>0</v>
      </c>
      <c r="V183" s="33">
        <f t="shared" si="101"/>
        <v>-0.99999960189298798</v>
      </c>
      <c r="W183" s="33">
        <f t="shared" si="102"/>
        <v>312.98000039810699</v>
      </c>
      <c r="X183" s="33">
        <v>96485</v>
      </c>
      <c r="Y183" s="16">
        <f t="shared" si="103"/>
        <v>-308.27836112824195</v>
      </c>
      <c r="Z183" s="16">
        <v>6</v>
      </c>
      <c r="AA183" s="16">
        <v>11</v>
      </c>
      <c r="AB183" s="8">
        <f t="shared" si="104"/>
        <v>0.34449760765550236</v>
      </c>
      <c r="AC183" s="16">
        <f t="shared" si="77"/>
        <v>66.564749347092175</v>
      </c>
      <c r="AD183" s="20">
        <f>'PFAS Properties'!$W$31</f>
        <v>5</v>
      </c>
      <c r="AE183" s="8">
        <f>'PFAS Properties'!$S$31</f>
        <v>4.4332896851950254</v>
      </c>
      <c r="AF183" s="15">
        <f>'PFAS Properties'!$V$31</f>
        <v>3.6</v>
      </c>
      <c r="AG183" s="24">
        <v>6.2</v>
      </c>
      <c r="AH183" s="2" t="s">
        <v>183</v>
      </c>
      <c r="AI183" s="2" t="s">
        <v>661</v>
      </c>
      <c r="AJ183" s="2" t="s">
        <v>661</v>
      </c>
      <c r="AK183" s="2" t="s">
        <v>661</v>
      </c>
      <c r="AL183" s="2" t="s">
        <v>661</v>
      </c>
      <c r="AM183" s="2" t="s">
        <v>661</v>
      </c>
      <c r="AN183" s="2" t="s">
        <v>661</v>
      </c>
      <c r="AO183" s="2" t="s">
        <v>661</v>
      </c>
      <c r="AP183" s="15">
        <v>8</v>
      </c>
      <c r="AQ183" s="2" t="s">
        <v>661</v>
      </c>
      <c r="AR183" s="16">
        <v>51.44</v>
      </c>
      <c r="AS183" s="16">
        <v>10.17</v>
      </c>
      <c r="AT183" s="16">
        <v>38.380000000000003</v>
      </c>
      <c r="AU183" s="2" t="s">
        <v>661</v>
      </c>
      <c r="AV183" s="16">
        <f t="shared" si="96"/>
        <v>99.990000000000009</v>
      </c>
      <c r="AW183" s="18">
        <v>0.08</v>
      </c>
      <c r="AX183" s="13">
        <v>8.0000000000000004E-4</v>
      </c>
      <c r="AY183" s="8" t="s">
        <v>184</v>
      </c>
      <c r="AZ183" s="16">
        <f t="shared" si="112"/>
        <v>100</v>
      </c>
      <c r="BA183" s="16" t="s">
        <v>55</v>
      </c>
      <c r="BB183" s="16">
        <v>5</v>
      </c>
      <c r="BC183" s="16" t="s">
        <v>55</v>
      </c>
      <c r="BD183" s="20">
        <v>0.24</v>
      </c>
      <c r="BE183" s="15">
        <f t="shared" si="97"/>
        <v>300</v>
      </c>
      <c r="BF183" s="8">
        <f t="shared" si="105"/>
        <v>2.4771212547196626</v>
      </c>
      <c r="BG183" s="8">
        <f t="shared" si="98"/>
        <v>-0.61978875828839397</v>
      </c>
      <c r="BH183" s="13" t="s">
        <v>345</v>
      </c>
      <c r="BI183" s="13"/>
      <c r="BJ183" s="13"/>
      <c r="BK183" s="13"/>
      <c r="BL183" s="13"/>
      <c r="BM183" s="17"/>
      <c r="BN183" s="17"/>
      <c r="BO183" s="2"/>
    </row>
    <row r="184" spans="1:67" s="14" customFormat="1" x14ac:dyDescent="0.3">
      <c r="A184" s="20">
        <v>182</v>
      </c>
      <c r="B184" s="2" t="s">
        <v>181</v>
      </c>
      <c r="C184" s="2">
        <v>2020</v>
      </c>
      <c r="D184" s="2" t="s">
        <v>203</v>
      </c>
      <c r="E184" s="10" t="s">
        <v>787</v>
      </c>
      <c r="F184" s="20" t="s">
        <v>29</v>
      </c>
      <c r="G184" s="2" t="s">
        <v>59</v>
      </c>
      <c r="H184" s="2" t="str">
        <f>'PFAS Properties'!$B$31</f>
        <v>PFHxA</v>
      </c>
      <c r="I184" s="2" t="str">
        <f>'PFAS Properties'!$C$31</f>
        <v>PFCA</v>
      </c>
      <c r="J184" s="2" t="str">
        <f>'PFAS Properties'!$D$31</f>
        <v>C6HF11O2</v>
      </c>
      <c r="K184" s="25">
        <f>'PFAS Properties'!$P$31</f>
        <v>313.97999999999996</v>
      </c>
      <c r="L184" s="2">
        <f>'PFAS Properties'!$X$31</f>
        <v>-0.2</v>
      </c>
      <c r="M184" s="2" t="str">
        <f>'PFAS Properties'!$Y$31</f>
        <v>-</v>
      </c>
      <c r="N184" s="33">
        <v>0</v>
      </c>
      <c r="O184" s="33">
        <v>0</v>
      </c>
      <c r="P184" s="33">
        <v>0</v>
      </c>
      <c r="Q184" s="33">
        <f t="shared" si="80"/>
        <v>0.99999998741074603</v>
      </c>
      <c r="R184" s="33">
        <v>0</v>
      </c>
      <c r="S184" s="33">
        <f t="shared" si="81"/>
        <v>1.258925395945232E-8</v>
      </c>
      <c r="T184" s="8">
        <f t="shared" si="99"/>
        <v>1</v>
      </c>
      <c r="U184" s="33">
        <f t="shared" si="100"/>
        <v>0</v>
      </c>
      <c r="V184" s="33">
        <f t="shared" si="101"/>
        <v>-0.99999998741074603</v>
      </c>
      <c r="W184" s="33">
        <f t="shared" si="102"/>
        <v>312.98000001258924</v>
      </c>
      <c r="X184" s="33">
        <v>96485</v>
      </c>
      <c r="Y184" s="16">
        <f t="shared" si="103"/>
        <v>-308.27848035479849</v>
      </c>
      <c r="Z184" s="16">
        <v>6</v>
      </c>
      <c r="AA184" s="16">
        <v>11</v>
      </c>
      <c r="AB184" s="8">
        <f t="shared" si="104"/>
        <v>0.34449760765550236</v>
      </c>
      <c r="AC184" s="16">
        <f t="shared" si="77"/>
        <v>66.564749347092175</v>
      </c>
      <c r="AD184" s="20">
        <f>'PFAS Properties'!$W$31</f>
        <v>5</v>
      </c>
      <c r="AE184" s="8">
        <f>'PFAS Properties'!$S$31</f>
        <v>4.4332896851950254</v>
      </c>
      <c r="AF184" s="15">
        <f>'PFAS Properties'!$V$31</f>
        <v>3.6</v>
      </c>
      <c r="AG184" s="24">
        <v>7.7</v>
      </c>
      <c r="AH184" s="2" t="s">
        <v>183</v>
      </c>
      <c r="AI184" s="2" t="s">
        <v>661</v>
      </c>
      <c r="AJ184" s="2" t="s">
        <v>661</v>
      </c>
      <c r="AK184" s="2" t="s">
        <v>661</v>
      </c>
      <c r="AL184" s="2" t="s">
        <v>661</v>
      </c>
      <c r="AM184" s="2" t="s">
        <v>661</v>
      </c>
      <c r="AN184" s="2" t="s">
        <v>661</v>
      </c>
      <c r="AO184" s="2" t="s">
        <v>661</v>
      </c>
      <c r="AP184" s="15">
        <v>4.8</v>
      </c>
      <c r="AQ184" s="2" t="s">
        <v>661</v>
      </c>
      <c r="AR184" s="16">
        <v>46</v>
      </c>
      <c r="AS184" s="16">
        <v>37</v>
      </c>
      <c r="AT184" s="16">
        <v>17</v>
      </c>
      <c r="AU184" s="2" t="s">
        <v>661</v>
      </c>
      <c r="AV184" s="16">
        <f t="shared" si="96"/>
        <v>100</v>
      </c>
      <c r="AW184" s="18">
        <v>0.25</v>
      </c>
      <c r="AX184" s="13">
        <v>2.5000000000000001E-3</v>
      </c>
      <c r="AY184" s="13" t="s">
        <v>184</v>
      </c>
      <c r="AZ184" s="16">
        <f t="shared" si="112"/>
        <v>100</v>
      </c>
      <c r="BA184" s="16" t="s">
        <v>55</v>
      </c>
      <c r="BB184" s="16">
        <v>5</v>
      </c>
      <c r="BC184" s="16" t="s">
        <v>55</v>
      </c>
      <c r="BD184" s="18">
        <v>0.17</v>
      </c>
      <c r="BE184" s="15">
        <f t="shared" si="97"/>
        <v>68</v>
      </c>
      <c r="BF184" s="8">
        <f t="shared" si="105"/>
        <v>1.8325089127062364</v>
      </c>
      <c r="BG184" s="8">
        <f t="shared" si="98"/>
        <v>-0.769551078621726</v>
      </c>
      <c r="BH184" s="13" t="s">
        <v>345</v>
      </c>
      <c r="BI184" s="13"/>
      <c r="BJ184" s="13"/>
      <c r="BK184" s="13"/>
      <c r="BL184" s="13"/>
      <c r="BM184" s="17"/>
      <c r="BN184" s="17"/>
      <c r="BO184" s="2"/>
    </row>
    <row r="185" spans="1:67" s="14" customFormat="1" x14ac:dyDescent="0.3">
      <c r="A185" s="20">
        <v>183</v>
      </c>
      <c r="B185" s="2" t="s">
        <v>181</v>
      </c>
      <c r="C185" s="2">
        <v>2020</v>
      </c>
      <c r="D185" s="2" t="s">
        <v>203</v>
      </c>
      <c r="E185" s="10" t="s">
        <v>787</v>
      </c>
      <c r="F185" s="20" t="s">
        <v>29</v>
      </c>
      <c r="G185" s="2" t="s">
        <v>61</v>
      </c>
      <c r="H185" s="2" t="str">
        <f>'PFAS Properties'!$B$31</f>
        <v>PFHxA</v>
      </c>
      <c r="I185" s="2" t="str">
        <f>'PFAS Properties'!$C$31</f>
        <v>PFCA</v>
      </c>
      <c r="J185" s="2" t="str">
        <f>'PFAS Properties'!$D$31</f>
        <v>C6HF11O2</v>
      </c>
      <c r="K185" s="25">
        <f>'PFAS Properties'!$P$31</f>
        <v>313.97999999999996</v>
      </c>
      <c r="L185" s="2">
        <f>'PFAS Properties'!$X$31</f>
        <v>-0.2</v>
      </c>
      <c r="M185" s="2" t="str">
        <f>'PFAS Properties'!$Y$31</f>
        <v>-</v>
      </c>
      <c r="N185" s="33">
        <v>0</v>
      </c>
      <c r="O185" s="33">
        <v>0</v>
      </c>
      <c r="P185" s="33">
        <v>0</v>
      </c>
      <c r="Q185" s="33">
        <f t="shared" si="80"/>
        <v>0.99999997488113634</v>
      </c>
      <c r="R185" s="33">
        <v>0</v>
      </c>
      <c r="S185" s="33">
        <f t="shared" si="81"/>
        <v>2.5118863684138424E-8</v>
      </c>
      <c r="T185" s="8">
        <f t="shared" si="99"/>
        <v>1</v>
      </c>
      <c r="U185" s="33">
        <f t="shared" si="100"/>
        <v>0</v>
      </c>
      <c r="V185" s="33">
        <f t="shared" si="101"/>
        <v>-0.99999997488113634</v>
      </c>
      <c r="W185" s="33">
        <f t="shared" si="102"/>
        <v>312.98000002511884</v>
      </c>
      <c r="X185" s="33">
        <v>96485</v>
      </c>
      <c r="Y185" s="16">
        <f t="shared" si="103"/>
        <v>-308.27847647984805</v>
      </c>
      <c r="Z185" s="16">
        <v>6</v>
      </c>
      <c r="AA185" s="16">
        <v>11</v>
      </c>
      <c r="AB185" s="8">
        <f t="shared" si="104"/>
        <v>0.34449760765550236</v>
      </c>
      <c r="AC185" s="16">
        <f t="shared" si="77"/>
        <v>66.564749347092175</v>
      </c>
      <c r="AD185" s="20">
        <f>'PFAS Properties'!$W$31</f>
        <v>5</v>
      </c>
      <c r="AE185" s="8">
        <f>'PFAS Properties'!$S$31</f>
        <v>4.4332896851950254</v>
      </c>
      <c r="AF185" s="15">
        <f>'PFAS Properties'!$V$31</f>
        <v>3.6</v>
      </c>
      <c r="AG185" s="24">
        <v>7.4</v>
      </c>
      <c r="AH185" s="2" t="s">
        <v>183</v>
      </c>
      <c r="AI185" s="2" t="s">
        <v>661</v>
      </c>
      <c r="AJ185" s="2" t="s">
        <v>661</v>
      </c>
      <c r="AK185" s="2" t="s">
        <v>661</v>
      </c>
      <c r="AL185" s="2" t="s">
        <v>661</v>
      </c>
      <c r="AM185" s="2" t="s">
        <v>661</v>
      </c>
      <c r="AN185" s="2" t="s">
        <v>661</v>
      </c>
      <c r="AO185" s="2" t="s">
        <v>661</v>
      </c>
      <c r="AP185" s="15">
        <v>29.6</v>
      </c>
      <c r="AQ185" s="2" t="s">
        <v>661</v>
      </c>
      <c r="AR185" s="16">
        <v>39.799999999999997</v>
      </c>
      <c r="AS185" s="16">
        <v>7.7</v>
      </c>
      <c r="AT185" s="16">
        <v>52.5</v>
      </c>
      <c r="AU185" s="2" t="s">
        <v>661</v>
      </c>
      <c r="AV185" s="16">
        <f t="shared" si="96"/>
        <v>100</v>
      </c>
      <c r="AW185" s="18">
        <v>2.23</v>
      </c>
      <c r="AX185" s="13">
        <v>2.23E-2</v>
      </c>
      <c r="AY185" s="8" t="s">
        <v>184</v>
      </c>
      <c r="AZ185" s="16">
        <f t="shared" si="112"/>
        <v>100</v>
      </c>
      <c r="BA185" s="16" t="s">
        <v>55</v>
      </c>
      <c r="BB185" s="16">
        <v>5</v>
      </c>
      <c r="BC185" s="16" t="s">
        <v>55</v>
      </c>
      <c r="BD185" s="20">
        <v>0.31</v>
      </c>
      <c r="BE185" s="15">
        <f t="shared" si="97"/>
        <v>13.901345291479821</v>
      </c>
      <c r="BF185" s="8">
        <f t="shared" si="105"/>
        <v>1.143056830786112</v>
      </c>
      <c r="BG185" s="8">
        <f t="shared" si="98"/>
        <v>-0.50863830616572736</v>
      </c>
      <c r="BH185" s="13" t="s">
        <v>345</v>
      </c>
      <c r="BI185" s="13"/>
      <c r="BJ185" s="13"/>
      <c r="BK185" s="13"/>
      <c r="BL185" s="13"/>
      <c r="BM185" s="17"/>
      <c r="BN185" s="17"/>
      <c r="BO185" s="2"/>
    </row>
    <row r="186" spans="1:67" s="14" customFormat="1" x14ac:dyDescent="0.3">
      <c r="A186" s="20">
        <v>184</v>
      </c>
      <c r="B186" s="2" t="s">
        <v>181</v>
      </c>
      <c r="C186" s="2">
        <v>2020</v>
      </c>
      <c r="D186" s="2" t="s">
        <v>203</v>
      </c>
      <c r="E186" s="10" t="s">
        <v>787</v>
      </c>
      <c r="F186" s="20" t="s">
        <v>29</v>
      </c>
      <c r="G186" s="2" t="s">
        <v>60</v>
      </c>
      <c r="H186" s="2" t="str">
        <f>'PFAS Properties'!$B$31</f>
        <v>PFHxA</v>
      </c>
      <c r="I186" s="2" t="str">
        <f>'PFAS Properties'!$C$31</f>
        <v>PFCA</v>
      </c>
      <c r="J186" s="2" t="str">
        <f>'PFAS Properties'!$D$31</f>
        <v>C6HF11O2</v>
      </c>
      <c r="K186" s="25">
        <f>'PFAS Properties'!$P$31</f>
        <v>313.97999999999996</v>
      </c>
      <c r="L186" s="2">
        <f>'PFAS Properties'!$X$31</f>
        <v>-0.2</v>
      </c>
      <c r="M186" s="2" t="str">
        <f>'PFAS Properties'!$Y$31</f>
        <v>-</v>
      </c>
      <c r="N186" s="33">
        <v>0</v>
      </c>
      <c r="O186" s="33">
        <v>0</v>
      </c>
      <c r="P186" s="33">
        <v>0</v>
      </c>
      <c r="Q186" s="33">
        <f t="shared" si="80"/>
        <v>0.99999998741074603</v>
      </c>
      <c r="R186" s="33">
        <v>0</v>
      </c>
      <c r="S186" s="33">
        <f t="shared" si="81"/>
        <v>1.258925395945232E-8</v>
      </c>
      <c r="T186" s="8">
        <f t="shared" si="99"/>
        <v>1</v>
      </c>
      <c r="U186" s="33">
        <f t="shared" si="100"/>
        <v>0</v>
      </c>
      <c r="V186" s="33">
        <f t="shared" si="101"/>
        <v>-0.99999998741074603</v>
      </c>
      <c r="W186" s="33">
        <f t="shared" si="102"/>
        <v>312.98000001258924</v>
      </c>
      <c r="X186" s="33">
        <v>96485</v>
      </c>
      <c r="Y186" s="16">
        <f t="shared" si="103"/>
        <v>-308.27848035479849</v>
      </c>
      <c r="Z186" s="16">
        <v>6</v>
      </c>
      <c r="AA186" s="16">
        <v>11</v>
      </c>
      <c r="AB186" s="8">
        <f t="shared" si="104"/>
        <v>0.34449760765550236</v>
      </c>
      <c r="AC186" s="16">
        <f t="shared" si="77"/>
        <v>66.564749347092175</v>
      </c>
      <c r="AD186" s="20">
        <f>'PFAS Properties'!$W$31</f>
        <v>5</v>
      </c>
      <c r="AE186" s="8">
        <f>'PFAS Properties'!$S$31</f>
        <v>4.4332896851950254</v>
      </c>
      <c r="AF186" s="15">
        <f>'PFAS Properties'!$V$31</f>
        <v>3.6</v>
      </c>
      <c r="AG186" s="24">
        <v>7.7</v>
      </c>
      <c r="AH186" s="2" t="s">
        <v>183</v>
      </c>
      <c r="AI186" s="2" t="s">
        <v>661</v>
      </c>
      <c r="AJ186" s="2" t="s">
        <v>661</v>
      </c>
      <c r="AK186" s="2" t="s">
        <v>661</v>
      </c>
      <c r="AL186" s="2" t="s">
        <v>661</v>
      </c>
      <c r="AM186" s="2" t="s">
        <v>661</v>
      </c>
      <c r="AN186" s="2" t="s">
        <v>661</v>
      </c>
      <c r="AO186" s="2" t="s">
        <v>661</v>
      </c>
      <c r="AP186" s="15">
        <v>21.63</v>
      </c>
      <c r="AQ186" s="2" t="s">
        <v>661</v>
      </c>
      <c r="AR186" s="16">
        <v>70</v>
      </c>
      <c r="AS186" s="16">
        <v>11</v>
      </c>
      <c r="AT186" s="16">
        <v>19</v>
      </c>
      <c r="AU186" s="2" t="s">
        <v>661</v>
      </c>
      <c r="AV186" s="16">
        <f t="shared" si="96"/>
        <v>100</v>
      </c>
      <c r="AW186" s="18">
        <v>4.9000000000000004</v>
      </c>
      <c r="AX186" s="13">
        <v>4.9000000000000002E-2</v>
      </c>
      <c r="AY186" s="8" t="s">
        <v>184</v>
      </c>
      <c r="AZ186" s="16">
        <f t="shared" si="112"/>
        <v>100</v>
      </c>
      <c r="BA186" s="16" t="s">
        <v>55</v>
      </c>
      <c r="BB186" s="16">
        <v>5</v>
      </c>
      <c r="BC186" s="16" t="s">
        <v>55</v>
      </c>
      <c r="BD186" s="20">
        <v>0.52</v>
      </c>
      <c r="BE186" s="15">
        <f t="shared" si="97"/>
        <v>10.612244897959183</v>
      </c>
      <c r="BF186" s="8">
        <f t="shared" si="105"/>
        <v>1.0258072636062854</v>
      </c>
      <c r="BG186" s="8">
        <f t="shared" si="98"/>
        <v>-0.28399665636520083</v>
      </c>
      <c r="BH186" s="13" t="s">
        <v>345</v>
      </c>
      <c r="BI186" s="13"/>
      <c r="BJ186" s="13"/>
      <c r="BK186" s="13"/>
      <c r="BL186" s="13"/>
      <c r="BM186" s="17"/>
      <c r="BN186" s="17"/>
      <c r="BO186" s="2"/>
    </row>
    <row r="187" spans="1:67" s="14" customFormat="1" x14ac:dyDescent="0.3">
      <c r="A187" s="20">
        <v>185</v>
      </c>
      <c r="B187" s="2" t="s">
        <v>181</v>
      </c>
      <c r="C187" s="2">
        <v>2020</v>
      </c>
      <c r="D187" s="2" t="s">
        <v>203</v>
      </c>
      <c r="E187" s="10" t="s">
        <v>787</v>
      </c>
      <c r="F187" s="20" t="s">
        <v>29</v>
      </c>
      <c r="G187" s="2" t="s">
        <v>77</v>
      </c>
      <c r="H187" s="2" t="str">
        <f>'PFAS Properties'!$B$31</f>
        <v>PFHxA</v>
      </c>
      <c r="I187" s="2" t="str">
        <f>'PFAS Properties'!$C$31</f>
        <v>PFCA</v>
      </c>
      <c r="J187" s="2" t="str">
        <f>'PFAS Properties'!$D$31</f>
        <v>C6HF11O2</v>
      </c>
      <c r="K187" s="25">
        <f>'PFAS Properties'!$P$31</f>
        <v>313.97999999999996</v>
      </c>
      <c r="L187" s="2">
        <f>'PFAS Properties'!$X$31</f>
        <v>-0.2</v>
      </c>
      <c r="M187" s="2" t="str">
        <f>'PFAS Properties'!$Y$31</f>
        <v>-</v>
      </c>
      <c r="N187" s="33">
        <v>0</v>
      </c>
      <c r="O187" s="33">
        <v>0</v>
      </c>
      <c r="P187" s="33">
        <v>0</v>
      </c>
      <c r="Q187" s="33">
        <f t="shared" si="80"/>
        <v>0.99999998741074603</v>
      </c>
      <c r="R187" s="33">
        <v>0</v>
      </c>
      <c r="S187" s="33">
        <f t="shared" si="81"/>
        <v>1.258925395945232E-8</v>
      </c>
      <c r="T187" s="8">
        <f t="shared" si="99"/>
        <v>1</v>
      </c>
      <c r="U187" s="33">
        <f t="shared" si="100"/>
        <v>0</v>
      </c>
      <c r="V187" s="33">
        <f t="shared" si="101"/>
        <v>-0.99999998741074603</v>
      </c>
      <c r="W187" s="33">
        <f t="shared" si="102"/>
        <v>312.98000001258924</v>
      </c>
      <c r="X187" s="33">
        <v>96485</v>
      </c>
      <c r="Y187" s="16">
        <f t="shared" si="103"/>
        <v>-308.27848035479849</v>
      </c>
      <c r="Z187" s="16">
        <v>6</v>
      </c>
      <c r="AA187" s="16">
        <v>11</v>
      </c>
      <c r="AB187" s="8">
        <f t="shared" si="104"/>
        <v>0.34449760765550236</v>
      </c>
      <c r="AC187" s="16">
        <f t="shared" si="77"/>
        <v>66.564749347092175</v>
      </c>
      <c r="AD187" s="20">
        <f>'PFAS Properties'!$W$31</f>
        <v>5</v>
      </c>
      <c r="AE187" s="8">
        <f>'PFAS Properties'!$S$31</f>
        <v>4.4332896851950254</v>
      </c>
      <c r="AF187" s="15">
        <f>'PFAS Properties'!$V$31</f>
        <v>3.6</v>
      </c>
      <c r="AG187" s="24">
        <v>7.7</v>
      </c>
      <c r="AH187" s="2" t="s">
        <v>183</v>
      </c>
      <c r="AI187" s="2" t="s">
        <v>661</v>
      </c>
      <c r="AJ187" s="2" t="s">
        <v>661</v>
      </c>
      <c r="AK187" s="2" t="s">
        <v>661</v>
      </c>
      <c r="AL187" s="2" t="s">
        <v>661</v>
      </c>
      <c r="AM187" s="2" t="s">
        <v>661</v>
      </c>
      <c r="AN187" s="2" t="s">
        <v>661</v>
      </c>
      <c r="AO187" s="2" t="s">
        <v>661</v>
      </c>
      <c r="AP187" s="15">
        <v>7.8</v>
      </c>
      <c r="AQ187" s="2" t="s">
        <v>661</v>
      </c>
      <c r="AR187" s="16">
        <v>48.9</v>
      </c>
      <c r="AS187" s="16">
        <v>32.6</v>
      </c>
      <c r="AT187" s="16">
        <v>18.5</v>
      </c>
      <c r="AU187" s="2" t="s">
        <v>661</v>
      </c>
      <c r="AV187" s="16">
        <f t="shared" ref="AV187:AV218" si="113">SUM(AR187:AT187)</f>
        <v>100</v>
      </c>
      <c r="AW187" s="18">
        <v>0.13</v>
      </c>
      <c r="AX187" s="13">
        <v>1.2999999999999999E-3</v>
      </c>
      <c r="AY187" s="8" t="s">
        <v>184</v>
      </c>
      <c r="AZ187" s="16">
        <f t="shared" si="112"/>
        <v>100</v>
      </c>
      <c r="BA187" s="16" t="s">
        <v>55</v>
      </c>
      <c r="BB187" s="16">
        <v>5</v>
      </c>
      <c r="BC187" s="16" t="s">
        <v>55</v>
      </c>
      <c r="BD187" s="20">
        <v>0.21</v>
      </c>
      <c r="BE187" s="15">
        <f t="shared" ref="BE187:BE218" si="114">BD187/AX187</f>
        <v>161.53846153846155</v>
      </c>
      <c r="BF187" s="8">
        <f t="shared" si="105"/>
        <v>2.2082759424270826</v>
      </c>
      <c r="BG187" s="8">
        <f t="shared" ref="BG187:BG218" si="115">LOG(BD187)</f>
        <v>-0.6777807052660807</v>
      </c>
      <c r="BH187" s="13" t="s">
        <v>345</v>
      </c>
      <c r="BI187" s="13"/>
      <c r="BJ187" s="13"/>
      <c r="BK187" s="13"/>
      <c r="BL187" s="13"/>
      <c r="BM187" s="17"/>
      <c r="BN187" s="17"/>
      <c r="BO187" s="2"/>
    </row>
    <row r="188" spans="1:67" s="14" customFormat="1" x14ac:dyDescent="0.3">
      <c r="A188" s="20">
        <v>186</v>
      </c>
      <c r="B188" s="2" t="s">
        <v>181</v>
      </c>
      <c r="C188" s="2">
        <v>2020</v>
      </c>
      <c r="D188" s="2" t="s">
        <v>203</v>
      </c>
      <c r="E188" s="10" t="s">
        <v>787</v>
      </c>
      <c r="F188" s="20" t="s">
        <v>29</v>
      </c>
      <c r="G188" s="2" t="s">
        <v>182</v>
      </c>
      <c r="H188" s="2" t="str">
        <f>'PFAS Properties'!$B$31</f>
        <v>PFHxA</v>
      </c>
      <c r="I188" s="2" t="str">
        <f>'PFAS Properties'!$C$31</f>
        <v>PFCA</v>
      </c>
      <c r="J188" s="2" t="str">
        <f>'PFAS Properties'!$D$31</f>
        <v>C6HF11O2</v>
      </c>
      <c r="K188" s="25">
        <f>'PFAS Properties'!$P$31</f>
        <v>313.97999999999996</v>
      </c>
      <c r="L188" s="2">
        <f>'PFAS Properties'!$X$31</f>
        <v>-0.2</v>
      </c>
      <c r="M188" s="2" t="str">
        <f>'PFAS Properties'!$Y$31</f>
        <v>-</v>
      </c>
      <c r="N188" s="33">
        <v>0</v>
      </c>
      <c r="O188" s="33">
        <v>0</v>
      </c>
      <c r="P188" s="33">
        <v>0</v>
      </c>
      <c r="Q188" s="33">
        <f t="shared" si="80"/>
        <v>0.99999998004737722</v>
      </c>
      <c r="R188" s="33">
        <v>0</v>
      </c>
      <c r="S188" s="33">
        <f t="shared" si="81"/>
        <v>1.995262275158161E-8</v>
      </c>
      <c r="T188" s="8">
        <f t="shared" si="99"/>
        <v>1</v>
      </c>
      <c r="U188" s="33">
        <f t="shared" si="100"/>
        <v>0</v>
      </c>
      <c r="V188" s="33">
        <f t="shared" si="101"/>
        <v>-0.99999998004737722</v>
      </c>
      <c r="W188" s="33">
        <f t="shared" si="102"/>
        <v>312.98000001995257</v>
      </c>
      <c r="X188" s="33">
        <v>96485</v>
      </c>
      <c r="Y188" s="16">
        <f t="shared" si="103"/>
        <v>-308.27847807757763</v>
      </c>
      <c r="Z188" s="16">
        <v>6</v>
      </c>
      <c r="AA188" s="16">
        <v>11</v>
      </c>
      <c r="AB188" s="8">
        <f t="shared" si="104"/>
        <v>0.34449760765550236</v>
      </c>
      <c r="AC188" s="16">
        <f t="shared" si="77"/>
        <v>66.564749347092175</v>
      </c>
      <c r="AD188" s="20">
        <f>'PFAS Properties'!$W$31</f>
        <v>5</v>
      </c>
      <c r="AE188" s="8">
        <f>'PFAS Properties'!$S$31</f>
        <v>4.4332896851950254</v>
      </c>
      <c r="AF188" s="15">
        <f>'PFAS Properties'!$V$31</f>
        <v>3.6</v>
      </c>
      <c r="AG188" s="24">
        <v>7.5</v>
      </c>
      <c r="AH188" s="2" t="s">
        <v>183</v>
      </c>
      <c r="AI188" s="2" t="s">
        <v>661</v>
      </c>
      <c r="AJ188" s="2" t="s">
        <v>661</v>
      </c>
      <c r="AK188" s="2" t="s">
        <v>661</v>
      </c>
      <c r="AL188" s="2" t="s">
        <v>661</v>
      </c>
      <c r="AM188" s="2" t="s">
        <v>661</v>
      </c>
      <c r="AN188" s="2" t="s">
        <v>661</v>
      </c>
      <c r="AO188" s="2" t="s">
        <v>661</v>
      </c>
      <c r="AP188" s="15">
        <v>2.2799999999999998</v>
      </c>
      <c r="AQ188" s="2" t="s">
        <v>661</v>
      </c>
      <c r="AR188" s="16">
        <v>93</v>
      </c>
      <c r="AS188" s="16">
        <v>1</v>
      </c>
      <c r="AT188" s="16">
        <v>5</v>
      </c>
      <c r="AU188" s="2" t="s">
        <v>661</v>
      </c>
      <c r="AV188" s="16">
        <f t="shared" si="113"/>
        <v>99</v>
      </c>
      <c r="AW188" s="18">
        <v>0.4</v>
      </c>
      <c r="AX188" s="13">
        <v>4.0000000000000001E-3</v>
      </c>
      <c r="AY188" s="8" t="s">
        <v>184</v>
      </c>
      <c r="AZ188" s="16">
        <f t="shared" si="112"/>
        <v>100</v>
      </c>
      <c r="BA188" s="16" t="s">
        <v>55</v>
      </c>
      <c r="BB188" s="16">
        <v>5</v>
      </c>
      <c r="BC188" s="16" t="s">
        <v>55</v>
      </c>
      <c r="BD188" s="20">
        <v>0.05</v>
      </c>
      <c r="BE188" s="15">
        <f t="shared" si="114"/>
        <v>12.5</v>
      </c>
      <c r="BF188" s="8">
        <f t="shared" si="105"/>
        <v>1.0969100130080565</v>
      </c>
      <c r="BG188" s="8">
        <f t="shared" si="115"/>
        <v>-1.3010299956639813</v>
      </c>
      <c r="BH188" s="13" t="s">
        <v>345</v>
      </c>
      <c r="BI188" s="13"/>
      <c r="BJ188" s="13"/>
      <c r="BK188" s="13"/>
      <c r="BL188" s="13"/>
      <c r="BM188" s="17"/>
      <c r="BN188" s="17"/>
      <c r="BO188" s="2"/>
    </row>
    <row r="189" spans="1:67" s="14" customFormat="1" x14ac:dyDescent="0.3">
      <c r="A189" s="20">
        <v>187</v>
      </c>
      <c r="B189" s="2" t="s">
        <v>181</v>
      </c>
      <c r="C189" s="2">
        <v>2020</v>
      </c>
      <c r="D189" s="2" t="s">
        <v>203</v>
      </c>
      <c r="E189" s="10" t="s">
        <v>787</v>
      </c>
      <c r="F189" s="20" t="s">
        <v>29</v>
      </c>
      <c r="G189" s="2" t="s">
        <v>78</v>
      </c>
      <c r="H189" s="2" t="str">
        <f>'PFAS Properties'!$B$31</f>
        <v>PFHxA</v>
      </c>
      <c r="I189" s="2" t="str">
        <f>'PFAS Properties'!$C$31</f>
        <v>PFCA</v>
      </c>
      <c r="J189" s="2" t="str">
        <f>'PFAS Properties'!$D$31</f>
        <v>C6HF11O2</v>
      </c>
      <c r="K189" s="25">
        <f>'PFAS Properties'!$P$31</f>
        <v>313.97999999999996</v>
      </c>
      <c r="L189" s="2">
        <f>'PFAS Properties'!$X$31</f>
        <v>-0.2</v>
      </c>
      <c r="M189" s="2" t="str">
        <f>'PFAS Properties'!$Y$31</f>
        <v>-</v>
      </c>
      <c r="N189" s="33">
        <v>0</v>
      </c>
      <c r="O189" s="33">
        <v>0</v>
      </c>
      <c r="P189" s="33">
        <v>0</v>
      </c>
      <c r="Q189" s="33">
        <f t="shared" si="80"/>
        <v>0.99999994988127916</v>
      </c>
      <c r="R189" s="33">
        <v>0</v>
      </c>
      <c r="S189" s="33">
        <f t="shared" si="81"/>
        <v>5.011872085084086E-8</v>
      </c>
      <c r="T189" s="8">
        <f t="shared" si="99"/>
        <v>1</v>
      </c>
      <c r="U189" s="33">
        <f t="shared" si="100"/>
        <v>0</v>
      </c>
      <c r="V189" s="33">
        <f t="shared" si="101"/>
        <v>-0.99999994988127916</v>
      </c>
      <c r="W189" s="33">
        <f t="shared" si="102"/>
        <v>312.98000005011869</v>
      </c>
      <c r="X189" s="33">
        <v>96485</v>
      </c>
      <c r="Y189" s="16">
        <f t="shared" si="103"/>
        <v>-308.27846874830567</v>
      </c>
      <c r="Z189" s="16">
        <v>6</v>
      </c>
      <c r="AA189" s="16">
        <v>11</v>
      </c>
      <c r="AB189" s="8">
        <f t="shared" si="104"/>
        <v>0.34449760765550236</v>
      </c>
      <c r="AC189" s="16">
        <f t="shared" si="77"/>
        <v>66.564749347092175</v>
      </c>
      <c r="AD189" s="20">
        <f>'PFAS Properties'!$W$31</f>
        <v>5</v>
      </c>
      <c r="AE189" s="8">
        <f>'PFAS Properties'!$S$31</f>
        <v>4.4332896851950254</v>
      </c>
      <c r="AF189" s="15">
        <f>'PFAS Properties'!$V$31</f>
        <v>3.6</v>
      </c>
      <c r="AG189" s="24">
        <v>7.1</v>
      </c>
      <c r="AH189" s="2" t="s">
        <v>183</v>
      </c>
      <c r="AI189" s="2" t="s">
        <v>661</v>
      </c>
      <c r="AJ189" s="2" t="s">
        <v>661</v>
      </c>
      <c r="AK189" s="2" t="s">
        <v>661</v>
      </c>
      <c r="AL189" s="2" t="s">
        <v>661</v>
      </c>
      <c r="AM189" s="2" t="s">
        <v>661</v>
      </c>
      <c r="AN189" s="2" t="s">
        <v>661</v>
      </c>
      <c r="AO189" s="2" t="s">
        <v>661</v>
      </c>
      <c r="AP189" s="15">
        <v>17.420000000000002</v>
      </c>
      <c r="AQ189" s="2" t="s">
        <v>661</v>
      </c>
      <c r="AR189" s="16">
        <v>48.86</v>
      </c>
      <c r="AS189" s="16">
        <v>16.05</v>
      </c>
      <c r="AT189" s="16">
        <v>35.090000000000003</v>
      </c>
      <c r="AU189" s="2" t="s">
        <v>661</v>
      </c>
      <c r="AV189" s="16">
        <f t="shared" si="113"/>
        <v>100</v>
      </c>
      <c r="AW189" s="18">
        <v>1.19</v>
      </c>
      <c r="AX189" s="13">
        <v>1.1899999999999999E-2</v>
      </c>
      <c r="AY189" s="8" t="s">
        <v>184</v>
      </c>
      <c r="AZ189" s="16">
        <f t="shared" si="112"/>
        <v>100</v>
      </c>
      <c r="BA189" s="16" t="s">
        <v>55</v>
      </c>
      <c r="BB189" s="16">
        <v>5</v>
      </c>
      <c r="BC189" s="16" t="s">
        <v>55</v>
      </c>
      <c r="BD189" s="20">
        <v>0.22</v>
      </c>
      <c r="BE189" s="15">
        <f t="shared" si="114"/>
        <v>18.487394957983195</v>
      </c>
      <c r="BF189" s="8">
        <f t="shared" si="105"/>
        <v>1.2668757194296756</v>
      </c>
      <c r="BG189" s="8">
        <f t="shared" si="115"/>
        <v>-0.65757731917779372</v>
      </c>
      <c r="BH189" s="13" t="s">
        <v>345</v>
      </c>
      <c r="BI189" s="13"/>
      <c r="BJ189" s="13"/>
      <c r="BK189" s="13"/>
      <c r="BL189" s="13"/>
      <c r="BM189" s="17"/>
      <c r="BN189" s="17"/>
      <c r="BO189" s="2"/>
    </row>
    <row r="190" spans="1:67" s="14" customFormat="1" x14ac:dyDescent="0.3">
      <c r="A190" s="20">
        <v>188</v>
      </c>
      <c r="B190" s="2" t="s">
        <v>181</v>
      </c>
      <c r="C190" s="2">
        <v>2020</v>
      </c>
      <c r="D190" s="2" t="s">
        <v>203</v>
      </c>
      <c r="E190" s="10" t="s">
        <v>787</v>
      </c>
      <c r="F190" s="20" t="s">
        <v>29</v>
      </c>
      <c r="G190" s="2" t="s">
        <v>98</v>
      </c>
      <c r="H190" s="2" t="str">
        <f>'PFAS Properties'!$B$31</f>
        <v>PFHxA</v>
      </c>
      <c r="I190" s="2" t="str">
        <f>'PFAS Properties'!$C$31</f>
        <v>PFCA</v>
      </c>
      <c r="J190" s="2" t="str">
        <f>'PFAS Properties'!$D$31</f>
        <v>C6HF11O2</v>
      </c>
      <c r="K190" s="25">
        <f>'PFAS Properties'!$P$31</f>
        <v>313.97999999999996</v>
      </c>
      <c r="L190" s="2">
        <f>'PFAS Properties'!$X$31</f>
        <v>-0.2</v>
      </c>
      <c r="M190" s="2" t="str">
        <f>'PFAS Properties'!$Y$31</f>
        <v>-</v>
      </c>
      <c r="N190" s="33">
        <v>0</v>
      </c>
      <c r="O190" s="33">
        <v>0</v>
      </c>
      <c r="P190" s="33">
        <v>0</v>
      </c>
      <c r="Q190" s="33">
        <f t="shared" si="80"/>
        <v>0.99999974881141995</v>
      </c>
      <c r="R190" s="33">
        <v>0</v>
      </c>
      <c r="S190" s="33">
        <f t="shared" si="81"/>
        <v>2.5118858005523878E-7</v>
      </c>
      <c r="T190" s="8">
        <f t="shared" si="99"/>
        <v>1</v>
      </c>
      <c r="U190" s="33">
        <f t="shared" si="100"/>
        <v>0</v>
      </c>
      <c r="V190" s="33">
        <f t="shared" si="101"/>
        <v>-0.99999974881141995</v>
      </c>
      <c r="W190" s="33">
        <f t="shared" si="102"/>
        <v>312.98000025118853</v>
      </c>
      <c r="X190" s="33">
        <v>96485</v>
      </c>
      <c r="Y190" s="16">
        <f t="shared" si="103"/>
        <v>-308.2784065647449</v>
      </c>
      <c r="Z190" s="16">
        <v>6</v>
      </c>
      <c r="AA190" s="16">
        <v>11</v>
      </c>
      <c r="AB190" s="8">
        <f t="shared" si="104"/>
        <v>0.34449760765550236</v>
      </c>
      <c r="AC190" s="16">
        <f t="shared" si="77"/>
        <v>66.564749347092175</v>
      </c>
      <c r="AD190" s="20">
        <f>'PFAS Properties'!$W$31</f>
        <v>5</v>
      </c>
      <c r="AE190" s="8">
        <f>'PFAS Properties'!$S$31</f>
        <v>4.4332896851950254</v>
      </c>
      <c r="AF190" s="15">
        <f>'PFAS Properties'!$V$31</f>
        <v>3.6</v>
      </c>
      <c r="AG190" s="24">
        <v>6.4</v>
      </c>
      <c r="AH190" s="2" t="s">
        <v>183</v>
      </c>
      <c r="AI190" s="2" t="s">
        <v>661</v>
      </c>
      <c r="AJ190" s="2" t="s">
        <v>661</v>
      </c>
      <c r="AK190" s="2" t="s">
        <v>661</v>
      </c>
      <c r="AL190" s="2" t="s">
        <v>661</v>
      </c>
      <c r="AM190" s="2" t="s">
        <v>661</v>
      </c>
      <c r="AN190" s="2" t="s">
        <v>661</v>
      </c>
      <c r="AO190" s="2" t="s">
        <v>661</v>
      </c>
      <c r="AP190" s="15">
        <v>16.54</v>
      </c>
      <c r="AQ190" s="2" t="s">
        <v>661</v>
      </c>
      <c r="AR190" s="16">
        <v>29.38</v>
      </c>
      <c r="AS190" s="16">
        <v>13.9</v>
      </c>
      <c r="AT190" s="16">
        <v>56.71</v>
      </c>
      <c r="AU190" s="2" t="s">
        <v>661</v>
      </c>
      <c r="AV190" s="16">
        <f t="shared" si="113"/>
        <v>99.990000000000009</v>
      </c>
      <c r="AW190" s="18">
        <v>0.17</v>
      </c>
      <c r="AX190" s="13">
        <v>1.7000000000000001E-3</v>
      </c>
      <c r="AY190" s="8" t="s">
        <v>184</v>
      </c>
      <c r="AZ190" s="16">
        <f t="shared" si="112"/>
        <v>100</v>
      </c>
      <c r="BA190" s="16" t="s">
        <v>55</v>
      </c>
      <c r="BB190" s="16">
        <v>5</v>
      </c>
      <c r="BC190" s="16" t="s">
        <v>55</v>
      </c>
      <c r="BD190" s="20">
        <v>0.28999999999999998</v>
      </c>
      <c r="BE190" s="15">
        <f t="shared" si="114"/>
        <v>170.58823529411762</v>
      </c>
      <c r="BF190" s="8">
        <f t="shared" si="105"/>
        <v>2.231949076520682</v>
      </c>
      <c r="BG190" s="8">
        <f t="shared" si="115"/>
        <v>-0.53760200210104392</v>
      </c>
      <c r="BH190" s="13" t="s">
        <v>345</v>
      </c>
      <c r="BI190" s="13"/>
      <c r="BJ190" s="13"/>
      <c r="BK190" s="13"/>
      <c r="BL190" s="13"/>
      <c r="BM190" s="17"/>
      <c r="BN190" s="17"/>
      <c r="BO190" s="2"/>
    </row>
    <row r="191" spans="1:67" s="14" customFormat="1" x14ac:dyDescent="0.3">
      <c r="A191" s="20">
        <v>189</v>
      </c>
      <c r="B191" s="2" t="s">
        <v>202</v>
      </c>
      <c r="C191" s="2">
        <v>2019</v>
      </c>
      <c r="D191" s="2" t="s">
        <v>199</v>
      </c>
      <c r="E191" s="10" t="s">
        <v>791</v>
      </c>
      <c r="F191" s="20" t="s">
        <v>29</v>
      </c>
      <c r="G191" s="2" t="s">
        <v>39</v>
      </c>
      <c r="H191" s="2" t="str">
        <f>'PFAS Properties'!$B$32</f>
        <v>PFHpA</v>
      </c>
      <c r="I191" s="2" t="str">
        <f>'PFAS Properties'!$C$32</f>
        <v>PFCA</v>
      </c>
      <c r="J191" s="2" t="str">
        <f>'PFAS Properties'!$D$32</f>
        <v>C7HF13O2</v>
      </c>
      <c r="K191" s="25">
        <f>'PFAS Properties'!$P$32</f>
        <v>363.97679999999997</v>
      </c>
      <c r="L191" s="2">
        <f>'PFAS Properties'!$X$32</f>
        <v>-0.2</v>
      </c>
      <c r="M191" s="2" t="str">
        <f>'PFAS Properties'!$Y$32</f>
        <v>-</v>
      </c>
      <c r="N191" s="33">
        <v>0</v>
      </c>
      <c r="O191" s="33">
        <v>0</v>
      </c>
      <c r="P191" s="33">
        <v>0</v>
      </c>
      <c r="Q191" s="33">
        <f t="shared" si="80"/>
        <v>0.9999964518786969</v>
      </c>
      <c r="R191" s="33">
        <v>0</v>
      </c>
      <c r="S191" s="33">
        <f t="shared" si="81"/>
        <v>3.5481213031263005E-6</v>
      </c>
      <c r="T191" s="8">
        <f t="shared" si="99"/>
        <v>1</v>
      </c>
      <c r="U191" s="33">
        <f t="shared" si="100"/>
        <v>0</v>
      </c>
      <c r="V191" s="33">
        <f t="shared" si="101"/>
        <v>-0.9999964518786969</v>
      </c>
      <c r="W191" s="33">
        <f t="shared" si="102"/>
        <v>362.97680354812127</v>
      </c>
      <c r="X191" s="33">
        <v>96485</v>
      </c>
      <c r="Y191" s="16">
        <f t="shared" si="103"/>
        <v>-265.81494111020987</v>
      </c>
      <c r="Z191" s="16">
        <v>7</v>
      </c>
      <c r="AA191" s="16">
        <v>13</v>
      </c>
      <c r="AB191" s="8">
        <f t="shared" si="104"/>
        <v>0.34008097165991902</v>
      </c>
      <c r="AC191" s="16">
        <f t="shared" si="77"/>
        <v>67.861468093570807</v>
      </c>
      <c r="AD191" s="20">
        <f>'PFAS Properties'!$W$32</f>
        <v>6</v>
      </c>
      <c r="AE191" s="8">
        <f>'PFAS Properties'!$S$32</f>
        <v>3.5619357633137811</v>
      </c>
      <c r="AF191" s="15">
        <f>'PFAS Properties'!$V$32</f>
        <v>4.3</v>
      </c>
      <c r="AG191" s="24">
        <v>5.25</v>
      </c>
      <c r="AH191" s="2" t="s">
        <v>661</v>
      </c>
      <c r="AI191" s="2" t="s">
        <v>661</v>
      </c>
      <c r="AJ191" s="2" t="s">
        <v>661</v>
      </c>
      <c r="AK191" s="2" t="s">
        <v>661</v>
      </c>
      <c r="AL191" s="2" t="s">
        <v>661</v>
      </c>
      <c r="AM191" s="2" t="s">
        <v>661</v>
      </c>
      <c r="AN191" s="2" t="s">
        <v>661</v>
      </c>
      <c r="AO191" s="2" t="s">
        <v>661</v>
      </c>
      <c r="AP191" s="72">
        <v>5.7023166666666656</v>
      </c>
      <c r="AQ191" s="70" t="s">
        <v>752</v>
      </c>
      <c r="AR191" s="16">
        <v>100</v>
      </c>
      <c r="AS191" s="16">
        <v>0</v>
      </c>
      <c r="AT191" s="16">
        <v>0</v>
      </c>
      <c r="AU191" s="2" t="s">
        <v>661</v>
      </c>
      <c r="AV191" s="16">
        <f t="shared" si="113"/>
        <v>100</v>
      </c>
      <c r="AW191" s="18">
        <v>0.4</v>
      </c>
      <c r="AX191" s="13">
        <f t="shared" ref="AX191:AX207" si="116">AW191/100</f>
        <v>4.0000000000000001E-3</v>
      </c>
      <c r="AY191" s="13" t="s">
        <v>658</v>
      </c>
      <c r="AZ191" s="16">
        <f>2/0.01</f>
        <v>200</v>
      </c>
      <c r="BA191" s="16" t="s">
        <v>55</v>
      </c>
      <c r="BB191" s="16">
        <v>1</v>
      </c>
      <c r="BC191" s="16">
        <v>1000</v>
      </c>
      <c r="BD191" s="18">
        <v>0.56000000000000005</v>
      </c>
      <c r="BE191" s="15">
        <f t="shared" si="114"/>
        <v>140</v>
      </c>
      <c r="BF191" s="8">
        <f t="shared" si="105"/>
        <v>2.1461280356782382</v>
      </c>
      <c r="BG191" s="8">
        <f t="shared" si="115"/>
        <v>-0.25181197299379954</v>
      </c>
      <c r="BH191" s="13" t="s">
        <v>272</v>
      </c>
      <c r="BI191" s="13"/>
      <c r="BJ191" s="13"/>
      <c r="BK191" s="13"/>
      <c r="BL191" s="13"/>
      <c r="BM191" s="17"/>
      <c r="BN191" s="17"/>
      <c r="BO191" s="2"/>
    </row>
    <row r="192" spans="1:67" s="14" customFormat="1" x14ac:dyDescent="0.3">
      <c r="A192" s="20">
        <v>190</v>
      </c>
      <c r="B192" s="2" t="s">
        <v>202</v>
      </c>
      <c r="C192" s="2">
        <v>2019</v>
      </c>
      <c r="D192" s="2" t="s">
        <v>199</v>
      </c>
      <c r="E192" s="10" t="s">
        <v>791</v>
      </c>
      <c r="F192" s="20" t="s">
        <v>29</v>
      </c>
      <c r="G192" s="2" t="s">
        <v>43</v>
      </c>
      <c r="H192" s="2" t="str">
        <f>'PFAS Properties'!$B$32</f>
        <v>PFHpA</v>
      </c>
      <c r="I192" s="2" t="str">
        <f>'PFAS Properties'!$C$32</f>
        <v>PFCA</v>
      </c>
      <c r="J192" s="2" t="str">
        <f>'PFAS Properties'!$D$32</f>
        <v>C7HF13O2</v>
      </c>
      <c r="K192" s="25">
        <f>'PFAS Properties'!$P$32</f>
        <v>363.97679999999997</v>
      </c>
      <c r="L192" s="2">
        <f>'PFAS Properties'!$X$32</f>
        <v>-0.2</v>
      </c>
      <c r="M192" s="2" t="str">
        <f>'PFAS Properties'!$Y$32</f>
        <v>-</v>
      </c>
      <c r="N192" s="33">
        <v>0</v>
      </c>
      <c r="O192" s="33">
        <v>0</v>
      </c>
      <c r="P192" s="33">
        <v>0</v>
      </c>
      <c r="Q192" s="33">
        <f t="shared" si="80"/>
        <v>0.99999865103893715</v>
      </c>
      <c r="R192" s="33">
        <v>0</v>
      </c>
      <c r="S192" s="33">
        <f t="shared" si="81"/>
        <v>1.3489610628932487E-6</v>
      </c>
      <c r="T192" s="8">
        <f t="shared" si="99"/>
        <v>1</v>
      </c>
      <c r="U192" s="33">
        <f t="shared" si="100"/>
        <v>0</v>
      </c>
      <c r="V192" s="33">
        <f t="shared" si="101"/>
        <v>-0.99999865103893715</v>
      </c>
      <c r="W192" s="33">
        <f t="shared" si="102"/>
        <v>362.97680134896103</v>
      </c>
      <c r="X192" s="33">
        <v>96485</v>
      </c>
      <c r="Y192" s="16">
        <f t="shared" si="103"/>
        <v>-265.81552729242492</v>
      </c>
      <c r="Z192" s="16">
        <v>7</v>
      </c>
      <c r="AA192" s="16">
        <v>13</v>
      </c>
      <c r="AB192" s="8">
        <f t="shared" si="104"/>
        <v>0.34008097165991902</v>
      </c>
      <c r="AC192" s="16">
        <f t="shared" si="77"/>
        <v>67.861468093570807</v>
      </c>
      <c r="AD192" s="20">
        <f>'PFAS Properties'!$W$32</f>
        <v>6</v>
      </c>
      <c r="AE192" s="8">
        <f>'PFAS Properties'!$S$32</f>
        <v>3.5619357633137811</v>
      </c>
      <c r="AF192" s="15">
        <f>'PFAS Properties'!$V$32</f>
        <v>4.3</v>
      </c>
      <c r="AG192" s="24">
        <v>5.67</v>
      </c>
      <c r="AH192" s="2" t="s">
        <v>661</v>
      </c>
      <c r="AI192" s="15" t="s">
        <v>661</v>
      </c>
      <c r="AJ192" s="16" t="s">
        <v>661</v>
      </c>
      <c r="AK192" s="2" t="s">
        <v>661</v>
      </c>
      <c r="AL192" s="15" t="s">
        <v>661</v>
      </c>
      <c r="AM192" s="16" t="s">
        <v>661</v>
      </c>
      <c r="AN192" s="2" t="s">
        <v>661</v>
      </c>
      <c r="AO192" s="2" t="s">
        <v>661</v>
      </c>
      <c r="AP192" s="72">
        <v>9.2037666666666649</v>
      </c>
      <c r="AQ192" s="70" t="s">
        <v>752</v>
      </c>
      <c r="AR192" s="16">
        <v>71</v>
      </c>
      <c r="AS192" s="16">
        <v>24</v>
      </c>
      <c r="AT192" s="16">
        <v>5</v>
      </c>
      <c r="AU192" s="2" t="s">
        <v>661</v>
      </c>
      <c r="AV192" s="16">
        <f t="shared" si="113"/>
        <v>100</v>
      </c>
      <c r="AW192" s="18">
        <v>0.93</v>
      </c>
      <c r="AX192" s="13">
        <f t="shared" si="116"/>
        <v>9.300000000000001E-3</v>
      </c>
      <c r="AY192" s="13" t="s">
        <v>658</v>
      </c>
      <c r="AZ192" s="16">
        <f>2/0.01</f>
        <v>200</v>
      </c>
      <c r="BA192" s="16" t="s">
        <v>55</v>
      </c>
      <c r="BB192" s="16">
        <v>1</v>
      </c>
      <c r="BC192" s="16">
        <v>1000</v>
      </c>
      <c r="BD192" s="18">
        <v>2</v>
      </c>
      <c r="BE192" s="15">
        <f t="shared" si="114"/>
        <v>215.05376344086019</v>
      </c>
      <c r="BF192" s="8">
        <f t="shared" si="105"/>
        <v>2.332547047110046</v>
      </c>
      <c r="BG192" s="8">
        <f t="shared" si="115"/>
        <v>0.3010299956639812</v>
      </c>
      <c r="BH192" s="13" t="s">
        <v>272</v>
      </c>
      <c r="BI192" s="13"/>
      <c r="BJ192" s="13"/>
      <c r="BK192" s="13"/>
      <c r="BL192" s="13"/>
      <c r="BM192" s="17"/>
      <c r="BN192" s="17"/>
      <c r="BO192" s="2"/>
    </row>
    <row r="193" spans="1:67" s="14" customFormat="1" x14ac:dyDescent="0.3">
      <c r="A193" s="20">
        <v>191</v>
      </c>
      <c r="B193" s="2" t="s">
        <v>204</v>
      </c>
      <c r="C193" s="2">
        <v>2013</v>
      </c>
      <c r="D193" s="2" t="s">
        <v>203</v>
      </c>
      <c r="E193" s="10" t="s">
        <v>792</v>
      </c>
      <c r="F193" s="20" t="s">
        <v>29</v>
      </c>
      <c r="G193" s="2" t="s">
        <v>46</v>
      </c>
      <c r="H193" s="2" t="str">
        <f>'PFAS Properties'!$B$32</f>
        <v>PFHpA</v>
      </c>
      <c r="I193" s="2" t="str">
        <f>'PFAS Properties'!$C$32</f>
        <v>PFCA</v>
      </c>
      <c r="J193" s="2" t="str">
        <f>'PFAS Properties'!$D$32</f>
        <v>C7HF13O2</v>
      </c>
      <c r="K193" s="25">
        <f>'PFAS Properties'!$P$32</f>
        <v>363.97679999999997</v>
      </c>
      <c r="L193" s="2">
        <f>'PFAS Properties'!$X$32</f>
        <v>-0.2</v>
      </c>
      <c r="M193" s="2" t="str">
        <f>'PFAS Properties'!$Y$32</f>
        <v>-</v>
      </c>
      <c r="N193" s="33">
        <v>0</v>
      </c>
      <c r="O193" s="33">
        <v>0</v>
      </c>
      <c r="P193" s="33">
        <v>0</v>
      </c>
      <c r="Q193" s="33">
        <f t="shared" si="80"/>
        <v>0.99999949881301753</v>
      </c>
      <c r="R193" s="33">
        <v>0</v>
      </c>
      <c r="S193" s="33">
        <f t="shared" si="81"/>
        <v>5.0118698243875488E-7</v>
      </c>
      <c r="T193" s="8">
        <f t="shared" si="99"/>
        <v>1</v>
      </c>
      <c r="U193" s="33">
        <f t="shared" si="100"/>
        <v>0</v>
      </c>
      <c r="V193" s="33">
        <f t="shared" si="101"/>
        <v>-0.99999949881301753</v>
      </c>
      <c r="W193" s="33">
        <f t="shared" si="102"/>
        <v>362.97680050118691</v>
      </c>
      <c r="X193" s="33">
        <v>96485</v>
      </c>
      <c r="Y193" s="16">
        <f t="shared" si="103"/>
        <v>-265.81575326508641</v>
      </c>
      <c r="Z193" s="16">
        <v>7</v>
      </c>
      <c r="AA193" s="16">
        <v>13</v>
      </c>
      <c r="AB193" s="8">
        <f t="shared" si="104"/>
        <v>0.34008097165991902</v>
      </c>
      <c r="AC193" s="16">
        <f t="shared" si="77"/>
        <v>67.861468093570807</v>
      </c>
      <c r="AD193" s="20">
        <f>'PFAS Properties'!$W$32</f>
        <v>6</v>
      </c>
      <c r="AE193" s="8">
        <f>'PFAS Properties'!$S$32</f>
        <v>3.5619357633137811</v>
      </c>
      <c r="AF193" s="15">
        <f>'PFAS Properties'!$V$32</f>
        <v>4.3</v>
      </c>
      <c r="AG193" s="24">
        <v>6.1</v>
      </c>
      <c r="AH193" s="2" t="s">
        <v>661</v>
      </c>
      <c r="AI193" s="15">
        <v>2.21</v>
      </c>
      <c r="AJ193" s="16">
        <f>AI193*1000/55.845</f>
        <v>39.573820395738203</v>
      </c>
      <c r="AK193" s="8">
        <f>AI193/10</f>
        <v>0.221</v>
      </c>
      <c r="AL193" s="15">
        <v>0.93</v>
      </c>
      <c r="AM193" s="16">
        <f>AL193*1000/26.98</f>
        <v>34.469977761304669</v>
      </c>
      <c r="AN193" s="8">
        <f>AL193/10</f>
        <v>9.2999999999999999E-2</v>
      </c>
      <c r="AO193" s="15" t="s">
        <v>41</v>
      </c>
      <c r="AP193" s="72">
        <v>14.27683666666667</v>
      </c>
      <c r="AQ193" s="2" t="s">
        <v>752</v>
      </c>
      <c r="AR193" s="16">
        <v>81</v>
      </c>
      <c r="AS193" s="16">
        <v>1</v>
      </c>
      <c r="AT193" s="16">
        <v>9</v>
      </c>
      <c r="AU193" s="16" t="s">
        <v>661</v>
      </c>
      <c r="AV193" s="16">
        <f t="shared" si="113"/>
        <v>91</v>
      </c>
      <c r="AW193" s="18">
        <v>1.7</v>
      </c>
      <c r="AX193" s="13">
        <f t="shared" si="116"/>
        <v>1.7000000000000001E-2</v>
      </c>
      <c r="AY193" s="13" t="s">
        <v>42</v>
      </c>
      <c r="AZ193" s="16">
        <f>15/0.04</f>
        <v>375</v>
      </c>
      <c r="BA193" s="16" t="s">
        <v>55</v>
      </c>
      <c r="BB193" s="15">
        <v>0.5</v>
      </c>
      <c r="BC193" s="16">
        <v>1000</v>
      </c>
      <c r="BD193" s="18">
        <v>0.19</v>
      </c>
      <c r="BE193" s="15">
        <f t="shared" si="114"/>
        <v>11.176470588235293</v>
      </c>
      <c r="BF193" s="8">
        <f t="shared" si="105"/>
        <v>1.048304679574555</v>
      </c>
      <c r="BG193" s="8">
        <f t="shared" si="115"/>
        <v>-0.72124639904717103</v>
      </c>
      <c r="BH193" s="13" t="s">
        <v>844</v>
      </c>
      <c r="BI193" s="13"/>
      <c r="BJ193" s="13"/>
      <c r="BK193" s="15"/>
      <c r="BL193" s="8"/>
      <c r="BM193" s="18"/>
      <c r="BN193" s="8"/>
      <c r="BO193" s="24"/>
    </row>
    <row r="194" spans="1:67" s="14" customFormat="1" x14ac:dyDescent="0.3">
      <c r="A194" s="20">
        <v>192</v>
      </c>
      <c r="B194" s="2" t="s">
        <v>204</v>
      </c>
      <c r="C194" s="2">
        <v>2013</v>
      </c>
      <c r="D194" s="2" t="s">
        <v>203</v>
      </c>
      <c r="E194" s="10" t="s">
        <v>792</v>
      </c>
      <c r="F194" s="20" t="s">
        <v>29</v>
      </c>
      <c r="G194" s="2" t="s">
        <v>50</v>
      </c>
      <c r="H194" s="2" t="str">
        <f>'PFAS Properties'!$B$32</f>
        <v>PFHpA</v>
      </c>
      <c r="I194" s="2" t="str">
        <f>'PFAS Properties'!$C$32</f>
        <v>PFCA</v>
      </c>
      <c r="J194" s="2" t="str">
        <f>'PFAS Properties'!$D$32</f>
        <v>C7HF13O2</v>
      </c>
      <c r="K194" s="25">
        <f>'PFAS Properties'!$P$32</f>
        <v>363.97679999999997</v>
      </c>
      <c r="L194" s="2">
        <f>'PFAS Properties'!$X$32</f>
        <v>-0.2</v>
      </c>
      <c r="M194" s="2" t="str">
        <f>'PFAS Properties'!$Y$32</f>
        <v>-</v>
      </c>
      <c r="N194" s="33">
        <v>0</v>
      </c>
      <c r="O194" s="33">
        <v>0</v>
      </c>
      <c r="P194" s="33">
        <v>0</v>
      </c>
      <c r="Q194" s="33">
        <f t="shared" si="80"/>
        <v>0.99999999000000006</v>
      </c>
      <c r="R194" s="33">
        <v>0</v>
      </c>
      <c r="S194" s="33">
        <f t="shared" si="81"/>
        <v>9.9999999000000002E-9</v>
      </c>
      <c r="T194" s="8">
        <f t="shared" si="99"/>
        <v>1</v>
      </c>
      <c r="U194" s="33">
        <f t="shared" si="100"/>
        <v>0</v>
      </c>
      <c r="V194" s="33">
        <f t="shared" si="101"/>
        <v>-0.99999999000000006</v>
      </c>
      <c r="W194" s="33">
        <f t="shared" si="102"/>
        <v>362.97680000999992</v>
      </c>
      <c r="X194" s="33">
        <v>96485</v>
      </c>
      <c r="Y194" s="16">
        <f t="shared" si="103"/>
        <v>-265.81588419009665</v>
      </c>
      <c r="Z194" s="16">
        <v>7</v>
      </c>
      <c r="AA194" s="16">
        <v>13</v>
      </c>
      <c r="AB194" s="8">
        <f t="shared" si="104"/>
        <v>0.34008097165991902</v>
      </c>
      <c r="AC194" s="16">
        <f t="shared" si="77"/>
        <v>67.861468093570807</v>
      </c>
      <c r="AD194" s="20">
        <f>'PFAS Properties'!$W$32</f>
        <v>6</v>
      </c>
      <c r="AE194" s="8">
        <f>'PFAS Properties'!$S$32</f>
        <v>3.5619357633137811</v>
      </c>
      <c r="AF194" s="15">
        <f>'PFAS Properties'!$V$32</f>
        <v>4.3</v>
      </c>
      <c r="AG194" s="24">
        <v>7.8</v>
      </c>
      <c r="AH194" s="2" t="s">
        <v>661</v>
      </c>
      <c r="AI194" s="15">
        <v>6.14</v>
      </c>
      <c r="AJ194" s="16">
        <f>AI194/10</f>
        <v>0.61399999999999999</v>
      </c>
      <c r="AK194" s="8">
        <f>AI194/10</f>
        <v>0.61399999999999999</v>
      </c>
      <c r="AL194" s="15">
        <v>1.67</v>
      </c>
      <c r="AM194" s="15">
        <f>AL194/10</f>
        <v>0.16699999999999998</v>
      </c>
      <c r="AN194" s="8">
        <f>AL194/10</f>
        <v>0.16699999999999998</v>
      </c>
      <c r="AO194" s="15" t="s">
        <v>41</v>
      </c>
      <c r="AP194" s="72">
        <v>6.4956666666666676</v>
      </c>
      <c r="AQ194" s="2" t="s">
        <v>752</v>
      </c>
      <c r="AR194" s="16">
        <v>33</v>
      </c>
      <c r="AS194" s="16">
        <v>42</v>
      </c>
      <c r="AT194" s="16">
        <v>25</v>
      </c>
      <c r="AU194" s="16" t="s">
        <v>661</v>
      </c>
      <c r="AV194" s="16">
        <f t="shared" si="113"/>
        <v>100</v>
      </c>
      <c r="AW194" s="18">
        <v>4.5</v>
      </c>
      <c r="AX194" s="13">
        <f t="shared" si="116"/>
        <v>4.4999999999999998E-2</v>
      </c>
      <c r="AY194" s="13" t="s">
        <v>42</v>
      </c>
      <c r="AZ194" s="16">
        <f>15/0.04</f>
        <v>375</v>
      </c>
      <c r="BA194" s="16" t="s">
        <v>55</v>
      </c>
      <c r="BB194" s="15">
        <v>0.5</v>
      </c>
      <c r="BC194" s="16">
        <v>1000</v>
      </c>
      <c r="BD194" s="18">
        <v>0.49</v>
      </c>
      <c r="BE194" s="15">
        <f t="shared" si="114"/>
        <v>10.888888888888889</v>
      </c>
      <c r="BF194" s="8">
        <f t="shared" si="105"/>
        <v>1.0369835662531699</v>
      </c>
      <c r="BG194" s="8">
        <f t="shared" si="115"/>
        <v>-0.30980391997148632</v>
      </c>
      <c r="BH194" s="13" t="s">
        <v>844</v>
      </c>
      <c r="BI194" s="13"/>
      <c r="BJ194" s="13"/>
      <c r="BK194" s="15"/>
      <c r="BL194" s="8"/>
      <c r="BM194" s="18"/>
      <c r="BN194" s="8"/>
      <c r="BO194" s="24"/>
    </row>
    <row r="195" spans="1:67" s="14" customFormat="1" x14ac:dyDescent="0.3">
      <c r="A195" s="20">
        <v>193</v>
      </c>
      <c r="B195" s="2" t="s">
        <v>204</v>
      </c>
      <c r="C195" s="2">
        <v>2013</v>
      </c>
      <c r="D195" s="2" t="s">
        <v>203</v>
      </c>
      <c r="E195" s="10" t="s">
        <v>792</v>
      </c>
      <c r="F195" s="20" t="s">
        <v>29</v>
      </c>
      <c r="G195" s="2" t="s">
        <v>40</v>
      </c>
      <c r="H195" s="2" t="str">
        <f>'PFAS Properties'!$B$32</f>
        <v>PFHpA</v>
      </c>
      <c r="I195" s="2" t="str">
        <f>'PFAS Properties'!$C$32</f>
        <v>PFCA</v>
      </c>
      <c r="J195" s="2" t="str">
        <f>'PFAS Properties'!$D$32</f>
        <v>C7HF13O2</v>
      </c>
      <c r="K195" s="25">
        <f>'PFAS Properties'!$P$32</f>
        <v>363.97679999999997</v>
      </c>
      <c r="L195" s="2">
        <f>'PFAS Properties'!$X$32</f>
        <v>-0.2</v>
      </c>
      <c r="M195" s="2" t="str">
        <f>'PFAS Properties'!$Y$32</f>
        <v>-</v>
      </c>
      <c r="N195" s="33">
        <v>0</v>
      </c>
      <c r="O195" s="33">
        <v>0</v>
      </c>
      <c r="P195" s="33">
        <v>0</v>
      </c>
      <c r="Q195" s="33">
        <f t="shared" si="80"/>
        <v>0.99999601894414336</v>
      </c>
      <c r="R195" s="33">
        <v>0</v>
      </c>
      <c r="S195" s="33">
        <f t="shared" si="81"/>
        <v>3.981055856666137E-6</v>
      </c>
      <c r="T195" s="8">
        <f t="shared" si="99"/>
        <v>1</v>
      </c>
      <c r="U195" s="33">
        <f t="shared" si="100"/>
        <v>0</v>
      </c>
      <c r="V195" s="33">
        <f t="shared" si="101"/>
        <v>-0.99999601894414336</v>
      </c>
      <c r="W195" s="33">
        <f t="shared" si="102"/>
        <v>362.97680398105581</v>
      </c>
      <c r="X195" s="33">
        <v>96485</v>
      </c>
      <c r="Y195" s="16">
        <f t="shared" si="103"/>
        <v>-265.81482571228247</v>
      </c>
      <c r="Z195" s="16">
        <v>7</v>
      </c>
      <c r="AA195" s="16">
        <v>13</v>
      </c>
      <c r="AB195" s="8">
        <f t="shared" si="104"/>
        <v>0.34008097165991902</v>
      </c>
      <c r="AC195" s="16">
        <f t="shared" ref="AC195:AC258" si="117">((AA195*19)/K195)*100</f>
        <v>67.861468093570807</v>
      </c>
      <c r="AD195" s="20">
        <f>'PFAS Properties'!$W$32</f>
        <v>6</v>
      </c>
      <c r="AE195" s="8">
        <f>'PFAS Properties'!$S$32</f>
        <v>3.5619357633137811</v>
      </c>
      <c r="AF195" s="15">
        <f>'PFAS Properties'!$V$32</f>
        <v>4.3</v>
      </c>
      <c r="AG195" s="24">
        <v>5.2</v>
      </c>
      <c r="AH195" s="2" t="s">
        <v>661</v>
      </c>
      <c r="AI195" s="15">
        <v>24.17</v>
      </c>
      <c r="AJ195" s="16">
        <f>AI195*1000/55.845</f>
        <v>432.80508550452146</v>
      </c>
      <c r="AK195" s="8">
        <f>AI195/10</f>
        <v>2.4170000000000003</v>
      </c>
      <c r="AL195" s="15">
        <v>3.99</v>
      </c>
      <c r="AM195" s="16">
        <f>AL195*1000/26.98</f>
        <v>147.88732394366198</v>
      </c>
      <c r="AN195" s="8">
        <f>AL195/10</f>
        <v>0.39900000000000002</v>
      </c>
      <c r="AO195" s="15" t="s">
        <v>41</v>
      </c>
      <c r="AP195" s="72">
        <v>12.009766666666669</v>
      </c>
      <c r="AQ195" s="2" t="s">
        <v>752</v>
      </c>
      <c r="AR195" s="16">
        <v>47</v>
      </c>
      <c r="AS195" s="16">
        <v>20</v>
      </c>
      <c r="AT195" s="16">
        <v>33</v>
      </c>
      <c r="AU195" s="16" t="s">
        <v>661</v>
      </c>
      <c r="AV195" s="16">
        <f t="shared" si="113"/>
        <v>100</v>
      </c>
      <c r="AW195" s="18">
        <v>0.8</v>
      </c>
      <c r="AX195" s="13">
        <f t="shared" si="116"/>
        <v>8.0000000000000002E-3</v>
      </c>
      <c r="AY195" s="13" t="s">
        <v>42</v>
      </c>
      <c r="AZ195" s="16">
        <f>15/0.04</f>
        <v>375</v>
      </c>
      <c r="BA195" s="16" t="s">
        <v>55</v>
      </c>
      <c r="BB195" s="15">
        <v>0.5</v>
      </c>
      <c r="BC195" s="16">
        <v>1000</v>
      </c>
      <c r="BD195" s="18">
        <v>0.33</v>
      </c>
      <c r="BE195" s="15">
        <f t="shared" si="114"/>
        <v>41.25</v>
      </c>
      <c r="BF195" s="8">
        <f t="shared" si="105"/>
        <v>1.615423952885944</v>
      </c>
      <c r="BG195" s="8">
        <f t="shared" si="115"/>
        <v>-0.48148606012211248</v>
      </c>
      <c r="BH195" s="13" t="s">
        <v>844</v>
      </c>
      <c r="BI195" s="13"/>
      <c r="BJ195" s="13"/>
      <c r="BK195" s="15"/>
      <c r="BL195" s="8"/>
      <c r="BM195" s="18"/>
      <c r="BN195" s="8"/>
      <c r="BO195" s="24"/>
    </row>
    <row r="196" spans="1:67" s="14" customFormat="1" x14ac:dyDescent="0.3">
      <c r="A196" s="20">
        <v>194</v>
      </c>
      <c r="B196" s="2" t="s">
        <v>210</v>
      </c>
      <c r="C196" s="2">
        <v>2010</v>
      </c>
      <c r="D196" s="2" t="s">
        <v>209</v>
      </c>
      <c r="E196" s="10" t="s">
        <v>208</v>
      </c>
      <c r="F196" s="20" t="s">
        <v>29</v>
      </c>
      <c r="G196" s="2" t="s">
        <v>52</v>
      </c>
      <c r="H196" s="2" t="str">
        <f>'PFAS Properties'!$B$32</f>
        <v>PFHpA</v>
      </c>
      <c r="I196" s="2" t="str">
        <f>'PFAS Properties'!$C$32</f>
        <v>PFCA</v>
      </c>
      <c r="J196" s="2" t="str">
        <f>'PFAS Properties'!$D$32</f>
        <v>C7HF13O2</v>
      </c>
      <c r="K196" s="25">
        <f>'PFAS Properties'!$P$32</f>
        <v>363.97679999999997</v>
      </c>
      <c r="L196" s="2">
        <f>'PFAS Properties'!$X$32</f>
        <v>-0.2</v>
      </c>
      <c r="M196" s="2" t="str">
        <f>'PFAS Properties'!$Y$32</f>
        <v>-</v>
      </c>
      <c r="N196" s="33">
        <v>0</v>
      </c>
      <c r="O196" s="33">
        <v>0</v>
      </c>
      <c r="P196" s="33">
        <v>0</v>
      </c>
      <c r="Q196" s="33">
        <f t="shared" si="80"/>
        <v>0.99999998415106828</v>
      </c>
      <c r="R196" s="33">
        <v>0</v>
      </c>
      <c r="S196" s="33">
        <f t="shared" si="81"/>
        <v>1.5848931673422493E-8</v>
      </c>
      <c r="T196" s="8">
        <f t="shared" si="99"/>
        <v>1</v>
      </c>
      <c r="U196" s="33">
        <f t="shared" si="100"/>
        <v>0</v>
      </c>
      <c r="V196" s="33">
        <f t="shared" si="101"/>
        <v>-0.99999998415106828</v>
      </c>
      <c r="W196" s="33">
        <f t="shared" si="102"/>
        <v>362.97680001584894</v>
      </c>
      <c r="X196" s="33">
        <v>96485</v>
      </c>
      <c r="Y196" s="16">
        <f t="shared" si="103"/>
        <v>-265.81588263107426</v>
      </c>
      <c r="Z196" s="16">
        <v>7</v>
      </c>
      <c r="AA196" s="16">
        <v>13</v>
      </c>
      <c r="AB196" s="8">
        <f t="shared" si="104"/>
        <v>0.34008097165991902</v>
      </c>
      <c r="AC196" s="16">
        <f t="shared" si="117"/>
        <v>67.861468093570807</v>
      </c>
      <c r="AD196" s="20">
        <f>'PFAS Properties'!$W$32</f>
        <v>6</v>
      </c>
      <c r="AE196" s="8">
        <f>'PFAS Properties'!$S$32</f>
        <v>3.5619357633137811</v>
      </c>
      <c r="AF196" s="15">
        <f>'PFAS Properties'!$V$32</f>
        <v>4.3</v>
      </c>
      <c r="AG196" s="24">
        <v>7.6</v>
      </c>
      <c r="AH196" s="2" t="s">
        <v>661</v>
      </c>
      <c r="AI196" s="2">
        <v>8.1199999999999992</v>
      </c>
      <c r="AJ196" s="15">
        <f>AI196*1000/55.845</f>
        <v>145.40245321873041</v>
      </c>
      <c r="AK196" s="8">
        <f t="shared" ref="AK196:AK200" si="118">AI196/10</f>
        <v>0.81199999999999994</v>
      </c>
      <c r="AL196" s="2">
        <v>1.294</v>
      </c>
      <c r="AM196" s="15">
        <f>AL196*1000/26.98</f>
        <v>47.961452928094886</v>
      </c>
      <c r="AN196" s="8">
        <f t="shared" ref="AN196:AN200" si="119">AL196/10</f>
        <v>0.12940000000000002</v>
      </c>
      <c r="AO196" s="15" t="s">
        <v>41</v>
      </c>
      <c r="AP196" s="72">
        <v>5.6985666666666646</v>
      </c>
      <c r="AQ196" s="70" t="s">
        <v>752</v>
      </c>
      <c r="AR196" s="2">
        <v>41</v>
      </c>
      <c r="AS196" s="2">
        <v>22</v>
      </c>
      <c r="AT196" s="2">
        <v>37</v>
      </c>
      <c r="AU196" s="16" t="s">
        <v>661</v>
      </c>
      <c r="AV196" s="16">
        <f t="shared" si="113"/>
        <v>100</v>
      </c>
      <c r="AW196" s="18">
        <v>0.42</v>
      </c>
      <c r="AX196" s="13">
        <f t="shared" si="116"/>
        <v>4.1999999999999997E-3</v>
      </c>
      <c r="AY196" s="13" t="s">
        <v>53</v>
      </c>
      <c r="AZ196" s="16">
        <f>12/0.025</f>
        <v>480</v>
      </c>
      <c r="BA196" s="16" t="s">
        <v>55</v>
      </c>
      <c r="BB196" s="8">
        <v>0.02</v>
      </c>
      <c r="BC196" s="8">
        <v>1</v>
      </c>
      <c r="BD196" s="18">
        <v>0.63</v>
      </c>
      <c r="BE196" s="15">
        <f t="shared" si="114"/>
        <v>150</v>
      </c>
      <c r="BF196" s="8">
        <f t="shared" si="105"/>
        <v>2.1760912590556813</v>
      </c>
      <c r="BG196" s="8">
        <f t="shared" si="115"/>
        <v>-0.20065945054641829</v>
      </c>
      <c r="BH196" s="13" t="s">
        <v>837</v>
      </c>
      <c r="BI196" s="13"/>
      <c r="BJ196" s="13"/>
      <c r="BK196" s="13"/>
      <c r="BL196" s="13"/>
      <c r="BM196" s="17"/>
      <c r="BN196" s="17"/>
      <c r="BO196" s="2"/>
    </row>
    <row r="197" spans="1:67" s="14" customFormat="1" x14ac:dyDescent="0.3">
      <c r="A197" s="20">
        <v>195</v>
      </c>
      <c r="B197" s="2" t="s">
        <v>210</v>
      </c>
      <c r="C197" s="2">
        <v>2010</v>
      </c>
      <c r="D197" s="2" t="s">
        <v>209</v>
      </c>
      <c r="E197" s="10" t="s">
        <v>208</v>
      </c>
      <c r="F197" s="20" t="s">
        <v>29</v>
      </c>
      <c r="G197" s="2" t="s">
        <v>54</v>
      </c>
      <c r="H197" s="2" t="str">
        <f>'PFAS Properties'!$B$32</f>
        <v>PFHpA</v>
      </c>
      <c r="I197" s="2" t="str">
        <f>'PFAS Properties'!$C$32</f>
        <v>PFCA</v>
      </c>
      <c r="J197" s="2" t="str">
        <f>'PFAS Properties'!$D$32</f>
        <v>C7HF13O2</v>
      </c>
      <c r="K197" s="25">
        <f>'PFAS Properties'!$P$32</f>
        <v>363.97679999999997</v>
      </c>
      <c r="L197" s="2">
        <f>'PFAS Properties'!$X$32</f>
        <v>-0.2</v>
      </c>
      <c r="M197" s="2" t="str">
        <f>'PFAS Properties'!$Y$32</f>
        <v>-</v>
      </c>
      <c r="N197" s="33">
        <v>0</v>
      </c>
      <c r="O197" s="33">
        <v>0</v>
      </c>
      <c r="P197" s="33">
        <v>0</v>
      </c>
      <c r="Q197" s="33">
        <f t="shared" si="80"/>
        <v>0.99999949881301753</v>
      </c>
      <c r="R197" s="33">
        <v>0</v>
      </c>
      <c r="S197" s="33">
        <f t="shared" si="81"/>
        <v>5.0118698243875488E-7</v>
      </c>
      <c r="T197" s="8">
        <f t="shared" si="99"/>
        <v>1</v>
      </c>
      <c r="U197" s="33">
        <f t="shared" si="100"/>
        <v>0</v>
      </c>
      <c r="V197" s="33">
        <f t="shared" si="101"/>
        <v>-0.99999949881301753</v>
      </c>
      <c r="W197" s="33">
        <f t="shared" si="102"/>
        <v>362.97680050118691</v>
      </c>
      <c r="X197" s="33">
        <v>96485</v>
      </c>
      <c r="Y197" s="16">
        <f t="shared" si="103"/>
        <v>-265.81575326508641</v>
      </c>
      <c r="Z197" s="16">
        <v>7</v>
      </c>
      <c r="AA197" s="16">
        <v>13</v>
      </c>
      <c r="AB197" s="8">
        <f t="shared" si="104"/>
        <v>0.34008097165991902</v>
      </c>
      <c r="AC197" s="16">
        <f t="shared" si="117"/>
        <v>67.861468093570807</v>
      </c>
      <c r="AD197" s="20">
        <f>'PFAS Properties'!$W$32</f>
        <v>6</v>
      </c>
      <c r="AE197" s="8">
        <f>'PFAS Properties'!$S$32</f>
        <v>3.5619357633137811</v>
      </c>
      <c r="AF197" s="15">
        <f>'PFAS Properties'!$V$32</f>
        <v>4.3</v>
      </c>
      <c r="AG197" s="24">
        <v>6.1</v>
      </c>
      <c r="AH197" s="2" t="s">
        <v>661</v>
      </c>
      <c r="AI197" s="2">
        <v>2.73</v>
      </c>
      <c r="AJ197" s="15">
        <f>AI197*1000/55.845</f>
        <v>48.885307547676604</v>
      </c>
      <c r="AK197" s="8">
        <f t="shared" si="118"/>
        <v>0.27300000000000002</v>
      </c>
      <c r="AL197" s="2">
        <v>2.6320000000000001</v>
      </c>
      <c r="AM197" s="15">
        <f>AL197*1000/26.98</f>
        <v>97.553743513713854</v>
      </c>
      <c r="AN197" s="8">
        <f t="shared" si="119"/>
        <v>0.26319999999999999</v>
      </c>
      <c r="AO197" s="15" t="s">
        <v>41</v>
      </c>
      <c r="AP197" s="72">
        <v>12.81991666666667</v>
      </c>
      <c r="AQ197" s="70" t="s">
        <v>752</v>
      </c>
      <c r="AR197" s="2">
        <v>94</v>
      </c>
      <c r="AS197" s="2">
        <v>1</v>
      </c>
      <c r="AT197" s="2">
        <v>5</v>
      </c>
      <c r="AU197" s="16" t="s">
        <v>661</v>
      </c>
      <c r="AV197" s="16">
        <f t="shared" si="113"/>
        <v>100</v>
      </c>
      <c r="AW197" s="18">
        <v>1</v>
      </c>
      <c r="AX197" s="13">
        <f t="shared" si="116"/>
        <v>0.01</v>
      </c>
      <c r="AY197" s="13" t="s">
        <v>53</v>
      </c>
      <c r="AZ197" s="16">
        <f>12/0.025</f>
        <v>480</v>
      </c>
      <c r="BA197" s="16" t="s">
        <v>55</v>
      </c>
      <c r="BB197" s="8">
        <v>0.02</v>
      </c>
      <c r="BC197" s="8">
        <v>1</v>
      </c>
      <c r="BD197" s="18">
        <v>0.63</v>
      </c>
      <c r="BE197" s="15">
        <f t="shared" si="114"/>
        <v>63</v>
      </c>
      <c r="BF197" s="8">
        <f t="shared" si="105"/>
        <v>1.7993405494535817</v>
      </c>
      <c r="BG197" s="8">
        <f t="shared" si="115"/>
        <v>-0.20065945054641829</v>
      </c>
      <c r="BH197" s="13" t="s">
        <v>837</v>
      </c>
      <c r="BI197" s="13"/>
      <c r="BJ197" s="13"/>
      <c r="BK197" s="13"/>
      <c r="BL197" s="13"/>
      <c r="BM197" s="17"/>
      <c r="BN197" s="17"/>
      <c r="BO197" s="2"/>
    </row>
    <row r="198" spans="1:67" s="14" customFormat="1" x14ac:dyDescent="0.3">
      <c r="A198" s="20">
        <v>196</v>
      </c>
      <c r="B198" s="2" t="s">
        <v>195</v>
      </c>
      <c r="C198" s="2">
        <v>2018</v>
      </c>
      <c r="D198" s="2" t="s">
        <v>199</v>
      </c>
      <c r="E198" s="10" t="s">
        <v>795</v>
      </c>
      <c r="F198" s="20" t="s">
        <v>29</v>
      </c>
      <c r="G198" s="2" t="s">
        <v>47</v>
      </c>
      <c r="H198" s="2" t="str">
        <f>'PFAS Properties'!$B$32</f>
        <v>PFHpA</v>
      </c>
      <c r="I198" s="2" t="str">
        <f>'PFAS Properties'!$C$32</f>
        <v>PFCA</v>
      </c>
      <c r="J198" s="2" t="str">
        <f>'PFAS Properties'!$D$32</f>
        <v>C7HF13O2</v>
      </c>
      <c r="K198" s="25">
        <f>'PFAS Properties'!$P$32</f>
        <v>363.97679999999997</v>
      </c>
      <c r="L198" s="2">
        <f>'PFAS Properties'!$X$32</f>
        <v>-0.2</v>
      </c>
      <c r="M198" s="2" t="str">
        <f>'PFAS Properties'!$Y$32</f>
        <v>-</v>
      </c>
      <c r="N198" s="33">
        <v>0</v>
      </c>
      <c r="O198" s="33">
        <v>0</v>
      </c>
      <c r="P198" s="33">
        <v>0</v>
      </c>
      <c r="Q198" s="33">
        <f t="shared" si="80"/>
        <v>0.99998004777494953</v>
      </c>
      <c r="R198" s="33">
        <v>0</v>
      </c>
      <c r="S198" s="33">
        <f t="shared" si="81"/>
        <v>1.9952225050461341E-5</v>
      </c>
      <c r="T198" s="8">
        <f t="shared" si="99"/>
        <v>1</v>
      </c>
      <c r="U198" s="33">
        <f t="shared" si="100"/>
        <v>0</v>
      </c>
      <c r="V198" s="33">
        <f t="shared" si="101"/>
        <v>-0.99998004777494953</v>
      </c>
      <c r="W198" s="33">
        <f t="shared" si="102"/>
        <v>362.97681995222501</v>
      </c>
      <c r="X198" s="33">
        <v>96485</v>
      </c>
      <c r="Y198" s="16">
        <f t="shared" si="103"/>
        <v>-265.81056862602162</v>
      </c>
      <c r="Z198" s="16">
        <v>7</v>
      </c>
      <c r="AA198" s="16">
        <v>13</v>
      </c>
      <c r="AB198" s="8">
        <f t="shared" si="104"/>
        <v>0.34008097165991902</v>
      </c>
      <c r="AC198" s="16">
        <f t="shared" si="117"/>
        <v>67.861468093570807</v>
      </c>
      <c r="AD198" s="20">
        <f>'PFAS Properties'!$W$32</f>
        <v>6</v>
      </c>
      <c r="AE198" s="8">
        <f>'PFAS Properties'!$S$32</f>
        <v>3.5619357633137811</v>
      </c>
      <c r="AF198" s="15">
        <f>'PFAS Properties'!$V$32</f>
        <v>4.3</v>
      </c>
      <c r="AG198" s="24">
        <v>4.5</v>
      </c>
      <c r="AH198" s="2" t="s">
        <v>658</v>
      </c>
      <c r="AI198" s="8">
        <f>AJ198*55.845/1000</f>
        <v>5.8637250000000002E-2</v>
      </c>
      <c r="AJ198" s="16">
        <v>1.05</v>
      </c>
      <c r="AK198" s="8">
        <f t="shared" si="118"/>
        <v>5.8637250000000002E-3</v>
      </c>
      <c r="AL198" s="15">
        <f>AM198*26.98/1000</f>
        <v>0.18454320000000002</v>
      </c>
      <c r="AM198" s="16">
        <v>6.84</v>
      </c>
      <c r="AN198" s="8">
        <f t="shared" si="119"/>
        <v>1.8454320000000003E-2</v>
      </c>
      <c r="AO198" s="2" t="s">
        <v>48</v>
      </c>
      <c r="AP198" s="72">
        <v>21.496500000000001</v>
      </c>
      <c r="AQ198" s="70" t="s">
        <v>752</v>
      </c>
      <c r="AR198" s="71">
        <v>41.737499999999997</v>
      </c>
      <c r="AS198" s="71">
        <v>35.036999999999999</v>
      </c>
      <c r="AT198" s="71">
        <v>21.971</v>
      </c>
      <c r="AU198" s="70" t="s">
        <v>752</v>
      </c>
      <c r="AV198" s="16">
        <f t="shared" si="113"/>
        <v>98.745499999999993</v>
      </c>
      <c r="AW198" s="18">
        <v>45</v>
      </c>
      <c r="AX198" s="13">
        <f t="shared" si="116"/>
        <v>0.45</v>
      </c>
      <c r="AY198" s="8" t="s">
        <v>49</v>
      </c>
      <c r="AZ198" s="16">
        <f>0.45/0.04</f>
        <v>11.25</v>
      </c>
      <c r="BA198" s="16" t="s">
        <v>55</v>
      </c>
      <c r="BB198" s="8">
        <v>1.25</v>
      </c>
      <c r="BC198" s="8" t="s">
        <v>55</v>
      </c>
      <c r="BD198" s="25">
        <f>(10^(1.6)*AX198)</f>
        <v>17.914822674907391</v>
      </c>
      <c r="BE198" s="15">
        <f t="shared" si="114"/>
        <v>39.810717055349755</v>
      </c>
      <c r="BF198" s="8">
        <f t="shared" si="105"/>
        <v>1.6000000000000003</v>
      </c>
      <c r="BG198" s="8">
        <f t="shared" si="115"/>
        <v>1.253212513775344</v>
      </c>
      <c r="BH198" s="2" t="s">
        <v>821</v>
      </c>
      <c r="BI198" s="13"/>
      <c r="BJ198" s="13"/>
      <c r="BK198" s="13"/>
      <c r="BL198" s="13"/>
      <c r="BM198" s="18"/>
      <c r="BN198" s="18"/>
      <c r="BO198" s="2"/>
    </row>
    <row r="199" spans="1:67" s="14" customFormat="1" x14ac:dyDescent="0.3">
      <c r="A199" s="20">
        <v>197</v>
      </c>
      <c r="B199" s="2" t="s">
        <v>195</v>
      </c>
      <c r="C199" s="2">
        <v>2022</v>
      </c>
      <c r="D199" s="2" t="s">
        <v>199</v>
      </c>
      <c r="E199" s="22" t="s">
        <v>798</v>
      </c>
      <c r="F199" s="20" t="s">
        <v>29</v>
      </c>
      <c r="G199" s="2" t="s">
        <v>237</v>
      </c>
      <c r="H199" s="2" t="str">
        <f>'PFAS Properties'!$B$32</f>
        <v>PFHpA</v>
      </c>
      <c r="I199" s="2" t="str">
        <f>'PFAS Properties'!$C$32</f>
        <v>PFCA</v>
      </c>
      <c r="J199" s="2" t="str">
        <f>'PFAS Properties'!$D$32</f>
        <v>C7HF13O2</v>
      </c>
      <c r="K199" s="25">
        <f>'PFAS Properties'!$P$32</f>
        <v>363.97679999999997</v>
      </c>
      <c r="L199" s="2">
        <f>'PFAS Properties'!$X$32</f>
        <v>-0.2</v>
      </c>
      <c r="M199" s="2" t="str">
        <f>'PFAS Properties'!$Y$32</f>
        <v>-</v>
      </c>
      <c r="N199" s="33">
        <v>0</v>
      </c>
      <c r="O199" s="33">
        <v>0</v>
      </c>
      <c r="P199" s="33">
        <v>0</v>
      </c>
      <c r="Q199" s="33">
        <f t="shared" si="80"/>
        <v>0.99984153579563773</v>
      </c>
      <c r="R199" s="33">
        <v>0</v>
      </c>
      <c r="S199" s="33">
        <f t="shared" si="81"/>
        <v>1.5846420436223696E-4</v>
      </c>
      <c r="T199" s="8">
        <f t="shared" si="99"/>
        <v>1</v>
      </c>
      <c r="U199" s="33">
        <f t="shared" si="100"/>
        <v>0</v>
      </c>
      <c r="V199" s="33">
        <f t="shared" si="101"/>
        <v>-0.99984153579563773</v>
      </c>
      <c r="W199" s="33">
        <f t="shared" si="102"/>
        <v>362.97695846420436</v>
      </c>
      <c r="X199" s="33">
        <v>96485</v>
      </c>
      <c r="Y199" s="16">
        <f t="shared" si="103"/>
        <v>-265.77364852418214</v>
      </c>
      <c r="Z199" s="16">
        <v>7</v>
      </c>
      <c r="AA199" s="16">
        <v>13</v>
      </c>
      <c r="AB199" s="8">
        <f t="shared" si="104"/>
        <v>0.34008097165991902</v>
      </c>
      <c r="AC199" s="16">
        <f t="shared" si="117"/>
        <v>67.861468093570807</v>
      </c>
      <c r="AD199" s="20">
        <f>'PFAS Properties'!$W$32</f>
        <v>6</v>
      </c>
      <c r="AE199" s="8">
        <f>'PFAS Properties'!$S$32</f>
        <v>3.5619357633137811</v>
      </c>
      <c r="AF199" s="15">
        <f>'PFAS Properties'!$V$32</f>
        <v>4.3</v>
      </c>
      <c r="AG199" s="24">
        <v>3.6</v>
      </c>
      <c r="AH199" s="2" t="s">
        <v>832</v>
      </c>
      <c r="AI199" s="8">
        <f>(6.8*55.845)/1000</f>
        <v>0.37974599999999997</v>
      </c>
      <c r="AJ199" s="15">
        <f>AI199*1000/55.845</f>
        <v>6.8</v>
      </c>
      <c r="AK199" s="8">
        <f t="shared" si="118"/>
        <v>3.7974599999999997E-2</v>
      </c>
      <c r="AL199" s="8">
        <f>(4*26.982)/1000</f>
        <v>0.107928</v>
      </c>
      <c r="AM199" s="15">
        <f>AL199*1000/55.845</f>
        <v>1.932634971796938</v>
      </c>
      <c r="AN199" s="8">
        <f t="shared" si="119"/>
        <v>1.07928E-2</v>
      </c>
      <c r="AO199" s="2" t="s">
        <v>86</v>
      </c>
      <c r="AP199" s="72">
        <v>21.496500000000001</v>
      </c>
      <c r="AQ199" s="70" t="s">
        <v>752</v>
      </c>
      <c r="AR199" s="71">
        <v>41.737499999999997</v>
      </c>
      <c r="AS199" s="71">
        <v>35.037000000000013</v>
      </c>
      <c r="AT199" s="71">
        <v>21.971</v>
      </c>
      <c r="AU199" s="70" t="s">
        <v>752</v>
      </c>
      <c r="AV199" s="16">
        <f t="shared" si="113"/>
        <v>98.745500000000021</v>
      </c>
      <c r="AW199" s="18">
        <v>44.9</v>
      </c>
      <c r="AX199" s="13">
        <f t="shared" si="116"/>
        <v>0.44900000000000001</v>
      </c>
      <c r="AY199" s="8" t="s">
        <v>240</v>
      </c>
      <c r="AZ199" s="16">
        <f>0.75/0.03</f>
        <v>25</v>
      </c>
      <c r="BA199" s="16" t="s">
        <v>55</v>
      </c>
      <c r="BB199" s="16">
        <f>22*K199/1000</f>
        <v>8.0074895999999995</v>
      </c>
      <c r="BC199" s="16" t="s">
        <v>55</v>
      </c>
      <c r="BD199" s="25">
        <f>(10^(2.12)*AX199)</f>
        <v>59.189727561182742</v>
      </c>
      <c r="BE199" s="15">
        <f t="shared" si="114"/>
        <v>131.82567385564084</v>
      </c>
      <c r="BF199" s="8">
        <f t="shared" si="105"/>
        <v>2.1200000000000006</v>
      </c>
      <c r="BG199" s="8">
        <f t="shared" si="115"/>
        <v>1.7722463410033236</v>
      </c>
      <c r="BH199" s="2" t="s">
        <v>646</v>
      </c>
      <c r="BI199" s="16"/>
      <c r="BJ199" s="13"/>
      <c r="BK199" s="13"/>
      <c r="BL199" s="8"/>
      <c r="BM199" s="18"/>
      <c r="BN199" s="8"/>
      <c r="BO199" s="24"/>
    </row>
    <row r="200" spans="1:67" s="14" customFormat="1" x14ac:dyDescent="0.3">
      <c r="A200" s="20">
        <v>198</v>
      </c>
      <c r="B200" s="2" t="s">
        <v>195</v>
      </c>
      <c r="C200" s="2">
        <v>2022</v>
      </c>
      <c r="D200" s="2" t="s">
        <v>199</v>
      </c>
      <c r="E200" s="22" t="s">
        <v>798</v>
      </c>
      <c r="F200" s="20" t="s">
        <v>29</v>
      </c>
      <c r="G200" s="2" t="s">
        <v>239</v>
      </c>
      <c r="H200" s="2" t="str">
        <f>'PFAS Properties'!$B$32</f>
        <v>PFHpA</v>
      </c>
      <c r="I200" s="2" t="str">
        <f>'PFAS Properties'!$C$32</f>
        <v>PFCA</v>
      </c>
      <c r="J200" s="2" t="str">
        <f>'PFAS Properties'!$D$32</f>
        <v>C7HF13O2</v>
      </c>
      <c r="K200" s="25">
        <f>'PFAS Properties'!$P$32</f>
        <v>363.97679999999997</v>
      </c>
      <c r="L200" s="2">
        <f>'PFAS Properties'!$X$32</f>
        <v>-0.2</v>
      </c>
      <c r="M200" s="2" t="str">
        <f>'PFAS Properties'!$Y$32</f>
        <v>-</v>
      </c>
      <c r="N200" s="33">
        <v>0</v>
      </c>
      <c r="O200" s="33">
        <v>0</v>
      </c>
      <c r="P200" s="33">
        <v>0</v>
      </c>
      <c r="Q200" s="33">
        <f t="shared" si="80"/>
        <v>0.99993690824637249</v>
      </c>
      <c r="R200" s="33">
        <v>0</v>
      </c>
      <c r="S200" s="33">
        <f t="shared" si="81"/>
        <v>6.3091753627486543E-5</v>
      </c>
      <c r="T200" s="8">
        <f t="shared" si="99"/>
        <v>1</v>
      </c>
      <c r="U200" s="33">
        <f t="shared" si="100"/>
        <v>0</v>
      </c>
      <c r="V200" s="33">
        <f t="shared" si="101"/>
        <v>-0.99993690824637249</v>
      </c>
      <c r="W200" s="33">
        <f t="shared" si="102"/>
        <v>362.97686309175356</v>
      </c>
      <c r="X200" s="33">
        <v>96485</v>
      </c>
      <c r="Y200" s="16">
        <f t="shared" si="103"/>
        <v>-265.79906986458042</v>
      </c>
      <c r="Z200" s="16">
        <v>7</v>
      </c>
      <c r="AA200" s="16">
        <v>13</v>
      </c>
      <c r="AB200" s="8">
        <f t="shared" si="104"/>
        <v>0.34008097165991902</v>
      </c>
      <c r="AC200" s="16">
        <f t="shared" si="117"/>
        <v>67.861468093570807</v>
      </c>
      <c r="AD200" s="20">
        <f>'PFAS Properties'!$W$32</f>
        <v>6</v>
      </c>
      <c r="AE200" s="8">
        <f>'PFAS Properties'!$S$32</f>
        <v>3.5619357633137811</v>
      </c>
      <c r="AF200" s="15">
        <f>'PFAS Properties'!$V$32</f>
        <v>4.3</v>
      </c>
      <c r="AG200" s="24">
        <v>4</v>
      </c>
      <c r="AH200" s="2" t="s">
        <v>832</v>
      </c>
      <c r="AI200" s="8">
        <f>(5*55.845)/1000</f>
        <v>0.279225</v>
      </c>
      <c r="AJ200" s="15">
        <f>AI200*1000/55.845</f>
        <v>5.0000000000000009</v>
      </c>
      <c r="AK200" s="8">
        <f t="shared" si="118"/>
        <v>2.7922499999999999E-2</v>
      </c>
      <c r="AL200" s="8">
        <f>(15*26.982)/1000</f>
        <v>0.40473000000000003</v>
      </c>
      <c r="AM200" s="15">
        <f>AL200*1000/55.845</f>
        <v>7.2473811442385179</v>
      </c>
      <c r="AN200" s="8">
        <f t="shared" si="119"/>
        <v>4.0473000000000002E-2</v>
      </c>
      <c r="AO200" s="2" t="s">
        <v>86</v>
      </c>
      <c r="AP200" s="72">
        <v>21.496500000000001</v>
      </c>
      <c r="AQ200" s="70" t="s">
        <v>752</v>
      </c>
      <c r="AR200" s="71">
        <v>41.737499999999997</v>
      </c>
      <c r="AS200" s="71">
        <v>35.036999999999999</v>
      </c>
      <c r="AT200" s="71">
        <v>21.971</v>
      </c>
      <c r="AU200" s="70" t="s">
        <v>752</v>
      </c>
      <c r="AV200" s="16">
        <f t="shared" si="113"/>
        <v>98.745499999999993</v>
      </c>
      <c r="AW200" s="18">
        <v>53.6</v>
      </c>
      <c r="AX200" s="13">
        <f t="shared" si="116"/>
        <v>0.53600000000000003</v>
      </c>
      <c r="AY200" s="8" t="s">
        <v>240</v>
      </c>
      <c r="AZ200" s="16">
        <f>0.75/0.03</f>
        <v>25</v>
      </c>
      <c r="BA200" s="16" t="s">
        <v>55</v>
      </c>
      <c r="BB200" s="16">
        <f>22*K200/1000</f>
        <v>8.0074895999999995</v>
      </c>
      <c r="BC200" s="16" t="s">
        <v>55</v>
      </c>
      <c r="BD200" s="25">
        <f>(10^(1.94)*AX200)</f>
        <v>46.683648421645927</v>
      </c>
      <c r="BE200" s="15">
        <f t="shared" si="114"/>
        <v>87.096358995608071</v>
      </c>
      <c r="BF200" s="8">
        <f t="shared" si="105"/>
        <v>1.94</v>
      </c>
      <c r="BG200" s="8">
        <f t="shared" si="115"/>
        <v>1.6691647896927702</v>
      </c>
      <c r="BH200" s="2" t="s">
        <v>646</v>
      </c>
      <c r="BI200" s="16"/>
      <c r="BJ200" s="13"/>
      <c r="BK200" s="13"/>
      <c r="BL200" s="8"/>
      <c r="BM200" s="18"/>
      <c r="BN200" s="8"/>
      <c r="BO200" s="24"/>
    </row>
    <row r="201" spans="1:67" s="14" customFormat="1" x14ac:dyDescent="0.3">
      <c r="A201" s="20">
        <v>199</v>
      </c>
      <c r="B201" s="2" t="s">
        <v>211</v>
      </c>
      <c r="C201" s="2">
        <v>2019</v>
      </c>
      <c r="D201" s="2" t="s">
        <v>212</v>
      </c>
      <c r="E201" s="10" t="s">
        <v>213</v>
      </c>
      <c r="F201" s="20" t="s">
        <v>29</v>
      </c>
      <c r="G201" s="2" t="s">
        <v>55</v>
      </c>
      <c r="H201" s="2" t="str">
        <f>'PFAS Properties'!$B$32</f>
        <v>PFHpA</v>
      </c>
      <c r="I201" s="2" t="str">
        <f>'PFAS Properties'!$C$32</f>
        <v>PFCA</v>
      </c>
      <c r="J201" s="2" t="str">
        <f>'PFAS Properties'!$D$32</f>
        <v>C7HF13O2</v>
      </c>
      <c r="K201" s="25">
        <f>'PFAS Properties'!$P$32</f>
        <v>363.97679999999997</v>
      </c>
      <c r="L201" s="2">
        <f>'PFAS Properties'!$X$32</f>
        <v>-0.2</v>
      </c>
      <c r="M201" s="2" t="str">
        <f>'PFAS Properties'!$Y$32</f>
        <v>-</v>
      </c>
      <c r="N201" s="33">
        <v>0</v>
      </c>
      <c r="O201" s="33">
        <v>0</v>
      </c>
      <c r="P201" s="33">
        <v>0</v>
      </c>
      <c r="Q201" s="33">
        <f t="shared" si="80"/>
        <v>0.99999993690426958</v>
      </c>
      <c r="R201" s="33">
        <v>0</v>
      </c>
      <c r="S201" s="33">
        <f t="shared" si="81"/>
        <v>6.3095730466947729E-8</v>
      </c>
      <c r="T201" s="8">
        <f t="shared" si="99"/>
        <v>1</v>
      </c>
      <c r="U201" s="33">
        <f t="shared" si="100"/>
        <v>0</v>
      </c>
      <c r="V201" s="33">
        <f t="shared" si="101"/>
        <v>-0.99999993690426958</v>
      </c>
      <c r="W201" s="33">
        <f t="shared" si="102"/>
        <v>362.97680006309571</v>
      </c>
      <c r="X201" s="33">
        <v>96485</v>
      </c>
      <c r="Y201" s="16">
        <f t="shared" si="103"/>
        <v>-265.81587003752475</v>
      </c>
      <c r="Z201" s="16">
        <v>7</v>
      </c>
      <c r="AA201" s="16">
        <v>13</v>
      </c>
      <c r="AB201" s="8">
        <f t="shared" si="104"/>
        <v>0.34008097165991902</v>
      </c>
      <c r="AC201" s="16">
        <f t="shared" si="117"/>
        <v>67.861468093570807</v>
      </c>
      <c r="AD201" s="20">
        <f>'PFAS Properties'!$W$32</f>
        <v>6</v>
      </c>
      <c r="AE201" s="8">
        <f>'PFAS Properties'!$S$32</f>
        <v>3.5619357633137811</v>
      </c>
      <c r="AF201" s="15">
        <f>'PFAS Properties'!$V$32</f>
        <v>4.3</v>
      </c>
      <c r="AG201" s="24">
        <v>7</v>
      </c>
      <c r="AH201" s="2" t="s">
        <v>661</v>
      </c>
      <c r="AI201" s="2" t="s">
        <v>661</v>
      </c>
      <c r="AJ201" s="2" t="s">
        <v>661</v>
      </c>
      <c r="AK201" s="2" t="s">
        <v>661</v>
      </c>
      <c r="AL201" s="2" t="s">
        <v>661</v>
      </c>
      <c r="AM201" s="2" t="s">
        <v>661</v>
      </c>
      <c r="AN201" s="2" t="s">
        <v>661</v>
      </c>
      <c r="AO201" s="2" t="s">
        <v>661</v>
      </c>
      <c r="AP201" s="59">
        <f>(26.31+26.59+27.81)/3</f>
        <v>26.903333333333332</v>
      </c>
      <c r="AQ201" s="16" t="s">
        <v>661</v>
      </c>
      <c r="AR201" s="71">
        <v>31.549399999999999</v>
      </c>
      <c r="AS201" s="71">
        <v>38.265099999999997</v>
      </c>
      <c r="AT201" s="71">
        <v>30.404799999999991</v>
      </c>
      <c r="AU201" s="70" t="s">
        <v>752</v>
      </c>
      <c r="AV201" s="16">
        <f t="shared" si="113"/>
        <v>100.21929999999999</v>
      </c>
      <c r="AW201" s="18">
        <f>(1.55+1.44+1.34)/3</f>
        <v>1.4433333333333334</v>
      </c>
      <c r="AX201" s="13">
        <f t="shared" si="116"/>
        <v>1.4433333333333333E-2</v>
      </c>
      <c r="AY201" s="8" t="s">
        <v>829</v>
      </c>
      <c r="AZ201" s="16">
        <f>5/0.01</f>
        <v>500</v>
      </c>
      <c r="BA201" s="16" t="s">
        <v>55</v>
      </c>
      <c r="BB201" s="16">
        <v>10</v>
      </c>
      <c r="BC201" s="16">
        <v>100</v>
      </c>
      <c r="BD201" s="20">
        <v>0.43</v>
      </c>
      <c r="BE201" s="15">
        <f t="shared" si="114"/>
        <v>29.792147806004621</v>
      </c>
      <c r="BF201" s="8">
        <f t="shared" si="105"/>
        <v>1.4741018139458835</v>
      </c>
      <c r="BG201" s="8">
        <f t="shared" si="115"/>
        <v>-0.36653154442041347</v>
      </c>
      <c r="BH201" s="2" t="s">
        <v>837</v>
      </c>
      <c r="BI201" s="13"/>
      <c r="BJ201" s="13"/>
      <c r="BK201" s="13"/>
      <c r="BL201" s="13"/>
      <c r="BM201" s="17"/>
      <c r="BN201" s="17"/>
      <c r="BO201" s="2"/>
    </row>
    <row r="202" spans="1:67" s="14" customFormat="1" x14ac:dyDescent="0.3">
      <c r="A202" s="20">
        <v>200</v>
      </c>
      <c r="B202" s="2" t="s">
        <v>206</v>
      </c>
      <c r="C202" s="2">
        <v>2020</v>
      </c>
      <c r="D202" s="2" t="s">
        <v>201</v>
      </c>
      <c r="E202" s="10" t="s">
        <v>793</v>
      </c>
      <c r="F202" s="20" t="s">
        <v>29</v>
      </c>
      <c r="G202" s="2" t="s">
        <v>44</v>
      </c>
      <c r="H202" s="2" t="str">
        <f>'PFAS Properties'!$B$32</f>
        <v>PFHpA</v>
      </c>
      <c r="I202" s="2" t="str">
        <f>'PFAS Properties'!$C$32</f>
        <v>PFCA</v>
      </c>
      <c r="J202" s="2" t="str">
        <f>'PFAS Properties'!$D$32</f>
        <v>C7HF13O2</v>
      </c>
      <c r="K202" s="25">
        <f>'PFAS Properties'!$P$32</f>
        <v>363.97679999999997</v>
      </c>
      <c r="L202" s="2">
        <f>'PFAS Properties'!$X$32</f>
        <v>-0.2</v>
      </c>
      <c r="M202" s="2" t="str">
        <f>'PFAS Properties'!$Y$32</f>
        <v>-</v>
      </c>
      <c r="N202" s="33">
        <v>0</v>
      </c>
      <c r="O202" s="33">
        <v>0</v>
      </c>
      <c r="P202" s="33">
        <v>0</v>
      </c>
      <c r="Q202" s="33">
        <f t="shared" si="80"/>
        <v>0.99999999000000006</v>
      </c>
      <c r="R202" s="33">
        <v>0</v>
      </c>
      <c r="S202" s="33">
        <f t="shared" si="81"/>
        <v>9.9999999000000002E-9</v>
      </c>
      <c r="T202" s="8">
        <f t="shared" si="99"/>
        <v>1</v>
      </c>
      <c r="U202" s="33">
        <f t="shared" si="100"/>
        <v>0</v>
      </c>
      <c r="V202" s="33">
        <f t="shared" si="101"/>
        <v>-0.99999999000000006</v>
      </c>
      <c r="W202" s="33">
        <f t="shared" si="102"/>
        <v>362.97680000999992</v>
      </c>
      <c r="X202" s="33">
        <v>96485</v>
      </c>
      <c r="Y202" s="16">
        <f t="shared" si="103"/>
        <v>-265.81588419009665</v>
      </c>
      <c r="Z202" s="16">
        <v>7</v>
      </c>
      <c r="AA202" s="16">
        <v>13</v>
      </c>
      <c r="AB202" s="8">
        <f t="shared" si="104"/>
        <v>0.34008097165991902</v>
      </c>
      <c r="AC202" s="16">
        <f t="shared" si="117"/>
        <v>67.861468093570807</v>
      </c>
      <c r="AD202" s="20">
        <f>'PFAS Properties'!$W$32</f>
        <v>6</v>
      </c>
      <c r="AE202" s="8">
        <f>'PFAS Properties'!$S$32</f>
        <v>3.5619357633137811</v>
      </c>
      <c r="AF202" s="15">
        <f>'PFAS Properties'!$V$32</f>
        <v>4.3</v>
      </c>
      <c r="AG202" s="24">
        <v>7.8</v>
      </c>
      <c r="AH202" s="2" t="s">
        <v>661</v>
      </c>
      <c r="AI202" s="2" t="s">
        <v>661</v>
      </c>
      <c r="AJ202" s="2" t="s">
        <v>661</v>
      </c>
      <c r="AK202" s="2" t="s">
        <v>661</v>
      </c>
      <c r="AL202" s="2" t="s">
        <v>661</v>
      </c>
      <c r="AM202" s="2" t="s">
        <v>661</v>
      </c>
      <c r="AN202" s="2" t="s">
        <v>661</v>
      </c>
      <c r="AO202" s="2" t="s">
        <v>661</v>
      </c>
      <c r="AP202" s="72">
        <v>11.17476666666666</v>
      </c>
      <c r="AQ202" s="70" t="s">
        <v>752</v>
      </c>
      <c r="AR202" s="16">
        <v>47</v>
      </c>
      <c r="AS202" s="16">
        <v>38</v>
      </c>
      <c r="AT202" s="16">
        <v>15</v>
      </c>
      <c r="AU202" s="16" t="s">
        <v>661</v>
      </c>
      <c r="AV202" s="16">
        <f t="shared" si="113"/>
        <v>100</v>
      </c>
      <c r="AW202" s="18">
        <v>1.43</v>
      </c>
      <c r="AX202" s="13">
        <f t="shared" si="116"/>
        <v>1.43E-2</v>
      </c>
      <c r="AY202" s="8" t="s">
        <v>45</v>
      </c>
      <c r="AZ202" s="16">
        <f>5/0.025</f>
        <v>200</v>
      </c>
      <c r="BA202" s="16" t="s">
        <v>55</v>
      </c>
      <c r="BB202" s="16">
        <v>10</v>
      </c>
      <c r="BC202" s="16">
        <v>100</v>
      </c>
      <c r="BD202" s="20">
        <v>1.64</v>
      </c>
      <c r="BE202" s="15">
        <f t="shared" si="114"/>
        <v>114.68531468531468</v>
      </c>
      <c r="BF202" s="8">
        <f t="shared" si="105"/>
        <v>2.0595078105826361</v>
      </c>
      <c r="BG202" s="8">
        <f t="shared" si="115"/>
        <v>0.21484384804769785</v>
      </c>
      <c r="BH202" s="2" t="s">
        <v>837</v>
      </c>
      <c r="BI202" s="8"/>
      <c r="BJ202" s="13"/>
      <c r="BK202" s="15"/>
      <c r="BL202" s="8"/>
      <c r="BM202" s="18"/>
      <c r="BN202" s="8"/>
      <c r="BO202" s="24"/>
    </row>
    <row r="203" spans="1:67" s="14" customFormat="1" x14ac:dyDescent="0.3">
      <c r="A203" s="20">
        <v>201</v>
      </c>
      <c r="B203" s="2" t="s">
        <v>214</v>
      </c>
      <c r="C203" s="2">
        <v>2022</v>
      </c>
      <c r="D203" s="2" t="s">
        <v>201</v>
      </c>
      <c r="E203" s="10" t="s">
        <v>808</v>
      </c>
      <c r="F203" s="20" t="s">
        <v>29</v>
      </c>
      <c r="G203" s="2" t="s">
        <v>215</v>
      </c>
      <c r="H203" s="2" t="str">
        <f>'PFAS Properties'!$B$32</f>
        <v>PFHpA</v>
      </c>
      <c r="I203" s="2" t="str">
        <f>'PFAS Properties'!$C$32</f>
        <v>PFCA</v>
      </c>
      <c r="J203" s="2" t="str">
        <f>'PFAS Properties'!$D$32</f>
        <v>C7HF13O2</v>
      </c>
      <c r="K203" s="25">
        <f>'PFAS Properties'!$P$32</f>
        <v>363.97679999999997</v>
      </c>
      <c r="L203" s="2">
        <f>'PFAS Properties'!$X$32</f>
        <v>-0.2</v>
      </c>
      <c r="M203" s="2" t="str">
        <f>'PFAS Properties'!$Y$32</f>
        <v>-</v>
      </c>
      <c r="N203" s="33">
        <v>0</v>
      </c>
      <c r="O203" s="33">
        <v>0</v>
      </c>
      <c r="P203" s="33">
        <v>0</v>
      </c>
      <c r="Q203" s="33">
        <f t="shared" si="80"/>
        <v>0.99999000009999905</v>
      </c>
      <c r="R203" s="33">
        <v>0</v>
      </c>
      <c r="S203" s="33">
        <f t="shared" si="81"/>
        <v>9.9999000009999908E-6</v>
      </c>
      <c r="T203" s="8">
        <f t="shared" si="99"/>
        <v>1</v>
      </c>
      <c r="U203" s="33">
        <f t="shared" si="100"/>
        <v>0</v>
      </c>
      <c r="V203" s="33">
        <f t="shared" si="101"/>
        <v>-0.99999000009999905</v>
      </c>
      <c r="W203" s="33">
        <f t="shared" si="102"/>
        <v>362.97680999989996</v>
      </c>
      <c r="X203" s="33">
        <v>96485</v>
      </c>
      <c r="Y203" s="16">
        <f t="shared" si="103"/>
        <v>-265.81322140021842</v>
      </c>
      <c r="Z203" s="16">
        <v>7</v>
      </c>
      <c r="AA203" s="16">
        <v>13</v>
      </c>
      <c r="AB203" s="8">
        <f t="shared" si="104"/>
        <v>0.34008097165991902</v>
      </c>
      <c r="AC203" s="16">
        <f t="shared" si="117"/>
        <v>67.861468093570807</v>
      </c>
      <c r="AD203" s="20">
        <f>'PFAS Properties'!$W$32</f>
        <v>6</v>
      </c>
      <c r="AE203" s="8">
        <f>'PFAS Properties'!$S$32</f>
        <v>3.5619357633137811</v>
      </c>
      <c r="AF203" s="15">
        <f>'PFAS Properties'!$V$32</f>
        <v>4.3</v>
      </c>
      <c r="AG203" s="24">
        <v>4.8</v>
      </c>
      <c r="AH203" s="2" t="s">
        <v>216</v>
      </c>
      <c r="AI203" s="2">
        <v>8.3000000000000007</v>
      </c>
      <c r="AJ203" s="15">
        <f>AI203*1000/55.845</f>
        <v>148.62566030978601</v>
      </c>
      <c r="AK203" s="15">
        <f>AI203/10</f>
        <v>0.83000000000000007</v>
      </c>
      <c r="AL203" s="15">
        <v>7.85</v>
      </c>
      <c r="AM203" s="15">
        <f>AL203*1000/26.98</f>
        <v>290.95626389918459</v>
      </c>
      <c r="AN203" s="15">
        <f>AL203/10</f>
        <v>0.78499999999999992</v>
      </c>
      <c r="AO203" s="15" t="s">
        <v>217</v>
      </c>
      <c r="AP203" s="72">
        <v>15.34083666666667</v>
      </c>
      <c r="AQ203" s="70" t="s">
        <v>752</v>
      </c>
      <c r="AR203" s="16">
        <v>32</v>
      </c>
      <c r="AS203" s="16">
        <v>40</v>
      </c>
      <c r="AT203" s="16">
        <v>28</v>
      </c>
      <c r="AU203" s="2" t="s">
        <v>661</v>
      </c>
      <c r="AV203" s="16">
        <f t="shared" si="113"/>
        <v>100</v>
      </c>
      <c r="AW203" s="18">
        <v>4.9000000000000004</v>
      </c>
      <c r="AX203" s="13">
        <f t="shared" si="116"/>
        <v>4.9000000000000002E-2</v>
      </c>
      <c r="AY203" s="8" t="s">
        <v>218</v>
      </c>
      <c r="AZ203" s="16">
        <f>1.5/0.075</f>
        <v>20</v>
      </c>
      <c r="BA203" s="16" t="s">
        <v>55</v>
      </c>
      <c r="BB203" s="16">
        <v>10</v>
      </c>
      <c r="BC203" s="16" t="s">
        <v>55</v>
      </c>
      <c r="BD203" s="20">
        <v>1.17</v>
      </c>
      <c r="BE203" s="15">
        <f t="shared" si="114"/>
        <v>23.877551020408159</v>
      </c>
      <c r="BF203" s="8">
        <f t="shared" si="105"/>
        <v>1.3779897817176479</v>
      </c>
      <c r="BG203" s="8">
        <f t="shared" si="115"/>
        <v>6.8185861746161619E-2</v>
      </c>
      <c r="BH203" s="2" t="s">
        <v>380</v>
      </c>
      <c r="BI203" s="2"/>
      <c r="BJ203" s="2"/>
      <c r="BK203" s="2"/>
      <c r="BL203" s="2"/>
      <c r="BM203" s="20"/>
      <c r="BN203" s="20"/>
      <c r="BO203" s="2"/>
    </row>
    <row r="204" spans="1:67" s="14" customFormat="1" x14ac:dyDescent="0.3">
      <c r="A204" s="20">
        <v>202</v>
      </c>
      <c r="B204" s="2" t="s">
        <v>214</v>
      </c>
      <c r="C204" s="2">
        <v>2022</v>
      </c>
      <c r="D204" s="2" t="s">
        <v>201</v>
      </c>
      <c r="E204" s="10" t="s">
        <v>808</v>
      </c>
      <c r="F204" s="20" t="s">
        <v>29</v>
      </c>
      <c r="G204" s="2" t="s">
        <v>233</v>
      </c>
      <c r="H204" s="2" t="str">
        <f>'PFAS Properties'!$B$32</f>
        <v>PFHpA</v>
      </c>
      <c r="I204" s="2" t="str">
        <f>'PFAS Properties'!$C$32</f>
        <v>PFCA</v>
      </c>
      <c r="J204" s="2" t="str">
        <f>'PFAS Properties'!$D$32</f>
        <v>C7HF13O2</v>
      </c>
      <c r="K204" s="25">
        <f>'PFAS Properties'!$P$32</f>
        <v>363.97679999999997</v>
      </c>
      <c r="L204" s="2">
        <f>'PFAS Properties'!$X$32</f>
        <v>-0.2</v>
      </c>
      <c r="M204" s="2" t="str">
        <f>'PFAS Properties'!$Y$32</f>
        <v>-</v>
      </c>
      <c r="N204" s="33">
        <v>0</v>
      </c>
      <c r="O204" s="33">
        <v>0</v>
      </c>
      <c r="P204" s="33">
        <v>0</v>
      </c>
      <c r="Q204" s="33">
        <f t="shared" si="80"/>
        <v>0.9999992056723962</v>
      </c>
      <c r="R204" s="33">
        <v>0</v>
      </c>
      <c r="S204" s="33">
        <f t="shared" si="81"/>
        <v>7.9432760376743655E-7</v>
      </c>
      <c r="T204" s="8">
        <f t="shared" si="99"/>
        <v>1</v>
      </c>
      <c r="U204" s="33">
        <f t="shared" si="100"/>
        <v>0</v>
      </c>
      <c r="V204" s="33">
        <f t="shared" si="101"/>
        <v>-0.9999992056723962</v>
      </c>
      <c r="W204" s="33">
        <f t="shared" si="102"/>
        <v>362.97680079432757</v>
      </c>
      <c r="X204" s="33">
        <v>96485</v>
      </c>
      <c r="Y204" s="16">
        <f t="shared" si="103"/>
        <v>-265.81567512897914</v>
      </c>
      <c r="Z204" s="16">
        <v>7</v>
      </c>
      <c r="AA204" s="16">
        <v>13</v>
      </c>
      <c r="AB204" s="8">
        <f t="shared" si="104"/>
        <v>0.34008097165991902</v>
      </c>
      <c r="AC204" s="16">
        <f t="shared" si="117"/>
        <v>67.861468093570807</v>
      </c>
      <c r="AD204" s="20">
        <f>'PFAS Properties'!$W$32</f>
        <v>6</v>
      </c>
      <c r="AE204" s="8">
        <f>'PFAS Properties'!$S$32</f>
        <v>3.5619357633137811</v>
      </c>
      <c r="AF204" s="15">
        <f>'PFAS Properties'!$V$32</f>
        <v>4.3</v>
      </c>
      <c r="AG204" s="24">
        <v>5.9</v>
      </c>
      <c r="AH204" s="2" t="s">
        <v>216</v>
      </c>
      <c r="AI204" s="2">
        <v>1.4</v>
      </c>
      <c r="AJ204" s="15">
        <f>AI204*1000/55.845</f>
        <v>25.069388485988004</v>
      </c>
      <c r="AK204" s="15">
        <f>AI204/10</f>
        <v>0.13999999999999999</v>
      </c>
      <c r="AL204" s="15">
        <v>0.92</v>
      </c>
      <c r="AM204" s="15">
        <f>AL204*1000/26.98</f>
        <v>34.099332839140104</v>
      </c>
      <c r="AN204" s="15">
        <f>AL204/10</f>
        <v>9.1999999999999998E-2</v>
      </c>
      <c r="AO204" s="15" t="s">
        <v>217</v>
      </c>
      <c r="AP204" s="72">
        <v>15.34083666666667</v>
      </c>
      <c r="AQ204" s="70" t="s">
        <v>752</v>
      </c>
      <c r="AR204" s="16">
        <v>37</v>
      </c>
      <c r="AS204" s="16">
        <v>22</v>
      </c>
      <c r="AT204" s="16">
        <v>41</v>
      </c>
      <c r="AU204" s="2" t="s">
        <v>661</v>
      </c>
      <c r="AV204" s="16">
        <f t="shared" si="113"/>
        <v>100</v>
      </c>
      <c r="AW204" s="18">
        <v>2.6</v>
      </c>
      <c r="AX204" s="13">
        <f t="shared" si="116"/>
        <v>2.6000000000000002E-2</v>
      </c>
      <c r="AY204" s="8" t="s">
        <v>218</v>
      </c>
      <c r="AZ204" s="16">
        <f>1.5/0.075</f>
        <v>20</v>
      </c>
      <c r="BA204" s="16" t="s">
        <v>55</v>
      </c>
      <c r="BB204" s="16">
        <v>10</v>
      </c>
      <c r="BC204" s="16" t="s">
        <v>55</v>
      </c>
      <c r="BD204" s="20">
        <v>0.17</v>
      </c>
      <c r="BE204" s="15">
        <f t="shared" si="114"/>
        <v>6.5384615384615383</v>
      </c>
      <c r="BF204" s="8">
        <f t="shared" si="105"/>
        <v>0.81547557340745591</v>
      </c>
      <c r="BG204" s="8">
        <f t="shared" si="115"/>
        <v>-0.769551078621726</v>
      </c>
      <c r="BH204" s="2" t="s">
        <v>380</v>
      </c>
      <c r="BI204" s="2"/>
      <c r="BJ204" s="2"/>
      <c r="BK204" s="2"/>
      <c r="BL204" s="2"/>
      <c r="BM204" s="20"/>
      <c r="BN204" s="20"/>
      <c r="BO204" s="2"/>
    </row>
    <row r="205" spans="1:67" s="94" customFormat="1" x14ac:dyDescent="0.3">
      <c r="A205" s="83">
        <v>203</v>
      </c>
      <c r="B205" s="84" t="s">
        <v>706</v>
      </c>
      <c r="C205" s="84">
        <v>2022</v>
      </c>
      <c r="D205" s="84" t="s">
        <v>199</v>
      </c>
      <c r="E205" s="85" t="s">
        <v>796</v>
      </c>
      <c r="F205" s="83" t="s">
        <v>29</v>
      </c>
      <c r="G205" s="84" t="s">
        <v>707</v>
      </c>
      <c r="H205" s="84" t="str">
        <f>'PFAS Properties'!$B$32</f>
        <v>PFHpA</v>
      </c>
      <c r="I205" s="84" t="str">
        <f>'PFAS Properties'!$C$32</f>
        <v>PFCA</v>
      </c>
      <c r="J205" s="84" t="str">
        <f>'PFAS Properties'!$D$32</f>
        <v>C7HF13O2</v>
      </c>
      <c r="K205" s="99">
        <f>'PFAS Properties'!$P$32</f>
        <v>363.97679999999997</v>
      </c>
      <c r="L205" s="84">
        <f>'PFAS Properties'!$X$32</f>
        <v>-0.2</v>
      </c>
      <c r="M205" s="84" t="str">
        <f>'PFAS Properties'!$Y$32</f>
        <v>-</v>
      </c>
      <c r="N205" s="87">
        <v>0</v>
      </c>
      <c r="O205" s="87">
        <v>0</v>
      </c>
      <c r="P205" s="87">
        <v>0</v>
      </c>
      <c r="Q205" s="87">
        <f t="shared" si="80"/>
        <v>0.99999849893552062</v>
      </c>
      <c r="R205" s="87">
        <v>0</v>
      </c>
      <c r="S205" s="87">
        <f t="shared" si="81"/>
        <v>1.50106447937241E-6</v>
      </c>
      <c r="T205" s="88">
        <f t="shared" si="99"/>
        <v>1</v>
      </c>
      <c r="U205" s="87">
        <f t="shared" si="100"/>
        <v>0</v>
      </c>
      <c r="V205" s="87">
        <f t="shared" si="101"/>
        <v>-0.99999849893552062</v>
      </c>
      <c r="W205" s="87">
        <f t="shared" si="102"/>
        <v>362.97680150106447</v>
      </c>
      <c r="X205" s="87">
        <v>96485</v>
      </c>
      <c r="Y205" s="89">
        <f t="shared" si="103"/>
        <v>-265.815486749532</v>
      </c>
      <c r="Z205" s="89">
        <v>7</v>
      </c>
      <c r="AA205" s="89">
        <v>13</v>
      </c>
      <c r="AB205" s="88">
        <f t="shared" si="104"/>
        <v>0.34008097165991902</v>
      </c>
      <c r="AC205" s="89">
        <f t="shared" si="117"/>
        <v>67.861468093570807</v>
      </c>
      <c r="AD205" s="83">
        <f>'PFAS Properties'!$W$32</f>
        <v>6</v>
      </c>
      <c r="AE205" s="88">
        <f>'PFAS Properties'!$S$32</f>
        <v>3.5619357633137811</v>
      </c>
      <c r="AF205" s="90">
        <f>'PFAS Properties'!$V$32</f>
        <v>4.3</v>
      </c>
      <c r="AG205" s="125">
        <v>5.6236000000000006</v>
      </c>
      <c r="AH205" s="84" t="s">
        <v>752</v>
      </c>
      <c r="AI205" s="84" t="s">
        <v>661</v>
      </c>
      <c r="AJ205" s="84" t="s">
        <v>661</v>
      </c>
      <c r="AK205" s="84" t="s">
        <v>661</v>
      </c>
      <c r="AL205" s="84" t="s">
        <v>661</v>
      </c>
      <c r="AM205" s="84" t="s">
        <v>661</v>
      </c>
      <c r="AN205" s="84" t="s">
        <v>661</v>
      </c>
      <c r="AO205" s="84" t="s">
        <v>661</v>
      </c>
      <c r="AP205" s="90">
        <v>17.2</v>
      </c>
      <c r="AQ205" s="84" t="s">
        <v>661</v>
      </c>
      <c r="AR205" s="84">
        <v>44.8</v>
      </c>
      <c r="AS205" s="84">
        <v>27</v>
      </c>
      <c r="AT205" s="84">
        <v>28.2</v>
      </c>
      <c r="AU205" s="84" t="s">
        <v>661</v>
      </c>
      <c r="AV205" s="89">
        <f t="shared" si="113"/>
        <v>100</v>
      </c>
      <c r="AW205" s="86">
        <v>4</v>
      </c>
      <c r="AX205" s="91">
        <f t="shared" si="116"/>
        <v>0.04</v>
      </c>
      <c r="AY205" s="84" t="s">
        <v>184</v>
      </c>
      <c r="AZ205" s="84">
        <f>0.5/0.01</f>
        <v>50</v>
      </c>
      <c r="BA205" s="89" t="s">
        <v>55</v>
      </c>
      <c r="BB205" s="84">
        <v>0</v>
      </c>
      <c r="BC205" s="84">
        <v>100</v>
      </c>
      <c r="BD205" s="93">
        <v>53.9</v>
      </c>
      <c r="BE205" s="89">
        <f t="shared" si="114"/>
        <v>1347.5</v>
      </c>
      <c r="BF205" s="89">
        <f t="shared" si="105"/>
        <v>3.1295287738587763</v>
      </c>
      <c r="BG205" s="88">
        <f t="shared" si="115"/>
        <v>1.7315887651867388</v>
      </c>
      <c r="BH205" s="84" t="s">
        <v>819</v>
      </c>
      <c r="BI205" s="84"/>
      <c r="BJ205" s="84"/>
      <c r="BK205" s="84"/>
      <c r="BL205" s="84"/>
      <c r="BM205" s="83"/>
      <c r="BN205" s="83"/>
      <c r="BO205" s="84"/>
    </row>
    <row r="206" spans="1:67" s="94" customFormat="1" x14ac:dyDescent="0.3">
      <c r="A206" s="83">
        <v>204</v>
      </c>
      <c r="B206" s="84" t="s">
        <v>706</v>
      </c>
      <c r="C206" s="84">
        <v>2022</v>
      </c>
      <c r="D206" s="84" t="s">
        <v>199</v>
      </c>
      <c r="E206" s="85" t="s">
        <v>796</v>
      </c>
      <c r="F206" s="83" t="s">
        <v>29</v>
      </c>
      <c r="G206" s="84" t="s">
        <v>708</v>
      </c>
      <c r="H206" s="84" t="str">
        <f>'PFAS Properties'!$B$32</f>
        <v>PFHpA</v>
      </c>
      <c r="I206" s="84" t="str">
        <f>'PFAS Properties'!$C$32</f>
        <v>PFCA</v>
      </c>
      <c r="J206" s="84" t="str">
        <f>'PFAS Properties'!$D$32</f>
        <v>C7HF13O2</v>
      </c>
      <c r="K206" s="99">
        <f>'PFAS Properties'!$P$32</f>
        <v>363.97679999999997</v>
      </c>
      <c r="L206" s="84">
        <f>'PFAS Properties'!$X$32</f>
        <v>-0.2</v>
      </c>
      <c r="M206" s="84" t="str">
        <f>'PFAS Properties'!$Y$32</f>
        <v>-</v>
      </c>
      <c r="N206" s="87">
        <v>0</v>
      </c>
      <c r="O206" s="87">
        <v>0</v>
      </c>
      <c r="P206" s="87">
        <v>0</v>
      </c>
      <c r="Q206" s="87">
        <f t="shared" si="80"/>
        <v>0.9999982333959051</v>
      </c>
      <c r="R206" s="87">
        <v>0</v>
      </c>
      <c r="S206" s="87">
        <f t="shared" si="81"/>
        <v>1.7666040948916728E-6</v>
      </c>
      <c r="T206" s="88">
        <f t="shared" si="99"/>
        <v>1</v>
      </c>
      <c r="U206" s="87">
        <f t="shared" si="100"/>
        <v>0</v>
      </c>
      <c r="V206" s="87">
        <f t="shared" si="101"/>
        <v>-0.9999982333959051</v>
      </c>
      <c r="W206" s="87">
        <f t="shared" si="102"/>
        <v>362.97680176660407</v>
      </c>
      <c r="X206" s="87">
        <v>96485</v>
      </c>
      <c r="Y206" s="89">
        <f t="shared" si="103"/>
        <v>-265.81541597042377</v>
      </c>
      <c r="Z206" s="89">
        <v>7</v>
      </c>
      <c r="AA206" s="89">
        <v>13</v>
      </c>
      <c r="AB206" s="88">
        <f t="shared" si="104"/>
        <v>0.34008097165991902</v>
      </c>
      <c r="AC206" s="89">
        <f t="shared" si="117"/>
        <v>67.861468093570807</v>
      </c>
      <c r="AD206" s="83">
        <f>'PFAS Properties'!$W$32</f>
        <v>6</v>
      </c>
      <c r="AE206" s="88">
        <f>'PFAS Properties'!$S$32</f>
        <v>3.5619357633137811</v>
      </c>
      <c r="AF206" s="90">
        <f>'PFAS Properties'!$V$32</f>
        <v>4.3</v>
      </c>
      <c r="AG206" s="125">
        <v>5.5528600000000008</v>
      </c>
      <c r="AH206" s="84" t="s">
        <v>752</v>
      </c>
      <c r="AI206" s="84" t="s">
        <v>661</v>
      </c>
      <c r="AJ206" s="84" t="s">
        <v>661</v>
      </c>
      <c r="AK206" s="84" t="s">
        <v>661</v>
      </c>
      <c r="AL206" s="84" t="s">
        <v>661</v>
      </c>
      <c r="AM206" s="84" t="s">
        <v>661</v>
      </c>
      <c r="AN206" s="84" t="s">
        <v>661</v>
      </c>
      <c r="AO206" s="84" t="s">
        <v>661</v>
      </c>
      <c r="AP206" s="90">
        <v>12.2</v>
      </c>
      <c r="AQ206" s="84" t="s">
        <v>661</v>
      </c>
      <c r="AR206" s="84">
        <v>41.8</v>
      </c>
      <c r="AS206" s="84">
        <v>30</v>
      </c>
      <c r="AT206" s="84">
        <v>28.2</v>
      </c>
      <c r="AU206" s="84" t="s">
        <v>661</v>
      </c>
      <c r="AV206" s="89">
        <f t="shared" si="113"/>
        <v>100</v>
      </c>
      <c r="AW206" s="86">
        <v>2</v>
      </c>
      <c r="AX206" s="91">
        <f t="shared" si="116"/>
        <v>0.02</v>
      </c>
      <c r="AY206" s="84" t="s">
        <v>184</v>
      </c>
      <c r="AZ206" s="84">
        <f>0.5/0.01</f>
        <v>50</v>
      </c>
      <c r="BA206" s="89" t="s">
        <v>55</v>
      </c>
      <c r="BB206" s="84">
        <v>0</v>
      </c>
      <c r="BC206" s="84">
        <v>100</v>
      </c>
      <c r="BD206" s="93">
        <v>43</v>
      </c>
      <c r="BE206" s="89">
        <f t="shared" si="114"/>
        <v>2150</v>
      </c>
      <c r="BF206" s="89">
        <f t="shared" si="105"/>
        <v>3.3324384599156054</v>
      </c>
      <c r="BG206" s="88">
        <f t="shared" si="115"/>
        <v>1.6334684555795864</v>
      </c>
      <c r="BH206" s="84" t="s">
        <v>819</v>
      </c>
      <c r="BI206" s="84"/>
      <c r="BJ206" s="84"/>
      <c r="BK206" s="84"/>
      <c r="BL206" s="84"/>
      <c r="BM206" s="83"/>
      <c r="BN206" s="83"/>
      <c r="BO206" s="84"/>
    </row>
    <row r="207" spans="1:67" s="94" customFormat="1" x14ac:dyDescent="0.3">
      <c r="A207" s="83">
        <v>205</v>
      </c>
      <c r="B207" s="84" t="s">
        <v>706</v>
      </c>
      <c r="C207" s="84">
        <v>2022</v>
      </c>
      <c r="D207" s="84" t="s">
        <v>199</v>
      </c>
      <c r="E207" s="85" t="s">
        <v>796</v>
      </c>
      <c r="F207" s="83" t="s">
        <v>29</v>
      </c>
      <c r="G207" s="84" t="s">
        <v>709</v>
      </c>
      <c r="H207" s="84" t="str">
        <f>'PFAS Properties'!$B$32</f>
        <v>PFHpA</v>
      </c>
      <c r="I207" s="84" t="str">
        <f>'PFAS Properties'!$C$32</f>
        <v>PFCA</v>
      </c>
      <c r="J207" s="84" t="str">
        <f>'PFAS Properties'!$D$32</f>
        <v>C7HF13O2</v>
      </c>
      <c r="K207" s="99">
        <f>'PFAS Properties'!$P$32</f>
        <v>363.97679999999997</v>
      </c>
      <c r="L207" s="84">
        <f>'PFAS Properties'!$X$32</f>
        <v>-0.2</v>
      </c>
      <c r="M207" s="84" t="str">
        <f>'PFAS Properties'!$Y$32</f>
        <v>-</v>
      </c>
      <c r="N207" s="87">
        <v>0</v>
      </c>
      <c r="O207" s="87">
        <v>0</v>
      </c>
      <c r="P207" s="87">
        <v>0</v>
      </c>
      <c r="Q207" s="87">
        <f t="shared" si="80"/>
        <v>0.99999774680374132</v>
      </c>
      <c r="R207" s="87">
        <v>0</v>
      </c>
      <c r="S207" s="87">
        <f t="shared" si="81"/>
        <v>2.2531962587246622E-6</v>
      </c>
      <c r="T207" s="88">
        <f t="shared" si="99"/>
        <v>1</v>
      </c>
      <c r="U207" s="87">
        <f t="shared" si="100"/>
        <v>0</v>
      </c>
      <c r="V207" s="87">
        <f t="shared" si="101"/>
        <v>-0.99999774680374132</v>
      </c>
      <c r="W207" s="87">
        <f t="shared" si="102"/>
        <v>362.97680225319624</v>
      </c>
      <c r="X207" s="87">
        <v>96485</v>
      </c>
      <c r="Y207" s="89">
        <f t="shared" si="103"/>
        <v>-265.81528627015553</v>
      </c>
      <c r="Z207" s="89">
        <v>7</v>
      </c>
      <c r="AA207" s="89">
        <v>13</v>
      </c>
      <c r="AB207" s="88">
        <f t="shared" si="104"/>
        <v>0.34008097165991902</v>
      </c>
      <c r="AC207" s="89">
        <f t="shared" si="117"/>
        <v>67.861468093570807</v>
      </c>
      <c r="AD207" s="83">
        <f>'PFAS Properties'!$W$32</f>
        <v>6</v>
      </c>
      <c r="AE207" s="88">
        <f>'PFAS Properties'!$S$32</f>
        <v>3.5619357633137811</v>
      </c>
      <c r="AF207" s="90">
        <f>'PFAS Properties'!$V$32</f>
        <v>4.3</v>
      </c>
      <c r="AG207" s="125">
        <v>5.4471999999999996</v>
      </c>
      <c r="AH207" s="84" t="s">
        <v>752</v>
      </c>
      <c r="AI207" s="84" t="s">
        <v>661</v>
      </c>
      <c r="AJ207" s="84" t="s">
        <v>661</v>
      </c>
      <c r="AK207" s="84" t="s">
        <v>661</v>
      </c>
      <c r="AL207" s="84" t="s">
        <v>661</v>
      </c>
      <c r="AM207" s="84" t="s">
        <v>661</v>
      </c>
      <c r="AN207" s="84" t="s">
        <v>661</v>
      </c>
      <c r="AO207" s="84" t="s">
        <v>661</v>
      </c>
      <c r="AP207" s="90">
        <v>7.3</v>
      </c>
      <c r="AQ207" s="84" t="s">
        <v>661</v>
      </c>
      <c r="AR207" s="84">
        <v>48.9</v>
      </c>
      <c r="AS207" s="84">
        <v>26.9</v>
      </c>
      <c r="AT207" s="84">
        <v>24.2</v>
      </c>
      <c r="AU207" s="84" t="s">
        <v>661</v>
      </c>
      <c r="AV207" s="89">
        <f t="shared" si="113"/>
        <v>100</v>
      </c>
      <c r="AW207" s="86">
        <v>2.2000000000000002</v>
      </c>
      <c r="AX207" s="91">
        <f t="shared" si="116"/>
        <v>2.2000000000000002E-2</v>
      </c>
      <c r="AY207" s="84" t="s">
        <v>184</v>
      </c>
      <c r="AZ207" s="84">
        <f>0.5/0.01</f>
        <v>50</v>
      </c>
      <c r="BA207" s="89" t="s">
        <v>55</v>
      </c>
      <c r="BB207" s="84">
        <v>0</v>
      </c>
      <c r="BC207" s="84">
        <v>100</v>
      </c>
      <c r="BD207" s="93">
        <v>34.6</v>
      </c>
      <c r="BE207" s="89">
        <f t="shared" si="114"/>
        <v>1572.7272727272727</v>
      </c>
      <c r="BF207" s="89">
        <f t="shared" si="105"/>
        <v>3.1966534179705706</v>
      </c>
      <c r="BG207" s="88">
        <f t="shared" si="115"/>
        <v>1.5390760987927767</v>
      </c>
      <c r="BH207" s="84" t="s">
        <v>819</v>
      </c>
      <c r="BI207" s="84"/>
      <c r="BJ207" s="84"/>
      <c r="BK207" s="84"/>
      <c r="BL207" s="84"/>
      <c r="BM207" s="83"/>
      <c r="BN207" s="83"/>
      <c r="BO207" s="84"/>
    </row>
    <row r="208" spans="1:67" s="14" customFormat="1" x14ac:dyDescent="0.3">
      <c r="A208" s="20">
        <v>206</v>
      </c>
      <c r="B208" s="2" t="s">
        <v>181</v>
      </c>
      <c r="C208" s="2">
        <v>2020</v>
      </c>
      <c r="D208" s="2" t="s">
        <v>203</v>
      </c>
      <c r="E208" s="10" t="s">
        <v>787</v>
      </c>
      <c r="F208" s="20" t="s">
        <v>29</v>
      </c>
      <c r="G208" s="2" t="s">
        <v>62</v>
      </c>
      <c r="H208" s="2" t="str">
        <f>'PFAS Properties'!$B$32</f>
        <v>PFHpA</v>
      </c>
      <c r="I208" s="2" t="str">
        <f>'PFAS Properties'!$C$32</f>
        <v>PFCA</v>
      </c>
      <c r="J208" s="2" t="str">
        <f>'PFAS Properties'!$D$32</f>
        <v>C7HF13O2</v>
      </c>
      <c r="K208" s="25">
        <f>'PFAS Properties'!$P$32</f>
        <v>363.97679999999997</v>
      </c>
      <c r="L208" s="2">
        <f>'PFAS Properties'!$X$32</f>
        <v>-0.2</v>
      </c>
      <c r="M208" s="2" t="str">
        <f>'PFAS Properties'!$Y$32</f>
        <v>-</v>
      </c>
      <c r="N208" s="33">
        <v>0</v>
      </c>
      <c r="O208" s="33">
        <v>0</v>
      </c>
      <c r="P208" s="33">
        <v>0</v>
      </c>
      <c r="Q208" s="33">
        <f t="shared" ref="Q208:Q271" si="120">(10^(AG208-L208))/(1+(10^(AG208-L208)))</f>
        <v>0.99999998004737722</v>
      </c>
      <c r="R208" s="33">
        <v>0</v>
      </c>
      <c r="S208" s="33">
        <f t="shared" ref="S208:S271" si="121">(1/(1+(10^(AG208-L208))))</f>
        <v>1.995262275158161E-8</v>
      </c>
      <c r="T208" s="8">
        <f t="shared" si="99"/>
        <v>1</v>
      </c>
      <c r="U208" s="33">
        <f t="shared" si="100"/>
        <v>0</v>
      </c>
      <c r="V208" s="33">
        <f t="shared" si="101"/>
        <v>-0.99999998004737722</v>
      </c>
      <c r="W208" s="33">
        <f t="shared" si="102"/>
        <v>362.97680001995258</v>
      </c>
      <c r="X208" s="33">
        <v>96485</v>
      </c>
      <c r="Y208" s="16">
        <f t="shared" si="103"/>
        <v>-265.81588153724283</v>
      </c>
      <c r="Z208" s="16">
        <v>7</v>
      </c>
      <c r="AA208" s="16">
        <v>13</v>
      </c>
      <c r="AB208" s="8">
        <f t="shared" si="104"/>
        <v>0.34008097165991902</v>
      </c>
      <c r="AC208" s="16">
        <f t="shared" si="117"/>
        <v>67.861468093570807</v>
      </c>
      <c r="AD208" s="20">
        <f>'PFAS Properties'!$W$32</f>
        <v>6</v>
      </c>
      <c r="AE208" s="8">
        <f>'PFAS Properties'!$S$32</f>
        <v>3.5619357633137811</v>
      </c>
      <c r="AF208" s="15">
        <f>'PFAS Properties'!$V$32</f>
        <v>4.3</v>
      </c>
      <c r="AG208" s="24">
        <v>7.5</v>
      </c>
      <c r="AH208" s="2" t="s">
        <v>183</v>
      </c>
      <c r="AI208" s="2" t="s">
        <v>661</v>
      </c>
      <c r="AJ208" s="2" t="s">
        <v>661</v>
      </c>
      <c r="AK208" s="2" t="s">
        <v>661</v>
      </c>
      <c r="AL208" s="2" t="s">
        <v>661</v>
      </c>
      <c r="AM208" s="2" t="s">
        <v>661</v>
      </c>
      <c r="AN208" s="2" t="s">
        <v>661</v>
      </c>
      <c r="AO208" s="2" t="s">
        <v>661</v>
      </c>
      <c r="AP208" s="15">
        <v>41.4</v>
      </c>
      <c r="AQ208" s="2" t="s">
        <v>661</v>
      </c>
      <c r="AR208" s="16">
        <v>16.899999999999999</v>
      </c>
      <c r="AS208" s="16">
        <v>17.5</v>
      </c>
      <c r="AT208" s="16">
        <v>65.599999999999994</v>
      </c>
      <c r="AU208" s="2" t="s">
        <v>661</v>
      </c>
      <c r="AV208" s="16">
        <f t="shared" si="113"/>
        <v>100</v>
      </c>
      <c r="AW208" s="18">
        <v>0.7</v>
      </c>
      <c r="AX208" s="13">
        <v>6.9999999999999993E-3</v>
      </c>
      <c r="AY208" s="13" t="s">
        <v>184</v>
      </c>
      <c r="AZ208" s="16">
        <v>100</v>
      </c>
      <c r="BA208" s="16" t="s">
        <v>55</v>
      </c>
      <c r="BB208" s="16">
        <v>5</v>
      </c>
      <c r="BC208" s="16" t="s">
        <v>55</v>
      </c>
      <c r="BD208" s="18">
        <v>0.55000000000000004</v>
      </c>
      <c r="BE208" s="15">
        <f t="shared" si="114"/>
        <v>78.571428571428584</v>
      </c>
      <c r="BF208" s="8">
        <f t="shared" si="105"/>
        <v>1.8952646494799872</v>
      </c>
      <c r="BG208" s="8">
        <f t="shared" si="115"/>
        <v>-0.25963731050575611</v>
      </c>
      <c r="BH208" s="13" t="s">
        <v>345</v>
      </c>
      <c r="BI208" s="13"/>
      <c r="BJ208" s="13"/>
      <c r="BK208" s="13"/>
      <c r="BL208" s="13"/>
      <c r="BM208" s="17"/>
      <c r="BN208" s="17"/>
      <c r="BO208" s="2"/>
    </row>
    <row r="209" spans="1:67" s="14" customFormat="1" x14ac:dyDescent="0.3">
      <c r="A209" s="20">
        <v>207</v>
      </c>
      <c r="B209" s="2" t="s">
        <v>181</v>
      </c>
      <c r="C209" s="2">
        <v>2020</v>
      </c>
      <c r="D209" s="2" t="s">
        <v>203</v>
      </c>
      <c r="E209" s="10" t="s">
        <v>787</v>
      </c>
      <c r="F209" s="20" t="s">
        <v>29</v>
      </c>
      <c r="G209" s="2" t="s">
        <v>57</v>
      </c>
      <c r="H209" s="2" t="str">
        <f>'PFAS Properties'!$B$32</f>
        <v>PFHpA</v>
      </c>
      <c r="I209" s="2" t="str">
        <f>'PFAS Properties'!$C$32</f>
        <v>PFCA</v>
      </c>
      <c r="J209" s="2" t="str">
        <f>'PFAS Properties'!$D$32</f>
        <v>C7HF13O2</v>
      </c>
      <c r="K209" s="25">
        <f>'PFAS Properties'!$P$32</f>
        <v>363.97679999999997</v>
      </c>
      <c r="L209" s="2">
        <f>'PFAS Properties'!$X$32</f>
        <v>-0.2</v>
      </c>
      <c r="M209" s="2" t="str">
        <f>'PFAS Properties'!$Y$32</f>
        <v>-</v>
      </c>
      <c r="N209" s="33">
        <v>0</v>
      </c>
      <c r="O209" s="33">
        <v>0</v>
      </c>
      <c r="P209" s="33">
        <v>0</v>
      </c>
      <c r="Q209" s="33">
        <f t="shared" si="120"/>
        <v>0.99999990000001004</v>
      </c>
      <c r="R209" s="33">
        <v>0</v>
      </c>
      <c r="S209" s="33">
        <f t="shared" si="121"/>
        <v>9.9999990000001005E-8</v>
      </c>
      <c r="T209" s="8">
        <f t="shared" si="99"/>
        <v>1</v>
      </c>
      <c r="U209" s="33">
        <f t="shared" si="100"/>
        <v>0</v>
      </c>
      <c r="V209" s="33">
        <f t="shared" si="101"/>
        <v>-0.99999990000001004</v>
      </c>
      <c r="W209" s="33">
        <f t="shared" si="102"/>
        <v>362.97680009999999</v>
      </c>
      <c r="X209" s="33">
        <v>96485</v>
      </c>
      <c r="Y209" s="16">
        <f t="shared" si="103"/>
        <v>-265.81586020076048</v>
      </c>
      <c r="Z209" s="16">
        <v>7</v>
      </c>
      <c r="AA209" s="16">
        <v>13</v>
      </c>
      <c r="AB209" s="8">
        <f t="shared" si="104"/>
        <v>0.34008097165991902</v>
      </c>
      <c r="AC209" s="16">
        <f t="shared" si="117"/>
        <v>67.861468093570807</v>
      </c>
      <c r="AD209" s="20">
        <f>'PFAS Properties'!$W$32</f>
        <v>6</v>
      </c>
      <c r="AE209" s="8">
        <f>'PFAS Properties'!$S$32</f>
        <v>3.5619357633137811</v>
      </c>
      <c r="AF209" s="15">
        <f>'PFAS Properties'!$V$32</f>
        <v>4.3</v>
      </c>
      <c r="AG209" s="24">
        <v>6.8</v>
      </c>
      <c r="AH209" s="2" t="s">
        <v>183</v>
      </c>
      <c r="AI209" s="2" t="s">
        <v>661</v>
      </c>
      <c r="AJ209" s="2" t="s">
        <v>661</v>
      </c>
      <c r="AK209" s="2" t="s">
        <v>661</v>
      </c>
      <c r="AL209" s="2" t="s">
        <v>661</v>
      </c>
      <c r="AM209" s="2" t="s">
        <v>661</v>
      </c>
      <c r="AN209" s="2" t="s">
        <v>661</v>
      </c>
      <c r="AO209" s="2" t="s">
        <v>661</v>
      </c>
      <c r="AP209" s="15">
        <v>7.1</v>
      </c>
      <c r="AQ209" s="2" t="s">
        <v>661</v>
      </c>
      <c r="AR209" s="16">
        <v>48.9</v>
      </c>
      <c r="AS209" s="16">
        <v>27</v>
      </c>
      <c r="AT209" s="16">
        <v>24.2</v>
      </c>
      <c r="AU209" s="2" t="s">
        <v>661</v>
      </c>
      <c r="AV209" s="16">
        <f t="shared" si="113"/>
        <v>100.10000000000001</v>
      </c>
      <c r="AW209" s="18">
        <v>0.37</v>
      </c>
      <c r="AX209" s="13">
        <v>3.7000000000000002E-3</v>
      </c>
      <c r="AY209" s="13" t="s">
        <v>184</v>
      </c>
      <c r="AZ209" s="16">
        <v>100</v>
      </c>
      <c r="BA209" s="16" t="s">
        <v>55</v>
      </c>
      <c r="BB209" s="16">
        <v>5</v>
      </c>
      <c r="BC209" s="16" t="s">
        <v>55</v>
      </c>
      <c r="BD209" s="20">
        <v>0.61</v>
      </c>
      <c r="BE209" s="15">
        <f t="shared" si="114"/>
        <v>164.86486486486484</v>
      </c>
      <c r="BF209" s="8">
        <f t="shared" si="105"/>
        <v>2.2171281109437722</v>
      </c>
      <c r="BG209" s="8">
        <f t="shared" si="115"/>
        <v>-0.21467016498923297</v>
      </c>
      <c r="BH209" s="13" t="s">
        <v>345</v>
      </c>
      <c r="BI209" s="13"/>
      <c r="BJ209" s="13"/>
      <c r="BK209" s="13"/>
      <c r="BL209" s="13"/>
      <c r="BM209" s="17"/>
      <c r="BN209" s="17"/>
      <c r="BO209" s="2"/>
    </row>
    <row r="210" spans="1:67" s="14" customFormat="1" x14ac:dyDescent="0.3">
      <c r="A210" s="20">
        <v>208</v>
      </c>
      <c r="B210" s="2" t="s">
        <v>181</v>
      </c>
      <c r="C210" s="2">
        <v>2020</v>
      </c>
      <c r="D210" s="2" t="s">
        <v>203</v>
      </c>
      <c r="E210" s="10" t="s">
        <v>787</v>
      </c>
      <c r="F210" s="20" t="s">
        <v>29</v>
      </c>
      <c r="G210" s="2" t="s">
        <v>58</v>
      </c>
      <c r="H210" s="2" t="str">
        <f>'PFAS Properties'!$B$32</f>
        <v>PFHpA</v>
      </c>
      <c r="I210" s="2" t="str">
        <f>'PFAS Properties'!$C$32</f>
        <v>PFCA</v>
      </c>
      <c r="J210" s="2" t="str">
        <f>'PFAS Properties'!$D$32</f>
        <v>C7HF13O2</v>
      </c>
      <c r="K210" s="25">
        <f>'PFAS Properties'!$P$32</f>
        <v>363.97679999999997</v>
      </c>
      <c r="L210" s="2">
        <f>'PFAS Properties'!$X$32</f>
        <v>-0.2</v>
      </c>
      <c r="M210" s="2" t="str">
        <f>'PFAS Properties'!$Y$32</f>
        <v>-</v>
      </c>
      <c r="N210" s="33">
        <v>0</v>
      </c>
      <c r="O210" s="33">
        <v>0</v>
      </c>
      <c r="P210" s="33">
        <v>0</v>
      </c>
      <c r="Q210" s="33">
        <f t="shared" si="120"/>
        <v>0.99999960189298798</v>
      </c>
      <c r="R210" s="33">
        <v>0</v>
      </c>
      <c r="S210" s="33">
        <f t="shared" si="121"/>
        <v>3.9810701206424001E-7</v>
      </c>
      <c r="T210" s="8">
        <f t="shared" si="99"/>
        <v>1</v>
      </c>
      <c r="U210" s="33">
        <f t="shared" si="100"/>
        <v>0</v>
      </c>
      <c r="V210" s="33">
        <f t="shared" si="101"/>
        <v>-0.99999960189298798</v>
      </c>
      <c r="W210" s="33">
        <f t="shared" si="102"/>
        <v>362.97680039810695</v>
      </c>
      <c r="X210" s="33">
        <v>96485</v>
      </c>
      <c r="Y210" s="16">
        <f t="shared" si="103"/>
        <v>-265.81578074086781</v>
      </c>
      <c r="Z210" s="16">
        <v>7</v>
      </c>
      <c r="AA210" s="16">
        <v>13</v>
      </c>
      <c r="AB210" s="8">
        <f t="shared" si="104"/>
        <v>0.34008097165991902</v>
      </c>
      <c r="AC210" s="16">
        <f t="shared" si="117"/>
        <v>67.861468093570807</v>
      </c>
      <c r="AD210" s="20">
        <f>'PFAS Properties'!$W$32</f>
        <v>6</v>
      </c>
      <c r="AE210" s="8">
        <f>'PFAS Properties'!$S$32</f>
        <v>3.5619357633137811</v>
      </c>
      <c r="AF210" s="15">
        <f>'PFAS Properties'!$V$32</f>
        <v>4.3</v>
      </c>
      <c r="AG210" s="24">
        <v>6.2</v>
      </c>
      <c r="AH210" s="2" t="s">
        <v>183</v>
      </c>
      <c r="AI210" s="2" t="s">
        <v>661</v>
      </c>
      <c r="AJ210" s="2" t="s">
        <v>661</v>
      </c>
      <c r="AK210" s="2" t="s">
        <v>661</v>
      </c>
      <c r="AL210" s="2" t="s">
        <v>661</v>
      </c>
      <c r="AM210" s="2" t="s">
        <v>661</v>
      </c>
      <c r="AN210" s="2" t="s">
        <v>661</v>
      </c>
      <c r="AO210" s="2" t="s">
        <v>661</v>
      </c>
      <c r="AP210" s="15">
        <v>8</v>
      </c>
      <c r="AQ210" s="2" t="s">
        <v>661</v>
      </c>
      <c r="AR210" s="16">
        <v>51.44</v>
      </c>
      <c r="AS210" s="16">
        <v>10.17</v>
      </c>
      <c r="AT210" s="16">
        <v>38.380000000000003</v>
      </c>
      <c r="AU210" s="2" t="s">
        <v>661</v>
      </c>
      <c r="AV210" s="16">
        <f t="shared" si="113"/>
        <v>99.990000000000009</v>
      </c>
      <c r="AW210" s="18">
        <v>0.08</v>
      </c>
      <c r="AX210" s="13">
        <v>8.0000000000000004E-4</v>
      </c>
      <c r="AY210" s="8" t="s">
        <v>184</v>
      </c>
      <c r="AZ210" s="16">
        <v>100</v>
      </c>
      <c r="BA210" s="16" t="s">
        <v>55</v>
      </c>
      <c r="BB210" s="16">
        <v>5</v>
      </c>
      <c r="BC210" s="16" t="s">
        <v>55</v>
      </c>
      <c r="BD210" s="20">
        <v>0.5</v>
      </c>
      <c r="BE210" s="15">
        <f t="shared" si="114"/>
        <v>625</v>
      </c>
      <c r="BF210" s="8">
        <f t="shared" si="105"/>
        <v>2.7958800173440754</v>
      </c>
      <c r="BG210" s="8">
        <f t="shared" si="115"/>
        <v>-0.3010299956639812</v>
      </c>
      <c r="BH210" s="13" t="s">
        <v>345</v>
      </c>
      <c r="BI210" s="13"/>
      <c r="BJ210" s="13"/>
      <c r="BK210" s="13"/>
      <c r="BL210" s="13"/>
      <c r="BM210" s="17"/>
      <c r="BN210" s="17"/>
      <c r="BO210" s="2"/>
    </row>
    <row r="211" spans="1:67" s="14" customFormat="1" x14ac:dyDescent="0.3">
      <c r="A211" s="20">
        <v>209</v>
      </c>
      <c r="B211" s="2" t="s">
        <v>181</v>
      </c>
      <c r="C211" s="2">
        <v>2020</v>
      </c>
      <c r="D211" s="2" t="s">
        <v>203</v>
      </c>
      <c r="E211" s="10" t="s">
        <v>787</v>
      </c>
      <c r="F211" s="20" t="s">
        <v>29</v>
      </c>
      <c r="G211" s="2" t="s">
        <v>59</v>
      </c>
      <c r="H211" s="2" t="str">
        <f>'PFAS Properties'!$B$32</f>
        <v>PFHpA</v>
      </c>
      <c r="I211" s="2" t="str">
        <f>'PFAS Properties'!$C$32</f>
        <v>PFCA</v>
      </c>
      <c r="J211" s="2" t="str">
        <f>'PFAS Properties'!$D$32</f>
        <v>C7HF13O2</v>
      </c>
      <c r="K211" s="25">
        <f>'PFAS Properties'!$P$32</f>
        <v>363.97679999999997</v>
      </c>
      <c r="L211" s="2">
        <f>'PFAS Properties'!$X$32</f>
        <v>-0.2</v>
      </c>
      <c r="M211" s="2" t="str">
        <f>'PFAS Properties'!$Y$32</f>
        <v>-</v>
      </c>
      <c r="N211" s="33">
        <v>0</v>
      </c>
      <c r="O211" s="33">
        <v>0</v>
      </c>
      <c r="P211" s="33">
        <v>0</v>
      </c>
      <c r="Q211" s="33">
        <f t="shared" si="120"/>
        <v>0.99999998741074603</v>
      </c>
      <c r="R211" s="33">
        <v>0</v>
      </c>
      <c r="S211" s="33">
        <f t="shared" si="121"/>
        <v>1.258925395945232E-8</v>
      </c>
      <c r="T211" s="8">
        <f t="shared" si="99"/>
        <v>1</v>
      </c>
      <c r="U211" s="33">
        <f t="shared" si="100"/>
        <v>0</v>
      </c>
      <c r="V211" s="33">
        <f t="shared" si="101"/>
        <v>-0.99999998741074603</v>
      </c>
      <c r="W211" s="33">
        <f t="shared" si="102"/>
        <v>362.97680001258919</v>
      </c>
      <c r="X211" s="33">
        <v>96485</v>
      </c>
      <c r="Y211" s="16">
        <f t="shared" si="103"/>
        <v>-265.81588349993558</v>
      </c>
      <c r="Z211" s="16">
        <v>7</v>
      </c>
      <c r="AA211" s="16">
        <v>13</v>
      </c>
      <c r="AB211" s="8">
        <f t="shared" si="104"/>
        <v>0.34008097165991902</v>
      </c>
      <c r="AC211" s="16">
        <f t="shared" si="117"/>
        <v>67.861468093570807</v>
      </c>
      <c r="AD211" s="20">
        <f>'PFAS Properties'!$W$32</f>
        <v>6</v>
      </c>
      <c r="AE211" s="8">
        <f>'PFAS Properties'!$S$32</f>
        <v>3.5619357633137811</v>
      </c>
      <c r="AF211" s="15">
        <f>'PFAS Properties'!$V$32</f>
        <v>4.3</v>
      </c>
      <c r="AG211" s="24">
        <v>7.7</v>
      </c>
      <c r="AH211" s="2" t="s">
        <v>183</v>
      </c>
      <c r="AI211" s="2" t="s">
        <v>661</v>
      </c>
      <c r="AJ211" s="2" t="s">
        <v>661</v>
      </c>
      <c r="AK211" s="2" t="s">
        <v>661</v>
      </c>
      <c r="AL211" s="2" t="s">
        <v>661</v>
      </c>
      <c r="AM211" s="2" t="s">
        <v>661</v>
      </c>
      <c r="AN211" s="2" t="s">
        <v>661</v>
      </c>
      <c r="AO211" s="2" t="s">
        <v>661</v>
      </c>
      <c r="AP211" s="15">
        <v>4.8</v>
      </c>
      <c r="AQ211" s="2" t="s">
        <v>661</v>
      </c>
      <c r="AR211" s="16">
        <v>46</v>
      </c>
      <c r="AS211" s="16">
        <v>37</v>
      </c>
      <c r="AT211" s="16">
        <v>17</v>
      </c>
      <c r="AU211" s="2" t="s">
        <v>661</v>
      </c>
      <c r="AV211" s="16">
        <f t="shared" si="113"/>
        <v>100</v>
      </c>
      <c r="AW211" s="18">
        <v>0.25</v>
      </c>
      <c r="AX211" s="13">
        <v>2.5000000000000001E-3</v>
      </c>
      <c r="AY211" s="13" t="s">
        <v>184</v>
      </c>
      <c r="AZ211" s="16">
        <v>100</v>
      </c>
      <c r="BA211" s="16" t="s">
        <v>55</v>
      </c>
      <c r="BB211" s="16">
        <v>5</v>
      </c>
      <c r="BC211" s="16" t="s">
        <v>55</v>
      </c>
      <c r="BD211" s="18">
        <v>0.46</v>
      </c>
      <c r="BE211" s="15">
        <f t="shared" si="114"/>
        <v>184</v>
      </c>
      <c r="BF211" s="8">
        <f t="shared" si="105"/>
        <v>2.2648178230095364</v>
      </c>
      <c r="BG211" s="8">
        <f t="shared" si="115"/>
        <v>-0.33724216831842591</v>
      </c>
      <c r="BH211" s="13" t="s">
        <v>345</v>
      </c>
      <c r="BI211" s="13"/>
      <c r="BJ211" s="13"/>
      <c r="BK211" s="13"/>
      <c r="BL211" s="13"/>
      <c r="BM211" s="17"/>
      <c r="BN211" s="17"/>
      <c r="BO211" s="2"/>
    </row>
    <row r="212" spans="1:67" s="14" customFormat="1" x14ac:dyDescent="0.3">
      <c r="A212" s="20">
        <v>210</v>
      </c>
      <c r="B212" s="2" t="s">
        <v>181</v>
      </c>
      <c r="C212" s="2">
        <v>2020</v>
      </c>
      <c r="D212" s="2" t="s">
        <v>203</v>
      </c>
      <c r="E212" s="10" t="s">
        <v>787</v>
      </c>
      <c r="F212" s="20" t="s">
        <v>29</v>
      </c>
      <c r="G212" s="2" t="s">
        <v>61</v>
      </c>
      <c r="H212" s="2" t="str">
        <f>'PFAS Properties'!$B$32</f>
        <v>PFHpA</v>
      </c>
      <c r="I212" s="2" t="str">
        <f>'PFAS Properties'!$C$32</f>
        <v>PFCA</v>
      </c>
      <c r="J212" s="2" t="str">
        <f>'PFAS Properties'!$D$32</f>
        <v>C7HF13O2</v>
      </c>
      <c r="K212" s="25">
        <f>'PFAS Properties'!$P$32</f>
        <v>363.97679999999997</v>
      </c>
      <c r="L212" s="2">
        <f>'PFAS Properties'!$X$32</f>
        <v>-0.2</v>
      </c>
      <c r="M212" s="2" t="str">
        <f>'PFAS Properties'!$Y$32</f>
        <v>-</v>
      </c>
      <c r="N212" s="33">
        <v>0</v>
      </c>
      <c r="O212" s="33">
        <v>0</v>
      </c>
      <c r="P212" s="33">
        <v>0</v>
      </c>
      <c r="Q212" s="33">
        <f t="shared" si="120"/>
        <v>0.99999997488113634</v>
      </c>
      <c r="R212" s="33">
        <v>0</v>
      </c>
      <c r="S212" s="33">
        <f t="shared" si="121"/>
        <v>2.5118863684138424E-8</v>
      </c>
      <c r="T212" s="8">
        <f t="shared" si="99"/>
        <v>1</v>
      </c>
      <c r="U212" s="33">
        <f t="shared" si="100"/>
        <v>0</v>
      </c>
      <c r="V212" s="33">
        <f t="shared" si="101"/>
        <v>-0.99999997488113634</v>
      </c>
      <c r="W212" s="33">
        <f t="shared" si="102"/>
        <v>362.97680002511885</v>
      </c>
      <c r="X212" s="33">
        <v>96485</v>
      </c>
      <c r="Y212" s="16">
        <f t="shared" si="103"/>
        <v>-265.81588016019055</v>
      </c>
      <c r="Z212" s="16">
        <v>7</v>
      </c>
      <c r="AA212" s="16">
        <v>13</v>
      </c>
      <c r="AB212" s="8">
        <f t="shared" si="104"/>
        <v>0.34008097165991902</v>
      </c>
      <c r="AC212" s="16">
        <f t="shared" si="117"/>
        <v>67.861468093570807</v>
      </c>
      <c r="AD212" s="20">
        <f>'PFAS Properties'!$W$32</f>
        <v>6</v>
      </c>
      <c r="AE212" s="8">
        <f>'PFAS Properties'!$S$32</f>
        <v>3.5619357633137811</v>
      </c>
      <c r="AF212" s="15">
        <f>'PFAS Properties'!$V$32</f>
        <v>4.3</v>
      </c>
      <c r="AG212" s="24">
        <v>7.4</v>
      </c>
      <c r="AH212" s="2" t="s">
        <v>183</v>
      </c>
      <c r="AI212" s="2" t="s">
        <v>661</v>
      </c>
      <c r="AJ212" s="2" t="s">
        <v>661</v>
      </c>
      <c r="AK212" s="2" t="s">
        <v>661</v>
      </c>
      <c r="AL212" s="2" t="s">
        <v>661</v>
      </c>
      <c r="AM212" s="2" t="s">
        <v>661</v>
      </c>
      <c r="AN212" s="2" t="s">
        <v>661</v>
      </c>
      <c r="AO212" s="2" t="s">
        <v>661</v>
      </c>
      <c r="AP212" s="15">
        <v>29.6</v>
      </c>
      <c r="AQ212" s="2" t="s">
        <v>661</v>
      </c>
      <c r="AR212" s="16">
        <v>39.799999999999997</v>
      </c>
      <c r="AS212" s="16">
        <v>7.7</v>
      </c>
      <c r="AT212" s="16">
        <v>52.5</v>
      </c>
      <c r="AU212" s="2" t="s">
        <v>661</v>
      </c>
      <c r="AV212" s="16">
        <f t="shared" si="113"/>
        <v>100</v>
      </c>
      <c r="AW212" s="18">
        <v>2.23</v>
      </c>
      <c r="AX212" s="13">
        <v>2.23E-2</v>
      </c>
      <c r="AY212" s="8" t="s">
        <v>184</v>
      </c>
      <c r="AZ212" s="16">
        <v>100</v>
      </c>
      <c r="BA212" s="16" t="s">
        <v>55</v>
      </c>
      <c r="BB212" s="16">
        <v>5</v>
      </c>
      <c r="BC212" s="16" t="s">
        <v>55</v>
      </c>
      <c r="BD212" s="20">
        <v>0.55000000000000004</v>
      </c>
      <c r="BE212" s="15">
        <f t="shared" si="114"/>
        <v>24.663677130044846</v>
      </c>
      <c r="BF212" s="8">
        <f t="shared" si="105"/>
        <v>1.3920578264460832</v>
      </c>
      <c r="BG212" s="8">
        <f t="shared" si="115"/>
        <v>-0.25963731050575611</v>
      </c>
      <c r="BH212" s="13" t="s">
        <v>345</v>
      </c>
      <c r="BI212" s="13"/>
      <c r="BJ212" s="13"/>
      <c r="BK212" s="13"/>
      <c r="BL212" s="13"/>
      <c r="BM212" s="17"/>
      <c r="BN212" s="17"/>
      <c r="BO212" s="2"/>
    </row>
    <row r="213" spans="1:67" s="14" customFormat="1" x14ac:dyDescent="0.3">
      <c r="A213" s="20">
        <v>211</v>
      </c>
      <c r="B213" s="2" t="s">
        <v>181</v>
      </c>
      <c r="C213" s="2">
        <v>2020</v>
      </c>
      <c r="D213" s="2" t="s">
        <v>203</v>
      </c>
      <c r="E213" s="10" t="s">
        <v>787</v>
      </c>
      <c r="F213" s="20" t="s">
        <v>29</v>
      </c>
      <c r="G213" s="2" t="s">
        <v>60</v>
      </c>
      <c r="H213" s="2" t="str">
        <f>'PFAS Properties'!$B$32</f>
        <v>PFHpA</v>
      </c>
      <c r="I213" s="2" t="str">
        <f>'PFAS Properties'!$C$32</f>
        <v>PFCA</v>
      </c>
      <c r="J213" s="2" t="str">
        <f>'PFAS Properties'!$D$32</f>
        <v>C7HF13O2</v>
      </c>
      <c r="K213" s="25">
        <f>'PFAS Properties'!$P$32</f>
        <v>363.97679999999997</v>
      </c>
      <c r="L213" s="2">
        <f>'PFAS Properties'!$X$32</f>
        <v>-0.2</v>
      </c>
      <c r="M213" s="2" t="str">
        <f>'PFAS Properties'!$Y$32</f>
        <v>-</v>
      </c>
      <c r="N213" s="33">
        <v>0</v>
      </c>
      <c r="O213" s="33">
        <v>0</v>
      </c>
      <c r="P213" s="33">
        <v>0</v>
      </c>
      <c r="Q213" s="33">
        <f t="shared" si="120"/>
        <v>0.99999998741074603</v>
      </c>
      <c r="R213" s="33">
        <v>0</v>
      </c>
      <c r="S213" s="33">
        <f t="shared" si="121"/>
        <v>1.258925395945232E-8</v>
      </c>
      <c r="T213" s="8">
        <f t="shared" si="99"/>
        <v>1</v>
      </c>
      <c r="U213" s="33">
        <f t="shared" si="100"/>
        <v>0</v>
      </c>
      <c r="V213" s="33">
        <f t="shared" si="101"/>
        <v>-0.99999998741074603</v>
      </c>
      <c r="W213" s="33">
        <f t="shared" si="102"/>
        <v>362.97680001258919</v>
      </c>
      <c r="X213" s="33">
        <v>96485</v>
      </c>
      <c r="Y213" s="16">
        <f t="shared" si="103"/>
        <v>-265.81588349993558</v>
      </c>
      <c r="Z213" s="16">
        <v>7</v>
      </c>
      <c r="AA213" s="16">
        <v>13</v>
      </c>
      <c r="AB213" s="8">
        <f t="shared" si="104"/>
        <v>0.34008097165991902</v>
      </c>
      <c r="AC213" s="16">
        <f t="shared" si="117"/>
        <v>67.861468093570807</v>
      </c>
      <c r="AD213" s="20">
        <f>'PFAS Properties'!$W$32</f>
        <v>6</v>
      </c>
      <c r="AE213" s="8">
        <f>'PFAS Properties'!$S$32</f>
        <v>3.5619357633137811</v>
      </c>
      <c r="AF213" s="15">
        <f>'PFAS Properties'!$V$32</f>
        <v>4.3</v>
      </c>
      <c r="AG213" s="24">
        <v>7.7</v>
      </c>
      <c r="AH213" s="2" t="s">
        <v>183</v>
      </c>
      <c r="AI213" s="2" t="s">
        <v>661</v>
      </c>
      <c r="AJ213" s="2" t="s">
        <v>661</v>
      </c>
      <c r="AK213" s="2" t="s">
        <v>661</v>
      </c>
      <c r="AL213" s="2" t="s">
        <v>661</v>
      </c>
      <c r="AM213" s="2" t="s">
        <v>661</v>
      </c>
      <c r="AN213" s="2" t="s">
        <v>661</v>
      </c>
      <c r="AO213" s="2" t="s">
        <v>661</v>
      </c>
      <c r="AP213" s="15">
        <v>21.63</v>
      </c>
      <c r="AQ213" s="2" t="s">
        <v>661</v>
      </c>
      <c r="AR213" s="16">
        <v>70</v>
      </c>
      <c r="AS213" s="16">
        <v>11</v>
      </c>
      <c r="AT213" s="16">
        <v>19</v>
      </c>
      <c r="AU213" s="2" t="s">
        <v>661</v>
      </c>
      <c r="AV213" s="16">
        <f t="shared" si="113"/>
        <v>100</v>
      </c>
      <c r="AW213" s="18">
        <v>4.9000000000000004</v>
      </c>
      <c r="AX213" s="13">
        <v>4.9000000000000002E-2</v>
      </c>
      <c r="AY213" s="8" t="s">
        <v>184</v>
      </c>
      <c r="AZ213" s="16">
        <v>100</v>
      </c>
      <c r="BA213" s="16" t="s">
        <v>55</v>
      </c>
      <c r="BB213" s="16">
        <v>5</v>
      </c>
      <c r="BC213" s="16" t="s">
        <v>55</v>
      </c>
      <c r="BD213" s="20">
        <v>1.41</v>
      </c>
      <c r="BE213" s="15">
        <f t="shared" si="114"/>
        <v>28.77551020408163</v>
      </c>
      <c r="BF213" s="8">
        <f t="shared" si="105"/>
        <v>1.4590230326268663</v>
      </c>
      <c r="BG213" s="8">
        <f t="shared" si="115"/>
        <v>0.14921911265537988</v>
      </c>
      <c r="BH213" s="13" t="s">
        <v>345</v>
      </c>
      <c r="BI213" s="13"/>
      <c r="BJ213" s="13"/>
      <c r="BK213" s="13"/>
      <c r="BL213" s="13"/>
      <c r="BM213" s="17"/>
      <c r="BN213" s="17"/>
      <c r="BO213" s="2"/>
    </row>
    <row r="214" spans="1:67" s="14" customFormat="1" x14ac:dyDescent="0.3">
      <c r="A214" s="20">
        <v>212</v>
      </c>
      <c r="B214" s="2" t="s">
        <v>181</v>
      </c>
      <c r="C214" s="2">
        <v>2020</v>
      </c>
      <c r="D214" s="2" t="s">
        <v>203</v>
      </c>
      <c r="E214" s="10" t="s">
        <v>787</v>
      </c>
      <c r="F214" s="20" t="s">
        <v>29</v>
      </c>
      <c r="G214" s="2" t="s">
        <v>77</v>
      </c>
      <c r="H214" s="2" t="str">
        <f>'PFAS Properties'!$B$32</f>
        <v>PFHpA</v>
      </c>
      <c r="I214" s="2" t="str">
        <f>'PFAS Properties'!$C$32</f>
        <v>PFCA</v>
      </c>
      <c r="J214" s="2" t="str">
        <f>'PFAS Properties'!$D$32</f>
        <v>C7HF13O2</v>
      </c>
      <c r="K214" s="25">
        <f>'PFAS Properties'!$P$32</f>
        <v>363.97679999999997</v>
      </c>
      <c r="L214" s="2">
        <f>'PFAS Properties'!$X$32</f>
        <v>-0.2</v>
      </c>
      <c r="M214" s="2" t="str">
        <f>'PFAS Properties'!$Y$32</f>
        <v>-</v>
      </c>
      <c r="N214" s="33">
        <v>0</v>
      </c>
      <c r="O214" s="33">
        <v>0</v>
      </c>
      <c r="P214" s="33">
        <v>0</v>
      </c>
      <c r="Q214" s="33">
        <f t="shared" si="120"/>
        <v>0.99999998741074603</v>
      </c>
      <c r="R214" s="33">
        <v>0</v>
      </c>
      <c r="S214" s="33">
        <f t="shared" si="121"/>
        <v>1.258925395945232E-8</v>
      </c>
      <c r="T214" s="8">
        <f t="shared" si="99"/>
        <v>1</v>
      </c>
      <c r="U214" s="33">
        <f t="shared" si="100"/>
        <v>0</v>
      </c>
      <c r="V214" s="33">
        <f t="shared" si="101"/>
        <v>-0.99999998741074603</v>
      </c>
      <c r="W214" s="33">
        <f t="shared" si="102"/>
        <v>362.97680001258919</v>
      </c>
      <c r="X214" s="33">
        <v>96485</v>
      </c>
      <c r="Y214" s="16">
        <f t="shared" si="103"/>
        <v>-265.81588349993558</v>
      </c>
      <c r="Z214" s="16">
        <v>7</v>
      </c>
      <c r="AA214" s="16">
        <v>13</v>
      </c>
      <c r="AB214" s="8">
        <f t="shared" si="104"/>
        <v>0.34008097165991902</v>
      </c>
      <c r="AC214" s="16">
        <f t="shared" si="117"/>
        <v>67.861468093570807</v>
      </c>
      <c r="AD214" s="20">
        <f>'PFAS Properties'!$W$32</f>
        <v>6</v>
      </c>
      <c r="AE214" s="8">
        <f>'PFAS Properties'!$S$32</f>
        <v>3.5619357633137811</v>
      </c>
      <c r="AF214" s="15">
        <f>'PFAS Properties'!$V$32</f>
        <v>4.3</v>
      </c>
      <c r="AG214" s="24">
        <v>7.7</v>
      </c>
      <c r="AH214" s="2" t="s">
        <v>183</v>
      </c>
      <c r="AI214" s="2" t="s">
        <v>661</v>
      </c>
      <c r="AJ214" s="2" t="s">
        <v>661</v>
      </c>
      <c r="AK214" s="2" t="s">
        <v>661</v>
      </c>
      <c r="AL214" s="2" t="s">
        <v>661</v>
      </c>
      <c r="AM214" s="2" t="s">
        <v>661</v>
      </c>
      <c r="AN214" s="2" t="s">
        <v>661</v>
      </c>
      <c r="AO214" s="2" t="s">
        <v>661</v>
      </c>
      <c r="AP214" s="15">
        <v>7.8</v>
      </c>
      <c r="AQ214" s="2" t="s">
        <v>661</v>
      </c>
      <c r="AR214" s="16">
        <v>48.9</v>
      </c>
      <c r="AS214" s="16">
        <v>32.6</v>
      </c>
      <c r="AT214" s="16">
        <v>18.5</v>
      </c>
      <c r="AU214" s="2" t="s">
        <v>661</v>
      </c>
      <c r="AV214" s="16">
        <f t="shared" si="113"/>
        <v>100</v>
      </c>
      <c r="AW214" s="18">
        <v>0.13</v>
      </c>
      <c r="AX214" s="13">
        <v>1.2999999999999999E-3</v>
      </c>
      <c r="AY214" s="8" t="s">
        <v>184</v>
      </c>
      <c r="AZ214" s="16">
        <v>100</v>
      </c>
      <c r="BA214" s="16" t="s">
        <v>55</v>
      </c>
      <c r="BB214" s="16">
        <v>5</v>
      </c>
      <c r="BC214" s="16" t="s">
        <v>55</v>
      </c>
      <c r="BD214" s="20">
        <v>0.47</v>
      </c>
      <c r="BE214" s="15">
        <f t="shared" si="114"/>
        <v>361.53846153846155</v>
      </c>
      <c r="BF214" s="8">
        <f t="shared" si="105"/>
        <v>2.5581545056288806</v>
      </c>
      <c r="BG214" s="8">
        <f t="shared" si="115"/>
        <v>-0.32790214206428259</v>
      </c>
      <c r="BH214" s="13" t="s">
        <v>345</v>
      </c>
      <c r="BI214" s="13"/>
      <c r="BJ214" s="13"/>
      <c r="BK214" s="13"/>
      <c r="BL214" s="13"/>
      <c r="BM214" s="17"/>
      <c r="BN214" s="17"/>
      <c r="BO214" s="2"/>
    </row>
    <row r="215" spans="1:67" s="14" customFormat="1" x14ac:dyDescent="0.3">
      <c r="A215" s="20">
        <v>213</v>
      </c>
      <c r="B215" s="2" t="s">
        <v>181</v>
      </c>
      <c r="C215" s="2">
        <v>2020</v>
      </c>
      <c r="D215" s="2" t="s">
        <v>203</v>
      </c>
      <c r="E215" s="10" t="s">
        <v>787</v>
      </c>
      <c r="F215" s="20" t="s">
        <v>29</v>
      </c>
      <c r="G215" s="2" t="s">
        <v>182</v>
      </c>
      <c r="H215" s="2" t="str">
        <f>'PFAS Properties'!$B$32</f>
        <v>PFHpA</v>
      </c>
      <c r="I215" s="2" t="str">
        <f>'PFAS Properties'!$C$32</f>
        <v>PFCA</v>
      </c>
      <c r="J215" s="2" t="str">
        <f>'PFAS Properties'!$D$32</f>
        <v>C7HF13O2</v>
      </c>
      <c r="K215" s="25">
        <f>'PFAS Properties'!$P$32</f>
        <v>363.97679999999997</v>
      </c>
      <c r="L215" s="2">
        <f>'PFAS Properties'!$X$32</f>
        <v>-0.2</v>
      </c>
      <c r="M215" s="2" t="str">
        <f>'PFAS Properties'!$Y$32</f>
        <v>-</v>
      </c>
      <c r="N215" s="33">
        <v>0</v>
      </c>
      <c r="O215" s="33">
        <v>0</v>
      </c>
      <c r="P215" s="33">
        <v>0</v>
      </c>
      <c r="Q215" s="33">
        <f t="shared" si="120"/>
        <v>0.99999998004737722</v>
      </c>
      <c r="R215" s="33">
        <v>0</v>
      </c>
      <c r="S215" s="33">
        <f t="shared" si="121"/>
        <v>1.995262275158161E-8</v>
      </c>
      <c r="T215" s="8">
        <f t="shared" si="99"/>
        <v>1</v>
      </c>
      <c r="U215" s="33">
        <f t="shared" si="100"/>
        <v>0</v>
      </c>
      <c r="V215" s="33">
        <f t="shared" si="101"/>
        <v>-0.99999998004737722</v>
      </c>
      <c r="W215" s="33">
        <f t="shared" si="102"/>
        <v>362.97680001995258</v>
      </c>
      <c r="X215" s="33">
        <v>96485</v>
      </c>
      <c r="Y215" s="16">
        <f t="shared" si="103"/>
        <v>-265.81588153724283</v>
      </c>
      <c r="Z215" s="16">
        <v>7</v>
      </c>
      <c r="AA215" s="16">
        <v>13</v>
      </c>
      <c r="AB215" s="8">
        <f t="shared" si="104"/>
        <v>0.34008097165991902</v>
      </c>
      <c r="AC215" s="16">
        <f t="shared" si="117"/>
        <v>67.861468093570807</v>
      </c>
      <c r="AD215" s="20">
        <f>'PFAS Properties'!$W$32</f>
        <v>6</v>
      </c>
      <c r="AE215" s="8">
        <f>'PFAS Properties'!$S$32</f>
        <v>3.5619357633137811</v>
      </c>
      <c r="AF215" s="15">
        <f>'PFAS Properties'!$V$32</f>
        <v>4.3</v>
      </c>
      <c r="AG215" s="24">
        <v>7.5</v>
      </c>
      <c r="AH215" s="2" t="s">
        <v>183</v>
      </c>
      <c r="AI215" s="2" t="s">
        <v>661</v>
      </c>
      <c r="AJ215" s="2" t="s">
        <v>661</v>
      </c>
      <c r="AK215" s="2" t="s">
        <v>661</v>
      </c>
      <c r="AL215" s="2" t="s">
        <v>661</v>
      </c>
      <c r="AM215" s="2" t="s">
        <v>661</v>
      </c>
      <c r="AN215" s="2" t="s">
        <v>661</v>
      </c>
      <c r="AO215" s="2" t="s">
        <v>661</v>
      </c>
      <c r="AP215" s="15">
        <v>2.2799999999999998</v>
      </c>
      <c r="AQ215" s="2" t="s">
        <v>661</v>
      </c>
      <c r="AR215" s="16">
        <v>93</v>
      </c>
      <c r="AS215" s="16">
        <v>1</v>
      </c>
      <c r="AT215" s="16">
        <v>5</v>
      </c>
      <c r="AU215" s="2" t="s">
        <v>661</v>
      </c>
      <c r="AV215" s="16">
        <f t="shared" si="113"/>
        <v>99</v>
      </c>
      <c r="AW215" s="18">
        <v>0.4</v>
      </c>
      <c r="AX215" s="13">
        <v>4.0000000000000001E-3</v>
      </c>
      <c r="AY215" s="8" t="s">
        <v>184</v>
      </c>
      <c r="AZ215" s="16">
        <v>100</v>
      </c>
      <c r="BA215" s="16" t="s">
        <v>55</v>
      </c>
      <c r="BB215" s="16">
        <v>5</v>
      </c>
      <c r="BC215" s="16" t="s">
        <v>55</v>
      </c>
      <c r="BD215" s="20">
        <v>0.3</v>
      </c>
      <c r="BE215" s="15">
        <f t="shared" si="114"/>
        <v>75</v>
      </c>
      <c r="BF215" s="8">
        <f t="shared" si="105"/>
        <v>1.8750612633917001</v>
      </c>
      <c r="BG215" s="8">
        <f t="shared" si="115"/>
        <v>-0.52287874528033762</v>
      </c>
      <c r="BH215" s="13" t="s">
        <v>345</v>
      </c>
      <c r="BI215" s="13"/>
      <c r="BJ215" s="13"/>
      <c r="BK215" s="13"/>
      <c r="BL215" s="13"/>
      <c r="BM215" s="17"/>
      <c r="BN215" s="17"/>
      <c r="BO215" s="2"/>
    </row>
    <row r="216" spans="1:67" s="14" customFormat="1" x14ac:dyDescent="0.3">
      <c r="A216" s="20">
        <v>214</v>
      </c>
      <c r="B216" s="2" t="s">
        <v>181</v>
      </c>
      <c r="C216" s="2">
        <v>2020</v>
      </c>
      <c r="D216" s="2" t="s">
        <v>203</v>
      </c>
      <c r="E216" s="10" t="s">
        <v>787</v>
      </c>
      <c r="F216" s="20" t="s">
        <v>29</v>
      </c>
      <c r="G216" s="2" t="s">
        <v>78</v>
      </c>
      <c r="H216" s="2" t="str">
        <f>'PFAS Properties'!$B$32</f>
        <v>PFHpA</v>
      </c>
      <c r="I216" s="2" t="str">
        <f>'PFAS Properties'!$C$32</f>
        <v>PFCA</v>
      </c>
      <c r="J216" s="2" t="str">
        <f>'PFAS Properties'!$D$32</f>
        <v>C7HF13O2</v>
      </c>
      <c r="K216" s="25">
        <f>'PFAS Properties'!$P$32</f>
        <v>363.97679999999997</v>
      </c>
      <c r="L216" s="2">
        <f>'PFAS Properties'!$X$32</f>
        <v>-0.2</v>
      </c>
      <c r="M216" s="2" t="str">
        <f>'PFAS Properties'!$Y$32</f>
        <v>-</v>
      </c>
      <c r="N216" s="33">
        <v>0</v>
      </c>
      <c r="O216" s="33">
        <v>0</v>
      </c>
      <c r="P216" s="33">
        <v>0</v>
      </c>
      <c r="Q216" s="33">
        <f t="shared" si="120"/>
        <v>0.99999994988127916</v>
      </c>
      <c r="R216" s="33">
        <v>0</v>
      </c>
      <c r="S216" s="33">
        <f t="shared" si="121"/>
        <v>5.011872085084086E-8</v>
      </c>
      <c r="T216" s="8">
        <f t="shared" si="99"/>
        <v>1</v>
      </c>
      <c r="U216" s="33">
        <f t="shared" si="100"/>
        <v>0</v>
      </c>
      <c r="V216" s="33">
        <f t="shared" si="101"/>
        <v>-0.99999994988127916</v>
      </c>
      <c r="W216" s="33">
        <f t="shared" si="102"/>
        <v>362.9768000501187</v>
      </c>
      <c r="X216" s="33">
        <v>96485</v>
      </c>
      <c r="Y216" s="16">
        <f t="shared" si="103"/>
        <v>-265.81587349652341</v>
      </c>
      <c r="Z216" s="16">
        <v>7</v>
      </c>
      <c r="AA216" s="16">
        <v>13</v>
      </c>
      <c r="AB216" s="8">
        <f t="shared" si="104"/>
        <v>0.34008097165991902</v>
      </c>
      <c r="AC216" s="16">
        <f t="shared" si="117"/>
        <v>67.861468093570807</v>
      </c>
      <c r="AD216" s="20">
        <f>'PFAS Properties'!$W$32</f>
        <v>6</v>
      </c>
      <c r="AE216" s="8">
        <f>'PFAS Properties'!$S$32</f>
        <v>3.5619357633137811</v>
      </c>
      <c r="AF216" s="15">
        <f>'PFAS Properties'!$V$32</f>
        <v>4.3</v>
      </c>
      <c r="AG216" s="24">
        <v>7.1</v>
      </c>
      <c r="AH216" s="2" t="s">
        <v>183</v>
      </c>
      <c r="AI216" s="2" t="s">
        <v>661</v>
      </c>
      <c r="AJ216" s="2" t="s">
        <v>661</v>
      </c>
      <c r="AK216" s="2" t="s">
        <v>661</v>
      </c>
      <c r="AL216" s="2" t="s">
        <v>661</v>
      </c>
      <c r="AM216" s="2" t="s">
        <v>661</v>
      </c>
      <c r="AN216" s="2" t="s">
        <v>661</v>
      </c>
      <c r="AO216" s="2" t="s">
        <v>661</v>
      </c>
      <c r="AP216" s="15">
        <v>17.420000000000002</v>
      </c>
      <c r="AQ216" s="2" t="s">
        <v>661</v>
      </c>
      <c r="AR216" s="16">
        <v>48.86</v>
      </c>
      <c r="AS216" s="16">
        <v>16.05</v>
      </c>
      <c r="AT216" s="16">
        <v>35.090000000000003</v>
      </c>
      <c r="AU216" s="2" t="s">
        <v>661</v>
      </c>
      <c r="AV216" s="16">
        <f t="shared" si="113"/>
        <v>100</v>
      </c>
      <c r="AW216" s="18">
        <v>1.19</v>
      </c>
      <c r="AX216" s="13">
        <v>1.1899999999999999E-2</v>
      </c>
      <c r="AY216" s="8" t="s">
        <v>184</v>
      </c>
      <c r="AZ216" s="16">
        <v>100</v>
      </c>
      <c r="BA216" s="16" t="s">
        <v>55</v>
      </c>
      <c r="BB216" s="16">
        <v>5</v>
      </c>
      <c r="BC216" s="16" t="s">
        <v>55</v>
      </c>
      <c r="BD216" s="20">
        <v>1.92</v>
      </c>
      <c r="BE216" s="15">
        <f t="shared" si="114"/>
        <v>161.34453781512605</v>
      </c>
      <c r="BF216" s="8">
        <f t="shared" si="105"/>
        <v>2.2077542673110186</v>
      </c>
      <c r="BG216" s="8">
        <f t="shared" si="115"/>
        <v>0.28330122870354957</v>
      </c>
      <c r="BH216" s="13" t="s">
        <v>345</v>
      </c>
      <c r="BI216" s="13"/>
      <c r="BJ216" s="13"/>
      <c r="BK216" s="13"/>
      <c r="BL216" s="13"/>
      <c r="BM216" s="17"/>
      <c r="BN216" s="17"/>
      <c r="BO216" s="2"/>
    </row>
    <row r="217" spans="1:67" s="14" customFormat="1" x14ac:dyDescent="0.3">
      <c r="A217" s="20">
        <v>215</v>
      </c>
      <c r="B217" s="2" t="s">
        <v>181</v>
      </c>
      <c r="C217" s="2">
        <v>2020</v>
      </c>
      <c r="D217" s="2" t="s">
        <v>203</v>
      </c>
      <c r="E217" s="10" t="s">
        <v>787</v>
      </c>
      <c r="F217" s="20" t="s">
        <v>29</v>
      </c>
      <c r="G217" s="2" t="s">
        <v>98</v>
      </c>
      <c r="H217" s="2" t="str">
        <f>'PFAS Properties'!$B$32</f>
        <v>PFHpA</v>
      </c>
      <c r="I217" s="2" t="str">
        <f>'PFAS Properties'!$C$32</f>
        <v>PFCA</v>
      </c>
      <c r="J217" s="2" t="str">
        <f>'PFAS Properties'!$D$32</f>
        <v>C7HF13O2</v>
      </c>
      <c r="K217" s="25">
        <f>'PFAS Properties'!$P$32</f>
        <v>363.97679999999997</v>
      </c>
      <c r="L217" s="2">
        <f>'PFAS Properties'!$X$32</f>
        <v>-0.2</v>
      </c>
      <c r="M217" s="2" t="str">
        <f>'PFAS Properties'!$Y$32</f>
        <v>-</v>
      </c>
      <c r="N217" s="33">
        <v>0</v>
      </c>
      <c r="O217" s="33">
        <v>0</v>
      </c>
      <c r="P217" s="33">
        <v>0</v>
      </c>
      <c r="Q217" s="33">
        <f t="shared" si="120"/>
        <v>0.99999974881141995</v>
      </c>
      <c r="R217" s="33">
        <v>0</v>
      </c>
      <c r="S217" s="33">
        <f t="shared" si="121"/>
        <v>2.5118858005523878E-7</v>
      </c>
      <c r="T217" s="8">
        <f t="shared" si="99"/>
        <v>1</v>
      </c>
      <c r="U217" s="33">
        <f t="shared" si="100"/>
        <v>0</v>
      </c>
      <c r="V217" s="33">
        <f t="shared" si="101"/>
        <v>-0.99999974881141995</v>
      </c>
      <c r="W217" s="33">
        <f t="shared" si="102"/>
        <v>362.97680025118854</v>
      </c>
      <c r="X217" s="33">
        <v>96485</v>
      </c>
      <c r="Y217" s="16">
        <f t="shared" si="103"/>
        <v>-265.81581990171264</v>
      </c>
      <c r="Z217" s="16">
        <v>7</v>
      </c>
      <c r="AA217" s="16">
        <v>13</v>
      </c>
      <c r="AB217" s="8">
        <f t="shared" si="104"/>
        <v>0.34008097165991902</v>
      </c>
      <c r="AC217" s="16">
        <f t="shared" si="117"/>
        <v>67.861468093570807</v>
      </c>
      <c r="AD217" s="20">
        <f>'PFAS Properties'!$W$32</f>
        <v>6</v>
      </c>
      <c r="AE217" s="8">
        <f>'PFAS Properties'!$S$32</f>
        <v>3.5619357633137811</v>
      </c>
      <c r="AF217" s="15">
        <f>'PFAS Properties'!$V$32</f>
        <v>4.3</v>
      </c>
      <c r="AG217" s="24">
        <v>6.4</v>
      </c>
      <c r="AH217" s="2" t="s">
        <v>183</v>
      </c>
      <c r="AI217" s="2" t="s">
        <v>661</v>
      </c>
      <c r="AJ217" s="2" t="s">
        <v>661</v>
      </c>
      <c r="AK217" s="2" t="s">
        <v>661</v>
      </c>
      <c r="AL217" s="2" t="s">
        <v>661</v>
      </c>
      <c r="AM217" s="2" t="s">
        <v>661</v>
      </c>
      <c r="AN217" s="2" t="s">
        <v>661</v>
      </c>
      <c r="AO217" s="2" t="s">
        <v>661</v>
      </c>
      <c r="AP217" s="15">
        <v>16.54</v>
      </c>
      <c r="AQ217" s="2" t="s">
        <v>661</v>
      </c>
      <c r="AR217" s="16">
        <v>29.38</v>
      </c>
      <c r="AS217" s="16">
        <v>13.9</v>
      </c>
      <c r="AT217" s="16">
        <v>56.71</v>
      </c>
      <c r="AU217" s="2" t="s">
        <v>661</v>
      </c>
      <c r="AV217" s="16">
        <f t="shared" si="113"/>
        <v>99.990000000000009</v>
      </c>
      <c r="AW217" s="18">
        <v>0.17</v>
      </c>
      <c r="AX217" s="13">
        <v>1.7000000000000001E-3</v>
      </c>
      <c r="AY217" s="8" t="s">
        <v>184</v>
      </c>
      <c r="AZ217" s="16">
        <v>100</v>
      </c>
      <c r="BA217" s="16" t="s">
        <v>55</v>
      </c>
      <c r="BB217" s="16">
        <v>5</v>
      </c>
      <c r="BC217" s="16" t="s">
        <v>55</v>
      </c>
      <c r="BD217" s="20">
        <v>0.84</v>
      </c>
      <c r="BE217" s="15">
        <f t="shared" si="114"/>
        <v>494.11764705882348</v>
      </c>
      <c r="BF217" s="8">
        <f t="shared" si="105"/>
        <v>2.6938303646836075</v>
      </c>
      <c r="BG217" s="8">
        <f t="shared" si="115"/>
        <v>-7.5720713938118356E-2</v>
      </c>
      <c r="BH217" s="13" t="s">
        <v>345</v>
      </c>
      <c r="BI217" s="13"/>
      <c r="BJ217" s="13"/>
      <c r="BK217" s="13"/>
      <c r="BL217" s="13"/>
      <c r="BM217" s="17"/>
      <c r="BN217" s="17"/>
      <c r="BO217" s="2"/>
    </row>
    <row r="218" spans="1:67" s="14" customFormat="1" x14ac:dyDescent="0.3">
      <c r="A218" s="20">
        <v>216</v>
      </c>
      <c r="B218" s="2" t="s">
        <v>224</v>
      </c>
      <c r="C218" s="2">
        <v>2013</v>
      </c>
      <c r="D218" s="2" t="s">
        <v>223</v>
      </c>
      <c r="E218" s="10" t="s">
        <v>222</v>
      </c>
      <c r="F218" s="20" t="s">
        <v>29</v>
      </c>
      <c r="G218" s="2" t="s">
        <v>88</v>
      </c>
      <c r="H218" s="2" t="str">
        <f>'PFAS Properties'!$B$33</f>
        <v>PFOA</v>
      </c>
      <c r="I218" s="2" t="str">
        <f>'PFAS Properties'!$C$33</f>
        <v>PFCA</v>
      </c>
      <c r="J218" s="2" t="str">
        <f>'PFAS Properties'!$D$33</f>
        <v>C8HF15O2</v>
      </c>
      <c r="K218" s="25">
        <f>'PFAS Properties'!$P$33</f>
        <v>413.97359999999998</v>
      </c>
      <c r="L218" s="2">
        <f>'PFAS Properties'!$X$33</f>
        <v>-0.2</v>
      </c>
      <c r="M218" s="2" t="str">
        <f>'PFAS Properties'!$Y$33</f>
        <v>-</v>
      </c>
      <c r="N218" s="33">
        <v>0</v>
      </c>
      <c r="O218" s="33">
        <v>0</v>
      </c>
      <c r="P218" s="33">
        <v>0</v>
      </c>
      <c r="Q218" s="33">
        <f t="shared" si="120"/>
        <v>0.99999981048223863</v>
      </c>
      <c r="R218" s="33">
        <v>0</v>
      </c>
      <c r="S218" s="33">
        <f t="shared" si="121"/>
        <v>1.8951776134415075E-7</v>
      </c>
      <c r="T218" s="8">
        <f t="shared" si="99"/>
        <v>1</v>
      </c>
      <c r="U218" s="33">
        <f t="shared" si="100"/>
        <v>0</v>
      </c>
      <c r="V218" s="33">
        <f t="shared" si="101"/>
        <v>-0.99999981048223863</v>
      </c>
      <c r="W218" s="33">
        <f t="shared" si="102"/>
        <v>412.9736001895177</v>
      </c>
      <c r="X218" s="33">
        <v>96485</v>
      </c>
      <c r="Y218" s="16">
        <f t="shared" si="103"/>
        <v>-233.63474486044839</v>
      </c>
      <c r="Z218" s="16">
        <v>8</v>
      </c>
      <c r="AA218" s="16">
        <v>15</v>
      </c>
      <c r="AB218" s="8">
        <f t="shared" si="104"/>
        <v>0.33684210526315789</v>
      </c>
      <c r="AC218" s="16">
        <f t="shared" si="117"/>
        <v>68.844969824162703</v>
      </c>
      <c r="AD218" s="20">
        <f>'PFAS Properties'!$W$33</f>
        <v>7</v>
      </c>
      <c r="AE218" s="8">
        <f>'PFAS Properties'!$S$33</f>
        <v>2.6821450763738319</v>
      </c>
      <c r="AF218" s="15">
        <f>'PFAS Properties'!$V$33</f>
        <v>4.9000000000000004</v>
      </c>
      <c r="AG218" s="124">
        <v>6.5223499999999994</v>
      </c>
      <c r="AH218" s="70" t="s">
        <v>752</v>
      </c>
      <c r="AI218" s="2" t="s">
        <v>661</v>
      </c>
      <c r="AJ218" s="2" t="s">
        <v>661</v>
      </c>
      <c r="AK218" s="2" t="s">
        <v>661</v>
      </c>
      <c r="AL218" s="2" t="s">
        <v>661</v>
      </c>
      <c r="AM218" s="2" t="s">
        <v>661</v>
      </c>
      <c r="AN218" s="2" t="s">
        <v>661</v>
      </c>
      <c r="AO218" s="2" t="s">
        <v>661</v>
      </c>
      <c r="AP218" s="15">
        <v>12.5</v>
      </c>
      <c r="AQ218" s="16" t="s">
        <v>661</v>
      </c>
      <c r="AR218" s="71">
        <v>26.547000000000001</v>
      </c>
      <c r="AS218" s="71">
        <v>46.607999999999997</v>
      </c>
      <c r="AT218" s="71">
        <v>26.966000000000001</v>
      </c>
      <c r="AU218" s="70" t="s">
        <v>752</v>
      </c>
      <c r="AV218" s="16">
        <f t="shared" si="113"/>
        <v>100.12100000000001</v>
      </c>
      <c r="AW218" s="18">
        <v>2.5</v>
      </c>
      <c r="AX218" s="13">
        <f t="shared" ref="AX218:AX224" si="122">AW218/100</f>
        <v>2.5000000000000001E-2</v>
      </c>
      <c r="AY218" s="12" t="s">
        <v>839</v>
      </c>
      <c r="AZ218" s="16">
        <f>4/0.04</f>
        <v>100</v>
      </c>
      <c r="BA218" s="16" t="s">
        <v>55</v>
      </c>
      <c r="BB218" s="16">
        <v>5</v>
      </c>
      <c r="BC218" s="16">
        <v>100</v>
      </c>
      <c r="BD218" s="18">
        <v>3.53</v>
      </c>
      <c r="BE218" s="15">
        <f t="shared" si="114"/>
        <v>141.19999999999999</v>
      </c>
      <c r="BF218" s="8">
        <f t="shared" si="105"/>
        <v>2.1498346967157849</v>
      </c>
      <c r="BG218" s="8">
        <f t="shared" si="115"/>
        <v>0.54777470538782258</v>
      </c>
      <c r="BH218" s="13" t="s">
        <v>837</v>
      </c>
      <c r="BI218" s="13"/>
      <c r="BJ218" s="13"/>
      <c r="BK218" s="13"/>
      <c r="BL218" s="13"/>
      <c r="BM218" s="17"/>
      <c r="BN218" s="17"/>
      <c r="BO218" s="2"/>
    </row>
    <row r="219" spans="1:67" s="14" customFormat="1" x14ac:dyDescent="0.3">
      <c r="A219" s="20">
        <v>217</v>
      </c>
      <c r="B219" s="2" t="s">
        <v>224</v>
      </c>
      <c r="C219" s="2">
        <v>2013</v>
      </c>
      <c r="D219" s="2" t="s">
        <v>223</v>
      </c>
      <c r="E219" s="10" t="s">
        <v>222</v>
      </c>
      <c r="F219" s="20" t="s">
        <v>29</v>
      </c>
      <c r="G219" s="2" t="s">
        <v>89</v>
      </c>
      <c r="H219" s="2" t="str">
        <f>'PFAS Properties'!$B$33</f>
        <v>PFOA</v>
      </c>
      <c r="I219" s="2" t="str">
        <f>'PFAS Properties'!$C$33</f>
        <v>PFCA</v>
      </c>
      <c r="J219" s="2" t="str">
        <f>'PFAS Properties'!$D$33</f>
        <v>C8HF15O2</v>
      </c>
      <c r="K219" s="25">
        <f>'PFAS Properties'!$P$33</f>
        <v>413.97359999999998</v>
      </c>
      <c r="L219" s="2">
        <f>'PFAS Properties'!$X$33</f>
        <v>-0.2</v>
      </c>
      <c r="M219" s="2" t="str">
        <f>'PFAS Properties'!$Y$33</f>
        <v>-</v>
      </c>
      <c r="N219" s="33">
        <v>0</v>
      </c>
      <c r="O219" s="33">
        <v>0</v>
      </c>
      <c r="P219" s="33">
        <v>0</v>
      </c>
      <c r="Q219" s="33">
        <f t="shared" si="120"/>
        <v>0.99999893891655389</v>
      </c>
      <c r="R219" s="33">
        <v>0</v>
      </c>
      <c r="S219" s="33">
        <f t="shared" si="121"/>
        <v>1.0610834460811781E-6</v>
      </c>
      <c r="T219" s="8">
        <f t="shared" si="99"/>
        <v>1</v>
      </c>
      <c r="U219" s="33">
        <f t="shared" si="100"/>
        <v>0</v>
      </c>
      <c r="V219" s="33">
        <f t="shared" si="101"/>
        <v>-0.99999893891655389</v>
      </c>
      <c r="W219" s="33">
        <f t="shared" si="102"/>
        <v>412.9736010610834</v>
      </c>
      <c r="X219" s="33">
        <v>96485</v>
      </c>
      <c r="Y219" s="16">
        <f t="shared" si="103"/>
        <v>-233.63454073930626</v>
      </c>
      <c r="Z219" s="16">
        <v>8</v>
      </c>
      <c r="AA219" s="16">
        <v>15</v>
      </c>
      <c r="AB219" s="8">
        <f t="shared" si="104"/>
        <v>0.33684210526315789</v>
      </c>
      <c r="AC219" s="16">
        <f t="shared" si="117"/>
        <v>68.844969824162703</v>
      </c>
      <c r="AD219" s="20">
        <f>'PFAS Properties'!$W$33</f>
        <v>7</v>
      </c>
      <c r="AE219" s="8">
        <f>'PFAS Properties'!$S$33</f>
        <v>2.6821450763738319</v>
      </c>
      <c r="AF219" s="15">
        <f>'PFAS Properties'!$V$33</f>
        <v>4.9000000000000004</v>
      </c>
      <c r="AG219" s="124">
        <v>5.7742499999999994</v>
      </c>
      <c r="AH219" s="70" t="s">
        <v>752</v>
      </c>
      <c r="AI219" s="2" t="s">
        <v>661</v>
      </c>
      <c r="AJ219" s="2" t="s">
        <v>661</v>
      </c>
      <c r="AK219" s="2" t="s">
        <v>661</v>
      </c>
      <c r="AL219" s="2" t="s">
        <v>661</v>
      </c>
      <c r="AM219" s="2" t="s">
        <v>661</v>
      </c>
      <c r="AN219" s="2" t="s">
        <v>661</v>
      </c>
      <c r="AO219" s="2" t="s">
        <v>661</v>
      </c>
      <c r="AP219" s="15">
        <v>3.22</v>
      </c>
      <c r="AQ219" s="16" t="s">
        <v>661</v>
      </c>
      <c r="AR219" s="71">
        <v>45.194833330000002</v>
      </c>
      <c r="AS219" s="71">
        <v>33.740666670000003</v>
      </c>
      <c r="AT219" s="71">
        <v>20.621500000000001</v>
      </c>
      <c r="AU219" s="70" t="s">
        <v>752</v>
      </c>
      <c r="AV219" s="16">
        <f t="shared" ref="AV219:AV230" si="123">SUM(AR219:AT219)</f>
        <v>99.557000000000002</v>
      </c>
      <c r="AW219" s="18">
        <v>5.2</v>
      </c>
      <c r="AX219" s="13">
        <f t="shared" si="122"/>
        <v>5.2000000000000005E-2</v>
      </c>
      <c r="AY219" s="12" t="s">
        <v>839</v>
      </c>
      <c r="AZ219" s="16">
        <f>4/0.04</f>
        <v>100</v>
      </c>
      <c r="BA219" s="16" t="s">
        <v>55</v>
      </c>
      <c r="BB219" s="16">
        <v>5</v>
      </c>
      <c r="BC219" s="16">
        <v>100</v>
      </c>
      <c r="BD219" s="18">
        <v>5.07</v>
      </c>
      <c r="BE219" s="15">
        <f t="shared" ref="BE219:BE230" si="124">BD219/AX219</f>
        <v>97.5</v>
      </c>
      <c r="BF219" s="8">
        <f t="shared" si="105"/>
        <v>1.9890046156985368</v>
      </c>
      <c r="BG219" s="8">
        <f t="shared" ref="BG219:BG230" si="125">LOG(BD219)</f>
        <v>0.70500795933333604</v>
      </c>
      <c r="BH219" s="13" t="s">
        <v>837</v>
      </c>
      <c r="BI219" s="13"/>
      <c r="BJ219" s="13"/>
      <c r="BK219" s="13"/>
      <c r="BL219" s="13"/>
      <c r="BM219" s="17"/>
      <c r="BN219" s="17"/>
      <c r="BO219" s="2"/>
    </row>
    <row r="220" spans="1:67" s="14" customFormat="1" x14ac:dyDescent="0.3">
      <c r="A220" s="20">
        <v>218</v>
      </c>
      <c r="B220" s="2" t="s">
        <v>224</v>
      </c>
      <c r="C220" s="2">
        <v>2013</v>
      </c>
      <c r="D220" s="2" t="s">
        <v>223</v>
      </c>
      <c r="E220" s="10" t="s">
        <v>222</v>
      </c>
      <c r="F220" s="20" t="s">
        <v>29</v>
      </c>
      <c r="G220" s="2" t="s">
        <v>90</v>
      </c>
      <c r="H220" s="2" t="str">
        <f>'PFAS Properties'!$B$33</f>
        <v>PFOA</v>
      </c>
      <c r="I220" s="2" t="str">
        <f>'PFAS Properties'!$C$33</f>
        <v>PFCA</v>
      </c>
      <c r="J220" s="2" t="str">
        <f>'PFAS Properties'!$D$33</f>
        <v>C8HF15O2</v>
      </c>
      <c r="K220" s="25">
        <f>'PFAS Properties'!$P$33</f>
        <v>413.97359999999998</v>
      </c>
      <c r="L220" s="2">
        <f>'PFAS Properties'!$X$33</f>
        <v>-0.2</v>
      </c>
      <c r="M220" s="2" t="str">
        <f>'PFAS Properties'!$Y$33</f>
        <v>-</v>
      </c>
      <c r="N220" s="33">
        <v>0</v>
      </c>
      <c r="O220" s="33">
        <v>0</v>
      </c>
      <c r="P220" s="33">
        <v>0</v>
      </c>
      <c r="Q220" s="33">
        <f t="shared" si="120"/>
        <v>0.99999816431058886</v>
      </c>
      <c r="R220" s="33">
        <v>0</v>
      </c>
      <c r="S220" s="33">
        <f t="shared" si="121"/>
        <v>1.8356894111370159E-6</v>
      </c>
      <c r="T220" s="8">
        <f t="shared" ref="T220:T283" si="126">SUM(N220:S220)</f>
        <v>1</v>
      </c>
      <c r="U220" s="33">
        <f t="shared" ref="U220:U283" si="127">((1*N220)+(1*O220)+(1*P220))</f>
        <v>0</v>
      </c>
      <c r="V220" s="33">
        <f t="shared" ref="V220:V283" si="128">-((1*O220)+(2*P220)+(1*Q220)+(2*R220))</f>
        <v>-0.99999816431058886</v>
      </c>
      <c r="W220" s="33">
        <f t="shared" ref="W220:W283" si="129">(N220*(K220+1))+(O220*K220)+(P220*(K220-1))+(Q220*(K220-1))+(R220*(K220-2))+(S220*K220)</f>
        <v>412.97360183568935</v>
      </c>
      <c r="X220" s="33">
        <v>96485</v>
      </c>
      <c r="Y220" s="16">
        <f t="shared" ref="Y220:Y283" si="130">((V220+U220)/W220)*X220</f>
        <v>-233.63435932618225</v>
      </c>
      <c r="Z220" s="16">
        <v>8</v>
      </c>
      <c r="AA220" s="16">
        <v>15</v>
      </c>
      <c r="AB220" s="8">
        <f t="shared" ref="AB220:AB283" si="131">(Z220/AA220)*(12/19)</f>
        <v>0.33684210526315789</v>
      </c>
      <c r="AC220" s="16">
        <f t="shared" si="117"/>
        <v>68.844969824162703</v>
      </c>
      <c r="AD220" s="20">
        <f>'PFAS Properties'!$W$33</f>
        <v>7</v>
      </c>
      <c r="AE220" s="8">
        <f>'PFAS Properties'!$S$33</f>
        <v>2.6821450763738319</v>
      </c>
      <c r="AF220" s="15">
        <f>'PFAS Properties'!$V$33</f>
        <v>4.9000000000000004</v>
      </c>
      <c r="AG220" s="124">
        <v>5.5362</v>
      </c>
      <c r="AH220" s="70" t="s">
        <v>752</v>
      </c>
      <c r="AI220" s="2" t="s">
        <v>661</v>
      </c>
      <c r="AJ220" s="2" t="s">
        <v>661</v>
      </c>
      <c r="AK220" s="2" t="s">
        <v>661</v>
      </c>
      <c r="AL220" s="2" t="s">
        <v>661</v>
      </c>
      <c r="AM220" s="2" t="s">
        <v>661</v>
      </c>
      <c r="AN220" s="2" t="s">
        <v>661</v>
      </c>
      <c r="AO220" s="2" t="s">
        <v>661</v>
      </c>
      <c r="AP220" s="15">
        <v>3.83</v>
      </c>
      <c r="AQ220" s="16" t="s">
        <v>661</v>
      </c>
      <c r="AR220" s="71">
        <v>41.968833330000002</v>
      </c>
      <c r="AS220" s="71">
        <v>36.729166669999998</v>
      </c>
      <c r="AT220" s="71">
        <v>22.0915</v>
      </c>
      <c r="AU220" s="70" t="s">
        <v>752</v>
      </c>
      <c r="AV220" s="16">
        <f t="shared" si="123"/>
        <v>100.7895</v>
      </c>
      <c r="AW220" s="18">
        <v>16</v>
      </c>
      <c r="AX220" s="13">
        <f t="shared" si="122"/>
        <v>0.16</v>
      </c>
      <c r="AY220" s="12" t="s">
        <v>839</v>
      </c>
      <c r="AZ220" s="16">
        <f>4/0.04</f>
        <v>100</v>
      </c>
      <c r="BA220" s="16" t="s">
        <v>55</v>
      </c>
      <c r="BB220" s="16">
        <v>5</v>
      </c>
      <c r="BC220" s="16">
        <v>100</v>
      </c>
      <c r="BD220" s="18">
        <v>16.100000000000001</v>
      </c>
      <c r="BE220" s="15">
        <f t="shared" si="124"/>
        <v>100.625</v>
      </c>
      <c r="BF220" s="8">
        <f t="shared" ref="BF220:BF283" si="132">LOG(BE220)</f>
        <v>2.002705893375925</v>
      </c>
      <c r="BG220" s="8">
        <f t="shared" si="125"/>
        <v>1.2068258760318498</v>
      </c>
      <c r="BH220" s="13" t="s">
        <v>837</v>
      </c>
      <c r="BI220" s="13"/>
      <c r="BJ220" s="13"/>
      <c r="BK220" s="13"/>
      <c r="BL220" s="13"/>
      <c r="BM220" s="17"/>
      <c r="BN220" s="17"/>
      <c r="BO220" s="2"/>
    </row>
    <row r="221" spans="1:67" s="14" customFormat="1" x14ac:dyDescent="0.3">
      <c r="A221" s="20">
        <v>219</v>
      </c>
      <c r="B221" s="2" t="s">
        <v>224</v>
      </c>
      <c r="C221" s="2">
        <v>2013</v>
      </c>
      <c r="D221" s="2" t="s">
        <v>223</v>
      </c>
      <c r="E221" s="10" t="s">
        <v>222</v>
      </c>
      <c r="F221" s="20" t="s">
        <v>29</v>
      </c>
      <c r="G221" s="2" t="s">
        <v>91</v>
      </c>
      <c r="H221" s="2" t="str">
        <f>'PFAS Properties'!$B$33</f>
        <v>PFOA</v>
      </c>
      <c r="I221" s="2" t="str">
        <f>'PFAS Properties'!$C$33</f>
        <v>PFCA</v>
      </c>
      <c r="J221" s="2" t="str">
        <f>'PFAS Properties'!$D$33</f>
        <v>C8HF15O2</v>
      </c>
      <c r="K221" s="25">
        <f>'PFAS Properties'!$P$33</f>
        <v>413.97359999999998</v>
      </c>
      <c r="L221" s="2">
        <f>'PFAS Properties'!$X$33</f>
        <v>-0.2</v>
      </c>
      <c r="M221" s="2" t="str">
        <f>'PFAS Properties'!$Y$33</f>
        <v>-</v>
      </c>
      <c r="N221" s="33">
        <v>0</v>
      </c>
      <c r="O221" s="33">
        <v>0</v>
      </c>
      <c r="P221" s="33">
        <v>0</v>
      </c>
      <c r="Q221" s="33">
        <f t="shared" si="120"/>
        <v>0.99999985060022789</v>
      </c>
      <c r="R221" s="33">
        <v>0</v>
      </c>
      <c r="S221" s="33">
        <f t="shared" si="121"/>
        <v>1.4939977214322707E-7</v>
      </c>
      <c r="T221" s="8">
        <f t="shared" si="126"/>
        <v>1</v>
      </c>
      <c r="U221" s="33">
        <f t="shared" si="127"/>
        <v>0</v>
      </c>
      <c r="V221" s="33">
        <f t="shared" si="128"/>
        <v>-0.99999985060022789</v>
      </c>
      <c r="W221" s="33">
        <f t="shared" si="129"/>
        <v>412.97360014939977</v>
      </c>
      <c r="X221" s="33">
        <v>96485</v>
      </c>
      <c r="Y221" s="16">
        <f t="shared" si="130"/>
        <v>-233.63475425610258</v>
      </c>
      <c r="Z221" s="16">
        <v>8</v>
      </c>
      <c r="AA221" s="16">
        <v>15</v>
      </c>
      <c r="AB221" s="8">
        <f t="shared" si="131"/>
        <v>0.33684210526315789</v>
      </c>
      <c r="AC221" s="16">
        <f t="shared" si="117"/>
        <v>68.844969824162703</v>
      </c>
      <c r="AD221" s="20">
        <f>'PFAS Properties'!$W$33</f>
        <v>7</v>
      </c>
      <c r="AE221" s="8">
        <f>'PFAS Properties'!$S$33</f>
        <v>2.6821450763738319</v>
      </c>
      <c r="AF221" s="15">
        <f>'PFAS Properties'!$V$33</f>
        <v>4.9000000000000004</v>
      </c>
      <c r="AG221" s="124">
        <v>6.6256500000000003</v>
      </c>
      <c r="AH221" s="70" t="s">
        <v>752</v>
      </c>
      <c r="AI221" s="2" t="s">
        <v>661</v>
      </c>
      <c r="AJ221" s="2" t="s">
        <v>661</v>
      </c>
      <c r="AK221" s="2" t="s">
        <v>661</v>
      </c>
      <c r="AL221" s="2" t="s">
        <v>661</v>
      </c>
      <c r="AM221" s="2" t="s">
        <v>661</v>
      </c>
      <c r="AN221" s="2" t="s">
        <v>661</v>
      </c>
      <c r="AO221" s="2" t="s">
        <v>661</v>
      </c>
      <c r="AP221" s="15">
        <v>6.13</v>
      </c>
      <c r="AQ221" s="16" t="s">
        <v>661</v>
      </c>
      <c r="AR221" s="71">
        <v>40.693150000000003</v>
      </c>
      <c r="AS221" s="71">
        <v>35.505099999999999</v>
      </c>
      <c r="AT221" s="71">
        <v>24.210599999999999</v>
      </c>
      <c r="AU221" s="70" t="s">
        <v>752</v>
      </c>
      <c r="AV221" s="16">
        <f t="shared" si="123"/>
        <v>100.40885</v>
      </c>
      <c r="AW221" s="18">
        <v>0.52</v>
      </c>
      <c r="AX221" s="13">
        <f t="shared" si="122"/>
        <v>5.1999999999999998E-3</v>
      </c>
      <c r="AY221" s="12" t="s">
        <v>839</v>
      </c>
      <c r="AZ221" s="16">
        <f>4/0.04</f>
        <v>100</v>
      </c>
      <c r="BA221" s="16" t="s">
        <v>55</v>
      </c>
      <c r="BB221" s="16">
        <v>5</v>
      </c>
      <c r="BC221" s="16">
        <v>100</v>
      </c>
      <c r="BD221" s="18">
        <v>2.33</v>
      </c>
      <c r="BE221" s="15">
        <f t="shared" si="124"/>
        <v>448.07692307692309</v>
      </c>
      <c r="BF221" s="8">
        <f t="shared" si="132"/>
        <v>2.6513525773912199</v>
      </c>
      <c r="BG221" s="8">
        <f t="shared" si="125"/>
        <v>0.36735592102601899</v>
      </c>
      <c r="BH221" s="13" t="s">
        <v>837</v>
      </c>
      <c r="BI221" s="13"/>
      <c r="BJ221" s="13"/>
      <c r="BK221" s="13"/>
      <c r="BL221" s="13"/>
      <c r="BM221" s="17"/>
      <c r="BN221" s="17"/>
      <c r="BO221" s="2"/>
    </row>
    <row r="222" spans="1:67" s="14" customFormat="1" x14ac:dyDescent="0.3">
      <c r="A222" s="20">
        <v>220</v>
      </c>
      <c r="B222" s="2" t="s">
        <v>224</v>
      </c>
      <c r="C222" s="2">
        <v>2013</v>
      </c>
      <c r="D222" s="2" t="s">
        <v>223</v>
      </c>
      <c r="E222" s="10" t="s">
        <v>222</v>
      </c>
      <c r="F222" s="20" t="s">
        <v>29</v>
      </c>
      <c r="G222" s="2" t="s">
        <v>92</v>
      </c>
      <c r="H222" s="2" t="str">
        <f>'PFAS Properties'!$B$33</f>
        <v>PFOA</v>
      </c>
      <c r="I222" s="2" t="str">
        <f>'PFAS Properties'!$C$33</f>
        <v>PFCA</v>
      </c>
      <c r="J222" s="2" t="str">
        <f>'PFAS Properties'!$D$33</f>
        <v>C8HF15O2</v>
      </c>
      <c r="K222" s="25">
        <f>'PFAS Properties'!$P$33</f>
        <v>413.97359999999998</v>
      </c>
      <c r="L222" s="2">
        <f>'PFAS Properties'!$X$33</f>
        <v>-0.2</v>
      </c>
      <c r="M222" s="2" t="str">
        <f>'PFAS Properties'!$Y$33</f>
        <v>-</v>
      </c>
      <c r="N222" s="33">
        <v>0</v>
      </c>
      <c r="O222" s="33">
        <v>0</v>
      </c>
      <c r="P222" s="33">
        <v>0</v>
      </c>
      <c r="Q222" s="33">
        <f t="shared" si="120"/>
        <v>0.99999991550131251</v>
      </c>
      <c r="R222" s="33">
        <v>0</v>
      </c>
      <c r="S222" s="33">
        <f t="shared" si="121"/>
        <v>8.4498687520175583E-8</v>
      </c>
      <c r="T222" s="8">
        <f t="shared" si="126"/>
        <v>1</v>
      </c>
      <c r="U222" s="33">
        <f t="shared" si="127"/>
        <v>0</v>
      </c>
      <c r="V222" s="33">
        <f t="shared" si="128"/>
        <v>-0.99999991550131251</v>
      </c>
      <c r="W222" s="33">
        <f t="shared" si="129"/>
        <v>412.97360008449863</v>
      </c>
      <c r="X222" s="33">
        <v>96485</v>
      </c>
      <c r="Y222" s="16">
        <f t="shared" si="130"/>
        <v>-233.63476945597085</v>
      </c>
      <c r="Z222" s="16">
        <v>8</v>
      </c>
      <c r="AA222" s="16">
        <v>15</v>
      </c>
      <c r="AB222" s="8">
        <f t="shared" si="131"/>
        <v>0.33684210526315789</v>
      </c>
      <c r="AC222" s="16">
        <f t="shared" si="117"/>
        <v>68.844969824162703</v>
      </c>
      <c r="AD222" s="20">
        <f>'PFAS Properties'!$W$33</f>
        <v>7</v>
      </c>
      <c r="AE222" s="8">
        <f>'PFAS Properties'!$S$33</f>
        <v>2.6821450763738319</v>
      </c>
      <c r="AF222" s="15">
        <f>'PFAS Properties'!$V$33</f>
        <v>4.9000000000000004</v>
      </c>
      <c r="AG222" s="124">
        <v>6.873149999999999</v>
      </c>
      <c r="AH222" s="70" t="s">
        <v>752</v>
      </c>
      <c r="AI222" s="2" t="s">
        <v>661</v>
      </c>
      <c r="AJ222" s="2" t="s">
        <v>661</v>
      </c>
      <c r="AK222" s="2" t="s">
        <v>661</v>
      </c>
      <c r="AL222" s="2" t="s">
        <v>661</v>
      </c>
      <c r="AM222" s="2" t="s">
        <v>661</v>
      </c>
      <c r="AN222" s="2" t="s">
        <v>661</v>
      </c>
      <c r="AO222" s="2" t="s">
        <v>661</v>
      </c>
      <c r="AP222" s="15">
        <v>44.5</v>
      </c>
      <c r="AQ222" s="16" t="s">
        <v>661</v>
      </c>
      <c r="AR222" s="71">
        <v>34.828400000000002</v>
      </c>
      <c r="AS222" s="71">
        <v>33.0246</v>
      </c>
      <c r="AT222" s="71">
        <v>31.369299999999999</v>
      </c>
      <c r="AU222" s="70" t="s">
        <v>752</v>
      </c>
      <c r="AV222" s="16">
        <f t="shared" si="123"/>
        <v>99.222300000000004</v>
      </c>
      <c r="AW222" s="18">
        <v>2.1</v>
      </c>
      <c r="AX222" s="13">
        <f t="shared" si="122"/>
        <v>2.1000000000000001E-2</v>
      </c>
      <c r="AY222" s="12" t="s">
        <v>839</v>
      </c>
      <c r="AZ222" s="16">
        <f>4/0.04</f>
        <v>100</v>
      </c>
      <c r="BA222" s="16" t="s">
        <v>55</v>
      </c>
      <c r="BB222" s="16">
        <v>5</v>
      </c>
      <c r="BC222" s="16">
        <v>100</v>
      </c>
      <c r="BD222" s="18">
        <v>3.08</v>
      </c>
      <c r="BE222" s="15">
        <f t="shared" si="124"/>
        <v>146.66666666666666</v>
      </c>
      <c r="BF222" s="8">
        <f t="shared" si="132"/>
        <v>2.1663314217665248</v>
      </c>
      <c r="BG222" s="8">
        <f t="shared" si="125"/>
        <v>0.48855071650044429</v>
      </c>
      <c r="BH222" s="13" t="s">
        <v>837</v>
      </c>
      <c r="BI222" s="13"/>
      <c r="BJ222" s="13"/>
      <c r="BK222" s="13"/>
      <c r="BL222" s="13"/>
      <c r="BM222" s="17"/>
      <c r="BN222" s="17"/>
      <c r="BO222" s="2"/>
    </row>
    <row r="223" spans="1:67" s="14" customFormat="1" x14ac:dyDescent="0.3">
      <c r="A223" s="20">
        <v>221</v>
      </c>
      <c r="B223" s="2" t="s">
        <v>210</v>
      </c>
      <c r="C223" s="2">
        <v>2010</v>
      </c>
      <c r="D223" s="2" t="s">
        <v>209</v>
      </c>
      <c r="E223" s="10" t="s">
        <v>208</v>
      </c>
      <c r="F223" s="20" t="s">
        <v>29</v>
      </c>
      <c r="G223" s="2" t="s">
        <v>52</v>
      </c>
      <c r="H223" s="2" t="str">
        <f>'PFAS Properties'!$B$33</f>
        <v>PFOA</v>
      </c>
      <c r="I223" s="2" t="str">
        <f>'PFAS Properties'!$C$33</f>
        <v>PFCA</v>
      </c>
      <c r="J223" s="2" t="str">
        <f>'PFAS Properties'!$D$33</f>
        <v>C8HF15O2</v>
      </c>
      <c r="K223" s="25">
        <f>'PFAS Properties'!$P$33</f>
        <v>413.97359999999998</v>
      </c>
      <c r="L223" s="2">
        <f>'PFAS Properties'!$X$33</f>
        <v>-0.2</v>
      </c>
      <c r="M223" s="2" t="str">
        <f>'PFAS Properties'!$Y$33</f>
        <v>-</v>
      </c>
      <c r="N223" s="33">
        <v>0</v>
      </c>
      <c r="O223" s="33">
        <v>0</v>
      </c>
      <c r="P223" s="33">
        <v>0</v>
      </c>
      <c r="Q223" s="33">
        <f t="shared" si="120"/>
        <v>0.99999998415106828</v>
      </c>
      <c r="R223" s="33">
        <v>0</v>
      </c>
      <c r="S223" s="33">
        <f t="shared" si="121"/>
        <v>1.5848931673422493E-8</v>
      </c>
      <c r="T223" s="8">
        <f t="shared" si="126"/>
        <v>1</v>
      </c>
      <c r="U223" s="33">
        <f t="shared" si="127"/>
        <v>0</v>
      </c>
      <c r="V223" s="33">
        <f t="shared" si="128"/>
        <v>-0.99999998415106828</v>
      </c>
      <c r="W223" s="33">
        <f t="shared" si="129"/>
        <v>412.97360001584889</v>
      </c>
      <c r="X223" s="33">
        <v>96485</v>
      </c>
      <c r="Y223" s="16">
        <f t="shared" si="130"/>
        <v>-233.63478553377979</v>
      </c>
      <c r="Z223" s="16">
        <v>8</v>
      </c>
      <c r="AA223" s="16">
        <v>15</v>
      </c>
      <c r="AB223" s="8">
        <f t="shared" si="131"/>
        <v>0.33684210526315789</v>
      </c>
      <c r="AC223" s="16">
        <f t="shared" si="117"/>
        <v>68.844969824162703</v>
      </c>
      <c r="AD223" s="20">
        <f>'PFAS Properties'!$W$33</f>
        <v>7</v>
      </c>
      <c r="AE223" s="8">
        <f>'PFAS Properties'!$S$33</f>
        <v>2.6821450763738319</v>
      </c>
      <c r="AF223" s="15">
        <f>'PFAS Properties'!$V$33</f>
        <v>4.9000000000000004</v>
      </c>
      <c r="AG223" s="24">
        <v>7.6</v>
      </c>
      <c r="AH223" s="2" t="s">
        <v>661</v>
      </c>
      <c r="AI223" s="2">
        <v>8.1199999999999992</v>
      </c>
      <c r="AJ223" s="15">
        <f>AI223*1000/55.845</f>
        <v>145.40245321873041</v>
      </c>
      <c r="AK223" s="8">
        <f>AI223/10</f>
        <v>0.81199999999999994</v>
      </c>
      <c r="AL223" s="2">
        <v>1.294</v>
      </c>
      <c r="AM223" s="15">
        <f>AL223*1000/26.98</f>
        <v>47.961452928094886</v>
      </c>
      <c r="AN223" s="8">
        <f>AL223/10</f>
        <v>0.12940000000000002</v>
      </c>
      <c r="AO223" s="15" t="s">
        <v>41</v>
      </c>
      <c r="AP223" s="72">
        <v>5.6985666666666646</v>
      </c>
      <c r="AQ223" s="70" t="s">
        <v>752</v>
      </c>
      <c r="AR223" s="2">
        <v>41</v>
      </c>
      <c r="AS223" s="2">
        <v>22</v>
      </c>
      <c r="AT223" s="2">
        <v>37</v>
      </c>
      <c r="AU223" s="2" t="s">
        <v>661</v>
      </c>
      <c r="AV223" s="16">
        <f t="shared" si="123"/>
        <v>100</v>
      </c>
      <c r="AW223" s="18">
        <v>0.42</v>
      </c>
      <c r="AX223" s="13">
        <f t="shared" si="122"/>
        <v>4.1999999999999997E-3</v>
      </c>
      <c r="AY223" s="13" t="s">
        <v>53</v>
      </c>
      <c r="AZ223" s="16">
        <f>12/0.025</f>
        <v>480</v>
      </c>
      <c r="BA223" s="16" t="s">
        <v>55</v>
      </c>
      <c r="BB223" s="8">
        <v>0.02</v>
      </c>
      <c r="BC223" s="8">
        <v>1</v>
      </c>
      <c r="BD223" s="18">
        <v>1.8</v>
      </c>
      <c r="BE223" s="15">
        <f t="shared" si="124"/>
        <v>428.57142857142861</v>
      </c>
      <c r="BF223" s="8">
        <f t="shared" si="132"/>
        <v>2.6320232147054057</v>
      </c>
      <c r="BG223" s="8">
        <f t="shared" si="125"/>
        <v>0.25527250510330607</v>
      </c>
      <c r="BH223" s="13" t="s">
        <v>837</v>
      </c>
      <c r="BI223" s="13"/>
      <c r="BJ223" s="13"/>
      <c r="BK223" s="13"/>
      <c r="BL223" s="13"/>
      <c r="BM223" s="17"/>
      <c r="BN223" s="17"/>
      <c r="BO223" s="2"/>
    </row>
    <row r="224" spans="1:67" s="14" customFormat="1" x14ac:dyDescent="0.3">
      <c r="A224" s="20">
        <v>222</v>
      </c>
      <c r="B224" s="2" t="s">
        <v>210</v>
      </c>
      <c r="C224" s="2">
        <v>2010</v>
      </c>
      <c r="D224" s="2" t="s">
        <v>209</v>
      </c>
      <c r="E224" s="10" t="s">
        <v>208</v>
      </c>
      <c r="F224" s="20" t="s">
        <v>29</v>
      </c>
      <c r="G224" s="2" t="s">
        <v>54</v>
      </c>
      <c r="H224" s="2" t="str">
        <f>'PFAS Properties'!$B$33</f>
        <v>PFOA</v>
      </c>
      <c r="I224" s="2" t="str">
        <f>'PFAS Properties'!$C$33</f>
        <v>PFCA</v>
      </c>
      <c r="J224" s="2" t="str">
        <f>'PFAS Properties'!$D$33</f>
        <v>C8HF15O2</v>
      </c>
      <c r="K224" s="25">
        <f>'PFAS Properties'!$P$33</f>
        <v>413.97359999999998</v>
      </c>
      <c r="L224" s="2">
        <f>'PFAS Properties'!$X$33</f>
        <v>-0.2</v>
      </c>
      <c r="M224" s="2" t="str">
        <f>'PFAS Properties'!$Y$33</f>
        <v>-</v>
      </c>
      <c r="N224" s="33">
        <v>0</v>
      </c>
      <c r="O224" s="33">
        <v>0</v>
      </c>
      <c r="P224" s="33">
        <v>0</v>
      </c>
      <c r="Q224" s="33">
        <f t="shared" si="120"/>
        <v>0.99999949881301753</v>
      </c>
      <c r="R224" s="33">
        <v>0</v>
      </c>
      <c r="S224" s="33">
        <f t="shared" si="121"/>
        <v>5.0118698243875488E-7</v>
      </c>
      <c r="T224" s="8">
        <f t="shared" si="126"/>
        <v>1</v>
      </c>
      <c r="U224" s="33">
        <f t="shared" si="127"/>
        <v>0</v>
      </c>
      <c r="V224" s="33">
        <f t="shared" si="128"/>
        <v>-0.99999949881301753</v>
      </c>
      <c r="W224" s="33">
        <f t="shared" si="129"/>
        <v>412.97360050118692</v>
      </c>
      <c r="X224" s="33">
        <v>96485</v>
      </c>
      <c r="Y224" s="16">
        <f t="shared" si="130"/>
        <v>-233.63467186735267</v>
      </c>
      <c r="Z224" s="16">
        <v>8</v>
      </c>
      <c r="AA224" s="16">
        <v>15</v>
      </c>
      <c r="AB224" s="8">
        <f t="shared" si="131"/>
        <v>0.33684210526315789</v>
      </c>
      <c r="AC224" s="16">
        <f t="shared" si="117"/>
        <v>68.844969824162703</v>
      </c>
      <c r="AD224" s="20">
        <f>'PFAS Properties'!$W$33</f>
        <v>7</v>
      </c>
      <c r="AE224" s="8">
        <f>'PFAS Properties'!$S$33</f>
        <v>2.6821450763738319</v>
      </c>
      <c r="AF224" s="15">
        <f>'PFAS Properties'!$V$33</f>
        <v>4.9000000000000004</v>
      </c>
      <c r="AG224" s="24">
        <v>6.1</v>
      </c>
      <c r="AH224" s="2" t="s">
        <v>661</v>
      </c>
      <c r="AI224" s="2">
        <v>2.73</v>
      </c>
      <c r="AJ224" s="15">
        <f>AI224*1000/55.845</f>
        <v>48.885307547676604</v>
      </c>
      <c r="AK224" s="8">
        <f>AI224/10</f>
        <v>0.27300000000000002</v>
      </c>
      <c r="AL224" s="2">
        <v>2.6320000000000001</v>
      </c>
      <c r="AM224" s="15">
        <f>AL224*1000/26.98</f>
        <v>97.553743513713854</v>
      </c>
      <c r="AN224" s="8">
        <f>AL224/10</f>
        <v>0.26319999999999999</v>
      </c>
      <c r="AO224" s="15" t="s">
        <v>41</v>
      </c>
      <c r="AP224" s="72">
        <v>12.81991666666667</v>
      </c>
      <c r="AQ224" s="70" t="s">
        <v>752</v>
      </c>
      <c r="AR224" s="2">
        <v>94</v>
      </c>
      <c r="AS224" s="2">
        <v>1</v>
      </c>
      <c r="AT224" s="2">
        <v>5</v>
      </c>
      <c r="AU224" s="2" t="s">
        <v>661</v>
      </c>
      <c r="AV224" s="16">
        <f t="shared" si="123"/>
        <v>100</v>
      </c>
      <c r="AW224" s="18">
        <v>1</v>
      </c>
      <c r="AX224" s="13">
        <f t="shared" si="122"/>
        <v>0.01</v>
      </c>
      <c r="AY224" s="13" t="s">
        <v>53</v>
      </c>
      <c r="AZ224" s="16">
        <f>12/0.025</f>
        <v>480</v>
      </c>
      <c r="BA224" s="16" t="s">
        <v>55</v>
      </c>
      <c r="BB224" s="8">
        <v>0.02</v>
      </c>
      <c r="BC224" s="8">
        <v>1</v>
      </c>
      <c r="BD224" s="18">
        <v>1.5</v>
      </c>
      <c r="BE224" s="15">
        <f t="shared" si="124"/>
        <v>150</v>
      </c>
      <c r="BF224" s="8">
        <f t="shared" si="132"/>
        <v>2.1760912590556813</v>
      </c>
      <c r="BG224" s="8">
        <f t="shared" si="125"/>
        <v>0.17609125905568124</v>
      </c>
      <c r="BH224" s="13" t="s">
        <v>837</v>
      </c>
      <c r="BI224" s="2"/>
      <c r="BJ224" s="2"/>
      <c r="BK224" s="2"/>
      <c r="BL224" s="2"/>
      <c r="BM224" s="2"/>
      <c r="BN224" s="2"/>
      <c r="BO224" s="2"/>
    </row>
    <row r="225" spans="1:67" s="14" customFormat="1" x14ac:dyDescent="0.3">
      <c r="A225" s="20">
        <v>223</v>
      </c>
      <c r="B225" s="2" t="s">
        <v>234</v>
      </c>
      <c r="C225" s="2">
        <v>2022</v>
      </c>
      <c r="D225" s="2" t="s">
        <v>205</v>
      </c>
      <c r="E225" s="10" t="s">
        <v>799</v>
      </c>
      <c r="F225" s="20" t="s">
        <v>63</v>
      </c>
      <c r="G225" s="2" t="s">
        <v>63</v>
      </c>
      <c r="H225" s="2" t="str">
        <f>'PFAS Properties'!$B$33</f>
        <v>PFOA</v>
      </c>
      <c r="I225" s="2" t="str">
        <f>'PFAS Properties'!$C$33</f>
        <v>PFCA</v>
      </c>
      <c r="J225" s="2" t="str">
        <f>'PFAS Properties'!$D$33</f>
        <v>C8HF15O2</v>
      </c>
      <c r="K225" s="25">
        <f>'PFAS Properties'!$P$33</f>
        <v>413.97359999999998</v>
      </c>
      <c r="L225" s="2">
        <f>'PFAS Properties'!$X$33</f>
        <v>-0.2</v>
      </c>
      <c r="M225" s="2" t="str">
        <f>'PFAS Properties'!$Y$33</f>
        <v>-</v>
      </c>
      <c r="N225" s="33">
        <v>0</v>
      </c>
      <c r="O225" s="33">
        <v>0</v>
      </c>
      <c r="P225" s="33">
        <v>0</v>
      </c>
      <c r="Q225" s="33">
        <f t="shared" si="120"/>
        <v>0.9999999939744042</v>
      </c>
      <c r="R225" s="33">
        <v>0</v>
      </c>
      <c r="S225" s="33">
        <f t="shared" si="121"/>
        <v>6.0255958244357746E-9</v>
      </c>
      <c r="T225" s="8">
        <f t="shared" si="126"/>
        <v>1</v>
      </c>
      <c r="U225" s="33">
        <f t="shared" si="127"/>
        <v>0</v>
      </c>
      <c r="V225" s="33">
        <f t="shared" si="128"/>
        <v>-0.9999999939744042</v>
      </c>
      <c r="W225" s="33">
        <f t="shared" si="129"/>
        <v>412.97360000602555</v>
      </c>
      <c r="X225" s="33">
        <v>96485</v>
      </c>
      <c r="Y225" s="16">
        <f t="shared" si="130"/>
        <v>-233.63478783441028</v>
      </c>
      <c r="Z225" s="16">
        <v>8</v>
      </c>
      <c r="AA225" s="16">
        <v>15</v>
      </c>
      <c r="AB225" s="8">
        <f t="shared" si="131"/>
        <v>0.33684210526315789</v>
      </c>
      <c r="AC225" s="16">
        <f t="shared" si="117"/>
        <v>68.844969824162703</v>
      </c>
      <c r="AD225" s="20">
        <f>'PFAS Properties'!$W$33</f>
        <v>7</v>
      </c>
      <c r="AE225" s="8">
        <f>'PFAS Properties'!$S$33</f>
        <v>2.6821450763738319</v>
      </c>
      <c r="AF225" s="15">
        <f>'PFAS Properties'!$V$33</f>
        <v>4.9000000000000004</v>
      </c>
      <c r="AG225" s="24">
        <v>8.02</v>
      </c>
      <c r="AH225" s="2" t="s">
        <v>661</v>
      </c>
      <c r="AI225" s="2" t="s">
        <v>661</v>
      </c>
      <c r="AJ225" s="2" t="s">
        <v>661</v>
      </c>
      <c r="AK225" s="2" t="s">
        <v>661</v>
      </c>
      <c r="AL225" s="2" t="s">
        <v>661</v>
      </c>
      <c r="AM225" s="2" t="s">
        <v>661</v>
      </c>
      <c r="AN225" s="2" t="s">
        <v>661</v>
      </c>
      <c r="AO225" s="2" t="s">
        <v>661</v>
      </c>
      <c r="AP225" s="72">
        <v>11.934691666666669</v>
      </c>
      <c r="AQ225" s="70" t="s">
        <v>752</v>
      </c>
      <c r="AR225" s="16">
        <v>6.34</v>
      </c>
      <c r="AS225" s="16">
        <v>85.56</v>
      </c>
      <c r="AT225" s="16">
        <v>8.08</v>
      </c>
      <c r="AU225" s="2" t="s">
        <v>661</v>
      </c>
      <c r="AV225" s="16">
        <f t="shared" si="123"/>
        <v>99.98</v>
      </c>
      <c r="AW225" s="18">
        <v>0.37</v>
      </c>
      <c r="AX225" s="13">
        <v>3.7000000000000002E-3</v>
      </c>
      <c r="AY225" s="13" t="s">
        <v>392</v>
      </c>
      <c r="AZ225" s="16">
        <f>1/0.02</f>
        <v>50</v>
      </c>
      <c r="BA225" s="16" t="s">
        <v>55</v>
      </c>
      <c r="BB225" s="16">
        <v>10</v>
      </c>
      <c r="BC225" s="16" t="s">
        <v>55</v>
      </c>
      <c r="BD225" s="18">
        <f>BO225</f>
        <v>1.2820298578406237</v>
      </c>
      <c r="BE225" s="15">
        <f t="shared" si="124"/>
        <v>346.49455617314152</v>
      </c>
      <c r="BF225" s="8">
        <f t="shared" si="132"/>
        <v>2.5396964157370396</v>
      </c>
      <c r="BG225" s="8">
        <f t="shared" si="125"/>
        <v>0.10789813980403469</v>
      </c>
      <c r="BH225" s="13" t="s">
        <v>782</v>
      </c>
      <c r="BI225" s="8">
        <v>1.44</v>
      </c>
      <c r="BJ225" s="13" t="s">
        <v>366</v>
      </c>
      <c r="BK225" s="8">
        <v>0.97</v>
      </c>
      <c r="BL225" s="15">
        <f>BI225</f>
        <v>1.44</v>
      </c>
      <c r="BM225" s="25">
        <f>'PFAS Properties'!$U$33</f>
        <v>48.1</v>
      </c>
      <c r="BN225" s="16">
        <f>(BL225*(BM225^BK225))</f>
        <v>61.665636162134</v>
      </c>
      <c r="BO225" s="24">
        <f>BN225/BM225</f>
        <v>1.2820298578406237</v>
      </c>
    </row>
    <row r="226" spans="1:67" s="14" customFormat="1" x14ac:dyDescent="0.3">
      <c r="A226" s="20">
        <v>224</v>
      </c>
      <c r="B226" s="2" t="s">
        <v>204</v>
      </c>
      <c r="C226" s="2">
        <v>2013</v>
      </c>
      <c r="D226" s="2" t="s">
        <v>203</v>
      </c>
      <c r="E226" s="10" t="s">
        <v>792</v>
      </c>
      <c r="F226" s="20" t="s">
        <v>29</v>
      </c>
      <c r="G226" s="2" t="s">
        <v>46</v>
      </c>
      <c r="H226" s="2" t="str">
        <f>'PFAS Properties'!$B$33</f>
        <v>PFOA</v>
      </c>
      <c r="I226" s="2" t="str">
        <f>'PFAS Properties'!$C$33</f>
        <v>PFCA</v>
      </c>
      <c r="J226" s="2" t="str">
        <f>'PFAS Properties'!$D$33</f>
        <v>C8HF15O2</v>
      </c>
      <c r="K226" s="25">
        <f>'PFAS Properties'!$P$33</f>
        <v>413.97359999999998</v>
      </c>
      <c r="L226" s="2">
        <f>'PFAS Properties'!$X$33</f>
        <v>-0.2</v>
      </c>
      <c r="M226" s="2" t="str">
        <f>'PFAS Properties'!$Y$33</f>
        <v>-</v>
      </c>
      <c r="N226" s="33">
        <v>0</v>
      </c>
      <c r="O226" s="33">
        <v>0</v>
      </c>
      <c r="P226" s="33">
        <v>0</v>
      </c>
      <c r="Q226" s="33">
        <f t="shared" si="120"/>
        <v>0.99999949881301753</v>
      </c>
      <c r="R226" s="33">
        <v>0</v>
      </c>
      <c r="S226" s="33">
        <f t="shared" si="121"/>
        <v>5.0118698243875488E-7</v>
      </c>
      <c r="T226" s="8">
        <f t="shared" si="126"/>
        <v>1</v>
      </c>
      <c r="U226" s="33">
        <f t="shared" si="127"/>
        <v>0</v>
      </c>
      <c r="V226" s="33">
        <f t="shared" si="128"/>
        <v>-0.99999949881301753</v>
      </c>
      <c r="W226" s="33">
        <f t="shared" si="129"/>
        <v>412.97360050118692</v>
      </c>
      <c r="X226" s="33">
        <v>96485</v>
      </c>
      <c r="Y226" s="16">
        <f t="shared" si="130"/>
        <v>-233.63467186735267</v>
      </c>
      <c r="Z226" s="16">
        <v>8</v>
      </c>
      <c r="AA226" s="16">
        <v>15</v>
      </c>
      <c r="AB226" s="8">
        <f t="shared" si="131"/>
        <v>0.33684210526315789</v>
      </c>
      <c r="AC226" s="16">
        <f t="shared" si="117"/>
        <v>68.844969824162703</v>
      </c>
      <c r="AD226" s="20">
        <f>'PFAS Properties'!$W$33</f>
        <v>7</v>
      </c>
      <c r="AE226" s="8">
        <f>'PFAS Properties'!$S$33</f>
        <v>2.6821450763738319</v>
      </c>
      <c r="AF226" s="15">
        <f>'PFAS Properties'!$V$33</f>
        <v>4.9000000000000004</v>
      </c>
      <c r="AG226" s="24">
        <v>6.1</v>
      </c>
      <c r="AH226" s="2" t="s">
        <v>661</v>
      </c>
      <c r="AI226" s="15">
        <v>2.21</v>
      </c>
      <c r="AJ226" s="16">
        <f>AI226*1000/55.845</f>
        <v>39.573820395738203</v>
      </c>
      <c r="AK226" s="8">
        <f>AI226/10</f>
        <v>0.221</v>
      </c>
      <c r="AL226" s="15">
        <v>0.93</v>
      </c>
      <c r="AM226" s="16">
        <f>AL226*1000/26.98</f>
        <v>34.469977761304669</v>
      </c>
      <c r="AN226" s="8">
        <f>AL226/10</f>
        <v>9.2999999999999999E-2</v>
      </c>
      <c r="AO226" s="15" t="s">
        <v>41</v>
      </c>
      <c r="AP226" s="72">
        <v>14.27683666666667</v>
      </c>
      <c r="AQ226" s="70" t="s">
        <v>752</v>
      </c>
      <c r="AR226" s="16">
        <v>81</v>
      </c>
      <c r="AS226" s="16">
        <v>1</v>
      </c>
      <c r="AT226" s="16">
        <v>9</v>
      </c>
      <c r="AU226" s="16" t="s">
        <v>661</v>
      </c>
      <c r="AV226" s="16">
        <f t="shared" ref="AV226:AV228" si="133">SUM(AR226:AT226)</f>
        <v>91</v>
      </c>
      <c r="AW226" s="18">
        <v>1.7</v>
      </c>
      <c r="AX226" s="13">
        <f t="shared" ref="AX226:AX228" si="134">AW226/100</f>
        <v>1.7000000000000001E-2</v>
      </c>
      <c r="AY226" s="13" t="s">
        <v>42</v>
      </c>
      <c r="AZ226" s="16">
        <f>15/0.04</f>
        <v>375</v>
      </c>
      <c r="BA226" s="16" t="s">
        <v>55</v>
      </c>
      <c r="BB226" s="15">
        <v>0.5</v>
      </c>
      <c r="BC226" s="16">
        <v>1000</v>
      </c>
      <c r="BD226" s="18">
        <v>0.74</v>
      </c>
      <c r="BE226" s="15">
        <f t="shared" si="124"/>
        <v>43.529411764705877</v>
      </c>
      <c r="BF226" s="8">
        <f t="shared" si="132"/>
        <v>1.6387827983527021</v>
      </c>
      <c r="BG226" s="8">
        <f t="shared" si="125"/>
        <v>-0.13076828026902382</v>
      </c>
      <c r="BH226" s="13" t="s">
        <v>844</v>
      </c>
      <c r="BI226" s="13"/>
      <c r="BJ226" s="13"/>
      <c r="BK226" s="8"/>
      <c r="BL226" s="8"/>
      <c r="BM226" s="18"/>
      <c r="BN226" s="8"/>
      <c r="BO226" s="24"/>
    </row>
    <row r="227" spans="1:67" s="14" customFormat="1" x14ac:dyDescent="0.3">
      <c r="A227" s="20">
        <v>225</v>
      </c>
      <c r="B227" s="2" t="s">
        <v>204</v>
      </c>
      <c r="C227" s="2">
        <v>2013</v>
      </c>
      <c r="D227" s="2" t="s">
        <v>203</v>
      </c>
      <c r="E227" s="10" t="s">
        <v>792</v>
      </c>
      <c r="F227" s="20" t="s">
        <v>29</v>
      </c>
      <c r="G227" s="2" t="s">
        <v>50</v>
      </c>
      <c r="H227" s="2" t="str">
        <f>'PFAS Properties'!$B$33</f>
        <v>PFOA</v>
      </c>
      <c r="I227" s="2" t="str">
        <f>'PFAS Properties'!$C$33</f>
        <v>PFCA</v>
      </c>
      <c r="J227" s="2" t="str">
        <f>'PFAS Properties'!$D$33</f>
        <v>C8HF15O2</v>
      </c>
      <c r="K227" s="25">
        <f>'PFAS Properties'!$P$33</f>
        <v>413.97359999999998</v>
      </c>
      <c r="L227" s="2">
        <f>'PFAS Properties'!$X$33</f>
        <v>-0.2</v>
      </c>
      <c r="M227" s="2" t="str">
        <f>'PFAS Properties'!$Y$33</f>
        <v>-</v>
      </c>
      <c r="N227" s="33">
        <v>0</v>
      </c>
      <c r="O227" s="33">
        <v>0</v>
      </c>
      <c r="P227" s="33">
        <v>0</v>
      </c>
      <c r="Q227" s="33">
        <f t="shared" si="120"/>
        <v>0.99999999000000006</v>
      </c>
      <c r="R227" s="33">
        <v>0</v>
      </c>
      <c r="S227" s="33">
        <f t="shared" si="121"/>
        <v>9.9999999000000002E-9</v>
      </c>
      <c r="T227" s="8">
        <f t="shared" si="126"/>
        <v>1</v>
      </c>
      <c r="U227" s="33">
        <f t="shared" si="127"/>
        <v>0</v>
      </c>
      <c r="V227" s="33">
        <f t="shared" si="128"/>
        <v>-0.99999999000000006</v>
      </c>
      <c r="W227" s="33">
        <f t="shared" si="129"/>
        <v>412.97360000999993</v>
      </c>
      <c r="X227" s="33">
        <v>96485</v>
      </c>
      <c r="Y227" s="16">
        <f t="shared" si="130"/>
        <v>-233.63478690360273</v>
      </c>
      <c r="Z227" s="16">
        <v>8</v>
      </c>
      <c r="AA227" s="16">
        <v>15</v>
      </c>
      <c r="AB227" s="8">
        <f t="shared" si="131"/>
        <v>0.33684210526315789</v>
      </c>
      <c r="AC227" s="16">
        <f t="shared" si="117"/>
        <v>68.844969824162703</v>
      </c>
      <c r="AD227" s="20">
        <f>'PFAS Properties'!$W$33</f>
        <v>7</v>
      </c>
      <c r="AE227" s="8">
        <f>'PFAS Properties'!$S$33</f>
        <v>2.6821450763738319</v>
      </c>
      <c r="AF227" s="15">
        <f>'PFAS Properties'!$V$33</f>
        <v>4.9000000000000004</v>
      </c>
      <c r="AG227" s="24">
        <v>7.8</v>
      </c>
      <c r="AH227" s="2" t="s">
        <v>661</v>
      </c>
      <c r="AI227" s="15">
        <v>6.14</v>
      </c>
      <c r="AJ227" s="16">
        <f>AI227/10</f>
        <v>0.61399999999999999</v>
      </c>
      <c r="AK227" s="8">
        <f>AI227/10</f>
        <v>0.61399999999999999</v>
      </c>
      <c r="AL227" s="15">
        <v>1.67</v>
      </c>
      <c r="AM227" s="16">
        <f>AL227/10</f>
        <v>0.16699999999999998</v>
      </c>
      <c r="AN227" s="8">
        <f>AL227/10</f>
        <v>0.16699999999999998</v>
      </c>
      <c r="AO227" s="15" t="s">
        <v>41</v>
      </c>
      <c r="AP227" s="72">
        <v>6.4956666666666676</v>
      </c>
      <c r="AQ227" s="2" t="s">
        <v>752</v>
      </c>
      <c r="AR227" s="16">
        <v>33</v>
      </c>
      <c r="AS227" s="16">
        <v>42</v>
      </c>
      <c r="AT227" s="16">
        <v>25</v>
      </c>
      <c r="AU227" s="16" t="s">
        <v>661</v>
      </c>
      <c r="AV227" s="16">
        <f t="shared" si="133"/>
        <v>100</v>
      </c>
      <c r="AW227" s="18">
        <v>4.5</v>
      </c>
      <c r="AX227" s="13">
        <f t="shared" si="134"/>
        <v>4.4999999999999998E-2</v>
      </c>
      <c r="AY227" s="13" t="s">
        <v>42</v>
      </c>
      <c r="AZ227" s="16">
        <f>15/0.04</f>
        <v>375</v>
      </c>
      <c r="BA227" s="16" t="s">
        <v>55</v>
      </c>
      <c r="BB227" s="15">
        <v>0.5</v>
      </c>
      <c r="BC227" s="16">
        <v>1000</v>
      </c>
      <c r="BD227" s="18">
        <v>3.48</v>
      </c>
      <c r="BE227" s="15">
        <f t="shared" si="124"/>
        <v>77.333333333333343</v>
      </c>
      <c r="BF227" s="8">
        <f t="shared" si="132"/>
        <v>1.8883667301712372</v>
      </c>
      <c r="BG227" s="8">
        <f t="shared" si="125"/>
        <v>0.54157924394658097</v>
      </c>
      <c r="BH227" s="13" t="s">
        <v>844</v>
      </c>
      <c r="BI227" s="13"/>
      <c r="BJ227" s="13"/>
      <c r="BK227" s="8"/>
      <c r="BL227" s="8"/>
      <c r="BM227" s="18"/>
      <c r="BN227" s="8"/>
      <c r="BO227" s="24"/>
    </row>
    <row r="228" spans="1:67" s="14" customFormat="1" x14ac:dyDescent="0.3">
      <c r="A228" s="20">
        <v>226</v>
      </c>
      <c r="B228" s="2" t="s">
        <v>204</v>
      </c>
      <c r="C228" s="2">
        <v>2013</v>
      </c>
      <c r="D228" s="2" t="s">
        <v>203</v>
      </c>
      <c r="E228" s="10" t="s">
        <v>792</v>
      </c>
      <c r="F228" s="20" t="s">
        <v>29</v>
      </c>
      <c r="G228" s="2" t="s">
        <v>40</v>
      </c>
      <c r="H228" s="2" t="str">
        <f>'PFAS Properties'!$B$33</f>
        <v>PFOA</v>
      </c>
      <c r="I228" s="2" t="str">
        <f>'PFAS Properties'!$C$33</f>
        <v>PFCA</v>
      </c>
      <c r="J228" s="2" t="str">
        <f>'PFAS Properties'!$D$33</f>
        <v>C8HF15O2</v>
      </c>
      <c r="K228" s="25">
        <f>'PFAS Properties'!$P$33</f>
        <v>413.97359999999998</v>
      </c>
      <c r="L228" s="2">
        <f>'PFAS Properties'!$X$33</f>
        <v>-0.2</v>
      </c>
      <c r="M228" s="2" t="str">
        <f>'PFAS Properties'!$Y$33</f>
        <v>-</v>
      </c>
      <c r="N228" s="33">
        <v>0</v>
      </c>
      <c r="O228" s="33">
        <v>0</v>
      </c>
      <c r="P228" s="33">
        <v>0</v>
      </c>
      <c r="Q228" s="33">
        <f t="shared" si="120"/>
        <v>0.99999601894414336</v>
      </c>
      <c r="R228" s="33">
        <v>0</v>
      </c>
      <c r="S228" s="33">
        <f t="shared" si="121"/>
        <v>3.981055856666137E-6</v>
      </c>
      <c r="T228" s="8">
        <f t="shared" si="126"/>
        <v>1</v>
      </c>
      <c r="U228" s="33">
        <f t="shared" si="127"/>
        <v>0</v>
      </c>
      <c r="V228" s="33">
        <f t="shared" si="128"/>
        <v>-0.99999601894414336</v>
      </c>
      <c r="W228" s="33">
        <f t="shared" si="129"/>
        <v>412.97360398105587</v>
      </c>
      <c r="X228" s="33">
        <v>96485</v>
      </c>
      <c r="Y228" s="16">
        <f t="shared" si="130"/>
        <v>-233.63385688023698</v>
      </c>
      <c r="Z228" s="16">
        <v>8</v>
      </c>
      <c r="AA228" s="16">
        <v>15</v>
      </c>
      <c r="AB228" s="8">
        <f t="shared" si="131"/>
        <v>0.33684210526315789</v>
      </c>
      <c r="AC228" s="16">
        <f t="shared" si="117"/>
        <v>68.844969824162703</v>
      </c>
      <c r="AD228" s="20">
        <f>'PFAS Properties'!$W$33</f>
        <v>7</v>
      </c>
      <c r="AE228" s="8">
        <f>'PFAS Properties'!$S$33</f>
        <v>2.6821450763738319</v>
      </c>
      <c r="AF228" s="15">
        <f>'PFAS Properties'!$V$33</f>
        <v>4.9000000000000004</v>
      </c>
      <c r="AG228" s="24">
        <v>5.2</v>
      </c>
      <c r="AH228" s="2" t="s">
        <v>661</v>
      </c>
      <c r="AI228" s="15">
        <v>24.17</v>
      </c>
      <c r="AJ228" s="16">
        <f>AI228*1000/55.845</f>
        <v>432.80508550452146</v>
      </c>
      <c r="AK228" s="8">
        <f>AI228/10</f>
        <v>2.4170000000000003</v>
      </c>
      <c r="AL228" s="15">
        <v>3.99</v>
      </c>
      <c r="AM228" s="16">
        <f>AL228*1000/26.98</f>
        <v>147.88732394366198</v>
      </c>
      <c r="AN228" s="8">
        <f>AL228/10</f>
        <v>0.39900000000000002</v>
      </c>
      <c r="AO228" s="15" t="s">
        <v>41</v>
      </c>
      <c r="AP228" s="72">
        <v>12.009766666666669</v>
      </c>
      <c r="AQ228" s="70" t="s">
        <v>752</v>
      </c>
      <c r="AR228" s="16">
        <v>47</v>
      </c>
      <c r="AS228" s="16">
        <v>20</v>
      </c>
      <c r="AT228" s="16">
        <v>33</v>
      </c>
      <c r="AU228" s="16" t="s">
        <v>661</v>
      </c>
      <c r="AV228" s="16">
        <f t="shared" si="133"/>
        <v>100</v>
      </c>
      <c r="AW228" s="18">
        <v>0.8</v>
      </c>
      <c r="AX228" s="13">
        <f t="shared" si="134"/>
        <v>8.0000000000000002E-3</v>
      </c>
      <c r="AY228" s="13" t="s">
        <v>42</v>
      </c>
      <c r="AZ228" s="16">
        <f>15/0.04</f>
        <v>375</v>
      </c>
      <c r="BA228" s="16" t="s">
        <v>55</v>
      </c>
      <c r="BB228" s="15">
        <v>0.5</v>
      </c>
      <c r="BC228" s="16">
        <v>1000</v>
      </c>
      <c r="BD228" s="18">
        <v>0.64</v>
      </c>
      <c r="BE228" s="15">
        <f t="shared" si="124"/>
        <v>80</v>
      </c>
      <c r="BF228" s="8">
        <f t="shared" si="132"/>
        <v>1.9030899869919435</v>
      </c>
      <c r="BG228" s="8">
        <f t="shared" si="125"/>
        <v>-0.19382002601611281</v>
      </c>
      <c r="BH228" s="13" t="s">
        <v>844</v>
      </c>
      <c r="BI228" s="13"/>
      <c r="BJ228" s="13"/>
      <c r="BK228" s="8"/>
      <c r="BL228" s="8"/>
      <c r="BM228" s="18"/>
      <c r="BN228" s="8"/>
      <c r="BO228" s="24"/>
    </row>
    <row r="229" spans="1:67" s="14" customFormat="1" x14ac:dyDescent="0.3">
      <c r="A229" s="20">
        <v>227</v>
      </c>
      <c r="B229" s="2" t="s">
        <v>873</v>
      </c>
      <c r="C229" s="2">
        <v>2006</v>
      </c>
      <c r="D229" s="2" t="s">
        <v>203</v>
      </c>
      <c r="E229" s="10" t="s">
        <v>225</v>
      </c>
      <c r="F229" s="20" t="s">
        <v>63</v>
      </c>
      <c r="G229" s="2">
        <v>1</v>
      </c>
      <c r="H229" s="2" t="str">
        <f>'PFAS Properties'!$B$33</f>
        <v>PFOA</v>
      </c>
      <c r="I229" s="2" t="str">
        <f>'PFAS Properties'!$C$33</f>
        <v>PFCA</v>
      </c>
      <c r="J229" s="2" t="str">
        <f>'PFAS Properties'!$D$33</f>
        <v>C8HF15O2</v>
      </c>
      <c r="K229" s="25">
        <f>'PFAS Properties'!$P$33</f>
        <v>413.97359999999998</v>
      </c>
      <c r="L229" s="2">
        <f>'PFAS Properties'!$X$33</f>
        <v>-0.2</v>
      </c>
      <c r="M229" s="2" t="str">
        <f>'PFAS Properties'!$Y$33</f>
        <v>-</v>
      </c>
      <c r="N229" s="33">
        <v>0</v>
      </c>
      <c r="O229" s="33">
        <v>0</v>
      </c>
      <c r="P229" s="33">
        <v>0</v>
      </c>
      <c r="Q229" s="33">
        <f t="shared" si="120"/>
        <v>0.99999993690426958</v>
      </c>
      <c r="R229" s="33">
        <v>0</v>
      </c>
      <c r="S229" s="33">
        <f t="shared" si="121"/>
        <v>6.3095730466947729E-8</v>
      </c>
      <c r="T229" s="8">
        <f t="shared" si="126"/>
        <v>1</v>
      </c>
      <c r="U229" s="33">
        <f t="shared" si="127"/>
        <v>0</v>
      </c>
      <c r="V229" s="33">
        <f t="shared" si="128"/>
        <v>-0.99999993690426958</v>
      </c>
      <c r="W229" s="33">
        <f t="shared" si="129"/>
        <v>412.97360006309572</v>
      </c>
      <c r="X229" s="33">
        <v>96485</v>
      </c>
      <c r="Y229" s="16">
        <f t="shared" si="130"/>
        <v>-233.63477446855464</v>
      </c>
      <c r="Z229" s="16">
        <v>8</v>
      </c>
      <c r="AA229" s="16">
        <v>15</v>
      </c>
      <c r="AB229" s="8">
        <f t="shared" si="131"/>
        <v>0.33684210526315789</v>
      </c>
      <c r="AC229" s="16">
        <f t="shared" si="117"/>
        <v>68.844969824162703</v>
      </c>
      <c r="AD229" s="20">
        <f>'PFAS Properties'!$W$33</f>
        <v>7</v>
      </c>
      <c r="AE229" s="8">
        <f>'PFAS Properties'!$S$33</f>
        <v>2.6821450763738319</v>
      </c>
      <c r="AF229" s="15">
        <f>'PFAS Properties'!$V$33</f>
        <v>4.9000000000000004</v>
      </c>
      <c r="AG229" s="24">
        <v>7</v>
      </c>
      <c r="AH229" s="2" t="s">
        <v>661</v>
      </c>
      <c r="AI229" s="15">
        <f>334*55.85/1000</f>
        <v>18.6539</v>
      </c>
      <c r="AJ229" s="16">
        <f>AI229*1000/55.845</f>
        <v>334.0299041991226</v>
      </c>
      <c r="AK229" s="8">
        <f>AI229/10</f>
        <v>1.8653900000000001</v>
      </c>
      <c r="AL229" s="15">
        <f>41*26.98/1000</f>
        <v>1.1061800000000002</v>
      </c>
      <c r="AM229" s="16">
        <f>AL229*1000/26.98</f>
        <v>41</v>
      </c>
      <c r="AN229" s="8">
        <f>AL229/10</f>
        <v>0.11061800000000002</v>
      </c>
      <c r="AO229" s="15" t="s">
        <v>93</v>
      </c>
      <c r="AP229" s="15">
        <v>38.6</v>
      </c>
      <c r="AQ229" s="2" t="s">
        <v>661</v>
      </c>
      <c r="AR229" s="2">
        <v>11</v>
      </c>
      <c r="AS229" s="2">
        <v>36</v>
      </c>
      <c r="AT229" s="2">
        <v>53</v>
      </c>
      <c r="AU229" s="2" t="s">
        <v>661</v>
      </c>
      <c r="AV229" s="16">
        <f t="shared" si="123"/>
        <v>100</v>
      </c>
      <c r="AW229" s="18">
        <v>2.48</v>
      </c>
      <c r="AX229" s="13">
        <f t="shared" ref="AX229:AX257" si="135">AW229/100</f>
        <v>2.4799999999999999E-2</v>
      </c>
      <c r="AY229" s="13" t="s">
        <v>87</v>
      </c>
      <c r="AZ229" s="16">
        <f>5/0.05</f>
        <v>100</v>
      </c>
      <c r="BA229" s="16" t="s">
        <v>55</v>
      </c>
      <c r="BB229" s="15">
        <v>0.5</v>
      </c>
      <c r="BC229" s="16">
        <v>100</v>
      </c>
      <c r="BD229" s="18">
        <v>2.6</v>
      </c>
      <c r="BE229" s="15">
        <f t="shared" si="124"/>
        <v>104.83870967741936</v>
      </c>
      <c r="BF229" s="8">
        <f t="shared" si="132"/>
        <v>2.0205216671446018</v>
      </c>
      <c r="BG229" s="8">
        <f t="shared" si="125"/>
        <v>0.41497334797081797</v>
      </c>
      <c r="BH229" s="13" t="s">
        <v>844</v>
      </c>
      <c r="BI229" s="13"/>
      <c r="BJ229" s="13"/>
      <c r="BK229" s="8"/>
      <c r="BL229" s="8"/>
      <c r="BM229" s="18"/>
      <c r="BN229" s="8"/>
      <c r="BO229" s="24"/>
    </row>
    <row r="230" spans="1:67" s="14" customFormat="1" x14ac:dyDescent="0.3">
      <c r="A230" s="20">
        <v>228</v>
      </c>
      <c r="B230" s="2" t="s">
        <v>873</v>
      </c>
      <c r="C230" s="2">
        <v>2006</v>
      </c>
      <c r="D230" s="2" t="s">
        <v>203</v>
      </c>
      <c r="E230" s="10" t="s">
        <v>225</v>
      </c>
      <c r="F230" s="20" t="s">
        <v>63</v>
      </c>
      <c r="G230" s="2">
        <v>5</v>
      </c>
      <c r="H230" s="2" t="str">
        <f>'PFAS Properties'!$B$33</f>
        <v>PFOA</v>
      </c>
      <c r="I230" s="2" t="str">
        <f>'PFAS Properties'!$C$33</f>
        <v>PFCA</v>
      </c>
      <c r="J230" s="2" t="str">
        <f>'PFAS Properties'!$D$33</f>
        <v>C8HF15O2</v>
      </c>
      <c r="K230" s="25">
        <f>'PFAS Properties'!$P$33</f>
        <v>413.97359999999998</v>
      </c>
      <c r="L230" s="2">
        <f>'PFAS Properties'!$X$33</f>
        <v>-0.2</v>
      </c>
      <c r="M230" s="2" t="str">
        <f>'PFAS Properties'!$Y$33</f>
        <v>-</v>
      </c>
      <c r="N230" s="33">
        <v>0</v>
      </c>
      <c r="O230" s="33">
        <v>0</v>
      </c>
      <c r="P230" s="33">
        <v>0</v>
      </c>
      <c r="Q230" s="33">
        <f t="shared" si="120"/>
        <v>0.99999874107617315</v>
      </c>
      <c r="R230" s="33">
        <v>0</v>
      </c>
      <c r="S230" s="33">
        <f t="shared" si="121"/>
        <v>1.2589238269029671E-6</v>
      </c>
      <c r="T230" s="8">
        <f t="shared" si="126"/>
        <v>1</v>
      </c>
      <c r="U230" s="33">
        <f t="shared" si="127"/>
        <v>0</v>
      </c>
      <c r="V230" s="33">
        <f t="shared" si="128"/>
        <v>-0.99999874107617315</v>
      </c>
      <c r="W230" s="33">
        <f t="shared" si="129"/>
        <v>412.97360125892379</v>
      </c>
      <c r="X230" s="33">
        <v>96485</v>
      </c>
      <c r="Y230" s="16">
        <f t="shared" si="130"/>
        <v>-233.63449440498505</v>
      </c>
      <c r="Z230" s="16">
        <v>8</v>
      </c>
      <c r="AA230" s="16">
        <v>15</v>
      </c>
      <c r="AB230" s="8">
        <f t="shared" si="131"/>
        <v>0.33684210526315789</v>
      </c>
      <c r="AC230" s="16">
        <f t="shared" si="117"/>
        <v>68.844969824162703</v>
      </c>
      <c r="AD230" s="20">
        <f>'PFAS Properties'!$W$33</f>
        <v>7</v>
      </c>
      <c r="AE230" s="8">
        <f>'PFAS Properties'!$S$33</f>
        <v>2.6821450763738319</v>
      </c>
      <c r="AF230" s="15">
        <f>'PFAS Properties'!$V$33</f>
        <v>4.9000000000000004</v>
      </c>
      <c r="AG230" s="24">
        <v>5.7</v>
      </c>
      <c r="AH230" s="2" t="s">
        <v>661</v>
      </c>
      <c r="AI230" s="15">
        <f>268*55.85/1000</f>
        <v>14.9678</v>
      </c>
      <c r="AJ230" s="16">
        <f>AI230*1000/55.845</f>
        <v>268.02399498612232</v>
      </c>
      <c r="AK230" s="8">
        <f>AI230/10</f>
        <v>1.49678</v>
      </c>
      <c r="AL230" s="15">
        <f>90*26.98/1000</f>
        <v>2.4281999999999999</v>
      </c>
      <c r="AM230" s="16">
        <f>AL230*1000/26.98</f>
        <v>89.999999999999986</v>
      </c>
      <c r="AN230" s="8">
        <f>AL230/10</f>
        <v>0.24281999999999998</v>
      </c>
      <c r="AO230" s="15" t="s">
        <v>93</v>
      </c>
      <c r="AP230" s="15">
        <v>22.2</v>
      </c>
      <c r="AQ230" s="2" t="s">
        <v>661</v>
      </c>
      <c r="AR230" s="2">
        <v>80</v>
      </c>
      <c r="AS230" s="2">
        <v>15</v>
      </c>
      <c r="AT230" s="2">
        <v>5</v>
      </c>
      <c r="AU230" s="2" t="s">
        <v>661</v>
      </c>
      <c r="AV230" s="16">
        <f t="shared" si="123"/>
        <v>100</v>
      </c>
      <c r="AW230" s="18">
        <v>9.66</v>
      </c>
      <c r="AX230" s="13">
        <f t="shared" si="135"/>
        <v>9.6600000000000005E-2</v>
      </c>
      <c r="AY230" s="13" t="s">
        <v>87</v>
      </c>
      <c r="AZ230" s="16">
        <f>5/0.05</f>
        <v>100</v>
      </c>
      <c r="BA230" s="16" t="s">
        <v>55</v>
      </c>
      <c r="BB230" s="15">
        <v>0.5</v>
      </c>
      <c r="BC230" s="16">
        <v>100</v>
      </c>
      <c r="BD230" s="18">
        <v>11.93</v>
      </c>
      <c r="BE230" s="15">
        <f t="shared" si="124"/>
        <v>123.49896480331262</v>
      </c>
      <c r="BF230" s="8">
        <f t="shared" si="132"/>
        <v>2.0916633172548487</v>
      </c>
      <c r="BG230" s="8">
        <f t="shared" si="125"/>
        <v>1.0766404436703418</v>
      </c>
      <c r="BH230" s="13" t="s">
        <v>844</v>
      </c>
      <c r="BI230" s="13"/>
      <c r="BJ230" s="13"/>
      <c r="BK230" s="8"/>
      <c r="BL230" s="8"/>
      <c r="BM230" s="18"/>
      <c r="BN230" s="8"/>
      <c r="BO230" s="24"/>
    </row>
    <row r="231" spans="1:67" s="2" customFormat="1" x14ac:dyDescent="0.3">
      <c r="A231" s="20">
        <v>229</v>
      </c>
      <c r="B231" s="2" t="s">
        <v>720</v>
      </c>
      <c r="C231" s="2">
        <v>2019</v>
      </c>
      <c r="D231" s="2" t="s">
        <v>201</v>
      </c>
      <c r="E231" s="10" t="s">
        <v>797</v>
      </c>
      <c r="F231" s="20" t="s">
        <v>29</v>
      </c>
      <c r="G231" s="2" t="s">
        <v>713</v>
      </c>
      <c r="H231" s="2" t="str">
        <f>'PFAS Properties'!$B$33</f>
        <v>PFOA</v>
      </c>
      <c r="I231" s="2" t="str">
        <f>'PFAS Properties'!$C$33</f>
        <v>PFCA</v>
      </c>
      <c r="J231" s="2" t="str">
        <f>'PFAS Properties'!$D$33</f>
        <v>C8HF15O2</v>
      </c>
      <c r="K231" s="25">
        <f>'PFAS Properties'!$P$33</f>
        <v>413.97359999999998</v>
      </c>
      <c r="L231" s="2">
        <f>'PFAS Properties'!$X$33</f>
        <v>-0.2</v>
      </c>
      <c r="M231" s="2" t="str">
        <f>'PFAS Properties'!$Y$33</f>
        <v>-</v>
      </c>
      <c r="N231" s="33">
        <v>0</v>
      </c>
      <c r="O231" s="33">
        <v>0</v>
      </c>
      <c r="P231" s="33">
        <v>0</v>
      </c>
      <c r="Q231" s="33">
        <f t="shared" si="120"/>
        <v>0.9999984511857799</v>
      </c>
      <c r="R231" s="33">
        <v>0</v>
      </c>
      <c r="S231" s="33">
        <f t="shared" si="121"/>
        <v>1.5488142200832729E-6</v>
      </c>
      <c r="T231" s="8">
        <f t="shared" si="126"/>
        <v>1</v>
      </c>
      <c r="U231" s="33">
        <f t="shared" si="127"/>
        <v>0</v>
      </c>
      <c r="V231" s="33">
        <f t="shared" si="128"/>
        <v>-0.9999984511857799</v>
      </c>
      <c r="W231" s="33">
        <f t="shared" si="129"/>
        <v>412.97360154881414</v>
      </c>
      <c r="X231" s="33">
        <v>96485</v>
      </c>
      <c r="Y231" s="16">
        <f t="shared" si="130"/>
        <v>-233.63442651250267</v>
      </c>
      <c r="Z231" s="16">
        <v>8</v>
      </c>
      <c r="AA231" s="16">
        <v>15</v>
      </c>
      <c r="AB231" s="8">
        <f t="shared" si="131"/>
        <v>0.33684210526315789</v>
      </c>
      <c r="AC231" s="16">
        <f t="shared" si="117"/>
        <v>68.844969824162703</v>
      </c>
      <c r="AD231" s="20">
        <f>'PFAS Properties'!$W$33</f>
        <v>7</v>
      </c>
      <c r="AE231" s="8">
        <f>'PFAS Properties'!$S$33</f>
        <v>2.6821450763738319</v>
      </c>
      <c r="AF231" s="15">
        <f>'PFAS Properties'!$V$33</f>
        <v>4.9000000000000004</v>
      </c>
      <c r="AG231" s="24">
        <v>5.61</v>
      </c>
      <c r="AH231" s="2" t="s">
        <v>652</v>
      </c>
      <c r="AI231" s="15">
        <f>9.1*2*55.845/159.69</f>
        <v>6.3647003569415741</v>
      </c>
      <c r="AJ231" s="16">
        <f t="shared" ref="AJ231:AJ236" si="136">AI231*1000/55.845</f>
        <v>113.97081846076773</v>
      </c>
      <c r="AK231" s="15">
        <f t="shared" ref="AK231:AK236" si="137">AI231/10</f>
        <v>0.63647003569415739</v>
      </c>
      <c r="AL231" s="15">
        <f>22.3*2*26.98/101.96</f>
        <v>11.801765398195371</v>
      </c>
      <c r="AM231" s="16">
        <f>AL231*1000/26.98</f>
        <v>437.42644174185961</v>
      </c>
      <c r="AN231" s="15">
        <f t="shared" ref="AN231:AN236" si="138">AL231/10</f>
        <v>1.1801765398195372</v>
      </c>
      <c r="AO231" s="15" t="s">
        <v>41</v>
      </c>
      <c r="AP231" s="15">
        <v>11</v>
      </c>
      <c r="AQ231" s="2" t="s">
        <v>652</v>
      </c>
      <c r="AR231" s="2">
        <v>40.700000000000003</v>
      </c>
      <c r="AS231" s="2">
        <v>23.3</v>
      </c>
      <c r="AT231" s="2">
        <v>36</v>
      </c>
      <c r="AU231" s="2" t="s">
        <v>652</v>
      </c>
      <c r="AV231" s="16">
        <f t="shared" ref="AV231:AV236" si="139">SUM(AR231:AT231)</f>
        <v>100</v>
      </c>
      <c r="AW231" s="18">
        <v>3.82</v>
      </c>
      <c r="AX231" s="13">
        <f t="shared" si="135"/>
        <v>3.8199999999999998E-2</v>
      </c>
      <c r="AY231" s="16" t="s">
        <v>750</v>
      </c>
      <c r="AZ231" s="16">
        <f t="shared" ref="AZ231:AZ236" si="140">5/0.04</f>
        <v>125</v>
      </c>
      <c r="BA231" s="16" t="s">
        <v>55</v>
      </c>
      <c r="BB231" s="16">
        <f t="shared" ref="BB231:BB236" si="141">50*K231/1000</f>
        <v>20.69868</v>
      </c>
      <c r="BC231" s="16">
        <f t="shared" ref="BC231:BC236" si="142">1000*K231/1000</f>
        <v>413.97359999999998</v>
      </c>
      <c r="BD231" s="18">
        <f t="shared" ref="BD231:BD236" si="143">BO231</f>
        <v>2.6320763040501265</v>
      </c>
      <c r="BE231" s="16">
        <f t="shared" ref="BE231:BE236" si="144">BD231/AX231</f>
        <v>68.902521048432632</v>
      </c>
      <c r="BF231" s="16">
        <f t="shared" si="132"/>
        <v>1.8382351124358207</v>
      </c>
      <c r="BG231" s="8">
        <f t="shared" ref="BG231:BG236" si="145">LOG(BD231)</f>
        <v>0.42029847534752945</v>
      </c>
      <c r="BH231" s="13" t="s">
        <v>782</v>
      </c>
      <c r="BI231" s="16">
        <f>10^1.8281</f>
        <v>67.313163272762523</v>
      </c>
      <c r="BJ231" s="16" t="s">
        <v>329</v>
      </c>
      <c r="BK231" s="8">
        <v>0.5504</v>
      </c>
      <c r="BL231" s="16">
        <f t="shared" ref="BL231:BL236" si="146">(BI231*K231/1000)/(BI231*(K231^BK231)/1000)</f>
        <v>15.017266975719876</v>
      </c>
      <c r="BM231" s="25">
        <f>'PFAS Properties'!$U$33</f>
        <v>48.1</v>
      </c>
      <c r="BN231" s="16">
        <f t="shared" ref="BN231:BN236" si="147">(BL231*(BM231^BK231))</f>
        <v>126.60287022481108</v>
      </c>
      <c r="BO231" s="24">
        <f t="shared" ref="BO231:BO236" si="148">BN231/BM231</f>
        <v>2.6320763040501265</v>
      </c>
    </row>
    <row r="232" spans="1:67" s="14" customFormat="1" x14ac:dyDescent="0.3">
      <c r="A232" s="20">
        <v>230</v>
      </c>
      <c r="B232" s="2" t="s">
        <v>720</v>
      </c>
      <c r="C232" s="2">
        <v>2019</v>
      </c>
      <c r="D232" s="2" t="s">
        <v>201</v>
      </c>
      <c r="E232" s="10" t="s">
        <v>797</v>
      </c>
      <c r="F232" s="20" t="s">
        <v>29</v>
      </c>
      <c r="G232" s="2" t="s">
        <v>714</v>
      </c>
      <c r="H232" s="2" t="str">
        <f>'PFAS Properties'!$B$33</f>
        <v>PFOA</v>
      </c>
      <c r="I232" s="2" t="str">
        <f>'PFAS Properties'!$C$33</f>
        <v>PFCA</v>
      </c>
      <c r="J232" s="2" t="str">
        <f>'PFAS Properties'!$D$33</f>
        <v>C8HF15O2</v>
      </c>
      <c r="K232" s="25">
        <f>'PFAS Properties'!$P$33</f>
        <v>413.97359999999998</v>
      </c>
      <c r="L232" s="2">
        <f>'PFAS Properties'!$X$33</f>
        <v>-0.2</v>
      </c>
      <c r="M232" s="2" t="str">
        <f>'PFAS Properties'!$Y$33</f>
        <v>-</v>
      </c>
      <c r="N232" s="33">
        <v>0</v>
      </c>
      <c r="O232" s="33">
        <v>0</v>
      </c>
      <c r="P232" s="33">
        <v>0</v>
      </c>
      <c r="Q232" s="33">
        <f t="shared" si="120"/>
        <v>0.99997048877867123</v>
      </c>
      <c r="R232" s="33">
        <v>0</v>
      </c>
      <c r="S232" s="33">
        <f t="shared" si="121"/>
        <v>2.9511221328777069E-5</v>
      </c>
      <c r="T232" s="8">
        <f t="shared" si="126"/>
        <v>1</v>
      </c>
      <c r="U232" s="33">
        <f t="shared" si="127"/>
        <v>0</v>
      </c>
      <c r="V232" s="33">
        <f t="shared" si="128"/>
        <v>-0.99997048877867123</v>
      </c>
      <c r="W232" s="33">
        <f t="shared" si="129"/>
        <v>412.9736295112213</v>
      </c>
      <c r="X232" s="33">
        <v>96485</v>
      </c>
      <c r="Y232" s="16">
        <f t="shared" si="130"/>
        <v>-233.62787770251197</v>
      </c>
      <c r="Z232" s="16">
        <v>8</v>
      </c>
      <c r="AA232" s="16">
        <v>15</v>
      </c>
      <c r="AB232" s="8">
        <f t="shared" si="131"/>
        <v>0.33684210526315789</v>
      </c>
      <c r="AC232" s="16">
        <f t="shared" si="117"/>
        <v>68.844969824162703</v>
      </c>
      <c r="AD232" s="20">
        <f>'PFAS Properties'!$W$33</f>
        <v>7</v>
      </c>
      <c r="AE232" s="8">
        <f>'PFAS Properties'!$S$33</f>
        <v>2.6821450763738319</v>
      </c>
      <c r="AF232" s="15">
        <f>'PFAS Properties'!$V$33</f>
        <v>4.9000000000000004</v>
      </c>
      <c r="AG232" s="24">
        <v>4.33</v>
      </c>
      <c r="AH232" s="2" t="s">
        <v>652</v>
      </c>
      <c r="AI232" s="15">
        <f>4.25*2*55.845/159.69</f>
        <v>2.9725248919782077</v>
      </c>
      <c r="AJ232" s="16">
        <f t="shared" si="136"/>
        <v>53.228129500908004</v>
      </c>
      <c r="AK232" s="15">
        <f t="shared" si="137"/>
        <v>0.29725248919782077</v>
      </c>
      <c r="AL232" s="15">
        <f>4.49*2*26.98/101.96</f>
        <v>2.3762298940761086</v>
      </c>
      <c r="AM232" s="16">
        <f t="shared" ref="AM232:AM236" si="149">AL232*1000/26.98</f>
        <v>88.073754413495507</v>
      </c>
      <c r="AN232" s="15">
        <f t="shared" si="138"/>
        <v>0.23762298940761087</v>
      </c>
      <c r="AO232" s="15" t="s">
        <v>41</v>
      </c>
      <c r="AP232" s="15">
        <v>19</v>
      </c>
      <c r="AQ232" s="2" t="s">
        <v>652</v>
      </c>
      <c r="AR232" s="2">
        <v>46.7</v>
      </c>
      <c r="AS232" s="2">
        <v>50</v>
      </c>
      <c r="AT232" s="2">
        <v>3.3</v>
      </c>
      <c r="AU232" s="2" t="s">
        <v>652</v>
      </c>
      <c r="AV232" s="16">
        <f t="shared" si="139"/>
        <v>100</v>
      </c>
      <c r="AW232" s="18">
        <v>0.52</v>
      </c>
      <c r="AX232" s="13">
        <f t="shared" si="135"/>
        <v>5.1999999999999998E-3</v>
      </c>
      <c r="AY232" s="16" t="s">
        <v>750</v>
      </c>
      <c r="AZ232" s="16">
        <f t="shared" si="140"/>
        <v>125</v>
      </c>
      <c r="BA232" s="16" t="s">
        <v>55</v>
      </c>
      <c r="BB232" s="16">
        <f t="shared" si="141"/>
        <v>20.69868</v>
      </c>
      <c r="BC232" s="16">
        <f t="shared" si="142"/>
        <v>413.97359999999998</v>
      </c>
      <c r="BD232" s="18">
        <f t="shared" si="143"/>
        <v>2.3146709943277841</v>
      </c>
      <c r="BE232" s="16">
        <f t="shared" si="144"/>
        <v>445.12903737072776</v>
      </c>
      <c r="BF232" s="16">
        <f t="shared" si="132"/>
        <v>2.6484859258002582</v>
      </c>
      <c r="BG232" s="8">
        <f t="shared" si="145"/>
        <v>0.36448926943505727</v>
      </c>
      <c r="BH232" s="13" t="s">
        <v>782</v>
      </c>
      <c r="BI232" s="16">
        <f>10^1.5785</f>
        <v>37.887853374843722</v>
      </c>
      <c r="BJ232" s="16" t="s">
        <v>329</v>
      </c>
      <c r="BK232" s="8">
        <v>0.61009999999999998</v>
      </c>
      <c r="BL232" s="16">
        <f t="shared" si="146"/>
        <v>10.479911971727654</v>
      </c>
      <c r="BM232" s="25">
        <f>'PFAS Properties'!$U$33</f>
        <v>48.1</v>
      </c>
      <c r="BN232" s="16">
        <f t="shared" si="147"/>
        <v>111.33567482716643</v>
      </c>
      <c r="BO232" s="24">
        <f t="shared" si="148"/>
        <v>2.3146709943277841</v>
      </c>
    </row>
    <row r="233" spans="1:67" s="14" customFormat="1" x14ac:dyDescent="0.3">
      <c r="A233" s="20">
        <v>231</v>
      </c>
      <c r="B233" s="2" t="s">
        <v>720</v>
      </c>
      <c r="C233" s="2">
        <v>2019</v>
      </c>
      <c r="D233" s="2" t="s">
        <v>201</v>
      </c>
      <c r="E233" s="10" t="s">
        <v>797</v>
      </c>
      <c r="F233" s="20" t="s">
        <v>29</v>
      </c>
      <c r="G233" s="2" t="s">
        <v>715</v>
      </c>
      <c r="H233" s="2" t="str">
        <f>'PFAS Properties'!$B$33</f>
        <v>PFOA</v>
      </c>
      <c r="I233" s="2" t="str">
        <f>'PFAS Properties'!$C$33</f>
        <v>PFCA</v>
      </c>
      <c r="J233" s="2" t="str">
        <f>'PFAS Properties'!$D$33</f>
        <v>C8HF15O2</v>
      </c>
      <c r="K233" s="25">
        <f>'PFAS Properties'!$P$33</f>
        <v>413.97359999999998</v>
      </c>
      <c r="L233" s="2">
        <f>'PFAS Properties'!$X$33</f>
        <v>-0.2</v>
      </c>
      <c r="M233" s="2" t="str">
        <f>'PFAS Properties'!$Y$33</f>
        <v>-</v>
      </c>
      <c r="N233" s="33">
        <v>0</v>
      </c>
      <c r="O233" s="33">
        <v>0</v>
      </c>
      <c r="P233" s="33">
        <v>0</v>
      </c>
      <c r="Q233" s="33">
        <f t="shared" si="120"/>
        <v>0.99986512190629506</v>
      </c>
      <c r="R233" s="33">
        <v>0</v>
      </c>
      <c r="S233" s="33">
        <f t="shared" si="121"/>
        <v>1.3487809370495705E-4</v>
      </c>
      <c r="T233" s="8">
        <f t="shared" si="126"/>
        <v>1</v>
      </c>
      <c r="U233" s="33">
        <f t="shared" si="127"/>
        <v>0</v>
      </c>
      <c r="V233" s="33">
        <f t="shared" si="128"/>
        <v>-0.99986512190629506</v>
      </c>
      <c r="W233" s="33">
        <f t="shared" si="129"/>
        <v>412.97373487809369</v>
      </c>
      <c r="X233" s="33">
        <v>96485</v>
      </c>
      <c r="Y233" s="16">
        <f t="shared" si="130"/>
        <v>-233.60320073528788</v>
      </c>
      <c r="Z233" s="16">
        <v>8</v>
      </c>
      <c r="AA233" s="16">
        <v>15</v>
      </c>
      <c r="AB233" s="8">
        <f t="shared" si="131"/>
        <v>0.33684210526315789</v>
      </c>
      <c r="AC233" s="16">
        <f t="shared" si="117"/>
        <v>68.844969824162703</v>
      </c>
      <c r="AD233" s="20">
        <f>'PFAS Properties'!$W$33</f>
        <v>7</v>
      </c>
      <c r="AE233" s="8">
        <f>'PFAS Properties'!$S$33</f>
        <v>2.6821450763738319</v>
      </c>
      <c r="AF233" s="15">
        <f>'PFAS Properties'!$V$33</f>
        <v>4.9000000000000004</v>
      </c>
      <c r="AG233" s="24">
        <v>3.67</v>
      </c>
      <c r="AH233" s="2" t="s">
        <v>652</v>
      </c>
      <c r="AI233" s="15">
        <f>1.51*2*55.845/159.69</f>
        <v>1.056120608679316</v>
      </c>
      <c r="AJ233" s="16">
        <f t="shared" si="136"/>
        <v>18.911641305028493</v>
      </c>
      <c r="AK233" s="15">
        <f t="shared" si="137"/>
        <v>0.1056120608679316</v>
      </c>
      <c r="AL233" s="15">
        <f>1.01*2*26.98/101.96</f>
        <v>0.53451941938014913</v>
      </c>
      <c r="AM233" s="16">
        <f t="shared" si="149"/>
        <v>19.811690859160453</v>
      </c>
      <c r="AN233" s="15">
        <f t="shared" si="138"/>
        <v>5.3451941938014912E-2</v>
      </c>
      <c r="AO233" s="15" t="s">
        <v>41</v>
      </c>
      <c r="AP233" s="15">
        <v>6.57</v>
      </c>
      <c r="AQ233" s="2" t="s">
        <v>652</v>
      </c>
      <c r="AR233" s="2">
        <v>59.3</v>
      </c>
      <c r="AS233" s="2">
        <v>21.3</v>
      </c>
      <c r="AT233" s="2">
        <v>19.399999999999999</v>
      </c>
      <c r="AU233" s="2" t="s">
        <v>652</v>
      </c>
      <c r="AV233" s="16">
        <f t="shared" si="139"/>
        <v>100</v>
      </c>
      <c r="AW233" s="18">
        <v>0.25800000000000001</v>
      </c>
      <c r="AX233" s="13">
        <f t="shared" si="135"/>
        <v>2.5800000000000003E-3</v>
      </c>
      <c r="AY233" s="16" t="s">
        <v>750</v>
      </c>
      <c r="AZ233" s="16">
        <f t="shared" si="140"/>
        <v>125</v>
      </c>
      <c r="BA233" s="16" t="s">
        <v>55</v>
      </c>
      <c r="BB233" s="16">
        <f t="shared" si="141"/>
        <v>20.69868</v>
      </c>
      <c r="BC233" s="16">
        <f t="shared" si="142"/>
        <v>413.97359999999998</v>
      </c>
      <c r="BD233" s="18">
        <f t="shared" si="143"/>
        <v>1.8927048354968559</v>
      </c>
      <c r="BE233" s="16">
        <f t="shared" si="144"/>
        <v>733.60652538637817</v>
      </c>
      <c r="BF233" s="16">
        <f t="shared" si="132"/>
        <v>2.8654631857027124</v>
      </c>
      <c r="BG233" s="8">
        <f t="shared" si="145"/>
        <v>0.27708289166594247</v>
      </c>
      <c r="BH233" s="13" t="s">
        <v>782</v>
      </c>
      <c r="BI233" s="16">
        <f>10^1.0948</f>
        <v>12.439416235583078</v>
      </c>
      <c r="BJ233" s="16" t="s">
        <v>329</v>
      </c>
      <c r="BK233" s="8">
        <v>0.7036</v>
      </c>
      <c r="BL233" s="16">
        <f t="shared" si="146"/>
        <v>5.9658275079952503</v>
      </c>
      <c r="BM233" s="25">
        <f>'PFAS Properties'!$U$33</f>
        <v>48.1</v>
      </c>
      <c r="BN233" s="16">
        <f t="shared" si="147"/>
        <v>91.039102587398773</v>
      </c>
      <c r="BO233" s="24">
        <f t="shared" si="148"/>
        <v>1.8927048354968559</v>
      </c>
    </row>
    <row r="234" spans="1:67" s="14" customFormat="1" x14ac:dyDescent="0.3">
      <c r="A234" s="20">
        <v>232</v>
      </c>
      <c r="B234" s="2" t="s">
        <v>720</v>
      </c>
      <c r="C234" s="2">
        <v>2019</v>
      </c>
      <c r="D234" s="2" t="s">
        <v>201</v>
      </c>
      <c r="E234" s="10" t="s">
        <v>797</v>
      </c>
      <c r="F234" s="20" t="s">
        <v>29</v>
      </c>
      <c r="G234" s="2" t="s">
        <v>716</v>
      </c>
      <c r="H234" s="2" t="str">
        <f>'PFAS Properties'!$B$33</f>
        <v>PFOA</v>
      </c>
      <c r="I234" s="2" t="str">
        <f>'PFAS Properties'!$C$33</f>
        <v>PFCA</v>
      </c>
      <c r="J234" s="2" t="str">
        <f>'PFAS Properties'!$D$33</f>
        <v>C8HF15O2</v>
      </c>
      <c r="K234" s="25">
        <f>'PFAS Properties'!$P$33</f>
        <v>413.97359999999998</v>
      </c>
      <c r="L234" s="2">
        <f>'PFAS Properties'!$X$33</f>
        <v>-0.2</v>
      </c>
      <c r="M234" s="2" t="str">
        <f>'PFAS Properties'!$Y$33</f>
        <v>-</v>
      </c>
      <c r="N234" s="33">
        <v>0</v>
      </c>
      <c r="O234" s="33">
        <v>0</v>
      </c>
      <c r="P234" s="33">
        <v>0</v>
      </c>
      <c r="Q234" s="33">
        <f t="shared" si="120"/>
        <v>0.99998554581121912</v>
      </c>
      <c r="R234" s="33">
        <v>0</v>
      </c>
      <c r="S234" s="33">
        <f t="shared" si="121"/>
        <v>1.4454188780866098E-5</v>
      </c>
      <c r="T234" s="8">
        <f t="shared" si="126"/>
        <v>1</v>
      </c>
      <c r="U234" s="33">
        <f t="shared" si="127"/>
        <v>0</v>
      </c>
      <c r="V234" s="33">
        <f t="shared" si="128"/>
        <v>-0.99998554581121912</v>
      </c>
      <c r="W234" s="33">
        <f t="shared" si="129"/>
        <v>412.97361445418875</v>
      </c>
      <c r="X234" s="33">
        <v>96485</v>
      </c>
      <c r="Y234" s="16">
        <f t="shared" si="130"/>
        <v>-233.63140406709547</v>
      </c>
      <c r="Z234" s="16">
        <v>8</v>
      </c>
      <c r="AA234" s="16">
        <v>15</v>
      </c>
      <c r="AB234" s="8">
        <f t="shared" si="131"/>
        <v>0.33684210526315789</v>
      </c>
      <c r="AC234" s="16">
        <f t="shared" si="117"/>
        <v>68.844969824162703</v>
      </c>
      <c r="AD234" s="20">
        <f>'PFAS Properties'!$W$33</f>
        <v>7</v>
      </c>
      <c r="AE234" s="8">
        <f>'PFAS Properties'!$S$33</f>
        <v>2.6821450763738319</v>
      </c>
      <c r="AF234" s="15">
        <f>'PFAS Properties'!$V$33</f>
        <v>4.9000000000000004</v>
      </c>
      <c r="AG234" s="24">
        <v>4.6399999999999997</v>
      </c>
      <c r="AH234" s="2" t="s">
        <v>652</v>
      </c>
      <c r="AI234" s="15">
        <f>6.69*2*55.845/159.69</f>
        <v>4.6791038887845202</v>
      </c>
      <c r="AJ234" s="16">
        <f t="shared" si="136"/>
        <v>83.787337967311657</v>
      </c>
      <c r="AK234" s="15">
        <f t="shared" si="137"/>
        <v>0.46791038887845204</v>
      </c>
      <c r="AL234" s="15">
        <f>14.7*2*26.98/101.96</f>
        <v>7.7796390741467247</v>
      </c>
      <c r="AM234" s="16">
        <f t="shared" si="149"/>
        <v>288.34837191055317</v>
      </c>
      <c r="AN234" s="15">
        <f t="shared" si="138"/>
        <v>0.77796390741467247</v>
      </c>
      <c r="AO234" s="15" t="s">
        <v>41</v>
      </c>
      <c r="AP234" s="15">
        <v>19.600000000000001</v>
      </c>
      <c r="AQ234" s="2" t="s">
        <v>652</v>
      </c>
      <c r="AR234" s="2">
        <v>42</v>
      </c>
      <c r="AS234" s="2">
        <v>36.700000000000003</v>
      </c>
      <c r="AT234" s="2">
        <v>21.3</v>
      </c>
      <c r="AU234" s="2" t="s">
        <v>652</v>
      </c>
      <c r="AV234" s="16">
        <f t="shared" si="139"/>
        <v>100</v>
      </c>
      <c r="AW234" s="18">
        <v>0.92800000000000005</v>
      </c>
      <c r="AX234" s="13">
        <f t="shared" si="135"/>
        <v>9.2800000000000001E-3</v>
      </c>
      <c r="AY234" s="16" t="s">
        <v>750</v>
      </c>
      <c r="AZ234" s="16">
        <f t="shared" si="140"/>
        <v>125</v>
      </c>
      <c r="BA234" s="16" t="s">
        <v>55</v>
      </c>
      <c r="BB234" s="16">
        <f t="shared" si="141"/>
        <v>20.69868</v>
      </c>
      <c r="BC234" s="16">
        <f t="shared" si="142"/>
        <v>413.97359999999998</v>
      </c>
      <c r="BD234" s="18">
        <f t="shared" si="143"/>
        <v>2.4071498742100945</v>
      </c>
      <c r="BE234" s="16">
        <f t="shared" si="144"/>
        <v>259.39115023815674</v>
      </c>
      <c r="BF234" s="16">
        <f t="shared" si="132"/>
        <v>2.4139551549851568</v>
      </c>
      <c r="BG234" s="8">
        <f t="shared" si="145"/>
        <v>0.38150313120401869</v>
      </c>
      <c r="BH234" s="13" t="s">
        <v>782</v>
      </c>
      <c r="BI234" s="16">
        <f>10^1.6327</f>
        <v>42.923981597047103</v>
      </c>
      <c r="BJ234" s="16" t="s">
        <v>329</v>
      </c>
      <c r="BK234" s="8">
        <v>0.59189999999999998</v>
      </c>
      <c r="BL234" s="16">
        <f t="shared" si="146"/>
        <v>11.694631371037</v>
      </c>
      <c r="BM234" s="25">
        <f>'PFAS Properties'!$U$33</f>
        <v>48.1</v>
      </c>
      <c r="BN234" s="16">
        <f t="shared" si="147"/>
        <v>115.78390894950556</v>
      </c>
      <c r="BO234" s="24">
        <f t="shared" si="148"/>
        <v>2.4071498742100945</v>
      </c>
    </row>
    <row r="235" spans="1:67" s="14" customFormat="1" x14ac:dyDescent="0.3">
      <c r="A235" s="20">
        <v>233</v>
      </c>
      <c r="B235" s="2" t="s">
        <v>720</v>
      </c>
      <c r="C235" s="2">
        <v>2019</v>
      </c>
      <c r="D235" s="2" t="s">
        <v>201</v>
      </c>
      <c r="E235" s="10" t="s">
        <v>797</v>
      </c>
      <c r="F235" s="20" t="s">
        <v>29</v>
      </c>
      <c r="G235" s="2" t="s">
        <v>717</v>
      </c>
      <c r="H235" s="2" t="str">
        <f>'PFAS Properties'!$B$33</f>
        <v>PFOA</v>
      </c>
      <c r="I235" s="2" t="str">
        <f>'PFAS Properties'!$C$33</f>
        <v>PFCA</v>
      </c>
      <c r="J235" s="2" t="str">
        <f>'PFAS Properties'!$D$33</f>
        <v>C8HF15O2</v>
      </c>
      <c r="K235" s="25">
        <f>'PFAS Properties'!$P$33</f>
        <v>413.97359999999998</v>
      </c>
      <c r="L235" s="2">
        <f>'PFAS Properties'!$X$33</f>
        <v>-0.2</v>
      </c>
      <c r="M235" s="2" t="str">
        <f>'PFAS Properties'!$Y$33</f>
        <v>-</v>
      </c>
      <c r="N235" s="33">
        <v>0</v>
      </c>
      <c r="O235" s="33">
        <v>0</v>
      </c>
      <c r="P235" s="33">
        <v>0</v>
      </c>
      <c r="Q235" s="33">
        <f t="shared" si="120"/>
        <v>0.99995533363595812</v>
      </c>
      <c r="R235" s="33">
        <v>0</v>
      </c>
      <c r="S235" s="33">
        <f t="shared" si="121"/>
        <v>4.4666364041902332E-5</v>
      </c>
      <c r="T235" s="8">
        <f t="shared" si="126"/>
        <v>1</v>
      </c>
      <c r="U235" s="33">
        <f t="shared" si="127"/>
        <v>0</v>
      </c>
      <c r="V235" s="33">
        <f t="shared" si="128"/>
        <v>-0.99995533363595812</v>
      </c>
      <c r="W235" s="33">
        <f t="shared" si="129"/>
        <v>412.97364466636401</v>
      </c>
      <c r="X235" s="33">
        <v>96485</v>
      </c>
      <c r="Y235" s="16">
        <f t="shared" si="130"/>
        <v>-233.62432836073813</v>
      </c>
      <c r="Z235" s="16">
        <v>8</v>
      </c>
      <c r="AA235" s="16">
        <v>15</v>
      </c>
      <c r="AB235" s="8">
        <f t="shared" si="131"/>
        <v>0.33684210526315789</v>
      </c>
      <c r="AC235" s="16">
        <f t="shared" si="117"/>
        <v>68.844969824162703</v>
      </c>
      <c r="AD235" s="20">
        <f>'PFAS Properties'!$W$33</f>
        <v>7</v>
      </c>
      <c r="AE235" s="8">
        <f>'PFAS Properties'!$S$33</f>
        <v>2.6821450763738319</v>
      </c>
      <c r="AF235" s="15">
        <f>'PFAS Properties'!$V$33</f>
        <v>4.9000000000000004</v>
      </c>
      <c r="AG235" s="24">
        <v>4.1500000000000004</v>
      </c>
      <c r="AH235" s="2" t="s">
        <v>652</v>
      </c>
      <c r="AI235" s="15">
        <f>5.68*2*55.845/159.69</f>
        <v>3.9726920909261692</v>
      </c>
      <c r="AJ235" s="16">
        <f t="shared" si="136"/>
        <v>71.137829544742928</v>
      </c>
      <c r="AK235" s="15">
        <f t="shared" si="137"/>
        <v>0.39726920909261693</v>
      </c>
      <c r="AL235" s="15">
        <f>9.78*2*26.98/101.96</f>
        <v>5.1758415064731267</v>
      </c>
      <c r="AM235" s="16">
        <f t="shared" si="149"/>
        <v>191.83993723028641</v>
      </c>
      <c r="AN235" s="15">
        <f t="shared" si="138"/>
        <v>0.51758415064731267</v>
      </c>
      <c r="AO235" s="15" t="s">
        <v>41</v>
      </c>
      <c r="AP235" s="15">
        <v>9.76</v>
      </c>
      <c r="AQ235" s="2" t="s">
        <v>652</v>
      </c>
      <c r="AR235" s="2">
        <v>49.3</v>
      </c>
      <c r="AS235" s="2">
        <v>39.4</v>
      </c>
      <c r="AT235" s="2">
        <v>11.3</v>
      </c>
      <c r="AU235" s="2" t="s">
        <v>652</v>
      </c>
      <c r="AV235" s="16">
        <f t="shared" si="139"/>
        <v>99.999999999999986</v>
      </c>
      <c r="AW235" s="18">
        <v>2.48</v>
      </c>
      <c r="AX235" s="13">
        <f t="shared" si="135"/>
        <v>2.4799999999999999E-2</v>
      </c>
      <c r="AY235" s="16" t="s">
        <v>750</v>
      </c>
      <c r="AZ235" s="16">
        <f t="shared" si="140"/>
        <v>125</v>
      </c>
      <c r="BA235" s="16" t="s">
        <v>55</v>
      </c>
      <c r="BB235" s="16">
        <f t="shared" si="141"/>
        <v>20.69868</v>
      </c>
      <c r="BC235" s="16">
        <f t="shared" si="142"/>
        <v>413.97359999999998</v>
      </c>
      <c r="BD235" s="18">
        <f t="shared" si="143"/>
        <v>2.1647917891389721</v>
      </c>
      <c r="BE235" s="16">
        <f t="shared" si="144"/>
        <v>87.289991497539205</v>
      </c>
      <c r="BF235" s="16">
        <f t="shared" si="132"/>
        <v>1.9409644511904511</v>
      </c>
      <c r="BG235" s="8">
        <f t="shared" si="145"/>
        <v>0.33541613201666731</v>
      </c>
      <c r="BH235" s="13" t="s">
        <v>782</v>
      </c>
      <c r="BI235" s="16">
        <f>10^1.6765</f>
        <v>47.478829094159771</v>
      </c>
      <c r="BJ235" s="16" t="s">
        <v>329</v>
      </c>
      <c r="BK235" s="8">
        <v>0.64119999999999999</v>
      </c>
      <c r="BL235" s="16">
        <f t="shared" si="146"/>
        <v>8.6889997638496261</v>
      </c>
      <c r="BM235" s="25">
        <f>'PFAS Properties'!$U$33</f>
        <v>48.1</v>
      </c>
      <c r="BN235" s="16">
        <f t="shared" si="147"/>
        <v>104.12648505758456</v>
      </c>
      <c r="BO235" s="24">
        <f t="shared" si="148"/>
        <v>2.1647917891389721</v>
      </c>
    </row>
    <row r="236" spans="1:67" s="14" customFormat="1" x14ac:dyDescent="0.3">
      <c r="A236" s="20">
        <v>234</v>
      </c>
      <c r="B236" s="2" t="s">
        <v>720</v>
      </c>
      <c r="C236" s="2">
        <v>2019</v>
      </c>
      <c r="D236" s="2" t="s">
        <v>201</v>
      </c>
      <c r="E236" s="10" t="s">
        <v>797</v>
      </c>
      <c r="F236" s="20" t="s">
        <v>29</v>
      </c>
      <c r="G236" s="2" t="s">
        <v>718</v>
      </c>
      <c r="H236" s="2" t="str">
        <f>'PFAS Properties'!$B$33</f>
        <v>PFOA</v>
      </c>
      <c r="I236" s="2" t="str">
        <f>'PFAS Properties'!$C$33</f>
        <v>PFCA</v>
      </c>
      <c r="J236" s="2" t="str">
        <f>'PFAS Properties'!$D$33</f>
        <v>C8HF15O2</v>
      </c>
      <c r="K236" s="25">
        <f>'PFAS Properties'!$P$33</f>
        <v>413.97359999999998</v>
      </c>
      <c r="L236" s="2">
        <f>'PFAS Properties'!$X$33</f>
        <v>-0.2</v>
      </c>
      <c r="M236" s="2" t="str">
        <f>'PFAS Properties'!$Y$33</f>
        <v>-</v>
      </c>
      <c r="N236" s="33">
        <v>0</v>
      </c>
      <c r="O236" s="33">
        <v>0</v>
      </c>
      <c r="P236" s="33">
        <v>0</v>
      </c>
      <c r="Q236" s="33">
        <f t="shared" si="120"/>
        <v>0.99991872355478106</v>
      </c>
      <c r="R236" s="33">
        <v>0</v>
      </c>
      <c r="S236" s="33">
        <f t="shared" si="121"/>
        <v>8.1276445218917993E-5</v>
      </c>
      <c r="T236" s="8">
        <f t="shared" si="126"/>
        <v>1</v>
      </c>
      <c r="U236" s="33">
        <f t="shared" si="127"/>
        <v>0</v>
      </c>
      <c r="V236" s="33">
        <f t="shared" si="128"/>
        <v>-0.99991872355478106</v>
      </c>
      <c r="W236" s="33">
        <f t="shared" si="129"/>
        <v>412.97368127644518</v>
      </c>
      <c r="X236" s="33">
        <v>96485</v>
      </c>
      <c r="Y236" s="16">
        <f t="shared" si="130"/>
        <v>-233.61575426304489</v>
      </c>
      <c r="Z236" s="16">
        <v>8</v>
      </c>
      <c r="AA236" s="16">
        <v>15</v>
      </c>
      <c r="AB236" s="8">
        <f t="shared" si="131"/>
        <v>0.33684210526315789</v>
      </c>
      <c r="AC236" s="16">
        <f t="shared" si="117"/>
        <v>68.844969824162703</v>
      </c>
      <c r="AD236" s="20">
        <f>'PFAS Properties'!$W$33</f>
        <v>7</v>
      </c>
      <c r="AE236" s="8">
        <f>'PFAS Properties'!$S$33</f>
        <v>2.6821450763738319</v>
      </c>
      <c r="AF236" s="15">
        <f>'PFAS Properties'!$V$33</f>
        <v>4.9000000000000004</v>
      </c>
      <c r="AG236" s="24">
        <v>3.89</v>
      </c>
      <c r="AH236" s="2" t="s">
        <v>652</v>
      </c>
      <c r="AI236" s="15">
        <f>2.95*2*55.845/159.69</f>
        <v>2.0632819838436971</v>
      </c>
      <c r="AJ236" s="16">
        <f t="shared" si="136"/>
        <v>36.946584006512616</v>
      </c>
      <c r="AK236" s="15">
        <f t="shared" si="137"/>
        <v>0.20632819838436972</v>
      </c>
      <c r="AL236" s="15">
        <f>0.634*2*26.98/101.96</f>
        <v>0.33553001176932129</v>
      </c>
      <c r="AM236" s="16">
        <f t="shared" si="149"/>
        <v>12.436249509611612</v>
      </c>
      <c r="AN236" s="15">
        <f t="shared" si="138"/>
        <v>3.3553001176932128E-2</v>
      </c>
      <c r="AO236" s="15" t="s">
        <v>41</v>
      </c>
      <c r="AP236" s="15">
        <v>2.89</v>
      </c>
      <c r="AQ236" s="2" t="s">
        <v>652</v>
      </c>
      <c r="AR236" s="2">
        <v>60</v>
      </c>
      <c r="AS236" s="2">
        <v>16</v>
      </c>
      <c r="AT236" s="2">
        <v>24</v>
      </c>
      <c r="AU236" s="2" t="s">
        <v>652</v>
      </c>
      <c r="AV236" s="16">
        <f t="shared" si="139"/>
        <v>100</v>
      </c>
      <c r="AW236" s="18">
        <v>0.99299999999999999</v>
      </c>
      <c r="AX236" s="13">
        <f t="shared" si="135"/>
        <v>9.9299999999999996E-3</v>
      </c>
      <c r="AY236" s="16" t="s">
        <v>750</v>
      </c>
      <c r="AZ236" s="16">
        <f t="shared" si="140"/>
        <v>125</v>
      </c>
      <c r="BA236" s="16" t="s">
        <v>55</v>
      </c>
      <c r="BB236" s="16">
        <f t="shared" si="141"/>
        <v>20.69868</v>
      </c>
      <c r="BC236" s="16">
        <f t="shared" si="142"/>
        <v>413.97359999999998</v>
      </c>
      <c r="BD236" s="18">
        <f t="shared" si="143"/>
        <v>2.2252659618075876</v>
      </c>
      <c r="BE236" s="16">
        <f t="shared" si="144"/>
        <v>224.09526302191216</v>
      </c>
      <c r="BF236" s="16">
        <f t="shared" si="132"/>
        <v>2.3504326764137424</v>
      </c>
      <c r="BG236" s="8">
        <f t="shared" si="145"/>
        <v>0.34738192490912356</v>
      </c>
      <c r="BH236" s="13" t="s">
        <v>782</v>
      </c>
      <c r="BI236" s="16">
        <f>10^1.4957</f>
        <v>31.311220745994902</v>
      </c>
      <c r="BJ236" s="16" t="s">
        <v>329</v>
      </c>
      <c r="BK236" s="8">
        <v>0.62839999999999996</v>
      </c>
      <c r="BL236" s="16">
        <f t="shared" si="146"/>
        <v>9.3857079264331134</v>
      </c>
      <c r="BM236" s="25">
        <f>'PFAS Properties'!$U$33</f>
        <v>48.1</v>
      </c>
      <c r="BN236" s="16">
        <f t="shared" si="147"/>
        <v>107.03529276294496</v>
      </c>
      <c r="BO236" s="24">
        <f t="shared" si="148"/>
        <v>2.2252659618075876</v>
      </c>
    </row>
    <row r="237" spans="1:67" s="14" customFormat="1" x14ac:dyDescent="0.3">
      <c r="A237" s="20">
        <v>235</v>
      </c>
      <c r="B237" s="2" t="s">
        <v>214</v>
      </c>
      <c r="C237" s="2">
        <v>2022</v>
      </c>
      <c r="D237" s="2" t="s">
        <v>201</v>
      </c>
      <c r="E237" s="10" t="s">
        <v>808</v>
      </c>
      <c r="F237" s="20" t="s">
        <v>29</v>
      </c>
      <c r="G237" s="2" t="s">
        <v>215</v>
      </c>
      <c r="H237" s="2" t="str">
        <f>'PFAS Properties'!$B$33</f>
        <v>PFOA</v>
      </c>
      <c r="I237" s="2" t="str">
        <f>'PFAS Properties'!$C$33</f>
        <v>PFCA</v>
      </c>
      <c r="J237" s="2" t="str">
        <f>'PFAS Properties'!$D$33</f>
        <v>C8HF15O2</v>
      </c>
      <c r="K237" s="25">
        <f>'PFAS Properties'!$P$33</f>
        <v>413.97359999999998</v>
      </c>
      <c r="L237" s="2">
        <f>'PFAS Properties'!$X$33</f>
        <v>-0.2</v>
      </c>
      <c r="M237" s="2" t="str">
        <f>'PFAS Properties'!$Y$33</f>
        <v>-</v>
      </c>
      <c r="N237" s="33">
        <v>0</v>
      </c>
      <c r="O237" s="33">
        <v>0</v>
      </c>
      <c r="P237" s="33">
        <v>0</v>
      </c>
      <c r="Q237" s="33">
        <f t="shared" si="120"/>
        <v>0.99999000009999905</v>
      </c>
      <c r="R237" s="33">
        <v>0</v>
      </c>
      <c r="S237" s="33">
        <f t="shared" si="121"/>
        <v>9.9999000009999908E-6</v>
      </c>
      <c r="T237" s="8">
        <f t="shared" si="126"/>
        <v>1</v>
      </c>
      <c r="U237" s="33">
        <f t="shared" si="127"/>
        <v>0</v>
      </c>
      <c r="V237" s="33">
        <f t="shared" si="128"/>
        <v>-0.99999000009999905</v>
      </c>
      <c r="W237" s="33">
        <f t="shared" si="129"/>
        <v>412.97360999990002</v>
      </c>
      <c r="X237" s="33">
        <v>96485</v>
      </c>
      <c r="Y237" s="16">
        <f t="shared" si="130"/>
        <v>-233.6324472638137</v>
      </c>
      <c r="Z237" s="16">
        <v>8</v>
      </c>
      <c r="AA237" s="16">
        <v>15</v>
      </c>
      <c r="AB237" s="8">
        <f t="shared" si="131"/>
        <v>0.33684210526315789</v>
      </c>
      <c r="AC237" s="16">
        <f t="shared" si="117"/>
        <v>68.844969824162703</v>
      </c>
      <c r="AD237" s="20">
        <f>'PFAS Properties'!$W$33</f>
        <v>7</v>
      </c>
      <c r="AE237" s="8">
        <f>'PFAS Properties'!$S$33</f>
        <v>2.6821450763738319</v>
      </c>
      <c r="AF237" s="15">
        <f>'PFAS Properties'!$V$33</f>
        <v>4.9000000000000004</v>
      </c>
      <c r="AG237" s="24">
        <v>4.8</v>
      </c>
      <c r="AH237" s="2" t="s">
        <v>216</v>
      </c>
      <c r="AI237" s="2">
        <v>8.3000000000000007</v>
      </c>
      <c r="AJ237" s="15">
        <f>AI237*1000/55.845</f>
        <v>148.62566030978601</v>
      </c>
      <c r="AK237" s="15">
        <f>AI237/10</f>
        <v>0.83000000000000007</v>
      </c>
      <c r="AL237" s="15">
        <v>7.85</v>
      </c>
      <c r="AM237" s="15">
        <f>AL237*1000/26.98</f>
        <v>290.95626389918459</v>
      </c>
      <c r="AN237" s="15">
        <f>AL237/10</f>
        <v>0.78499999999999992</v>
      </c>
      <c r="AO237" s="15" t="s">
        <v>217</v>
      </c>
      <c r="AP237" s="72">
        <v>15.34083666666667</v>
      </c>
      <c r="AQ237" s="70" t="s">
        <v>752</v>
      </c>
      <c r="AR237" s="16">
        <v>32</v>
      </c>
      <c r="AS237" s="16">
        <v>40</v>
      </c>
      <c r="AT237" s="16">
        <v>28</v>
      </c>
      <c r="AU237" s="2" t="s">
        <v>661</v>
      </c>
      <c r="AV237" s="16">
        <f t="shared" ref="AV237:AV300" si="150">SUM(AR237:AT237)</f>
        <v>100</v>
      </c>
      <c r="AW237" s="18">
        <v>4.9000000000000004</v>
      </c>
      <c r="AX237" s="13">
        <f t="shared" si="135"/>
        <v>4.9000000000000002E-2</v>
      </c>
      <c r="AY237" s="8" t="s">
        <v>218</v>
      </c>
      <c r="AZ237" s="16">
        <f>1.5/0.075</f>
        <v>20</v>
      </c>
      <c r="BA237" s="16" t="s">
        <v>55</v>
      </c>
      <c r="BB237" s="16">
        <v>10</v>
      </c>
      <c r="BC237" s="16" t="s">
        <v>55</v>
      </c>
      <c r="BD237" s="18">
        <v>4.2699999999999996</v>
      </c>
      <c r="BE237" s="15">
        <f t="shared" ref="BE237:BE300" si="151">BD237/AX237</f>
        <v>87.142857142857125</v>
      </c>
      <c r="BF237" s="8">
        <f t="shared" si="132"/>
        <v>1.9402317949965102</v>
      </c>
      <c r="BG237" s="8">
        <f t="shared" ref="BG237:BG300" si="152">LOG(BD237)</f>
        <v>0.63042787502502384</v>
      </c>
      <c r="BH237" s="13" t="s">
        <v>380</v>
      </c>
      <c r="BI237" s="13"/>
      <c r="BJ237" s="13"/>
      <c r="BK237" s="13"/>
      <c r="BL237" s="13"/>
      <c r="BM237" s="17"/>
      <c r="BN237" s="17"/>
      <c r="BO237" s="2"/>
    </row>
    <row r="238" spans="1:67" s="14" customFormat="1" x14ac:dyDescent="0.3">
      <c r="A238" s="20">
        <v>236</v>
      </c>
      <c r="B238" s="2" t="s">
        <v>214</v>
      </c>
      <c r="C238" s="2">
        <v>2022</v>
      </c>
      <c r="D238" s="2" t="s">
        <v>201</v>
      </c>
      <c r="E238" s="10" t="s">
        <v>808</v>
      </c>
      <c r="F238" s="20" t="s">
        <v>29</v>
      </c>
      <c r="G238" s="2" t="s">
        <v>233</v>
      </c>
      <c r="H238" s="2" t="str">
        <f>'PFAS Properties'!$B$33</f>
        <v>PFOA</v>
      </c>
      <c r="I238" s="2" t="str">
        <f>'PFAS Properties'!$C$33</f>
        <v>PFCA</v>
      </c>
      <c r="J238" s="2" t="str">
        <f>'PFAS Properties'!$D$33</f>
        <v>C8HF15O2</v>
      </c>
      <c r="K238" s="25">
        <f>'PFAS Properties'!$P$33</f>
        <v>413.97359999999998</v>
      </c>
      <c r="L238" s="2">
        <f>'PFAS Properties'!$X$33</f>
        <v>-0.2</v>
      </c>
      <c r="M238" s="2" t="str">
        <f>'PFAS Properties'!$Y$33</f>
        <v>-</v>
      </c>
      <c r="N238" s="33">
        <v>0</v>
      </c>
      <c r="O238" s="33">
        <v>0</v>
      </c>
      <c r="P238" s="33">
        <v>0</v>
      </c>
      <c r="Q238" s="33">
        <f t="shared" si="120"/>
        <v>0.9999992056723962</v>
      </c>
      <c r="R238" s="33">
        <v>0</v>
      </c>
      <c r="S238" s="33">
        <f t="shared" si="121"/>
        <v>7.9432760376743655E-7</v>
      </c>
      <c r="T238" s="8">
        <f t="shared" si="126"/>
        <v>1</v>
      </c>
      <c r="U238" s="33">
        <f t="shared" si="127"/>
        <v>0</v>
      </c>
      <c r="V238" s="33">
        <f t="shared" si="128"/>
        <v>-0.9999992056723962</v>
      </c>
      <c r="W238" s="33">
        <f t="shared" si="129"/>
        <v>412.97360079432758</v>
      </c>
      <c r="X238" s="33">
        <v>96485</v>
      </c>
      <c r="Y238" s="16">
        <f t="shared" si="130"/>
        <v>-233.63460321366483</v>
      </c>
      <c r="Z238" s="16">
        <v>8</v>
      </c>
      <c r="AA238" s="16">
        <v>15</v>
      </c>
      <c r="AB238" s="8">
        <f t="shared" si="131"/>
        <v>0.33684210526315789</v>
      </c>
      <c r="AC238" s="16">
        <f t="shared" si="117"/>
        <v>68.844969824162703</v>
      </c>
      <c r="AD238" s="20">
        <f>'PFAS Properties'!$W$33</f>
        <v>7</v>
      </c>
      <c r="AE238" s="8">
        <f>'PFAS Properties'!$S$33</f>
        <v>2.6821450763738319</v>
      </c>
      <c r="AF238" s="15">
        <f>'PFAS Properties'!$V$33</f>
        <v>4.9000000000000004</v>
      </c>
      <c r="AG238" s="24">
        <v>5.9</v>
      </c>
      <c r="AH238" s="2" t="s">
        <v>216</v>
      </c>
      <c r="AI238" s="2">
        <v>1.4</v>
      </c>
      <c r="AJ238" s="15">
        <f>AI238*1000/55.845</f>
        <v>25.069388485988004</v>
      </c>
      <c r="AK238" s="15">
        <f>AI238/10</f>
        <v>0.13999999999999999</v>
      </c>
      <c r="AL238" s="15">
        <v>0.92</v>
      </c>
      <c r="AM238" s="15">
        <f>AL238*1000/26.98</f>
        <v>34.099332839140104</v>
      </c>
      <c r="AN238" s="15">
        <f>AL238/10</f>
        <v>9.1999999999999998E-2</v>
      </c>
      <c r="AO238" s="15" t="s">
        <v>217</v>
      </c>
      <c r="AP238" s="72">
        <v>15.34083666666667</v>
      </c>
      <c r="AQ238" s="70" t="s">
        <v>752</v>
      </c>
      <c r="AR238" s="16">
        <v>37</v>
      </c>
      <c r="AS238" s="16">
        <v>22</v>
      </c>
      <c r="AT238" s="16">
        <v>41</v>
      </c>
      <c r="AU238" s="2" t="s">
        <v>661</v>
      </c>
      <c r="AV238" s="16">
        <f t="shared" si="150"/>
        <v>100</v>
      </c>
      <c r="AW238" s="18">
        <v>2.6</v>
      </c>
      <c r="AX238" s="13">
        <f t="shared" si="135"/>
        <v>2.6000000000000002E-2</v>
      </c>
      <c r="AY238" s="8" t="s">
        <v>218</v>
      </c>
      <c r="AZ238" s="16">
        <f>1.5/0.075</f>
        <v>20</v>
      </c>
      <c r="BA238" s="16" t="s">
        <v>55</v>
      </c>
      <c r="BB238" s="16">
        <v>10</v>
      </c>
      <c r="BC238" s="16" t="s">
        <v>55</v>
      </c>
      <c r="BD238" s="18">
        <v>3.43</v>
      </c>
      <c r="BE238" s="15">
        <f t="shared" si="151"/>
        <v>131.92307692307691</v>
      </c>
      <c r="BF238" s="8">
        <f t="shared" si="132"/>
        <v>2.1203207720719526</v>
      </c>
      <c r="BG238" s="8">
        <f t="shared" si="152"/>
        <v>0.53529412004277055</v>
      </c>
      <c r="BH238" s="13" t="s">
        <v>380</v>
      </c>
      <c r="BI238" s="13"/>
      <c r="BJ238" s="13"/>
      <c r="BK238" s="13"/>
      <c r="BL238" s="13"/>
      <c r="BM238" s="17"/>
      <c r="BN238" s="17"/>
      <c r="BO238" s="2"/>
    </row>
    <row r="239" spans="1:67" s="14" customFormat="1" x14ac:dyDescent="0.3">
      <c r="A239" s="20">
        <v>237</v>
      </c>
      <c r="B239" s="2" t="s">
        <v>220</v>
      </c>
      <c r="C239" s="2">
        <v>2011</v>
      </c>
      <c r="D239" s="2" t="s">
        <v>227</v>
      </c>
      <c r="E239" s="10" t="s">
        <v>226</v>
      </c>
      <c r="F239" s="20" t="s">
        <v>63</v>
      </c>
      <c r="G239" s="2" t="s">
        <v>94</v>
      </c>
      <c r="H239" s="2" t="str">
        <f>'PFAS Properties'!$B$33</f>
        <v>PFOA</v>
      </c>
      <c r="I239" s="2" t="str">
        <f>'PFAS Properties'!$C$33</f>
        <v>PFCA</v>
      </c>
      <c r="J239" s="2" t="str">
        <f>'PFAS Properties'!$D$33</f>
        <v>C8HF15O2</v>
      </c>
      <c r="K239" s="25">
        <f>'PFAS Properties'!$P$33</f>
        <v>413.97359999999998</v>
      </c>
      <c r="L239" s="2">
        <f>'PFAS Properties'!$X$33</f>
        <v>-0.2</v>
      </c>
      <c r="M239" s="2" t="str">
        <f>'PFAS Properties'!$Y$33</f>
        <v>-</v>
      </c>
      <c r="N239" s="33">
        <v>0</v>
      </c>
      <c r="O239" s="33">
        <v>0</v>
      </c>
      <c r="P239" s="33">
        <v>0</v>
      </c>
      <c r="Q239" s="33">
        <f t="shared" si="120"/>
        <v>0.99999986476162572</v>
      </c>
      <c r="R239" s="33">
        <v>0</v>
      </c>
      <c r="S239" s="33">
        <f t="shared" si="121"/>
        <v>1.352383742358444E-7</v>
      </c>
      <c r="T239" s="8">
        <f t="shared" si="126"/>
        <v>1</v>
      </c>
      <c r="U239" s="33">
        <f t="shared" si="127"/>
        <v>0</v>
      </c>
      <c r="V239" s="33">
        <f t="shared" si="128"/>
        <v>-0.99999986476162572</v>
      </c>
      <c r="W239" s="33">
        <f t="shared" si="129"/>
        <v>412.97360013523837</v>
      </c>
      <c r="X239" s="33">
        <v>96485</v>
      </c>
      <c r="Y239" s="16">
        <f t="shared" si="130"/>
        <v>-233.63475757270942</v>
      </c>
      <c r="Z239" s="16">
        <v>8</v>
      </c>
      <c r="AA239" s="16">
        <v>15</v>
      </c>
      <c r="AB239" s="8">
        <f t="shared" si="131"/>
        <v>0.33684210526315789</v>
      </c>
      <c r="AC239" s="16">
        <f t="shared" si="117"/>
        <v>68.844969824162703</v>
      </c>
      <c r="AD239" s="20">
        <f>'PFAS Properties'!$W$33</f>
        <v>7</v>
      </c>
      <c r="AE239" s="8">
        <f>'PFAS Properties'!$S$33</f>
        <v>2.6821450763738319</v>
      </c>
      <c r="AF239" s="15">
        <f>'PFAS Properties'!$V$33</f>
        <v>4.9000000000000004</v>
      </c>
      <c r="AG239" s="124">
        <v>6.6688999999999998</v>
      </c>
      <c r="AH239" s="70" t="s">
        <v>752</v>
      </c>
      <c r="AI239" s="2" t="s">
        <v>661</v>
      </c>
      <c r="AJ239" s="2" t="s">
        <v>661</v>
      </c>
      <c r="AK239" s="2" t="s">
        <v>661</v>
      </c>
      <c r="AL239" s="2" t="s">
        <v>661</v>
      </c>
      <c r="AM239" s="2" t="s">
        <v>661</v>
      </c>
      <c r="AN239" s="2" t="s">
        <v>661</v>
      </c>
      <c r="AO239" s="2" t="s">
        <v>661</v>
      </c>
      <c r="AP239" s="72">
        <v>11.78125</v>
      </c>
      <c r="AQ239" s="70" t="s">
        <v>752</v>
      </c>
      <c r="AR239" s="71">
        <v>30.648</v>
      </c>
      <c r="AS239" s="71">
        <v>36.685000000000002</v>
      </c>
      <c r="AT239" s="71">
        <v>33.302500000000002</v>
      </c>
      <c r="AU239" s="70" t="s">
        <v>752</v>
      </c>
      <c r="AV239" s="16">
        <f t="shared" si="150"/>
        <v>100.63550000000001</v>
      </c>
      <c r="AW239" s="18">
        <v>0.21</v>
      </c>
      <c r="AX239" s="13">
        <f t="shared" si="135"/>
        <v>2.0999999999999999E-3</v>
      </c>
      <c r="AY239" s="13" t="s">
        <v>95</v>
      </c>
      <c r="AZ239" s="16">
        <f>1/0.005</f>
        <v>200</v>
      </c>
      <c r="BA239" s="16" t="s">
        <v>55</v>
      </c>
      <c r="BB239" s="16">
        <v>100</v>
      </c>
      <c r="BC239" s="16" t="s">
        <v>55</v>
      </c>
      <c r="BD239" s="18">
        <v>1.6</v>
      </c>
      <c r="BE239" s="15">
        <f t="shared" si="151"/>
        <v>761.90476190476204</v>
      </c>
      <c r="BF239" s="8">
        <f t="shared" si="132"/>
        <v>2.8819006879220055</v>
      </c>
      <c r="BG239" s="8">
        <f t="shared" si="152"/>
        <v>0.20411998265592479</v>
      </c>
      <c r="BH239" s="13" t="s">
        <v>840</v>
      </c>
      <c r="BI239" s="13"/>
      <c r="BJ239" s="13"/>
      <c r="BK239" s="13"/>
      <c r="BL239" s="13"/>
      <c r="BM239" s="17"/>
      <c r="BN239" s="17"/>
      <c r="BO239" s="2"/>
    </row>
    <row r="240" spans="1:67" s="14" customFormat="1" x14ac:dyDescent="0.3">
      <c r="A240" s="20">
        <v>238</v>
      </c>
      <c r="B240" s="2" t="s">
        <v>220</v>
      </c>
      <c r="C240" s="2">
        <v>2011</v>
      </c>
      <c r="D240" s="2" t="s">
        <v>227</v>
      </c>
      <c r="E240" s="10" t="s">
        <v>226</v>
      </c>
      <c r="F240" s="20" t="s">
        <v>63</v>
      </c>
      <c r="G240" s="2" t="s">
        <v>96</v>
      </c>
      <c r="H240" s="2" t="str">
        <f>'PFAS Properties'!$B$33</f>
        <v>PFOA</v>
      </c>
      <c r="I240" s="2" t="str">
        <f>'PFAS Properties'!$C$33</f>
        <v>PFCA</v>
      </c>
      <c r="J240" s="2" t="str">
        <f>'PFAS Properties'!$D$33</f>
        <v>C8HF15O2</v>
      </c>
      <c r="K240" s="25">
        <f>'PFAS Properties'!$P$33</f>
        <v>413.97359999999998</v>
      </c>
      <c r="L240" s="2">
        <f>'PFAS Properties'!$X$33</f>
        <v>-0.2</v>
      </c>
      <c r="M240" s="2" t="str">
        <f>'PFAS Properties'!$Y$33</f>
        <v>-</v>
      </c>
      <c r="N240" s="33">
        <v>0</v>
      </c>
      <c r="O240" s="33">
        <v>0</v>
      </c>
      <c r="P240" s="33">
        <v>0</v>
      </c>
      <c r="Q240" s="33">
        <f t="shared" si="120"/>
        <v>0.99999992399363424</v>
      </c>
      <c r="R240" s="33">
        <v>0</v>
      </c>
      <c r="S240" s="33">
        <f t="shared" si="121"/>
        <v>7.6006365712330383E-8</v>
      </c>
      <c r="T240" s="8">
        <f t="shared" si="126"/>
        <v>1</v>
      </c>
      <c r="U240" s="33">
        <f t="shared" si="127"/>
        <v>0</v>
      </c>
      <c r="V240" s="33">
        <f t="shared" si="128"/>
        <v>-0.99999992399363424</v>
      </c>
      <c r="W240" s="33">
        <f t="shared" si="129"/>
        <v>412.97360007600628</v>
      </c>
      <c r="X240" s="33">
        <v>96485</v>
      </c>
      <c r="Y240" s="16">
        <f t="shared" si="130"/>
        <v>-233.63477144487709</v>
      </c>
      <c r="Z240" s="16">
        <v>8</v>
      </c>
      <c r="AA240" s="16">
        <v>15</v>
      </c>
      <c r="AB240" s="8">
        <f t="shared" si="131"/>
        <v>0.33684210526315789</v>
      </c>
      <c r="AC240" s="16">
        <f t="shared" si="117"/>
        <v>68.844969824162703</v>
      </c>
      <c r="AD240" s="20">
        <f>'PFAS Properties'!$W$33</f>
        <v>7</v>
      </c>
      <c r="AE240" s="8">
        <f>'PFAS Properties'!$S$33</f>
        <v>2.6821450763738319</v>
      </c>
      <c r="AF240" s="15">
        <f>'PFAS Properties'!$V$33</f>
        <v>4.9000000000000004</v>
      </c>
      <c r="AG240" s="124">
        <v>6.919150000000001</v>
      </c>
      <c r="AH240" s="70" t="s">
        <v>752</v>
      </c>
      <c r="AI240" s="2" t="s">
        <v>661</v>
      </c>
      <c r="AJ240" s="2" t="s">
        <v>661</v>
      </c>
      <c r="AK240" s="2" t="s">
        <v>661</v>
      </c>
      <c r="AL240" s="2" t="s">
        <v>661</v>
      </c>
      <c r="AM240" s="2" t="s">
        <v>661</v>
      </c>
      <c r="AN240" s="2" t="s">
        <v>661</v>
      </c>
      <c r="AO240" s="2" t="s">
        <v>661</v>
      </c>
      <c r="AP240" s="72">
        <v>12.094250000000001</v>
      </c>
      <c r="AQ240" s="70" t="s">
        <v>752</v>
      </c>
      <c r="AR240" s="71">
        <v>38.112499999999997</v>
      </c>
      <c r="AS240" s="71">
        <v>31.469200000000001</v>
      </c>
      <c r="AT240" s="71">
        <v>29.446650000000002</v>
      </c>
      <c r="AU240" s="70" t="s">
        <v>752</v>
      </c>
      <c r="AV240" s="16">
        <f t="shared" si="150"/>
        <v>99.028350000000003</v>
      </c>
      <c r="AW240" s="18">
        <v>0.43</v>
      </c>
      <c r="AX240" s="13">
        <f t="shared" si="135"/>
        <v>4.3E-3</v>
      </c>
      <c r="AY240" s="13" t="s">
        <v>95</v>
      </c>
      <c r="AZ240" s="16">
        <f>1/0.005</f>
        <v>200</v>
      </c>
      <c r="BA240" s="16" t="s">
        <v>55</v>
      </c>
      <c r="BB240" s="16">
        <v>100</v>
      </c>
      <c r="BC240" s="16" t="s">
        <v>55</v>
      </c>
      <c r="BD240" s="18">
        <v>1.8</v>
      </c>
      <c r="BE240" s="15">
        <f t="shared" si="151"/>
        <v>418.60465116279073</v>
      </c>
      <c r="BF240" s="8">
        <f t="shared" si="132"/>
        <v>2.6218040495237194</v>
      </c>
      <c r="BG240" s="8">
        <f t="shared" si="152"/>
        <v>0.25527250510330607</v>
      </c>
      <c r="BH240" s="13" t="s">
        <v>840</v>
      </c>
      <c r="BI240" s="13"/>
      <c r="BJ240" s="13"/>
      <c r="BK240" s="13"/>
      <c r="BL240" s="13"/>
      <c r="BM240" s="17"/>
      <c r="BN240" s="17"/>
      <c r="BO240" s="2"/>
    </row>
    <row r="241" spans="1:67" s="14" customFormat="1" x14ac:dyDescent="0.3">
      <c r="A241" s="20">
        <v>239</v>
      </c>
      <c r="B241" s="2" t="s">
        <v>220</v>
      </c>
      <c r="C241" s="2">
        <v>2011</v>
      </c>
      <c r="D241" s="2" t="s">
        <v>227</v>
      </c>
      <c r="E241" s="10" t="s">
        <v>226</v>
      </c>
      <c r="F241" s="20" t="s">
        <v>63</v>
      </c>
      <c r="G241" s="2" t="s">
        <v>97</v>
      </c>
      <c r="H241" s="2" t="str">
        <f>'PFAS Properties'!$B$33</f>
        <v>PFOA</v>
      </c>
      <c r="I241" s="2" t="str">
        <f>'PFAS Properties'!$C$33</f>
        <v>PFCA</v>
      </c>
      <c r="J241" s="2" t="str">
        <f>'PFAS Properties'!$D$33</f>
        <v>C8HF15O2</v>
      </c>
      <c r="K241" s="25">
        <f>'PFAS Properties'!$P$33</f>
        <v>413.97359999999998</v>
      </c>
      <c r="L241" s="2">
        <f>'PFAS Properties'!$X$33</f>
        <v>-0.2</v>
      </c>
      <c r="M241" s="2" t="str">
        <f>'PFAS Properties'!$Y$33</f>
        <v>-</v>
      </c>
      <c r="N241" s="33">
        <v>0</v>
      </c>
      <c r="O241" s="33">
        <v>0</v>
      </c>
      <c r="P241" s="33">
        <v>0</v>
      </c>
      <c r="Q241" s="33">
        <f t="shared" si="120"/>
        <v>0.99999993076113025</v>
      </c>
      <c r="R241" s="33">
        <v>0</v>
      </c>
      <c r="S241" s="33">
        <f t="shared" si="121"/>
        <v>6.92388697593328E-8</v>
      </c>
      <c r="T241" s="8">
        <f t="shared" si="126"/>
        <v>1</v>
      </c>
      <c r="U241" s="33">
        <f t="shared" si="127"/>
        <v>0</v>
      </c>
      <c r="V241" s="33">
        <f t="shared" si="128"/>
        <v>-0.99999993076113025</v>
      </c>
      <c r="W241" s="33">
        <f t="shared" si="129"/>
        <v>412.9736000692389</v>
      </c>
      <c r="X241" s="33">
        <v>96485</v>
      </c>
      <c r="Y241" s="16">
        <f t="shared" si="130"/>
        <v>-233.63477302982812</v>
      </c>
      <c r="Z241" s="16">
        <v>8</v>
      </c>
      <c r="AA241" s="16">
        <v>15</v>
      </c>
      <c r="AB241" s="8">
        <f t="shared" si="131"/>
        <v>0.33684210526315789</v>
      </c>
      <c r="AC241" s="16">
        <f t="shared" si="117"/>
        <v>68.844969824162703</v>
      </c>
      <c r="AD241" s="20">
        <f>'PFAS Properties'!$W$33</f>
        <v>7</v>
      </c>
      <c r="AE241" s="8">
        <f>'PFAS Properties'!$S$33</f>
        <v>2.6821450763738319</v>
      </c>
      <c r="AF241" s="15">
        <f>'PFAS Properties'!$V$33</f>
        <v>4.9000000000000004</v>
      </c>
      <c r="AG241" s="124">
        <v>6.959649999999999</v>
      </c>
      <c r="AH241" s="70" t="s">
        <v>752</v>
      </c>
      <c r="AI241" s="2" t="s">
        <v>661</v>
      </c>
      <c r="AJ241" s="2" t="s">
        <v>661</v>
      </c>
      <c r="AK241" s="2" t="s">
        <v>661</v>
      </c>
      <c r="AL241" s="2" t="s">
        <v>661</v>
      </c>
      <c r="AM241" s="2" t="s">
        <v>661</v>
      </c>
      <c r="AN241" s="2" t="s">
        <v>661</v>
      </c>
      <c r="AO241" s="2" t="s">
        <v>661</v>
      </c>
      <c r="AP241" s="72">
        <v>10.6485</v>
      </c>
      <c r="AQ241" s="70" t="s">
        <v>752</v>
      </c>
      <c r="AR241" s="71">
        <v>38.113900000000001</v>
      </c>
      <c r="AS241" s="71">
        <v>32.762700000000002</v>
      </c>
      <c r="AT241" s="71">
        <v>28.4998</v>
      </c>
      <c r="AU241" s="70" t="s">
        <v>752</v>
      </c>
      <c r="AV241" s="16">
        <f t="shared" si="150"/>
        <v>99.37639999999999</v>
      </c>
      <c r="AW241" s="18">
        <v>0.54999999999999993</v>
      </c>
      <c r="AX241" s="13">
        <f t="shared" si="135"/>
        <v>5.4999999999999997E-3</v>
      </c>
      <c r="AY241" s="13" t="s">
        <v>95</v>
      </c>
      <c r="AZ241" s="16">
        <f>1/0.005</f>
        <v>200</v>
      </c>
      <c r="BA241" s="16" t="s">
        <v>55</v>
      </c>
      <c r="BB241" s="16">
        <v>100</v>
      </c>
      <c r="BC241" s="16" t="s">
        <v>55</v>
      </c>
      <c r="BD241" s="18">
        <v>2.65</v>
      </c>
      <c r="BE241" s="15">
        <f t="shared" si="151"/>
        <v>481.81818181818181</v>
      </c>
      <c r="BF241" s="8">
        <f t="shared" si="132"/>
        <v>2.6828831844425638</v>
      </c>
      <c r="BG241" s="8">
        <f t="shared" si="152"/>
        <v>0.42324587393680785</v>
      </c>
      <c r="BH241" s="13" t="s">
        <v>840</v>
      </c>
      <c r="BI241" s="13"/>
      <c r="BJ241" s="13"/>
      <c r="BK241" s="13"/>
      <c r="BL241" s="13"/>
      <c r="BM241" s="17"/>
      <c r="BN241" s="17"/>
      <c r="BO241" s="2"/>
    </row>
    <row r="242" spans="1:67" s="14" customFormat="1" x14ac:dyDescent="0.3">
      <c r="A242" s="20">
        <v>240</v>
      </c>
      <c r="B242" s="2" t="s">
        <v>228</v>
      </c>
      <c r="C242" s="2">
        <v>2017</v>
      </c>
      <c r="D242" s="2" t="s">
        <v>229</v>
      </c>
      <c r="E242" s="10" t="s">
        <v>809</v>
      </c>
      <c r="F242" s="20" t="s">
        <v>29</v>
      </c>
      <c r="G242" s="2" t="s">
        <v>98</v>
      </c>
      <c r="H242" s="2" t="str">
        <f>'PFAS Properties'!$B$33</f>
        <v>PFOA</v>
      </c>
      <c r="I242" s="2" t="str">
        <f>'PFAS Properties'!$C$33</f>
        <v>PFCA</v>
      </c>
      <c r="J242" s="2" t="str">
        <f>'PFAS Properties'!$D$33</f>
        <v>C8HF15O2</v>
      </c>
      <c r="K242" s="25">
        <f>'PFAS Properties'!$P$33</f>
        <v>413.97359999999998</v>
      </c>
      <c r="L242" s="2">
        <f>'PFAS Properties'!$X$33</f>
        <v>-0.2</v>
      </c>
      <c r="M242" s="2" t="str">
        <f>'PFAS Properties'!$Y$33</f>
        <v>-</v>
      </c>
      <c r="N242" s="33">
        <v>0</v>
      </c>
      <c r="O242" s="33">
        <v>0</v>
      </c>
      <c r="P242" s="33">
        <v>0</v>
      </c>
      <c r="Q242" s="33">
        <f t="shared" si="120"/>
        <v>0.99999912903716859</v>
      </c>
      <c r="R242" s="33">
        <v>0</v>
      </c>
      <c r="S242" s="33">
        <f t="shared" si="121"/>
        <v>8.709628313791642E-7</v>
      </c>
      <c r="T242" s="8">
        <f t="shared" si="126"/>
        <v>1</v>
      </c>
      <c r="U242" s="33">
        <f t="shared" si="127"/>
        <v>0</v>
      </c>
      <c r="V242" s="33">
        <f t="shared" si="128"/>
        <v>-0.99999912903716859</v>
      </c>
      <c r="W242" s="33">
        <f t="shared" si="129"/>
        <v>412.9736008709628</v>
      </c>
      <c r="X242" s="33">
        <v>96485</v>
      </c>
      <c r="Y242" s="16">
        <f t="shared" si="130"/>
        <v>-233.63458526565421</v>
      </c>
      <c r="Z242" s="16">
        <v>8</v>
      </c>
      <c r="AA242" s="16">
        <v>15</v>
      </c>
      <c r="AB242" s="8">
        <f t="shared" si="131"/>
        <v>0.33684210526315789</v>
      </c>
      <c r="AC242" s="16">
        <f t="shared" si="117"/>
        <v>68.844969824162703</v>
      </c>
      <c r="AD242" s="20">
        <f>'PFAS Properties'!$W$33</f>
        <v>7</v>
      </c>
      <c r="AE242" s="8">
        <f>'PFAS Properties'!$S$33</f>
        <v>2.6821450763738319</v>
      </c>
      <c r="AF242" s="15">
        <f>'PFAS Properties'!$V$33</f>
        <v>4.9000000000000004</v>
      </c>
      <c r="AG242" s="24">
        <v>5.86</v>
      </c>
      <c r="AH242" s="2" t="s">
        <v>661</v>
      </c>
      <c r="AI242" s="16">
        <f>3.21*2*55.84*1000/(100*159.69)</f>
        <v>22.449295510050725</v>
      </c>
      <c r="AJ242" s="16">
        <f t="shared" ref="AJ242:AJ251" si="153">AI242*1000/55.845</f>
        <v>401.99293598443415</v>
      </c>
      <c r="AK242" s="16">
        <f t="shared" ref="AK242:AK254" si="154">AI242/10</f>
        <v>2.2449295510050726</v>
      </c>
      <c r="AL242" s="16">
        <f>11.8*27*1000/(100*78)</f>
        <v>40.846153846153847</v>
      </c>
      <c r="AM242" s="16">
        <f t="shared" ref="AM242:AM251" si="155">AL242*1000/26.98</f>
        <v>1513.9419513029593</v>
      </c>
      <c r="AN242" s="16">
        <f t="shared" ref="AN242:AN254" si="156">AL242/10</f>
        <v>4.0846153846153843</v>
      </c>
      <c r="AO242" s="2" t="s">
        <v>99</v>
      </c>
      <c r="AP242" s="15">
        <v>10.3</v>
      </c>
      <c r="AQ242" s="16" t="s">
        <v>689</v>
      </c>
      <c r="AR242" s="16">
        <v>36.9</v>
      </c>
      <c r="AS242" s="16">
        <v>27.7</v>
      </c>
      <c r="AT242" s="16">
        <v>35.4</v>
      </c>
      <c r="AU242" s="16" t="s">
        <v>664</v>
      </c>
      <c r="AV242" s="16">
        <f t="shared" si="150"/>
        <v>100</v>
      </c>
      <c r="AW242" s="18">
        <v>0.52</v>
      </c>
      <c r="AX242" s="13">
        <f t="shared" si="135"/>
        <v>5.1999999999999998E-3</v>
      </c>
      <c r="AY242" s="13" t="s">
        <v>100</v>
      </c>
      <c r="AZ242" s="16">
        <f t="shared" ref="AZ242:AZ251" si="157">0.05/0.02</f>
        <v>2.5</v>
      </c>
      <c r="BA242" s="16" t="s">
        <v>55</v>
      </c>
      <c r="BB242" s="16">
        <v>10</v>
      </c>
      <c r="BC242" s="16">
        <v>500</v>
      </c>
      <c r="BD242" s="18">
        <v>0.48699999999999999</v>
      </c>
      <c r="BE242" s="15">
        <f t="shared" si="151"/>
        <v>93.65384615384616</v>
      </c>
      <c r="BF242" s="8">
        <f t="shared" si="132"/>
        <v>1.9715256175798352</v>
      </c>
      <c r="BG242" s="8">
        <f t="shared" si="152"/>
        <v>-0.3124710387853657</v>
      </c>
      <c r="BH242" s="13" t="s">
        <v>837</v>
      </c>
      <c r="BI242" s="13"/>
      <c r="BJ242" s="13"/>
      <c r="BK242" s="8"/>
      <c r="BL242" s="8"/>
      <c r="BM242" s="18"/>
      <c r="BN242" s="8"/>
      <c r="BO242" s="24"/>
    </row>
    <row r="243" spans="1:67" s="14" customFormat="1" x14ac:dyDescent="0.3">
      <c r="A243" s="20">
        <v>241</v>
      </c>
      <c r="B243" s="2" t="s">
        <v>228</v>
      </c>
      <c r="C243" s="2">
        <v>2017</v>
      </c>
      <c r="D243" s="2" t="s">
        <v>229</v>
      </c>
      <c r="E243" s="10" t="s">
        <v>809</v>
      </c>
      <c r="F243" s="20" t="s">
        <v>29</v>
      </c>
      <c r="G243" s="2" t="s">
        <v>101</v>
      </c>
      <c r="H243" s="2" t="str">
        <f>'PFAS Properties'!$B$33</f>
        <v>PFOA</v>
      </c>
      <c r="I243" s="2" t="str">
        <f>'PFAS Properties'!$C$33</f>
        <v>PFCA</v>
      </c>
      <c r="J243" s="2" t="str">
        <f>'PFAS Properties'!$D$33</f>
        <v>C8HF15O2</v>
      </c>
      <c r="K243" s="25">
        <f>'PFAS Properties'!$P$33</f>
        <v>413.97359999999998</v>
      </c>
      <c r="L243" s="2">
        <f>'PFAS Properties'!$X$33</f>
        <v>-0.2</v>
      </c>
      <c r="M243" s="2" t="str">
        <f>'PFAS Properties'!$Y$33</f>
        <v>-</v>
      </c>
      <c r="N243" s="33">
        <v>0</v>
      </c>
      <c r="O243" s="33">
        <v>0</v>
      </c>
      <c r="P243" s="33">
        <v>0</v>
      </c>
      <c r="Q243" s="33">
        <f t="shared" si="120"/>
        <v>0.99999994751925669</v>
      </c>
      <c r="R243" s="33">
        <v>0</v>
      </c>
      <c r="S243" s="33">
        <f t="shared" si="121"/>
        <v>5.2480743270748622E-8</v>
      </c>
      <c r="T243" s="8">
        <f t="shared" si="126"/>
        <v>1</v>
      </c>
      <c r="U243" s="33">
        <f t="shared" si="127"/>
        <v>0</v>
      </c>
      <c r="V243" s="33">
        <f t="shared" si="128"/>
        <v>-0.99999994751925669</v>
      </c>
      <c r="W243" s="33">
        <f t="shared" si="129"/>
        <v>412.97360005248072</v>
      </c>
      <c r="X243" s="33">
        <v>96485</v>
      </c>
      <c r="Y243" s="16">
        <f t="shared" si="130"/>
        <v>-233.63477695459025</v>
      </c>
      <c r="Z243" s="16">
        <v>8</v>
      </c>
      <c r="AA243" s="16">
        <v>15</v>
      </c>
      <c r="AB243" s="8">
        <f t="shared" si="131"/>
        <v>0.33684210526315789</v>
      </c>
      <c r="AC243" s="16">
        <f t="shared" si="117"/>
        <v>68.844969824162703</v>
      </c>
      <c r="AD243" s="20">
        <f>'PFAS Properties'!$W$33</f>
        <v>7</v>
      </c>
      <c r="AE243" s="8">
        <f>'PFAS Properties'!$S$33</f>
        <v>2.6821450763738319</v>
      </c>
      <c r="AF243" s="15">
        <f>'PFAS Properties'!$V$33</f>
        <v>4.9000000000000004</v>
      </c>
      <c r="AG243" s="24">
        <v>7.08</v>
      </c>
      <c r="AH243" s="2" t="s">
        <v>661</v>
      </c>
      <c r="AI243" s="16">
        <f>8.31*2*55.84*1000/(100*159.69)</f>
        <v>58.116400526019163</v>
      </c>
      <c r="AJ243" s="16">
        <f t="shared" si="153"/>
        <v>1040.67330156718</v>
      </c>
      <c r="AK243" s="16">
        <f t="shared" si="154"/>
        <v>5.8116400526019163</v>
      </c>
      <c r="AL243" s="16">
        <f>21.4*27*1000/(100*78)</f>
        <v>74.07692307692308</v>
      </c>
      <c r="AM243" s="16">
        <f t="shared" si="155"/>
        <v>2745.6235388036721</v>
      </c>
      <c r="AN243" s="16">
        <f t="shared" si="156"/>
        <v>7.407692307692308</v>
      </c>
      <c r="AO243" s="2" t="s">
        <v>99</v>
      </c>
      <c r="AP243" s="15">
        <v>7.26</v>
      </c>
      <c r="AQ243" s="16" t="s">
        <v>689</v>
      </c>
      <c r="AR243" s="16">
        <v>59.5</v>
      </c>
      <c r="AS243" s="16">
        <v>29.9</v>
      </c>
      <c r="AT243" s="16">
        <v>10.7</v>
      </c>
      <c r="AU243" s="16" t="s">
        <v>664</v>
      </c>
      <c r="AV243" s="16">
        <f t="shared" si="150"/>
        <v>100.10000000000001</v>
      </c>
      <c r="AW243" s="18">
        <v>1.05</v>
      </c>
      <c r="AX243" s="13">
        <f t="shared" si="135"/>
        <v>1.0500000000000001E-2</v>
      </c>
      <c r="AY243" s="13" t="s">
        <v>100</v>
      </c>
      <c r="AZ243" s="16">
        <f t="shared" si="157"/>
        <v>2.5</v>
      </c>
      <c r="BA243" s="16" t="s">
        <v>55</v>
      </c>
      <c r="BB243" s="16">
        <v>10</v>
      </c>
      <c r="BC243" s="16">
        <v>500</v>
      </c>
      <c r="BD243" s="18">
        <v>0.63900000000000001</v>
      </c>
      <c r="BE243" s="15">
        <f t="shared" si="151"/>
        <v>60.857142857142854</v>
      </c>
      <c r="BF243" s="8">
        <f t="shared" si="132"/>
        <v>1.7843115590884622</v>
      </c>
      <c r="BG243" s="8">
        <f t="shared" si="152"/>
        <v>-0.19449914184159983</v>
      </c>
      <c r="BH243" s="13" t="s">
        <v>837</v>
      </c>
      <c r="BI243" s="13"/>
      <c r="BJ243" s="13"/>
      <c r="BK243" s="8"/>
      <c r="BL243" s="8"/>
      <c r="BM243" s="18"/>
      <c r="BN243" s="8"/>
      <c r="BO243" s="24"/>
    </row>
    <row r="244" spans="1:67" s="14" customFormat="1" x14ac:dyDescent="0.3">
      <c r="A244" s="20">
        <v>242</v>
      </c>
      <c r="B244" s="2" t="s">
        <v>228</v>
      </c>
      <c r="C244" s="2">
        <v>2017</v>
      </c>
      <c r="D244" s="2" t="s">
        <v>229</v>
      </c>
      <c r="E244" s="10" t="s">
        <v>809</v>
      </c>
      <c r="F244" s="20" t="s">
        <v>29</v>
      </c>
      <c r="G244" s="2" t="s">
        <v>102</v>
      </c>
      <c r="H244" s="2" t="str">
        <f>'PFAS Properties'!$B$33</f>
        <v>PFOA</v>
      </c>
      <c r="I244" s="2" t="str">
        <f>'PFAS Properties'!$C$33</f>
        <v>PFCA</v>
      </c>
      <c r="J244" s="2" t="str">
        <f>'PFAS Properties'!$D$33</f>
        <v>C8HF15O2</v>
      </c>
      <c r="K244" s="25">
        <f>'PFAS Properties'!$P$33</f>
        <v>413.97359999999998</v>
      </c>
      <c r="L244" s="2">
        <f>'PFAS Properties'!$X$33</f>
        <v>-0.2</v>
      </c>
      <c r="M244" s="2" t="str">
        <f>'PFAS Properties'!$Y$33</f>
        <v>-</v>
      </c>
      <c r="N244" s="33">
        <v>0</v>
      </c>
      <c r="O244" s="33">
        <v>0</v>
      </c>
      <c r="P244" s="33">
        <v>0</v>
      </c>
      <c r="Q244" s="33">
        <f t="shared" si="120"/>
        <v>0.99999999837818987</v>
      </c>
      <c r="R244" s="33">
        <v>0</v>
      </c>
      <c r="S244" s="33">
        <f t="shared" si="121"/>
        <v>1.6218100947286599E-9</v>
      </c>
      <c r="T244" s="8">
        <f t="shared" si="126"/>
        <v>1</v>
      </c>
      <c r="U244" s="33">
        <f t="shared" si="127"/>
        <v>0</v>
      </c>
      <c r="V244" s="33">
        <f t="shared" si="128"/>
        <v>-0.99999999837818987</v>
      </c>
      <c r="W244" s="33">
        <f t="shared" si="129"/>
        <v>412.97360000162178</v>
      </c>
      <c r="X244" s="33">
        <v>96485</v>
      </c>
      <c r="Y244" s="16">
        <f t="shared" si="130"/>
        <v>-233.63478886577917</v>
      </c>
      <c r="Z244" s="16">
        <v>8</v>
      </c>
      <c r="AA244" s="16">
        <v>15</v>
      </c>
      <c r="AB244" s="8">
        <f t="shared" si="131"/>
        <v>0.33684210526315789</v>
      </c>
      <c r="AC244" s="16">
        <f t="shared" si="117"/>
        <v>68.844969824162703</v>
      </c>
      <c r="AD244" s="20">
        <f>'PFAS Properties'!$W$33</f>
        <v>7</v>
      </c>
      <c r="AE244" s="8">
        <f>'PFAS Properties'!$S$33</f>
        <v>2.6821450763738319</v>
      </c>
      <c r="AF244" s="15">
        <f>'PFAS Properties'!$V$33</f>
        <v>4.9000000000000004</v>
      </c>
      <c r="AG244" s="24">
        <v>8.59</v>
      </c>
      <c r="AH244" s="2" t="s">
        <v>661</v>
      </c>
      <c r="AI244" s="16">
        <f>4.45*2*55.84*1000/(100*159.69)</f>
        <v>31.12129751393325</v>
      </c>
      <c r="AJ244" s="16">
        <f t="shared" si="153"/>
        <v>557.27992683200375</v>
      </c>
      <c r="AK244" s="16">
        <f t="shared" si="154"/>
        <v>3.1121297513933248</v>
      </c>
      <c r="AL244" s="16">
        <f>12.1*27*1000/(100*78)</f>
        <v>41.884615384615387</v>
      </c>
      <c r="AM244" s="16">
        <f t="shared" si="155"/>
        <v>1552.4320009123569</v>
      </c>
      <c r="AN244" s="16">
        <f t="shared" si="156"/>
        <v>4.1884615384615387</v>
      </c>
      <c r="AO244" s="2" t="s">
        <v>99</v>
      </c>
      <c r="AP244" s="15">
        <v>9.41</v>
      </c>
      <c r="AQ244" s="16" t="s">
        <v>689</v>
      </c>
      <c r="AR244" s="16">
        <v>30.3</v>
      </c>
      <c r="AS244" s="16">
        <v>58.2</v>
      </c>
      <c r="AT244" s="16">
        <v>11.5</v>
      </c>
      <c r="AU244" s="16" t="s">
        <v>664</v>
      </c>
      <c r="AV244" s="16">
        <f t="shared" si="150"/>
        <v>100</v>
      </c>
      <c r="AW244" s="18">
        <v>1.48</v>
      </c>
      <c r="AX244" s="13">
        <f t="shared" si="135"/>
        <v>1.4800000000000001E-2</v>
      </c>
      <c r="AY244" s="13" t="s">
        <v>100</v>
      </c>
      <c r="AZ244" s="16">
        <f t="shared" si="157"/>
        <v>2.5</v>
      </c>
      <c r="BA244" s="16" t="s">
        <v>55</v>
      </c>
      <c r="BB244" s="16">
        <v>10</v>
      </c>
      <c r="BC244" s="16">
        <v>500</v>
      </c>
      <c r="BD244" s="18">
        <v>0.66100000000000003</v>
      </c>
      <c r="BE244" s="15">
        <f t="shared" si="151"/>
        <v>44.662162162162161</v>
      </c>
      <c r="BF244" s="8">
        <f t="shared" si="132"/>
        <v>1.6499397440906829</v>
      </c>
      <c r="BG244" s="8">
        <f t="shared" si="152"/>
        <v>-0.17979854051435976</v>
      </c>
      <c r="BH244" s="13" t="s">
        <v>837</v>
      </c>
      <c r="BI244" s="13"/>
      <c r="BJ244" s="13"/>
      <c r="BK244" s="8"/>
      <c r="BL244" s="8"/>
      <c r="BM244" s="18"/>
      <c r="BN244" s="8"/>
      <c r="BO244" s="24"/>
    </row>
    <row r="245" spans="1:67" s="14" customFormat="1" x14ac:dyDescent="0.3">
      <c r="A245" s="20">
        <v>243</v>
      </c>
      <c r="B245" s="2" t="s">
        <v>228</v>
      </c>
      <c r="C245" s="2">
        <v>2017</v>
      </c>
      <c r="D245" s="2" t="s">
        <v>229</v>
      </c>
      <c r="E245" s="10" t="s">
        <v>809</v>
      </c>
      <c r="F245" s="20" t="s">
        <v>29</v>
      </c>
      <c r="G245" s="2" t="s">
        <v>103</v>
      </c>
      <c r="H245" s="2" t="str">
        <f>'PFAS Properties'!$B$33</f>
        <v>PFOA</v>
      </c>
      <c r="I245" s="2" t="str">
        <f>'PFAS Properties'!$C$33</f>
        <v>PFCA</v>
      </c>
      <c r="J245" s="2" t="str">
        <f>'PFAS Properties'!$D$33</f>
        <v>C8HF15O2</v>
      </c>
      <c r="K245" s="25">
        <f>'PFAS Properties'!$P$33</f>
        <v>413.97359999999998</v>
      </c>
      <c r="L245" s="2">
        <f>'PFAS Properties'!$X$33</f>
        <v>-0.2</v>
      </c>
      <c r="M245" s="2" t="str">
        <f>'PFAS Properties'!$Y$33</f>
        <v>-</v>
      </c>
      <c r="N245" s="33">
        <v>0</v>
      </c>
      <c r="O245" s="33">
        <v>0</v>
      </c>
      <c r="P245" s="33">
        <v>0</v>
      </c>
      <c r="Q245" s="33">
        <f t="shared" si="120"/>
        <v>0.99999087997478209</v>
      </c>
      <c r="R245" s="33">
        <v>0</v>
      </c>
      <c r="S245" s="33">
        <f t="shared" si="121"/>
        <v>9.1200252179405431E-6</v>
      </c>
      <c r="T245" s="8">
        <f t="shared" si="126"/>
        <v>1</v>
      </c>
      <c r="U245" s="33">
        <f t="shared" si="127"/>
        <v>0</v>
      </c>
      <c r="V245" s="33">
        <f t="shared" si="128"/>
        <v>-0.99999087997478209</v>
      </c>
      <c r="W245" s="33">
        <f t="shared" si="129"/>
        <v>412.97360912002517</v>
      </c>
      <c r="X245" s="33">
        <v>96485</v>
      </c>
      <c r="Y245" s="16">
        <f t="shared" si="130"/>
        <v>-233.63265333094216</v>
      </c>
      <c r="Z245" s="16">
        <v>8</v>
      </c>
      <c r="AA245" s="16">
        <v>15</v>
      </c>
      <c r="AB245" s="8">
        <f t="shared" si="131"/>
        <v>0.33684210526315789</v>
      </c>
      <c r="AC245" s="16">
        <f t="shared" si="117"/>
        <v>68.844969824162703</v>
      </c>
      <c r="AD245" s="20">
        <f>'PFAS Properties'!$W$33</f>
        <v>7</v>
      </c>
      <c r="AE245" s="8">
        <f>'PFAS Properties'!$S$33</f>
        <v>2.6821450763738319</v>
      </c>
      <c r="AF245" s="15">
        <f>'PFAS Properties'!$V$33</f>
        <v>4.9000000000000004</v>
      </c>
      <c r="AG245" s="24">
        <v>4.84</v>
      </c>
      <c r="AH245" s="2" t="s">
        <v>661</v>
      </c>
      <c r="AI245" s="16">
        <f>6.45*2*55.84*1000/(100*159.69)</f>
        <v>45.108397520195382</v>
      </c>
      <c r="AJ245" s="16">
        <f t="shared" si="153"/>
        <v>807.74281529582561</v>
      </c>
      <c r="AK245" s="16">
        <f t="shared" si="154"/>
        <v>4.510839752019538</v>
      </c>
      <c r="AL245" s="16">
        <f>16*27*1000/(100*78)</f>
        <v>55.384615384615387</v>
      </c>
      <c r="AM245" s="16">
        <f t="shared" si="155"/>
        <v>2052.8026458345216</v>
      </c>
      <c r="AN245" s="16">
        <f t="shared" si="156"/>
        <v>5.5384615384615383</v>
      </c>
      <c r="AO245" s="2" t="s">
        <v>99</v>
      </c>
      <c r="AP245" s="15">
        <v>11.8</v>
      </c>
      <c r="AQ245" s="16" t="s">
        <v>689</v>
      </c>
      <c r="AR245" s="16">
        <v>37.6</v>
      </c>
      <c r="AS245" s="16">
        <v>39.700000000000003</v>
      </c>
      <c r="AT245" s="16">
        <v>22.7</v>
      </c>
      <c r="AU245" s="16" t="s">
        <v>664</v>
      </c>
      <c r="AV245" s="16">
        <f t="shared" si="150"/>
        <v>100.00000000000001</v>
      </c>
      <c r="AW245" s="18">
        <v>1.7</v>
      </c>
      <c r="AX245" s="13">
        <f t="shared" si="135"/>
        <v>1.7000000000000001E-2</v>
      </c>
      <c r="AY245" s="13" t="s">
        <v>100</v>
      </c>
      <c r="AZ245" s="16">
        <f t="shared" si="157"/>
        <v>2.5</v>
      </c>
      <c r="BA245" s="16" t="s">
        <v>55</v>
      </c>
      <c r="BB245" s="16">
        <v>10</v>
      </c>
      <c r="BC245" s="16">
        <v>500</v>
      </c>
      <c r="BD245" s="18">
        <v>0.77</v>
      </c>
      <c r="BE245" s="15">
        <f t="shared" si="151"/>
        <v>45.294117647058819</v>
      </c>
      <c r="BF245" s="8">
        <f t="shared" si="132"/>
        <v>1.656041803794208</v>
      </c>
      <c r="BG245" s="8">
        <f t="shared" si="152"/>
        <v>-0.11350927482751812</v>
      </c>
      <c r="BH245" s="13" t="s">
        <v>837</v>
      </c>
      <c r="BI245" s="13"/>
      <c r="BJ245" s="13"/>
      <c r="BK245" s="8"/>
      <c r="BL245" s="8"/>
      <c r="BM245" s="18"/>
      <c r="BN245" s="8"/>
      <c r="BO245" s="24"/>
    </row>
    <row r="246" spans="1:67" s="14" customFormat="1" x14ac:dyDescent="0.3">
      <c r="A246" s="20">
        <v>244</v>
      </c>
      <c r="B246" s="2" t="s">
        <v>228</v>
      </c>
      <c r="C246" s="2">
        <v>2017</v>
      </c>
      <c r="D246" s="2" t="s">
        <v>229</v>
      </c>
      <c r="E246" s="10" t="s">
        <v>809</v>
      </c>
      <c r="F246" s="20" t="s">
        <v>29</v>
      </c>
      <c r="G246" s="2" t="s">
        <v>104</v>
      </c>
      <c r="H246" s="2" t="str">
        <f>'PFAS Properties'!$B$33</f>
        <v>PFOA</v>
      </c>
      <c r="I246" s="2" t="str">
        <f>'PFAS Properties'!$C$33</f>
        <v>PFCA</v>
      </c>
      <c r="J246" s="2" t="str">
        <f>'PFAS Properties'!$D$33</f>
        <v>C8HF15O2</v>
      </c>
      <c r="K246" s="25">
        <f>'PFAS Properties'!$P$33</f>
        <v>413.97359999999998</v>
      </c>
      <c r="L246" s="2">
        <f>'PFAS Properties'!$X$33</f>
        <v>-0.2</v>
      </c>
      <c r="M246" s="2" t="str">
        <f>'PFAS Properties'!$Y$33</f>
        <v>-</v>
      </c>
      <c r="N246" s="33">
        <v>0</v>
      </c>
      <c r="O246" s="33">
        <v>0</v>
      </c>
      <c r="P246" s="33">
        <v>0</v>
      </c>
      <c r="Q246" s="33">
        <f t="shared" si="120"/>
        <v>0.99999997655771244</v>
      </c>
      <c r="R246" s="33">
        <v>0</v>
      </c>
      <c r="S246" s="33">
        <f t="shared" si="121"/>
        <v>2.344228760365832E-8</v>
      </c>
      <c r="T246" s="8">
        <f t="shared" si="126"/>
        <v>1</v>
      </c>
      <c r="U246" s="33">
        <f t="shared" si="127"/>
        <v>0</v>
      </c>
      <c r="V246" s="33">
        <f t="shared" si="128"/>
        <v>-0.99999997655771244</v>
      </c>
      <c r="W246" s="33">
        <f t="shared" si="129"/>
        <v>412.97360002344232</v>
      </c>
      <c r="X246" s="33">
        <v>96485</v>
      </c>
      <c r="Y246" s="16">
        <f t="shared" si="130"/>
        <v>-233.63478375541186</v>
      </c>
      <c r="Z246" s="16">
        <v>8</v>
      </c>
      <c r="AA246" s="16">
        <v>15</v>
      </c>
      <c r="AB246" s="8">
        <f t="shared" si="131"/>
        <v>0.33684210526315789</v>
      </c>
      <c r="AC246" s="16">
        <f t="shared" si="117"/>
        <v>68.844969824162703</v>
      </c>
      <c r="AD246" s="20">
        <f>'PFAS Properties'!$W$33</f>
        <v>7</v>
      </c>
      <c r="AE246" s="8">
        <f>'PFAS Properties'!$S$33</f>
        <v>2.6821450763738319</v>
      </c>
      <c r="AF246" s="15">
        <f>'PFAS Properties'!$V$33</f>
        <v>4.9000000000000004</v>
      </c>
      <c r="AG246" s="24">
        <v>7.43</v>
      </c>
      <c r="AH246" s="2" t="s">
        <v>661</v>
      </c>
      <c r="AI246" s="16">
        <f>5.59*2*55.84*1000/(100*159.69)</f>
        <v>39.093944517502656</v>
      </c>
      <c r="AJ246" s="16">
        <f t="shared" si="153"/>
        <v>700.04377325638211</v>
      </c>
      <c r="AK246" s="16">
        <f t="shared" si="154"/>
        <v>3.9093944517502655</v>
      </c>
      <c r="AL246" s="16">
        <f>14*27*1000/(100*78)</f>
        <v>48.46153846153846</v>
      </c>
      <c r="AM246" s="16">
        <f t="shared" si="155"/>
        <v>1796.202315105206</v>
      </c>
      <c r="AN246" s="16">
        <f t="shared" si="156"/>
        <v>4.8461538461538458</v>
      </c>
      <c r="AO246" s="2" t="s">
        <v>99</v>
      </c>
      <c r="AP246" s="15">
        <v>14.2</v>
      </c>
      <c r="AQ246" s="16" t="s">
        <v>689</v>
      </c>
      <c r="AR246" s="16">
        <v>30.1</v>
      </c>
      <c r="AS246" s="16">
        <v>51.2</v>
      </c>
      <c r="AT246" s="16">
        <v>18.7</v>
      </c>
      <c r="AU246" s="16" t="s">
        <v>664</v>
      </c>
      <c r="AV246" s="16">
        <f t="shared" si="150"/>
        <v>100.00000000000001</v>
      </c>
      <c r="AW246" s="18">
        <v>2.4700000000000002</v>
      </c>
      <c r="AX246" s="13">
        <f t="shared" si="135"/>
        <v>2.4700000000000003E-2</v>
      </c>
      <c r="AY246" s="13" t="s">
        <v>100</v>
      </c>
      <c r="AZ246" s="16">
        <f t="shared" si="157"/>
        <v>2.5</v>
      </c>
      <c r="BA246" s="16" t="s">
        <v>55</v>
      </c>
      <c r="BB246" s="16">
        <v>10</v>
      </c>
      <c r="BC246" s="16">
        <v>500</v>
      </c>
      <c r="BD246" s="18">
        <v>0.89100000000000001</v>
      </c>
      <c r="BE246" s="15">
        <f t="shared" si="151"/>
        <v>36.072874493927124</v>
      </c>
      <c r="BF246" s="8">
        <f t="shared" si="132"/>
        <v>1.5571807507772091</v>
      </c>
      <c r="BG246" s="8">
        <f t="shared" si="152"/>
        <v>-5.0122295963125202E-2</v>
      </c>
      <c r="BH246" s="13" t="s">
        <v>837</v>
      </c>
      <c r="BI246" s="13"/>
      <c r="BJ246" s="13"/>
      <c r="BK246" s="8"/>
      <c r="BL246" s="8"/>
      <c r="BM246" s="18"/>
      <c r="BN246" s="8"/>
      <c r="BO246" s="24"/>
    </row>
    <row r="247" spans="1:67" s="14" customFormat="1" x14ac:dyDescent="0.3">
      <c r="A247" s="20">
        <v>245</v>
      </c>
      <c r="B247" s="2" t="s">
        <v>228</v>
      </c>
      <c r="C247" s="2">
        <v>2017</v>
      </c>
      <c r="D247" s="2" t="s">
        <v>229</v>
      </c>
      <c r="E247" s="22" t="s">
        <v>809</v>
      </c>
      <c r="F247" s="20" t="s">
        <v>29</v>
      </c>
      <c r="G247" s="2" t="s">
        <v>105</v>
      </c>
      <c r="H247" s="2" t="str">
        <f>'PFAS Properties'!$B$33</f>
        <v>PFOA</v>
      </c>
      <c r="I247" s="2" t="str">
        <f>'PFAS Properties'!$C$33</f>
        <v>PFCA</v>
      </c>
      <c r="J247" s="2" t="str">
        <f>'PFAS Properties'!$D$33</f>
        <v>C8HF15O2</v>
      </c>
      <c r="K247" s="25">
        <f>'PFAS Properties'!$P$33</f>
        <v>413.97359999999998</v>
      </c>
      <c r="L247" s="2">
        <f>'PFAS Properties'!$X$33</f>
        <v>-0.2</v>
      </c>
      <c r="M247" s="2" t="str">
        <f>'PFAS Properties'!$Y$33</f>
        <v>-</v>
      </c>
      <c r="N247" s="33">
        <v>0</v>
      </c>
      <c r="O247" s="33">
        <v>0</v>
      </c>
      <c r="P247" s="33">
        <v>0</v>
      </c>
      <c r="Q247" s="33">
        <f t="shared" si="120"/>
        <v>0.9999999858746248</v>
      </c>
      <c r="R247" s="33">
        <v>0</v>
      </c>
      <c r="S247" s="33">
        <f t="shared" si="121"/>
        <v>1.4125375246701269E-8</v>
      </c>
      <c r="T247" s="8">
        <f t="shared" si="126"/>
        <v>1</v>
      </c>
      <c r="U247" s="33">
        <f t="shared" si="127"/>
        <v>0</v>
      </c>
      <c r="V247" s="33">
        <f t="shared" si="128"/>
        <v>-0.9999999858746248</v>
      </c>
      <c r="W247" s="33">
        <f t="shared" si="129"/>
        <v>412.9736000141254</v>
      </c>
      <c r="X247" s="33">
        <v>96485</v>
      </c>
      <c r="Y247" s="16">
        <f t="shared" si="130"/>
        <v>-233.63478593743764</v>
      </c>
      <c r="Z247" s="16">
        <v>8</v>
      </c>
      <c r="AA247" s="16">
        <v>15</v>
      </c>
      <c r="AB247" s="8">
        <f t="shared" si="131"/>
        <v>0.33684210526315789</v>
      </c>
      <c r="AC247" s="16">
        <f t="shared" si="117"/>
        <v>68.844969824162703</v>
      </c>
      <c r="AD247" s="20">
        <f>'PFAS Properties'!$W$33</f>
        <v>7</v>
      </c>
      <c r="AE247" s="8">
        <f>'PFAS Properties'!$S$33</f>
        <v>2.6821450763738319</v>
      </c>
      <c r="AF247" s="15">
        <f>'PFAS Properties'!$V$33</f>
        <v>4.9000000000000004</v>
      </c>
      <c r="AG247" s="24">
        <v>7.65</v>
      </c>
      <c r="AH247" s="2" t="s">
        <v>661</v>
      </c>
      <c r="AI247" s="16">
        <f>2.67*2*55.84*1000/(100*159.69)</f>
        <v>18.672778508359951</v>
      </c>
      <c r="AJ247" s="16">
        <f t="shared" si="153"/>
        <v>334.36795609920227</v>
      </c>
      <c r="AK247" s="16">
        <f t="shared" si="154"/>
        <v>1.8672778508359951</v>
      </c>
      <c r="AL247" s="16">
        <f>11.4*27*1000/(100*78)</f>
        <v>39.46153846153846</v>
      </c>
      <c r="AM247" s="16">
        <f t="shared" si="155"/>
        <v>1462.6218851570964</v>
      </c>
      <c r="AN247" s="16">
        <f t="shared" si="156"/>
        <v>3.9461538461538459</v>
      </c>
      <c r="AO247" s="2" t="s">
        <v>99</v>
      </c>
      <c r="AP247" s="15">
        <v>9.4440000000000008</v>
      </c>
      <c r="AQ247" s="16" t="s">
        <v>689</v>
      </c>
      <c r="AR247" s="16">
        <v>34.1</v>
      </c>
      <c r="AS247" s="16">
        <v>40.799999999999997</v>
      </c>
      <c r="AT247" s="16">
        <v>25.1</v>
      </c>
      <c r="AU247" s="16" t="s">
        <v>664</v>
      </c>
      <c r="AV247" s="16">
        <f t="shared" si="150"/>
        <v>100</v>
      </c>
      <c r="AW247" s="18">
        <v>3.02</v>
      </c>
      <c r="AX247" s="13">
        <f t="shared" si="135"/>
        <v>3.0200000000000001E-2</v>
      </c>
      <c r="AY247" s="13" t="s">
        <v>100</v>
      </c>
      <c r="AZ247" s="16">
        <f t="shared" si="157"/>
        <v>2.5</v>
      </c>
      <c r="BA247" s="16" t="s">
        <v>55</v>
      </c>
      <c r="BB247" s="16">
        <v>10</v>
      </c>
      <c r="BC247" s="16">
        <v>500</v>
      </c>
      <c r="BD247" s="18">
        <v>0.91900000000000004</v>
      </c>
      <c r="BE247" s="15">
        <f t="shared" si="151"/>
        <v>30.430463576158939</v>
      </c>
      <c r="BF247" s="8">
        <f t="shared" si="132"/>
        <v>1.4833085684289606</v>
      </c>
      <c r="BG247" s="8">
        <f t="shared" si="152"/>
        <v>-3.6684488613888719E-2</v>
      </c>
      <c r="BH247" s="13" t="s">
        <v>837</v>
      </c>
      <c r="BI247" s="13"/>
      <c r="BJ247" s="13"/>
      <c r="BK247" s="8"/>
      <c r="BL247" s="8"/>
      <c r="BM247" s="18"/>
      <c r="BN247" s="8"/>
      <c r="BO247" s="24"/>
    </row>
    <row r="248" spans="1:67" s="14" customFormat="1" x14ac:dyDescent="0.3">
      <c r="A248" s="20">
        <v>246</v>
      </c>
      <c r="B248" s="2" t="s">
        <v>228</v>
      </c>
      <c r="C248" s="2">
        <v>2017</v>
      </c>
      <c r="D248" s="2" t="s">
        <v>229</v>
      </c>
      <c r="E248" s="10" t="s">
        <v>809</v>
      </c>
      <c r="F248" s="20" t="s">
        <v>29</v>
      </c>
      <c r="G248" s="2" t="s">
        <v>106</v>
      </c>
      <c r="H248" s="2" t="str">
        <f>'PFAS Properties'!$B$33</f>
        <v>PFOA</v>
      </c>
      <c r="I248" s="2" t="str">
        <f>'PFAS Properties'!$C$33</f>
        <v>PFCA</v>
      </c>
      <c r="J248" s="2" t="str">
        <f>'PFAS Properties'!$D$33</f>
        <v>C8HF15O2</v>
      </c>
      <c r="K248" s="25">
        <f>'PFAS Properties'!$P$33</f>
        <v>413.97359999999998</v>
      </c>
      <c r="L248" s="2">
        <f>'PFAS Properties'!$X$33</f>
        <v>-0.2</v>
      </c>
      <c r="M248" s="2" t="str">
        <f>'PFAS Properties'!$Y$33</f>
        <v>-</v>
      </c>
      <c r="N248" s="33">
        <v>0</v>
      </c>
      <c r="O248" s="33">
        <v>0</v>
      </c>
      <c r="P248" s="33">
        <v>0</v>
      </c>
      <c r="Q248" s="33">
        <f t="shared" si="120"/>
        <v>0.99999462971087649</v>
      </c>
      <c r="R248" s="33">
        <v>0</v>
      </c>
      <c r="S248" s="33">
        <f t="shared" si="121"/>
        <v>5.3702891235423617E-6</v>
      </c>
      <c r="T248" s="8">
        <f t="shared" si="126"/>
        <v>1</v>
      </c>
      <c r="U248" s="33">
        <f t="shared" si="127"/>
        <v>0</v>
      </c>
      <c r="V248" s="33">
        <f t="shared" si="128"/>
        <v>-0.99999462971087649</v>
      </c>
      <c r="W248" s="33">
        <f t="shared" si="129"/>
        <v>412.97360537028908</v>
      </c>
      <c r="X248" s="33">
        <v>96485</v>
      </c>
      <c r="Y248" s="16">
        <f t="shared" si="130"/>
        <v>-233.63353152108104</v>
      </c>
      <c r="Z248" s="16">
        <v>8</v>
      </c>
      <c r="AA248" s="16">
        <v>15</v>
      </c>
      <c r="AB248" s="8">
        <f t="shared" si="131"/>
        <v>0.33684210526315789</v>
      </c>
      <c r="AC248" s="16">
        <f t="shared" si="117"/>
        <v>68.844969824162703</v>
      </c>
      <c r="AD248" s="20">
        <f>'PFAS Properties'!$W$33</f>
        <v>7</v>
      </c>
      <c r="AE248" s="8">
        <f>'PFAS Properties'!$S$33</f>
        <v>2.6821450763738319</v>
      </c>
      <c r="AF248" s="15">
        <f>'PFAS Properties'!$V$33</f>
        <v>4.9000000000000004</v>
      </c>
      <c r="AG248" s="24">
        <v>5.07</v>
      </c>
      <c r="AH248" s="2" t="s">
        <v>661</v>
      </c>
      <c r="AI248" s="16">
        <f>2.55*2*55.84*1000/(100*159.69)</f>
        <v>17.833552507984219</v>
      </c>
      <c r="AJ248" s="16">
        <f t="shared" si="153"/>
        <v>319.34018279137291</v>
      </c>
      <c r="AK248" s="16">
        <f t="shared" si="154"/>
        <v>1.7833552507984218</v>
      </c>
      <c r="AL248" s="16">
        <f>10.3*27*1000/(100*78)</f>
        <v>35.653846153846153</v>
      </c>
      <c r="AM248" s="16">
        <f t="shared" si="155"/>
        <v>1321.4917032559731</v>
      </c>
      <c r="AN248" s="16">
        <f t="shared" si="156"/>
        <v>3.5653846153846152</v>
      </c>
      <c r="AO248" s="2" t="s">
        <v>99</v>
      </c>
      <c r="AP248" s="15">
        <v>8.5</v>
      </c>
      <c r="AQ248" s="16" t="s">
        <v>689</v>
      </c>
      <c r="AR248" s="16">
        <v>46.4</v>
      </c>
      <c r="AS248" s="16">
        <v>37.200000000000003</v>
      </c>
      <c r="AT248" s="16">
        <v>16.399999999999999</v>
      </c>
      <c r="AU248" s="16" t="s">
        <v>664</v>
      </c>
      <c r="AV248" s="16">
        <f t="shared" si="150"/>
        <v>100</v>
      </c>
      <c r="AW248" s="18">
        <v>3.61</v>
      </c>
      <c r="AX248" s="13">
        <f t="shared" si="135"/>
        <v>3.61E-2</v>
      </c>
      <c r="AY248" s="13" t="s">
        <v>100</v>
      </c>
      <c r="AZ248" s="16">
        <f t="shared" si="157"/>
        <v>2.5</v>
      </c>
      <c r="BA248" s="16" t="s">
        <v>55</v>
      </c>
      <c r="BB248" s="16">
        <v>10</v>
      </c>
      <c r="BC248" s="16">
        <v>500</v>
      </c>
      <c r="BD248" s="18">
        <v>1.1499999999999999</v>
      </c>
      <c r="BE248" s="15">
        <f t="shared" si="151"/>
        <v>31.855955678670359</v>
      </c>
      <c r="BF248" s="8">
        <f t="shared" si="132"/>
        <v>1.5031906384479536</v>
      </c>
      <c r="BG248" s="8">
        <f t="shared" si="152"/>
        <v>6.069784035361165E-2</v>
      </c>
      <c r="BH248" s="13" t="s">
        <v>837</v>
      </c>
      <c r="BI248" s="13"/>
      <c r="BJ248" s="13"/>
      <c r="BK248" s="8"/>
      <c r="BL248" s="8"/>
      <c r="BM248" s="18"/>
      <c r="BN248" s="8"/>
      <c r="BO248" s="24"/>
    </row>
    <row r="249" spans="1:67" s="14" customFormat="1" x14ac:dyDescent="0.3">
      <c r="A249" s="20">
        <v>247</v>
      </c>
      <c r="B249" s="2" t="s">
        <v>228</v>
      </c>
      <c r="C249" s="2">
        <v>2017</v>
      </c>
      <c r="D249" s="2" t="s">
        <v>229</v>
      </c>
      <c r="E249" s="10" t="s">
        <v>809</v>
      </c>
      <c r="F249" s="20" t="s">
        <v>29</v>
      </c>
      <c r="G249" s="2" t="s">
        <v>107</v>
      </c>
      <c r="H249" s="2" t="str">
        <f>'PFAS Properties'!$B$33</f>
        <v>PFOA</v>
      </c>
      <c r="I249" s="2" t="str">
        <f>'PFAS Properties'!$C$33</f>
        <v>PFCA</v>
      </c>
      <c r="J249" s="2" t="str">
        <f>'PFAS Properties'!$D$33</f>
        <v>C8HF15O2</v>
      </c>
      <c r="K249" s="25">
        <f>'PFAS Properties'!$P$33</f>
        <v>413.97359999999998</v>
      </c>
      <c r="L249" s="2">
        <f>'PFAS Properties'!$X$33</f>
        <v>-0.2</v>
      </c>
      <c r="M249" s="2" t="str">
        <f>'PFAS Properties'!$Y$33</f>
        <v>-</v>
      </c>
      <c r="N249" s="33">
        <v>0</v>
      </c>
      <c r="O249" s="33">
        <v>0</v>
      </c>
      <c r="P249" s="33">
        <v>0</v>
      </c>
      <c r="Q249" s="33">
        <f t="shared" si="120"/>
        <v>0.9999999989528715</v>
      </c>
      <c r="R249" s="33">
        <v>0</v>
      </c>
      <c r="S249" s="33">
        <f t="shared" si="121"/>
        <v>1.0471285469544217E-9</v>
      </c>
      <c r="T249" s="8">
        <f t="shared" si="126"/>
        <v>1</v>
      </c>
      <c r="U249" s="33">
        <f t="shared" si="127"/>
        <v>0</v>
      </c>
      <c r="V249" s="33">
        <f t="shared" si="128"/>
        <v>-0.9999999989528715</v>
      </c>
      <c r="W249" s="33">
        <f t="shared" si="129"/>
        <v>412.97360000104715</v>
      </c>
      <c r="X249" s="33">
        <v>96485</v>
      </c>
      <c r="Y249" s="16">
        <f t="shared" si="130"/>
        <v>-233.63478900036989</v>
      </c>
      <c r="Z249" s="16">
        <v>8</v>
      </c>
      <c r="AA249" s="16">
        <v>15</v>
      </c>
      <c r="AB249" s="8">
        <f t="shared" si="131"/>
        <v>0.33684210526315789</v>
      </c>
      <c r="AC249" s="16">
        <f t="shared" si="117"/>
        <v>68.844969824162703</v>
      </c>
      <c r="AD249" s="20">
        <f>'PFAS Properties'!$W$33</f>
        <v>7</v>
      </c>
      <c r="AE249" s="8">
        <f>'PFAS Properties'!$S$33</f>
        <v>2.6821450763738319</v>
      </c>
      <c r="AF249" s="15">
        <f>'PFAS Properties'!$V$33</f>
        <v>4.9000000000000004</v>
      </c>
      <c r="AG249" s="24">
        <v>8.7799999999999994</v>
      </c>
      <c r="AH249" s="2" t="s">
        <v>661</v>
      </c>
      <c r="AI249" s="16">
        <f>3.75*2*55.84*1000/(100*159.69)</f>
        <v>26.225812511741498</v>
      </c>
      <c r="AJ249" s="16">
        <f t="shared" si="153"/>
        <v>469.61791586966604</v>
      </c>
      <c r="AK249" s="16">
        <f t="shared" si="154"/>
        <v>2.6225812511741498</v>
      </c>
      <c r="AL249" s="16">
        <f>12*27*1000/(100*78)</f>
        <v>41.53846153846154</v>
      </c>
      <c r="AM249" s="16">
        <f t="shared" si="155"/>
        <v>1539.6019843758909</v>
      </c>
      <c r="AN249" s="16">
        <f t="shared" si="156"/>
        <v>4.1538461538461542</v>
      </c>
      <c r="AO249" s="2" t="s">
        <v>99</v>
      </c>
      <c r="AP249" s="15">
        <v>7.62</v>
      </c>
      <c r="AQ249" s="16" t="s">
        <v>689</v>
      </c>
      <c r="AR249" s="16">
        <v>38.700000000000003</v>
      </c>
      <c r="AS249" s="16">
        <v>42.1</v>
      </c>
      <c r="AT249" s="16">
        <v>19.2</v>
      </c>
      <c r="AU249" s="16" t="s">
        <v>664</v>
      </c>
      <c r="AV249" s="16">
        <f t="shared" si="150"/>
        <v>100.00000000000001</v>
      </c>
      <c r="AW249" s="18">
        <v>4.8</v>
      </c>
      <c r="AX249" s="13">
        <f t="shared" si="135"/>
        <v>4.8000000000000001E-2</v>
      </c>
      <c r="AY249" s="13" t="s">
        <v>100</v>
      </c>
      <c r="AZ249" s="16">
        <f t="shared" si="157"/>
        <v>2.5</v>
      </c>
      <c r="BA249" s="16" t="s">
        <v>55</v>
      </c>
      <c r="BB249" s="16">
        <v>10</v>
      </c>
      <c r="BC249" s="16">
        <v>500</v>
      </c>
      <c r="BD249" s="18">
        <v>1.2</v>
      </c>
      <c r="BE249" s="15">
        <f t="shared" si="151"/>
        <v>25</v>
      </c>
      <c r="BF249" s="8">
        <f t="shared" si="132"/>
        <v>1.3979400086720377</v>
      </c>
      <c r="BG249" s="8">
        <f t="shared" si="152"/>
        <v>7.9181246047624818E-2</v>
      </c>
      <c r="BH249" s="13" t="s">
        <v>837</v>
      </c>
      <c r="BI249" s="13"/>
      <c r="BJ249" s="13"/>
      <c r="BK249" s="8"/>
      <c r="BL249" s="8"/>
      <c r="BM249" s="18"/>
      <c r="BN249" s="8"/>
      <c r="BO249" s="8"/>
    </row>
    <row r="250" spans="1:67" s="14" customFormat="1" x14ac:dyDescent="0.3">
      <c r="A250" s="20">
        <v>248</v>
      </c>
      <c r="B250" s="2" t="s">
        <v>228</v>
      </c>
      <c r="C250" s="2">
        <v>2017</v>
      </c>
      <c r="D250" s="2" t="s">
        <v>229</v>
      </c>
      <c r="E250" s="10" t="s">
        <v>809</v>
      </c>
      <c r="F250" s="20" t="s">
        <v>29</v>
      </c>
      <c r="G250" s="2" t="s">
        <v>108</v>
      </c>
      <c r="H250" s="2" t="str">
        <f>'PFAS Properties'!$B$33</f>
        <v>PFOA</v>
      </c>
      <c r="I250" s="2" t="str">
        <f>'PFAS Properties'!$C$33</f>
        <v>PFCA</v>
      </c>
      <c r="J250" s="2" t="str">
        <f>'PFAS Properties'!$D$33</f>
        <v>C8HF15O2</v>
      </c>
      <c r="K250" s="25">
        <f>'PFAS Properties'!$P$33</f>
        <v>413.97359999999998</v>
      </c>
      <c r="L250" s="2">
        <f>'PFAS Properties'!$X$33</f>
        <v>-0.2</v>
      </c>
      <c r="M250" s="2" t="str">
        <f>'PFAS Properties'!$Y$33</f>
        <v>-</v>
      </c>
      <c r="N250" s="33">
        <v>0</v>
      </c>
      <c r="O250" s="33">
        <v>0</v>
      </c>
      <c r="P250" s="33">
        <v>0</v>
      </c>
      <c r="Q250" s="33">
        <f t="shared" si="120"/>
        <v>0.9999999939744042</v>
      </c>
      <c r="R250" s="33">
        <v>0</v>
      </c>
      <c r="S250" s="33">
        <f t="shared" si="121"/>
        <v>6.0255958244357746E-9</v>
      </c>
      <c r="T250" s="8">
        <f t="shared" si="126"/>
        <v>1</v>
      </c>
      <c r="U250" s="33">
        <f t="shared" si="127"/>
        <v>0</v>
      </c>
      <c r="V250" s="33">
        <f t="shared" si="128"/>
        <v>-0.9999999939744042</v>
      </c>
      <c r="W250" s="33">
        <f t="shared" si="129"/>
        <v>412.97360000602555</v>
      </c>
      <c r="X250" s="33">
        <v>96485</v>
      </c>
      <c r="Y250" s="16">
        <f t="shared" si="130"/>
        <v>-233.63478783441028</v>
      </c>
      <c r="Z250" s="16">
        <v>8</v>
      </c>
      <c r="AA250" s="16">
        <v>15</v>
      </c>
      <c r="AB250" s="8">
        <f t="shared" si="131"/>
        <v>0.33684210526315789</v>
      </c>
      <c r="AC250" s="16">
        <f t="shared" si="117"/>
        <v>68.844969824162703</v>
      </c>
      <c r="AD250" s="20">
        <f>'PFAS Properties'!$W$33</f>
        <v>7</v>
      </c>
      <c r="AE250" s="8">
        <f>'PFAS Properties'!$S$33</f>
        <v>2.6821450763738319</v>
      </c>
      <c r="AF250" s="15">
        <f>'PFAS Properties'!$V$33</f>
        <v>4.9000000000000004</v>
      </c>
      <c r="AG250" s="24">
        <v>8.02</v>
      </c>
      <c r="AH250" s="2" t="s">
        <v>661</v>
      </c>
      <c r="AI250" s="16">
        <f>5.33*2*55.84*1000/(100*159.69)</f>
        <v>37.275621516688588</v>
      </c>
      <c r="AJ250" s="16">
        <f t="shared" si="153"/>
        <v>667.48359775608537</v>
      </c>
      <c r="AK250" s="16">
        <f t="shared" si="154"/>
        <v>3.7275621516688586</v>
      </c>
      <c r="AL250" s="16">
        <f>13.8*27*1000/(100*78)</f>
        <v>47.769230769230766</v>
      </c>
      <c r="AM250" s="16">
        <f t="shared" si="155"/>
        <v>1770.5422820322744</v>
      </c>
      <c r="AN250" s="16">
        <f t="shared" si="156"/>
        <v>4.7769230769230768</v>
      </c>
      <c r="AO250" s="2" t="s">
        <v>99</v>
      </c>
      <c r="AP250" s="15">
        <v>12.5</v>
      </c>
      <c r="AQ250" s="16" t="s">
        <v>689</v>
      </c>
      <c r="AR250" s="16">
        <v>33.1</v>
      </c>
      <c r="AS250" s="16">
        <v>29.8</v>
      </c>
      <c r="AT250" s="16">
        <v>37.1</v>
      </c>
      <c r="AU250" s="16" t="s">
        <v>664</v>
      </c>
      <c r="AV250" s="16">
        <f t="shared" si="150"/>
        <v>100</v>
      </c>
      <c r="AW250" s="18">
        <v>5.0599999999999996</v>
      </c>
      <c r="AX250" s="13">
        <f t="shared" si="135"/>
        <v>5.0599999999999999E-2</v>
      </c>
      <c r="AY250" s="13" t="s">
        <v>100</v>
      </c>
      <c r="AZ250" s="16">
        <f t="shared" si="157"/>
        <v>2.5</v>
      </c>
      <c r="BA250" s="16" t="s">
        <v>55</v>
      </c>
      <c r="BB250" s="16">
        <v>10</v>
      </c>
      <c r="BC250" s="16">
        <v>500</v>
      </c>
      <c r="BD250" s="18">
        <v>1.28</v>
      </c>
      <c r="BE250" s="15">
        <f t="shared" si="151"/>
        <v>25.296442687747035</v>
      </c>
      <c r="BF250" s="8">
        <f t="shared" si="132"/>
        <v>1.4030594528080693</v>
      </c>
      <c r="BG250" s="8">
        <f t="shared" si="152"/>
        <v>0.10720996964786837</v>
      </c>
      <c r="BH250" s="13" t="s">
        <v>837</v>
      </c>
      <c r="BI250" s="13"/>
      <c r="BJ250" s="13"/>
      <c r="BK250" s="8"/>
      <c r="BL250" s="8"/>
      <c r="BM250" s="18"/>
      <c r="BN250" s="8"/>
      <c r="BO250" s="8"/>
    </row>
    <row r="251" spans="1:67" s="14" customFormat="1" x14ac:dyDescent="0.3">
      <c r="A251" s="20">
        <v>249</v>
      </c>
      <c r="B251" s="2" t="s">
        <v>228</v>
      </c>
      <c r="C251" s="2">
        <v>2017</v>
      </c>
      <c r="D251" s="2" t="s">
        <v>229</v>
      </c>
      <c r="E251" s="10" t="s">
        <v>809</v>
      </c>
      <c r="F251" s="20" t="s">
        <v>29</v>
      </c>
      <c r="G251" s="2" t="s">
        <v>109</v>
      </c>
      <c r="H251" s="2" t="str">
        <f>'PFAS Properties'!$B$33</f>
        <v>PFOA</v>
      </c>
      <c r="I251" s="2" t="str">
        <f>'PFAS Properties'!$C$33</f>
        <v>PFCA</v>
      </c>
      <c r="J251" s="2" t="str">
        <f>'PFAS Properties'!$D$33</f>
        <v>C8HF15O2</v>
      </c>
      <c r="K251" s="25">
        <f>'PFAS Properties'!$P$33</f>
        <v>413.97359999999998</v>
      </c>
      <c r="L251" s="2">
        <f>'PFAS Properties'!$X$33</f>
        <v>-0.2</v>
      </c>
      <c r="M251" s="2" t="str">
        <f>'PFAS Properties'!$Y$33</f>
        <v>-</v>
      </c>
      <c r="N251" s="33">
        <v>0</v>
      </c>
      <c r="O251" s="33">
        <v>0</v>
      </c>
      <c r="P251" s="33">
        <v>0</v>
      </c>
      <c r="Q251" s="33">
        <f t="shared" si="120"/>
        <v>0.99999993081690774</v>
      </c>
      <c r="R251" s="33">
        <v>0</v>
      </c>
      <c r="S251" s="33">
        <f t="shared" si="121"/>
        <v>6.9183092305592872E-8</v>
      </c>
      <c r="T251" s="8">
        <f t="shared" si="126"/>
        <v>1</v>
      </c>
      <c r="U251" s="33">
        <f t="shared" si="127"/>
        <v>0</v>
      </c>
      <c r="V251" s="33">
        <f t="shared" si="128"/>
        <v>-0.99999993081690774</v>
      </c>
      <c r="W251" s="33">
        <f t="shared" si="129"/>
        <v>412.97360006918308</v>
      </c>
      <c r="X251" s="33">
        <v>96485</v>
      </c>
      <c r="Y251" s="16">
        <f t="shared" si="130"/>
        <v>-233.63477304289128</v>
      </c>
      <c r="Z251" s="16">
        <v>8</v>
      </c>
      <c r="AA251" s="16">
        <v>15</v>
      </c>
      <c r="AB251" s="8">
        <f t="shared" si="131"/>
        <v>0.33684210526315789</v>
      </c>
      <c r="AC251" s="16">
        <f t="shared" si="117"/>
        <v>68.844969824162703</v>
      </c>
      <c r="AD251" s="20">
        <f>'PFAS Properties'!$W$33</f>
        <v>7</v>
      </c>
      <c r="AE251" s="8">
        <f>'PFAS Properties'!$S$33</f>
        <v>2.6821450763738319</v>
      </c>
      <c r="AF251" s="15">
        <f>'PFAS Properties'!$V$33</f>
        <v>4.9000000000000004</v>
      </c>
      <c r="AG251" s="24">
        <v>6.96</v>
      </c>
      <c r="AH251" s="2" t="s">
        <v>661</v>
      </c>
      <c r="AI251" s="16">
        <f>4.34*2*55.84*1000/(100*159.69)</f>
        <v>30.352007013588828</v>
      </c>
      <c r="AJ251" s="16">
        <f t="shared" si="153"/>
        <v>543.50446796649351</v>
      </c>
      <c r="AK251" s="16">
        <f t="shared" si="154"/>
        <v>3.0352007013588826</v>
      </c>
      <c r="AL251" s="16">
        <f>13.3*27*1000/(100*78)</f>
        <v>46.03846153846154</v>
      </c>
      <c r="AM251" s="16">
        <f t="shared" si="155"/>
        <v>1706.3921993499457</v>
      </c>
      <c r="AN251" s="16">
        <f t="shared" si="156"/>
        <v>4.6038461538461544</v>
      </c>
      <c r="AO251" s="2" t="s">
        <v>99</v>
      </c>
      <c r="AP251" s="15">
        <v>25.3</v>
      </c>
      <c r="AQ251" s="16" t="s">
        <v>689</v>
      </c>
      <c r="AR251" s="16">
        <v>23.6</v>
      </c>
      <c r="AS251" s="16">
        <v>30.3</v>
      </c>
      <c r="AT251" s="16">
        <v>46.2</v>
      </c>
      <c r="AU251" s="16" t="s">
        <v>664</v>
      </c>
      <c r="AV251" s="16">
        <f t="shared" si="150"/>
        <v>100.10000000000001</v>
      </c>
      <c r="AW251" s="18">
        <v>5.76</v>
      </c>
      <c r="AX251" s="13">
        <f t="shared" si="135"/>
        <v>5.7599999999999998E-2</v>
      </c>
      <c r="AY251" s="13" t="s">
        <v>100</v>
      </c>
      <c r="AZ251" s="16">
        <f t="shared" si="157"/>
        <v>2.5</v>
      </c>
      <c r="BA251" s="16" t="s">
        <v>55</v>
      </c>
      <c r="BB251" s="16">
        <v>10</v>
      </c>
      <c r="BC251" s="16">
        <v>500</v>
      </c>
      <c r="BD251" s="18">
        <v>1.48</v>
      </c>
      <c r="BE251" s="15">
        <f t="shared" si="151"/>
        <v>25.694444444444446</v>
      </c>
      <c r="BF251" s="8">
        <f t="shared" si="132"/>
        <v>1.4098392319717454</v>
      </c>
      <c r="BG251" s="8">
        <f t="shared" si="152"/>
        <v>0.17026171539495738</v>
      </c>
      <c r="BH251" s="13" t="s">
        <v>837</v>
      </c>
      <c r="BI251" s="13"/>
      <c r="BJ251" s="13"/>
      <c r="BK251" s="8"/>
      <c r="BL251" s="8"/>
      <c r="BM251" s="18"/>
      <c r="BN251" s="8"/>
      <c r="BO251" s="8"/>
    </row>
    <row r="252" spans="1:67" s="14" customFormat="1" x14ac:dyDescent="0.3">
      <c r="A252" s="20">
        <v>250</v>
      </c>
      <c r="B252" s="2" t="s">
        <v>195</v>
      </c>
      <c r="C252" s="2">
        <v>2018</v>
      </c>
      <c r="D252" s="2" t="s">
        <v>199</v>
      </c>
      <c r="E252" s="10" t="s">
        <v>795</v>
      </c>
      <c r="F252" s="20" t="s">
        <v>29</v>
      </c>
      <c r="G252" s="2" t="s">
        <v>47</v>
      </c>
      <c r="H252" s="2" t="str">
        <f>'PFAS Properties'!$B$33</f>
        <v>PFOA</v>
      </c>
      <c r="I252" s="2" t="str">
        <f>'PFAS Properties'!$C$33</f>
        <v>PFCA</v>
      </c>
      <c r="J252" s="2" t="str">
        <f>'PFAS Properties'!$D$33</f>
        <v>C8HF15O2</v>
      </c>
      <c r="K252" s="25">
        <f>'PFAS Properties'!$P$33</f>
        <v>413.97359999999998</v>
      </c>
      <c r="L252" s="2">
        <f>'PFAS Properties'!$X$33</f>
        <v>-0.2</v>
      </c>
      <c r="M252" s="2" t="str">
        <f>'PFAS Properties'!$Y$33</f>
        <v>-</v>
      </c>
      <c r="N252" s="33">
        <v>0</v>
      </c>
      <c r="O252" s="33">
        <v>0</v>
      </c>
      <c r="P252" s="33">
        <v>0</v>
      </c>
      <c r="Q252" s="33">
        <f t="shared" si="120"/>
        <v>0.99998004777494953</v>
      </c>
      <c r="R252" s="33">
        <v>0</v>
      </c>
      <c r="S252" s="33">
        <f t="shared" si="121"/>
        <v>1.9952225050461341E-5</v>
      </c>
      <c r="T252" s="8">
        <f t="shared" si="126"/>
        <v>1</v>
      </c>
      <c r="U252" s="33">
        <f t="shared" si="127"/>
        <v>0</v>
      </c>
      <c r="V252" s="33">
        <f t="shared" si="128"/>
        <v>-0.99998004777494953</v>
      </c>
      <c r="W252" s="33">
        <f t="shared" si="129"/>
        <v>412.97361995222502</v>
      </c>
      <c r="X252" s="33">
        <v>96485</v>
      </c>
      <c r="Y252" s="16">
        <f t="shared" si="130"/>
        <v>-233.63011642421051</v>
      </c>
      <c r="Z252" s="16">
        <v>8</v>
      </c>
      <c r="AA252" s="16">
        <v>15</v>
      </c>
      <c r="AB252" s="8">
        <f t="shared" si="131"/>
        <v>0.33684210526315789</v>
      </c>
      <c r="AC252" s="16">
        <f t="shared" si="117"/>
        <v>68.844969824162703</v>
      </c>
      <c r="AD252" s="20">
        <f>'PFAS Properties'!$W$33</f>
        <v>7</v>
      </c>
      <c r="AE252" s="8">
        <f>'PFAS Properties'!$S$33</f>
        <v>2.6821450763738319</v>
      </c>
      <c r="AF252" s="15">
        <f>'PFAS Properties'!$V$33</f>
        <v>4.9000000000000004</v>
      </c>
      <c r="AG252" s="24">
        <v>4.5</v>
      </c>
      <c r="AH252" s="2" t="s">
        <v>658</v>
      </c>
      <c r="AI252" s="8">
        <f>AJ252*55.845/1000</f>
        <v>5.8637250000000002E-2</v>
      </c>
      <c r="AJ252" s="16">
        <v>1.05</v>
      </c>
      <c r="AK252" s="8">
        <f t="shared" si="154"/>
        <v>5.8637250000000002E-3</v>
      </c>
      <c r="AL252" s="15">
        <f>AM252*26.98/1000</f>
        <v>0.18454320000000002</v>
      </c>
      <c r="AM252" s="16">
        <v>6.84</v>
      </c>
      <c r="AN252" s="8">
        <f t="shared" si="156"/>
        <v>1.8454320000000003E-2</v>
      </c>
      <c r="AO252" s="2" t="s">
        <v>48</v>
      </c>
      <c r="AP252" s="72">
        <v>21.496500000000001</v>
      </c>
      <c r="AQ252" s="70" t="s">
        <v>752</v>
      </c>
      <c r="AR252" s="71">
        <v>41.737499999999997</v>
      </c>
      <c r="AS252" s="71">
        <v>35.036999999999999</v>
      </c>
      <c r="AT252" s="71">
        <v>21.971</v>
      </c>
      <c r="AU252" s="70" t="s">
        <v>752</v>
      </c>
      <c r="AV252" s="16">
        <f t="shared" si="150"/>
        <v>98.745499999999993</v>
      </c>
      <c r="AW252" s="18">
        <v>45</v>
      </c>
      <c r="AX252" s="13">
        <f t="shared" si="135"/>
        <v>0.45</v>
      </c>
      <c r="AY252" s="8" t="s">
        <v>49</v>
      </c>
      <c r="AZ252" s="16">
        <f>0.45/0.04</f>
        <v>11.25</v>
      </c>
      <c r="BA252" s="16" t="s">
        <v>55</v>
      </c>
      <c r="BB252" s="8">
        <v>1.25</v>
      </c>
      <c r="BC252" s="8" t="s">
        <v>55</v>
      </c>
      <c r="BD252" s="18">
        <f>(10^(2.14)*AX252)</f>
        <v>62.117291907129875</v>
      </c>
      <c r="BE252" s="15">
        <f t="shared" si="151"/>
        <v>138.0384264602886</v>
      </c>
      <c r="BF252" s="8">
        <f t="shared" si="132"/>
        <v>2.1400000000000006</v>
      </c>
      <c r="BG252" s="8">
        <f t="shared" si="152"/>
        <v>1.7932125137753441</v>
      </c>
      <c r="BH252" s="2" t="s">
        <v>826</v>
      </c>
      <c r="BI252" s="13"/>
      <c r="BJ252" s="13"/>
      <c r="BK252" s="13"/>
      <c r="BL252" s="13"/>
      <c r="BM252" s="18"/>
      <c r="BN252" s="18"/>
      <c r="BO252" s="2"/>
    </row>
    <row r="253" spans="1:67" s="14" customFormat="1" x14ac:dyDescent="0.3">
      <c r="A253" s="20">
        <v>251</v>
      </c>
      <c r="B253" s="2" t="s">
        <v>195</v>
      </c>
      <c r="C253" s="2">
        <v>2022</v>
      </c>
      <c r="D253" s="2" t="s">
        <v>199</v>
      </c>
      <c r="E253" s="22" t="s">
        <v>798</v>
      </c>
      <c r="F253" s="20" t="s">
        <v>29</v>
      </c>
      <c r="G253" s="2" t="s">
        <v>237</v>
      </c>
      <c r="H253" s="2" t="str">
        <f>'PFAS Properties'!$B$33</f>
        <v>PFOA</v>
      </c>
      <c r="I253" s="2" t="str">
        <f>'PFAS Properties'!$C$33</f>
        <v>PFCA</v>
      </c>
      <c r="J253" s="2" t="str">
        <f>'PFAS Properties'!$D$33</f>
        <v>C8HF15O2</v>
      </c>
      <c r="K253" s="25">
        <f>'PFAS Properties'!$P$33</f>
        <v>413.97359999999998</v>
      </c>
      <c r="L253" s="2">
        <f>'PFAS Properties'!$X$33</f>
        <v>-0.2</v>
      </c>
      <c r="M253" s="2" t="str">
        <f>'PFAS Properties'!$Y$33</f>
        <v>-</v>
      </c>
      <c r="N253" s="33">
        <v>0</v>
      </c>
      <c r="O253" s="33">
        <v>0</v>
      </c>
      <c r="P253" s="33">
        <v>0</v>
      </c>
      <c r="Q253" s="33">
        <f t="shared" si="120"/>
        <v>0.99984153579563773</v>
      </c>
      <c r="R253" s="33">
        <v>0</v>
      </c>
      <c r="S253" s="33">
        <f t="shared" si="121"/>
        <v>1.5846420436223696E-4</v>
      </c>
      <c r="T253" s="8">
        <f t="shared" si="126"/>
        <v>1</v>
      </c>
      <c r="U253" s="33">
        <f t="shared" si="127"/>
        <v>0</v>
      </c>
      <c r="V253" s="33">
        <f t="shared" si="128"/>
        <v>-0.99984153579563773</v>
      </c>
      <c r="W253" s="33">
        <f t="shared" si="129"/>
        <v>412.97375846420431</v>
      </c>
      <c r="X253" s="33">
        <v>96485</v>
      </c>
      <c r="Y253" s="16">
        <f t="shared" si="130"/>
        <v>-233.59767685966392</v>
      </c>
      <c r="Z253" s="16">
        <v>8</v>
      </c>
      <c r="AA253" s="16">
        <v>15</v>
      </c>
      <c r="AB253" s="8">
        <f t="shared" si="131"/>
        <v>0.33684210526315789</v>
      </c>
      <c r="AC253" s="16">
        <f t="shared" si="117"/>
        <v>68.844969824162703</v>
      </c>
      <c r="AD253" s="20">
        <f>'PFAS Properties'!$W$33</f>
        <v>7</v>
      </c>
      <c r="AE253" s="8">
        <f>'PFAS Properties'!$S$33</f>
        <v>2.6821450763738319</v>
      </c>
      <c r="AF253" s="15">
        <f>'PFAS Properties'!$V$33</f>
        <v>4.9000000000000004</v>
      </c>
      <c r="AG253" s="24">
        <v>3.6</v>
      </c>
      <c r="AH253" s="2" t="s">
        <v>832</v>
      </c>
      <c r="AI253" s="8">
        <f>(6.8*55.845)/1000</f>
        <v>0.37974599999999997</v>
      </c>
      <c r="AJ253" s="15">
        <f>AI253*1000/55.845</f>
        <v>6.8</v>
      </c>
      <c r="AK253" s="8">
        <f t="shared" si="154"/>
        <v>3.7974599999999997E-2</v>
      </c>
      <c r="AL253" s="8">
        <f>(4*26.982)/1000</f>
        <v>0.107928</v>
      </c>
      <c r="AM253" s="15">
        <f>AL253*1000/55.845</f>
        <v>1.932634971796938</v>
      </c>
      <c r="AN253" s="8">
        <f t="shared" si="156"/>
        <v>1.07928E-2</v>
      </c>
      <c r="AO253" s="2" t="s">
        <v>86</v>
      </c>
      <c r="AP253" s="72">
        <v>21.496500000000001</v>
      </c>
      <c r="AQ253" s="70" t="s">
        <v>752</v>
      </c>
      <c r="AR253" s="71">
        <v>41.737499999999997</v>
      </c>
      <c r="AS253" s="71">
        <v>35.036999999999999</v>
      </c>
      <c r="AT253" s="71">
        <v>21.971</v>
      </c>
      <c r="AU253" s="70" t="s">
        <v>752</v>
      </c>
      <c r="AV253" s="16">
        <f t="shared" si="150"/>
        <v>98.745499999999993</v>
      </c>
      <c r="AW253" s="18">
        <v>44.9</v>
      </c>
      <c r="AX253" s="13">
        <f t="shared" si="135"/>
        <v>0.44900000000000001</v>
      </c>
      <c r="AY253" s="8" t="s">
        <v>240</v>
      </c>
      <c r="AZ253" s="16">
        <f>0.75/0.03</f>
        <v>25</v>
      </c>
      <c r="BA253" s="16" t="s">
        <v>55</v>
      </c>
      <c r="BB253" s="16">
        <f>46*K253/1000</f>
        <v>19.042785599999998</v>
      </c>
      <c r="BC253" s="16" t="s">
        <v>55</v>
      </c>
      <c r="BD253" s="18">
        <f>(10^(2.45)*AX253)</f>
        <v>126.54539361377405</v>
      </c>
      <c r="BE253" s="15">
        <f t="shared" si="151"/>
        <v>281.83829312644554</v>
      </c>
      <c r="BF253" s="8">
        <f t="shared" si="132"/>
        <v>2.4500000000000002</v>
      </c>
      <c r="BG253" s="8">
        <f t="shared" si="152"/>
        <v>2.1022463410033234</v>
      </c>
      <c r="BH253" s="2" t="s">
        <v>826</v>
      </c>
      <c r="BI253" s="16"/>
      <c r="BJ253" s="13"/>
      <c r="BK253" s="13"/>
      <c r="BL253" s="8"/>
      <c r="BM253" s="18"/>
      <c r="BN253" s="8"/>
      <c r="BO253" s="24"/>
    </row>
    <row r="254" spans="1:67" s="14" customFormat="1" x14ac:dyDescent="0.3">
      <c r="A254" s="20">
        <v>252</v>
      </c>
      <c r="B254" s="2" t="s">
        <v>195</v>
      </c>
      <c r="C254" s="2">
        <v>2022</v>
      </c>
      <c r="D254" s="2" t="s">
        <v>199</v>
      </c>
      <c r="E254" s="10" t="s">
        <v>798</v>
      </c>
      <c r="F254" s="20" t="s">
        <v>29</v>
      </c>
      <c r="G254" s="2" t="s">
        <v>239</v>
      </c>
      <c r="H254" s="2" t="str">
        <f>'PFAS Properties'!$B$33</f>
        <v>PFOA</v>
      </c>
      <c r="I254" s="2" t="str">
        <f>'PFAS Properties'!$C$33</f>
        <v>PFCA</v>
      </c>
      <c r="J254" s="2" t="str">
        <f>'PFAS Properties'!$D$33</f>
        <v>C8HF15O2</v>
      </c>
      <c r="K254" s="25">
        <f>'PFAS Properties'!$P$33</f>
        <v>413.97359999999998</v>
      </c>
      <c r="L254" s="2">
        <f>'PFAS Properties'!$X$33</f>
        <v>-0.2</v>
      </c>
      <c r="M254" s="2" t="str">
        <f>'PFAS Properties'!$Y$33</f>
        <v>-</v>
      </c>
      <c r="N254" s="33">
        <v>0</v>
      </c>
      <c r="O254" s="33">
        <v>0</v>
      </c>
      <c r="P254" s="33">
        <v>0</v>
      </c>
      <c r="Q254" s="33">
        <f t="shared" si="120"/>
        <v>0.99993690824637249</v>
      </c>
      <c r="R254" s="33">
        <v>0</v>
      </c>
      <c r="S254" s="33">
        <f t="shared" si="121"/>
        <v>6.3091753627486543E-5</v>
      </c>
      <c r="T254" s="8">
        <f t="shared" si="126"/>
        <v>1</v>
      </c>
      <c r="U254" s="33">
        <f t="shared" si="127"/>
        <v>0</v>
      </c>
      <c r="V254" s="33">
        <f t="shared" si="128"/>
        <v>-0.99993690824637249</v>
      </c>
      <c r="W254" s="33">
        <f t="shared" si="129"/>
        <v>412.97366309175362</v>
      </c>
      <c r="X254" s="33">
        <v>96485</v>
      </c>
      <c r="Y254" s="16">
        <f t="shared" si="130"/>
        <v>-233.62001312591153</v>
      </c>
      <c r="Z254" s="16">
        <v>8</v>
      </c>
      <c r="AA254" s="16">
        <v>15</v>
      </c>
      <c r="AB254" s="8">
        <f t="shared" si="131"/>
        <v>0.33684210526315789</v>
      </c>
      <c r="AC254" s="16">
        <f t="shared" si="117"/>
        <v>68.844969824162703</v>
      </c>
      <c r="AD254" s="20">
        <f>'PFAS Properties'!$W$33</f>
        <v>7</v>
      </c>
      <c r="AE254" s="8">
        <f>'PFAS Properties'!$S$33</f>
        <v>2.6821450763738319</v>
      </c>
      <c r="AF254" s="15">
        <f>'PFAS Properties'!$V$33</f>
        <v>4.9000000000000004</v>
      </c>
      <c r="AG254" s="24">
        <v>4</v>
      </c>
      <c r="AH254" s="2" t="s">
        <v>832</v>
      </c>
      <c r="AI254" s="8">
        <f>(5*55.845)/1000</f>
        <v>0.279225</v>
      </c>
      <c r="AJ254" s="15">
        <f>AI254*1000/55.845</f>
        <v>5.0000000000000009</v>
      </c>
      <c r="AK254" s="8">
        <f t="shared" si="154"/>
        <v>2.7922499999999999E-2</v>
      </c>
      <c r="AL254" s="8">
        <f>(15*26.982)/1000</f>
        <v>0.40473000000000003</v>
      </c>
      <c r="AM254" s="15">
        <f>AL254*1000/55.845</f>
        <v>7.2473811442385179</v>
      </c>
      <c r="AN254" s="8">
        <f t="shared" si="156"/>
        <v>4.0473000000000002E-2</v>
      </c>
      <c r="AO254" s="2" t="s">
        <v>86</v>
      </c>
      <c r="AP254" s="72">
        <v>21.496500000000001</v>
      </c>
      <c r="AQ254" s="70" t="s">
        <v>752</v>
      </c>
      <c r="AR254" s="71">
        <v>41.737499999999997</v>
      </c>
      <c r="AS254" s="71">
        <v>35.036999999999999</v>
      </c>
      <c r="AT254" s="71">
        <v>21.971</v>
      </c>
      <c r="AU254" s="70" t="s">
        <v>752</v>
      </c>
      <c r="AV254" s="16">
        <f t="shared" si="150"/>
        <v>98.745499999999993</v>
      </c>
      <c r="AW254" s="18">
        <v>53.6</v>
      </c>
      <c r="AX254" s="13">
        <f t="shared" si="135"/>
        <v>0.53600000000000003</v>
      </c>
      <c r="AY254" s="8" t="s">
        <v>240</v>
      </c>
      <c r="AZ254" s="16">
        <f>0.75/0.03</f>
        <v>25</v>
      </c>
      <c r="BA254" s="16" t="s">
        <v>55</v>
      </c>
      <c r="BB254" s="16">
        <f>46*K254/1000</f>
        <v>19.042785599999998</v>
      </c>
      <c r="BC254" s="16" t="s">
        <v>55</v>
      </c>
      <c r="BD254" s="18">
        <f>(10^(2.28)*AX254)</f>
        <v>102.1326944828301</v>
      </c>
      <c r="BE254" s="15">
        <f t="shared" si="151"/>
        <v>190.54607179632481</v>
      </c>
      <c r="BF254" s="8">
        <f t="shared" si="132"/>
        <v>2.2800000000000002</v>
      </c>
      <c r="BG254" s="8">
        <f t="shared" si="152"/>
        <v>2.0091647896927705</v>
      </c>
      <c r="BH254" s="2" t="s">
        <v>826</v>
      </c>
      <c r="BI254" s="16"/>
      <c r="BJ254" s="13"/>
      <c r="BK254" s="13"/>
      <c r="BL254" s="8"/>
      <c r="BM254" s="18"/>
      <c r="BN254" s="8"/>
      <c r="BO254" s="24"/>
    </row>
    <row r="255" spans="1:67" s="14" customFormat="1" x14ac:dyDescent="0.3">
      <c r="A255" s="20">
        <v>253</v>
      </c>
      <c r="B255" s="2" t="s">
        <v>241</v>
      </c>
      <c r="C255" s="2">
        <v>2019</v>
      </c>
      <c r="D255" s="2" t="s">
        <v>201</v>
      </c>
      <c r="E255" s="22" t="s">
        <v>800</v>
      </c>
      <c r="F255" s="20" t="s">
        <v>29</v>
      </c>
      <c r="G255" s="2">
        <v>1</v>
      </c>
      <c r="H255" s="2" t="str">
        <f>'PFAS Properties'!$B$33</f>
        <v>PFOA</v>
      </c>
      <c r="I255" s="2" t="str">
        <f>'PFAS Properties'!$C$33</f>
        <v>PFCA</v>
      </c>
      <c r="J255" s="2" t="str">
        <f>'PFAS Properties'!$D$33</f>
        <v>C8HF15O2</v>
      </c>
      <c r="K255" s="25">
        <f>'PFAS Properties'!$P$33</f>
        <v>413.97359999999998</v>
      </c>
      <c r="L255" s="2">
        <f>'PFAS Properties'!$X$33</f>
        <v>-0.2</v>
      </c>
      <c r="M255" s="2" t="str">
        <f>'PFAS Properties'!$Y$33</f>
        <v>-</v>
      </c>
      <c r="N255" s="33">
        <v>0</v>
      </c>
      <c r="O255" s="33">
        <v>0</v>
      </c>
      <c r="P255" s="33">
        <v>0</v>
      </c>
      <c r="Q255" s="33">
        <f t="shared" si="120"/>
        <v>0.9999992056723962</v>
      </c>
      <c r="R255" s="33">
        <v>0</v>
      </c>
      <c r="S255" s="33">
        <f t="shared" si="121"/>
        <v>7.9432760376743655E-7</v>
      </c>
      <c r="T255" s="8">
        <f t="shared" si="126"/>
        <v>1</v>
      </c>
      <c r="U255" s="33">
        <f t="shared" si="127"/>
        <v>0</v>
      </c>
      <c r="V255" s="33">
        <f t="shared" si="128"/>
        <v>-0.9999992056723962</v>
      </c>
      <c r="W255" s="33">
        <f t="shared" si="129"/>
        <v>412.97360079432758</v>
      </c>
      <c r="X255" s="33">
        <v>96485</v>
      </c>
      <c r="Y255" s="16">
        <f t="shared" si="130"/>
        <v>-233.63460321366483</v>
      </c>
      <c r="Z255" s="16">
        <v>8</v>
      </c>
      <c r="AA255" s="16">
        <v>15</v>
      </c>
      <c r="AB255" s="8">
        <f t="shared" si="131"/>
        <v>0.33684210526315789</v>
      </c>
      <c r="AC255" s="16">
        <f t="shared" si="117"/>
        <v>68.844969824162703</v>
      </c>
      <c r="AD255" s="20">
        <f>'PFAS Properties'!$W$33</f>
        <v>7</v>
      </c>
      <c r="AE255" s="8">
        <f>'PFAS Properties'!$S$33</f>
        <v>2.6821450763738319</v>
      </c>
      <c r="AF255" s="15">
        <f>'PFAS Properties'!$V$33</f>
        <v>4.9000000000000004</v>
      </c>
      <c r="AG255" s="24">
        <v>5.9</v>
      </c>
      <c r="AH255" s="2" t="s">
        <v>122</v>
      </c>
      <c r="AI255" s="2" t="s">
        <v>661</v>
      </c>
      <c r="AJ255" s="2" t="s">
        <v>661</v>
      </c>
      <c r="AK255" s="2" t="s">
        <v>661</v>
      </c>
      <c r="AL255" s="2" t="s">
        <v>661</v>
      </c>
      <c r="AM255" s="2" t="s">
        <v>661</v>
      </c>
      <c r="AN255" s="2" t="s">
        <v>661</v>
      </c>
      <c r="AO255" s="2" t="s">
        <v>661</v>
      </c>
      <c r="AP255" s="15">
        <v>17.899999999999999</v>
      </c>
      <c r="AQ255" s="2" t="s">
        <v>661</v>
      </c>
      <c r="AR255" s="16">
        <v>47.2</v>
      </c>
      <c r="AS255" s="16">
        <v>19.299999999999997</v>
      </c>
      <c r="AT255" s="16">
        <v>33.5</v>
      </c>
      <c r="AU255" s="2" t="s">
        <v>661</v>
      </c>
      <c r="AV255" s="16">
        <f t="shared" si="150"/>
        <v>100</v>
      </c>
      <c r="AW255" s="18">
        <v>1.6</v>
      </c>
      <c r="AX255" s="13">
        <f t="shared" si="135"/>
        <v>1.6E-2</v>
      </c>
      <c r="AY255" s="13" t="s">
        <v>123</v>
      </c>
      <c r="AZ255" s="16">
        <f t="shared" ref="AZ255:AZ286" si="158">1/0.01</f>
        <v>100</v>
      </c>
      <c r="BA255" s="16" t="s">
        <v>55</v>
      </c>
      <c r="BB255" s="15">
        <v>2.2999999999999998</v>
      </c>
      <c r="BC255" s="16" t="s">
        <v>55</v>
      </c>
      <c r="BD255" s="18">
        <v>11.8</v>
      </c>
      <c r="BE255" s="15">
        <f t="shared" si="151"/>
        <v>737.5</v>
      </c>
      <c r="BF255" s="8">
        <f t="shared" si="132"/>
        <v>2.8677620246502005</v>
      </c>
      <c r="BG255" s="8">
        <f t="shared" si="152"/>
        <v>1.0718820073061255</v>
      </c>
      <c r="BH255" s="13" t="s">
        <v>841</v>
      </c>
      <c r="BI255" s="13"/>
      <c r="BJ255" s="13"/>
      <c r="BK255" s="8"/>
      <c r="BL255" s="8"/>
      <c r="BM255" s="18"/>
      <c r="BN255" s="8"/>
      <c r="BO255" s="8"/>
    </row>
    <row r="256" spans="1:67" s="14" customFormat="1" x14ac:dyDescent="0.3">
      <c r="A256" s="20">
        <v>254</v>
      </c>
      <c r="B256" s="2" t="s">
        <v>241</v>
      </c>
      <c r="C256" s="2">
        <v>2019</v>
      </c>
      <c r="D256" s="2" t="s">
        <v>201</v>
      </c>
      <c r="E256" s="10" t="s">
        <v>800</v>
      </c>
      <c r="F256" s="20" t="s">
        <v>29</v>
      </c>
      <c r="G256" s="2">
        <v>2</v>
      </c>
      <c r="H256" s="2" t="str">
        <f>'PFAS Properties'!$B$33</f>
        <v>PFOA</v>
      </c>
      <c r="I256" s="2" t="str">
        <f>'PFAS Properties'!$C$33</f>
        <v>PFCA</v>
      </c>
      <c r="J256" s="2" t="str">
        <f>'PFAS Properties'!$D$33</f>
        <v>C8HF15O2</v>
      </c>
      <c r="K256" s="25">
        <f>'PFAS Properties'!$P$33</f>
        <v>413.97359999999998</v>
      </c>
      <c r="L256" s="2">
        <f>'PFAS Properties'!$X$33</f>
        <v>-0.2</v>
      </c>
      <c r="M256" s="2" t="str">
        <f>'PFAS Properties'!$Y$33</f>
        <v>-</v>
      </c>
      <c r="N256" s="33">
        <v>0</v>
      </c>
      <c r="O256" s="33">
        <v>0</v>
      </c>
      <c r="P256" s="33">
        <v>0</v>
      </c>
      <c r="Q256" s="33">
        <f t="shared" si="120"/>
        <v>0.99999990000001004</v>
      </c>
      <c r="R256" s="33">
        <v>0</v>
      </c>
      <c r="S256" s="33">
        <f t="shared" si="121"/>
        <v>9.9999990000001005E-8</v>
      </c>
      <c r="T256" s="8">
        <f t="shared" si="126"/>
        <v>1</v>
      </c>
      <c r="U256" s="33">
        <f t="shared" si="127"/>
        <v>0</v>
      </c>
      <c r="V256" s="33">
        <f t="shared" si="128"/>
        <v>-0.99999990000001004</v>
      </c>
      <c r="W256" s="33">
        <f t="shared" si="129"/>
        <v>412.9736001</v>
      </c>
      <c r="X256" s="33">
        <v>96485</v>
      </c>
      <c r="Y256" s="16">
        <f t="shared" si="130"/>
        <v>-233.63476582555762</v>
      </c>
      <c r="Z256" s="16">
        <v>8</v>
      </c>
      <c r="AA256" s="16">
        <v>15</v>
      </c>
      <c r="AB256" s="8">
        <f t="shared" si="131"/>
        <v>0.33684210526315789</v>
      </c>
      <c r="AC256" s="16">
        <f t="shared" si="117"/>
        <v>68.844969824162703</v>
      </c>
      <c r="AD256" s="20">
        <f>'PFAS Properties'!$W$33</f>
        <v>7</v>
      </c>
      <c r="AE256" s="8">
        <f>'PFAS Properties'!$S$33</f>
        <v>2.6821450763738319</v>
      </c>
      <c r="AF256" s="15">
        <f>'PFAS Properties'!$V$33</f>
        <v>4.9000000000000004</v>
      </c>
      <c r="AG256" s="24">
        <v>6.8</v>
      </c>
      <c r="AH256" s="2" t="s">
        <v>122</v>
      </c>
      <c r="AI256" s="2" t="s">
        <v>661</v>
      </c>
      <c r="AJ256" s="2" t="s">
        <v>661</v>
      </c>
      <c r="AK256" s="2" t="s">
        <v>661</v>
      </c>
      <c r="AL256" s="2" t="s">
        <v>661</v>
      </c>
      <c r="AM256" s="2" t="s">
        <v>661</v>
      </c>
      <c r="AN256" s="2" t="s">
        <v>661</v>
      </c>
      <c r="AO256" s="2" t="s">
        <v>661</v>
      </c>
      <c r="AP256" s="15">
        <v>14.9</v>
      </c>
      <c r="AQ256" s="2" t="s">
        <v>661</v>
      </c>
      <c r="AR256" s="16">
        <v>27.4</v>
      </c>
      <c r="AS256" s="16">
        <v>12.399999999999991</v>
      </c>
      <c r="AT256" s="16">
        <v>60.2</v>
      </c>
      <c r="AU256" s="2" t="s">
        <v>661</v>
      </c>
      <c r="AV256" s="16">
        <f t="shared" si="150"/>
        <v>100</v>
      </c>
      <c r="AW256" s="18">
        <v>0.3</v>
      </c>
      <c r="AX256" s="13">
        <f t="shared" si="135"/>
        <v>3.0000000000000001E-3</v>
      </c>
      <c r="AY256" s="13" t="s">
        <v>123</v>
      </c>
      <c r="AZ256" s="16">
        <f t="shared" si="158"/>
        <v>100</v>
      </c>
      <c r="BA256" s="16" t="s">
        <v>55</v>
      </c>
      <c r="BB256" s="15">
        <v>2.2999999999999998</v>
      </c>
      <c r="BC256" s="16" t="s">
        <v>55</v>
      </c>
      <c r="BD256" s="18">
        <v>5.8</v>
      </c>
      <c r="BE256" s="15">
        <f t="shared" si="151"/>
        <v>1933.3333333333333</v>
      </c>
      <c r="BF256" s="8">
        <f t="shared" si="132"/>
        <v>3.2863067388432747</v>
      </c>
      <c r="BG256" s="8">
        <f t="shared" si="152"/>
        <v>0.76342799356293722</v>
      </c>
      <c r="BH256" s="13" t="s">
        <v>841</v>
      </c>
      <c r="BI256" s="13"/>
      <c r="BJ256" s="13"/>
      <c r="BK256" s="8"/>
      <c r="BL256" s="8"/>
      <c r="BM256" s="18"/>
      <c r="BN256" s="8"/>
      <c r="BO256" s="8"/>
    </row>
    <row r="257" spans="1:67" s="14" customFormat="1" x14ac:dyDescent="0.3">
      <c r="A257" s="20">
        <v>255</v>
      </c>
      <c r="B257" s="2" t="s">
        <v>241</v>
      </c>
      <c r="C257" s="2">
        <v>2019</v>
      </c>
      <c r="D257" s="2" t="s">
        <v>201</v>
      </c>
      <c r="E257" s="10" t="s">
        <v>800</v>
      </c>
      <c r="F257" s="20" t="s">
        <v>29</v>
      </c>
      <c r="G257" s="2">
        <v>3</v>
      </c>
      <c r="H257" s="2" t="str">
        <f>'PFAS Properties'!$B$33</f>
        <v>PFOA</v>
      </c>
      <c r="I257" s="2" t="str">
        <f>'PFAS Properties'!$C$33</f>
        <v>PFCA</v>
      </c>
      <c r="J257" s="2" t="str">
        <f>'PFAS Properties'!$D$33</f>
        <v>C8HF15O2</v>
      </c>
      <c r="K257" s="25">
        <f>'PFAS Properties'!$P$33</f>
        <v>413.97359999999998</v>
      </c>
      <c r="L257" s="2">
        <f>'PFAS Properties'!$X$33</f>
        <v>-0.2</v>
      </c>
      <c r="M257" s="2" t="str">
        <f>'PFAS Properties'!$Y$33</f>
        <v>-</v>
      </c>
      <c r="N257" s="33">
        <v>0</v>
      </c>
      <c r="O257" s="33">
        <v>0</v>
      </c>
      <c r="P257" s="33">
        <v>0</v>
      </c>
      <c r="Q257" s="33">
        <f t="shared" si="120"/>
        <v>0.99999984151070587</v>
      </c>
      <c r="R257" s="33">
        <v>0</v>
      </c>
      <c r="S257" s="33">
        <f t="shared" si="121"/>
        <v>1.5848929412725089E-7</v>
      </c>
      <c r="T257" s="8">
        <f t="shared" si="126"/>
        <v>1</v>
      </c>
      <c r="U257" s="33">
        <f t="shared" si="127"/>
        <v>0</v>
      </c>
      <c r="V257" s="33">
        <f t="shared" si="128"/>
        <v>-0.99999984151070587</v>
      </c>
      <c r="W257" s="33">
        <f t="shared" si="129"/>
        <v>412.97360015848926</v>
      </c>
      <c r="X257" s="33">
        <v>96485</v>
      </c>
      <c r="Y257" s="16">
        <f t="shared" si="130"/>
        <v>-233.63475212733178</v>
      </c>
      <c r="Z257" s="16">
        <v>8</v>
      </c>
      <c r="AA257" s="16">
        <v>15</v>
      </c>
      <c r="AB257" s="8">
        <f t="shared" si="131"/>
        <v>0.33684210526315789</v>
      </c>
      <c r="AC257" s="16">
        <f t="shared" si="117"/>
        <v>68.844969824162703</v>
      </c>
      <c r="AD257" s="20">
        <f>'PFAS Properties'!$W$33</f>
        <v>7</v>
      </c>
      <c r="AE257" s="8">
        <f>'PFAS Properties'!$S$33</f>
        <v>2.6821450763738319</v>
      </c>
      <c r="AF257" s="15">
        <f>'PFAS Properties'!$V$33</f>
        <v>4.9000000000000004</v>
      </c>
      <c r="AG257" s="24">
        <v>6.6</v>
      </c>
      <c r="AH257" s="2" t="s">
        <v>122</v>
      </c>
      <c r="AI257" s="2" t="s">
        <v>661</v>
      </c>
      <c r="AJ257" s="2" t="s">
        <v>661</v>
      </c>
      <c r="AK257" s="2" t="s">
        <v>661</v>
      </c>
      <c r="AL257" s="2" t="s">
        <v>661</v>
      </c>
      <c r="AM257" s="2" t="s">
        <v>661</v>
      </c>
      <c r="AN257" s="2" t="s">
        <v>661</v>
      </c>
      <c r="AO257" s="2" t="s">
        <v>661</v>
      </c>
      <c r="AP257" s="15">
        <v>16.5</v>
      </c>
      <c r="AQ257" s="2" t="s">
        <v>661</v>
      </c>
      <c r="AR257" s="16">
        <v>29.4</v>
      </c>
      <c r="AS257" s="16">
        <v>13.899999999999991</v>
      </c>
      <c r="AT257" s="16">
        <v>56.7</v>
      </c>
      <c r="AU257" s="2" t="s">
        <v>661</v>
      </c>
      <c r="AV257" s="16">
        <f t="shared" si="150"/>
        <v>100</v>
      </c>
      <c r="AW257" s="18">
        <v>0.2</v>
      </c>
      <c r="AX257" s="13">
        <f t="shared" si="135"/>
        <v>2E-3</v>
      </c>
      <c r="AY257" s="13" t="s">
        <v>123</v>
      </c>
      <c r="AZ257" s="16">
        <f t="shared" si="158"/>
        <v>100</v>
      </c>
      <c r="BA257" s="16" t="s">
        <v>55</v>
      </c>
      <c r="BB257" s="15">
        <v>2.2999999999999998</v>
      </c>
      <c r="BC257" s="16" t="s">
        <v>55</v>
      </c>
      <c r="BD257" s="18">
        <v>4.9000000000000004</v>
      </c>
      <c r="BE257" s="15">
        <f t="shared" si="151"/>
        <v>2450</v>
      </c>
      <c r="BF257" s="8">
        <f t="shared" si="132"/>
        <v>3.3891660843645326</v>
      </c>
      <c r="BG257" s="8">
        <f t="shared" si="152"/>
        <v>0.69019608002851374</v>
      </c>
      <c r="BH257" s="13" t="s">
        <v>841</v>
      </c>
      <c r="BI257" s="13"/>
      <c r="BJ257" s="13"/>
      <c r="BK257" s="8"/>
      <c r="BL257" s="8"/>
      <c r="BM257" s="18"/>
      <c r="BN257" s="8"/>
      <c r="BO257" s="8"/>
    </row>
    <row r="258" spans="1:67" s="14" customFormat="1" x14ac:dyDescent="0.3">
      <c r="A258" s="20">
        <v>256</v>
      </c>
      <c r="B258" s="2" t="s">
        <v>241</v>
      </c>
      <c r="C258" s="2">
        <v>2019</v>
      </c>
      <c r="D258" s="2" t="s">
        <v>201</v>
      </c>
      <c r="E258" s="10" t="s">
        <v>800</v>
      </c>
      <c r="F258" s="20" t="s">
        <v>29</v>
      </c>
      <c r="G258" s="2">
        <v>4</v>
      </c>
      <c r="H258" s="2" t="str">
        <f>'PFAS Properties'!$B$33</f>
        <v>PFOA</v>
      </c>
      <c r="I258" s="2" t="str">
        <f>'PFAS Properties'!$C$33</f>
        <v>PFCA</v>
      </c>
      <c r="J258" s="2" t="str">
        <f>'PFAS Properties'!$D$33</f>
        <v>C8HF15O2</v>
      </c>
      <c r="K258" s="25">
        <f>'PFAS Properties'!$P$33</f>
        <v>413.97359999999998</v>
      </c>
      <c r="L258" s="2">
        <f>'PFAS Properties'!$X$33</f>
        <v>-0.2</v>
      </c>
      <c r="M258" s="2" t="str">
        <f>'PFAS Properties'!$Y$33</f>
        <v>-</v>
      </c>
      <c r="N258" s="33">
        <v>0</v>
      </c>
      <c r="O258" s="33">
        <v>0</v>
      </c>
      <c r="P258" s="33">
        <v>0</v>
      </c>
      <c r="Q258" s="33">
        <f t="shared" si="120"/>
        <v>0.99999900000099995</v>
      </c>
      <c r="R258" s="33">
        <v>0</v>
      </c>
      <c r="S258" s="33">
        <f t="shared" si="121"/>
        <v>9.9999900000100006E-7</v>
      </c>
      <c r="T258" s="8">
        <f t="shared" si="126"/>
        <v>1</v>
      </c>
      <c r="U258" s="33">
        <f t="shared" si="127"/>
        <v>0</v>
      </c>
      <c r="V258" s="33">
        <f t="shared" si="128"/>
        <v>-0.99999900000099995</v>
      </c>
      <c r="W258" s="33">
        <f t="shared" si="129"/>
        <v>412.97360099999895</v>
      </c>
      <c r="X258" s="33">
        <v>96485</v>
      </c>
      <c r="Y258" s="16">
        <f t="shared" si="130"/>
        <v>-233.63455504531566</v>
      </c>
      <c r="Z258" s="16">
        <v>8</v>
      </c>
      <c r="AA258" s="16">
        <v>15</v>
      </c>
      <c r="AB258" s="8">
        <f t="shared" si="131"/>
        <v>0.33684210526315789</v>
      </c>
      <c r="AC258" s="16">
        <f t="shared" si="117"/>
        <v>68.844969824162703</v>
      </c>
      <c r="AD258" s="20">
        <f>'PFAS Properties'!$W$33</f>
        <v>7</v>
      </c>
      <c r="AE258" s="8">
        <f>'PFAS Properties'!$S$33</f>
        <v>2.6821450763738319</v>
      </c>
      <c r="AF258" s="15">
        <f>'PFAS Properties'!$V$33</f>
        <v>4.9000000000000004</v>
      </c>
      <c r="AG258" s="24">
        <v>5.8</v>
      </c>
      <c r="AH258" s="2" t="s">
        <v>122</v>
      </c>
      <c r="AI258" s="2" t="s">
        <v>661</v>
      </c>
      <c r="AJ258" s="2" t="s">
        <v>661</v>
      </c>
      <c r="AK258" s="2" t="s">
        <v>661</v>
      </c>
      <c r="AL258" s="2" t="s">
        <v>661</v>
      </c>
      <c r="AM258" s="2" t="s">
        <v>661</v>
      </c>
      <c r="AN258" s="2" t="s">
        <v>661</v>
      </c>
      <c r="AO258" s="2" t="s">
        <v>661</v>
      </c>
      <c r="AP258" s="15">
        <v>9</v>
      </c>
      <c r="AQ258" s="2" t="s">
        <v>661</v>
      </c>
      <c r="AR258" s="16">
        <v>44.4</v>
      </c>
      <c r="AS258" s="16">
        <v>12.300000000000004</v>
      </c>
      <c r="AT258" s="16">
        <v>43.3</v>
      </c>
      <c r="AU258" s="2" t="s">
        <v>661</v>
      </c>
      <c r="AV258" s="16">
        <f t="shared" si="150"/>
        <v>100</v>
      </c>
      <c r="AW258" s="18">
        <v>0.1</v>
      </c>
      <c r="AX258" s="13">
        <f t="shared" ref="AX258:AX289" si="159">AW258/100</f>
        <v>1E-3</v>
      </c>
      <c r="AY258" s="13" t="s">
        <v>123</v>
      </c>
      <c r="AZ258" s="16">
        <f t="shared" si="158"/>
        <v>100</v>
      </c>
      <c r="BA258" s="16" t="s">
        <v>55</v>
      </c>
      <c r="BB258" s="15">
        <v>2.2999999999999998</v>
      </c>
      <c r="BC258" s="16" t="s">
        <v>55</v>
      </c>
      <c r="BD258" s="18">
        <v>3.9</v>
      </c>
      <c r="BE258" s="15">
        <f t="shared" si="151"/>
        <v>3900</v>
      </c>
      <c r="BF258" s="8">
        <f t="shared" si="132"/>
        <v>3.5910646070264991</v>
      </c>
      <c r="BG258" s="8">
        <f t="shared" si="152"/>
        <v>0.59106460702649921</v>
      </c>
      <c r="BH258" s="13" t="s">
        <v>841</v>
      </c>
      <c r="BI258" s="13"/>
      <c r="BJ258" s="13"/>
      <c r="BK258" s="8"/>
      <c r="BL258" s="8"/>
      <c r="BM258" s="18"/>
      <c r="BN258" s="8"/>
      <c r="BO258" s="8"/>
    </row>
    <row r="259" spans="1:67" s="14" customFormat="1" x14ac:dyDescent="0.3">
      <c r="A259" s="20">
        <v>257</v>
      </c>
      <c r="B259" s="2" t="s">
        <v>241</v>
      </c>
      <c r="C259" s="2">
        <v>2019</v>
      </c>
      <c r="D259" s="2" t="s">
        <v>201</v>
      </c>
      <c r="E259" s="10" t="s">
        <v>800</v>
      </c>
      <c r="F259" s="20" t="s">
        <v>29</v>
      </c>
      <c r="G259" s="2">
        <v>5</v>
      </c>
      <c r="H259" s="2" t="str">
        <f>'PFAS Properties'!$B$33</f>
        <v>PFOA</v>
      </c>
      <c r="I259" s="2" t="str">
        <f>'PFAS Properties'!$C$33</f>
        <v>PFCA</v>
      </c>
      <c r="J259" s="2" t="str">
        <f>'PFAS Properties'!$D$33</f>
        <v>C8HF15O2</v>
      </c>
      <c r="K259" s="25">
        <f>'PFAS Properties'!$P$33</f>
        <v>413.97359999999998</v>
      </c>
      <c r="L259" s="2">
        <f>'PFAS Properties'!$X$33</f>
        <v>-0.2</v>
      </c>
      <c r="M259" s="2" t="str">
        <f>'PFAS Properties'!$Y$33</f>
        <v>-</v>
      </c>
      <c r="N259" s="33">
        <v>0</v>
      </c>
      <c r="O259" s="33">
        <v>0</v>
      </c>
      <c r="P259" s="33">
        <v>0</v>
      </c>
      <c r="Q259" s="33">
        <f t="shared" si="120"/>
        <v>0.99999800474166611</v>
      </c>
      <c r="R259" s="33">
        <v>0</v>
      </c>
      <c r="S259" s="33">
        <f t="shared" si="121"/>
        <v>1.9952583339051124E-6</v>
      </c>
      <c r="T259" s="8">
        <f t="shared" si="126"/>
        <v>1</v>
      </c>
      <c r="U259" s="33">
        <f t="shared" si="127"/>
        <v>0</v>
      </c>
      <c r="V259" s="33">
        <f t="shared" si="128"/>
        <v>-0.99999800474166611</v>
      </c>
      <c r="W259" s="33">
        <f t="shared" si="129"/>
        <v>412.97360199525832</v>
      </c>
      <c r="X259" s="33">
        <v>96485</v>
      </c>
      <c r="Y259" s="16">
        <f t="shared" si="130"/>
        <v>-233.63432195505678</v>
      </c>
      <c r="Z259" s="16">
        <v>8</v>
      </c>
      <c r="AA259" s="16">
        <v>15</v>
      </c>
      <c r="AB259" s="8">
        <f t="shared" si="131"/>
        <v>0.33684210526315789</v>
      </c>
      <c r="AC259" s="16">
        <f t="shared" ref="AC259:AC322" si="160">((AA259*19)/K259)*100</f>
        <v>68.844969824162703</v>
      </c>
      <c r="AD259" s="20">
        <f>'PFAS Properties'!$W$33</f>
        <v>7</v>
      </c>
      <c r="AE259" s="8">
        <f>'PFAS Properties'!$S$33</f>
        <v>2.6821450763738319</v>
      </c>
      <c r="AF259" s="15">
        <f>'PFAS Properties'!$V$33</f>
        <v>4.9000000000000004</v>
      </c>
      <c r="AG259" s="24">
        <v>5.5</v>
      </c>
      <c r="AH259" s="2" t="s">
        <v>122</v>
      </c>
      <c r="AI259" s="2" t="s">
        <v>661</v>
      </c>
      <c r="AJ259" s="2" t="s">
        <v>661</v>
      </c>
      <c r="AK259" s="2" t="s">
        <v>661</v>
      </c>
      <c r="AL259" s="2" t="s">
        <v>661</v>
      </c>
      <c r="AM259" s="2" t="s">
        <v>661</v>
      </c>
      <c r="AN259" s="2" t="s">
        <v>661</v>
      </c>
      <c r="AO259" s="2" t="s">
        <v>661</v>
      </c>
      <c r="AP259" s="15">
        <v>8</v>
      </c>
      <c r="AQ259" s="2" t="s">
        <v>661</v>
      </c>
      <c r="AR259" s="16">
        <v>51.4</v>
      </c>
      <c r="AS259" s="16">
        <v>10.200000000000003</v>
      </c>
      <c r="AT259" s="16">
        <v>38.4</v>
      </c>
      <c r="AU259" s="2" t="s">
        <v>661</v>
      </c>
      <c r="AV259" s="16">
        <f t="shared" si="150"/>
        <v>100</v>
      </c>
      <c r="AW259" s="18">
        <v>0.1</v>
      </c>
      <c r="AX259" s="13">
        <f t="shared" si="159"/>
        <v>1E-3</v>
      </c>
      <c r="AY259" s="13" t="s">
        <v>123</v>
      </c>
      <c r="AZ259" s="16">
        <f t="shared" si="158"/>
        <v>100</v>
      </c>
      <c r="BA259" s="16" t="s">
        <v>55</v>
      </c>
      <c r="BB259" s="15">
        <v>2.2999999999999998</v>
      </c>
      <c r="BC259" s="16" t="s">
        <v>55</v>
      </c>
      <c r="BD259" s="18">
        <v>4.2</v>
      </c>
      <c r="BE259" s="15">
        <f t="shared" si="151"/>
        <v>4200</v>
      </c>
      <c r="BF259" s="8">
        <f t="shared" si="132"/>
        <v>3.6232492903979003</v>
      </c>
      <c r="BG259" s="8">
        <f t="shared" si="152"/>
        <v>0.62324929039790045</v>
      </c>
      <c r="BH259" s="13" t="s">
        <v>841</v>
      </c>
      <c r="BI259" s="13"/>
      <c r="BJ259" s="13"/>
      <c r="BK259" s="8"/>
      <c r="BL259" s="8"/>
      <c r="BM259" s="18"/>
      <c r="BN259" s="8"/>
      <c r="BO259" s="8"/>
    </row>
    <row r="260" spans="1:67" s="14" customFormat="1" x14ac:dyDescent="0.3">
      <c r="A260" s="20">
        <v>258</v>
      </c>
      <c r="B260" s="2" t="s">
        <v>241</v>
      </c>
      <c r="C260" s="2">
        <v>2019</v>
      </c>
      <c r="D260" s="2" t="s">
        <v>201</v>
      </c>
      <c r="E260" s="10" t="s">
        <v>800</v>
      </c>
      <c r="F260" s="20" t="s">
        <v>29</v>
      </c>
      <c r="G260" s="2">
        <v>6</v>
      </c>
      <c r="H260" s="2" t="str">
        <f>'PFAS Properties'!$B$33</f>
        <v>PFOA</v>
      </c>
      <c r="I260" s="2" t="str">
        <f>'PFAS Properties'!$C$33</f>
        <v>PFCA</v>
      </c>
      <c r="J260" s="2" t="str">
        <f>'PFAS Properties'!$D$33</f>
        <v>C8HF15O2</v>
      </c>
      <c r="K260" s="25">
        <f>'PFAS Properties'!$P$33</f>
        <v>413.97359999999998</v>
      </c>
      <c r="L260" s="2">
        <f>'PFAS Properties'!$X$33</f>
        <v>-0.2</v>
      </c>
      <c r="M260" s="2" t="str">
        <f>'PFAS Properties'!$Y$33</f>
        <v>-</v>
      </c>
      <c r="N260" s="33">
        <v>0</v>
      </c>
      <c r="O260" s="33">
        <v>0</v>
      </c>
      <c r="P260" s="33">
        <v>0</v>
      </c>
      <c r="Q260" s="33">
        <f t="shared" si="120"/>
        <v>0.99999992056718279</v>
      </c>
      <c r="R260" s="33">
        <v>0</v>
      </c>
      <c r="S260" s="33">
        <f t="shared" si="121"/>
        <v>7.9432817162854954E-8</v>
      </c>
      <c r="T260" s="8">
        <f t="shared" si="126"/>
        <v>1</v>
      </c>
      <c r="U260" s="33">
        <f t="shared" si="127"/>
        <v>0</v>
      </c>
      <c r="V260" s="33">
        <f t="shared" si="128"/>
        <v>-0.99999992056718279</v>
      </c>
      <c r="W260" s="33">
        <f t="shared" si="129"/>
        <v>412.97360007943274</v>
      </c>
      <c r="X260" s="33">
        <v>96485</v>
      </c>
      <c r="Y260" s="16">
        <f t="shared" si="130"/>
        <v>-233.63477064240035</v>
      </c>
      <c r="Z260" s="16">
        <v>8</v>
      </c>
      <c r="AA260" s="16">
        <v>15</v>
      </c>
      <c r="AB260" s="8">
        <f t="shared" si="131"/>
        <v>0.33684210526315789</v>
      </c>
      <c r="AC260" s="16">
        <f t="shared" si="160"/>
        <v>68.844969824162703</v>
      </c>
      <c r="AD260" s="20">
        <f>'PFAS Properties'!$W$33</f>
        <v>7</v>
      </c>
      <c r="AE260" s="8">
        <f>'PFAS Properties'!$S$33</f>
        <v>2.6821450763738319</v>
      </c>
      <c r="AF260" s="15">
        <f>'PFAS Properties'!$V$33</f>
        <v>4.9000000000000004</v>
      </c>
      <c r="AG260" s="24">
        <v>6.9</v>
      </c>
      <c r="AH260" s="2" t="s">
        <v>122</v>
      </c>
      <c r="AI260" s="2" t="s">
        <v>661</v>
      </c>
      <c r="AJ260" s="2" t="s">
        <v>661</v>
      </c>
      <c r="AK260" s="2" t="s">
        <v>661</v>
      </c>
      <c r="AL260" s="2" t="s">
        <v>661</v>
      </c>
      <c r="AM260" s="2" t="s">
        <v>661</v>
      </c>
      <c r="AN260" s="2" t="s">
        <v>661</v>
      </c>
      <c r="AO260" s="2" t="s">
        <v>661</v>
      </c>
      <c r="AP260" s="15">
        <v>19.7</v>
      </c>
      <c r="AQ260" s="2" t="s">
        <v>661</v>
      </c>
      <c r="AR260" s="16">
        <v>41.6</v>
      </c>
      <c r="AS260" s="16">
        <v>7.7999999999999972</v>
      </c>
      <c r="AT260" s="16">
        <v>50.6</v>
      </c>
      <c r="AU260" s="2" t="s">
        <v>661</v>
      </c>
      <c r="AV260" s="16">
        <f t="shared" si="150"/>
        <v>100</v>
      </c>
      <c r="AW260" s="18">
        <v>0.1</v>
      </c>
      <c r="AX260" s="13">
        <f t="shared" si="159"/>
        <v>1E-3</v>
      </c>
      <c r="AY260" s="13" t="s">
        <v>123</v>
      </c>
      <c r="AZ260" s="16">
        <f t="shared" si="158"/>
        <v>100</v>
      </c>
      <c r="BA260" s="16" t="s">
        <v>55</v>
      </c>
      <c r="BB260" s="15">
        <v>2.2999999999999998</v>
      </c>
      <c r="BC260" s="16" t="s">
        <v>55</v>
      </c>
      <c r="BD260" s="18">
        <v>1.5</v>
      </c>
      <c r="BE260" s="15">
        <f t="shared" si="151"/>
        <v>1500</v>
      </c>
      <c r="BF260" s="8">
        <f t="shared" si="132"/>
        <v>3.1760912590556813</v>
      </c>
      <c r="BG260" s="8">
        <f t="shared" si="152"/>
        <v>0.17609125905568124</v>
      </c>
      <c r="BH260" s="13" t="s">
        <v>841</v>
      </c>
      <c r="BI260" s="13"/>
      <c r="BJ260" s="13"/>
      <c r="BK260" s="8"/>
      <c r="BL260" s="8"/>
      <c r="BM260" s="18"/>
      <c r="BN260" s="8"/>
      <c r="BO260" s="24"/>
    </row>
    <row r="261" spans="1:67" s="14" customFormat="1" x14ac:dyDescent="0.3">
      <c r="A261" s="20">
        <v>259</v>
      </c>
      <c r="B261" s="2" t="s">
        <v>241</v>
      </c>
      <c r="C261" s="2">
        <v>2019</v>
      </c>
      <c r="D261" s="2" t="s">
        <v>201</v>
      </c>
      <c r="E261" s="10" t="s">
        <v>800</v>
      </c>
      <c r="F261" s="20" t="s">
        <v>29</v>
      </c>
      <c r="G261" s="2">
        <v>7</v>
      </c>
      <c r="H261" s="2" t="str">
        <f>'PFAS Properties'!$B$33</f>
        <v>PFOA</v>
      </c>
      <c r="I261" s="2" t="str">
        <f>'PFAS Properties'!$C$33</f>
        <v>PFCA</v>
      </c>
      <c r="J261" s="2" t="str">
        <f>'PFAS Properties'!$D$33</f>
        <v>C8HF15O2</v>
      </c>
      <c r="K261" s="25">
        <f>'PFAS Properties'!$P$33</f>
        <v>413.97359999999998</v>
      </c>
      <c r="L261" s="2">
        <f>'PFAS Properties'!$X$33</f>
        <v>-0.2</v>
      </c>
      <c r="M261" s="2" t="str">
        <f>'PFAS Properties'!$Y$33</f>
        <v>-</v>
      </c>
      <c r="N261" s="33">
        <v>0</v>
      </c>
      <c r="O261" s="33">
        <v>0</v>
      </c>
      <c r="P261" s="33">
        <v>0</v>
      </c>
      <c r="Q261" s="33">
        <f t="shared" si="120"/>
        <v>0.99999998004737722</v>
      </c>
      <c r="R261" s="33">
        <v>0</v>
      </c>
      <c r="S261" s="33">
        <f t="shared" si="121"/>
        <v>1.995262275158161E-8</v>
      </c>
      <c r="T261" s="8">
        <f t="shared" si="126"/>
        <v>1</v>
      </c>
      <c r="U261" s="33">
        <f t="shared" si="127"/>
        <v>0</v>
      </c>
      <c r="V261" s="33">
        <f t="shared" si="128"/>
        <v>-0.99999998004737722</v>
      </c>
      <c r="W261" s="33">
        <f t="shared" si="129"/>
        <v>412.97360001995258</v>
      </c>
      <c r="X261" s="33">
        <v>96485</v>
      </c>
      <c r="Y261" s="16">
        <f t="shared" si="130"/>
        <v>-233.63478457269321</v>
      </c>
      <c r="Z261" s="16">
        <v>8</v>
      </c>
      <c r="AA261" s="16">
        <v>15</v>
      </c>
      <c r="AB261" s="8">
        <f t="shared" si="131"/>
        <v>0.33684210526315789</v>
      </c>
      <c r="AC261" s="16">
        <f t="shared" si="160"/>
        <v>68.844969824162703</v>
      </c>
      <c r="AD261" s="20">
        <f>'PFAS Properties'!$W$33</f>
        <v>7</v>
      </c>
      <c r="AE261" s="8">
        <f>'PFAS Properties'!$S$33</f>
        <v>2.6821450763738319</v>
      </c>
      <c r="AF261" s="15">
        <f>'PFAS Properties'!$V$33</f>
        <v>4.9000000000000004</v>
      </c>
      <c r="AG261" s="24">
        <v>7.5</v>
      </c>
      <c r="AH261" s="2" t="s">
        <v>122</v>
      </c>
      <c r="AI261" s="2" t="s">
        <v>661</v>
      </c>
      <c r="AJ261" s="2" t="s">
        <v>661</v>
      </c>
      <c r="AK261" s="2" t="s">
        <v>661</v>
      </c>
      <c r="AL261" s="2" t="s">
        <v>661</v>
      </c>
      <c r="AM261" s="2" t="s">
        <v>661</v>
      </c>
      <c r="AN261" s="2" t="s">
        <v>661</v>
      </c>
      <c r="AO261" s="2" t="s">
        <v>661</v>
      </c>
      <c r="AP261" s="15">
        <v>29.1</v>
      </c>
      <c r="AQ261" s="2" t="s">
        <v>661</v>
      </c>
      <c r="AR261" s="16">
        <v>46.5</v>
      </c>
      <c r="AS261" s="16">
        <v>6</v>
      </c>
      <c r="AT261" s="16">
        <v>47.5</v>
      </c>
      <c r="AU261" s="2" t="s">
        <v>661</v>
      </c>
      <c r="AV261" s="16">
        <f t="shared" si="150"/>
        <v>100</v>
      </c>
      <c r="AW261" s="18">
        <v>0.6</v>
      </c>
      <c r="AX261" s="13">
        <f t="shared" si="159"/>
        <v>6.0000000000000001E-3</v>
      </c>
      <c r="AY261" s="13" t="s">
        <v>123</v>
      </c>
      <c r="AZ261" s="16">
        <f t="shared" si="158"/>
        <v>100</v>
      </c>
      <c r="BA261" s="16" t="s">
        <v>55</v>
      </c>
      <c r="BB261" s="15">
        <v>2.2999999999999998</v>
      </c>
      <c r="BC261" s="16" t="s">
        <v>55</v>
      </c>
      <c r="BD261" s="18">
        <v>7.3</v>
      </c>
      <c r="BE261" s="15">
        <f t="shared" si="151"/>
        <v>1216.6666666666665</v>
      </c>
      <c r="BF261" s="8">
        <f t="shared" si="132"/>
        <v>3.085171609736812</v>
      </c>
      <c r="BG261" s="8">
        <f t="shared" si="152"/>
        <v>0.86332286012045589</v>
      </c>
      <c r="BH261" s="13" t="s">
        <v>841</v>
      </c>
      <c r="BI261" s="13"/>
      <c r="BJ261" s="13"/>
      <c r="BK261" s="8"/>
      <c r="BL261" s="8"/>
      <c r="BM261" s="18"/>
      <c r="BN261" s="8"/>
      <c r="BO261" s="24"/>
    </row>
    <row r="262" spans="1:67" s="14" customFormat="1" x14ac:dyDescent="0.3">
      <c r="A262" s="20">
        <v>260</v>
      </c>
      <c r="B262" s="2" t="s">
        <v>241</v>
      </c>
      <c r="C262" s="2">
        <v>2019</v>
      </c>
      <c r="D262" s="2" t="s">
        <v>201</v>
      </c>
      <c r="E262" s="10" t="s">
        <v>800</v>
      </c>
      <c r="F262" s="20" t="s">
        <v>29</v>
      </c>
      <c r="G262" s="2">
        <v>8</v>
      </c>
      <c r="H262" s="2" t="str">
        <f>'PFAS Properties'!$B$33</f>
        <v>PFOA</v>
      </c>
      <c r="I262" s="2" t="str">
        <f>'PFAS Properties'!$C$33</f>
        <v>PFCA</v>
      </c>
      <c r="J262" s="2" t="str">
        <f>'PFAS Properties'!$D$33</f>
        <v>C8HF15O2</v>
      </c>
      <c r="K262" s="25">
        <f>'PFAS Properties'!$P$33</f>
        <v>413.97359999999998</v>
      </c>
      <c r="L262" s="2">
        <f>'PFAS Properties'!$X$33</f>
        <v>-0.2</v>
      </c>
      <c r="M262" s="2" t="str">
        <f>'PFAS Properties'!$Y$33</f>
        <v>-</v>
      </c>
      <c r="N262" s="33">
        <v>0</v>
      </c>
      <c r="O262" s="33">
        <v>0</v>
      </c>
      <c r="P262" s="33">
        <v>0</v>
      </c>
      <c r="Q262" s="33">
        <f t="shared" si="120"/>
        <v>0.99999968377233395</v>
      </c>
      <c r="R262" s="33">
        <v>0</v>
      </c>
      <c r="S262" s="33">
        <f t="shared" si="121"/>
        <v>3.1622766601686895E-7</v>
      </c>
      <c r="T262" s="8">
        <f t="shared" si="126"/>
        <v>1</v>
      </c>
      <c r="U262" s="33">
        <f t="shared" si="127"/>
        <v>0</v>
      </c>
      <c r="V262" s="33">
        <f t="shared" si="128"/>
        <v>-0.99999968377233395</v>
      </c>
      <c r="W262" s="33">
        <f t="shared" si="129"/>
        <v>412.97360031622759</v>
      </c>
      <c r="X262" s="33">
        <v>96485</v>
      </c>
      <c r="Y262" s="16">
        <f t="shared" si="130"/>
        <v>-233.63471518492202</v>
      </c>
      <c r="Z262" s="16">
        <v>8</v>
      </c>
      <c r="AA262" s="16">
        <v>15</v>
      </c>
      <c r="AB262" s="8">
        <f t="shared" si="131"/>
        <v>0.33684210526315789</v>
      </c>
      <c r="AC262" s="16">
        <f t="shared" si="160"/>
        <v>68.844969824162703</v>
      </c>
      <c r="AD262" s="20">
        <f>'PFAS Properties'!$W$33</f>
        <v>7</v>
      </c>
      <c r="AE262" s="8">
        <f>'PFAS Properties'!$S$33</f>
        <v>2.6821450763738319</v>
      </c>
      <c r="AF262" s="15">
        <f>'PFAS Properties'!$V$33</f>
        <v>4.9000000000000004</v>
      </c>
      <c r="AG262" s="24">
        <v>6.3</v>
      </c>
      <c r="AH262" s="2" t="s">
        <v>122</v>
      </c>
      <c r="AI262" s="2" t="s">
        <v>661</v>
      </c>
      <c r="AJ262" s="2" t="s">
        <v>661</v>
      </c>
      <c r="AK262" s="2" t="s">
        <v>661</v>
      </c>
      <c r="AL262" s="2" t="s">
        <v>661</v>
      </c>
      <c r="AM262" s="2" t="s">
        <v>661</v>
      </c>
      <c r="AN262" s="2" t="s">
        <v>661</v>
      </c>
      <c r="AO262" s="2" t="s">
        <v>661</v>
      </c>
      <c r="AP262" s="15">
        <v>13.6</v>
      </c>
      <c r="AQ262" s="2" t="s">
        <v>661</v>
      </c>
      <c r="AR262" s="16">
        <v>43.8</v>
      </c>
      <c r="AS262" s="16">
        <v>36.1</v>
      </c>
      <c r="AT262" s="16">
        <v>20.100000000000001</v>
      </c>
      <c r="AU262" s="2" t="s">
        <v>661</v>
      </c>
      <c r="AV262" s="16">
        <f t="shared" si="150"/>
        <v>100</v>
      </c>
      <c r="AW262" s="18">
        <v>1.3</v>
      </c>
      <c r="AX262" s="13">
        <f t="shared" si="159"/>
        <v>1.3000000000000001E-2</v>
      </c>
      <c r="AY262" s="13" t="s">
        <v>123</v>
      </c>
      <c r="AZ262" s="16">
        <f t="shared" si="158"/>
        <v>100</v>
      </c>
      <c r="BA262" s="16" t="s">
        <v>55</v>
      </c>
      <c r="BB262" s="15">
        <v>2.2999999999999998</v>
      </c>
      <c r="BC262" s="16" t="s">
        <v>55</v>
      </c>
      <c r="BD262" s="18">
        <v>9.3000000000000007</v>
      </c>
      <c r="BE262" s="15">
        <f t="shared" si="151"/>
        <v>715.38461538461536</v>
      </c>
      <c r="BF262" s="8">
        <f t="shared" si="132"/>
        <v>2.8545395962470983</v>
      </c>
      <c r="BG262" s="8">
        <f t="shared" si="152"/>
        <v>0.96848294855393513</v>
      </c>
      <c r="BH262" s="13" t="s">
        <v>841</v>
      </c>
      <c r="BI262" s="13"/>
      <c r="BJ262" s="13"/>
      <c r="BK262" s="8"/>
      <c r="BL262" s="8"/>
      <c r="BM262" s="18"/>
      <c r="BN262" s="8"/>
      <c r="BO262" s="24"/>
    </row>
    <row r="263" spans="1:67" s="14" customFormat="1" x14ac:dyDescent="0.3">
      <c r="A263" s="20">
        <v>261</v>
      </c>
      <c r="B263" s="2" t="s">
        <v>241</v>
      </c>
      <c r="C263" s="2">
        <v>2019</v>
      </c>
      <c r="D263" s="2" t="s">
        <v>201</v>
      </c>
      <c r="E263" s="10" t="s">
        <v>800</v>
      </c>
      <c r="F263" s="20" t="s">
        <v>29</v>
      </c>
      <c r="G263" s="2">
        <v>9</v>
      </c>
      <c r="H263" s="2" t="str">
        <f>'PFAS Properties'!$B$33</f>
        <v>PFOA</v>
      </c>
      <c r="I263" s="2" t="str">
        <f>'PFAS Properties'!$C$33</f>
        <v>PFCA</v>
      </c>
      <c r="J263" s="2" t="str">
        <f>'PFAS Properties'!$D$33</f>
        <v>C8HF15O2</v>
      </c>
      <c r="K263" s="25">
        <f>'PFAS Properties'!$P$33</f>
        <v>413.97359999999998</v>
      </c>
      <c r="L263" s="2">
        <f>'PFAS Properties'!$X$33</f>
        <v>-0.2</v>
      </c>
      <c r="M263" s="2" t="str">
        <f>'PFAS Properties'!$Y$33</f>
        <v>-</v>
      </c>
      <c r="N263" s="33">
        <v>0</v>
      </c>
      <c r="O263" s="33">
        <v>0</v>
      </c>
      <c r="P263" s="33">
        <v>0</v>
      </c>
      <c r="Q263" s="33">
        <f t="shared" si="120"/>
        <v>0.99999997488113634</v>
      </c>
      <c r="R263" s="33">
        <v>0</v>
      </c>
      <c r="S263" s="33">
        <f t="shared" si="121"/>
        <v>2.5118863684138424E-8</v>
      </c>
      <c r="T263" s="8">
        <f t="shared" si="126"/>
        <v>1</v>
      </c>
      <c r="U263" s="33">
        <f t="shared" si="127"/>
        <v>0</v>
      </c>
      <c r="V263" s="33">
        <f t="shared" si="128"/>
        <v>-0.99999997488113634</v>
      </c>
      <c r="W263" s="33">
        <f t="shared" si="129"/>
        <v>412.97360002511886</v>
      </c>
      <c r="X263" s="33">
        <v>96485</v>
      </c>
      <c r="Y263" s="16">
        <f t="shared" si="130"/>
        <v>-233.63478336275685</v>
      </c>
      <c r="Z263" s="16">
        <v>8</v>
      </c>
      <c r="AA263" s="16">
        <v>15</v>
      </c>
      <c r="AB263" s="8">
        <f t="shared" si="131"/>
        <v>0.33684210526315789</v>
      </c>
      <c r="AC263" s="16">
        <f t="shared" si="160"/>
        <v>68.844969824162703</v>
      </c>
      <c r="AD263" s="20">
        <f>'PFAS Properties'!$W$33</f>
        <v>7</v>
      </c>
      <c r="AE263" s="8">
        <f>'PFAS Properties'!$S$33</f>
        <v>2.6821450763738319</v>
      </c>
      <c r="AF263" s="15">
        <f>'PFAS Properties'!$V$33</f>
        <v>4.9000000000000004</v>
      </c>
      <c r="AG263" s="24">
        <v>7.4</v>
      </c>
      <c r="AH263" s="2" t="s">
        <v>122</v>
      </c>
      <c r="AI263" s="2" t="s">
        <v>661</v>
      </c>
      <c r="AJ263" s="2" t="s">
        <v>661</v>
      </c>
      <c r="AK263" s="2" t="s">
        <v>661</v>
      </c>
      <c r="AL263" s="2" t="s">
        <v>661</v>
      </c>
      <c r="AM263" s="2" t="s">
        <v>661</v>
      </c>
      <c r="AN263" s="2" t="s">
        <v>661</v>
      </c>
      <c r="AO263" s="2" t="s">
        <v>661</v>
      </c>
      <c r="AP263" s="15">
        <v>27.2</v>
      </c>
      <c r="AQ263" s="2" t="s">
        <v>661</v>
      </c>
      <c r="AR263" s="16">
        <v>30.8</v>
      </c>
      <c r="AS263" s="16">
        <v>32.300000000000004</v>
      </c>
      <c r="AT263" s="16">
        <v>36.9</v>
      </c>
      <c r="AU263" s="2" t="s">
        <v>661</v>
      </c>
      <c r="AV263" s="16">
        <f t="shared" si="150"/>
        <v>100</v>
      </c>
      <c r="AW263" s="18">
        <v>0.2</v>
      </c>
      <c r="AX263" s="13">
        <f t="shared" si="159"/>
        <v>2E-3</v>
      </c>
      <c r="AY263" s="13" t="s">
        <v>123</v>
      </c>
      <c r="AZ263" s="16">
        <f t="shared" si="158"/>
        <v>100</v>
      </c>
      <c r="BA263" s="16" t="s">
        <v>55</v>
      </c>
      <c r="BB263" s="15">
        <v>2.2999999999999998</v>
      </c>
      <c r="BC263" s="16" t="s">
        <v>55</v>
      </c>
      <c r="BD263" s="18">
        <v>5.2</v>
      </c>
      <c r="BE263" s="15">
        <f t="shared" si="151"/>
        <v>2600</v>
      </c>
      <c r="BF263" s="8">
        <f t="shared" si="132"/>
        <v>3.4149733479708178</v>
      </c>
      <c r="BG263" s="8">
        <f t="shared" si="152"/>
        <v>0.71600334363479923</v>
      </c>
      <c r="BH263" s="13" t="s">
        <v>841</v>
      </c>
      <c r="BI263" s="13"/>
      <c r="BJ263" s="13"/>
      <c r="BK263" s="8"/>
      <c r="BL263" s="8"/>
      <c r="BM263" s="18"/>
      <c r="BN263" s="8"/>
      <c r="BO263" s="24"/>
    </row>
    <row r="264" spans="1:67" s="14" customFormat="1" x14ac:dyDescent="0.3">
      <c r="A264" s="20">
        <v>262</v>
      </c>
      <c r="B264" s="2" t="s">
        <v>241</v>
      </c>
      <c r="C264" s="2">
        <v>2019</v>
      </c>
      <c r="D264" s="2" t="s">
        <v>201</v>
      </c>
      <c r="E264" s="10" t="s">
        <v>800</v>
      </c>
      <c r="F264" s="20" t="s">
        <v>29</v>
      </c>
      <c r="G264" s="2">
        <v>10</v>
      </c>
      <c r="H264" s="2" t="str">
        <f>'PFAS Properties'!$B$33</f>
        <v>PFOA</v>
      </c>
      <c r="I264" s="2" t="str">
        <f>'PFAS Properties'!$C$33</f>
        <v>PFCA</v>
      </c>
      <c r="J264" s="2" t="str">
        <f>'PFAS Properties'!$D$33</f>
        <v>C8HF15O2</v>
      </c>
      <c r="K264" s="25">
        <f>'PFAS Properties'!$P$33</f>
        <v>413.97359999999998</v>
      </c>
      <c r="L264" s="2">
        <f>'PFAS Properties'!$X$33</f>
        <v>-0.2</v>
      </c>
      <c r="M264" s="2" t="str">
        <f>'PFAS Properties'!$Y$33</f>
        <v>-</v>
      </c>
      <c r="N264" s="33">
        <v>0</v>
      </c>
      <c r="O264" s="33">
        <v>0</v>
      </c>
      <c r="P264" s="33">
        <v>0</v>
      </c>
      <c r="Q264" s="33">
        <f t="shared" si="120"/>
        <v>0.99999996837722438</v>
      </c>
      <c r="R264" s="33">
        <v>0</v>
      </c>
      <c r="S264" s="33">
        <f t="shared" si="121"/>
        <v>3.1622775601683729E-8</v>
      </c>
      <c r="T264" s="8">
        <f t="shared" si="126"/>
        <v>1</v>
      </c>
      <c r="U264" s="33">
        <f t="shared" si="127"/>
        <v>0</v>
      </c>
      <c r="V264" s="33">
        <f t="shared" si="128"/>
        <v>-0.99999996837722438</v>
      </c>
      <c r="W264" s="33">
        <f t="shared" si="129"/>
        <v>412.97360003162271</v>
      </c>
      <c r="X264" s="33">
        <v>96485</v>
      </c>
      <c r="Y264" s="16">
        <f t="shared" si="130"/>
        <v>-233.63478183953725</v>
      </c>
      <c r="Z264" s="16">
        <v>8</v>
      </c>
      <c r="AA264" s="16">
        <v>15</v>
      </c>
      <c r="AB264" s="8">
        <f t="shared" si="131"/>
        <v>0.33684210526315789</v>
      </c>
      <c r="AC264" s="16">
        <f t="shared" si="160"/>
        <v>68.844969824162703</v>
      </c>
      <c r="AD264" s="20">
        <f>'PFAS Properties'!$W$33</f>
        <v>7</v>
      </c>
      <c r="AE264" s="8">
        <f>'PFAS Properties'!$S$33</f>
        <v>2.6821450763738319</v>
      </c>
      <c r="AF264" s="15">
        <f>'PFAS Properties'!$V$33</f>
        <v>4.9000000000000004</v>
      </c>
      <c r="AG264" s="24">
        <v>7.3</v>
      </c>
      <c r="AH264" s="2" t="s">
        <v>122</v>
      </c>
      <c r="AI264" s="2" t="s">
        <v>661</v>
      </c>
      <c r="AJ264" s="2" t="s">
        <v>661</v>
      </c>
      <c r="AK264" s="2" t="s">
        <v>661</v>
      </c>
      <c r="AL264" s="2" t="s">
        <v>661</v>
      </c>
      <c r="AM264" s="2" t="s">
        <v>661</v>
      </c>
      <c r="AN264" s="2" t="s">
        <v>661</v>
      </c>
      <c r="AO264" s="2" t="s">
        <v>661</v>
      </c>
      <c r="AP264" s="15">
        <v>17.399999999999999</v>
      </c>
      <c r="AQ264" s="2" t="s">
        <v>661</v>
      </c>
      <c r="AR264" s="16">
        <v>48.9</v>
      </c>
      <c r="AS264" s="16">
        <v>16</v>
      </c>
      <c r="AT264" s="16">
        <v>35.1</v>
      </c>
      <c r="AU264" s="2" t="s">
        <v>661</v>
      </c>
      <c r="AV264" s="16">
        <f t="shared" si="150"/>
        <v>100</v>
      </c>
      <c r="AW264" s="18">
        <v>0.8</v>
      </c>
      <c r="AX264" s="13">
        <f t="shared" si="159"/>
        <v>8.0000000000000002E-3</v>
      </c>
      <c r="AY264" s="13" t="s">
        <v>123</v>
      </c>
      <c r="AZ264" s="16">
        <f t="shared" si="158"/>
        <v>100</v>
      </c>
      <c r="BA264" s="16" t="s">
        <v>55</v>
      </c>
      <c r="BB264" s="15">
        <v>2.2999999999999998</v>
      </c>
      <c r="BC264" s="16" t="s">
        <v>55</v>
      </c>
      <c r="BD264" s="18">
        <v>7.8</v>
      </c>
      <c r="BE264" s="15">
        <f t="shared" si="151"/>
        <v>975</v>
      </c>
      <c r="BF264" s="8">
        <f t="shared" si="132"/>
        <v>2.989004615698537</v>
      </c>
      <c r="BG264" s="8">
        <f t="shared" si="152"/>
        <v>0.89209460269048035</v>
      </c>
      <c r="BH264" s="13" t="s">
        <v>841</v>
      </c>
      <c r="BI264" s="13"/>
      <c r="BJ264" s="13"/>
      <c r="BK264" s="8"/>
      <c r="BL264" s="8"/>
      <c r="BM264" s="18"/>
      <c r="BN264" s="8"/>
      <c r="BO264" s="24"/>
    </row>
    <row r="265" spans="1:67" s="14" customFormat="1" x14ac:dyDescent="0.3">
      <c r="A265" s="20">
        <v>263</v>
      </c>
      <c r="B265" s="2" t="s">
        <v>241</v>
      </c>
      <c r="C265" s="2">
        <v>2019</v>
      </c>
      <c r="D265" s="2" t="s">
        <v>201</v>
      </c>
      <c r="E265" s="10" t="s">
        <v>800</v>
      </c>
      <c r="F265" s="20" t="s">
        <v>29</v>
      </c>
      <c r="G265" s="2">
        <v>11</v>
      </c>
      <c r="H265" s="2" t="str">
        <f>'PFAS Properties'!$B$33</f>
        <v>PFOA</v>
      </c>
      <c r="I265" s="2" t="str">
        <f>'PFAS Properties'!$C$33</f>
        <v>PFCA</v>
      </c>
      <c r="J265" s="2" t="str">
        <f>'PFAS Properties'!$D$33</f>
        <v>C8HF15O2</v>
      </c>
      <c r="K265" s="25">
        <f>'PFAS Properties'!$P$33</f>
        <v>413.97359999999998</v>
      </c>
      <c r="L265" s="2">
        <f>'PFAS Properties'!$X$33</f>
        <v>-0.2</v>
      </c>
      <c r="M265" s="2" t="str">
        <f>'PFAS Properties'!$Y$33</f>
        <v>-</v>
      </c>
      <c r="N265" s="33">
        <v>0</v>
      </c>
      <c r="O265" s="33">
        <v>0</v>
      </c>
      <c r="P265" s="33">
        <v>0</v>
      </c>
      <c r="Q265" s="33">
        <f t="shared" si="120"/>
        <v>0.99999997488113634</v>
      </c>
      <c r="R265" s="33">
        <v>0</v>
      </c>
      <c r="S265" s="33">
        <f t="shared" si="121"/>
        <v>2.5118863684138424E-8</v>
      </c>
      <c r="T265" s="8">
        <f t="shared" si="126"/>
        <v>1</v>
      </c>
      <c r="U265" s="33">
        <f t="shared" si="127"/>
        <v>0</v>
      </c>
      <c r="V265" s="33">
        <f t="shared" si="128"/>
        <v>-0.99999997488113634</v>
      </c>
      <c r="W265" s="33">
        <f t="shared" si="129"/>
        <v>412.97360002511886</v>
      </c>
      <c r="X265" s="33">
        <v>96485</v>
      </c>
      <c r="Y265" s="16">
        <f t="shared" si="130"/>
        <v>-233.63478336275685</v>
      </c>
      <c r="Z265" s="16">
        <v>8</v>
      </c>
      <c r="AA265" s="16">
        <v>15</v>
      </c>
      <c r="AB265" s="8">
        <f t="shared" si="131"/>
        <v>0.33684210526315789</v>
      </c>
      <c r="AC265" s="16">
        <f t="shared" si="160"/>
        <v>68.844969824162703</v>
      </c>
      <c r="AD265" s="20">
        <f>'PFAS Properties'!$W$33</f>
        <v>7</v>
      </c>
      <c r="AE265" s="8">
        <f>'PFAS Properties'!$S$33</f>
        <v>2.6821450763738319</v>
      </c>
      <c r="AF265" s="15">
        <f>'PFAS Properties'!$V$33</f>
        <v>4.9000000000000004</v>
      </c>
      <c r="AG265" s="24">
        <v>7.4</v>
      </c>
      <c r="AH265" s="2" t="s">
        <v>122</v>
      </c>
      <c r="AI265" s="2" t="s">
        <v>661</v>
      </c>
      <c r="AJ265" s="2" t="s">
        <v>661</v>
      </c>
      <c r="AK265" s="2" t="s">
        <v>661</v>
      </c>
      <c r="AL265" s="2" t="s">
        <v>661</v>
      </c>
      <c r="AM265" s="2" t="s">
        <v>661</v>
      </c>
      <c r="AN265" s="2" t="s">
        <v>661</v>
      </c>
      <c r="AO265" s="2" t="s">
        <v>661</v>
      </c>
      <c r="AP265" s="15">
        <v>13.5</v>
      </c>
      <c r="AQ265" s="2" t="s">
        <v>661</v>
      </c>
      <c r="AR265" s="16">
        <v>35.5</v>
      </c>
      <c r="AS265" s="16">
        <v>16.600000000000001</v>
      </c>
      <c r="AT265" s="16">
        <v>47.9</v>
      </c>
      <c r="AU265" s="2" t="s">
        <v>661</v>
      </c>
      <c r="AV265" s="16">
        <f t="shared" si="150"/>
        <v>100</v>
      </c>
      <c r="AW265" s="18">
        <v>0.1</v>
      </c>
      <c r="AX265" s="13">
        <f t="shared" si="159"/>
        <v>1E-3</v>
      </c>
      <c r="AY265" s="13" t="s">
        <v>123</v>
      </c>
      <c r="AZ265" s="16">
        <f t="shared" si="158"/>
        <v>100</v>
      </c>
      <c r="BA265" s="16" t="s">
        <v>55</v>
      </c>
      <c r="BB265" s="15">
        <v>2.2999999999999998</v>
      </c>
      <c r="BC265" s="16" t="s">
        <v>55</v>
      </c>
      <c r="BD265" s="18">
        <v>3.4</v>
      </c>
      <c r="BE265" s="15">
        <f t="shared" si="151"/>
        <v>3400</v>
      </c>
      <c r="BF265" s="8">
        <f t="shared" si="132"/>
        <v>3.5314789170422549</v>
      </c>
      <c r="BG265" s="8">
        <f t="shared" si="152"/>
        <v>0.53147891704225514</v>
      </c>
      <c r="BH265" s="13" t="s">
        <v>841</v>
      </c>
      <c r="BI265" s="13"/>
      <c r="BJ265" s="13"/>
      <c r="BK265" s="8"/>
      <c r="BL265" s="8"/>
      <c r="BM265" s="18"/>
      <c r="BN265" s="8"/>
      <c r="BO265" s="24"/>
    </row>
    <row r="266" spans="1:67" s="14" customFormat="1" x14ac:dyDescent="0.3">
      <c r="A266" s="20">
        <v>264</v>
      </c>
      <c r="B266" s="2" t="s">
        <v>241</v>
      </c>
      <c r="C266" s="2">
        <v>2019</v>
      </c>
      <c r="D266" s="2" t="s">
        <v>201</v>
      </c>
      <c r="E266" s="10" t="s">
        <v>800</v>
      </c>
      <c r="F266" s="20" t="s">
        <v>29</v>
      </c>
      <c r="G266" s="2">
        <v>12</v>
      </c>
      <c r="H266" s="2" t="str">
        <f>'PFAS Properties'!$B$33</f>
        <v>PFOA</v>
      </c>
      <c r="I266" s="2" t="str">
        <f>'PFAS Properties'!$C$33</f>
        <v>PFCA</v>
      </c>
      <c r="J266" s="2" t="str">
        <f>'PFAS Properties'!$D$33</f>
        <v>C8HF15O2</v>
      </c>
      <c r="K266" s="25">
        <f>'PFAS Properties'!$P$33</f>
        <v>413.97359999999998</v>
      </c>
      <c r="L266" s="2">
        <f>'PFAS Properties'!$X$33</f>
        <v>-0.2</v>
      </c>
      <c r="M266" s="2" t="str">
        <f>'PFAS Properties'!$Y$33</f>
        <v>-</v>
      </c>
      <c r="N266" s="33">
        <v>0</v>
      </c>
      <c r="O266" s="33">
        <v>0</v>
      </c>
      <c r="P266" s="33">
        <v>0</v>
      </c>
      <c r="Q266" s="33">
        <f t="shared" si="120"/>
        <v>0.99999936904305364</v>
      </c>
      <c r="R266" s="33">
        <v>0</v>
      </c>
      <c r="S266" s="33">
        <f t="shared" si="121"/>
        <v>6.309569463732732E-7</v>
      </c>
      <c r="T266" s="8">
        <f t="shared" si="126"/>
        <v>1</v>
      </c>
      <c r="U266" s="33">
        <f t="shared" si="127"/>
        <v>0</v>
      </c>
      <c r="V266" s="33">
        <f t="shared" si="128"/>
        <v>-0.99999936904305364</v>
      </c>
      <c r="W266" s="33">
        <f t="shared" si="129"/>
        <v>412.97360063095692</v>
      </c>
      <c r="X266" s="33">
        <v>96485</v>
      </c>
      <c r="Y266" s="16">
        <f t="shared" si="130"/>
        <v>-233.63464147515879</v>
      </c>
      <c r="Z266" s="16">
        <v>8</v>
      </c>
      <c r="AA266" s="16">
        <v>15</v>
      </c>
      <c r="AB266" s="8">
        <f t="shared" si="131"/>
        <v>0.33684210526315789</v>
      </c>
      <c r="AC266" s="16">
        <f t="shared" si="160"/>
        <v>68.844969824162703</v>
      </c>
      <c r="AD266" s="20">
        <f>'PFAS Properties'!$W$33</f>
        <v>7</v>
      </c>
      <c r="AE266" s="8">
        <f>'PFAS Properties'!$S$33</f>
        <v>2.6821450763738319</v>
      </c>
      <c r="AF266" s="15">
        <f>'PFAS Properties'!$V$33</f>
        <v>4.9000000000000004</v>
      </c>
      <c r="AG266" s="24">
        <v>6</v>
      </c>
      <c r="AH266" s="2" t="s">
        <v>122</v>
      </c>
      <c r="AI266" s="2" t="s">
        <v>661</v>
      </c>
      <c r="AJ266" s="2" t="s">
        <v>661</v>
      </c>
      <c r="AK266" s="2" t="s">
        <v>661</v>
      </c>
      <c r="AL266" s="2" t="s">
        <v>661</v>
      </c>
      <c r="AM266" s="2" t="s">
        <v>661</v>
      </c>
      <c r="AN266" s="2" t="s">
        <v>661</v>
      </c>
      <c r="AO266" s="2" t="s">
        <v>661</v>
      </c>
      <c r="AP266" s="15">
        <v>10.3</v>
      </c>
      <c r="AQ266" s="2" t="s">
        <v>661</v>
      </c>
      <c r="AR266" s="16">
        <v>50.5</v>
      </c>
      <c r="AS266" s="16">
        <v>20.9</v>
      </c>
      <c r="AT266" s="16">
        <v>28.6</v>
      </c>
      <c r="AU266" s="2" t="s">
        <v>661</v>
      </c>
      <c r="AV266" s="16">
        <f t="shared" si="150"/>
        <v>100</v>
      </c>
      <c r="AW266" s="18">
        <v>0.4</v>
      </c>
      <c r="AX266" s="13">
        <f t="shared" si="159"/>
        <v>4.0000000000000001E-3</v>
      </c>
      <c r="AY266" s="13" t="s">
        <v>123</v>
      </c>
      <c r="AZ266" s="16">
        <f t="shared" si="158"/>
        <v>100</v>
      </c>
      <c r="BA266" s="16" t="s">
        <v>55</v>
      </c>
      <c r="BB266" s="15">
        <v>2.2999999999999998</v>
      </c>
      <c r="BC266" s="16" t="s">
        <v>55</v>
      </c>
      <c r="BD266" s="18">
        <v>6.2</v>
      </c>
      <c r="BE266" s="15">
        <f t="shared" si="151"/>
        <v>1550</v>
      </c>
      <c r="BF266" s="8">
        <f t="shared" si="132"/>
        <v>3.1903316981702914</v>
      </c>
      <c r="BG266" s="8">
        <f t="shared" si="152"/>
        <v>0.79239168949825389</v>
      </c>
      <c r="BH266" s="13" t="s">
        <v>841</v>
      </c>
      <c r="BI266" s="13"/>
      <c r="BJ266" s="13"/>
      <c r="BK266" s="8"/>
      <c r="BL266" s="8"/>
      <c r="BM266" s="18"/>
      <c r="BN266" s="8"/>
      <c r="BO266" s="24"/>
    </row>
    <row r="267" spans="1:67" s="14" customFormat="1" x14ac:dyDescent="0.3">
      <c r="A267" s="20">
        <v>265</v>
      </c>
      <c r="B267" s="2" t="s">
        <v>241</v>
      </c>
      <c r="C267" s="2">
        <v>2019</v>
      </c>
      <c r="D267" s="2" t="s">
        <v>201</v>
      </c>
      <c r="E267" s="10" t="s">
        <v>800</v>
      </c>
      <c r="F267" s="20" t="s">
        <v>29</v>
      </c>
      <c r="G267" s="2">
        <v>13</v>
      </c>
      <c r="H267" s="2" t="str">
        <f>'PFAS Properties'!$B$33</f>
        <v>PFOA</v>
      </c>
      <c r="I267" s="2" t="str">
        <f>'PFAS Properties'!$C$33</f>
        <v>PFCA</v>
      </c>
      <c r="J267" s="2" t="str">
        <f>'PFAS Properties'!$D$33</f>
        <v>C8HF15O2</v>
      </c>
      <c r="K267" s="25">
        <f>'PFAS Properties'!$P$33</f>
        <v>413.97359999999998</v>
      </c>
      <c r="L267" s="2">
        <f>'PFAS Properties'!$X$33</f>
        <v>-0.2</v>
      </c>
      <c r="M267" s="2" t="str">
        <f>'PFAS Properties'!$Y$33</f>
        <v>-</v>
      </c>
      <c r="N267" s="33">
        <v>0</v>
      </c>
      <c r="O267" s="33">
        <v>0</v>
      </c>
      <c r="P267" s="33">
        <v>0</v>
      </c>
      <c r="Q267" s="33">
        <f t="shared" si="120"/>
        <v>0.99999968377233395</v>
      </c>
      <c r="R267" s="33">
        <v>0</v>
      </c>
      <c r="S267" s="33">
        <f t="shared" si="121"/>
        <v>3.1622766601686895E-7</v>
      </c>
      <c r="T267" s="8">
        <f t="shared" si="126"/>
        <v>1</v>
      </c>
      <c r="U267" s="33">
        <f t="shared" si="127"/>
        <v>0</v>
      </c>
      <c r="V267" s="33">
        <f t="shared" si="128"/>
        <v>-0.99999968377233395</v>
      </c>
      <c r="W267" s="33">
        <f t="shared" si="129"/>
        <v>412.97360031622759</v>
      </c>
      <c r="X267" s="33">
        <v>96485</v>
      </c>
      <c r="Y267" s="16">
        <f t="shared" si="130"/>
        <v>-233.63471518492202</v>
      </c>
      <c r="Z267" s="16">
        <v>8</v>
      </c>
      <c r="AA267" s="16">
        <v>15</v>
      </c>
      <c r="AB267" s="8">
        <f t="shared" si="131"/>
        <v>0.33684210526315789</v>
      </c>
      <c r="AC267" s="16">
        <f t="shared" si="160"/>
        <v>68.844969824162703</v>
      </c>
      <c r="AD267" s="20">
        <f>'PFAS Properties'!$W$33</f>
        <v>7</v>
      </c>
      <c r="AE267" s="8">
        <f>'PFAS Properties'!$S$33</f>
        <v>2.6821450763738319</v>
      </c>
      <c r="AF267" s="15">
        <f>'PFAS Properties'!$V$33</f>
        <v>4.9000000000000004</v>
      </c>
      <c r="AG267" s="24">
        <v>6.3</v>
      </c>
      <c r="AH267" s="2" t="s">
        <v>122</v>
      </c>
      <c r="AI267" s="2" t="s">
        <v>661</v>
      </c>
      <c r="AJ267" s="2" t="s">
        <v>661</v>
      </c>
      <c r="AK267" s="2" t="s">
        <v>661</v>
      </c>
      <c r="AL267" s="2" t="s">
        <v>661</v>
      </c>
      <c r="AM267" s="2" t="s">
        <v>661</v>
      </c>
      <c r="AN267" s="2" t="s">
        <v>661</v>
      </c>
      <c r="AO267" s="2" t="s">
        <v>661</v>
      </c>
      <c r="AP267" s="15">
        <v>16.100000000000001</v>
      </c>
      <c r="AQ267" s="2" t="s">
        <v>661</v>
      </c>
      <c r="AR267" s="16">
        <v>52.1</v>
      </c>
      <c r="AS267" s="16">
        <v>19.5</v>
      </c>
      <c r="AT267" s="16">
        <v>28.4</v>
      </c>
      <c r="AU267" s="2" t="s">
        <v>661</v>
      </c>
      <c r="AV267" s="16">
        <f t="shared" si="150"/>
        <v>100</v>
      </c>
      <c r="AW267" s="18">
        <v>0.1</v>
      </c>
      <c r="AX267" s="13">
        <f t="shared" si="159"/>
        <v>1E-3</v>
      </c>
      <c r="AY267" s="13" t="s">
        <v>123</v>
      </c>
      <c r="AZ267" s="16">
        <f t="shared" si="158"/>
        <v>100</v>
      </c>
      <c r="BA267" s="16" t="s">
        <v>55</v>
      </c>
      <c r="BB267" s="15">
        <v>2.2999999999999998</v>
      </c>
      <c r="BC267" s="16" t="s">
        <v>55</v>
      </c>
      <c r="BD267" s="18">
        <v>3.2</v>
      </c>
      <c r="BE267" s="15">
        <f t="shared" si="151"/>
        <v>3200</v>
      </c>
      <c r="BF267" s="8">
        <f t="shared" si="132"/>
        <v>3.5051499783199058</v>
      </c>
      <c r="BG267" s="8">
        <f t="shared" si="152"/>
        <v>0.50514997831990605</v>
      </c>
      <c r="BH267" s="13" t="s">
        <v>841</v>
      </c>
      <c r="BI267" s="13"/>
      <c r="BJ267" s="13"/>
      <c r="BK267" s="8"/>
      <c r="BL267" s="8"/>
      <c r="BM267" s="18"/>
      <c r="BN267" s="8"/>
      <c r="BO267" s="24"/>
    </row>
    <row r="268" spans="1:67" s="14" customFormat="1" x14ac:dyDescent="0.3">
      <c r="A268" s="20">
        <v>266</v>
      </c>
      <c r="B268" s="2" t="s">
        <v>241</v>
      </c>
      <c r="C268" s="2">
        <v>2019</v>
      </c>
      <c r="D268" s="2" t="s">
        <v>201</v>
      </c>
      <c r="E268" s="10" t="s">
        <v>800</v>
      </c>
      <c r="F268" s="20" t="s">
        <v>29</v>
      </c>
      <c r="G268" s="2">
        <v>14</v>
      </c>
      <c r="H268" s="2" t="str">
        <f>'PFAS Properties'!$B$33</f>
        <v>PFOA</v>
      </c>
      <c r="I268" s="2" t="str">
        <f>'PFAS Properties'!$C$33</f>
        <v>PFCA</v>
      </c>
      <c r="J268" s="2" t="str">
        <f>'PFAS Properties'!$D$33</f>
        <v>C8HF15O2</v>
      </c>
      <c r="K268" s="25">
        <f>'PFAS Properties'!$P$33</f>
        <v>413.97359999999998</v>
      </c>
      <c r="L268" s="2">
        <f>'PFAS Properties'!$X$33</f>
        <v>-0.2</v>
      </c>
      <c r="M268" s="2" t="str">
        <f>'PFAS Properties'!$Y$33</f>
        <v>-</v>
      </c>
      <c r="N268" s="33">
        <v>0</v>
      </c>
      <c r="O268" s="33">
        <v>0</v>
      </c>
      <c r="P268" s="33">
        <v>0</v>
      </c>
      <c r="Q268" s="33">
        <f t="shared" si="120"/>
        <v>0.99999998741074603</v>
      </c>
      <c r="R268" s="33">
        <v>0</v>
      </c>
      <c r="S268" s="33">
        <f t="shared" si="121"/>
        <v>1.258925395945232E-8</v>
      </c>
      <c r="T268" s="8">
        <f t="shared" si="126"/>
        <v>1</v>
      </c>
      <c r="U268" s="33">
        <f t="shared" si="127"/>
        <v>0</v>
      </c>
      <c r="V268" s="33">
        <f t="shared" si="128"/>
        <v>-0.99999998741074603</v>
      </c>
      <c r="W268" s="33">
        <f t="shared" si="129"/>
        <v>412.9736000125892</v>
      </c>
      <c r="X268" s="33">
        <v>96485</v>
      </c>
      <c r="Y268" s="16">
        <f t="shared" si="130"/>
        <v>-233.63478629719808</v>
      </c>
      <c r="Z268" s="16">
        <v>8</v>
      </c>
      <c r="AA268" s="16">
        <v>15</v>
      </c>
      <c r="AB268" s="8">
        <f t="shared" si="131"/>
        <v>0.33684210526315789</v>
      </c>
      <c r="AC268" s="16">
        <f t="shared" si="160"/>
        <v>68.844969824162703</v>
      </c>
      <c r="AD268" s="20">
        <f>'PFAS Properties'!$W$33</f>
        <v>7</v>
      </c>
      <c r="AE268" s="8">
        <f>'PFAS Properties'!$S$33</f>
        <v>2.6821450763738319</v>
      </c>
      <c r="AF268" s="15">
        <f>'PFAS Properties'!$V$33</f>
        <v>4.9000000000000004</v>
      </c>
      <c r="AG268" s="24">
        <v>7.7</v>
      </c>
      <c r="AH268" s="2" t="s">
        <v>122</v>
      </c>
      <c r="AI268" s="2" t="s">
        <v>661</v>
      </c>
      <c r="AJ268" s="2" t="s">
        <v>661</v>
      </c>
      <c r="AK268" s="2" t="s">
        <v>661</v>
      </c>
      <c r="AL268" s="2" t="s">
        <v>661</v>
      </c>
      <c r="AM268" s="2" t="s">
        <v>661</v>
      </c>
      <c r="AN268" s="2" t="s">
        <v>661</v>
      </c>
      <c r="AO268" s="2" t="s">
        <v>661</v>
      </c>
      <c r="AP268" s="15">
        <v>39.5</v>
      </c>
      <c r="AQ268" s="2" t="s">
        <v>661</v>
      </c>
      <c r="AR268" s="16">
        <v>38.5</v>
      </c>
      <c r="AS268" s="16">
        <v>8.8999999999999986</v>
      </c>
      <c r="AT268" s="16">
        <v>52.6</v>
      </c>
      <c r="AU268" s="2" t="s">
        <v>661</v>
      </c>
      <c r="AV268" s="16">
        <f t="shared" si="150"/>
        <v>100</v>
      </c>
      <c r="AW268" s="18">
        <v>0.1</v>
      </c>
      <c r="AX268" s="13">
        <f t="shared" si="159"/>
        <v>1E-3</v>
      </c>
      <c r="AY268" s="13" t="s">
        <v>123</v>
      </c>
      <c r="AZ268" s="16">
        <f t="shared" si="158"/>
        <v>100</v>
      </c>
      <c r="BA268" s="16" t="s">
        <v>55</v>
      </c>
      <c r="BB268" s="15">
        <v>2.2999999999999998</v>
      </c>
      <c r="BC268" s="16" t="s">
        <v>55</v>
      </c>
      <c r="BD268" s="18">
        <v>2.2000000000000002</v>
      </c>
      <c r="BE268" s="15">
        <f t="shared" si="151"/>
        <v>2200</v>
      </c>
      <c r="BF268" s="8">
        <f t="shared" si="132"/>
        <v>3.3424226808222062</v>
      </c>
      <c r="BG268" s="8">
        <f t="shared" si="152"/>
        <v>0.34242268082220628</v>
      </c>
      <c r="BH268" s="13" t="s">
        <v>841</v>
      </c>
      <c r="BI268" s="13"/>
      <c r="BJ268" s="13"/>
      <c r="BK268" s="8"/>
      <c r="BL268" s="8"/>
      <c r="BM268" s="18"/>
      <c r="BN268" s="8"/>
      <c r="BO268" s="24"/>
    </row>
    <row r="269" spans="1:67" s="14" customFormat="1" x14ac:dyDescent="0.3">
      <c r="A269" s="20">
        <v>267</v>
      </c>
      <c r="B269" s="2" t="s">
        <v>241</v>
      </c>
      <c r="C269" s="2">
        <v>2019</v>
      </c>
      <c r="D269" s="2" t="s">
        <v>201</v>
      </c>
      <c r="E269" s="10" t="s">
        <v>800</v>
      </c>
      <c r="F269" s="20" t="s">
        <v>29</v>
      </c>
      <c r="G269" s="2">
        <v>15</v>
      </c>
      <c r="H269" s="2" t="str">
        <f>'PFAS Properties'!$B$33</f>
        <v>PFOA</v>
      </c>
      <c r="I269" s="2" t="str">
        <f>'PFAS Properties'!$C$33</f>
        <v>PFCA</v>
      </c>
      <c r="J269" s="2" t="str">
        <f>'PFAS Properties'!$D$33</f>
        <v>C8HF15O2</v>
      </c>
      <c r="K269" s="25">
        <f>'PFAS Properties'!$P$33</f>
        <v>413.97359999999998</v>
      </c>
      <c r="L269" s="2">
        <f>'PFAS Properties'!$X$33</f>
        <v>-0.2</v>
      </c>
      <c r="M269" s="2" t="str">
        <f>'PFAS Properties'!$Y$33</f>
        <v>-</v>
      </c>
      <c r="N269" s="33">
        <v>0</v>
      </c>
      <c r="O269" s="33">
        <v>0</v>
      </c>
      <c r="P269" s="33">
        <v>0</v>
      </c>
      <c r="Q269" s="33">
        <f t="shared" si="120"/>
        <v>0.99999999205671775</v>
      </c>
      <c r="R269" s="33">
        <v>0</v>
      </c>
      <c r="S269" s="33">
        <f t="shared" si="121"/>
        <v>7.9432822841470747E-9</v>
      </c>
      <c r="T269" s="8">
        <f t="shared" si="126"/>
        <v>1</v>
      </c>
      <c r="U269" s="33">
        <f t="shared" si="127"/>
        <v>0</v>
      </c>
      <c r="V269" s="33">
        <f t="shared" si="128"/>
        <v>-0.99999999205671775</v>
      </c>
      <c r="W269" s="33">
        <f t="shared" si="129"/>
        <v>412.97360000794328</v>
      </c>
      <c r="X269" s="33">
        <v>96485</v>
      </c>
      <c r="Y269" s="16">
        <f t="shared" si="130"/>
        <v>-233.63478738528704</v>
      </c>
      <c r="Z269" s="16">
        <v>8</v>
      </c>
      <c r="AA269" s="16">
        <v>15</v>
      </c>
      <c r="AB269" s="8">
        <f t="shared" si="131"/>
        <v>0.33684210526315789</v>
      </c>
      <c r="AC269" s="16">
        <f t="shared" si="160"/>
        <v>68.844969824162703</v>
      </c>
      <c r="AD269" s="20">
        <f>'PFAS Properties'!$W$33</f>
        <v>7</v>
      </c>
      <c r="AE269" s="8">
        <f>'PFAS Properties'!$S$33</f>
        <v>2.6821450763738319</v>
      </c>
      <c r="AF269" s="15">
        <f>'PFAS Properties'!$V$33</f>
        <v>4.9000000000000004</v>
      </c>
      <c r="AG269" s="24">
        <v>7.9</v>
      </c>
      <c r="AH269" s="2" t="s">
        <v>122</v>
      </c>
      <c r="AI269" s="2" t="s">
        <v>661</v>
      </c>
      <c r="AJ269" s="2" t="s">
        <v>661</v>
      </c>
      <c r="AK269" s="2" t="s">
        <v>661</v>
      </c>
      <c r="AL269" s="2" t="s">
        <v>661</v>
      </c>
      <c r="AM269" s="2" t="s">
        <v>661</v>
      </c>
      <c r="AN269" s="2" t="s">
        <v>661</v>
      </c>
      <c r="AO269" s="2" t="s">
        <v>661</v>
      </c>
      <c r="AP269" s="15">
        <v>28.7</v>
      </c>
      <c r="AQ269" s="2" t="s">
        <v>661</v>
      </c>
      <c r="AR269" s="16">
        <v>36.5</v>
      </c>
      <c r="AS269" s="16">
        <v>9.2999999999999972</v>
      </c>
      <c r="AT269" s="16">
        <v>54.2</v>
      </c>
      <c r="AU269" s="2" t="s">
        <v>661</v>
      </c>
      <c r="AV269" s="16">
        <f t="shared" si="150"/>
        <v>100</v>
      </c>
      <c r="AW269" s="18">
        <v>0.1</v>
      </c>
      <c r="AX269" s="13">
        <f t="shared" si="159"/>
        <v>1E-3</v>
      </c>
      <c r="AY269" s="13" t="s">
        <v>123</v>
      </c>
      <c r="AZ269" s="16">
        <f t="shared" si="158"/>
        <v>100</v>
      </c>
      <c r="BA269" s="16" t="s">
        <v>55</v>
      </c>
      <c r="BB269" s="15">
        <v>2.2999999999999998</v>
      </c>
      <c r="BC269" s="16" t="s">
        <v>55</v>
      </c>
      <c r="BD269" s="18">
        <v>1.5</v>
      </c>
      <c r="BE269" s="15">
        <f t="shared" si="151"/>
        <v>1500</v>
      </c>
      <c r="BF269" s="8">
        <f t="shared" si="132"/>
        <v>3.1760912590556813</v>
      </c>
      <c r="BG269" s="8">
        <f t="shared" si="152"/>
        <v>0.17609125905568124</v>
      </c>
      <c r="BH269" s="13" t="s">
        <v>841</v>
      </c>
      <c r="BI269" s="13"/>
      <c r="BJ269" s="13"/>
      <c r="BK269" s="8"/>
      <c r="BL269" s="8"/>
      <c r="BM269" s="18"/>
      <c r="BN269" s="8"/>
      <c r="BO269" s="24"/>
    </row>
    <row r="270" spans="1:67" s="14" customFormat="1" x14ac:dyDescent="0.3">
      <c r="A270" s="20">
        <v>268</v>
      </c>
      <c r="B270" s="2" t="s">
        <v>241</v>
      </c>
      <c r="C270" s="2">
        <v>2019</v>
      </c>
      <c r="D270" s="2" t="s">
        <v>201</v>
      </c>
      <c r="E270" s="10" t="s">
        <v>800</v>
      </c>
      <c r="F270" s="20" t="s">
        <v>29</v>
      </c>
      <c r="G270" s="2">
        <v>16</v>
      </c>
      <c r="H270" s="2" t="str">
        <f>'PFAS Properties'!$B$33</f>
        <v>PFOA</v>
      </c>
      <c r="I270" s="2" t="str">
        <f>'PFAS Properties'!$C$33</f>
        <v>PFCA</v>
      </c>
      <c r="J270" s="2" t="str">
        <f>'PFAS Properties'!$D$33</f>
        <v>C8HF15O2</v>
      </c>
      <c r="K270" s="25">
        <f>'PFAS Properties'!$P$33</f>
        <v>413.97359999999998</v>
      </c>
      <c r="L270" s="2">
        <f>'PFAS Properties'!$X$33</f>
        <v>-0.2</v>
      </c>
      <c r="M270" s="2" t="str">
        <f>'PFAS Properties'!$Y$33</f>
        <v>-</v>
      </c>
      <c r="N270" s="33">
        <v>0</v>
      </c>
      <c r="O270" s="33">
        <v>0</v>
      </c>
      <c r="P270" s="33">
        <v>0</v>
      </c>
      <c r="Q270" s="33">
        <f t="shared" si="120"/>
        <v>0.99999998741074603</v>
      </c>
      <c r="R270" s="33">
        <v>0</v>
      </c>
      <c r="S270" s="33">
        <f t="shared" si="121"/>
        <v>1.258925395945232E-8</v>
      </c>
      <c r="T270" s="8">
        <f t="shared" si="126"/>
        <v>1</v>
      </c>
      <c r="U270" s="33">
        <f t="shared" si="127"/>
        <v>0</v>
      </c>
      <c r="V270" s="33">
        <f t="shared" si="128"/>
        <v>-0.99999998741074603</v>
      </c>
      <c r="W270" s="33">
        <f t="shared" si="129"/>
        <v>412.9736000125892</v>
      </c>
      <c r="X270" s="33">
        <v>96485</v>
      </c>
      <c r="Y270" s="16">
        <f t="shared" si="130"/>
        <v>-233.63478629719808</v>
      </c>
      <c r="Z270" s="16">
        <v>8</v>
      </c>
      <c r="AA270" s="16">
        <v>15</v>
      </c>
      <c r="AB270" s="8">
        <f t="shared" si="131"/>
        <v>0.33684210526315789</v>
      </c>
      <c r="AC270" s="16">
        <f t="shared" si="160"/>
        <v>68.844969824162703</v>
      </c>
      <c r="AD270" s="20">
        <f>'PFAS Properties'!$W$33</f>
        <v>7</v>
      </c>
      <c r="AE270" s="8">
        <f>'PFAS Properties'!$S$33</f>
        <v>2.6821450763738319</v>
      </c>
      <c r="AF270" s="15">
        <f>'PFAS Properties'!$V$33</f>
        <v>4.9000000000000004</v>
      </c>
      <c r="AG270" s="24">
        <v>7.7</v>
      </c>
      <c r="AH270" s="2" t="s">
        <v>122</v>
      </c>
      <c r="AI270" s="2" t="s">
        <v>661</v>
      </c>
      <c r="AJ270" s="2" t="s">
        <v>661</v>
      </c>
      <c r="AK270" s="2" t="s">
        <v>661</v>
      </c>
      <c r="AL270" s="2" t="s">
        <v>661</v>
      </c>
      <c r="AM270" s="2" t="s">
        <v>661</v>
      </c>
      <c r="AN270" s="2" t="s">
        <v>661</v>
      </c>
      <c r="AO270" s="2" t="s">
        <v>661</v>
      </c>
      <c r="AP270" s="15">
        <v>21.8</v>
      </c>
      <c r="AQ270" s="2" t="s">
        <v>661</v>
      </c>
      <c r="AR270" s="16">
        <v>43.2</v>
      </c>
      <c r="AS270" s="16">
        <v>7.5</v>
      </c>
      <c r="AT270" s="16">
        <v>49.3</v>
      </c>
      <c r="AU270" s="2" t="s">
        <v>661</v>
      </c>
      <c r="AV270" s="16">
        <f t="shared" si="150"/>
        <v>100</v>
      </c>
      <c r="AW270" s="18">
        <v>0.1</v>
      </c>
      <c r="AX270" s="13">
        <f t="shared" si="159"/>
        <v>1E-3</v>
      </c>
      <c r="AY270" s="13" t="s">
        <v>123</v>
      </c>
      <c r="AZ270" s="16">
        <f t="shared" si="158"/>
        <v>100</v>
      </c>
      <c r="BA270" s="16" t="s">
        <v>55</v>
      </c>
      <c r="BB270" s="15">
        <v>2.2999999999999998</v>
      </c>
      <c r="BC270" s="16" t="s">
        <v>55</v>
      </c>
      <c r="BD270" s="18">
        <v>2.7</v>
      </c>
      <c r="BE270" s="15">
        <f t="shared" si="151"/>
        <v>2700</v>
      </c>
      <c r="BF270" s="8">
        <f t="shared" si="132"/>
        <v>3.4313637641589874</v>
      </c>
      <c r="BG270" s="8">
        <f t="shared" si="152"/>
        <v>0.43136376415898736</v>
      </c>
      <c r="BH270" s="13" t="s">
        <v>841</v>
      </c>
      <c r="BI270" s="13"/>
      <c r="BJ270" s="13"/>
      <c r="BK270" s="8"/>
      <c r="BL270" s="8"/>
      <c r="BM270" s="18"/>
      <c r="BN270" s="8"/>
      <c r="BO270" s="24"/>
    </row>
    <row r="271" spans="1:67" s="14" customFormat="1" x14ac:dyDescent="0.3">
      <c r="A271" s="20">
        <v>269</v>
      </c>
      <c r="B271" s="2" t="s">
        <v>241</v>
      </c>
      <c r="C271" s="2">
        <v>2019</v>
      </c>
      <c r="D271" s="2" t="s">
        <v>201</v>
      </c>
      <c r="E271" s="10" t="s">
        <v>800</v>
      </c>
      <c r="F271" s="20" t="s">
        <v>29</v>
      </c>
      <c r="G271" s="2">
        <v>17</v>
      </c>
      <c r="H271" s="2" t="str">
        <f>'PFAS Properties'!$B$33</f>
        <v>PFOA</v>
      </c>
      <c r="I271" s="2" t="str">
        <f>'PFAS Properties'!$C$33</f>
        <v>PFCA</v>
      </c>
      <c r="J271" s="2" t="str">
        <f>'PFAS Properties'!$D$33</f>
        <v>C8HF15O2</v>
      </c>
      <c r="K271" s="25">
        <f>'PFAS Properties'!$P$33</f>
        <v>413.97359999999998</v>
      </c>
      <c r="L271" s="2">
        <f>'PFAS Properties'!$X$33</f>
        <v>-0.2</v>
      </c>
      <c r="M271" s="2" t="str">
        <f>'PFAS Properties'!$Y$33</f>
        <v>-</v>
      </c>
      <c r="N271" s="33">
        <v>0</v>
      </c>
      <c r="O271" s="33">
        <v>0</v>
      </c>
      <c r="P271" s="33">
        <v>0</v>
      </c>
      <c r="Q271" s="33">
        <f t="shared" si="120"/>
        <v>0.99999874107617315</v>
      </c>
      <c r="R271" s="33">
        <v>0</v>
      </c>
      <c r="S271" s="33">
        <f t="shared" si="121"/>
        <v>1.2589238269029671E-6</v>
      </c>
      <c r="T271" s="8">
        <f t="shared" si="126"/>
        <v>1</v>
      </c>
      <c r="U271" s="33">
        <f t="shared" si="127"/>
        <v>0</v>
      </c>
      <c r="V271" s="33">
        <f t="shared" si="128"/>
        <v>-0.99999874107617315</v>
      </c>
      <c r="W271" s="33">
        <f t="shared" si="129"/>
        <v>412.97360125892379</v>
      </c>
      <c r="X271" s="33">
        <v>96485</v>
      </c>
      <c r="Y271" s="16">
        <f t="shared" si="130"/>
        <v>-233.63449440498505</v>
      </c>
      <c r="Z271" s="16">
        <v>8</v>
      </c>
      <c r="AA271" s="16">
        <v>15</v>
      </c>
      <c r="AB271" s="8">
        <f t="shared" si="131"/>
        <v>0.33684210526315789</v>
      </c>
      <c r="AC271" s="16">
        <f t="shared" si="160"/>
        <v>68.844969824162703</v>
      </c>
      <c r="AD271" s="20">
        <f>'PFAS Properties'!$W$33</f>
        <v>7</v>
      </c>
      <c r="AE271" s="8">
        <f>'PFAS Properties'!$S$33</f>
        <v>2.6821450763738319</v>
      </c>
      <c r="AF271" s="15">
        <f>'PFAS Properties'!$V$33</f>
        <v>4.9000000000000004</v>
      </c>
      <c r="AG271" s="24">
        <v>5.7</v>
      </c>
      <c r="AH271" s="2" t="s">
        <v>122</v>
      </c>
      <c r="AI271" s="2" t="s">
        <v>661</v>
      </c>
      <c r="AJ271" s="2" t="s">
        <v>661</v>
      </c>
      <c r="AK271" s="2" t="s">
        <v>661</v>
      </c>
      <c r="AL271" s="2" t="s">
        <v>661</v>
      </c>
      <c r="AM271" s="2" t="s">
        <v>661</v>
      </c>
      <c r="AN271" s="2" t="s">
        <v>661</v>
      </c>
      <c r="AO271" s="2" t="s">
        <v>661</v>
      </c>
      <c r="AP271" s="15">
        <v>8.6999999999999993</v>
      </c>
      <c r="AQ271" s="2" t="s">
        <v>661</v>
      </c>
      <c r="AR271" s="16">
        <v>53</v>
      </c>
      <c r="AS271" s="16">
        <v>8.7000000000000028</v>
      </c>
      <c r="AT271" s="16">
        <v>38.299999999999997</v>
      </c>
      <c r="AU271" s="2" t="s">
        <v>661</v>
      </c>
      <c r="AV271" s="16">
        <f t="shared" si="150"/>
        <v>100</v>
      </c>
      <c r="AW271" s="18">
        <v>0.2</v>
      </c>
      <c r="AX271" s="13">
        <f t="shared" si="159"/>
        <v>2E-3</v>
      </c>
      <c r="AY271" s="13" t="s">
        <v>123</v>
      </c>
      <c r="AZ271" s="16">
        <f t="shared" si="158"/>
        <v>100</v>
      </c>
      <c r="BA271" s="16" t="s">
        <v>55</v>
      </c>
      <c r="BB271" s="15">
        <v>2.2999999999999998</v>
      </c>
      <c r="BC271" s="16" t="s">
        <v>55</v>
      </c>
      <c r="BD271" s="18">
        <v>5.6</v>
      </c>
      <c r="BE271" s="15">
        <f t="shared" si="151"/>
        <v>2799.9999999999995</v>
      </c>
      <c r="BF271" s="8">
        <f t="shared" si="132"/>
        <v>3.447158031342219</v>
      </c>
      <c r="BG271" s="8">
        <f t="shared" si="152"/>
        <v>0.74818802700620035</v>
      </c>
      <c r="BH271" s="13" t="s">
        <v>841</v>
      </c>
      <c r="BI271" s="13"/>
      <c r="BJ271" s="13"/>
      <c r="BK271" s="8"/>
      <c r="BL271" s="8"/>
      <c r="BM271" s="18"/>
      <c r="BN271" s="8"/>
      <c r="BO271" s="24"/>
    </row>
    <row r="272" spans="1:67" s="14" customFormat="1" x14ac:dyDescent="0.3">
      <c r="A272" s="20">
        <v>270</v>
      </c>
      <c r="B272" s="2" t="s">
        <v>241</v>
      </c>
      <c r="C272" s="2">
        <v>2019</v>
      </c>
      <c r="D272" s="2" t="s">
        <v>201</v>
      </c>
      <c r="E272" s="10" t="s">
        <v>800</v>
      </c>
      <c r="F272" s="20" t="s">
        <v>29</v>
      </c>
      <c r="G272" s="2">
        <v>18</v>
      </c>
      <c r="H272" s="2" t="str">
        <f>'PFAS Properties'!$B$33</f>
        <v>PFOA</v>
      </c>
      <c r="I272" s="2" t="str">
        <f>'PFAS Properties'!$C$33</f>
        <v>PFCA</v>
      </c>
      <c r="J272" s="2" t="str">
        <f>'PFAS Properties'!$D$33</f>
        <v>C8HF15O2</v>
      </c>
      <c r="K272" s="25">
        <f>'PFAS Properties'!$P$33</f>
        <v>413.97359999999998</v>
      </c>
      <c r="L272" s="2">
        <f>'PFAS Properties'!$X$33</f>
        <v>-0.2</v>
      </c>
      <c r="M272" s="2" t="str">
        <f>'PFAS Properties'!$Y$33</f>
        <v>-</v>
      </c>
      <c r="N272" s="33">
        <v>0</v>
      </c>
      <c r="O272" s="33">
        <v>0</v>
      </c>
      <c r="P272" s="33">
        <v>0</v>
      </c>
      <c r="Q272" s="33">
        <f t="shared" ref="Q272:Q335" si="161">(10^(AG272-L272))/(1+(10^(AG272-L272)))</f>
        <v>0.99999960189298798</v>
      </c>
      <c r="R272" s="33">
        <v>0</v>
      </c>
      <c r="S272" s="33">
        <f t="shared" ref="S272:S335" si="162">(1/(1+(10^(AG272-L272))))</f>
        <v>3.9810701206424001E-7</v>
      </c>
      <c r="T272" s="8">
        <f t="shared" si="126"/>
        <v>1</v>
      </c>
      <c r="U272" s="33">
        <f t="shared" si="127"/>
        <v>0</v>
      </c>
      <c r="V272" s="33">
        <f t="shared" si="128"/>
        <v>-0.99999960189298798</v>
      </c>
      <c r="W272" s="33">
        <f t="shared" si="129"/>
        <v>412.97360039810701</v>
      </c>
      <c r="X272" s="33">
        <v>96485</v>
      </c>
      <c r="Y272" s="16">
        <f t="shared" si="130"/>
        <v>-233.634696008736</v>
      </c>
      <c r="Z272" s="16">
        <v>8</v>
      </c>
      <c r="AA272" s="16">
        <v>15</v>
      </c>
      <c r="AB272" s="8">
        <f t="shared" si="131"/>
        <v>0.33684210526315789</v>
      </c>
      <c r="AC272" s="16">
        <f t="shared" si="160"/>
        <v>68.844969824162703</v>
      </c>
      <c r="AD272" s="20">
        <f>'PFAS Properties'!$W$33</f>
        <v>7</v>
      </c>
      <c r="AE272" s="8">
        <f>'PFAS Properties'!$S$33</f>
        <v>2.6821450763738319</v>
      </c>
      <c r="AF272" s="15">
        <f>'PFAS Properties'!$V$33</f>
        <v>4.9000000000000004</v>
      </c>
      <c r="AG272" s="24">
        <v>6.2</v>
      </c>
      <c r="AH272" s="2" t="s">
        <v>122</v>
      </c>
      <c r="AI272" s="2" t="s">
        <v>661</v>
      </c>
      <c r="AJ272" s="2" t="s">
        <v>661</v>
      </c>
      <c r="AK272" s="2" t="s">
        <v>661</v>
      </c>
      <c r="AL272" s="2" t="s">
        <v>661</v>
      </c>
      <c r="AM272" s="2" t="s">
        <v>661</v>
      </c>
      <c r="AN272" s="2" t="s">
        <v>661</v>
      </c>
      <c r="AO272" s="2" t="s">
        <v>661</v>
      </c>
      <c r="AP272" s="15">
        <v>27.4</v>
      </c>
      <c r="AQ272" s="2" t="s">
        <v>661</v>
      </c>
      <c r="AR272" s="16">
        <v>38.700000000000003</v>
      </c>
      <c r="AS272" s="16">
        <v>10.299999999999997</v>
      </c>
      <c r="AT272" s="16">
        <v>51</v>
      </c>
      <c r="AU272" s="2" t="s">
        <v>661</v>
      </c>
      <c r="AV272" s="16">
        <f t="shared" si="150"/>
        <v>100</v>
      </c>
      <c r="AW272" s="18">
        <v>0.1</v>
      </c>
      <c r="AX272" s="13">
        <f t="shared" si="159"/>
        <v>1E-3</v>
      </c>
      <c r="AY272" s="13" t="s">
        <v>123</v>
      </c>
      <c r="AZ272" s="16">
        <f t="shared" si="158"/>
        <v>100</v>
      </c>
      <c r="BA272" s="16" t="s">
        <v>55</v>
      </c>
      <c r="BB272" s="15">
        <v>2.2999999999999998</v>
      </c>
      <c r="BC272" s="16" t="s">
        <v>55</v>
      </c>
      <c r="BD272" s="18">
        <v>1.2</v>
      </c>
      <c r="BE272" s="15">
        <f t="shared" si="151"/>
        <v>1200</v>
      </c>
      <c r="BF272" s="8">
        <f t="shared" si="132"/>
        <v>3.0791812460476247</v>
      </c>
      <c r="BG272" s="8">
        <f t="shared" si="152"/>
        <v>7.9181246047624818E-2</v>
      </c>
      <c r="BH272" s="13" t="s">
        <v>841</v>
      </c>
      <c r="BI272" s="13"/>
      <c r="BJ272" s="13"/>
      <c r="BK272" s="8"/>
      <c r="BL272" s="8"/>
      <c r="BM272" s="18"/>
      <c r="BN272" s="8"/>
      <c r="BO272" s="24"/>
    </row>
    <row r="273" spans="1:67" s="14" customFormat="1" x14ac:dyDescent="0.3">
      <c r="A273" s="20">
        <v>271</v>
      </c>
      <c r="B273" s="2" t="s">
        <v>241</v>
      </c>
      <c r="C273" s="2">
        <v>2019</v>
      </c>
      <c r="D273" s="2" t="s">
        <v>201</v>
      </c>
      <c r="E273" s="10" t="s">
        <v>800</v>
      </c>
      <c r="F273" s="20" t="s">
        <v>29</v>
      </c>
      <c r="G273" s="2">
        <v>19</v>
      </c>
      <c r="H273" s="2" t="str">
        <f>'PFAS Properties'!$B$33</f>
        <v>PFOA</v>
      </c>
      <c r="I273" s="2" t="str">
        <f>'PFAS Properties'!$C$33</f>
        <v>PFCA</v>
      </c>
      <c r="J273" s="2" t="str">
        <f>'PFAS Properties'!$D$33</f>
        <v>C8HF15O2</v>
      </c>
      <c r="K273" s="25">
        <f>'PFAS Properties'!$P$33</f>
        <v>413.97359999999998</v>
      </c>
      <c r="L273" s="2">
        <f>'PFAS Properties'!$X$33</f>
        <v>-0.2</v>
      </c>
      <c r="M273" s="2" t="str">
        <f>'PFAS Properties'!$Y$33</f>
        <v>-</v>
      </c>
      <c r="N273" s="33">
        <v>0</v>
      </c>
      <c r="O273" s="33">
        <v>0</v>
      </c>
      <c r="P273" s="33">
        <v>0</v>
      </c>
      <c r="Q273" s="33">
        <f t="shared" si="161"/>
        <v>0.99999936904305364</v>
      </c>
      <c r="R273" s="33">
        <v>0</v>
      </c>
      <c r="S273" s="33">
        <f t="shared" si="162"/>
        <v>6.309569463732732E-7</v>
      </c>
      <c r="T273" s="8">
        <f t="shared" si="126"/>
        <v>1</v>
      </c>
      <c r="U273" s="33">
        <f t="shared" si="127"/>
        <v>0</v>
      </c>
      <c r="V273" s="33">
        <f t="shared" si="128"/>
        <v>-0.99999936904305364</v>
      </c>
      <c r="W273" s="33">
        <f t="shared" si="129"/>
        <v>412.97360063095692</v>
      </c>
      <c r="X273" s="33">
        <v>96485</v>
      </c>
      <c r="Y273" s="16">
        <f t="shared" si="130"/>
        <v>-233.63464147515879</v>
      </c>
      <c r="Z273" s="16">
        <v>8</v>
      </c>
      <c r="AA273" s="16">
        <v>15</v>
      </c>
      <c r="AB273" s="8">
        <f t="shared" si="131"/>
        <v>0.33684210526315789</v>
      </c>
      <c r="AC273" s="16">
        <f t="shared" si="160"/>
        <v>68.844969824162703</v>
      </c>
      <c r="AD273" s="20">
        <f>'PFAS Properties'!$W$33</f>
        <v>7</v>
      </c>
      <c r="AE273" s="8">
        <f>'PFAS Properties'!$S$33</f>
        <v>2.6821450763738319</v>
      </c>
      <c r="AF273" s="15">
        <f>'PFAS Properties'!$V$33</f>
        <v>4.9000000000000004</v>
      </c>
      <c r="AG273" s="24">
        <v>6</v>
      </c>
      <c r="AH273" s="2" t="s">
        <v>122</v>
      </c>
      <c r="AI273" s="2" t="s">
        <v>661</v>
      </c>
      <c r="AJ273" s="2" t="s">
        <v>661</v>
      </c>
      <c r="AK273" s="2" t="s">
        <v>661</v>
      </c>
      <c r="AL273" s="2" t="s">
        <v>661</v>
      </c>
      <c r="AM273" s="2" t="s">
        <v>661</v>
      </c>
      <c r="AN273" s="2" t="s">
        <v>661</v>
      </c>
      <c r="AO273" s="2" t="s">
        <v>661</v>
      </c>
      <c r="AP273" s="15">
        <v>8.4</v>
      </c>
      <c r="AQ273" s="2" t="s">
        <v>661</v>
      </c>
      <c r="AR273" s="16">
        <v>76.2</v>
      </c>
      <c r="AS273" s="16">
        <v>3.7999999999999972</v>
      </c>
      <c r="AT273" s="16">
        <v>20</v>
      </c>
      <c r="AU273" s="2" t="s">
        <v>661</v>
      </c>
      <c r="AV273" s="16">
        <f t="shared" si="150"/>
        <v>100</v>
      </c>
      <c r="AW273" s="18">
        <v>0.5</v>
      </c>
      <c r="AX273" s="13">
        <f t="shared" si="159"/>
        <v>5.0000000000000001E-3</v>
      </c>
      <c r="AY273" s="13" t="s">
        <v>123</v>
      </c>
      <c r="AZ273" s="16">
        <f t="shared" si="158"/>
        <v>100</v>
      </c>
      <c r="BA273" s="16" t="s">
        <v>55</v>
      </c>
      <c r="BB273" s="15">
        <v>2.2999999999999998</v>
      </c>
      <c r="BC273" s="16" t="s">
        <v>55</v>
      </c>
      <c r="BD273" s="18">
        <v>6.5</v>
      </c>
      <c r="BE273" s="15">
        <f t="shared" si="151"/>
        <v>1300</v>
      </c>
      <c r="BF273" s="8">
        <f t="shared" si="132"/>
        <v>3.1139433523068369</v>
      </c>
      <c r="BG273" s="8">
        <f t="shared" si="152"/>
        <v>0.81291335664285558</v>
      </c>
      <c r="BH273" s="13" t="s">
        <v>841</v>
      </c>
      <c r="BI273" s="13"/>
      <c r="BJ273" s="13"/>
      <c r="BK273" s="8"/>
      <c r="BL273" s="8"/>
      <c r="BM273" s="18"/>
      <c r="BN273" s="8"/>
      <c r="BO273" s="24"/>
    </row>
    <row r="274" spans="1:67" s="14" customFormat="1" x14ac:dyDescent="0.3">
      <c r="A274" s="20">
        <v>272</v>
      </c>
      <c r="B274" s="2" t="s">
        <v>241</v>
      </c>
      <c r="C274" s="2">
        <v>2019</v>
      </c>
      <c r="D274" s="2" t="s">
        <v>201</v>
      </c>
      <c r="E274" s="10" t="s">
        <v>800</v>
      </c>
      <c r="F274" s="20" t="s">
        <v>29</v>
      </c>
      <c r="G274" s="2">
        <v>20</v>
      </c>
      <c r="H274" s="2" t="str">
        <f>'PFAS Properties'!$B$33</f>
        <v>PFOA</v>
      </c>
      <c r="I274" s="2" t="str">
        <f>'PFAS Properties'!$C$33</f>
        <v>PFCA</v>
      </c>
      <c r="J274" s="2" t="str">
        <f>'PFAS Properties'!$D$33</f>
        <v>C8HF15O2</v>
      </c>
      <c r="K274" s="25">
        <f>'PFAS Properties'!$P$33</f>
        <v>413.97359999999998</v>
      </c>
      <c r="L274" s="2">
        <f>'PFAS Properties'!$X$33</f>
        <v>-0.2</v>
      </c>
      <c r="M274" s="2" t="str">
        <f>'PFAS Properties'!$Y$33</f>
        <v>-</v>
      </c>
      <c r="N274" s="33">
        <v>0</v>
      </c>
      <c r="O274" s="33">
        <v>0</v>
      </c>
      <c r="P274" s="33">
        <v>0</v>
      </c>
      <c r="Q274" s="33">
        <f t="shared" si="161"/>
        <v>0.99999999205671775</v>
      </c>
      <c r="R274" s="33">
        <v>0</v>
      </c>
      <c r="S274" s="33">
        <f t="shared" si="162"/>
        <v>7.9432822841470747E-9</v>
      </c>
      <c r="T274" s="8">
        <f t="shared" si="126"/>
        <v>1</v>
      </c>
      <c r="U274" s="33">
        <f t="shared" si="127"/>
        <v>0</v>
      </c>
      <c r="V274" s="33">
        <f t="shared" si="128"/>
        <v>-0.99999999205671775</v>
      </c>
      <c r="W274" s="33">
        <f t="shared" si="129"/>
        <v>412.97360000794328</v>
      </c>
      <c r="X274" s="33">
        <v>96485</v>
      </c>
      <c r="Y274" s="16">
        <f t="shared" si="130"/>
        <v>-233.63478738528704</v>
      </c>
      <c r="Z274" s="16">
        <v>8</v>
      </c>
      <c r="AA274" s="16">
        <v>15</v>
      </c>
      <c r="AB274" s="8">
        <f t="shared" si="131"/>
        <v>0.33684210526315789</v>
      </c>
      <c r="AC274" s="16">
        <f t="shared" si="160"/>
        <v>68.844969824162703</v>
      </c>
      <c r="AD274" s="20">
        <f>'PFAS Properties'!$W$33</f>
        <v>7</v>
      </c>
      <c r="AE274" s="8">
        <f>'PFAS Properties'!$S$33</f>
        <v>2.6821450763738319</v>
      </c>
      <c r="AF274" s="15">
        <f>'PFAS Properties'!$V$33</f>
        <v>4.9000000000000004</v>
      </c>
      <c r="AG274" s="24">
        <v>7.9</v>
      </c>
      <c r="AH274" s="2" t="s">
        <v>122</v>
      </c>
      <c r="AI274" s="2" t="s">
        <v>661</v>
      </c>
      <c r="AJ274" s="2" t="s">
        <v>661</v>
      </c>
      <c r="AK274" s="2" t="s">
        <v>661</v>
      </c>
      <c r="AL274" s="2" t="s">
        <v>661</v>
      </c>
      <c r="AM274" s="2" t="s">
        <v>661</v>
      </c>
      <c r="AN274" s="2" t="s">
        <v>661</v>
      </c>
      <c r="AO274" s="2" t="s">
        <v>661</v>
      </c>
      <c r="AP274" s="15">
        <v>18.5</v>
      </c>
      <c r="AQ274" s="2" t="s">
        <v>661</v>
      </c>
      <c r="AR274" s="16">
        <v>48.2</v>
      </c>
      <c r="AS274" s="16">
        <v>17.699999999999996</v>
      </c>
      <c r="AT274" s="16">
        <v>34.1</v>
      </c>
      <c r="AU274" s="2" t="s">
        <v>661</v>
      </c>
      <c r="AV274" s="16">
        <f t="shared" si="150"/>
        <v>100</v>
      </c>
      <c r="AW274" s="18">
        <v>0.1</v>
      </c>
      <c r="AX274" s="13">
        <f t="shared" si="159"/>
        <v>1E-3</v>
      </c>
      <c r="AY274" s="13" t="s">
        <v>123</v>
      </c>
      <c r="AZ274" s="16">
        <f t="shared" si="158"/>
        <v>100</v>
      </c>
      <c r="BA274" s="16" t="s">
        <v>55</v>
      </c>
      <c r="BB274" s="15">
        <v>2.2999999999999998</v>
      </c>
      <c r="BC274" s="16" t="s">
        <v>55</v>
      </c>
      <c r="BD274" s="18">
        <v>1.6</v>
      </c>
      <c r="BE274" s="15">
        <f t="shared" si="151"/>
        <v>1600</v>
      </c>
      <c r="BF274" s="8">
        <f t="shared" si="132"/>
        <v>3.2041199826559246</v>
      </c>
      <c r="BG274" s="8">
        <f t="shared" si="152"/>
        <v>0.20411998265592479</v>
      </c>
      <c r="BH274" s="13" t="s">
        <v>841</v>
      </c>
      <c r="BI274" s="13"/>
      <c r="BJ274" s="13"/>
      <c r="BK274" s="8"/>
      <c r="BL274" s="8"/>
      <c r="BM274" s="18"/>
      <c r="BN274" s="8"/>
      <c r="BO274" s="24"/>
    </row>
    <row r="275" spans="1:67" s="14" customFormat="1" x14ac:dyDescent="0.3">
      <c r="A275" s="20">
        <v>273</v>
      </c>
      <c r="B275" s="2" t="s">
        <v>241</v>
      </c>
      <c r="C275" s="2">
        <v>2019</v>
      </c>
      <c r="D275" s="2" t="s">
        <v>201</v>
      </c>
      <c r="E275" s="10" t="s">
        <v>800</v>
      </c>
      <c r="F275" s="20" t="s">
        <v>29</v>
      </c>
      <c r="G275" s="2">
        <v>21</v>
      </c>
      <c r="H275" s="2" t="str">
        <f>'PFAS Properties'!$B$33</f>
        <v>PFOA</v>
      </c>
      <c r="I275" s="2" t="str">
        <f>'PFAS Properties'!$C$33</f>
        <v>PFCA</v>
      </c>
      <c r="J275" s="2" t="str">
        <f>'PFAS Properties'!$D$33</f>
        <v>C8HF15O2</v>
      </c>
      <c r="K275" s="25">
        <f>'PFAS Properties'!$P$33</f>
        <v>413.97359999999998</v>
      </c>
      <c r="L275" s="2">
        <f>'PFAS Properties'!$X$33</f>
        <v>-0.2</v>
      </c>
      <c r="M275" s="2" t="str">
        <f>'PFAS Properties'!$Y$33</f>
        <v>-</v>
      </c>
      <c r="N275" s="33">
        <v>0</v>
      </c>
      <c r="O275" s="33">
        <v>0</v>
      </c>
      <c r="P275" s="33">
        <v>0</v>
      </c>
      <c r="Q275" s="33">
        <f t="shared" si="161"/>
        <v>0.99999949881301753</v>
      </c>
      <c r="R275" s="33">
        <v>0</v>
      </c>
      <c r="S275" s="33">
        <f t="shared" si="162"/>
        <v>5.0118698243875488E-7</v>
      </c>
      <c r="T275" s="8">
        <f t="shared" si="126"/>
        <v>1</v>
      </c>
      <c r="U275" s="33">
        <f t="shared" si="127"/>
        <v>0</v>
      </c>
      <c r="V275" s="33">
        <f t="shared" si="128"/>
        <v>-0.99999949881301753</v>
      </c>
      <c r="W275" s="33">
        <f t="shared" si="129"/>
        <v>412.97360050118692</v>
      </c>
      <c r="X275" s="33">
        <v>96485</v>
      </c>
      <c r="Y275" s="16">
        <f t="shared" si="130"/>
        <v>-233.63467186735267</v>
      </c>
      <c r="Z275" s="16">
        <v>8</v>
      </c>
      <c r="AA275" s="16">
        <v>15</v>
      </c>
      <c r="AB275" s="8">
        <f t="shared" si="131"/>
        <v>0.33684210526315789</v>
      </c>
      <c r="AC275" s="16">
        <f t="shared" si="160"/>
        <v>68.844969824162703</v>
      </c>
      <c r="AD275" s="20">
        <f>'PFAS Properties'!$W$33</f>
        <v>7</v>
      </c>
      <c r="AE275" s="8">
        <f>'PFAS Properties'!$S$33</f>
        <v>2.6821450763738319</v>
      </c>
      <c r="AF275" s="15">
        <f>'PFAS Properties'!$V$33</f>
        <v>4.9000000000000004</v>
      </c>
      <c r="AG275" s="24">
        <v>6.1</v>
      </c>
      <c r="AH275" s="2" t="s">
        <v>122</v>
      </c>
      <c r="AI275" s="2" t="s">
        <v>661</v>
      </c>
      <c r="AJ275" s="2" t="s">
        <v>661</v>
      </c>
      <c r="AK275" s="2" t="s">
        <v>661</v>
      </c>
      <c r="AL275" s="2" t="s">
        <v>661</v>
      </c>
      <c r="AM275" s="2" t="s">
        <v>661</v>
      </c>
      <c r="AN275" s="2" t="s">
        <v>661</v>
      </c>
      <c r="AO275" s="2" t="s">
        <v>661</v>
      </c>
      <c r="AP275" s="15">
        <v>12.3</v>
      </c>
      <c r="AQ275" s="2" t="s">
        <v>661</v>
      </c>
      <c r="AR275" s="16">
        <v>53.2</v>
      </c>
      <c r="AS275" s="16">
        <v>6.7999999999999972</v>
      </c>
      <c r="AT275" s="16">
        <v>40</v>
      </c>
      <c r="AU275" s="2" t="s">
        <v>661</v>
      </c>
      <c r="AV275" s="16">
        <f t="shared" si="150"/>
        <v>100</v>
      </c>
      <c r="AW275" s="18">
        <v>0.14000000000000001</v>
      </c>
      <c r="AX275" s="13">
        <f t="shared" si="159"/>
        <v>1.4000000000000002E-3</v>
      </c>
      <c r="AY275" s="13" t="s">
        <v>123</v>
      </c>
      <c r="AZ275" s="16">
        <f t="shared" si="158"/>
        <v>100</v>
      </c>
      <c r="BA275" s="16" t="s">
        <v>55</v>
      </c>
      <c r="BB275" s="15">
        <v>2.2999999999999998</v>
      </c>
      <c r="BC275" s="16" t="s">
        <v>55</v>
      </c>
      <c r="BD275" s="18">
        <v>3.7</v>
      </c>
      <c r="BE275" s="15">
        <f t="shared" si="151"/>
        <v>2642.8571428571427</v>
      </c>
      <c r="BF275" s="8">
        <f t="shared" si="132"/>
        <v>3.4220736883887568</v>
      </c>
      <c r="BG275" s="8">
        <f t="shared" si="152"/>
        <v>0.56820172406699498</v>
      </c>
      <c r="BH275" s="13" t="s">
        <v>841</v>
      </c>
      <c r="BI275" s="13"/>
      <c r="BJ275" s="13"/>
      <c r="BK275" s="8"/>
      <c r="BL275" s="8"/>
      <c r="BM275" s="18"/>
      <c r="BN275" s="8"/>
      <c r="BO275" s="24"/>
    </row>
    <row r="276" spans="1:67" s="14" customFormat="1" x14ac:dyDescent="0.3">
      <c r="A276" s="20">
        <v>274</v>
      </c>
      <c r="B276" s="2" t="s">
        <v>241</v>
      </c>
      <c r="C276" s="2">
        <v>2019</v>
      </c>
      <c r="D276" s="2" t="s">
        <v>201</v>
      </c>
      <c r="E276" s="10" t="s">
        <v>800</v>
      </c>
      <c r="F276" s="20" t="s">
        <v>29</v>
      </c>
      <c r="G276" s="2">
        <v>22</v>
      </c>
      <c r="H276" s="2" t="str">
        <f>'PFAS Properties'!$B$33</f>
        <v>PFOA</v>
      </c>
      <c r="I276" s="2" t="str">
        <f>'PFAS Properties'!$C$33</f>
        <v>PFCA</v>
      </c>
      <c r="J276" s="2" t="str">
        <f>'PFAS Properties'!$D$33</f>
        <v>C8HF15O2</v>
      </c>
      <c r="K276" s="25">
        <f>'PFAS Properties'!$P$33</f>
        <v>413.97359999999998</v>
      </c>
      <c r="L276" s="2">
        <f>'PFAS Properties'!$X$33</f>
        <v>-0.2</v>
      </c>
      <c r="M276" s="2" t="str">
        <f>'PFAS Properties'!$Y$33</f>
        <v>-</v>
      </c>
      <c r="N276" s="33">
        <v>0</v>
      </c>
      <c r="O276" s="33">
        <v>0</v>
      </c>
      <c r="P276" s="33">
        <v>0</v>
      </c>
      <c r="Q276" s="33">
        <f t="shared" si="161"/>
        <v>0.99999683773233983</v>
      </c>
      <c r="R276" s="33">
        <v>0</v>
      </c>
      <c r="S276" s="33">
        <f t="shared" si="162"/>
        <v>3.1622676601999995E-6</v>
      </c>
      <c r="T276" s="8">
        <f t="shared" si="126"/>
        <v>1</v>
      </c>
      <c r="U276" s="33">
        <f t="shared" si="127"/>
        <v>0</v>
      </c>
      <c r="V276" s="33">
        <f t="shared" si="128"/>
        <v>-0.99999683773233983</v>
      </c>
      <c r="W276" s="33">
        <f t="shared" si="129"/>
        <v>412.97360316226764</v>
      </c>
      <c r="X276" s="33">
        <v>96485</v>
      </c>
      <c r="Y276" s="16">
        <f t="shared" si="130"/>
        <v>-233.63404864086087</v>
      </c>
      <c r="Z276" s="16">
        <v>8</v>
      </c>
      <c r="AA276" s="16">
        <v>15</v>
      </c>
      <c r="AB276" s="8">
        <f t="shared" si="131"/>
        <v>0.33684210526315789</v>
      </c>
      <c r="AC276" s="16">
        <f t="shared" si="160"/>
        <v>68.844969824162703</v>
      </c>
      <c r="AD276" s="20">
        <f>'PFAS Properties'!$W$33</f>
        <v>7</v>
      </c>
      <c r="AE276" s="8">
        <f>'PFAS Properties'!$S$33</f>
        <v>2.6821450763738319</v>
      </c>
      <c r="AF276" s="15">
        <f>'PFAS Properties'!$V$33</f>
        <v>4.9000000000000004</v>
      </c>
      <c r="AG276" s="24">
        <v>5.3</v>
      </c>
      <c r="AH276" s="2" t="s">
        <v>122</v>
      </c>
      <c r="AI276" s="2" t="s">
        <v>661</v>
      </c>
      <c r="AJ276" s="2" t="s">
        <v>661</v>
      </c>
      <c r="AK276" s="2" t="s">
        <v>661</v>
      </c>
      <c r="AL276" s="2" t="s">
        <v>661</v>
      </c>
      <c r="AM276" s="2" t="s">
        <v>661</v>
      </c>
      <c r="AN276" s="2" t="s">
        <v>661</v>
      </c>
      <c r="AO276" s="2" t="s">
        <v>661</v>
      </c>
      <c r="AP276" s="15">
        <v>4.8</v>
      </c>
      <c r="AQ276" s="2" t="s">
        <v>661</v>
      </c>
      <c r="AR276" s="16">
        <v>56.9</v>
      </c>
      <c r="AS276" s="16">
        <v>21.5</v>
      </c>
      <c r="AT276" s="16">
        <v>21.6</v>
      </c>
      <c r="AU276" s="2" t="s">
        <v>661</v>
      </c>
      <c r="AV276" s="16">
        <f t="shared" si="150"/>
        <v>100</v>
      </c>
      <c r="AW276" s="18">
        <v>1.1000000000000001</v>
      </c>
      <c r="AX276" s="13">
        <f t="shared" si="159"/>
        <v>1.1000000000000001E-2</v>
      </c>
      <c r="AY276" s="13" t="s">
        <v>123</v>
      </c>
      <c r="AZ276" s="16">
        <f t="shared" si="158"/>
        <v>100</v>
      </c>
      <c r="BA276" s="16" t="s">
        <v>55</v>
      </c>
      <c r="BB276" s="15">
        <v>2.2999999999999998</v>
      </c>
      <c r="BC276" s="16" t="s">
        <v>55</v>
      </c>
      <c r="BD276" s="18">
        <v>8.4</v>
      </c>
      <c r="BE276" s="15">
        <f t="shared" si="151"/>
        <v>763.63636363636363</v>
      </c>
      <c r="BF276" s="8">
        <f t="shared" si="132"/>
        <v>2.8828866009036567</v>
      </c>
      <c r="BG276" s="8">
        <f t="shared" si="152"/>
        <v>0.9242792860618817</v>
      </c>
      <c r="BH276" s="13" t="s">
        <v>841</v>
      </c>
      <c r="BI276" s="13"/>
      <c r="BJ276" s="13"/>
      <c r="BK276" s="8"/>
      <c r="BL276" s="8"/>
      <c r="BM276" s="18"/>
      <c r="BN276" s="8"/>
      <c r="BO276" s="24"/>
    </row>
    <row r="277" spans="1:67" s="14" customFormat="1" x14ac:dyDescent="0.3">
      <c r="A277" s="20">
        <v>275</v>
      </c>
      <c r="B277" s="2" t="s">
        <v>241</v>
      </c>
      <c r="C277" s="2">
        <v>2019</v>
      </c>
      <c r="D277" s="2" t="s">
        <v>201</v>
      </c>
      <c r="E277" s="10" t="s">
        <v>800</v>
      </c>
      <c r="F277" s="20" t="s">
        <v>29</v>
      </c>
      <c r="G277" s="2">
        <v>23</v>
      </c>
      <c r="H277" s="2" t="str">
        <f>'PFAS Properties'!$B$33</f>
        <v>PFOA</v>
      </c>
      <c r="I277" s="2" t="str">
        <f>'PFAS Properties'!$C$33</f>
        <v>PFCA</v>
      </c>
      <c r="J277" s="2" t="str">
        <f>'PFAS Properties'!$D$33</f>
        <v>C8HF15O2</v>
      </c>
      <c r="K277" s="25">
        <f>'PFAS Properties'!$P$33</f>
        <v>413.97359999999998</v>
      </c>
      <c r="L277" s="2">
        <f>'PFAS Properties'!$X$33</f>
        <v>-0.2</v>
      </c>
      <c r="M277" s="2" t="str">
        <f>'PFAS Properties'!$Y$33</f>
        <v>-</v>
      </c>
      <c r="N277" s="33">
        <v>0</v>
      </c>
      <c r="O277" s="33">
        <v>0</v>
      </c>
      <c r="P277" s="33">
        <v>0</v>
      </c>
      <c r="Q277" s="33">
        <f t="shared" si="161"/>
        <v>0.9999999601892845</v>
      </c>
      <c r="R277" s="33">
        <v>0</v>
      </c>
      <c r="S277" s="33">
        <f t="shared" si="162"/>
        <v>3.9810715470456442E-8</v>
      </c>
      <c r="T277" s="8">
        <f t="shared" si="126"/>
        <v>1</v>
      </c>
      <c r="U277" s="33">
        <f t="shared" si="127"/>
        <v>0</v>
      </c>
      <c r="V277" s="33">
        <f t="shared" si="128"/>
        <v>-0.9999999601892845</v>
      </c>
      <c r="W277" s="33">
        <f t="shared" si="129"/>
        <v>412.97360003981066</v>
      </c>
      <c r="X277" s="33">
        <v>96485</v>
      </c>
      <c r="Y277" s="16">
        <f t="shared" si="130"/>
        <v>-233.63477992191741</v>
      </c>
      <c r="Z277" s="16">
        <v>8</v>
      </c>
      <c r="AA277" s="16">
        <v>15</v>
      </c>
      <c r="AB277" s="8">
        <f t="shared" si="131"/>
        <v>0.33684210526315789</v>
      </c>
      <c r="AC277" s="16">
        <f t="shared" si="160"/>
        <v>68.844969824162703</v>
      </c>
      <c r="AD277" s="20">
        <f>'PFAS Properties'!$W$33</f>
        <v>7</v>
      </c>
      <c r="AE277" s="8">
        <f>'PFAS Properties'!$S$33</f>
        <v>2.6821450763738319</v>
      </c>
      <c r="AF277" s="15">
        <f>'PFAS Properties'!$V$33</f>
        <v>4.9000000000000004</v>
      </c>
      <c r="AG277" s="24">
        <v>7.2</v>
      </c>
      <c r="AH277" s="2" t="s">
        <v>122</v>
      </c>
      <c r="AI277" s="2" t="s">
        <v>661</v>
      </c>
      <c r="AJ277" s="2" t="s">
        <v>661</v>
      </c>
      <c r="AK277" s="2" t="s">
        <v>661</v>
      </c>
      <c r="AL277" s="2" t="s">
        <v>661</v>
      </c>
      <c r="AM277" s="2" t="s">
        <v>661</v>
      </c>
      <c r="AN277" s="2" t="s">
        <v>661</v>
      </c>
      <c r="AO277" s="2" t="s">
        <v>661</v>
      </c>
      <c r="AP277" s="15">
        <v>18.2</v>
      </c>
      <c r="AQ277" s="2" t="s">
        <v>661</v>
      </c>
      <c r="AR277" s="16">
        <v>33.200000000000003</v>
      </c>
      <c r="AS277" s="16">
        <v>1.8999999999999915</v>
      </c>
      <c r="AT277" s="16">
        <v>64.900000000000006</v>
      </c>
      <c r="AU277" s="2" t="s">
        <v>661</v>
      </c>
      <c r="AV277" s="16">
        <f t="shared" si="150"/>
        <v>100</v>
      </c>
      <c r="AW277" s="18">
        <v>0.2</v>
      </c>
      <c r="AX277" s="13">
        <f t="shared" si="159"/>
        <v>2E-3</v>
      </c>
      <c r="AY277" s="13" t="s">
        <v>123</v>
      </c>
      <c r="AZ277" s="16">
        <f t="shared" si="158"/>
        <v>100</v>
      </c>
      <c r="BA277" s="16" t="s">
        <v>55</v>
      </c>
      <c r="BB277" s="15">
        <v>2.2999999999999998</v>
      </c>
      <c r="BC277" s="16" t="s">
        <v>55</v>
      </c>
      <c r="BD277" s="18">
        <v>3.2</v>
      </c>
      <c r="BE277" s="15">
        <f t="shared" si="151"/>
        <v>1600</v>
      </c>
      <c r="BF277" s="8">
        <f t="shared" si="132"/>
        <v>3.2041199826559246</v>
      </c>
      <c r="BG277" s="8">
        <f t="shared" si="152"/>
        <v>0.50514997831990605</v>
      </c>
      <c r="BH277" s="13" t="s">
        <v>841</v>
      </c>
      <c r="BI277" s="13"/>
      <c r="BJ277" s="13"/>
      <c r="BK277" s="8"/>
      <c r="BL277" s="8"/>
      <c r="BM277" s="18"/>
      <c r="BN277" s="8"/>
      <c r="BO277" s="24"/>
    </row>
    <row r="278" spans="1:67" s="14" customFormat="1" x14ac:dyDescent="0.3">
      <c r="A278" s="20">
        <v>276</v>
      </c>
      <c r="B278" s="2" t="s">
        <v>241</v>
      </c>
      <c r="C278" s="2">
        <v>2019</v>
      </c>
      <c r="D278" s="2" t="s">
        <v>201</v>
      </c>
      <c r="E278" s="10" t="s">
        <v>800</v>
      </c>
      <c r="F278" s="20" t="s">
        <v>29</v>
      </c>
      <c r="G278" s="2">
        <v>24</v>
      </c>
      <c r="H278" s="2" t="str">
        <f>'PFAS Properties'!$B$33</f>
        <v>PFOA</v>
      </c>
      <c r="I278" s="2" t="str">
        <f>'PFAS Properties'!$C$33</f>
        <v>PFCA</v>
      </c>
      <c r="J278" s="2" t="str">
        <f>'PFAS Properties'!$D$33</f>
        <v>C8HF15O2</v>
      </c>
      <c r="K278" s="25">
        <f>'PFAS Properties'!$P$33</f>
        <v>413.97359999999998</v>
      </c>
      <c r="L278" s="2">
        <f>'PFAS Properties'!$X$33</f>
        <v>-0.2</v>
      </c>
      <c r="M278" s="2" t="str">
        <f>'PFAS Properties'!$Y$33</f>
        <v>-</v>
      </c>
      <c r="N278" s="33">
        <v>0</v>
      </c>
      <c r="O278" s="33">
        <v>0</v>
      </c>
      <c r="P278" s="33">
        <v>0</v>
      </c>
      <c r="Q278" s="33">
        <f t="shared" si="161"/>
        <v>0.99999998004737722</v>
      </c>
      <c r="R278" s="33">
        <v>0</v>
      </c>
      <c r="S278" s="33">
        <f t="shared" si="162"/>
        <v>1.995262275158161E-8</v>
      </c>
      <c r="T278" s="8">
        <f t="shared" si="126"/>
        <v>1</v>
      </c>
      <c r="U278" s="33">
        <f t="shared" si="127"/>
        <v>0</v>
      </c>
      <c r="V278" s="33">
        <f t="shared" si="128"/>
        <v>-0.99999998004737722</v>
      </c>
      <c r="W278" s="33">
        <f t="shared" si="129"/>
        <v>412.97360001995258</v>
      </c>
      <c r="X278" s="33">
        <v>96485</v>
      </c>
      <c r="Y278" s="16">
        <f t="shared" si="130"/>
        <v>-233.63478457269321</v>
      </c>
      <c r="Z278" s="16">
        <v>8</v>
      </c>
      <c r="AA278" s="16">
        <v>15</v>
      </c>
      <c r="AB278" s="8">
        <f t="shared" si="131"/>
        <v>0.33684210526315789</v>
      </c>
      <c r="AC278" s="16">
        <f t="shared" si="160"/>
        <v>68.844969824162703</v>
      </c>
      <c r="AD278" s="20">
        <f>'PFAS Properties'!$W$33</f>
        <v>7</v>
      </c>
      <c r="AE278" s="8">
        <f>'PFAS Properties'!$S$33</f>
        <v>2.6821450763738319</v>
      </c>
      <c r="AF278" s="15">
        <f>'PFAS Properties'!$V$33</f>
        <v>4.9000000000000004</v>
      </c>
      <c r="AG278" s="24">
        <v>7.5</v>
      </c>
      <c r="AH278" s="2" t="s">
        <v>122</v>
      </c>
      <c r="AI278" s="2" t="s">
        <v>661</v>
      </c>
      <c r="AJ278" s="2" t="s">
        <v>661</v>
      </c>
      <c r="AK278" s="2" t="s">
        <v>661</v>
      </c>
      <c r="AL278" s="2" t="s">
        <v>661</v>
      </c>
      <c r="AM278" s="2" t="s">
        <v>661</v>
      </c>
      <c r="AN278" s="2" t="s">
        <v>661</v>
      </c>
      <c r="AO278" s="2" t="s">
        <v>661</v>
      </c>
      <c r="AP278" s="15">
        <v>13.3</v>
      </c>
      <c r="AQ278" s="2" t="s">
        <v>661</v>
      </c>
      <c r="AR278" s="16">
        <v>54</v>
      </c>
      <c r="AS278" s="16">
        <v>18.3</v>
      </c>
      <c r="AT278" s="16">
        <v>27.7</v>
      </c>
      <c r="AU278" s="2" t="s">
        <v>661</v>
      </c>
      <c r="AV278" s="16">
        <f t="shared" si="150"/>
        <v>100</v>
      </c>
      <c r="AW278" s="18">
        <v>0.2</v>
      </c>
      <c r="AX278" s="13">
        <f t="shared" si="159"/>
        <v>2E-3</v>
      </c>
      <c r="AY278" s="13" t="s">
        <v>123</v>
      </c>
      <c r="AZ278" s="16">
        <f t="shared" si="158"/>
        <v>100</v>
      </c>
      <c r="BA278" s="16" t="s">
        <v>55</v>
      </c>
      <c r="BB278" s="15">
        <v>2.2999999999999998</v>
      </c>
      <c r="BC278" s="16" t="s">
        <v>55</v>
      </c>
      <c r="BD278" s="18">
        <v>2.2000000000000002</v>
      </c>
      <c r="BE278" s="15">
        <f t="shared" si="151"/>
        <v>1100</v>
      </c>
      <c r="BF278" s="8">
        <f t="shared" si="132"/>
        <v>3.0413926851582249</v>
      </c>
      <c r="BG278" s="8">
        <f t="shared" si="152"/>
        <v>0.34242268082220628</v>
      </c>
      <c r="BH278" s="13" t="s">
        <v>841</v>
      </c>
      <c r="BI278" s="13"/>
      <c r="BJ278" s="13"/>
      <c r="BK278" s="8"/>
      <c r="BL278" s="8"/>
      <c r="BM278" s="18"/>
      <c r="BN278" s="8"/>
      <c r="BO278" s="24"/>
    </row>
    <row r="279" spans="1:67" s="14" customFormat="1" x14ac:dyDescent="0.3">
      <c r="A279" s="20">
        <v>277</v>
      </c>
      <c r="B279" s="2" t="s">
        <v>241</v>
      </c>
      <c r="C279" s="2">
        <v>2019</v>
      </c>
      <c r="D279" s="2" t="s">
        <v>201</v>
      </c>
      <c r="E279" s="10" t="s">
        <v>800</v>
      </c>
      <c r="F279" s="20" t="s">
        <v>29</v>
      </c>
      <c r="G279" s="2">
        <v>25</v>
      </c>
      <c r="H279" s="2" t="str">
        <f>'PFAS Properties'!$B$33</f>
        <v>PFOA</v>
      </c>
      <c r="I279" s="2" t="str">
        <f>'PFAS Properties'!$C$33</f>
        <v>PFCA</v>
      </c>
      <c r="J279" s="2" t="str">
        <f>'PFAS Properties'!$D$33</f>
        <v>C8HF15O2</v>
      </c>
      <c r="K279" s="25">
        <f>'PFAS Properties'!$P$33</f>
        <v>413.97359999999998</v>
      </c>
      <c r="L279" s="2">
        <f>'PFAS Properties'!$X$33</f>
        <v>-0.2</v>
      </c>
      <c r="M279" s="2" t="str">
        <f>'PFAS Properties'!$Y$33</f>
        <v>-</v>
      </c>
      <c r="N279" s="33">
        <v>0</v>
      </c>
      <c r="O279" s="33">
        <v>0</v>
      </c>
      <c r="P279" s="33">
        <v>0</v>
      </c>
      <c r="Q279" s="33">
        <f t="shared" si="161"/>
        <v>0.99999998415106828</v>
      </c>
      <c r="R279" s="33">
        <v>0</v>
      </c>
      <c r="S279" s="33">
        <f t="shared" si="162"/>
        <v>1.5848931673422493E-8</v>
      </c>
      <c r="T279" s="8">
        <f t="shared" si="126"/>
        <v>1</v>
      </c>
      <c r="U279" s="33">
        <f t="shared" si="127"/>
        <v>0</v>
      </c>
      <c r="V279" s="33">
        <f t="shared" si="128"/>
        <v>-0.99999998415106828</v>
      </c>
      <c r="W279" s="33">
        <f t="shared" si="129"/>
        <v>412.97360001584889</v>
      </c>
      <c r="X279" s="33">
        <v>96485</v>
      </c>
      <c r="Y279" s="16">
        <f t="shared" si="130"/>
        <v>-233.63478553377979</v>
      </c>
      <c r="Z279" s="16">
        <v>8</v>
      </c>
      <c r="AA279" s="16">
        <v>15</v>
      </c>
      <c r="AB279" s="8">
        <f t="shared" si="131"/>
        <v>0.33684210526315789</v>
      </c>
      <c r="AC279" s="16">
        <f t="shared" si="160"/>
        <v>68.844969824162703</v>
      </c>
      <c r="AD279" s="20">
        <f>'PFAS Properties'!$W$33</f>
        <v>7</v>
      </c>
      <c r="AE279" s="8">
        <f>'PFAS Properties'!$S$33</f>
        <v>2.6821450763738319</v>
      </c>
      <c r="AF279" s="15">
        <f>'PFAS Properties'!$V$33</f>
        <v>4.9000000000000004</v>
      </c>
      <c r="AG279" s="24">
        <v>7.6</v>
      </c>
      <c r="AH279" s="2" t="s">
        <v>122</v>
      </c>
      <c r="AI279" s="2" t="s">
        <v>661</v>
      </c>
      <c r="AJ279" s="2" t="s">
        <v>661</v>
      </c>
      <c r="AK279" s="2" t="s">
        <v>661</v>
      </c>
      <c r="AL279" s="2" t="s">
        <v>661</v>
      </c>
      <c r="AM279" s="2" t="s">
        <v>661</v>
      </c>
      <c r="AN279" s="2" t="s">
        <v>661</v>
      </c>
      <c r="AO279" s="2" t="s">
        <v>661</v>
      </c>
      <c r="AP279" s="15">
        <v>16.399999999999999</v>
      </c>
      <c r="AQ279" s="2" t="s">
        <v>661</v>
      </c>
      <c r="AR279" s="16">
        <v>54.8</v>
      </c>
      <c r="AS279" s="16">
        <v>25.200000000000003</v>
      </c>
      <c r="AT279" s="16">
        <v>20</v>
      </c>
      <c r="AU279" s="2" t="s">
        <v>661</v>
      </c>
      <c r="AV279" s="16">
        <f t="shared" si="150"/>
        <v>100</v>
      </c>
      <c r="AW279" s="18">
        <v>0.1</v>
      </c>
      <c r="AX279" s="13">
        <f t="shared" si="159"/>
        <v>1E-3</v>
      </c>
      <c r="AY279" s="13" t="s">
        <v>123</v>
      </c>
      <c r="AZ279" s="16">
        <f t="shared" si="158"/>
        <v>100</v>
      </c>
      <c r="BA279" s="16" t="s">
        <v>55</v>
      </c>
      <c r="BB279" s="15">
        <v>2.2999999999999998</v>
      </c>
      <c r="BC279" s="16" t="s">
        <v>55</v>
      </c>
      <c r="BD279" s="18">
        <v>1.6</v>
      </c>
      <c r="BE279" s="15">
        <f t="shared" si="151"/>
        <v>1600</v>
      </c>
      <c r="BF279" s="8">
        <f t="shared" si="132"/>
        <v>3.2041199826559246</v>
      </c>
      <c r="BG279" s="8">
        <f t="shared" si="152"/>
        <v>0.20411998265592479</v>
      </c>
      <c r="BH279" s="13" t="s">
        <v>841</v>
      </c>
      <c r="BI279" s="13"/>
      <c r="BJ279" s="13"/>
      <c r="BK279" s="8"/>
      <c r="BL279" s="8"/>
      <c r="BM279" s="18"/>
      <c r="BN279" s="8"/>
      <c r="BO279" s="24"/>
    </row>
    <row r="280" spans="1:67" s="14" customFormat="1" x14ac:dyDescent="0.3">
      <c r="A280" s="20">
        <v>278</v>
      </c>
      <c r="B280" s="2" t="s">
        <v>241</v>
      </c>
      <c r="C280" s="2">
        <v>2019</v>
      </c>
      <c r="D280" s="2" t="s">
        <v>201</v>
      </c>
      <c r="E280" s="10" t="s">
        <v>800</v>
      </c>
      <c r="F280" s="20" t="s">
        <v>29</v>
      </c>
      <c r="G280" s="2">
        <v>26</v>
      </c>
      <c r="H280" s="2" t="str">
        <f>'PFAS Properties'!$B$33</f>
        <v>PFOA</v>
      </c>
      <c r="I280" s="2" t="str">
        <f>'PFAS Properties'!$C$33</f>
        <v>PFCA</v>
      </c>
      <c r="J280" s="2" t="str">
        <f>'PFAS Properties'!$D$33</f>
        <v>C8HF15O2</v>
      </c>
      <c r="K280" s="25">
        <f>'PFAS Properties'!$P$33</f>
        <v>413.97359999999998</v>
      </c>
      <c r="L280" s="2">
        <f>'PFAS Properties'!$X$33</f>
        <v>-0.2</v>
      </c>
      <c r="M280" s="2" t="str">
        <f>'PFAS Properties'!$Y$33</f>
        <v>-</v>
      </c>
      <c r="N280" s="33">
        <v>0</v>
      </c>
      <c r="O280" s="33">
        <v>0</v>
      </c>
      <c r="P280" s="33">
        <v>0</v>
      </c>
      <c r="Q280" s="33">
        <f t="shared" si="161"/>
        <v>0.99999601894414336</v>
      </c>
      <c r="R280" s="33">
        <v>0</v>
      </c>
      <c r="S280" s="33">
        <f t="shared" si="162"/>
        <v>3.981055856666137E-6</v>
      </c>
      <c r="T280" s="8">
        <f t="shared" si="126"/>
        <v>1</v>
      </c>
      <c r="U280" s="33">
        <f t="shared" si="127"/>
        <v>0</v>
      </c>
      <c r="V280" s="33">
        <f t="shared" si="128"/>
        <v>-0.99999601894414336</v>
      </c>
      <c r="W280" s="33">
        <f t="shared" si="129"/>
        <v>412.97360398105587</v>
      </c>
      <c r="X280" s="33">
        <v>96485</v>
      </c>
      <c r="Y280" s="16">
        <f t="shared" si="130"/>
        <v>-233.63385688023698</v>
      </c>
      <c r="Z280" s="16">
        <v>8</v>
      </c>
      <c r="AA280" s="16">
        <v>15</v>
      </c>
      <c r="AB280" s="8">
        <f t="shared" si="131"/>
        <v>0.33684210526315789</v>
      </c>
      <c r="AC280" s="16">
        <f t="shared" si="160"/>
        <v>68.844969824162703</v>
      </c>
      <c r="AD280" s="20">
        <f>'PFAS Properties'!$W$33</f>
        <v>7</v>
      </c>
      <c r="AE280" s="8">
        <f>'PFAS Properties'!$S$33</f>
        <v>2.6821450763738319</v>
      </c>
      <c r="AF280" s="15">
        <f>'PFAS Properties'!$V$33</f>
        <v>4.9000000000000004</v>
      </c>
      <c r="AG280" s="24">
        <v>5.2</v>
      </c>
      <c r="AH280" s="2" t="s">
        <v>122</v>
      </c>
      <c r="AI280" s="2" t="s">
        <v>661</v>
      </c>
      <c r="AJ280" s="2" t="s">
        <v>661</v>
      </c>
      <c r="AK280" s="2" t="s">
        <v>661</v>
      </c>
      <c r="AL280" s="2" t="s">
        <v>661</v>
      </c>
      <c r="AM280" s="2" t="s">
        <v>661</v>
      </c>
      <c r="AN280" s="2" t="s">
        <v>661</v>
      </c>
      <c r="AO280" s="2" t="s">
        <v>661</v>
      </c>
      <c r="AP280" s="15">
        <v>7.6</v>
      </c>
      <c r="AQ280" s="2" t="s">
        <v>661</v>
      </c>
      <c r="AR280" s="16">
        <v>69.099999999999994</v>
      </c>
      <c r="AS280" s="16">
        <v>22.300000000000004</v>
      </c>
      <c r="AT280" s="16">
        <v>8.6</v>
      </c>
      <c r="AU280" s="2" t="s">
        <v>661</v>
      </c>
      <c r="AV280" s="16">
        <f t="shared" si="150"/>
        <v>100</v>
      </c>
      <c r="AW280" s="18">
        <v>1.1000000000000001</v>
      </c>
      <c r="AX280" s="13">
        <f t="shared" si="159"/>
        <v>1.1000000000000001E-2</v>
      </c>
      <c r="AY280" s="13" t="s">
        <v>123</v>
      </c>
      <c r="AZ280" s="16">
        <f t="shared" si="158"/>
        <v>100</v>
      </c>
      <c r="BA280" s="16" t="s">
        <v>55</v>
      </c>
      <c r="BB280" s="15">
        <v>2.2999999999999998</v>
      </c>
      <c r="BC280" s="16" t="s">
        <v>55</v>
      </c>
      <c r="BD280" s="18">
        <v>7.6</v>
      </c>
      <c r="BE280" s="15">
        <f t="shared" si="151"/>
        <v>690.90909090909076</v>
      </c>
      <c r="BF280" s="8">
        <f t="shared" si="132"/>
        <v>2.839420907122566</v>
      </c>
      <c r="BG280" s="8">
        <f t="shared" si="152"/>
        <v>0.88081359228079137</v>
      </c>
      <c r="BH280" s="13" t="s">
        <v>841</v>
      </c>
      <c r="BI280" s="13"/>
      <c r="BJ280" s="13"/>
      <c r="BK280" s="8"/>
      <c r="BL280" s="8"/>
      <c r="BM280" s="18"/>
      <c r="BN280" s="8"/>
      <c r="BO280" s="24"/>
    </row>
    <row r="281" spans="1:67" s="14" customFormat="1" x14ac:dyDescent="0.3">
      <c r="A281" s="20">
        <v>279</v>
      </c>
      <c r="B281" s="2" t="s">
        <v>241</v>
      </c>
      <c r="C281" s="2">
        <v>2019</v>
      </c>
      <c r="D281" s="2" t="s">
        <v>201</v>
      </c>
      <c r="E281" s="10" t="s">
        <v>800</v>
      </c>
      <c r="F281" s="20" t="s">
        <v>29</v>
      </c>
      <c r="G281" s="2">
        <v>27</v>
      </c>
      <c r="H281" s="2" t="str">
        <f>'PFAS Properties'!$B$33</f>
        <v>PFOA</v>
      </c>
      <c r="I281" s="2" t="str">
        <f>'PFAS Properties'!$C$33</f>
        <v>PFCA</v>
      </c>
      <c r="J281" s="2" t="str">
        <f>'PFAS Properties'!$D$33</f>
        <v>C8HF15O2</v>
      </c>
      <c r="K281" s="25">
        <f>'PFAS Properties'!$P$33</f>
        <v>413.97359999999998</v>
      </c>
      <c r="L281" s="2">
        <f>'PFAS Properties'!$X$33</f>
        <v>-0.2</v>
      </c>
      <c r="M281" s="2" t="str">
        <f>'PFAS Properties'!$Y$33</f>
        <v>-</v>
      </c>
      <c r="N281" s="33">
        <v>0</v>
      </c>
      <c r="O281" s="33">
        <v>0</v>
      </c>
      <c r="P281" s="33">
        <v>0</v>
      </c>
      <c r="Q281" s="33">
        <f t="shared" si="161"/>
        <v>0.99999205678074798</v>
      </c>
      <c r="R281" s="33">
        <v>0</v>
      </c>
      <c r="S281" s="33">
        <f t="shared" si="162"/>
        <v>7.9432192520095278E-6</v>
      </c>
      <c r="T281" s="8">
        <f t="shared" si="126"/>
        <v>1</v>
      </c>
      <c r="U281" s="33">
        <f t="shared" si="127"/>
        <v>0</v>
      </c>
      <c r="V281" s="33">
        <f t="shared" si="128"/>
        <v>-0.99999205678074798</v>
      </c>
      <c r="W281" s="33">
        <f t="shared" si="129"/>
        <v>412.97360794321924</v>
      </c>
      <c r="X281" s="33">
        <v>96485</v>
      </c>
      <c r="Y281" s="16">
        <f t="shared" si="130"/>
        <v>-233.63292893950822</v>
      </c>
      <c r="Z281" s="16">
        <v>8</v>
      </c>
      <c r="AA281" s="16">
        <v>15</v>
      </c>
      <c r="AB281" s="8">
        <f t="shared" si="131"/>
        <v>0.33684210526315789</v>
      </c>
      <c r="AC281" s="16">
        <f t="shared" si="160"/>
        <v>68.844969824162703</v>
      </c>
      <c r="AD281" s="20">
        <f>'PFAS Properties'!$W$33</f>
        <v>7</v>
      </c>
      <c r="AE281" s="8">
        <f>'PFAS Properties'!$S$33</f>
        <v>2.6821450763738319</v>
      </c>
      <c r="AF281" s="15">
        <f>'PFAS Properties'!$V$33</f>
        <v>4.9000000000000004</v>
      </c>
      <c r="AG281" s="24">
        <v>4.9000000000000004</v>
      </c>
      <c r="AH281" s="2" t="s">
        <v>122</v>
      </c>
      <c r="AI281" s="2" t="s">
        <v>661</v>
      </c>
      <c r="AJ281" s="2" t="s">
        <v>661</v>
      </c>
      <c r="AK281" s="2" t="s">
        <v>661</v>
      </c>
      <c r="AL281" s="2" t="s">
        <v>661</v>
      </c>
      <c r="AM281" s="2" t="s">
        <v>661</v>
      </c>
      <c r="AN281" s="2" t="s">
        <v>661</v>
      </c>
      <c r="AO281" s="2" t="s">
        <v>661</v>
      </c>
      <c r="AP281" s="15">
        <v>2.9</v>
      </c>
      <c r="AQ281" s="2" t="s">
        <v>661</v>
      </c>
      <c r="AR281" s="16">
        <v>65.2</v>
      </c>
      <c r="AS281" s="16">
        <v>22.999999999999996</v>
      </c>
      <c r="AT281" s="16">
        <v>11.8</v>
      </c>
      <c r="AU281" s="2" t="s">
        <v>661</v>
      </c>
      <c r="AV281" s="16">
        <f t="shared" si="150"/>
        <v>100</v>
      </c>
      <c r="AW281" s="18">
        <v>0.1</v>
      </c>
      <c r="AX281" s="13">
        <f t="shared" si="159"/>
        <v>1E-3</v>
      </c>
      <c r="AY281" s="13" t="s">
        <v>123</v>
      </c>
      <c r="AZ281" s="16">
        <f t="shared" si="158"/>
        <v>100</v>
      </c>
      <c r="BA281" s="16" t="s">
        <v>55</v>
      </c>
      <c r="BB281" s="15">
        <v>2.2999999999999998</v>
      </c>
      <c r="BC281" s="16" t="s">
        <v>55</v>
      </c>
      <c r="BD281" s="18">
        <v>3.3</v>
      </c>
      <c r="BE281" s="15">
        <f t="shared" si="151"/>
        <v>3299.9999999999995</v>
      </c>
      <c r="BF281" s="8">
        <f t="shared" si="132"/>
        <v>3.5185139398778875</v>
      </c>
      <c r="BG281" s="8">
        <f t="shared" si="152"/>
        <v>0.51851393987788741</v>
      </c>
      <c r="BH281" s="13" t="s">
        <v>841</v>
      </c>
      <c r="BI281" s="13"/>
      <c r="BJ281" s="13"/>
      <c r="BK281" s="8"/>
      <c r="BL281" s="8"/>
      <c r="BM281" s="18"/>
      <c r="BN281" s="8"/>
      <c r="BO281" s="24"/>
    </row>
    <row r="282" spans="1:67" s="14" customFormat="1" x14ac:dyDescent="0.3">
      <c r="A282" s="20">
        <v>280</v>
      </c>
      <c r="B282" s="2" t="s">
        <v>241</v>
      </c>
      <c r="C282" s="2">
        <v>2019</v>
      </c>
      <c r="D282" s="2" t="s">
        <v>201</v>
      </c>
      <c r="E282" s="10" t="s">
        <v>800</v>
      </c>
      <c r="F282" s="20" t="s">
        <v>29</v>
      </c>
      <c r="G282" s="2">
        <v>28</v>
      </c>
      <c r="H282" s="2" t="str">
        <f>'PFAS Properties'!$B$33</f>
        <v>PFOA</v>
      </c>
      <c r="I282" s="2" t="str">
        <f>'PFAS Properties'!$C$33</f>
        <v>PFCA</v>
      </c>
      <c r="J282" s="2" t="str">
        <f>'PFAS Properties'!$D$33</f>
        <v>C8HF15O2</v>
      </c>
      <c r="K282" s="25">
        <f>'PFAS Properties'!$P$33</f>
        <v>413.97359999999998</v>
      </c>
      <c r="L282" s="2">
        <f>'PFAS Properties'!$X$33</f>
        <v>-0.2</v>
      </c>
      <c r="M282" s="2" t="str">
        <f>'PFAS Properties'!$Y$33</f>
        <v>-</v>
      </c>
      <c r="N282" s="33">
        <v>0</v>
      </c>
      <c r="O282" s="33">
        <v>0</v>
      </c>
      <c r="P282" s="33">
        <v>0</v>
      </c>
      <c r="Q282" s="33">
        <f t="shared" si="161"/>
        <v>0.9999974881198781</v>
      </c>
      <c r="R282" s="33">
        <v>0</v>
      </c>
      <c r="S282" s="33">
        <f t="shared" si="162"/>
        <v>2.5118801219519806E-6</v>
      </c>
      <c r="T282" s="8">
        <f t="shared" si="126"/>
        <v>1</v>
      </c>
      <c r="U282" s="33">
        <f t="shared" si="127"/>
        <v>0</v>
      </c>
      <c r="V282" s="33">
        <f t="shared" si="128"/>
        <v>-0.9999974881198781</v>
      </c>
      <c r="W282" s="33">
        <f t="shared" si="129"/>
        <v>412.97360251188013</v>
      </c>
      <c r="X282" s="33">
        <v>96485</v>
      </c>
      <c r="Y282" s="16">
        <f t="shared" si="130"/>
        <v>-233.63420096196302</v>
      </c>
      <c r="Z282" s="16">
        <v>8</v>
      </c>
      <c r="AA282" s="16">
        <v>15</v>
      </c>
      <c r="AB282" s="8">
        <f t="shared" si="131"/>
        <v>0.33684210526315789</v>
      </c>
      <c r="AC282" s="16">
        <f t="shared" si="160"/>
        <v>68.844969824162703</v>
      </c>
      <c r="AD282" s="20">
        <f>'PFAS Properties'!$W$33</f>
        <v>7</v>
      </c>
      <c r="AE282" s="8">
        <f>'PFAS Properties'!$S$33</f>
        <v>2.6821450763738319</v>
      </c>
      <c r="AF282" s="15">
        <f>'PFAS Properties'!$V$33</f>
        <v>4.9000000000000004</v>
      </c>
      <c r="AG282" s="24">
        <v>5.4</v>
      </c>
      <c r="AH282" s="2" t="s">
        <v>122</v>
      </c>
      <c r="AI282" s="2" t="s">
        <v>661</v>
      </c>
      <c r="AJ282" s="2" t="s">
        <v>661</v>
      </c>
      <c r="AK282" s="2" t="s">
        <v>661</v>
      </c>
      <c r="AL282" s="2" t="s">
        <v>661</v>
      </c>
      <c r="AM282" s="2" t="s">
        <v>661</v>
      </c>
      <c r="AN282" s="2" t="s">
        <v>661</v>
      </c>
      <c r="AO282" s="2" t="s">
        <v>661</v>
      </c>
      <c r="AP282" s="15">
        <v>8.8000000000000007</v>
      </c>
      <c r="AQ282" s="2" t="s">
        <v>661</v>
      </c>
      <c r="AR282" s="16">
        <v>65.7</v>
      </c>
      <c r="AS282" s="16">
        <v>12.399999999999999</v>
      </c>
      <c r="AT282" s="16">
        <v>21.9</v>
      </c>
      <c r="AU282" s="2" t="s">
        <v>661</v>
      </c>
      <c r="AV282" s="16">
        <f t="shared" si="150"/>
        <v>100</v>
      </c>
      <c r="AW282" s="18">
        <v>0.1</v>
      </c>
      <c r="AX282" s="13">
        <f t="shared" si="159"/>
        <v>1E-3</v>
      </c>
      <c r="AY282" s="13" t="s">
        <v>123</v>
      </c>
      <c r="AZ282" s="16">
        <f t="shared" si="158"/>
        <v>100</v>
      </c>
      <c r="BA282" s="16" t="s">
        <v>55</v>
      </c>
      <c r="BB282" s="15">
        <v>2.2999999999999998</v>
      </c>
      <c r="BC282" s="16" t="s">
        <v>55</v>
      </c>
      <c r="BD282" s="18">
        <v>5</v>
      </c>
      <c r="BE282" s="15">
        <f t="shared" si="151"/>
        <v>5000</v>
      </c>
      <c r="BF282" s="8">
        <f t="shared" si="132"/>
        <v>3.6989700043360187</v>
      </c>
      <c r="BG282" s="8">
        <f t="shared" si="152"/>
        <v>0.69897000433601886</v>
      </c>
      <c r="BH282" s="13" t="s">
        <v>841</v>
      </c>
      <c r="BI282" s="13"/>
      <c r="BJ282" s="13"/>
      <c r="BK282" s="8"/>
      <c r="BL282" s="8"/>
      <c r="BM282" s="18"/>
      <c r="BN282" s="8"/>
      <c r="BO282" s="24"/>
    </row>
    <row r="283" spans="1:67" s="14" customFormat="1" x14ac:dyDescent="0.3">
      <c r="A283" s="20">
        <v>281</v>
      </c>
      <c r="B283" s="2" t="s">
        <v>241</v>
      </c>
      <c r="C283" s="2">
        <v>2019</v>
      </c>
      <c r="D283" s="2" t="s">
        <v>201</v>
      </c>
      <c r="E283" s="10" t="s">
        <v>800</v>
      </c>
      <c r="F283" s="20" t="s">
        <v>29</v>
      </c>
      <c r="G283" s="2">
        <v>29</v>
      </c>
      <c r="H283" s="2" t="str">
        <f>'PFAS Properties'!$B$33</f>
        <v>PFOA</v>
      </c>
      <c r="I283" s="2" t="str">
        <f>'PFAS Properties'!$C$33</f>
        <v>PFCA</v>
      </c>
      <c r="J283" s="2" t="str">
        <f>'PFAS Properties'!$D$33</f>
        <v>C8HF15O2</v>
      </c>
      <c r="K283" s="25">
        <f>'PFAS Properties'!$P$33</f>
        <v>413.97359999999998</v>
      </c>
      <c r="L283" s="2">
        <f>'PFAS Properties'!$X$33</f>
        <v>-0.2</v>
      </c>
      <c r="M283" s="2" t="str">
        <f>'PFAS Properties'!$Y$33</f>
        <v>-</v>
      </c>
      <c r="N283" s="33">
        <v>0</v>
      </c>
      <c r="O283" s="33">
        <v>0</v>
      </c>
      <c r="P283" s="33">
        <v>0</v>
      </c>
      <c r="Q283" s="33">
        <f t="shared" si="161"/>
        <v>0.99999205678074798</v>
      </c>
      <c r="R283" s="33">
        <v>0</v>
      </c>
      <c r="S283" s="33">
        <f t="shared" si="162"/>
        <v>7.9432192520095278E-6</v>
      </c>
      <c r="T283" s="8">
        <f t="shared" si="126"/>
        <v>1</v>
      </c>
      <c r="U283" s="33">
        <f t="shared" si="127"/>
        <v>0</v>
      </c>
      <c r="V283" s="33">
        <f t="shared" si="128"/>
        <v>-0.99999205678074798</v>
      </c>
      <c r="W283" s="33">
        <f t="shared" si="129"/>
        <v>412.97360794321924</v>
      </c>
      <c r="X283" s="33">
        <v>96485</v>
      </c>
      <c r="Y283" s="16">
        <f t="shared" si="130"/>
        <v>-233.63292893950822</v>
      </c>
      <c r="Z283" s="16">
        <v>8</v>
      </c>
      <c r="AA283" s="16">
        <v>15</v>
      </c>
      <c r="AB283" s="8">
        <f t="shared" si="131"/>
        <v>0.33684210526315789</v>
      </c>
      <c r="AC283" s="16">
        <f t="shared" si="160"/>
        <v>68.844969824162703</v>
      </c>
      <c r="AD283" s="20">
        <f>'PFAS Properties'!$W$33</f>
        <v>7</v>
      </c>
      <c r="AE283" s="8">
        <f>'PFAS Properties'!$S$33</f>
        <v>2.6821450763738319</v>
      </c>
      <c r="AF283" s="15">
        <f>'PFAS Properties'!$V$33</f>
        <v>4.9000000000000004</v>
      </c>
      <c r="AG283" s="24">
        <v>4.9000000000000004</v>
      </c>
      <c r="AH283" s="2" t="s">
        <v>122</v>
      </c>
      <c r="AI283" s="2" t="s">
        <v>661</v>
      </c>
      <c r="AJ283" s="2" t="s">
        <v>661</v>
      </c>
      <c r="AK283" s="2" t="s">
        <v>661</v>
      </c>
      <c r="AL283" s="2" t="s">
        <v>661</v>
      </c>
      <c r="AM283" s="2" t="s">
        <v>661</v>
      </c>
      <c r="AN283" s="2" t="s">
        <v>661</v>
      </c>
      <c r="AO283" s="2" t="s">
        <v>661</v>
      </c>
      <c r="AP283" s="15">
        <v>5.6</v>
      </c>
      <c r="AQ283" s="2" t="s">
        <v>661</v>
      </c>
      <c r="AR283" s="16">
        <v>73.5</v>
      </c>
      <c r="AS283" s="16">
        <v>9.8999999999999986</v>
      </c>
      <c r="AT283" s="16">
        <v>16.600000000000001</v>
      </c>
      <c r="AU283" s="2" t="s">
        <v>661</v>
      </c>
      <c r="AV283" s="16">
        <f t="shared" si="150"/>
        <v>100</v>
      </c>
      <c r="AW283" s="18">
        <v>0.1</v>
      </c>
      <c r="AX283" s="13">
        <f t="shared" si="159"/>
        <v>1E-3</v>
      </c>
      <c r="AY283" s="13" t="s">
        <v>123</v>
      </c>
      <c r="AZ283" s="16">
        <f t="shared" si="158"/>
        <v>100</v>
      </c>
      <c r="BA283" s="16" t="s">
        <v>55</v>
      </c>
      <c r="BB283" s="15">
        <v>2.2999999999999998</v>
      </c>
      <c r="BC283" s="16" t="s">
        <v>55</v>
      </c>
      <c r="BD283" s="18">
        <v>3.9</v>
      </c>
      <c r="BE283" s="15">
        <f t="shared" si="151"/>
        <v>3900</v>
      </c>
      <c r="BF283" s="8">
        <f t="shared" si="132"/>
        <v>3.5910646070264991</v>
      </c>
      <c r="BG283" s="8">
        <f t="shared" si="152"/>
        <v>0.59106460702649921</v>
      </c>
      <c r="BH283" s="13" t="s">
        <v>841</v>
      </c>
      <c r="BI283" s="13"/>
      <c r="BJ283" s="13"/>
      <c r="BK283" s="8"/>
      <c r="BL283" s="8"/>
      <c r="BM283" s="18"/>
      <c r="BN283" s="8"/>
      <c r="BO283" s="24"/>
    </row>
    <row r="284" spans="1:67" s="14" customFormat="1" x14ac:dyDescent="0.3">
      <c r="A284" s="20">
        <v>282</v>
      </c>
      <c r="B284" s="2" t="s">
        <v>241</v>
      </c>
      <c r="C284" s="2">
        <v>2019</v>
      </c>
      <c r="D284" s="2" t="s">
        <v>201</v>
      </c>
      <c r="E284" s="10" t="s">
        <v>800</v>
      </c>
      <c r="F284" s="20" t="s">
        <v>29</v>
      </c>
      <c r="G284" s="2">
        <v>30</v>
      </c>
      <c r="H284" s="2" t="str">
        <f>'PFAS Properties'!$B$33</f>
        <v>PFOA</v>
      </c>
      <c r="I284" s="2" t="str">
        <f>'PFAS Properties'!$C$33</f>
        <v>PFCA</v>
      </c>
      <c r="J284" s="2" t="str">
        <f>'PFAS Properties'!$D$33</f>
        <v>C8HF15O2</v>
      </c>
      <c r="K284" s="25">
        <f>'PFAS Properties'!$P$33</f>
        <v>413.97359999999998</v>
      </c>
      <c r="L284" s="2">
        <f>'PFAS Properties'!$X$33</f>
        <v>-0.2</v>
      </c>
      <c r="M284" s="2" t="str">
        <f>'PFAS Properties'!$Y$33</f>
        <v>-</v>
      </c>
      <c r="N284" s="33">
        <v>0</v>
      </c>
      <c r="O284" s="33">
        <v>0</v>
      </c>
      <c r="P284" s="33">
        <v>0</v>
      </c>
      <c r="Q284" s="33">
        <f t="shared" si="161"/>
        <v>0.99999994988127916</v>
      </c>
      <c r="R284" s="33">
        <v>0</v>
      </c>
      <c r="S284" s="33">
        <f t="shared" si="162"/>
        <v>5.011872085084086E-8</v>
      </c>
      <c r="T284" s="8">
        <f t="shared" ref="T284:T347" si="163">SUM(N284:S284)</f>
        <v>1</v>
      </c>
      <c r="U284" s="33">
        <f t="shared" ref="U284:U347" si="164">((1*N284)+(1*O284)+(1*P284))</f>
        <v>0</v>
      </c>
      <c r="V284" s="33">
        <f t="shared" ref="V284:V347" si="165">-((1*O284)+(2*P284)+(1*Q284)+(2*R284))</f>
        <v>-0.99999994988127916</v>
      </c>
      <c r="W284" s="33">
        <f t="shared" ref="W284:W347" si="166">(N284*(K284+1))+(O284*K284)+(P284*(K284-1))+(Q284*(K284-1))+(R284*(K284-2))+(S284*K284)</f>
        <v>412.9736000501187</v>
      </c>
      <c r="X284" s="33">
        <v>96485</v>
      </c>
      <c r="Y284" s="16">
        <f t="shared" ref="Y284:Y347" si="167">((V284+U284)/W284)*X284</f>
        <v>-233.6347775077771</v>
      </c>
      <c r="Z284" s="16">
        <v>8</v>
      </c>
      <c r="AA284" s="16">
        <v>15</v>
      </c>
      <c r="AB284" s="8">
        <f t="shared" ref="AB284:AB347" si="168">(Z284/AA284)*(12/19)</f>
        <v>0.33684210526315789</v>
      </c>
      <c r="AC284" s="16">
        <f t="shared" si="160"/>
        <v>68.844969824162703</v>
      </c>
      <c r="AD284" s="20">
        <f>'PFAS Properties'!$W$33</f>
        <v>7</v>
      </c>
      <c r="AE284" s="8">
        <f>'PFAS Properties'!$S$33</f>
        <v>2.6821450763738319</v>
      </c>
      <c r="AF284" s="15">
        <f>'PFAS Properties'!$V$33</f>
        <v>4.9000000000000004</v>
      </c>
      <c r="AG284" s="24">
        <v>7.1</v>
      </c>
      <c r="AH284" s="2" t="s">
        <v>122</v>
      </c>
      <c r="AI284" s="2" t="s">
        <v>661</v>
      </c>
      <c r="AJ284" s="2" t="s">
        <v>661</v>
      </c>
      <c r="AK284" s="2" t="s">
        <v>661</v>
      </c>
      <c r="AL284" s="2" t="s">
        <v>661</v>
      </c>
      <c r="AM284" s="2" t="s">
        <v>661</v>
      </c>
      <c r="AN284" s="2" t="s">
        <v>661</v>
      </c>
      <c r="AO284" s="2" t="s">
        <v>661</v>
      </c>
      <c r="AP284" s="15">
        <v>26.1</v>
      </c>
      <c r="AQ284" s="2" t="s">
        <v>661</v>
      </c>
      <c r="AR284" s="16">
        <v>30.3</v>
      </c>
      <c r="AS284" s="16">
        <v>19.100000000000001</v>
      </c>
      <c r="AT284" s="16">
        <v>50.6</v>
      </c>
      <c r="AU284" s="2" t="s">
        <v>661</v>
      </c>
      <c r="AV284" s="16">
        <f t="shared" si="150"/>
        <v>100</v>
      </c>
      <c r="AW284" s="18">
        <v>0.5</v>
      </c>
      <c r="AX284" s="13">
        <f t="shared" si="159"/>
        <v>5.0000000000000001E-3</v>
      </c>
      <c r="AY284" s="13" t="s">
        <v>123</v>
      </c>
      <c r="AZ284" s="16">
        <f t="shared" si="158"/>
        <v>100</v>
      </c>
      <c r="BA284" s="16" t="s">
        <v>55</v>
      </c>
      <c r="BB284" s="15">
        <v>2.2999999999999998</v>
      </c>
      <c r="BC284" s="16" t="s">
        <v>55</v>
      </c>
      <c r="BD284" s="18">
        <v>11.7</v>
      </c>
      <c r="BE284" s="15">
        <f t="shared" si="151"/>
        <v>2340</v>
      </c>
      <c r="BF284" s="8">
        <f t="shared" ref="BF284:BF347" si="169">LOG(BE284)</f>
        <v>3.369215857410143</v>
      </c>
      <c r="BG284" s="8">
        <f t="shared" si="152"/>
        <v>1.0681858617461617</v>
      </c>
      <c r="BH284" s="13" t="s">
        <v>841</v>
      </c>
      <c r="BI284" s="13"/>
      <c r="BJ284" s="13"/>
      <c r="BK284" s="8"/>
      <c r="BL284" s="8"/>
      <c r="BM284" s="18"/>
      <c r="BN284" s="8"/>
      <c r="BO284" s="24"/>
    </row>
    <row r="285" spans="1:67" s="14" customFormat="1" x14ac:dyDescent="0.3">
      <c r="A285" s="20">
        <v>283</v>
      </c>
      <c r="B285" s="2" t="s">
        <v>241</v>
      </c>
      <c r="C285" s="2">
        <v>2019</v>
      </c>
      <c r="D285" s="2" t="s">
        <v>201</v>
      </c>
      <c r="E285" s="10" t="s">
        <v>800</v>
      </c>
      <c r="F285" s="20" t="s">
        <v>29</v>
      </c>
      <c r="G285" s="2">
        <v>31</v>
      </c>
      <c r="H285" s="2" t="str">
        <f>'PFAS Properties'!$B$33</f>
        <v>PFOA</v>
      </c>
      <c r="I285" s="2" t="str">
        <f>'PFAS Properties'!$C$33</f>
        <v>PFCA</v>
      </c>
      <c r="J285" s="2" t="str">
        <f>'PFAS Properties'!$D$33</f>
        <v>C8HF15O2</v>
      </c>
      <c r="K285" s="25">
        <f>'PFAS Properties'!$P$33</f>
        <v>413.97359999999998</v>
      </c>
      <c r="L285" s="2">
        <f>'PFAS Properties'!$X$33</f>
        <v>-0.2</v>
      </c>
      <c r="M285" s="2" t="str">
        <f>'PFAS Properties'!$Y$33</f>
        <v>-</v>
      </c>
      <c r="N285" s="33">
        <v>0</v>
      </c>
      <c r="O285" s="33">
        <v>0</v>
      </c>
      <c r="P285" s="33">
        <v>0</v>
      </c>
      <c r="Q285" s="33">
        <f t="shared" si="161"/>
        <v>0.99999601894414336</v>
      </c>
      <c r="R285" s="33">
        <v>0</v>
      </c>
      <c r="S285" s="33">
        <f t="shared" si="162"/>
        <v>3.981055856666137E-6</v>
      </c>
      <c r="T285" s="8">
        <f t="shared" si="163"/>
        <v>1</v>
      </c>
      <c r="U285" s="33">
        <f t="shared" si="164"/>
        <v>0</v>
      </c>
      <c r="V285" s="33">
        <f t="shared" si="165"/>
        <v>-0.99999601894414336</v>
      </c>
      <c r="W285" s="33">
        <f t="shared" si="166"/>
        <v>412.97360398105587</v>
      </c>
      <c r="X285" s="33">
        <v>96485</v>
      </c>
      <c r="Y285" s="16">
        <f t="shared" si="167"/>
        <v>-233.63385688023698</v>
      </c>
      <c r="Z285" s="16">
        <v>8</v>
      </c>
      <c r="AA285" s="16">
        <v>15</v>
      </c>
      <c r="AB285" s="8">
        <f t="shared" si="168"/>
        <v>0.33684210526315789</v>
      </c>
      <c r="AC285" s="16">
        <f t="shared" si="160"/>
        <v>68.844969824162703</v>
      </c>
      <c r="AD285" s="20">
        <f>'PFAS Properties'!$W$33</f>
        <v>7</v>
      </c>
      <c r="AE285" s="8">
        <f>'PFAS Properties'!$S$33</f>
        <v>2.6821450763738319</v>
      </c>
      <c r="AF285" s="15">
        <f>'PFAS Properties'!$V$33</f>
        <v>4.9000000000000004</v>
      </c>
      <c r="AG285" s="24">
        <v>5.2</v>
      </c>
      <c r="AH285" s="2" t="s">
        <v>122</v>
      </c>
      <c r="AI285" s="2" t="s">
        <v>661</v>
      </c>
      <c r="AJ285" s="2" t="s">
        <v>661</v>
      </c>
      <c r="AK285" s="2" t="s">
        <v>661</v>
      </c>
      <c r="AL285" s="2" t="s">
        <v>661</v>
      </c>
      <c r="AM285" s="2" t="s">
        <v>661</v>
      </c>
      <c r="AN285" s="2" t="s">
        <v>661</v>
      </c>
      <c r="AO285" s="2" t="s">
        <v>661</v>
      </c>
      <c r="AP285" s="15">
        <v>19</v>
      </c>
      <c r="AQ285" s="2" t="s">
        <v>661</v>
      </c>
      <c r="AR285" s="16">
        <v>44.5</v>
      </c>
      <c r="AS285" s="16">
        <v>12</v>
      </c>
      <c r="AT285" s="16">
        <v>43.5</v>
      </c>
      <c r="AU285" s="2" t="s">
        <v>661</v>
      </c>
      <c r="AV285" s="16">
        <f t="shared" si="150"/>
        <v>100</v>
      </c>
      <c r="AW285" s="18">
        <v>1.1000000000000001</v>
      </c>
      <c r="AX285" s="13">
        <f t="shared" si="159"/>
        <v>1.1000000000000001E-2</v>
      </c>
      <c r="AY285" s="13" t="s">
        <v>123</v>
      </c>
      <c r="AZ285" s="16">
        <f t="shared" si="158"/>
        <v>100</v>
      </c>
      <c r="BA285" s="16" t="s">
        <v>55</v>
      </c>
      <c r="BB285" s="15">
        <v>2.2999999999999998</v>
      </c>
      <c r="BC285" s="16" t="s">
        <v>55</v>
      </c>
      <c r="BD285" s="18">
        <v>10.5</v>
      </c>
      <c r="BE285" s="15">
        <f t="shared" si="151"/>
        <v>954.5454545454545</v>
      </c>
      <c r="BF285" s="8">
        <f t="shared" si="169"/>
        <v>2.9797966139117129</v>
      </c>
      <c r="BG285" s="8">
        <f t="shared" si="152"/>
        <v>1.0211892990699381</v>
      </c>
      <c r="BH285" s="13" t="s">
        <v>841</v>
      </c>
      <c r="BI285" s="13"/>
      <c r="BJ285" s="13"/>
      <c r="BK285" s="8"/>
      <c r="BL285" s="8"/>
      <c r="BM285" s="18"/>
      <c r="BN285" s="8"/>
      <c r="BO285" s="24"/>
    </row>
    <row r="286" spans="1:67" s="14" customFormat="1" x14ac:dyDescent="0.3">
      <c r="A286" s="20">
        <v>284</v>
      </c>
      <c r="B286" s="2" t="s">
        <v>241</v>
      </c>
      <c r="C286" s="2">
        <v>2019</v>
      </c>
      <c r="D286" s="2" t="s">
        <v>201</v>
      </c>
      <c r="E286" s="10" t="s">
        <v>800</v>
      </c>
      <c r="F286" s="20" t="s">
        <v>29</v>
      </c>
      <c r="G286" s="2">
        <v>32</v>
      </c>
      <c r="H286" s="2" t="str">
        <f>'PFAS Properties'!$B$33</f>
        <v>PFOA</v>
      </c>
      <c r="I286" s="2" t="str">
        <f>'PFAS Properties'!$C$33</f>
        <v>PFCA</v>
      </c>
      <c r="J286" s="2" t="str">
        <f>'PFAS Properties'!$D$33</f>
        <v>C8HF15O2</v>
      </c>
      <c r="K286" s="25">
        <f>'PFAS Properties'!$P$33</f>
        <v>413.97359999999998</v>
      </c>
      <c r="L286" s="2">
        <f>'PFAS Properties'!$X$33</f>
        <v>-0.2</v>
      </c>
      <c r="M286" s="2" t="str">
        <f>'PFAS Properties'!$Y$33</f>
        <v>-</v>
      </c>
      <c r="N286" s="33">
        <v>0</v>
      </c>
      <c r="O286" s="33">
        <v>0</v>
      </c>
      <c r="P286" s="33">
        <v>0</v>
      </c>
      <c r="Q286" s="33">
        <f t="shared" si="161"/>
        <v>0.99999949881301753</v>
      </c>
      <c r="R286" s="33">
        <v>0</v>
      </c>
      <c r="S286" s="33">
        <f t="shared" si="162"/>
        <v>5.0118698243875488E-7</v>
      </c>
      <c r="T286" s="8">
        <f t="shared" si="163"/>
        <v>1</v>
      </c>
      <c r="U286" s="33">
        <f t="shared" si="164"/>
        <v>0</v>
      </c>
      <c r="V286" s="33">
        <f t="shared" si="165"/>
        <v>-0.99999949881301753</v>
      </c>
      <c r="W286" s="33">
        <f t="shared" si="166"/>
        <v>412.97360050118692</v>
      </c>
      <c r="X286" s="33">
        <v>96485</v>
      </c>
      <c r="Y286" s="16">
        <f t="shared" si="167"/>
        <v>-233.63467186735267</v>
      </c>
      <c r="Z286" s="16">
        <v>8</v>
      </c>
      <c r="AA286" s="16">
        <v>15</v>
      </c>
      <c r="AB286" s="8">
        <f t="shared" si="168"/>
        <v>0.33684210526315789</v>
      </c>
      <c r="AC286" s="16">
        <f t="shared" si="160"/>
        <v>68.844969824162703</v>
      </c>
      <c r="AD286" s="20">
        <f>'PFAS Properties'!$W$33</f>
        <v>7</v>
      </c>
      <c r="AE286" s="8">
        <f>'PFAS Properties'!$S$33</f>
        <v>2.6821450763738319</v>
      </c>
      <c r="AF286" s="15">
        <f>'PFAS Properties'!$V$33</f>
        <v>4.9000000000000004</v>
      </c>
      <c r="AG286" s="24">
        <v>6.1</v>
      </c>
      <c r="AH286" s="2" t="s">
        <v>122</v>
      </c>
      <c r="AI286" s="2" t="s">
        <v>661</v>
      </c>
      <c r="AJ286" s="2" t="s">
        <v>661</v>
      </c>
      <c r="AK286" s="2" t="s">
        <v>661</v>
      </c>
      <c r="AL286" s="2" t="s">
        <v>661</v>
      </c>
      <c r="AM286" s="2" t="s">
        <v>661</v>
      </c>
      <c r="AN286" s="2" t="s">
        <v>661</v>
      </c>
      <c r="AO286" s="2" t="s">
        <v>661</v>
      </c>
      <c r="AP286" s="15">
        <v>23.4</v>
      </c>
      <c r="AQ286" s="2" t="s">
        <v>661</v>
      </c>
      <c r="AR286" s="16">
        <v>38.5</v>
      </c>
      <c r="AS286" s="16">
        <v>11.200000000000003</v>
      </c>
      <c r="AT286" s="16">
        <v>50.3</v>
      </c>
      <c r="AU286" s="2" t="s">
        <v>661</v>
      </c>
      <c r="AV286" s="16">
        <f t="shared" si="150"/>
        <v>100</v>
      </c>
      <c r="AW286" s="18">
        <v>0.2</v>
      </c>
      <c r="AX286" s="13">
        <f t="shared" si="159"/>
        <v>2E-3</v>
      </c>
      <c r="AY286" s="13" t="s">
        <v>123</v>
      </c>
      <c r="AZ286" s="16">
        <f t="shared" si="158"/>
        <v>100</v>
      </c>
      <c r="BA286" s="16" t="s">
        <v>55</v>
      </c>
      <c r="BB286" s="15">
        <v>2.2999999999999998</v>
      </c>
      <c r="BC286" s="16" t="s">
        <v>55</v>
      </c>
      <c r="BD286" s="18">
        <v>7.7</v>
      </c>
      <c r="BE286" s="15">
        <f t="shared" si="151"/>
        <v>3850</v>
      </c>
      <c r="BF286" s="8">
        <f t="shared" si="169"/>
        <v>3.5854607295085006</v>
      </c>
      <c r="BG286" s="8">
        <f t="shared" si="152"/>
        <v>0.88649072517248184</v>
      </c>
      <c r="BH286" s="13" t="s">
        <v>841</v>
      </c>
      <c r="BI286" s="13"/>
      <c r="BJ286" s="13"/>
      <c r="BK286" s="8"/>
      <c r="BL286" s="8"/>
      <c r="BM286" s="18"/>
      <c r="BN286" s="8"/>
      <c r="BO286" s="24"/>
    </row>
    <row r="287" spans="1:67" s="14" customFormat="1" x14ac:dyDescent="0.3">
      <c r="A287" s="20">
        <v>285</v>
      </c>
      <c r="B287" s="2" t="s">
        <v>241</v>
      </c>
      <c r="C287" s="2">
        <v>2019</v>
      </c>
      <c r="D287" s="2" t="s">
        <v>201</v>
      </c>
      <c r="E287" s="10" t="s">
        <v>800</v>
      </c>
      <c r="F287" s="20" t="s">
        <v>29</v>
      </c>
      <c r="G287" s="2">
        <v>33</v>
      </c>
      <c r="H287" s="2" t="str">
        <f>'PFAS Properties'!$B$33</f>
        <v>PFOA</v>
      </c>
      <c r="I287" s="2" t="str">
        <f>'PFAS Properties'!$C$33</f>
        <v>PFCA</v>
      </c>
      <c r="J287" s="2" t="str">
        <f>'PFAS Properties'!$D$33</f>
        <v>C8HF15O2</v>
      </c>
      <c r="K287" s="25">
        <f>'PFAS Properties'!$P$33</f>
        <v>413.97359999999998</v>
      </c>
      <c r="L287" s="2">
        <f>'PFAS Properties'!$X$33</f>
        <v>-0.2</v>
      </c>
      <c r="M287" s="2" t="str">
        <f>'PFAS Properties'!$Y$33</f>
        <v>-</v>
      </c>
      <c r="N287" s="33">
        <v>0</v>
      </c>
      <c r="O287" s="33">
        <v>0</v>
      </c>
      <c r="P287" s="33">
        <v>0</v>
      </c>
      <c r="Q287" s="33">
        <f t="shared" si="161"/>
        <v>0.9999999601892845</v>
      </c>
      <c r="R287" s="33">
        <v>0</v>
      </c>
      <c r="S287" s="33">
        <f t="shared" si="162"/>
        <v>3.9810715470456442E-8</v>
      </c>
      <c r="T287" s="8">
        <f t="shared" si="163"/>
        <v>1</v>
      </c>
      <c r="U287" s="33">
        <f t="shared" si="164"/>
        <v>0</v>
      </c>
      <c r="V287" s="33">
        <f t="shared" si="165"/>
        <v>-0.9999999601892845</v>
      </c>
      <c r="W287" s="33">
        <f t="shared" si="166"/>
        <v>412.97360003981066</v>
      </c>
      <c r="X287" s="33">
        <v>96485</v>
      </c>
      <c r="Y287" s="16">
        <f t="shared" si="167"/>
        <v>-233.63477992191741</v>
      </c>
      <c r="Z287" s="16">
        <v>8</v>
      </c>
      <c r="AA287" s="16">
        <v>15</v>
      </c>
      <c r="AB287" s="8">
        <f t="shared" si="168"/>
        <v>0.33684210526315789</v>
      </c>
      <c r="AC287" s="16">
        <f t="shared" si="160"/>
        <v>68.844969824162703</v>
      </c>
      <c r="AD287" s="20">
        <f>'PFAS Properties'!$W$33</f>
        <v>7</v>
      </c>
      <c r="AE287" s="8">
        <f>'PFAS Properties'!$S$33</f>
        <v>2.6821450763738319</v>
      </c>
      <c r="AF287" s="15">
        <f>'PFAS Properties'!$V$33</f>
        <v>4.9000000000000004</v>
      </c>
      <c r="AG287" s="24">
        <v>7.2</v>
      </c>
      <c r="AH287" s="2" t="s">
        <v>122</v>
      </c>
      <c r="AI287" s="2" t="s">
        <v>661</v>
      </c>
      <c r="AJ287" s="2" t="s">
        <v>661</v>
      </c>
      <c r="AK287" s="2" t="s">
        <v>661</v>
      </c>
      <c r="AL287" s="2" t="s">
        <v>661</v>
      </c>
      <c r="AM287" s="2" t="s">
        <v>661</v>
      </c>
      <c r="AN287" s="2" t="s">
        <v>661</v>
      </c>
      <c r="AO287" s="2" t="s">
        <v>661</v>
      </c>
      <c r="AP287" s="15">
        <v>19.7</v>
      </c>
      <c r="AQ287" s="2" t="s">
        <v>661</v>
      </c>
      <c r="AR287" s="16">
        <v>42</v>
      </c>
      <c r="AS287" s="16">
        <v>14.399999999999999</v>
      </c>
      <c r="AT287" s="16">
        <v>43.6</v>
      </c>
      <c r="AU287" s="2" t="s">
        <v>661</v>
      </c>
      <c r="AV287" s="16">
        <f t="shared" si="150"/>
        <v>100</v>
      </c>
      <c r="AW287" s="18">
        <v>0.1</v>
      </c>
      <c r="AX287" s="13">
        <f t="shared" si="159"/>
        <v>1E-3</v>
      </c>
      <c r="AY287" s="13" t="s">
        <v>123</v>
      </c>
      <c r="AZ287" s="16">
        <f t="shared" ref="AZ287:AZ318" si="170">1/0.01</f>
        <v>100</v>
      </c>
      <c r="BA287" s="16" t="s">
        <v>55</v>
      </c>
      <c r="BB287" s="15">
        <v>2.2999999999999998</v>
      </c>
      <c r="BC287" s="16" t="s">
        <v>55</v>
      </c>
      <c r="BD287" s="18">
        <v>2.9</v>
      </c>
      <c r="BE287" s="15">
        <f t="shared" si="151"/>
        <v>2900</v>
      </c>
      <c r="BF287" s="8">
        <f t="shared" si="169"/>
        <v>3.4623979978989561</v>
      </c>
      <c r="BG287" s="8">
        <f t="shared" si="152"/>
        <v>0.46239799789895608</v>
      </c>
      <c r="BH287" s="13" t="s">
        <v>841</v>
      </c>
      <c r="BI287" s="13"/>
      <c r="BJ287" s="13"/>
      <c r="BK287" s="8"/>
      <c r="BL287" s="8"/>
      <c r="BM287" s="18"/>
      <c r="BN287" s="8"/>
      <c r="BO287" s="24"/>
    </row>
    <row r="288" spans="1:67" s="14" customFormat="1" x14ac:dyDescent="0.3">
      <c r="A288" s="20">
        <v>286</v>
      </c>
      <c r="B288" s="2" t="s">
        <v>241</v>
      </c>
      <c r="C288" s="2">
        <v>2019</v>
      </c>
      <c r="D288" s="2" t="s">
        <v>201</v>
      </c>
      <c r="E288" s="10" t="s">
        <v>800</v>
      </c>
      <c r="F288" s="20" t="s">
        <v>29</v>
      </c>
      <c r="G288" s="2">
        <v>34</v>
      </c>
      <c r="H288" s="2" t="str">
        <f>'PFAS Properties'!$B$33</f>
        <v>PFOA</v>
      </c>
      <c r="I288" s="2" t="str">
        <f>'PFAS Properties'!$C$33</f>
        <v>PFCA</v>
      </c>
      <c r="J288" s="2" t="str">
        <f>'PFAS Properties'!$D$33</f>
        <v>C8HF15O2</v>
      </c>
      <c r="K288" s="25">
        <f>'PFAS Properties'!$P$33</f>
        <v>413.97359999999998</v>
      </c>
      <c r="L288" s="2">
        <f>'PFAS Properties'!$X$33</f>
        <v>-0.2</v>
      </c>
      <c r="M288" s="2" t="str">
        <f>'PFAS Properties'!$Y$33</f>
        <v>-</v>
      </c>
      <c r="N288" s="33">
        <v>0</v>
      </c>
      <c r="O288" s="33">
        <v>0</v>
      </c>
      <c r="P288" s="33">
        <v>0</v>
      </c>
      <c r="Q288" s="33">
        <f t="shared" si="161"/>
        <v>0.99999993690426958</v>
      </c>
      <c r="R288" s="33">
        <v>0</v>
      </c>
      <c r="S288" s="33">
        <f t="shared" si="162"/>
        <v>6.3095730466947729E-8</v>
      </c>
      <c r="T288" s="8">
        <f t="shared" si="163"/>
        <v>1</v>
      </c>
      <c r="U288" s="33">
        <f t="shared" si="164"/>
        <v>0</v>
      </c>
      <c r="V288" s="33">
        <f t="shared" si="165"/>
        <v>-0.99999993690426958</v>
      </c>
      <c r="W288" s="33">
        <f t="shared" si="166"/>
        <v>412.97360006309572</v>
      </c>
      <c r="X288" s="33">
        <v>96485</v>
      </c>
      <c r="Y288" s="16">
        <f t="shared" si="167"/>
        <v>-233.63477446855464</v>
      </c>
      <c r="Z288" s="16">
        <v>8</v>
      </c>
      <c r="AA288" s="16">
        <v>15</v>
      </c>
      <c r="AB288" s="8">
        <f t="shared" si="168"/>
        <v>0.33684210526315789</v>
      </c>
      <c r="AC288" s="16">
        <f t="shared" si="160"/>
        <v>68.844969824162703</v>
      </c>
      <c r="AD288" s="20">
        <f>'PFAS Properties'!$W$33</f>
        <v>7</v>
      </c>
      <c r="AE288" s="8">
        <f>'PFAS Properties'!$S$33</f>
        <v>2.6821450763738319</v>
      </c>
      <c r="AF288" s="15">
        <f>'PFAS Properties'!$V$33</f>
        <v>4.9000000000000004</v>
      </c>
      <c r="AG288" s="24">
        <v>7</v>
      </c>
      <c r="AH288" s="2" t="s">
        <v>122</v>
      </c>
      <c r="AI288" s="2" t="s">
        <v>661</v>
      </c>
      <c r="AJ288" s="2" t="s">
        <v>661</v>
      </c>
      <c r="AK288" s="2" t="s">
        <v>661</v>
      </c>
      <c r="AL288" s="2" t="s">
        <v>661</v>
      </c>
      <c r="AM288" s="2" t="s">
        <v>661</v>
      </c>
      <c r="AN288" s="2" t="s">
        <v>661</v>
      </c>
      <c r="AO288" s="2" t="s">
        <v>661</v>
      </c>
      <c r="AP288" s="15">
        <v>21.6</v>
      </c>
      <c r="AQ288" s="2" t="s">
        <v>661</v>
      </c>
      <c r="AR288" s="16">
        <v>70</v>
      </c>
      <c r="AS288" s="16">
        <v>11</v>
      </c>
      <c r="AT288" s="16">
        <v>19</v>
      </c>
      <c r="AU288" s="2" t="s">
        <v>661</v>
      </c>
      <c r="AV288" s="16">
        <f t="shared" si="150"/>
        <v>100</v>
      </c>
      <c r="AW288" s="18">
        <v>3.5</v>
      </c>
      <c r="AX288" s="13">
        <f t="shared" si="159"/>
        <v>3.5000000000000003E-2</v>
      </c>
      <c r="AY288" s="13" t="s">
        <v>123</v>
      </c>
      <c r="AZ288" s="16">
        <f t="shared" si="170"/>
        <v>100</v>
      </c>
      <c r="BA288" s="16" t="s">
        <v>55</v>
      </c>
      <c r="BB288" s="15">
        <v>2.2999999999999998</v>
      </c>
      <c r="BC288" s="16" t="s">
        <v>55</v>
      </c>
      <c r="BD288" s="18">
        <v>10</v>
      </c>
      <c r="BE288" s="15">
        <f t="shared" si="151"/>
        <v>285.71428571428567</v>
      </c>
      <c r="BF288" s="8">
        <f t="shared" si="169"/>
        <v>2.4559319556497243</v>
      </c>
      <c r="BG288" s="8">
        <f t="shared" si="152"/>
        <v>1</v>
      </c>
      <c r="BH288" s="13" t="s">
        <v>841</v>
      </c>
      <c r="BI288" s="13"/>
      <c r="BJ288" s="13"/>
      <c r="BK288" s="8"/>
      <c r="BL288" s="8"/>
      <c r="BM288" s="18"/>
      <c r="BN288" s="8"/>
      <c r="BO288" s="24"/>
    </row>
    <row r="289" spans="1:67" s="14" customFormat="1" x14ac:dyDescent="0.3">
      <c r="A289" s="20">
        <v>287</v>
      </c>
      <c r="B289" s="2" t="s">
        <v>241</v>
      </c>
      <c r="C289" s="2">
        <v>2019</v>
      </c>
      <c r="D289" s="2" t="s">
        <v>201</v>
      </c>
      <c r="E289" s="10" t="s">
        <v>800</v>
      </c>
      <c r="F289" s="20" t="s">
        <v>29</v>
      </c>
      <c r="G289" s="2">
        <v>35</v>
      </c>
      <c r="H289" s="2" t="str">
        <f>'PFAS Properties'!$B$33</f>
        <v>PFOA</v>
      </c>
      <c r="I289" s="2" t="str">
        <f>'PFAS Properties'!$C$33</f>
        <v>PFCA</v>
      </c>
      <c r="J289" s="2" t="str">
        <f>'PFAS Properties'!$D$33</f>
        <v>C8HF15O2</v>
      </c>
      <c r="K289" s="25">
        <f>'PFAS Properties'!$P$33</f>
        <v>413.97359999999998</v>
      </c>
      <c r="L289" s="2">
        <f>'PFAS Properties'!$X$33</f>
        <v>-0.2</v>
      </c>
      <c r="M289" s="2" t="str">
        <f>'PFAS Properties'!$Y$33</f>
        <v>-</v>
      </c>
      <c r="N289" s="33">
        <v>0</v>
      </c>
      <c r="O289" s="33">
        <v>0</v>
      </c>
      <c r="P289" s="33">
        <v>0</v>
      </c>
      <c r="Q289" s="33">
        <f t="shared" si="161"/>
        <v>0.99999998004737722</v>
      </c>
      <c r="R289" s="33">
        <v>0</v>
      </c>
      <c r="S289" s="33">
        <f t="shared" si="162"/>
        <v>1.995262275158161E-8</v>
      </c>
      <c r="T289" s="8">
        <f t="shared" si="163"/>
        <v>1</v>
      </c>
      <c r="U289" s="33">
        <f t="shared" si="164"/>
        <v>0</v>
      </c>
      <c r="V289" s="33">
        <f t="shared" si="165"/>
        <v>-0.99999998004737722</v>
      </c>
      <c r="W289" s="33">
        <f t="shared" si="166"/>
        <v>412.97360001995258</v>
      </c>
      <c r="X289" s="33">
        <v>96485</v>
      </c>
      <c r="Y289" s="16">
        <f t="shared" si="167"/>
        <v>-233.63478457269321</v>
      </c>
      <c r="Z289" s="16">
        <v>8</v>
      </c>
      <c r="AA289" s="16">
        <v>15</v>
      </c>
      <c r="AB289" s="8">
        <f t="shared" si="168"/>
        <v>0.33684210526315789</v>
      </c>
      <c r="AC289" s="16">
        <f t="shared" si="160"/>
        <v>68.844969824162703</v>
      </c>
      <c r="AD289" s="20">
        <f>'PFAS Properties'!$W$33</f>
        <v>7</v>
      </c>
      <c r="AE289" s="8">
        <f>'PFAS Properties'!$S$33</f>
        <v>2.6821450763738319</v>
      </c>
      <c r="AF289" s="15">
        <f>'PFAS Properties'!$V$33</f>
        <v>4.9000000000000004</v>
      </c>
      <c r="AG289" s="24">
        <v>7.5</v>
      </c>
      <c r="AH289" s="2" t="s">
        <v>122</v>
      </c>
      <c r="AI289" s="2" t="s">
        <v>661</v>
      </c>
      <c r="AJ289" s="2" t="s">
        <v>661</v>
      </c>
      <c r="AK289" s="2" t="s">
        <v>661</v>
      </c>
      <c r="AL289" s="2" t="s">
        <v>661</v>
      </c>
      <c r="AM289" s="2" t="s">
        <v>661</v>
      </c>
      <c r="AN289" s="2" t="s">
        <v>661</v>
      </c>
      <c r="AO289" s="2" t="s">
        <v>661</v>
      </c>
      <c r="AP289" s="15">
        <v>7.7</v>
      </c>
      <c r="AQ289" s="2" t="s">
        <v>661</v>
      </c>
      <c r="AR289" s="16">
        <v>81</v>
      </c>
      <c r="AS289" s="16">
        <v>5</v>
      </c>
      <c r="AT289" s="16">
        <v>14</v>
      </c>
      <c r="AU289" s="2" t="s">
        <v>661</v>
      </c>
      <c r="AV289" s="16">
        <f t="shared" si="150"/>
        <v>100</v>
      </c>
      <c r="AW289" s="18">
        <v>0.8</v>
      </c>
      <c r="AX289" s="13">
        <f t="shared" si="159"/>
        <v>8.0000000000000002E-3</v>
      </c>
      <c r="AY289" s="13" t="s">
        <v>123</v>
      </c>
      <c r="AZ289" s="16">
        <f t="shared" si="170"/>
        <v>100</v>
      </c>
      <c r="BA289" s="16" t="s">
        <v>55</v>
      </c>
      <c r="BB289" s="15">
        <v>2.2999999999999998</v>
      </c>
      <c r="BC289" s="16" t="s">
        <v>55</v>
      </c>
      <c r="BD289" s="18">
        <v>6.7</v>
      </c>
      <c r="BE289" s="15">
        <f t="shared" si="151"/>
        <v>837.5</v>
      </c>
      <c r="BF289" s="8">
        <f t="shared" si="169"/>
        <v>2.9229848157088827</v>
      </c>
      <c r="BG289" s="8">
        <f t="shared" si="152"/>
        <v>0.82607480270082645</v>
      </c>
      <c r="BH289" s="13" t="s">
        <v>841</v>
      </c>
      <c r="BI289" s="13"/>
      <c r="BJ289" s="13"/>
      <c r="BK289" s="8"/>
      <c r="BL289" s="8"/>
      <c r="BM289" s="18"/>
      <c r="BN289" s="8"/>
      <c r="BO289" s="24"/>
    </row>
    <row r="290" spans="1:67" s="14" customFormat="1" x14ac:dyDescent="0.3">
      <c r="A290" s="20">
        <v>288</v>
      </c>
      <c r="B290" s="2" t="s">
        <v>241</v>
      </c>
      <c r="C290" s="2">
        <v>2019</v>
      </c>
      <c r="D290" s="2" t="s">
        <v>201</v>
      </c>
      <c r="E290" s="10" t="s">
        <v>800</v>
      </c>
      <c r="F290" s="20" t="s">
        <v>29</v>
      </c>
      <c r="G290" s="2">
        <v>36</v>
      </c>
      <c r="H290" s="2" t="str">
        <f>'PFAS Properties'!$B$33</f>
        <v>PFOA</v>
      </c>
      <c r="I290" s="2" t="str">
        <f>'PFAS Properties'!$C$33</f>
        <v>PFCA</v>
      </c>
      <c r="J290" s="2" t="str">
        <f>'PFAS Properties'!$D$33</f>
        <v>C8HF15O2</v>
      </c>
      <c r="K290" s="25">
        <f>'PFAS Properties'!$P$33</f>
        <v>413.97359999999998</v>
      </c>
      <c r="L290" s="2">
        <f>'PFAS Properties'!$X$33</f>
        <v>-0.2</v>
      </c>
      <c r="M290" s="2" t="str">
        <f>'PFAS Properties'!$Y$33</f>
        <v>-</v>
      </c>
      <c r="N290" s="33">
        <v>0</v>
      </c>
      <c r="O290" s="33">
        <v>0</v>
      </c>
      <c r="P290" s="33">
        <v>0</v>
      </c>
      <c r="Q290" s="33">
        <f t="shared" si="161"/>
        <v>0.99999999000000006</v>
      </c>
      <c r="R290" s="33">
        <v>0</v>
      </c>
      <c r="S290" s="33">
        <f t="shared" si="162"/>
        <v>9.9999999000000002E-9</v>
      </c>
      <c r="T290" s="8">
        <f t="shared" si="163"/>
        <v>1</v>
      </c>
      <c r="U290" s="33">
        <f t="shared" si="164"/>
        <v>0</v>
      </c>
      <c r="V290" s="33">
        <f t="shared" si="165"/>
        <v>-0.99999999000000006</v>
      </c>
      <c r="W290" s="33">
        <f t="shared" si="166"/>
        <v>412.97360000999993</v>
      </c>
      <c r="X290" s="33">
        <v>96485</v>
      </c>
      <c r="Y290" s="16">
        <f t="shared" si="167"/>
        <v>-233.63478690360273</v>
      </c>
      <c r="Z290" s="16">
        <v>8</v>
      </c>
      <c r="AA290" s="16">
        <v>15</v>
      </c>
      <c r="AB290" s="8">
        <f t="shared" si="168"/>
        <v>0.33684210526315789</v>
      </c>
      <c r="AC290" s="16">
        <f t="shared" si="160"/>
        <v>68.844969824162703</v>
      </c>
      <c r="AD290" s="20">
        <f>'PFAS Properties'!$W$33</f>
        <v>7</v>
      </c>
      <c r="AE290" s="8">
        <f>'PFAS Properties'!$S$33</f>
        <v>2.6821450763738319</v>
      </c>
      <c r="AF290" s="15">
        <f>'PFAS Properties'!$V$33</f>
        <v>4.9000000000000004</v>
      </c>
      <c r="AG290" s="24">
        <v>7.8</v>
      </c>
      <c r="AH290" s="2" t="s">
        <v>122</v>
      </c>
      <c r="AI290" s="2" t="s">
        <v>661</v>
      </c>
      <c r="AJ290" s="2" t="s">
        <v>661</v>
      </c>
      <c r="AK290" s="2" t="s">
        <v>661</v>
      </c>
      <c r="AL290" s="2" t="s">
        <v>661</v>
      </c>
      <c r="AM290" s="2" t="s">
        <v>661</v>
      </c>
      <c r="AN290" s="2" t="s">
        <v>661</v>
      </c>
      <c r="AO290" s="2" t="s">
        <v>661</v>
      </c>
      <c r="AP290" s="15">
        <v>5.3</v>
      </c>
      <c r="AQ290" s="2" t="s">
        <v>661</v>
      </c>
      <c r="AR290" s="16">
        <v>84</v>
      </c>
      <c r="AS290" s="16">
        <v>4</v>
      </c>
      <c r="AT290" s="16">
        <v>12</v>
      </c>
      <c r="AU290" s="2" t="s">
        <v>661</v>
      </c>
      <c r="AV290" s="16">
        <f t="shared" si="150"/>
        <v>100</v>
      </c>
      <c r="AW290" s="18">
        <v>0.3</v>
      </c>
      <c r="AX290" s="13">
        <f t="shared" ref="AX290:AX321" si="171">AW290/100</f>
        <v>3.0000000000000001E-3</v>
      </c>
      <c r="AY290" s="13" t="s">
        <v>123</v>
      </c>
      <c r="AZ290" s="16">
        <f t="shared" si="170"/>
        <v>100</v>
      </c>
      <c r="BA290" s="16" t="s">
        <v>55</v>
      </c>
      <c r="BB290" s="15">
        <v>2.2999999999999998</v>
      </c>
      <c r="BC290" s="16" t="s">
        <v>55</v>
      </c>
      <c r="BD290" s="18">
        <v>4.2</v>
      </c>
      <c r="BE290" s="15">
        <f t="shared" si="151"/>
        <v>1400</v>
      </c>
      <c r="BF290" s="8">
        <f t="shared" si="169"/>
        <v>3.1461280356782382</v>
      </c>
      <c r="BG290" s="8">
        <f t="shared" si="152"/>
        <v>0.62324929039790045</v>
      </c>
      <c r="BH290" s="13" t="s">
        <v>841</v>
      </c>
      <c r="BI290" s="13"/>
      <c r="BJ290" s="13"/>
      <c r="BK290" s="8"/>
      <c r="BL290" s="8"/>
      <c r="BM290" s="18"/>
      <c r="BN290" s="8"/>
      <c r="BO290" s="24"/>
    </row>
    <row r="291" spans="1:67" s="14" customFormat="1" x14ac:dyDescent="0.3">
      <c r="A291" s="20">
        <v>289</v>
      </c>
      <c r="B291" s="2" t="s">
        <v>241</v>
      </c>
      <c r="C291" s="2">
        <v>2019</v>
      </c>
      <c r="D291" s="2" t="s">
        <v>201</v>
      </c>
      <c r="E291" s="10" t="s">
        <v>800</v>
      </c>
      <c r="F291" s="20" t="s">
        <v>29</v>
      </c>
      <c r="G291" s="2">
        <v>37</v>
      </c>
      <c r="H291" s="2" t="str">
        <f>'PFAS Properties'!$B$33</f>
        <v>PFOA</v>
      </c>
      <c r="I291" s="2" t="str">
        <f>'PFAS Properties'!$C$33</f>
        <v>PFCA</v>
      </c>
      <c r="J291" s="2" t="str">
        <f>'PFAS Properties'!$D$33</f>
        <v>C8HF15O2</v>
      </c>
      <c r="K291" s="25">
        <f>'PFAS Properties'!$P$33</f>
        <v>413.97359999999998</v>
      </c>
      <c r="L291" s="2">
        <f>'PFAS Properties'!$X$33</f>
        <v>-0.2</v>
      </c>
      <c r="M291" s="2" t="str">
        <f>'PFAS Properties'!$Y$33</f>
        <v>-</v>
      </c>
      <c r="N291" s="33">
        <v>0</v>
      </c>
      <c r="O291" s="33">
        <v>0</v>
      </c>
      <c r="P291" s="33">
        <v>0</v>
      </c>
      <c r="Q291" s="33">
        <f t="shared" si="161"/>
        <v>0.99999998415106828</v>
      </c>
      <c r="R291" s="33">
        <v>0</v>
      </c>
      <c r="S291" s="33">
        <f t="shared" si="162"/>
        <v>1.5848931673422493E-8</v>
      </c>
      <c r="T291" s="8">
        <f t="shared" si="163"/>
        <v>1</v>
      </c>
      <c r="U291" s="33">
        <f t="shared" si="164"/>
        <v>0</v>
      </c>
      <c r="V291" s="33">
        <f t="shared" si="165"/>
        <v>-0.99999998415106828</v>
      </c>
      <c r="W291" s="33">
        <f t="shared" si="166"/>
        <v>412.97360001584889</v>
      </c>
      <c r="X291" s="33">
        <v>96485</v>
      </c>
      <c r="Y291" s="16">
        <f t="shared" si="167"/>
        <v>-233.63478553377979</v>
      </c>
      <c r="Z291" s="16">
        <v>8</v>
      </c>
      <c r="AA291" s="16">
        <v>15</v>
      </c>
      <c r="AB291" s="8">
        <f t="shared" si="168"/>
        <v>0.33684210526315789</v>
      </c>
      <c r="AC291" s="16">
        <f t="shared" si="160"/>
        <v>68.844969824162703</v>
      </c>
      <c r="AD291" s="20">
        <f>'PFAS Properties'!$W$33</f>
        <v>7</v>
      </c>
      <c r="AE291" s="8">
        <f>'PFAS Properties'!$S$33</f>
        <v>2.6821450763738319</v>
      </c>
      <c r="AF291" s="15">
        <f>'PFAS Properties'!$V$33</f>
        <v>4.9000000000000004</v>
      </c>
      <c r="AG291" s="24">
        <v>7.6</v>
      </c>
      <c r="AH291" s="2" t="s">
        <v>122</v>
      </c>
      <c r="AI291" s="2" t="s">
        <v>661</v>
      </c>
      <c r="AJ291" s="2" t="s">
        <v>661</v>
      </c>
      <c r="AK291" s="2" t="s">
        <v>661</v>
      </c>
      <c r="AL291" s="2" t="s">
        <v>661</v>
      </c>
      <c r="AM291" s="2" t="s">
        <v>661</v>
      </c>
      <c r="AN291" s="2" t="s">
        <v>661</v>
      </c>
      <c r="AO291" s="2" t="s">
        <v>661</v>
      </c>
      <c r="AP291" s="15">
        <v>1.6</v>
      </c>
      <c r="AQ291" s="2" t="s">
        <v>661</v>
      </c>
      <c r="AR291" s="16">
        <v>95</v>
      </c>
      <c r="AS291" s="16">
        <v>1</v>
      </c>
      <c r="AT291" s="16">
        <v>4</v>
      </c>
      <c r="AU291" s="2" t="s">
        <v>661</v>
      </c>
      <c r="AV291" s="16">
        <f t="shared" si="150"/>
        <v>100</v>
      </c>
      <c r="AW291" s="18">
        <v>0.1</v>
      </c>
      <c r="AX291" s="13">
        <f t="shared" si="171"/>
        <v>1E-3</v>
      </c>
      <c r="AY291" s="13" t="s">
        <v>123</v>
      </c>
      <c r="AZ291" s="16">
        <f t="shared" si="170"/>
        <v>100</v>
      </c>
      <c r="BA291" s="16" t="s">
        <v>55</v>
      </c>
      <c r="BB291" s="15">
        <v>2.2999999999999998</v>
      </c>
      <c r="BC291" s="16" t="s">
        <v>55</v>
      </c>
      <c r="BD291" s="18">
        <v>0.6</v>
      </c>
      <c r="BE291" s="15">
        <f t="shared" si="151"/>
        <v>600</v>
      </c>
      <c r="BF291" s="8">
        <f t="shared" si="169"/>
        <v>2.7781512503836434</v>
      </c>
      <c r="BG291" s="8">
        <f t="shared" si="152"/>
        <v>-0.22184874961635639</v>
      </c>
      <c r="BH291" s="13" t="s">
        <v>841</v>
      </c>
      <c r="BI291" s="13"/>
      <c r="BJ291" s="13"/>
      <c r="BK291" s="8"/>
      <c r="BL291" s="8"/>
      <c r="BM291" s="18"/>
      <c r="BN291" s="8"/>
      <c r="BO291" s="24"/>
    </row>
    <row r="292" spans="1:67" s="14" customFormat="1" x14ac:dyDescent="0.3">
      <c r="A292" s="20">
        <v>290</v>
      </c>
      <c r="B292" s="2" t="s">
        <v>241</v>
      </c>
      <c r="C292" s="2">
        <v>2019</v>
      </c>
      <c r="D292" s="2" t="s">
        <v>201</v>
      </c>
      <c r="E292" s="10" t="s">
        <v>800</v>
      </c>
      <c r="F292" s="20" t="s">
        <v>29</v>
      </c>
      <c r="G292" s="2">
        <v>38</v>
      </c>
      <c r="H292" s="2" t="str">
        <f>'PFAS Properties'!$B$33</f>
        <v>PFOA</v>
      </c>
      <c r="I292" s="2" t="str">
        <f>'PFAS Properties'!$C$33</f>
        <v>PFCA</v>
      </c>
      <c r="J292" s="2" t="str">
        <f>'PFAS Properties'!$D$33</f>
        <v>C8HF15O2</v>
      </c>
      <c r="K292" s="25">
        <f>'PFAS Properties'!$P$33</f>
        <v>413.97359999999998</v>
      </c>
      <c r="L292" s="2">
        <f>'PFAS Properties'!$X$33</f>
        <v>-0.2</v>
      </c>
      <c r="M292" s="2" t="str">
        <f>'PFAS Properties'!$Y$33</f>
        <v>-</v>
      </c>
      <c r="N292" s="33">
        <v>0</v>
      </c>
      <c r="O292" s="33">
        <v>0</v>
      </c>
      <c r="P292" s="33">
        <v>0</v>
      </c>
      <c r="Q292" s="33">
        <f t="shared" si="161"/>
        <v>0.99999998741074603</v>
      </c>
      <c r="R292" s="33">
        <v>0</v>
      </c>
      <c r="S292" s="33">
        <f t="shared" si="162"/>
        <v>1.258925395945232E-8</v>
      </c>
      <c r="T292" s="8">
        <f t="shared" si="163"/>
        <v>1</v>
      </c>
      <c r="U292" s="33">
        <f t="shared" si="164"/>
        <v>0</v>
      </c>
      <c r="V292" s="33">
        <f t="shared" si="165"/>
        <v>-0.99999998741074603</v>
      </c>
      <c r="W292" s="33">
        <f t="shared" si="166"/>
        <v>412.9736000125892</v>
      </c>
      <c r="X292" s="33">
        <v>96485</v>
      </c>
      <c r="Y292" s="16">
        <f t="shared" si="167"/>
        <v>-233.63478629719808</v>
      </c>
      <c r="Z292" s="16">
        <v>8</v>
      </c>
      <c r="AA292" s="16">
        <v>15</v>
      </c>
      <c r="AB292" s="8">
        <f t="shared" si="168"/>
        <v>0.33684210526315789</v>
      </c>
      <c r="AC292" s="16">
        <f t="shared" si="160"/>
        <v>68.844969824162703</v>
      </c>
      <c r="AD292" s="20">
        <f>'PFAS Properties'!$W$33</f>
        <v>7</v>
      </c>
      <c r="AE292" s="8">
        <f>'PFAS Properties'!$S$33</f>
        <v>2.6821450763738319</v>
      </c>
      <c r="AF292" s="15">
        <f>'PFAS Properties'!$V$33</f>
        <v>4.9000000000000004</v>
      </c>
      <c r="AG292" s="24">
        <v>7.7</v>
      </c>
      <c r="AH292" s="2" t="s">
        <v>122</v>
      </c>
      <c r="AI292" s="2" t="s">
        <v>661</v>
      </c>
      <c r="AJ292" s="2" t="s">
        <v>661</v>
      </c>
      <c r="AK292" s="2" t="s">
        <v>661</v>
      </c>
      <c r="AL292" s="2" t="s">
        <v>661</v>
      </c>
      <c r="AM292" s="2" t="s">
        <v>661</v>
      </c>
      <c r="AN292" s="2" t="s">
        <v>661</v>
      </c>
      <c r="AO292" s="2" t="s">
        <v>661</v>
      </c>
      <c r="AP292" s="15">
        <v>9.1999999999999993</v>
      </c>
      <c r="AQ292" s="2" t="s">
        <v>661</v>
      </c>
      <c r="AR292" s="16">
        <v>78</v>
      </c>
      <c r="AS292" s="16">
        <v>2</v>
      </c>
      <c r="AT292" s="16">
        <v>20</v>
      </c>
      <c r="AU292" s="2" t="s">
        <v>661</v>
      </c>
      <c r="AV292" s="16">
        <f t="shared" si="150"/>
        <v>100</v>
      </c>
      <c r="AW292" s="18">
        <v>0.1</v>
      </c>
      <c r="AX292" s="13">
        <f t="shared" si="171"/>
        <v>1E-3</v>
      </c>
      <c r="AY292" s="13" t="s">
        <v>123</v>
      </c>
      <c r="AZ292" s="16">
        <f t="shared" si="170"/>
        <v>100</v>
      </c>
      <c r="BA292" s="16" t="s">
        <v>55</v>
      </c>
      <c r="BB292" s="15">
        <v>2.2999999999999998</v>
      </c>
      <c r="BC292" s="16" t="s">
        <v>55</v>
      </c>
      <c r="BD292" s="18">
        <v>2.6</v>
      </c>
      <c r="BE292" s="15">
        <f t="shared" si="151"/>
        <v>2600</v>
      </c>
      <c r="BF292" s="8">
        <f t="shared" si="169"/>
        <v>3.4149733479708178</v>
      </c>
      <c r="BG292" s="8">
        <f t="shared" si="152"/>
        <v>0.41497334797081797</v>
      </c>
      <c r="BH292" s="13" t="s">
        <v>841</v>
      </c>
      <c r="BI292" s="13"/>
      <c r="BJ292" s="13"/>
      <c r="BK292" s="8"/>
      <c r="BL292" s="8"/>
      <c r="BM292" s="18"/>
      <c r="BN292" s="8"/>
      <c r="BO292" s="24"/>
    </row>
    <row r="293" spans="1:67" s="14" customFormat="1" x14ac:dyDescent="0.3">
      <c r="A293" s="20">
        <v>291</v>
      </c>
      <c r="B293" s="2" t="s">
        <v>241</v>
      </c>
      <c r="C293" s="2">
        <v>2019</v>
      </c>
      <c r="D293" s="2" t="s">
        <v>201</v>
      </c>
      <c r="E293" s="10" t="s">
        <v>800</v>
      </c>
      <c r="F293" s="20" t="s">
        <v>29</v>
      </c>
      <c r="G293" s="2">
        <v>39</v>
      </c>
      <c r="H293" s="2" t="str">
        <f>'PFAS Properties'!$B$33</f>
        <v>PFOA</v>
      </c>
      <c r="I293" s="2" t="str">
        <f>'PFAS Properties'!$C$33</f>
        <v>PFCA</v>
      </c>
      <c r="J293" s="2" t="str">
        <f>'PFAS Properties'!$D$33</f>
        <v>C8HF15O2</v>
      </c>
      <c r="K293" s="25">
        <f>'PFAS Properties'!$P$33</f>
        <v>413.97359999999998</v>
      </c>
      <c r="L293" s="2">
        <f>'PFAS Properties'!$X$33</f>
        <v>-0.2</v>
      </c>
      <c r="M293" s="2" t="str">
        <f>'PFAS Properties'!$Y$33</f>
        <v>-</v>
      </c>
      <c r="N293" s="33">
        <v>0</v>
      </c>
      <c r="O293" s="33">
        <v>0</v>
      </c>
      <c r="P293" s="33">
        <v>0</v>
      </c>
      <c r="Q293" s="33">
        <f t="shared" si="161"/>
        <v>0.99999992056718279</v>
      </c>
      <c r="R293" s="33">
        <v>0</v>
      </c>
      <c r="S293" s="33">
        <f t="shared" si="162"/>
        <v>7.9432817162854954E-8</v>
      </c>
      <c r="T293" s="8">
        <f t="shared" si="163"/>
        <v>1</v>
      </c>
      <c r="U293" s="33">
        <f t="shared" si="164"/>
        <v>0</v>
      </c>
      <c r="V293" s="33">
        <f t="shared" si="165"/>
        <v>-0.99999992056718279</v>
      </c>
      <c r="W293" s="33">
        <f t="shared" si="166"/>
        <v>412.97360007943274</v>
      </c>
      <c r="X293" s="33">
        <v>96485</v>
      </c>
      <c r="Y293" s="16">
        <f t="shared" si="167"/>
        <v>-233.63477064240035</v>
      </c>
      <c r="Z293" s="16">
        <v>8</v>
      </c>
      <c r="AA293" s="16">
        <v>15</v>
      </c>
      <c r="AB293" s="8">
        <f t="shared" si="168"/>
        <v>0.33684210526315789</v>
      </c>
      <c r="AC293" s="16">
        <f t="shared" si="160"/>
        <v>68.844969824162703</v>
      </c>
      <c r="AD293" s="20">
        <f>'PFAS Properties'!$W$33</f>
        <v>7</v>
      </c>
      <c r="AE293" s="8">
        <f>'PFAS Properties'!$S$33</f>
        <v>2.6821450763738319</v>
      </c>
      <c r="AF293" s="15">
        <f>'PFAS Properties'!$V$33</f>
        <v>4.9000000000000004</v>
      </c>
      <c r="AG293" s="24">
        <v>6.9</v>
      </c>
      <c r="AH293" s="2" t="s">
        <v>122</v>
      </c>
      <c r="AI293" s="2" t="s">
        <v>661</v>
      </c>
      <c r="AJ293" s="2" t="s">
        <v>661</v>
      </c>
      <c r="AK293" s="2" t="s">
        <v>661</v>
      </c>
      <c r="AL293" s="2" t="s">
        <v>661</v>
      </c>
      <c r="AM293" s="2" t="s">
        <v>661</v>
      </c>
      <c r="AN293" s="2" t="s">
        <v>661</v>
      </c>
      <c r="AO293" s="2" t="s">
        <v>661</v>
      </c>
      <c r="AP293" s="15">
        <v>2.2999999999999998</v>
      </c>
      <c r="AQ293" s="2" t="s">
        <v>661</v>
      </c>
      <c r="AR293" s="16">
        <v>93</v>
      </c>
      <c r="AS293" s="16">
        <v>2</v>
      </c>
      <c r="AT293" s="16">
        <v>5</v>
      </c>
      <c r="AU293" s="2" t="s">
        <v>661</v>
      </c>
      <c r="AV293" s="16">
        <f t="shared" si="150"/>
        <v>100</v>
      </c>
      <c r="AW293" s="18">
        <v>0.3</v>
      </c>
      <c r="AX293" s="13">
        <f t="shared" si="171"/>
        <v>3.0000000000000001E-3</v>
      </c>
      <c r="AY293" s="13" t="s">
        <v>123</v>
      </c>
      <c r="AZ293" s="16">
        <f t="shared" si="170"/>
        <v>100</v>
      </c>
      <c r="BA293" s="16" t="s">
        <v>55</v>
      </c>
      <c r="BB293" s="15">
        <v>2.2999999999999998</v>
      </c>
      <c r="BC293" s="16" t="s">
        <v>55</v>
      </c>
      <c r="BD293" s="18">
        <v>5.3</v>
      </c>
      <c r="BE293" s="15">
        <f t="shared" si="151"/>
        <v>1766.6666666666665</v>
      </c>
      <c r="BF293" s="8">
        <f t="shared" si="169"/>
        <v>3.2471546148811266</v>
      </c>
      <c r="BG293" s="8">
        <f t="shared" si="152"/>
        <v>0.72427586960078905</v>
      </c>
      <c r="BH293" s="13" t="s">
        <v>841</v>
      </c>
      <c r="BI293" s="13"/>
      <c r="BJ293" s="13"/>
      <c r="BK293" s="8"/>
      <c r="BL293" s="8"/>
      <c r="BM293" s="18"/>
      <c r="BN293" s="8"/>
      <c r="BO293" s="24"/>
    </row>
    <row r="294" spans="1:67" s="14" customFormat="1" x14ac:dyDescent="0.3">
      <c r="A294" s="20">
        <v>292</v>
      </c>
      <c r="B294" s="2" t="s">
        <v>241</v>
      </c>
      <c r="C294" s="2">
        <v>2019</v>
      </c>
      <c r="D294" s="2" t="s">
        <v>201</v>
      </c>
      <c r="E294" s="10" t="s">
        <v>800</v>
      </c>
      <c r="F294" s="20" t="s">
        <v>29</v>
      </c>
      <c r="G294" s="2">
        <v>40</v>
      </c>
      <c r="H294" s="2" t="str">
        <f>'PFAS Properties'!$B$33</f>
        <v>PFOA</v>
      </c>
      <c r="I294" s="2" t="str">
        <f>'PFAS Properties'!$C$33</f>
        <v>PFCA</v>
      </c>
      <c r="J294" s="2" t="str">
        <f>'PFAS Properties'!$D$33</f>
        <v>C8HF15O2</v>
      </c>
      <c r="K294" s="25">
        <f>'PFAS Properties'!$P$33</f>
        <v>413.97359999999998</v>
      </c>
      <c r="L294" s="2">
        <f>'PFAS Properties'!$X$33</f>
        <v>-0.2</v>
      </c>
      <c r="M294" s="2" t="str">
        <f>'PFAS Properties'!$Y$33</f>
        <v>-</v>
      </c>
      <c r="N294" s="33">
        <v>0</v>
      </c>
      <c r="O294" s="33">
        <v>0</v>
      </c>
      <c r="P294" s="33">
        <v>0</v>
      </c>
      <c r="Q294" s="33">
        <f t="shared" si="161"/>
        <v>0.99999997488113634</v>
      </c>
      <c r="R294" s="33">
        <v>0</v>
      </c>
      <c r="S294" s="33">
        <f t="shared" si="162"/>
        <v>2.5118863684138424E-8</v>
      </c>
      <c r="T294" s="8">
        <f t="shared" si="163"/>
        <v>1</v>
      </c>
      <c r="U294" s="33">
        <f t="shared" si="164"/>
        <v>0</v>
      </c>
      <c r="V294" s="33">
        <f t="shared" si="165"/>
        <v>-0.99999997488113634</v>
      </c>
      <c r="W294" s="33">
        <f t="shared" si="166"/>
        <v>412.97360002511886</v>
      </c>
      <c r="X294" s="33">
        <v>96485</v>
      </c>
      <c r="Y294" s="16">
        <f t="shared" si="167"/>
        <v>-233.63478336275685</v>
      </c>
      <c r="Z294" s="16">
        <v>8</v>
      </c>
      <c r="AA294" s="16">
        <v>15</v>
      </c>
      <c r="AB294" s="8">
        <f t="shared" si="168"/>
        <v>0.33684210526315789</v>
      </c>
      <c r="AC294" s="16">
        <f t="shared" si="160"/>
        <v>68.844969824162703</v>
      </c>
      <c r="AD294" s="20">
        <f>'PFAS Properties'!$W$33</f>
        <v>7</v>
      </c>
      <c r="AE294" s="8">
        <f>'PFAS Properties'!$S$33</f>
        <v>2.6821450763738319</v>
      </c>
      <c r="AF294" s="15">
        <f>'PFAS Properties'!$V$33</f>
        <v>4.9000000000000004</v>
      </c>
      <c r="AG294" s="24">
        <v>7.4</v>
      </c>
      <c r="AH294" s="2" t="s">
        <v>122</v>
      </c>
      <c r="AI294" s="2" t="s">
        <v>661</v>
      </c>
      <c r="AJ294" s="2" t="s">
        <v>661</v>
      </c>
      <c r="AK294" s="2" t="s">
        <v>661</v>
      </c>
      <c r="AL294" s="2" t="s">
        <v>661</v>
      </c>
      <c r="AM294" s="2" t="s">
        <v>661</v>
      </c>
      <c r="AN294" s="2" t="s">
        <v>661</v>
      </c>
      <c r="AO294" s="2" t="s">
        <v>661</v>
      </c>
      <c r="AP294" s="15">
        <v>6</v>
      </c>
      <c r="AQ294" s="2" t="s">
        <v>661</v>
      </c>
      <c r="AR294" s="16">
        <v>87</v>
      </c>
      <c r="AS294" s="16">
        <v>1</v>
      </c>
      <c r="AT294" s="16">
        <v>12</v>
      </c>
      <c r="AU294" s="2" t="s">
        <v>661</v>
      </c>
      <c r="AV294" s="16">
        <f t="shared" si="150"/>
        <v>100</v>
      </c>
      <c r="AW294" s="18">
        <v>0.1</v>
      </c>
      <c r="AX294" s="13">
        <f t="shared" si="171"/>
        <v>1E-3</v>
      </c>
      <c r="AY294" s="13" t="s">
        <v>123</v>
      </c>
      <c r="AZ294" s="16">
        <f t="shared" si="170"/>
        <v>100</v>
      </c>
      <c r="BA294" s="16" t="s">
        <v>55</v>
      </c>
      <c r="BB294" s="15">
        <v>2.2999999999999998</v>
      </c>
      <c r="BC294" s="16" t="s">
        <v>55</v>
      </c>
      <c r="BD294" s="18">
        <v>1.6</v>
      </c>
      <c r="BE294" s="15">
        <f t="shared" si="151"/>
        <v>1600</v>
      </c>
      <c r="BF294" s="8">
        <f t="shared" si="169"/>
        <v>3.2041199826559246</v>
      </c>
      <c r="BG294" s="8">
        <f t="shared" si="152"/>
        <v>0.20411998265592479</v>
      </c>
      <c r="BH294" s="13" t="s">
        <v>841</v>
      </c>
      <c r="BI294" s="13"/>
      <c r="BJ294" s="13"/>
      <c r="BK294" s="8"/>
      <c r="BL294" s="8"/>
      <c r="BM294" s="18"/>
      <c r="BN294" s="8"/>
      <c r="BO294" s="24"/>
    </row>
    <row r="295" spans="1:67" s="14" customFormat="1" x14ac:dyDescent="0.3">
      <c r="A295" s="20">
        <v>293</v>
      </c>
      <c r="B295" s="2" t="s">
        <v>241</v>
      </c>
      <c r="C295" s="2">
        <v>2019</v>
      </c>
      <c r="D295" s="2" t="s">
        <v>201</v>
      </c>
      <c r="E295" s="10" t="s">
        <v>800</v>
      </c>
      <c r="F295" s="20" t="s">
        <v>29</v>
      </c>
      <c r="G295" s="2">
        <v>41</v>
      </c>
      <c r="H295" s="2" t="str">
        <f>'PFAS Properties'!$B$33</f>
        <v>PFOA</v>
      </c>
      <c r="I295" s="2" t="str">
        <f>'PFAS Properties'!$C$33</f>
        <v>PFCA</v>
      </c>
      <c r="J295" s="2" t="str">
        <f>'PFAS Properties'!$D$33</f>
        <v>C8HF15O2</v>
      </c>
      <c r="K295" s="25">
        <f>'PFAS Properties'!$P$33</f>
        <v>413.97359999999998</v>
      </c>
      <c r="L295" s="2">
        <f>'PFAS Properties'!$X$33</f>
        <v>-0.2</v>
      </c>
      <c r="M295" s="2" t="str">
        <f>'PFAS Properties'!$Y$33</f>
        <v>-</v>
      </c>
      <c r="N295" s="33">
        <v>0</v>
      </c>
      <c r="O295" s="33">
        <v>0</v>
      </c>
      <c r="P295" s="33">
        <v>0</v>
      </c>
      <c r="Q295" s="33">
        <f t="shared" si="161"/>
        <v>0.99999993690426958</v>
      </c>
      <c r="R295" s="33">
        <v>0</v>
      </c>
      <c r="S295" s="33">
        <f t="shared" si="162"/>
        <v>6.3095730466947729E-8</v>
      </c>
      <c r="T295" s="8">
        <f t="shared" si="163"/>
        <v>1</v>
      </c>
      <c r="U295" s="33">
        <f t="shared" si="164"/>
        <v>0</v>
      </c>
      <c r="V295" s="33">
        <f t="shared" si="165"/>
        <v>-0.99999993690426958</v>
      </c>
      <c r="W295" s="33">
        <f t="shared" si="166"/>
        <v>412.97360006309572</v>
      </c>
      <c r="X295" s="33">
        <v>96485</v>
      </c>
      <c r="Y295" s="16">
        <f t="shared" si="167"/>
        <v>-233.63477446855464</v>
      </c>
      <c r="Z295" s="16">
        <v>8</v>
      </c>
      <c r="AA295" s="16">
        <v>15</v>
      </c>
      <c r="AB295" s="8">
        <f t="shared" si="168"/>
        <v>0.33684210526315789</v>
      </c>
      <c r="AC295" s="16">
        <f t="shared" si="160"/>
        <v>68.844969824162703</v>
      </c>
      <c r="AD295" s="20">
        <f>'PFAS Properties'!$W$33</f>
        <v>7</v>
      </c>
      <c r="AE295" s="8">
        <f>'PFAS Properties'!$S$33</f>
        <v>2.6821450763738319</v>
      </c>
      <c r="AF295" s="15">
        <f>'PFAS Properties'!$V$33</f>
        <v>4.9000000000000004</v>
      </c>
      <c r="AG295" s="24">
        <v>7</v>
      </c>
      <c r="AH295" s="2" t="s">
        <v>122</v>
      </c>
      <c r="AI295" s="2" t="s">
        <v>661</v>
      </c>
      <c r="AJ295" s="2" t="s">
        <v>661</v>
      </c>
      <c r="AK295" s="2" t="s">
        <v>661</v>
      </c>
      <c r="AL295" s="2" t="s">
        <v>661</v>
      </c>
      <c r="AM295" s="2" t="s">
        <v>661</v>
      </c>
      <c r="AN295" s="2" t="s">
        <v>661</v>
      </c>
      <c r="AO295" s="2" t="s">
        <v>661</v>
      </c>
      <c r="AP295" s="15">
        <v>29.3</v>
      </c>
      <c r="AQ295" s="2" t="s">
        <v>661</v>
      </c>
      <c r="AR295" s="16">
        <v>62</v>
      </c>
      <c r="AS295" s="16">
        <v>8.9000000000000057</v>
      </c>
      <c r="AT295" s="16">
        <v>29.1</v>
      </c>
      <c r="AU295" s="2" t="s">
        <v>661</v>
      </c>
      <c r="AV295" s="16">
        <f t="shared" si="150"/>
        <v>100</v>
      </c>
      <c r="AW295" s="18">
        <v>1.7</v>
      </c>
      <c r="AX295" s="13">
        <f t="shared" si="171"/>
        <v>1.7000000000000001E-2</v>
      </c>
      <c r="AY295" s="13" t="s">
        <v>123</v>
      </c>
      <c r="AZ295" s="16">
        <f t="shared" si="170"/>
        <v>100</v>
      </c>
      <c r="BA295" s="16" t="s">
        <v>55</v>
      </c>
      <c r="BB295" s="15">
        <v>2.2999999999999998</v>
      </c>
      <c r="BC295" s="16" t="s">
        <v>55</v>
      </c>
      <c r="BD295" s="18">
        <v>8.8000000000000007</v>
      </c>
      <c r="BE295" s="15">
        <f t="shared" si="151"/>
        <v>517.64705882352939</v>
      </c>
      <c r="BF295" s="8">
        <f t="shared" si="169"/>
        <v>2.7140337507718946</v>
      </c>
      <c r="BG295" s="8">
        <f t="shared" si="152"/>
        <v>0.94448267215016868</v>
      </c>
      <c r="BH295" s="13" t="s">
        <v>841</v>
      </c>
      <c r="BI295" s="13"/>
      <c r="BJ295" s="13"/>
      <c r="BK295" s="8"/>
      <c r="BL295" s="8"/>
      <c r="BM295" s="18"/>
      <c r="BN295" s="8"/>
      <c r="BO295" s="24"/>
    </row>
    <row r="296" spans="1:67" s="14" customFormat="1" x14ac:dyDescent="0.3">
      <c r="A296" s="20">
        <v>294</v>
      </c>
      <c r="B296" s="2" t="s">
        <v>241</v>
      </c>
      <c r="C296" s="2">
        <v>2019</v>
      </c>
      <c r="D296" s="2" t="s">
        <v>201</v>
      </c>
      <c r="E296" s="10" t="s">
        <v>800</v>
      </c>
      <c r="F296" s="20" t="s">
        <v>29</v>
      </c>
      <c r="G296" s="2">
        <v>42</v>
      </c>
      <c r="H296" s="2" t="str">
        <f>'PFAS Properties'!$B$33</f>
        <v>PFOA</v>
      </c>
      <c r="I296" s="2" t="str">
        <f>'PFAS Properties'!$C$33</f>
        <v>PFCA</v>
      </c>
      <c r="J296" s="2" t="str">
        <f>'PFAS Properties'!$D$33</f>
        <v>C8HF15O2</v>
      </c>
      <c r="K296" s="25">
        <f>'PFAS Properties'!$P$33</f>
        <v>413.97359999999998</v>
      </c>
      <c r="L296" s="2">
        <f>'PFAS Properties'!$X$33</f>
        <v>-0.2</v>
      </c>
      <c r="M296" s="2" t="str">
        <f>'PFAS Properties'!$Y$33</f>
        <v>-</v>
      </c>
      <c r="N296" s="33">
        <v>0</v>
      </c>
      <c r="O296" s="33">
        <v>0</v>
      </c>
      <c r="P296" s="33">
        <v>0</v>
      </c>
      <c r="Q296" s="33">
        <f t="shared" si="161"/>
        <v>0.99999999498812764</v>
      </c>
      <c r="R296" s="33">
        <v>0</v>
      </c>
      <c r="S296" s="33">
        <f t="shared" si="162"/>
        <v>5.0118723111538642E-9</v>
      </c>
      <c r="T296" s="8">
        <f t="shared" si="163"/>
        <v>1</v>
      </c>
      <c r="U296" s="33">
        <f t="shared" si="164"/>
        <v>0</v>
      </c>
      <c r="V296" s="33">
        <f t="shared" si="165"/>
        <v>-0.99999999498812764</v>
      </c>
      <c r="W296" s="33">
        <f t="shared" si="166"/>
        <v>412.9736000050118</v>
      </c>
      <c r="X296" s="33">
        <v>96485</v>
      </c>
      <c r="Y296" s="16">
        <f t="shared" si="167"/>
        <v>-233.63478807182486</v>
      </c>
      <c r="Z296" s="16">
        <v>8</v>
      </c>
      <c r="AA296" s="16">
        <v>15</v>
      </c>
      <c r="AB296" s="8">
        <f t="shared" si="168"/>
        <v>0.33684210526315789</v>
      </c>
      <c r="AC296" s="16">
        <f t="shared" si="160"/>
        <v>68.844969824162703</v>
      </c>
      <c r="AD296" s="20">
        <f>'PFAS Properties'!$W$33</f>
        <v>7</v>
      </c>
      <c r="AE296" s="8">
        <f>'PFAS Properties'!$S$33</f>
        <v>2.6821450763738319</v>
      </c>
      <c r="AF296" s="15">
        <f>'PFAS Properties'!$V$33</f>
        <v>4.9000000000000004</v>
      </c>
      <c r="AG296" s="24">
        <v>8.1</v>
      </c>
      <c r="AH296" s="2" t="s">
        <v>122</v>
      </c>
      <c r="AI296" s="2" t="s">
        <v>661</v>
      </c>
      <c r="AJ296" s="2" t="s">
        <v>661</v>
      </c>
      <c r="AK296" s="2" t="s">
        <v>661</v>
      </c>
      <c r="AL296" s="2" t="s">
        <v>661</v>
      </c>
      <c r="AM296" s="2" t="s">
        <v>661</v>
      </c>
      <c r="AN296" s="2" t="s">
        <v>661</v>
      </c>
      <c r="AO296" s="2" t="s">
        <v>661</v>
      </c>
      <c r="AP296" s="15">
        <v>27.4</v>
      </c>
      <c r="AQ296" s="2" t="s">
        <v>661</v>
      </c>
      <c r="AR296" s="16">
        <v>60.3</v>
      </c>
      <c r="AS296" s="16">
        <v>9.1000000000000085</v>
      </c>
      <c r="AT296" s="16">
        <v>30.6</v>
      </c>
      <c r="AU296" s="2" t="s">
        <v>661</v>
      </c>
      <c r="AV296" s="16">
        <f t="shared" si="150"/>
        <v>100</v>
      </c>
      <c r="AW296" s="18">
        <v>0.1</v>
      </c>
      <c r="AX296" s="13">
        <f t="shared" si="171"/>
        <v>1E-3</v>
      </c>
      <c r="AY296" s="13" t="s">
        <v>123</v>
      </c>
      <c r="AZ296" s="16">
        <f t="shared" si="170"/>
        <v>100</v>
      </c>
      <c r="BA296" s="16" t="s">
        <v>55</v>
      </c>
      <c r="BB296" s="15">
        <v>2.2999999999999998</v>
      </c>
      <c r="BC296" s="16" t="s">
        <v>55</v>
      </c>
      <c r="BD296" s="18">
        <v>1.6</v>
      </c>
      <c r="BE296" s="15">
        <f t="shared" si="151"/>
        <v>1600</v>
      </c>
      <c r="BF296" s="8">
        <f t="shared" si="169"/>
        <v>3.2041199826559246</v>
      </c>
      <c r="BG296" s="8">
        <f t="shared" si="152"/>
        <v>0.20411998265592479</v>
      </c>
      <c r="BH296" s="13" t="s">
        <v>841</v>
      </c>
      <c r="BI296" s="13"/>
      <c r="BJ296" s="13"/>
      <c r="BK296" s="8"/>
      <c r="BL296" s="8"/>
      <c r="BM296" s="18"/>
      <c r="BN296" s="8"/>
      <c r="BO296" s="24"/>
    </row>
    <row r="297" spans="1:67" s="14" customFormat="1" x14ac:dyDescent="0.3">
      <c r="A297" s="20">
        <v>295</v>
      </c>
      <c r="B297" s="2" t="s">
        <v>241</v>
      </c>
      <c r="C297" s="2">
        <v>2019</v>
      </c>
      <c r="D297" s="2" t="s">
        <v>201</v>
      </c>
      <c r="E297" s="10" t="s">
        <v>800</v>
      </c>
      <c r="F297" s="20" t="s">
        <v>29</v>
      </c>
      <c r="G297" s="2">
        <v>43</v>
      </c>
      <c r="H297" s="2" t="str">
        <f>'PFAS Properties'!$B$33</f>
        <v>PFOA</v>
      </c>
      <c r="I297" s="2" t="str">
        <f>'PFAS Properties'!$C$33</f>
        <v>PFCA</v>
      </c>
      <c r="J297" s="2" t="str">
        <f>'PFAS Properties'!$D$33</f>
        <v>C8HF15O2</v>
      </c>
      <c r="K297" s="25">
        <f>'PFAS Properties'!$P$33</f>
        <v>413.97359999999998</v>
      </c>
      <c r="L297" s="2">
        <f>'PFAS Properties'!$X$33</f>
        <v>-0.2</v>
      </c>
      <c r="M297" s="2" t="str">
        <f>'PFAS Properties'!$Y$33</f>
        <v>-</v>
      </c>
      <c r="N297" s="33">
        <v>0</v>
      </c>
      <c r="O297" s="33">
        <v>0</v>
      </c>
      <c r="P297" s="33">
        <v>0</v>
      </c>
      <c r="Q297" s="33">
        <f t="shared" si="161"/>
        <v>0.99999998415106828</v>
      </c>
      <c r="R297" s="33">
        <v>0</v>
      </c>
      <c r="S297" s="33">
        <f t="shared" si="162"/>
        <v>1.5848931673422493E-8</v>
      </c>
      <c r="T297" s="8">
        <f t="shared" si="163"/>
        <v>1</v>
      </c>
      <c r="U297" s="33">
        <f t="shared" si="164"/>
        <v>0</v>
      </c>
      <c r="V297" s="33">
        <f t="shared" si="165"/>
        <v>-0.99999998415106828</v>
      </c>
      <c r="W297" s="33">
        <f t="shared" si="166"/>
        <v>412.97360001584889</v>
      </c>
      <c r="X297" s="33">
        <v>96485</v>
      </c>
      <c r="Y297" s="16">
        <f t="shared" si="167"/>
        <v>-233.63478553377979</v>
      </c>
      <c r="Z297" s="16">
        <v>8</v>
      </c>
      <c r="AA297" s="16">
        <v>15</v>
      </c>
      <c r="AB297" s="8">
        <f t="shared" si="168"/>
        <v>0.33684210526315789</v>
      </c>
      <c r="AC297" s="16">
        <f t="shared" si="160"/>
        <v>68.844969824162703</v>
      </c>
      <c r="AD297" s="20">
        <f>'PFAS Properties'!$W$33</f>
        <v>7</v>
      </c>
      <c r="AE297" s="8">
        <f>'PFAS Properties'!$S$33</f>
        <v>2.6821450763738319</v>
      </c>
      <c r="AF297" s="15">
        <f>'PFAS Properties'!$V$33</f>
        <v>4.9000000000000004</v>
      </c>
      <c r="AG297" s="24">
        <v>7.6</v>
      </c>
      <c r="AH297" s="2" t="s">
        <v>122</v>
      </c>
      <c r="AI297" s="2" t="s">
        <v>661</v>
      </c>
      <c r="AJ297" s="2" t="s">
        <v>661</v>
      </c>
      <c r="AK297" s="2" t="s">
        <v>661</v>
      </c>
      <c r="AL297" s="2" t="s">
        <v>661</v>
      </c>
      <c r="AM297" s="2" t="s">
        <v>661</v>
      </c>
      <c r="AN297" s="2" t="s">
        <v>661</v>
      </c>
      <c r="AO297" s="2" t="s">
        <v>661</v>
      </c>
      <c r="AP297" s="15">
        <v>22.1</v>
      </c>
      <c r="AQ297" s="2" t="s">
        <v>661</v>
      </c>
      <c r="AR297" s="16">
        <v>49.2</v>
      </c>
      <c r="AS297" s="16">
        <v>12.399999999999999</v>
      </c>
      <c r="AT297" s="16">
        <v>38.4</v>
      </c>
      <c r="AU297" s="2" t="s">
        <v>661</v>
      </c>
      <c r="AV297" s="16">
        <f t="shared" si="150"/>
        <v>100</v>
      </c>
      <c r="AW297" s="18">
        <v>1</v>
      </c>
      <c r="AX297" s="13">
        <f t="shared" si="171"/>
        <v>0.01</v>
      </c>
      <c r="AY297" s="13" t="s">
        <v>123</v>
      </c>
      <c r="AZ297" s="16">
        <f t="shared" si="170"/>
        <v>100</v>
      </c>
      <c r="BA297" s="16" t="s">
        <v>55</v>
      </c>
      <c r="BB297" s="15">
        <v>2.2999999999999998</v>
      </c>
      <c r="BC297" s="16" t="s">
        <v>55</v>
      </c>
      <c r="BD297" s="18">
        <v>8</v>
      </c>
      <c r="BE297" s="15">
        <f t="shared" si="151"/>
        <v>800</v>
      </c>
      <c r="BF297" s="8">
        <f t="shared" si="169"/>
        <v>2.9030899869919438</v>
      </c>
      <c r="BG297" s="8">
        <f t="shared" si="152"/>
        <v>0.90308998699194354</v>
      </c>
      <c r="BH297" s="13" t="s">
        <v>841</v>
      </c>
      <c r="BI297" s="13"/>
      <c r="BJ297" s="13"/>
      <c r="BK297" s="8"/>
      <c r="BL297" s="8"/>
      <c r="BM297" s="18"/>
      <c r="BN297" s="8"/>
      <c r="BO297" s="24"/>
    </row>
    <row r="298" spans="1:67" s="14" customFormat="1" x14ac:dyDescent="0.3">
      <c r="A298" s="20">
        <v>296</v>
      </c>
      <c r="B298" s="2" t="s">
        <v>241</v>
      </c>
      <c r="C298" s="2">
        <v>2019</v>
      </c>
      <c r="D298" s="2" t="s">
        <v>201</v>
      </c>
      <c r="E298" s="10" t="s">
        <v>800</v>
      </c>
      <c r="F298" s="20" t="s">
        <v>29</v>
      </c>
      <c r="G298" s="2">
        <v>44</v>
      </c>
      <c r="H298" s="2" t="str">
        <f>'PFAS Properties'!$B$33</f>
        <v>PFOA</v>
      </c>
      <c r="I298" s="2" t="str">
        <f>'PFAS Properties'!$C$33</f>
        <v>PFCA</v>
      </c>
      <c r="J298" s="2" t="str">
        <f>'PFAS Properties'!$D$33</f>
        <v>C8HF15O2</v>
      </c>
      <c r="K298" s="25">
        <f>'PFAS Properties'!$P$33</f>
        <v>413.97359999999998</v>
      </c>
      <c r="L298" s="2">
        <f>'PFAS Properties'!$X$33</f>
        <v>-0.2</v>
      </c>
      <c r="M298" s="2" t="str">
        <f>'PFAS Properties'!$Y$33</f>
        <v>-</v>
      </c>
      <c r="N298" s="33">
        <v>0</v>
      </c>
      <c r="O298" s="33">
        <v>0</v>
      </c>
      <c r="P298" s="33">
        <v>0</v>
      </c>
      <c r="Q298" s="33">
        <f t="shared" si="161"/>
        <v>0.99999999841510678</v>
      </c>
      <c r="R298" s="33">
        <v>0</v>
      </c>
      <c r="S298" s="33">
        <f t="shared" si="162"/>
        <v>1.5848931899492252E-9</v>
      </c>
      <c r="T298" s="8">
        <f t="shared" si="163"/>
        <v>1</v>
      </c>
      <c r="U298" s="33">
        <f t="shared" si="164"/>
        <v>0</v>
      </c>
      <c r="V298" s="33">
        <f t="shared" si="165"/>
        <v>-0.99999999841510678</v>
      </c>
      <c r="W298" s="33">
        <f t="shared" si="166"/>
        <v>412.97360000158488</v>
      </c>
      <c r="X298" s="33">
        <v>96485</v>
      </c>
      <c r="Y298" s="16">
        <f t="shared" si="167"/>
        <v>-233.63478887442511</v>
      </c>
      <c r="Z298" s="16">
        <v>8</v>
      </c>
      <c r="AA298" s="16">
        <v>15</v>
      </c>
      <c r="AB298" s="8">
        <f t="shared" si="168"/>
        <v>0.33684210526315789</v>
      </c>
      <c r="AC298" s="16">
        <f t="shared" si="160"/>
        <v>68.844969824162703</v>
      </c>
      <c r="AD298" s="20">
        <f>'PFAS Properties'!$W$33</f>
        <v>7</v>
      </c>
      <c r="AE298" s="8">
        <f>'PFAS Properties'!$S$33</f>
        <v>2.6821450763738319</v>
      </c>
      <c r="AF298" s="15">
        <f>'PFAS Properties'!$V$33</f>
        <v>4.9000000000000004</v>
      </c>
      <c r="AG298" s="24">
        <v>8.6</v>
      </c>
      <c r="AH298" s="2" t="s">
        <v>122</v>
      </c>
      <c r="AI298" s="2" t="s">
        <v>661</v>
      </c>
      <c r="AJ298" s="2" t="s">
        <v>661</v>
      </c>
      <c r="AK298" s="2" t="s">
        <v>661</v>
      </c>
      <c r="AL298" s="2" t="s">
        <v>661</v>
      </c>
      <c r="AM298" s="2" t="s">
        <v>661</v>
      </c>
      <c r="AN298" s="2" t="s">
        <v>661</v>
      </c>
      <c r="AO298" s="2" t="s">
        <v>661</v>
      </c>
      <c r="AP298" s="15">
        <v>23.5</v>
      </c>
      <c r="AQ298" s="2" t="s">
        <v>661</v>
      </c>
      <c r="AR298" s="16">
        <v>36.700000000000003</v>
      </c>
      <c r="AS298" s="16">
        <v>7.5</v>
      </c>
      <c r="AT298" s="16">
        <v>55.8</v>
      </c>
      <c r="AU298" s="2" t="s">
        <v>661</v>
      </c>
      <c r="AV298" s="16">
        <f t="shared" si="150"/>
        <v>100</v>
      </c>
      <c r="AW298" s="18">
        <v>0.2</v>
      </c>
      <c r="AX298" s="13">
        <f t="shared" si="171"/>
        <v>2E-3</v>
      </c>
      <c r="AY298" s="13" t="s">
        <v>123</v>
      </c>
      <c r="AZ298" s="16">
        <f t="shared" si="170"/>
        <v>100</v>
      </c>
      <c r="BA298" s="16" t="s">
        <v>55</v>
      </c>
      <c r="BB298" s="15">
        <v>2.2999999999999998</v>
      </c>
      <c r="BC298" s="16" t="s">
        <v>55</v>
      </c>
      <c r="BD298" s="18">
        <v>14.8</v>
      </c>
      <c r="BE298" s="15">
        <f t="shared" si="151"/>
        <v>7400</v>
      </c>
      <c r="BF298" s="8">
        <f t="shared" si="169"/>
        <v>3.8692317197309762</v>
      </c>
      <c r="BG298" s="8">
        <f t="shared" si="152"/>
        <v>1.1702617153949575</v>
      </c>
      <c r="BH298" s="13" t="s">
        <v>841</v>
      </c>
      <c r="BI298" s="13"/>
      <c r="BJ298" s="13"/>
      <c r="BK298" s="8"/>
      <c r="BL298" s="8"/>
      <c r="BM298" s="18"/>
      <c r="BN298" s="8"/>
      <c r="BO298" s="24"/>
    </row>
    <row r="299" spans="1:67" s="14" customFormat="1" x14ac:dyDescent="0.3">
      <c r="A299" s="20">
        <v>297</v>
      </c>
      <c r="B299" s="2" t="s">
        <v>241</v>
      </c>
      <c r="C299" s="2">
        <v>2019</v>
      </c>
      <c r="D299" s="2" t="s">
        <v>201</v>
      </c>
      <c r="E299" s="10" t="s">
        <v>800</v>
      </c>
      <c r="F299" s="20" t="s">
        <v>29</v>
      </c>
      <c r="G299" s="2">
        <v>45</v>
      </c>
      <c r="H299" s="2" t="str">
        <f>'PFAS Properties'!$B$33</f>
        <v>PFOA</v>
      </c>
      <c r="I299" s="2" t="str">
        <f>'PFAS Properties'!$C$33</f>
        <v>PFCA</v>
      </c>
      <c r="J299" s="2" t="str">
        <f>'PFAS Properties'!$D$33</f>
        <v>C8HF15O2</v>
      </c>
      <c r="K299" s="25">
        <f>'PFAS Properties'!$P$33</f>
        <v>413.97359999999998</v>
      </c>
      <c r="L299" s="2">
        <f>'PFAS Properties'!$X$33</f>
        <v>-0.2</v>
      </c>
      <c r="M299" s="2" t="str">
        <f>'PFAS Properties'!$Y$33</f>
        <v>-</v>
      </c>
      <c r="N299" s="33">
        <v>0</v>
      </c>
      <c r="O299" s="33">
        <v>0</v>
      </c>
      <c r="P299" s="33">
        <v>0</v>
      </c>
      <c r="Q299" s="33">
        <f t="shared" si="161"/>
        <v>0.99999999841510678</v>
      </c>
      <c r="R299" s="33">
        <v>0</v>
      </c>
      <c r="S299" s="33">
        <f t="shared" si="162"/>
        <v>1.5848931899492252E-9</v>
      </c>
      <c r="T299" s="8">
        <f t="shared" si="163"/>
        <v>1</v>
      </c>
      <c r="U299" s="33">
        <f t="shared" si="164"/>
        <v>0</v>
      </c>
      <c r="V299" s="33">
        <f t="shared" si="165"/>
        <v>-0.99999999841510678</v>
      </c>
      <c r="W299" s="33">
        <f t="shared" si="166"/>
        <v>412.97360000158488</v>
      </c>
      <c r="X299" s="33">
        <v>96485</v>
      </c>
      <c r="Y299" s="16">
        <f t="shared" si="167"/>
        <v>-233.63478887442511</v>
      </c>
      <c r="Z299" s="16">
        <v>8</v>
      </c>
      <c r="AA299" s="16">
        <v>15</v>
      </c>
      <c r="AB299" s="8">
        <f t="shared" si="168"/>
        <v>0.33684210526315789</v>
      </c>
      <c r="AC299" s="16">
        <f t="shared" si="160"/>
        <v>68.844969824162703</v>
      </c>
      <c r="AD299" s="20">
        <f>'PFAS Properties'!$W$33</f>
        <v>7</v>
      </c>
      <c r="AE299" s="8">
        <f>'PFAS Properties'!$S$33</f>
        <v>2.6821450763738319</v>
      </c>
      <c r="AF299" s="15">
        <f>'PFAS Properties'!$V$33</f>
        <v>4.9000000000000004</v>
      </c>
      <c r="AG299" s="24">
        <v>8.6</v>
      </c>
      <c r="AH299" s="2" t="s">
        <v>122</v>
      </c>
      <c r="AI299" s="2" t="s">
        <v>661</v>
      </c>
      <c r="AJ299" s="2" t="s">
        <v>661</v>
      </c>
      <c r="AK299" s="2" t="s">
        <v>661</v>
      </c>
      <c r="AL299" s="2" t="s">
        <v>661</v>
      </c>
      <c r="AM299" s="2" t="s">
        <v>661</v>
      </c>
      <c r="AN299" s="2" t="s">
        <v>661</v>
      </c>
      <c r="AO299" s="2" t="s">
        <v>661</v>
      </c>
      <c r="AP299" s="15">
        <v>13.7</v>
      </c>
      <c r="AQ299" s="2" t="s">
        <v>661</v>
      </c>
      <c r="AR299" s="16">
        <v>39.799999999999997</v>
      </c>
      <c r="AS299" s="16">
        <v>4.8000000000000043</v>
      </c>
      <c r="AT299" s="16">
        <v>55.4</v>
      </c>
      <c r="AU299" s="2" t="s">
        <v>661</v>
      </c>
      <c r="AV299" s="16">
        <f t="shared" si="150"/>
        <v>100</v>
      </c>
      <c r="AW299" s="18">
        <v>0.2</v>
      </c>
      <c r="AX299" s="13">
        <f t="shared" si="171"/>
        <v>2E-3</v>
      </c>
      <c r="AY299" s="13" t="s">
        <v>123</v>
      </c>
      <c r="AZ299" s="16">
        <f t="shared" si="170"/>
        <v>100</v>
      </c>
      <c r="BA299" s="16" t="s">
        <v>55</v>
      </c>
      <c r="BB299" s="15">
        <v>2.2999999999999998</v>
      </c>
      <c r="BC299" s="16" t="s">
        <v>55</v>
      </c>
      <c r="BD299" s="18">
        <v>5.0999999999999996</v>
      </c>
      <c r="BE299" s="15">
        <f t="shared" si="151"/>
        <v>2549.9999999999995</v>
      </c>
      <c r="BF299" s="8">
        <f t="shared" si="169"/>
        <v>3.406540180433955</v>
      </c>
      <c r="BG299" s="8">
        <f t="shared" si="152"/>
        <v>0.70757017609793638</v>
      </c>
      <c r="BH299" s="13" t="s">
        <v>841</v>
      </c>
      <c r="BI299" s="13"/>
      <c r="BJ299" s="13"/>
      <c r="BK299" s="8"/>
      <c r="BL299" s="8"/>
      <c r="BM299" s="18"/>
      <c r="BN299" s="8"/>
      <c r="BO299" s="24"/>
    </row>
    <row r="300" spans="1:67" s="14" customFormat="1" x14ac:dyDescent="0.3">
      <c r="A300" s="20">
        <v>298</v>
      </c>
      <c r="B300" s="2" t="s">
        <v>241</v>
      </c>
      <c r="C300" s="2">
        <v>2019</v>
      </c>
      <c r="D300" s="2" t="s">
        <v>201</v>
      </c>
      <c r="E300" s="10" t="s">
        <v>800</v>
      </c>
      <c r="F300" s="20" t="s">
        <v>29</v>
      </c>
      <c r="G300" s="2">
        <v>46</v>
      </c>
      <c r="H300" s="2" t="str">
        <f>'PFAS Properties'!$B$33</f>
        <v>PFOA</v>
      </c>
      <c r="I300" s="2" t="str">
        <f>'PFAS Properties'!$C$33</f>
        <v>PFCA</v>
      </c>
      <c r="J300" s="2" t="str">
        <f>'PFAS Properties'!$D$33</f>
        <v>C8HF15O2</v>
      </c>
      <c r="K300" s="25">
        <f>'PFAS Properties'!$P$33</f>
        <v>413.97359999999998</v>
      </c>
      <c r="L300" s="2">
        <f>'PFAS Properties'!$X$33</f>
        <v>-0.2</v>
      </c>
      <c r="M300" s="2" t="str">
        <f>'PFAS Properties'!$Y$33</f>
        <v>-</v>
      </c>
      <c r="N300" s="33">
        <v>0</v>
      </c>
      <c r="O300" s="33">
        <v>0</v>
      </c>
      <c r="P300" s="33">
        <v>0</v>
      </c>
      <c r="Q300" s="33">
        <f t="shared" si="161"/>
        <v>0.99999987410747471</v>
      </c>
      <c r="R300" s="33">
        <v>0</v>
      </c>
      <c r="S300" s="33">
        <f t="shared" si="162"/>
        <v>1.2589252533048661E-7</v>
      </c>
      <c r="T300" s="8">
        <f t="shared" si="163"/>
        <v>1</v>
      </c>
      <c r="U300" s="33">
        <f t="shared" si="164"/>
        <v>0</v>
      </c>
      <c r="V300" s="33">
        <f t="shared" si="165"/>
        <v>-0.99999987410747471</v>
      </c>
      <c r="W300" s="33">
        <f t="shared" si="166"/>
        <v>412.97360012589252</v>
      </c>
      <c r="X300" s="33">
        <v>96485</v>
      </c>
      <c r="Y300" s="16">
        <f t="shared" si="167"/>
        <v>-233.63475976151219</v>
      </c>
      <c r="Z300" s="16">
        <v>8</v>
      </c>
      <c r="AA300" s="16">
        <v>15</v>
      </c>
      <c r="AB300" s="8">
        <f t="shared" si="168"/>
        <v>0.33684210526315789</v>
      </c>
      <c r="AC300" s="16">
        <f t="shared" si="160"/>
        <v>68.844969824162703</v>
      </c>
      <c r="AD300" s="20">
        <f>'PFAS Properties'!$W$33</f>
        <v>7</v>
      </c>
      <c r="AE300" s="8">
        <f>'PFAS Properties'!$S$33</f>
        <v>2.6821450763738319</v>
      </c>
      <c r="AF300" s="15">
        <f>'PFAS Properties'!$V$33</f>
        <v>4.9000000000000004</v>
      </c>
      <c r="AG300" s="24">
        <v>6.7</v>
      </c>
      <c r="AH300" s="2" t="s">
        <v>122</v>
      </c>
      <c r="AI300" s="2" t="s">
        <v>661</v>
      </c>
      <c r="AJ300" s="2" t="s">
        <v>661</v>
      </c>
      <c r="AK300" s="2" t="s">
        <v>661</v>
      </c>
      <c r="AL300" s="2" t="s">
        <v>661</v>
      </c>
      <c r="AM300" s="2" t="s">
        <v>661</v>
      </c>
      <c r="AN300" s="2" t="s">
        <v>661</v>
      </c>
      <c r="AO300" s="2" t="s">
        <v>661</v>
      </c>
      <c r="AP300" s="15">
        <v>9.1</v>
      </c>
      <c r="AQ300" s="2" t="s">
        <v>661</v>
      </c>
      <c r="AR300" s="16">
        <v>90.1</v>
      </c>
      <c r="AS300" s="16">
        <v>0.40000000000000568</v>
      </c>
      <c r="AT300" s="16">
        <v>9.5</v>
      </c>
      <c r="AU300" s="2" t="s">
        <v>661</v>
      </c>
      <c r="AV300" s="16">
        <f t="shared" si="150"/>
        <v>100</v>
      </c>
      <c r="AW300" s="18">
        <v>0.9</v>
      </c>
      <c r="AX300" s="13">
        <f t="shared" si="171"/>
        <v>9.0000000000000011E-3</v>
      </c>
      <c r="AY300" s="13" t="s">
        <v>123</v>
      </c>
      <c r="AZ300" s="16">
        <f t="shared" si="170"/>
        <v>100</v>
      </c>
      <c r="BA300" s="16" t="s">
        <v>55</v>
      </c>
      <c r="BB300" s="15">
        <v>2.2999999999999998</v>
      </c>
      <c r="BC300" s="16" t="s">
        <v>55</v>
      </c>
      <c r="BD300" s="18">
        <v>7</v>
      </c>
      <c r="BE300" s="15">
        <f t="shared" si="151"/>
        <v>777.77777777777771</v>
      </c>
      <c r="BF300" s="8">
        <f t="shared" si="169"/>
        <v>2.8908555305749317</v>
      </c>
      <c r="BG300" s="8">
        <f t="shared" si="152"/>
        <v>0.84509804001425681</v>
      </c>
      <c r="BH300" s="13" t="s">
        <v>841</v>
      </c>
      <c r="BI300" s="13"/>
      <c r="BJ300" s="13"/>
      <c r="BK300" s="8"/>
      <c r="BL300" s="8"/>
      <c r="BM300" s="18"/>
      <c r="BN300" s="8"/>
      <c r="BO300" s="24"/>
    </row>
    <row r="301" spans="1:67" s="14" customFormat="1" x14ac:dyDescent="0.3">
      <c r="A301" s="20">
        <v>299</v>
      </c>
      <c r="B301" s="2" t="s">
        <v>241</v>
      </c>
      <c r="C301" s="2">
        <v>2019</v>
      </c>
      <c r="D301" s="2" t="s">
        <v>201</v>
      </c>
      <c r="E301" s="10" t="s">
        <v>800</v>
      </c>
      <c r="F301" s="20" t="s">
        <v>29</v>
      </c>
      <c r="G301" s="2">
        <v>47</v>
      </c>
      <c r="H301" s="2" t="str">
        <f>'PFAS Properties'!$B$33</f>
        <v>PFOA</v>
      </c>
      <c r="I301" s="2" t="str">
        <f>'PFAS Properties'!$C$33</f>
        <v>PFCA</v>
      </c>
      <c r="J301" s="2" t="str">
        <f>'PFAS Properties'!$D$33</f>
        <v>C8HF15O2</v>
      </c>
      <c r="K301" s="25">
        <f>'PFAS Properties'!$P$33</f>
        <v>413.97359999999998</v>
      </c>
      <c r="L301" s="2">
        <f>'PFAS Properties'!$X$33</f>
        <v>-0.2</v>
      </c>
      <c r="M301" s="2" t="str">
        <f>'PFAS Properties'!$Y$33</f>
        <v>-</v>
      </c>
      <c r="N301" s="33">
        <v>0</v>
      </c>
      <c r="O301" s="33">
        <v>0</v>
      </c>
      <c r="P301" s="33">
        <v>0</v>
      </c>
      <c r="Q301" s="33">
        <f t="shared" si="161"/>
        <v>0.99999998415106828</v>
      </c>
      <c r="R301" s="33">
        <v>0</v>
      </c>
      <c r="S301" s="33">
        <f t="shared" si="162"/>
        <v>1.5848931673422493E-8</v>
      </c>
      <c r="T301" s="8">
        <f t="shared" si="163"/>
        <v>1</v>
      </c>
      <c r="U301" s="33">
        <f t="shared" si="164"/>
        <v>0</v>
      </c>
      <c r="V301" s="33">
        <f t="shared" si="165"/>
        <v>-0.99999998415106828</v>
      </c>
      <c r="W301" s="33">
        <f t="shared" si="166"/>
        <v>412.97360001584889</v>
      </c>
      <c r="X301" s="33">
        <v>96485</v>
      </c>
      <c r="Y301" s="16">
        <f t="shared" si="167"/>
        <v>-233.63478553377979</v>
      </c>
      <c r="Z301" s="16">
        <v>8</v>
      </c>
      <c r="AA301" s="16">
        <v>15</v>
      </c>
      <c r="AB301" s="8">
        <f t="shared" si="168"/>
        <v>0.33684210526315789</v>
      </c>
      <c r="AC301" s="16">
        <f t="shared" si="160"/>
        <v>68.844969824162703</v>
      </c>
      <c r="AD301" s="20">
        <f>'PFAS Properties'!$W$33</f>
        <v>7</v>
      </c>
      <c r="AE301" s="8">
        <f>'PFAS Properties'!$S$33</f>
        <v>2.6821450763738319</v>
      </c>
      <c r="AF301" s="15">
        <f>'PFAS Properties'!$V$33</f>
        <v>4.9000000000000004</v>
      </c>
      <c r="AG301" s="24">
        <v>7.6</v>
      </c>
      <c r="AH301" s="2" t="s">
        <v>122</v>
      </c>
      <c r="AI301" s="2" t="s">
        <v>661</v>
      </c>
      <c r="AJ301" s="2" t="s">
        <v>661</v>
      </c>
      <c r="AK301" s="2" t="s">
        <v>661</v>
      </c>
      <c r="AL301" s="2" t="s">
        <v>661</v>
      </c>
      <c r="AM301" s="2" t="s">
        <v>661</v>
      </c>
      <c r="AN301" s="2" t="s">
        <v>661</v>
      </c>
      <c r="AO301" s="2" t="s">
        <v>661</v>
      </c>
      <c r="AP301" s="15">
        <v>19.899999999999999</v>
      </c>
      <c r="AQ301" s="2" t="s">
        <v>661</v>
      </c>
      <c r="AR301" s="16">
        <v>67.099999999999994</v>
      </c>
      <c r="AS301" s="16">
        <v>5.3000000000000114</v>
      </c>
      <c r="AT301" s="16">
        <v>27.6</v>
      </c>
      <c r="AU301" s="2" t="s">
        <v>661</v>
      </c>
      <c r="AV301" s="16">
        <f t="shared" ref="AV301:AV364" si="172">SUM(AR301:AT301)</f>
        <v>100</v>
      </c>
      <c r="AW301" s="18">
        <v>0.5</v>
      </c>
      <c r="AX301" s="13">
        <f t="shared" si="171"/>
        <v>5.0000000000000001E-3</v>
      </c>
      <c r="AY301" s="13" t="s">
        <v>123</v>
      </c>
      <c r="AZ301" s="16">
        <f t="shared" si="170"/>
        <v>100</v>
      </c>
      <c r="BA301" s="16" t="s">
        <v>55</v>
      </c>
      <c r="BB301" s="15">
        <v>2.2999999999999998</v>
      </c>
      <c r="BC301" s="16" t="s">
        <v>55</v>
      </c>
      <c r="BD301" s="18">
        <v>4.3</v>
      </c>
      <c r="BE301" s="15">
        <f t="shared" ref="BE301:BE364" si="173">BD301/AX301</f>
        <v>860</v>
      </c>
      <c r="BF301" s="8">
        <f t="shared" si="169"/>
        <v>2.9344984512435679</v>
      </c>
      <c r="BG301" s="8">
        <f t="shared" ref="BG301:BG364" si="174">LOG(BD301)</f>
        <v>0.63346845557958653</v>
      </c>
      <c r="BH301" s="13" t="s">
        <v>841</v>
      </c>
      <c r="BI301" s="13"/>
      <c r="BJ301" s="13"/>
      <c r="BK301" s="8"/>
      <c r="BL301" s="8"/>
      <c r="BM301" s="18"/>
      <c r="BN301" s="8"/>
      <c r="BO301" s="24"/>
    </row>
    <row r="302" spans="1:67" s="14" customFormat="1" x14ac:dyDescent="0.3">
      <c r="A302" s="20">
        <v>300</v>
      </c>
      <c r="B302" s="2" t="s">
        <v>241</v>
      </c>
      <c r="C302" s="2">
        <v>2019</v>
      </c>
      <c r="D302" s="2" t="s">
        <v>201</v>
      </c>
      <c r="E302" s="10" t="s">
        <v>800</v>
      </c>
      <c r="F302" s="20" t="s">
        <v>29</v>
      </c>
      <c r="G302" s="2">
        <v>48</v>
      </c>
      <c r="H302" s="2" t="str">
        <f>'PFAS Properties'!$B$33</f>
        <v>PFOA</v>
      </c>
      <c r="I302" s="2" t="str">
        <f>'PFAS Properties'!$C$33</f>
        <v>PFCA</v>
      </c>
      <c r="J302" s="2" t="str">
        <f>'PFAS Properties'!$D$33</f>
        <v>C8HF15O2</v>
      </c>
      <c r="K302" s="25">
        <f>'PFAS Properties'!$P$33</f>
        <v>413.97359999999998</v>
      </c>
      <c r="L302" s="2">
        <f>'PFAS Properties'!$X$33</f>
        <v>-0.2</v>
      </c>
      <c r="M302" s="2" t="str">
        <f>'PFAS Properties'!$Y$33</f>
        <v>-</v>
      </c>
      <c r="N302" s="33">
        <v>0</v>
      </c>
      <c r="O302" s="33">
        <v>0</v>
      </c>
      <c r="P302" s="33">
        <v>0</v>
      </c>
      <c r="Q302" s="33">
        <f t="shared" si="161"/>
        <v>0.99999996837722438</v>
      </c>
      <c r="R302" s="33">
        <v>0</v>
      </c>
      <c r="S302" s="33">
        <f t="shared" si="162"/>
        <v>3.1622775601683729E-8</v>
      </c>
      <c r="T302" s="8">
        <f t="shared" si="163"/>
        <v>1</v>
      </c>
      <c r="U302" s="33">
        <f t="shared" si="164"/>
        <v>0</v>
      </c>
      <c r="V302" s="33">
        <f t="shared" si="165"/>
        <v>-0.99999996837722438</v>
      </c>
      <c r="W302" s="33">
        <f t="shared" si="166"/>
        <v>412.97360003162271</v>
      </c>
      <c r="X302" s="33">
        <v>96485</v>
      </c>
      <c r="Y302" s="16">
        <f t="shared" si="167"/>
        <v>-233.63478183953725</v>
      </c>
      <c r="Z302" s="16">
        <v>8</v>
      </c>
      <c r="AA302" s="16">
        <v>15</v>
      </c>
      <c r="AB302" s="8">
        <f t="shared" si="168"/>
        <v>0.33684210526315789</v>
      </c>
      <c r="AC302" s="16">
        <f t="shared" si="160"/>
        <v>68.844969824162703</v>
      </c>
      <c r="AD302" s="20">
        <f>'PFAS Properties'!$W$33</f>
        <v>7</v>
      </c>
      <c r="AE302" s="8">
        <f>'PFAS Properties'!$S$33</f>
        <v>2.6821450763738319</v>
      </c>
      <c r="AF302" s="15">
        <f>'PFAS Properties'!$V$33</f>
        <v>4.9000000000000004</v>
      </c>
      <c r="AG302" s="24">
        <v>7.3</v>
      </c>
      <c r="AH302" s="2" t="s">
        <v>122</v>
      </c>
      <c r="AI302" s="2" t="s">
        <v>661</v>
      </c>
      <c r="AJ302" s="2" t="s">
        <v>661</v>
      </c>
      <c r="AK302" s="2" t="s">
        <v>661</v>
      </c>
      <c r="AL302" s="2" t="s">
        <v>661</v>
      </c>
      <c r="AM302" s="2" t="s">
        <v>661</v>
      </c>
      <c r="AN302" s="2" t="s">
        <v>661</v>
      </c>
      <c r="AO302" s="2" t="s">
        <v>661</v>
      </c>
      <c r="AP302" s="15">
        <v>43.4</v>
      </c>
      <c r="AQ302" s="2" t="s">
        <v>661</v>
      </c>
      <c r="AR302" s="16">
        <v>62.5</v>
      </c>
      <c r="AS302" s="16">
        <v>12.099999999999994</v>
      </c>
      <c r="AT302" s="16">
        <v>25.4</v>
      </c>
      <c r="AU302" s="2" t="s">
        <v>661</v>
      </c>
      <c r="AV302" s="16">
        <f t="shared" si="172"/>
        <v>100</v>
      </c>
      <c r="AW302" s="18">
        <v>1.7</v>
      </c>
      <c r="AX302" s="13">
        <f t="shared" si="171"/>
        <v>1.7000000000000001E-2</v>
      </c>
      <c r="AY302" s="13" t="s">
        <v>123</v>
      </c>
      <c r="AZ302" s="16">
        <f t="shared" si="170"/>
        <v>100</v>
      </c>
      <c r="BA302" s="16" t="s">
        <v>55</v>
      </c>
      <c r="BB302" s="15">
        <v>2.2999999999999998</v>
      </c>
      <c r="BC302" s="16" t="s">
        <v>55</v>
      </c>
      <c r="BD302" s="18">
        <v>9.4</v>
      </c>
      <c r="BE302" s="15">
        <f t="shared" si="173"/>
        <v>552.94117647058818</v>
      </c>
      <c r="BF302" s="8">
        <f t="shared" si="169"/>
        <v>2.7426789322214247</v>
      </c>
      <c r="BG302" s="8">
        <f t="shared" si="174"/>
        <v>0.97312785359969867</v>
      </c>
      <c r="BH302" s="13" t="s">
        <v>841</v>
      </c>
      <c r="BI302" s="13"/>
      <c r="BJ302" s="13"/>
      <c r="BK302" s="8"/>
      <c r="BL302" s="8"/>
      <c r="BM302" s="18"/>
      <c r="BN302" s="8"/>
      <c r="BO302" s="24"/>
    </row>
    <row r="303" spans="1:67" s="14" customFormat="1" x14ac:dyDescent="0.3">
      <c r="A303" s="20">
        <v>301</v>
      </c>
      <c r="B303" s="2" t="s">
        <v>241</v>
      </c>
      <c r="C303" s="2">
        <v>2019</v>
      </c>
      <c r="D303" s="2" t="s">
        <v>201</v>
      </c>
      <c r="E303" s="10" t="s">
        <v>800</v>
      </c>
      <c r="F303" s="20" t="s">
        <v>29</v>
      </c>
      <c r="G303" s="2">
        <v>49</v>
      </c>
      <c r="H303" s="2" t="str">
        <f>'PFAS Properties'!$B$33</f>
        <v>PFOA</v>
      </c>
      <c r="I303" s="2" t="str">
        <f>'PFAS Properties'!$C$33</f>
        <v>PFCA</v>
      </c>
      <c r="J303" s="2" t="str">
        <f>'PFAS Properties'!$D$33</f>
        <v>C8HF15O2</v>
      </c>
      <c r="K303" s="25">
        <f>'PFAS Properties'!$P$33</f>
        <v>413.97359999999998</v>
      </c>
      <c r="L303" s="2">
        <f>'PFAS Properties'!$X$33</f>
        <v>-0.2</v>
      </c>
      <c r="M303" s="2" t="str">
        <f>'PFAS Properties'!$Y$33</f>
        <v>-</v>
      </c>
      <c r="N303" s="33">
        <v>0</v>
      </c>
      <c r="O303" s="33">
        <v>0</v>
      </c>
      <c r="P303" s="33">
        <v>0</v>
      </c>
      <c r="Q303" s="33">
        <f t="shared" si="161"/>
        <v>0.99999999498812764</v>
      </c>
      <c r="R303" s="33">
        <v>0</v>
      </c>
      <c r="S303" s="33">
        <f t="shared" si="162"/>
        <v>5.0118723111538642E-9</v>
      </c>
      <c r="T303" s="8">
        <f t="shared" si="163"/>
        <v>1</v>
      </c>
      <c r="U303" s="33">
        <f t="shared" si="164"/>
        <v>0</v>
      </c>
      <c r="V303" s="33">
        <f t="shared" si="165"/>
        <v>-0.99999999498812764</v>
      </c>
      <c r="W303" s="33">
        <f t="shared" si="166"/>
        <v>412.9736000050118</v>
      </c>
      <c r="X303" s="33">
        <v>96485</v>
      </c>
      <c r="Y303" s="16">
        <f t="shared" si="167"/>
        <v>-233.63478807182486</v>
      </c>
      <c r="Z303" s="16">
        <v>8</v>
      </c>
      <c r="AA303" s="16">
        <v>15</v>
      </c>
      <c r="AB303" s="8">
        <f t="shared" si="168"/>
        <v>0.33684210526315789</v>
      </c>
      <c r="AC303" s="16">
        <f t="shared" si="160"/>
        <v>68.844969824162703</v>
      </c>
      <c r="AD303" s="20">
        <f>'PFAS Properties'!$W$33</f>
        <v>7</v>
      </c>
      <c r="AE303" s="8">
        <f>'PFAS Properties'!$S$33</f>
        <v>2.6821450763738319</v>
      </c>
      <c r="AF303" s="15">
        <f>'PFAS Properties'!$V$33</f>
        <v>4.9000000000000004</v>
      </c>
      <c r="AG303" s="24">
        <v>8.1</v>
      </c>
      <c r="AH303" s="2" t="s">
        <v>122</v>
      </c>
      <c r="AI303" s="2" t="s">
        <v>661</v>
      </c>
      <c r="AJ303" s="2" t="s">
        <v>661</v>
      </c>
      <c r="AK303" s="2" t="s">
        <v>661</v>
      </c>
      <c r="AL303" s="2" t="s">
        <v>661</v>
      </c>
      <c r="AM303" s="2" t="s">
        <v>661</v>
      </c>
      <c r="AN303" s="2" t="s">
        <v>661</v>
      </c>
      <c r="AO303" s="2" t="s">
        <v>661</v>
      </c>
      <c r="AP303" s="15">
        <v>34.200000000000003</v>
      </c>
      <c r="AQ303" s="2" t="s">
        <v>661</v>
      </c>
      <c r="AR303" s="16">
        <v>22.6</v>
      </c>
      <c r="AS303" s="16">
        <v>8.1000000000000014</v>
      </c>
      <c r="AT303" s="16">
        <v>69.3</v>
      </c>
      <c r="AU303" s="2" t="s">
        <v>661</v>
      </c>
      <c r="AV303" s="16">
        <f t="shared" si="172"/>
        <v>100</v>
      </c>
      <c r="AW303" s="18">
        <v>0.2</v>
      </c>
      <c r="AX303" s="13">
        <f t="shared" si="171"/>
        <v>2E-3</v>
      </c>
      <c r="AY303" s="13" t="s">
        <v>123</v>
      </c>
      <c r="AZ303" s="16">
        <f t="shared" si="170"/>
        <v>100</v>
      </c>
      <c r="BA303" s="16" t="s">
        <v>55</v>
      </c>
      <c r="BB303" s="15">
        <v>2.2999999999999998</v>
      </c>
      <c r="BC303" s="16" t="s">
        <v>55</v>
      </c>
      <c r="BD303" s="18">
        <v>5</v>
      </c>
      <c r="BE303" s="15">
        <f t="shared" si="173"/>
        <v>2500</v>
      </c>
      <c r="BF303" s="8">
        <f t="shared" si="169"/>
        <v>3.3979400086720375</v>
      </c>
      <c r="BG303" s="8">
        <f t="shared" si="174"/>
        <v>0.69897000433601886</v>
      </c>
      <c r="BH303" s="13" t="s">
        <v>841</v>
      </c>
      <c r="BI303" s="13"/>
      <c r="BJ303" s="13"/>
      <c r="BK303" s="8"/>
      <c r="BL303" s="8"/>
      <c r="BM303" s="18"/>
      <c r="BN303" s="8"/>
      <c r="BO303" s="24"/>
    </row>
    <row r="304" spans="1:67" s="14" customFormat="1" x14ac:dyDescent="0.3">
      <c r="A304" s="20">
        <v>302</v>
      </c>
      <c r="B304" s="2" t="s">
        <v>241</v>
      </c>
      <c r="C304" s="2">
        <v>2019</v>
      </c>
      <c r="D304" s="2" t="s">
        <v>201</v>
      </c>
      <c r="E304" s="10" t="s">
        <v>800</v>
      </c>
      <c r="F304" s="20" t="s">
        <v>29</v>
      </c>
      <c r="G304" s="2">
        <v>50</v>
      </c>
      <c r="H304" s="2" t="str">
        <f>'PFAS Properties'!$B$33</f>
        <v>PFOA</v>
      </c>
      <c r="I304" s="2" t="str">
        <f>'PFAS Properties'!$C$33</f>
        <v>PFCA</v>
      </c>
      <c r="J304" s="2" t="str">
        <f>'PFAS Properties'!$D$33</f>
        <v>C8HF15O2</v>
      </c>
      <c r="K304" s="25">
        <f>'PFAS Properties'!$P$33</f>
        <v>413.97359999999998</v>
      </c>
      <c r="L304" s="2">
        <f>'PFAS Properties'!$X$33</f>
        <v>-0.2</v>
      </c>
      <c r="M304" s="2" t="str">
        <f>'PFAS Properties'!$Y$33</f>
        <v>-</v>
      </c>
      <c r="N304" s="33">
        <v>0</v>
      </c>
      <c r="O304" s="33">
        <v>0</v>
      </c>
      <c r="P304" s="33">
        <v>0</v>
      </c>
      <c r="Q304" s="33">
        <f t="shared" si="161"/>
        <v>0.99999998004737722</v>
      </c>
      <c r="R304" s="33">
        <v>0</v>
      </c>
      <c r="S304" s="33">
        <f t="shared" si="162"/>
        <v>1.995262275158161E-8</v>
      </c>
      <c r="T304" s="8">
        <f t="shared" si="163"/>
        <v>1</v>
      </c>
      <c r="U304" s="33">
        <f t="shared" si="164"/>
        <v>0</v>
      </c>
      <c r="V304" s="33">
        <f t="shared" si="165"/>
        <v>-0.99999998004737722</v>
      </c>
      <c r="W304" s="33">
        <f t="shared" si="166"/>
        <v>412.97360001995258</v>
      </c>
      <c r="X304" s="33">
        <v>96485</v>
      </c>
      <c r="Y304" s="16">
        <f t="shared" si="167"/>
        <v>-233.63478457269321</v>
      </c>
      <c r="Z304" s="16">
        <v>8</v>
      </c>
      <c r="AA304" s="16">
        <v>15</v>
      </c>
      <c r="AB304" s="8">
        <f t="shared" si="168"/>
        <v>0.33684210526315789</v>
      </c>
      <c r="AC304" s="16">
        <f t="shared" si="160"/>
        <v>68.844969824162703</v>
      </c>
      <c r="AD304" s="20">
        <f>'PFAS Properties'!$W$33</f>
        <v>7</v>
      </c>
      <c r="AE304" s="8">
        <f>'PFAS Properties'!$S$33</f>
        <v>2.6821450763738319</v>
      </c>
      <c r="AF304" s="15">
        <f>'PFAS Properties'!$V$33</f>
        <v>4.9000000000000004</v>
      </c>
      <c r="AG304" s="24">
        <v>7.5</v>
      </c>
      <c r="AH304" s="2" t="s">
        <v>122</v>
      </c>
      <c r="AI304" s="2" t="s">
        <v>661</v>
      </c>
      <c r="AJ304" s="2" t="s">
        <v>661</v>
      </c>
      <c r="AK304" s="2" t="s">
        <v>661</v>
      </c>
      <c r="AL304" s="2" t="s">
        <v>661</v>
      </c>
      <c r="AM304" s="2" t="s">
        <v>661</v>
      </c>
      <c r="AN304" s="2" t="s">
        <v>661</v>
      </c>
      <c r="AO304" s="2" t="s">
        <v>661</v>
      </c>
      <c r="AP304" s="15">
        <v>29.6</v>
      </c>
      <c r="AQ304" s="2" t="s">
        <v>661</v>
      </c>
      <c r="AR304" s="16">
        <v>39.799999999999997</v>
      </c>
      <c r="AS304" s="16">
        <v>7.7000000000000028</v>
      </c>
      <c r="AT304" s="16">
        <v>52.5</v>
      </c>
      <c r="AU304" s="2" t="s">
        <v>661</v>
      </c>
      <c r="AV304" s="16">
        <f t="shared" si="172"/>
        <v>100</v>
      </c>
      <c r="AW304" s="18">
        <v>0.4</v>
      </c>
      <c r="AX304" s="13">
        <f t="shared" si="171"/>
        <v>4.0000000000000001E-3</v>
      </c>
      <c r="AY304" s="13" t="s">
        <v>123</v>
      </c>
      <c r="AZ304" s="16">
        <f t="shared" si="170"/>
        <v>100</v>
      </c>
      <c r="BA304" s="16" t="s">
        <v>55</v>
      </c>
      <c r="BB304" s="15">
        <v>2.2999999999999998</v>
      </c>
      <c r="BC304" s="16" t="s">
        <v>55</v>
      </c>
      <c r="BD304" s="18">
        <v>5</v>
      </c>
      <c r="BE304" s="15">
        <f t="shared" si="173"/>
        <v>1250</v>
      </c>
      <c r="BF304" s="8">
        <f t="shared" si="169"/>
        <v>3.0969100130080562</v>
      </c>
      <c r="BG304" s="8">
        <f t="shared" si="174"/>
        <v>0.69897000433601886</v>
      </c>
      <c r="BH304" s="13" t="s">
        <v>841</v>
      </c>
      <c r="BI304" s="13"/>
      <c r="BJ304" s="13"/>
      <c r="BK304" s="8"/>
      <c r="BL304" s="8"/>
      <c r="BM304" s="18"/>
      <c r="BN304" s="8"/>
      <c r="BO304" s="24"/>
    </row>
    <row r="305" spans="1:67" s="14" customFormat="1" x14ac:dyDescent="0.3">
      <c r="A305" s="20">
        <v>303</v>
      </c>
      <c r="B305" s="2" t="s">
        <v>241</v>
      </c>
      <c r="C305" s="2">
        <v>2019</v>
      </c>
      <c r="D305" s="2" t="s">
        <v>201</v>
      </c>
      <c r="E305" s="10" t="s">
        <v>800</v>
      </c>
      <c r="F305" s="20" t="s">
        <v>29</v>
      </c>
      <c r="G305" s="2">
        <v>51</v>
      </c>
      <c r="H305" s="2" t="str">
        <f>'PFAS Properties'!$B$33</f>
        <v>PFOA</v>
      </c>
      <c r="I305" s="2" t="str">
        <f>'PFAS Properties'!$C$33</f>
        <v>PFCA</v>
      </c>
      <c r="J305" s="2" t="str">
        <f>'PFAS Properties'!$D$33</f>
        <v>C8HF15O2</v>
      </c>
      <c r="K305" s="25">
        <f>'PFAS Properties'!$P$33</f>
        <v>413.97359999999998</v>
      </c>
      <c r="L305" s="2">
        <f>'PFAS Properties'!$X$33</f>
        <v>-0.2</v>
      </c>
      <c r="M305" s="2" t="str">
        <f>'PFAS Properties'!$Y$33</f>
        <v>-</v>
      </c>
      <c r="N305" s="33">
        <v>0</v>
      </c>
      <c r="O305" s="33">
        <v>0</v>
      </c>
      <c r="P305" s="33">
        <v>0</v>
      </c>
      <c r="Q305" s="33">
        <f t="shared" si="161"/>
        <v>0.99999992056718279</v>
      </c>
      <c r="R305" s="33">
        <v>0</v>
      </c>
      <c r="S305" s="33">
        <f t="shared" si="162"/>
        <v>7.9432817162854954E-8</v>
      </c>
      <c r="T305" s="8">
        <f t="shared" si="163"/>
        <v>1</v>
      </c>
      <c r="U305" s="33">
        <f t="shared" si="164"/>
        <v>0</v>
      </c>
      <c r="V305" s="33">
        <f t="shared" si="165"/>
        <v>-0.99999992056718279</v>
      </c>
      <c r="W305" s="33">
        <f t="shared" si="166"/>
        <v>412.97360007943274</v>
      </c>
      <c r="X305" s="33">
        <v>96485</v>
      </c>
      <c r="Y305" s="16">
        <f t="shared" si="167"/>
        <v>-233.63477064240035</v>
      </c>
      <c r="Z305" s="16">
        <v>8</v>
      </c>
      <c r="AA305" s="16">
        <v>15</v>
      </c>
      <c r="AB305" s="8">
        <f t="shared" si="168"/>
        <v>0.33684210526315789</v>
      </c>
      <c r="AC305" s="16">
        <f t="shared" si="160"/>
        <v>68.844969824162703</v>
      </c>
      <c r="AD305" s="20">
        <f>'PFAS Properties'!$W$33</f>
        <v>7</v>
      </c>
      <c r="AE305" s="8">
        <f>'PFAS Properties'!$S$33</f>
        <v>2.6821450763738319</v>
      </c>
      <c r="AF305" s="15">
        <f>'PFAS Properties'!$V$33</f>
        <v>4.9000000000000004</v>
      </c>
      <c r="AG305" s="24">
        <v>6.9</v>
      </c>
      <c r="AH305" s="2" t="s">
        <v>122</v>
      </c>
      <c r="AI305" s="2" t="s">
        <v>661</v>
      </c>
      <c r="AJ305" s="2" t="s">
        <v>661</v>
      </c>
      <c r="AK305" s="2" t="s">
        <v>661</v>
      </c>
      <c r="AL305" s="2" t="s">
        <v>661</v>
      </c>
      <c r="AM305" s="2" t="s">
        <v>661</v>
      </c>
      <c r="AN305" s="2" t="s">
        <v>661</v>
      </c>
      <c r="AO305" s="2" t="s">
        <v>661</v>
      </c>
      <c r="AP305" s="15">
        <v>5.7</v>
      </c>
      <c r="AQ305" s="2" t="s">
        <v>661</v>
      </c>
      <c r="AR305" s="16">
        <v>76.900000000000006</v>
      </c>
      <c r="AS305" s="16">
        <v>1.2999999999999972</v>
      </c>
      <c r="AT305" s="16">
        <v>21.8</v>
      </c>
      <c r="AU305" s="2" t="s">
        <v>661</v>
      </c>
      <c r="AV305" s="16">
        <f t="shared" si="172"/>
        <v>100</v>
      </c>
      <c r="AW305" s="18">
        <v>0.6</v>
      </c>
      <c r="AX305" s="13">
        <f t="shared" si="171"/>
        <v>6.0000000000000001E-3</v>
      </c>
      <c r="AY305" s="13" t="s">
        <v>123</v>
      </c>
      <c r="AZ305" s="16">
        <f t="shared" si="170"/>
        <v>100</v>
      </c>
      <c r="BA305" s="16" t="s">
        <v>55</v>
      </c>
      <c r="BB305" s="15">
        <v>2.2999999999999998</v>
      </c>
      <c r="BC305" s="16" t="s">
        <v>55</v>
      </c>
      <c r="BD305" s="18">
        <v>4.5999999999999996</v>
      </c>
      <c r="BE305" s="15">
        <f t="shared" si="173"/>
        <v>766.66666666666663</v>
      </c>
      <c r="BF305" s="8">
        <f t="shared" si="169"/>
        <v>2.8846065812979305</v>
      </c>
      <c r="BG305" s="8">
        <f t="shared" si="174"/>
        <v>0.66275783168157409</v>
      </c>
      <c r="BH305" s="13" t="s">
        <v>841</v>
      </c>
      <c r="BI305" s="13"/>
      <c r="BJ305" s="13"/>
      <c r="BK305" s="8"/>
      <c r="BL305" s="8"/>
      <c r="BM305" s="18"/>
      <c r="BN305" s="8"/>
      <c r="BO305" s="24"/>
    </row>
    <row r="306" spans="1:67" s="14" customFormat="1" x14ac:dyDescent="0.3">
      <c r="A306" s="20">
        <v>304</v>
      </c>
      <c r="B306" s="2" t="s">
        <v>241</v>
      </c>
      <c r="C306" s="2">
        <v>2019</v>
      </c>
      <c r="D306" s="2" t="s">
        <v>201</v>
      </c>
      <c r="E306" s="10" t="s">
        <v>800</v>
      </c>
      <c r="F306" s="20" t="s">
        <v>29</v>
      </c>
      <c r="G306" s="2">
        <v>52</v>
      </c>
      <c r="H306" s="2" t="str">
        <f>'PFAS Properties'!$B$33</f>
        <v>PFOA</v>
      </c>
      <c r="I306" s="2" t="str">
        <f>'PFAS Properties'!$C$33</f>
        <v>PFCA</v>
      </c>
      <c r="J306" s="2" t="str">
        <f>'PFAS Properties'!$D$33</f>
        <v>C8HF15O2</v>
      </c>
      <c r="K306" s="25">
        <f>'PFAS Properties'!$P$33</f>
        <v>413.97359999999998</v>
      </c>
      <c r="L306" s="2">
        <f>'PFAS Properties'!$X$33</f>
        <v>-0.2</v>
      </c>
      <c r="M306" s="2" t="str">
        <f>'PFAS Properties'!$Y$33</f>
        <v>-</v>
      </c>
      <c r="N306" s="33">
        <v>0</v>
      </c>
      <c r="O306" s="33">
        <v>0</v>
      </c>
      <c r="P306" s="33">
        <v>0</v>
      </c>
      <c r="Q306" s="33">
        <f t="shared" si="161"/>
        <v>0.99999999369042658</v>
      </c>
      <c r="R306" s="33">
        <v>0</v>
      </c>
      <c r="S306" s="33">
        <f t="shared" si="162"/>
        <v>6.3095734049912165E-9</v>
      </c>
      <c r="T306" s="8">
        <f t="shared" si="163"/>
        <v>1</v>
      </c>
      <c r="U306" s="33">
        <f t="shared" si="164"/>
        <v>0</v>
      </c>
      <c r="V306" s="33">
        <f t="shared" si="165"/>
        <v>-0.99999999369042658</v>
      </c>
      <c r="W306" s="33">
        <f t="shared" si="166"/>
        <v>412.97360000630954</v>
      </c>
      <c r="X306" s="33">
        <v>96485</v>
      </c>
      <c r="Y306" s="16">
        <f t="shared" si="167"/>
        <v>-233.63478776790257</v>
      </c>
      <c r="Z306" s="16">
        <v>8</v>
      </c>
      <c r="AA306" s="16">
        <v>15</v>
      </c>
      <c r="AB306" s="8">
        <f t="shared" si="168"/>
        <v>0.33684210526315789</v>
      </c>
      <c r="AC306" s="16">
        <f t="shared" si="160"/>
        <v>68.844969824162703</v>
      </c>
      <c r="AD306" s="20">
        <f>'PFAS Properties'!$W$33</f>
        <v>7</v>
      </c>
      <c r="AE306" s="8">
        <f>'PFAS Properties'!$S$33</f>
        <v>2.6821450763738319</v>
      </c>
      <c r="AF306" s="15">
        <f>'PFAS Properties'!$V$33</f>
        <v>4.9000000000000004</v>
      </c>
      <c r="AG306" s="24">
        <v>8</v>
      </c>
      <c r="AH306" s="2" t="s">
        <v>122</v>
      </c>
      <c r="AI306" s="2" t="s">
        <v>661</v>
      </c>
      <c r="AJ306" s="2" t="s">
        <v>661</v>
      </c>
      <c r="AK306" s="2" t="s">
        <v>661</v>
      </c>
      <c r="AL306" s="2" t="s">
        <v>661</v>
      </c>
      <c r="AM306" s="2" t="s">
        <v>661</v>
      </c>
      <c r="AN306" s="2" t="s">
        <v>661</v>
      </c>
      <c r="AO306" s="2" t="s">
        <v>661</v>
      </c>
      <c r="AP306" s="15">
        <v>19.399999999999999</v>
      </c>
      <c r="AQ306" s="2" t="s">
        <v>661</v>
      </c>
      <c r="AR306" s="16">
        <v>38.5</v>
      </c>
      <c r="AS306" s="16">
        <v>12.200000000000003</v>
      </c>
      <c r="AT306" s="16">
        <v>49.3</v>
      </c>
      <c r="AU306" s="2" t="s">
        <v>661</v>
      </c>
      <c r="AV306" s="16">
        <f t="shared" si="172"/>
        <v>100</v>
      </c>
      <c r="AW306" s="18">
        <v>0.2</v>
      </c>
      <c r="AX306" s="13">
        <f t="shared" si="171"/>
        <v>2E-3</v>
      </c>
      <c r="AY306" s="13" t="s">
        <v>123</v>
      </c>
      <c r="AZ306" s="16">
        <f t="shared" si="170"/>
        <v>100</v>
      </c>
      <c r="BA306" s="16" t="s">
        <v>55</v>
      </c>
      <c r="BB306" s="15">
        <v>2.2999999999999998</v>
      </c>
      <c r="BC306" s="16" t="s">
        <v>55</v>
      </c>
      <c r="BD306" s="18">
        <v>1.3</v>
      </c>
      <c r="BE306" s="15">
        <f t="shared" si="173"/>
        <v>650</v>
      </c>
      <c r="BF306" s="8">
        <f t="shared" si="169"/>
        <v>2.8129133566428557</v>
      </c>
      <c r="BG306" s="8">
        <f t="shared" si="174"/>
        <v>0.11394335230683679</v>
      </c>
      <c r="BH306" s="13" t="s">
        <v>841</v>
      </c>
      <c r="BI306" s="13"/>
      <c r="BJ306" s="13"/>
      <c r="BK306" s="8"/>
      <c r="BL306" s="8"/>
      <c r="BM306" s="18"/>
      <c r="BN306" s="8"/>
      <c r="BO306" s="24"/>
    </row>
    <row r="307" spans="1:67" s="14" customFormat="1" x14ac:dyDescent="0.3">
      <c r="A307" s="20">
        <v>305</v>
      </c>
      <c r="B307" s="2" t="s">
        <v>241</v>
      </c>
      <c r="C307" s="2">
        <v>2019</v>
      </c>
      <c r="D307" s="2" t="s">
        <v>201</v>
      </c>
      <c r="E307" s="10" t="s">
        <v>800</v>
      </c>
      <c r="F307" s="20" t="s">
        <v>29</v>
      </c>
      <c r="G307" s="2">
        <v>53</v>
      </c>
      <c r="H307" s="2" t="str">
        <f>'PFAS Properties'!$B$33</f>
        <v>PFOA</v>
      </c>
      <c r="I307" s="2" t="str">
        <f>'PFAS Properties'!$C$33</f>
        <v>PFCA</v>
      </c>
      <c r="J307" s="2" t="str">
        <f>'PFAS Properties'!$D$33</f>
        <v>C8HF15O2</v>
      </c>
      <c r="K307" s="25">
        <f>'PFAS Properties'!$P$33</f>
        <v>413.97359999999998</v>
      </c>
      <c r="L307" s="2">
        <f>'PFAS Properties'!$X$33</f>
        <v>-0.2</v>
      </c>
      <c r="M307" s="2" t="str">
        <f>'PFAS Properties'!$Y$33</f>
        <v>-</v>
      </c>
      <c r="N307" s="33">
        <v>0</v>
      </c>
      <c r="O307" s="33">
        <v>0</v>
      </c>
      <c r="P307" s="33">
        <v>0</v>
      </c>
      <c r="Q307" s="33">
        <f t="shared" si="161"/>
        <v>0.99999993690426958</v>
      </c>
      <c r="R307" s="33">
        <v>0</v>
      </c>
      <c r="S307" s="33">
        <f t="shared" si="162"/>
        <v>6.3095730466947729E-8</v>
      </c>
      <c r="T307" s="8">
        <f t="shared" si="163"/>
        <v>1</v>
      </c>
      <c r="U307" s="33">
        <f t="shared" si="164"/>
        <v>0</v>
      </c>
      <c r="V307" s="33">
        <f t="shared" si="165"/>
        <v>-0.99999993690426958</v>
      </c>
      <c r="W307" s="33">
        <f t="shared" si="166"/>
        <v>412.97360006309572</v>
      </c>
      <c r="X307" s="33">
        <v>96485</v>
      </c>
      <c r="Y307" s="16">
        <f t="shared" si="167"/>
        <v>-233.63477446855464</v>
      </c>
      <c r="Z307" s="16">
        <v>8</v>
      </c>
      <c r="AA307" s="16">
        <v>15</v>
      </c>
      <c r="AB307" s="8">
        <f t="shared" si="168"/>
        <v>0.33684210526315789</v>
      </c>
      <c r="AC307" s="16">
        <f t="shared" si="160"/>
        <v>68.844969824162703</v>
      </c>
      <c r="AD307" s="20">
        <f>'PFAS Properties'!$W$33</f>
        <v>7</v>
      </c>
      <c r="AE307" s="8">
        <f>'PFAS Properties'!$S$33</f>
        <v>2.6821450763738319</v>
      </c>
      <c r="AF307" s="15">
        <f>'PFAS Properties'!$V$33</f>
        <v>4.9000000000000004</v>
      </c>
      <c r="AG307" s="24">
        <v>7</v>
      </c>
      <c r="AH307" s="2" t="s">
        <v>122</v>
      </c>
      <c r="AI307" s="2" t="s">
        <v>661</v>
      </c>
      <c r="AJ307" s="2" t="s">
        <v>661</v>
      </c>
      <c r="AK307" s="2" t="s">
        <v>661</v>
      </c>
      <c r="AL307" s="2" t="s">
        <v>661</v>
      </c>
      <c r="AM307" s="2" t="s">
        <v>661</v>
      </c>
      <c r="AN307" s="2" t="s">
        <v>661</v>
      </c>
      <c r="AO307" s="2" t="s">
        <v>661</v>
      </c>
      <c r="AP307" s="15">
        <v>33.299999999999997</v>
      </c>
      <c r="AQ307" s="2" t="s">
        <v>661</v>
      </c>
      <c r="AR307" s="16">
        <v>44</v>
      </c>
      <c r="AS307" s="16">
        <v>16</v>
      </c>
      <c r="AT307" s="16">
        <v>40</v>
      </c>
      <c r="AU307" s="2" t="s">
        <v>661</v>
      </c>
      <c r="AV307" s="16">
        <f t="shared" si="172"/>
        <v>100</v>
      </c>
      <c r="AW307" s="18">
        <v>3.4</v>
      </c>
      <c r="AX307" s="13">
        <f t="shared" si="171"/>
        <v>3.4000000000000002E-2</v>
      </c>
      <c r="AY307" s="13" t="s">
        <v>123</v>
      </c>
      <c r="AZ307" s="16">
        <f t="shared" si="170"/>
        <v>100</v>
      </c>
      <c r="BA307" s="16" t="s">
        <v>55</v>
      </c>
      <c r="BB307" s="15">
        <v>2.2999999999999998</v>
      </c>
      <c r="BC307" s="16" t="s">
        <v>55</v>
      </c>
      <c r="BD307" s="18">
        <v>10.6</v>
      </c>
      <c r="BE307" s="15">
        <f t="shared" si="173"/>
        <v>311.76470588235293</v>
      </c>
      <c r="BF307" s="8">
        <f t="shared" si="169"/>
        <v>2.493826948222515</v>
      </c>
      <c r="BG307" s="8">
        <f t="shared" si="174"/>
        <v>1.0253058652647702</v>
      </c>
      <c r="BH307" s="13" t="s">
        <v>841</v>
      </c>
      <c r="BI307" s="13"/>
      <c r="BJ307" s="13"/>
      <c r="BK307" s="8"/>
      <c r="BL307" s="8"/>
      <c r="BM307" s="18"/>
      <c r="BN307" s="8"/>
      <c r="BO307" s="24"/>
    </row>
    <row r="308" spans="1:67" s="14" customFormat="1" x14ac:dyDescent="0.3">
      <c r="A308" s="20">
        <v>306</v>
      </c>
      <c r="B308" s="2" t="s">
        <v>241</v>
      </c>
      <c r="C308" s="2">
        <v>2019</v>
      </c>
      <c r="D308" s="2" t="s">
        <v>201</v>
      </c>
      <c r="E308" s="10" t="s">
        <v>800</v>
      </c>
      <c r="F308" s="20" t="s">
        <v>29</v>
      </c>
      <c r="G308" s="2">
        <v>54</v>
      </c>
      <c r="H308" s="2" t="str">
        <f>'PFAS Properties'!$B$33</f>
        <v>PFOA</v>
      </c>
      <c r="I308" s="2" t="str">
        <f>'PFAS Properties'!$C$33</f>
        <v>PFCA</v>
      </c>
      <c r="J308" s="2" t="str">
        <f>'PFAS Properties'!$D$33</f>
        <v>C8HF15O2</v>
      </c>
      <c r="K308" s="25">
        <f>'PFAS Properties'!$P$33</f>
        <v>413.97359999999998</v>
      </c>
      <c r="L308" s="2">
        <f>'PFAS Properties'!$X$33</f>
        <v>-0.2</v>
      </c>
      <c r="M308" s="2" t="str">
        <f>'PFAS Properties'!$Y$33</f>
        <v>-</v>
      </c>
      <c r="N308" s="33">
        <v>0</v>
      </c>
      <c r="O308" s="33">
        <v>0</v>
      </c>
      <c r="P308" s="33">
        <v>0</v>
      </c>
      <c r="Q308" s="33">
        <f t="shared" si="161"/>
        <v>0.99999998004737722</v>
      </c>
      <c r="R308" s="33">
        <v>0</v>
      </c>
      <c r="S308" s="33">
        <f t="shared" si="162"/>
        <v>1.995262275158161E-8</v>
      </c>
      <c r="T308" s="8">
        <f t="shared" si="163"/>
        <v>1</v>
      </c>
      <c r="U308" s="33">
        <f t="shared" si="164"/>
        <v>0</v>
      </c>
      <c r="V308" s="33">
        <f t="shared" si="165"/>
        <v>-0.99999998004737722</v>
      </c>
      <c r="W308" s="33">
        <f t="shared" si="166"/>
        <v>412.97360001995258</v>
      </c>
      <c r="X308" s="33">
        <v>96485</v>
      </c>
      <c r="Y308" s="16">
        <f t="shared" si="167"/>
        <v>-233.63478457269321</v>
      </c>
      <c r="Z308" s="16">
        <v>8</v>
      </c>
      <c r="AA308" s="16">
        <v>15</v>
      </c>
      <c r="AB308" s="8">
        <f t="shared" si="168"/>
        <v>0.33684210526315789</v>
      </c>
      <c r="AC308" s="16">
        <f t="shared" si="160"/>
        <v>68.844969824162703</v>
      </c>
      <c r="AD308" s="20">
        <f>'PFAS Properties'!$W$33</f>
        <v>7</v>
      </c>
      <c r="AE308" s="8">
        <f>'PFAS Properties'!$S$33</f>
        <v>2.6821450763738319</v>
      </c>
      <c r="AF308" s="15">
        <f>'PFAS Properties'!$V$33</f>
        <v>4.9000000000000004</v>
      </c>
      <c r="AG308" s="24">
        <v>7.5</v>
      </c>
      <c r="AH308" s="2" t="s">
        <v>122</v>
      </c>
      <c r="AI308" s="2" t="s">
        <v>661</v>
      </c>
      <c r="AJ308" s="2" t="s">
        <v>661</v>
      </c>
      <c r="AK308" s="2" t="s">
        <v>661</v>
      </c>
      <c r="AL308" s="2" t="s">
        <v>661</v>
      </c>
      <c r="AM308" s="2" t="s">
        <v>661</v>
      </c>
      <c r="AN308" s="2" t="s">
        <v>661</v>
      </c>
      <c r="AO308" s="2" t="s">
        <v>661</v>
      </c>
      <c r="AP308" s="15">
        <v>17.399999999999999</v>
      </c>
      <c r="AQ308" s="2" t="s">
        <v>661</v>
      </c>
      <c r="AR308" s="16">
        <v>42</v>
      </c>
      <c r="AS308" s="16">
        <v>21</v>
      </c>
      <c r="AT308" s="16">
        <v>37</v>
      </c>
      <c r="AU308" s="2" t="s">
        <v>661</v>
      </c>
      <c r="AV308" s="16">
        <f t="shared" si="172"/>
        <v>100</v>
      </c>
      <c r="AW308" s="18">
        <v>1</v>
      </c>
      <c r="AX308" s="13">
        <f t="shared" si="171"/>
        <v>0.01</v>
      </c>
      <c r="AY308" s="13" t="s">
        <v>123</v>
      </c>
      <c r="AZ308" s="16">
        <f t="shared" si="170"/>
        <v>100</v>
      </c>
      <c r="BA308" s="16" t="s">
        <v>55</v>
      </c>
      <c r="BB308" s="15">
        <v>2.2999999999999998</v>
      </c>
      <c r="BC308" s="16" t="s">
        <v>55</v>
      </c>
      <c r="BD308" s="18">
        <v>7.4</v>
      </c>
      <c r="BE308" s="15">
        <f t="shared" si="173"/>
        <v>740</v>
      </c>
      <c r="BF308" s="8">
        <f t="shared" si="169"/>
        <v>2.8692317197309762</v>
      </c>
      <c r="BG308" s="8">
        <f t="shared" si="174"/>
        <v>0.86923171973097624</v>
      </c>
      <c r="BH308" s="13" t="s">
        <v>841</v>
      </c>
      <c r="BI308" s="13"/>
      <c r="BJ308" s="13"/>
      <c r="BK308" s="8"/>
      <c r="BL308" s="8"/>
      <c r="BM308" s="18"/>
      <c r="BN308" s="8"/>
      <c r="BO308" s="24"/>
    </row>
    <row r="309" spans="1:67" s="14" customFormat="1" x14ac:dyDescent="0.3">
      <c r="A309" s="20">
        <v>307</v>
      </c>
      <c r="B309" s="2" t="s">
        <v>241</v>
      </c>
      <c r="C309" s="2">
        <v>2019</v>
      </c>
      <c r="D309" s="2" t="s">
        <v>201</v>
      </c>
      <c r="E309" s="10" t="s">
        <v>800</v>
      </c>
      <c r="F309" s="20" t="s">
        <v>29</v>
      </c>
      <c r="G309" s="2">
        <v>55</v>
      </c>
      <c r="H309" s="2" t="str">
        <f>'PFAS Properties'!$B$33</f>
        <v>PFOA</v>
      </c>
      <c r="I309" s="2" t="str">
        <f>'PFAS Properties'!$C$33</f>
        <v>PFCA</v>
      </c>
      <c r="J309" s="2" t="str">
        <f>'PFAS Properties'!$D$33</f>
        <v>C8HF15O2</v>
      </c>
      <c r="K309" s="25">
        <f>'PFAS Properties'!$P$33</f>
        <v>413.97359999999998</v>
      </c>
      <c r="L309" s="2">
        <f>'PFAS Properties'!$X$33</f>
        <v>-0.2</v>
      </c>
      <c r="M309" s="2" t="str">
        <f>'PFAS Properties'!$Y$33</f>
        <v>-</v>
      </c>
      <c r="N309" s="33">
        <v>0</v>
      </c>
      <c r="O309" s="33">
        <v>0</v>
      </c>
      <c r="P309" s="33">
        <v>0</v>
      </c>
      <c r="Q309" s="33">
        <f t="shared" si="161"/>
        <v>0.99999998004737722</v>
      </c>
      <c r="R309" s="33">
        <v>0</v>
      </c>
      <c r="S309" s="33">
        <f t="shared" si="162"/>
        <v>1.995262275158161E-8</v>
      </c>
      <c r="T309" s="8">
        <f t="shared" si="163"/>
        <v>1</v>
      </c>
      <c r="U309" s="33">
        <f t="shared" si="164"/>
        <v>0</v>
      </c>
      <c r="V309" s="33">
        <f t="shared" si="165"/>
        <v>-0.99999998004737722</v>
      </c>
      <c r="W309" s="33">
        <f t="shared" si="166"/>
        <v>412.97360001995258</v>
      </c>
      <c r="X309" s="33">
        <v>96485</v>
      </c>
      <c r="Y309" s="16">
        <f t="shared" si="167"/>
        <v>-233.63478457269321</v>
      </c>
      <c r="Z309" s="16">
        <v>8</v>
      </c>
      <c r="AA309" s="16">
        <v>15</v>
      </c>
      <c r="AB309" s="8">
        <f t="shared" si="168"/>
        <v>0.33684210526315789</v>
      </c>
      <c r="AC309" s="16">
        <f t="shared" si="160"/>
        <v>68.844969824162703</v>
      </c>
      <c r="AD309" s="20">
        <f>'PFAS Properties'!$W$33</f>
        <v>7</v>
      </c>
      <c r="AE309" s="8">
        <f>'PFAS Properties'!$S$33</f>
        <v>2.6821450763738319</v>
      </c>
      <c r="AF309" s="15">
        <f>'PFAS Properties'!$V$33</f>
        <v>4.9000000000000004</v>
      </c>
      <c r="AG309" s="24">
        <v>7.5</v>
      </c>
      <c r="AH309" s="2" t="s">
        <v>122</v>
      </c>
      <c r="AI309" s="2" t="s">
        <v>661</v>
      </c>
      <c r="AJ309" s="2" t="s">
        <v>661</v>
      </c>
      <c r="AK309" s="2" t="s">
        <v>661</v>
      </c>
      <c r="AL309" s="2" t="s">
        <v>661</v>
      </c>
      <c r="AM309" s="2" t="s">
        <v>661</v>
      </c>
      <c r="AN309" s="2" t="s">
        <v>661</v>
      </c>
      <c r="AO309" s="2" t="s">
        <v>661</v>
      </c>
      <c r="AP309" s="15">
        <v>33.799999999999997</v>
      </c>
      <c r="AQ309" s="2" t="s">
        <v>661</v>
      </c>
      <c r="AR309" s="16">
        <v>34</v>
      </c>
      <c r="AS309" s="16">
        <v>16</v>
      </c>
      <c r="AT309" s="16">
        <v>50</v>
      </c>
      <c r="AU309" s="2" t="s">
        <v>661</v>
      </c>
      <c r="AV309" s="16">
        <f t="shared" si="172"/>
        <v>100</v>
      </c>
      <c r="AW309" s="18">
        <v>0.6</v>
      </c>
      <c r="AX309" s="13">
        <f t="shared" si="171"/>
        <v>6.0000000000000001E-3</v>
      </c>
      <c r="AY309" s="13" t="s">
        <v>123</v>
      </c>
      <c r="AZ309" s="16">
        <f t="shared" si="170"/>
        <v>100</v>
      </c>
      <c r="BA309" s="16" t="s">
        <v>55</v>
      </c>
      <c r="BB309" s="15">
        <v>2.2999999999999998</v>
      </c>
      <c r="BC309" s="16" t="s">
        <v>55</v>
      </c>
      <c r="BD309" s="18">
        <v>10.3</v>
      </c>
      <c r="BE309" s="15">
        <f t="shared" si="173"/>
        <v>1716.6666666666667</v>
      </c>
      <c r="BF309" s="8">
        <f t="shared" si="169"/>
        <v>3.2346859743215286</v>
      </c>
      <c r="BG309" s="8">
        <f t="shared" si="174"/>
        <v>1.0128372247051722</v>
      </c>
      <c r="BH309" s="13" t="s">
        <v>841</v>
      </c>
      <c r="BI309" s="13"/>
      <c r="BJ309" s="13"/>
      <c r="BK309" s="8"/>
      <c r="BL309" s="8"/>
      <c r="BM309" s="18"/>
      <c r="BN309" s="8"/>
      <c r="BO309" s="24"/>
    </row>
    <row r="310" spans="1:67" s="14" customFormat="1" x14ac:dyDescent="0.3">
      <c r="A310" s="20">
        <v>308</v>
      </c>
      <c r="B310" s="2" t="s">
        <v>241</v>
      </c>
      <c r="C310" s="2">
        <v>2019</v>
      </c>
      <c r="D310" s="2" t="s">
        <v>201</v>
      </c>
      <c r="E310" s="10" t="s">
        <v>800</v>
      </c>
      <c r="F310" s="20" t="s">
        <v>29</v>
      </c>
      <c r="G310" s="2">
        <v>56</v>
      </c>
      <c r="H310" s="2" t="str">
        <f>'PFAS Properties'!$B$33</f>
        <v>PFOA</v>
      </c>
      <c r="I310" s="2" t="str">
        <f>'PFAS Properties'!$C$33</f>
        <v>PFCA</v>
      </c>
      <c r="J310" s="2" t="str">
        <f>'PFAS Properties'!$D$33</f>
        <v>C8HF15O2</v>
      </c>
      <c r="K310" s="25">
        <f>'PFAS Properties'!$P$33</f>
        <v>413.97359999999998</v>
      </c>
      <c r="L310" s="2">
        <f>'PFAS Properties'!$X$33</f>
        <v>-0.2</v>
      </c>
      <c r="M310" s="2" t="str">
        <f>'PFAS Properties'!$Y$33</f>
        <v>-</v>
      </c>
      <c r="N310" s="33">
        <v>0</v>
      </c>
      <c r="O310" s="33">
        <v>0</v>
      </c>
      <c r="P310" s="33">
        <v>0</v>
      </c>
      <c r="Q310" s="33">
        <f t="shared" si="161"/>
        <v>0.99999999369042658</v>
      </c>
      <c r="R310" s="33">
        <v>0</v>
      </c>
      <c r="S310" s="33">
        <f t="shared" si="162"/>
        <v>6.3095734049912165E-9</v>
      </c>
      <c r="T310" s="8">
        <f t="shared" si="163"/>
        <v>1</v>
      </c>
      <c r="U310" s="33">
        <f t="shared" si="164"/>
        <v>0</v>
      </c>
      <c r="V310" s="33">
        <f t="shared" si="165"/>
        <v>-0.99999999369042658</v>
      </c>
      <c r="W310" s="33">
        <f t="shared" si="166"/>
        <v>412.97360000630954</v>
      </c>
      <c r="X310" s="33">
        <v>96485</v>
      </c>
      <c r="Y310" s="16">
        <f t="shared" si="167"/>
        <v>-233.63478776790257</v>
      </c>
      <c r="Z310" s="16">
        <v>8</v>
      </c>
      <c r="AA310" s="16">
        <v>15</v>
      </c>
      <c r="AB310" s="8">
        <f t="shared" si="168"/>
        <v>0.33684210526315789</v>
      </c>
      <c r="AC310" s="16">
        <f t="shared" si="160"/>
        <v>68.844969824162703</v>
      </c>
      <c r="AD310" s="20">
        <f>'PFAS Properties'!$W$33</f>
        <v>7</v>
      </c>
      <c r="AE310" s="8">
        <f>'PFAS Properties'!$S$33</f>
        <v>2.6821450763738319</v>
      </c>
      <c r="AF310" s="15">
        <f>'PFAS Properties'!$V$33</f>
        <v>4.9000000000000004</v>
      </c>
      <c r="AG310" s="24">
        <v>8</v>
      </c>
      <c r="AH310" s="2" t="s">
        <v>122</v>
      </c>
      <c r="AI310" s="2" t="s">
        <v>661</v>
      </c>
      <c r="AJ310" s="2" t="s">
        <v>661</v>
      </c>
      <c r="AK310" s="2" t="s">
        <v>661</v>
      </c>
      <c r="AL310" s="2" t="s">
        <v>661</v>
      </c>
      <c r="AM310" s="2" t="s">
        <v>661</v>
      </c>
      <c r="AN310" s="2" t="s">
        <v>661</v>
      </c>
      <c r="AO310" s="2" t="s">
        <v>661</v>
      </c>
      <c r="AP310" s="15">
        <v>27.1</v>
      </c>
      <c r="AQ310" s="2" t="s">
        <v>661</v>
      </c>
      <c r="AR310" s="16">
        <v>25</v>
      </c>
      <c r="AS310" s="16">
        <v>20</v>
      </c>
      <c r="AT310" s="16">
        <v>55</v>
      </c>
      <c r="AU310" s="2" t="s">
        <v>661</v>
      </c>
      <c r="AV310" s="16">
        <f t="shared" si="172"/>
        <v>100</v>
      </c>
      <c r="AW310" s="18">
        <v>0.3</v>
      </c>
      <c r="AX310" s="13">
        <f t="shared" si="171"/>
        <v>3.0000000000000001E-3</v>
      </c>
      <c r="AY310" s="13" t="s">
        <v>123</v>
      </c>
      <c r="AZ310" s="16">
        <f t="shared" si="170"/>
        <v>100</v>
      </c>
      <c r="BA310" s="16" t="s">
        <v>55</v>
      </c>
      <c r="BB310" s="15">
        <v>2.2999999999999998</v>
      </c>
      <c r="BC310" s="16" t="s">
        <v>55</v>
      </c>
      <c r="BD310" s="18">
        <v>5.4</v>
      </c>
      <c r="BE310" s="15">
        <f t="shared" si="173"/>
        <v>1800</v>
      </c>
      <c r="BF310" s="8">
        <f t="shared" si="169"/>
        <v>3.255272505103306</v>
      </c>
      <c r="BG310" s="8">
        <f t="shared" si="174"/>
        <v>0.7323937598229685</v>
      </c>
      <c r="BH310" s="13" t="s">
        <v>841</v>
      </c>
      <c r="BI310" s="13"/>
      <c r="BJ310" s="13"/>
      <c r="BK310" s="8"/>
      <c r="BL310" s="8"/>
      <c r="BM310" s="18"/>
      <c r="BN310" s="8"/>
      <c r="BO310" s="24"/>
    </row>
    <row r="311" spans="1:67" s="14" customFormat="1" x14ac:dyDescent="0.3">
      <c r="A311" s="20">
        <v>309</v>
      </c>
      <c r="B311" s="2" t="s">
        <v>241</v>
      </c>
      <c r="C311" s="2">
        <v>2019</v>
      </c>
      <c r="D311" s="2" t="s">
        <v>201</v>
      </c>
      <c r="E311" s="10" t="s">
        <v>800</v>
      </c>
      <c r="F311" s="20" t="s">
        <v>29</v>
      </c>
      <c r="G311" s="2">
        <v>57</v>
      </c>
      <c r="H311" s="2" t="str">
        <f>'PFAS Properties'!$B$33</f>
        <v>PFOA</v>
      </c>
      <c r="I311" s="2" t="str">
        <f>'PFAS Properties'!$C$33</f>
        <v>PFCA</v>
      </c>
      <c r="J311" s="2" t="str">
        <f>'PFAS Properties'!$D$33</f>
        <v>C8HF15O2</v>
      </c>
      <c r="K311" s="25">
        <f>'PFAS Properties'!$P$33</f>
        <v>413.97359999999998</v>
      </c>
      <c r="L311" s="2">
        <f>'PFAS Properties'!$X$33</f>
        <v>-0.2</v>
      </c>
      <c r="M311" s="2" t="str">
        <f>'PFAS Properties'!$Y$33</f>
        <v>-</v>
      </c>
      <c r="N311" s="33">
        <v>0</v>
      </c>
      <c r="O311" s="33">
        <v>0</v>
      </c>
      <c r="P311" s="33">
        <v>0</v>
      </c>
      <c r="Q311" s="33">
        <f t="shared" si="161"/>
        <v>0.99999998415106828</v>
      </c>
      <c r="R311" s="33">
        <v>0</v>
      </c>
      <c r="S311" s="33">
        <f t="shared" si="162"/>
        <v>1.5848931673422493E-8</v>
      </c>
      <c r="T311" s="8">
        <f t="shared" si="163"/>
        <v>1</v>
      </c>
      <c r="U311" s="33">
        <f t="shared" si="164"/>
        <v>0</v>
      </c>
      <c r="V311" s="33">
        <f t="shared" si="165"/>
        <v>-0.99999998415106828</v>
      </c>
      <c r="W311" s="33">
        <f t="shared" si="166"/>
        <v>412.97360001584889</v>
      </c>
      <c r="X311" s="33">
        <v>96485</v>
      </c>
      <c r="Y311" s="16">
        <f t="shared" si="167"/>
        <v>-233.63478553377979</v>
      </c>
      <c r="Z311" s="16">
        <v>8</v>
      </c>
      <c r="AA311" s="16">
        <v>15</v>
      </c>
      <c r="AB311" s="8">
        <f t="shared" si="168"/>
        <v>0.33684210526315789</v>
      </c>
      <c r="AC311" s="16">
        <f t="shared" si="160"/>
        <v>68.844969824162703</v>
      </c>
      <c r="AD311" s="20">
        <f>'PFAS Properties'!$W$33</f>
        <v>7</v>
      </c>
      <c r="AE311" s="8">
        <f>'PFAS Properties'!$S$33</f>
        <v>2.6821450763738319</v>
      </c>
      <c r="AF311" s="15">
        <f>'PFAS Properties'!$V$33</f>
        <v>4.9000000000000004</v>
      </c>
      <c r="AG311" s="24">
        <v>7.6</v>
      </c>
      <c r="AH311" s="2" t="s">
        <v>122</v>
      </c>
      <c r="AI311" s="2" t="s">
        <v>661</v>
      </c>
      <c r="AJ311" s="2" t="s">
        <v>661</v>
      </c>
      <c r="AK311" s="2" t="s">
        <v>661</v>
      </c>
      <c r="AL311" s="2" t="s">
        <v>661</v>
      </c>
      <c r="AM311" s="2" t="s">
        <v>661</v>
      </c>
      <c r="AN311" s="2" t="s">
        <v>661</v>
      </c>
      <c r="AO311" s="2" t="s">
        <v>661</v>
      </c>
      <c r="AP311" s="15">
        <v>24.1</v>
      </c>
      <c r="AQ311" s="2" t="s">
        <v>661</v>
      </c>
      <c r="AR311" s="16">
        <v>46</v>
      </c>
      <c r="AS311" s="16">
        <v>14</v>
      </c>
      <c r="AT311" s="16">
        <v>40</v>
      </c>
      <c r="AU311" s="2" t="s">
        <v>661</v>
      </c>
      <c r="AV311" s="16">
        <f t="shared" si="172"/>
        <v>100</v>
      </c>
      <c r="AW311" s="18">
        <v>0.7</v>
      </c>
      <c r="AX311" s="13">
        <f t="shared" si="171"/>
        <v>6.9999999999999993E-3</v>
      </c>
      <c r="AY311" s="13" t="s">
        <v>123</v>
      </c>
      <c r="AZ311" s="16">
        <f t="shared" si="170"/>
        <v>100</v>
      </c>
      <c r="BA311" s="16" t="s">
        <v>55</v>
      </c>
      <c r="BB311" s="15">
        <v>2.2999999999999998</v>
      </c>
      <c r="BC311" s="16" t="s">
        <v>55</v>
      </c>
      <c r="BD311" s="18">
        <v>9</v>
      </c>
      <c r="BE311" s="15">
        <f t="shared" si="173"/>
        <v>1285.7142857142858</v>
      </c>
      <c r="BF311" s="8">
        <f t="shared" si="169"/>
        <v>3.1091444694250683</v>
      </c>
      <c r="BG311" s="8">
        <f t="shared" si="174"/>
        <v>0.95424250943932487</v>
      </c>
      <c r="BH311" s="13" t="s">
        <v>841</v>
      </c>
      <c r="BI311" s="13"/>
      <c r="BJ311" s="13"/>
      <c r="BK311" s="8"/>
      <c r="BL311" s="8"/>
      <c r="BM311" s="18"/>
      <c r="BN311" s="8"/>
      <c r="BO311" s="24"/>
    </row>
    <row r="312" spans="1:67" s="14" customFormat="1" x14ac:dyDescent="0.3">
      <c r="A312" s="20">
        <v>310</v>
      </c>
      <c r="B312" s="2" t="s">
        <v>241</v>
      </c>
      <c r="C312" s="2">
        <v>2019</v>
      </c>
      <c r="D312" s="2" t="s">
        <v>201</v>
      </c>
      <c r="E312" s="10" t="s">
        <v>800</v>
      </c>
      <c r="F312" s="20" t="s">
        <v>29</v>
      </c>
      <c r="G312" s="2">
        <v>58</v>
      </c>
      <c r="H312" s="2" t="str">
        <f>'PFAS Properties'!$B$33</f>
        <v>PFOA</v>
      </c>
      <c r="I312" s="2" t="str">
        <f>'PFAS Properties'!$C$33</f>
        <v>PFCA</v>
      </c>
      <c r="J312" s="2" t="str">
        <f>'PFAS Properties'!$D$33</f>
        <v>C8HF15O2</v>
      </c>
      <c r="K312" s="25">
        <f>'PFAS Properties'!$P$33</f>
        <v>413.97359999999998</v>
      </c>
      <c r="L312" s="2">
        <f>'PFAS Properties'!$X$33</f>
        <v>-0.2</v>
      </c>
      <c r="M312" s="2" t="str">
        <f>'PFAS Properties'!$Y$33</f>
        <v>-</v>
      </c>
      <c r="N312" s="33">
        <v>0</v>
      </c>
      <c r="O312" s="33">
        <v>0</v>
      </c>
      <c r="P312" s="33">
        <v>0</v>
      </c>
      <c r="Q312" s="33">
        <f t="shared" si="161"/>
        <v>0.99999998741074603</v>
      </c>
      <c r="R312" s="33">
        <v>0</v>
      </c>
      <c r="S312" s="33">
        <f t="shared" si="162"/>
        <v>1.258925395945232E-8</v>
      </c>
      <c r="T312" s="8">
        <f t="shared" si="163"/>
        <v>1</v>
      </c>
      <c r="U312" s="33">
        <f t="shared" si="164"/>
        <v>0</v>
      </c>
      <c r="V312" s="33">
        <f t="shared" si="165"/>
        <v>-0.99999998741074603</v>
      </c>
      <c r="W312" s="33">
        <f t="shared" si="166"/>
        <v>412.9736000125892</v>
      </c>
      <c r="X312" s="33">
        <v>96485</v>
      </c>
      <c r="Y312" s="16">
        <f t="shared" si="167"/>
        <v>-233.63478629719808</v>
      </c>
      <c r="Z312" s="16">
        <v>8</v>
      </c>
      <c r="AA312" s="16">
        <v>15</v>
      </c>
      <c r="AB312" s="8">
        <f t="shared" si="168"/>
        <v>0.33684210526315789</v>
      </c>
      <c r="AC312" s="16">
        <f t="shared" si="160"/>
        <v>68.844969824162703</v>
      </c>
      <c r="AD312" s="20">
        <f>'PFAS Properties'!$W$33</f>
        <v>7</v>
      </c>
      <c r="AE312" s="8">
        <f>'PFAS Properties'!$S$33</f>
        <v>2.6821450763738319</v>
      </c>
      <c r="AF312" s="15">
        <f>'PFAS Properties'!$V$33</f>
        <v>4.9000000000000004</v>
      </c>
      <c r="AG312" s="24">
        <v>7.7</v>
      </c>
      <c r="AH312" s="2" t="s">
        <v>122</v>
      </c>
      <c r="AI312" s="2" t="s">
        <v>661</v>
      </c>
      <c r="AJ312" s="2" t="s">
        <v>661</v>
      </c>
      <c r="AK312" s="2" t="s">
        <v>661</v>
      </c>
      <c r="AL312" s="2" t="s">
        <v>661</v>
      </c>
      <c r="AM312" s="2" t="s">
        <v>661</v>
      </c>
      <c r="AN312" s="2" t="s">
        <v>661</v>
      </c>
      <c r="AO312" s="2" t="s">
        <v>661</v>
      </c>
      <c r="AP312" s="15">
        <v>14.2</v>
      </c>
      <c r="AQ312" s="2" t="s">
        <v>661</v>
      </c>
      <c r="AR312" s="71">
        <v>29.8888</v>
      </c>
      <c r="AS312" s="71">
        <v>44.728099999999998</v>
      </c>
      <c r="AT312" s="71">
        <v>26.741849999999999</v>
      </c>
      <c r="AU312" s="70" t="s">
        <v>752</v>
      </c>
      <c r="AV312" s="16">
        <f t="shared" si="172"/>
        <v>101.35875</v>
      </c>
      <c r="AW312" s="18">
        <v>0.4</v>
      </c>
      <c r="AX312" s="13">
        <f t="shared" si="171"/>
        <v>4.0000000000000001E-3</v>
      </c>
      <c r="AY312" s="13" t="s">
        <v>123</v>
      </c>
      <c r="AZ312" s="16">
        <f t="shared" si="170"/>
        <v>100</v>
      </c>
      <c r="BA312" s="16" t="s">
        <v>55</v>
      </c>
      <c r="BB312" s="15">
        <v>2.2999999999999998</v>
      </c>
      <c r="BC312" s="16" t="s">
        <v>55</v>
      </c>
      <c r="BD312" s="18">
        <v>6.8</v>
      </c>
      <c r="BE312" s="15">
        <f t="shared" si="173"/>
        <v>1700</v>
      </c>
      <c r="BF312" s="8">
        <f t="shared" si="169"/>
        <v>3.2304489213782741</v>
      </c>
      <c r="BG312" s="8">
        <f t="shared" si="174"/>
        <v>0.83250891270623628</v>
      </c>
      <c r="BH312" s="13" t="s">
        <v>841</v>
      </c>
      <c r="BI312" s="13"/>
      <c r="BJ312" s="13"/>
      <c r="BK312" s="8"/>
      <c r="BL312" s="8"/>
      <c r="BM312" s="18"/>
      <c r="BN312" s="8"/>
      <c r="BO312" s="24"/>
    </row>
    <row r="313" spans="1:67" s="14" customFormat="1" x14ac:dyDescent="0.3">
      <c r="A313" s="20">
        <v>311</v>
      </c>
      <c r="B313" s="2" t="s">
        <v>241</v>
      </c>
      <c r="C313" s="2">
        <v>2019</v>
      </c>
      <c r="D313" s="2" t="s">
        <v>201</v>
      </c>
      <c r="E313" s="10" t="s">
        <v>800</v>
      </c>
      <c r="F313" s="20" t="s">
        <v>29</v>
      </c>
      <c r="G313" s="2">
        <v>59</v>
      </c>
      <c r="H313" s="2" t="str">
        <f>'PFAS Properties'!$B$33</f>
        <v>PFOA</v>
      </c>
      <c r="I313" s="2" t="str">
        <f>'PFAS Properties'!$C$33</f>
        <v>PFCA</v>
      </c>
      <c r="J313" s="2" t="str">
        <f>'PFAS Properties'!$D$33</f>
        <v>C8HF15O2</v>
      </c>
      <c r="K313" s="25">
        <f>'PFAS Properties'!$P$33</f>
        <v>413.97359999999998</v>
      </c>
      <c r="L313" s="2">
        <f>'PFAS Properties'!$X$33</f>
        <v>-0.2</v>
      </c>
      <c r="M313" s="2" t="str">
        <f>'PFAS Properties'!$Y$33</f>
        <v>-</v>
      </c>
      <c r="N313" s="33">
        <v>0</v>
      </c>
      <c r="O313" s="33">
        <v>0</v>
      </c>
      <c r="P313" s="33">
        <v>0</v>
      </c>
      <c r="Q313" s="33">
        <f t="shared" si="161"/>
        <v>0.99999998741074603</v>
      </c>
      <c r="R313" s="33">
        <v>0</v>
      </c>
      <c r="S313" s="33">
        <f t="shared" si="162"/>
        <v>1.258925395945232E-8</v>
      </c>
      <c r="T313" s="8">
        <f t="shared" si="163"/>
        <v>1</v>
      </c>
      <c r="U313" s="33">
        <f t="shared" si="164"/>
        <v>0</v>
      </c>
      <c r="V313" s="33">
        <f t="shared" si="165"/>
        <v>-0.99999998741074603</v>
      </c>
      <c r="W313" s="33">
        <f t="shared" si="166"/>
        <v>412.9736000125892</v>
      </c>
      <c r="X313" s="33">
        <v>96485</v>
      </c>
      <c r="Y313" s="16">
        <f t="shared" si="167"/>
        <v>-233.63478629719808</v>
      </c>
      <c r="Z313" s="16">
        <v>8</v>
      </c>
      <c r="AA313" s="16">
        <v>15</v>
      </c>
      <c r="AB313" s="8">
        <f t="shared" si="168"/>
        <v>0.33684210526315789</v>
      </c>
      <c r="AC313" s="16">
        <f t="shared" si="160"/>
        <v>68.844969824162703</v>
      </c>
      <c r="AD313" s="20">
        <f>'PFAS Properties'!$W$33</f>
        <v>7</v>
      </c>
      <c r="AE313" s="8">
        <f>'PFAS Properties'!$S$33</f>
        <v>2.6821450763738319</v>
      </c>
      <c r="AF313" s="15">
        <f>'PFAS Properties'!$V$33</f>
        <v>4.9000000000000004</v>
      </c>
      <c r="AG313" s="24">
        <v>7.7</v>
      </c>
      <c r="AH313" s="2" t="s">
        <v>122</v>
      </c>
      <c r="AI313" s="2" t="s">
        <v>661</v>
      </c>
      <c r="AJ313" s="2" t="s">
        <v>661</v>
      </c>
      <c r="AK313" s="2" t="s">
        <v>661</v>
      </c>
      <c r="AL313" s="2" t="s">
        <v>661</v>
      </c>
      <c r="AM313" s="2" t="s">
        <v>661</v>
      </c>
      <c r="AN313" s="2" t="s">
        <v>661</v>
      </c>
      <c r="AO313" s="2" t="s">
        <v>661</v>
      </c>
      <c r="AP313" s="15">
        <v>21</v>
      </c>
      <c r="AQ313" s="2" t="s">
        <v>661</v>
      </c>
      <c r="AR313" s="16">
        <v>45.6</v>
      </c>
      <c r="AS313" s="16">
        <v>11.5</v>
      </c>
      <c r="AT313" s="16">
        <v>42.9</v>
      </c>
      <c r="AU313" s="2" t="s">
        <v>661</v>
      </c>
      <c r="AV313" s="16">
        <f t="shared" si="172"/>
        <v>100</v>
      </c>
      <c r="AW313" s="18">
        <v>0.5</v>
      </c>
      <c r="AX313" s="13">
        <f t="shared" si="171"/>
        <v>5.0000000000000001E-3</v>
      </c>
      <c r="AY313" s="13" t="s">
        <v>123</v>
      </c>
      <c r="AZ313" s="16">
        <f t="shared" si="170"/>
        <v>100</v>
      </c>
      <c r="BA313" s="16" t="s">
        <v>55</v>
      </c>
      <c r="BB313" s="15">
        <v>2.2999999999999998</v>
      </c>
      <c r="BC313" s="16" t="s">
        <v>55</v>
      </c>
      <c r="BD313" s="18">
        <v>6.8</v>
      </c>
      <c r="BE313" s="15">
        <f t="shared" si="173"/>
        <v>1360</v>
      </c>
      <c r="BF313" s="8">
        <f t="shared" si="169"/>
        <v>3.1335389083702174</v>
      </c>
      <c r="BG313" s="8">
        <f t="shared" si="174"/>
        <v>0.83250891270623628</v>
      </c>
      <c r="BH313" s="13" t="s">
        <v>841</v>
      </c>
      <c r="BI313" s="13"/>
      <c r="BJ313" s="13"/>
      <c r="BK313" s="8"/>
      <c r="BL313" s="8"/>
      <c r="BM313" s="18"/>
      <c r="BN313" s="8"/>
      <c r="BO313" s="24"/>
    </row>
    <row r="314" spans="1:67" s="14" customFormat="1" x14ac:dyDescent="0.3">
      <c r="A314" s="20">
        <v>312</v>
      </c>
      <c r="B314" s="2" t="s">
        <v>241</v>
      </c>
      <c r="C314" s="2">
        <v>2019</v>
      </c>
      <c r="D314" s="2" t="s">
        <v>201</v>
      </c>
      <c r="E314" s="10" t="s">
        <v>800</v>
      </c>
      <c r="F314" s="20" t="s">
        <v>29</v>
      </c>
      <c r="G314" s="2">
        <v>60</v>
      </c>
      <c r="H314" s="2" t="str">
        <f>'PFAS Properties'!$B$33</f>
        <v>PFOA</v>
      </c>
      <c r="I314" s="2" t="str">
        <f>'PFAS Properties'!$C$33</f>
        <v>PFCA</v>
      </c>
      <c r="J314" s="2" t="str">
        <f>'PFAS Properties'!$D$33</f>
        <v>C8HF15O2</v>
      </c>
      <c r="K314" s="25">
        <f>'PFAS Properties'!$P$33</f>
        <v>413.97359999999998</v>
      </c>
      <c r="L314" s="2">
        <f>'PFAS Properties'!$X$33</f>
        <v>-0.2</v>
      </c>
      <c r="M314" s="2" t="str">
        <f>'PFAS Properties'!$Y$33</f>
        <v>-</v>
      </c>
      <c r="N314" s="33">
        <v>0</v>
      </c>
      <c r="O314" s="33">
        <v>0</v>
      </c>
      <c r="P314" s="33">
        <v>0</v>
      </c>
      <c r="Q314" s="33">
        <f t="shared" si="161"/>
        <v>0.99999999601892831</v>
      </c>
      <c r="R314" s="33">
        <v>0</v>
      </c>
      <c r="S314" s="33">
        <f t="shared" si="162"/>
        <v>3.9810716896860486E-9</v>
      </c>
      <c r="T314" s="8">
        <f t="shared" si="163"/>
        <v>1</v>
      </c>
      <c r="U314" s="33">
        <f t="shared" si="164"/>
        <v>0</v>
      </c>
      <c r="V314" s="33">
        <f t="shared" si="165"/>
        <v>-0.99999999601892831</v>
      </c>
      <c r="W314" s="33">
        <f t="shared" si="166"/>
        <v>412.97360000398106</v>
      </c>
      <c r="X314" s="33">
        <v>96485</v>
      </c>
      <c r="Y314" s="16">
        <f t="shared" si="167"/>
        <v>-233.63478831323886</v>
      </c>
      <c r="Z314" s="16">
        <v>8</v>
      </c>
      <c r="AA314" s="16">
        <v>15</v>
      </c>
      <c r="AB314" s="8">
        <f t="shared" si="168"/>
        <v>0.33684210526315789</v>
      </c>
      <c r="AC314" s="16">
        <f t="shared" si="160"/>
        <v>68.844969824162703</v>
      </c>
      <c r="AD314" s="20">
        <f>'PFAS Properties'!$W$33</f>
        <v>7</v>
      </c>
      <c r="AE314" s="8">
        <f>'PFAS Properties'!$S$33</f>
        <v>2.6821450763738319</v>
      </c>
      <c r="AF314" s="15">
        <f>'PFAS Properties'!$V$33</f>
        <v>4.9000000000000004</v>
      </c>
      <c r="AG314" s="24">
        <v>8.1999999999999993</v>
      </c>
      <c r="AH314" s="2" t="s">
        <v>122</v>
      </c>
      <c r="AI314" s="2" t="s">
        <v>661</v>
      </c>
      <c r="AJ314" s="2" t="s">
        <v>661</v>
      </c>
      <c r="AK314" s="2" t="s">
        <v>661</v>
      </c>
      <c r="AL314" s="2" t="s">
        <v>661</v>
      </c>
      <c r="AM314" s="2" t="s">
        <v>661</v>
      </c>
      <c r="AN314" s="2" t="s">
        <v>661</v>
      </c>
      <c r="AO314" s="2" t="s">
        <v>661</v>
      </c>
      <c r="AP314" s="15">
        <v>26.8</v>
      </c>
      <c r="AQ314" s="2" t="s">
        <v>661</v>
      </c>
      <c r="AR314" s="16">
        <v>45.6</v>
      </c>
      <c r="AS314" s="16">
        <v>6.1000000000000014</v>
      </c>
      <c r="AT314" s="16">
        <v>48.3</v>
      </c>
      <c r="AU314" s="2" t="s">
        <v>661</v>
      </c>
      <c r="AV314" s="16">
        <f t="shared" si="172"/>
        <v>100</v>
      </c>
      <c r="AW314" s="18">
        <v>0.1</v>
      </c>
      <c r="AX314" s="13">
        <f t="shared" si="171"/>
        <v>1E-3</v>
      </c>
      <c r="AY314" s="13" t="s">
        <v>123</v>
      </c>
      <c r="AZ314" s="16">
        <f t="shared" si="170"/>
        <v>100</v>
      </c>
      <c r="BA314" s="16" t="s">
        <v>55</v>
      </c>
      <c r="BB314" s="15">
        <v>2.2999999999999998</v>
      </c>
      <c r="BC314" s="16" t="s">
        <v>55</v>
      </c>
      <c r="BD314" s="18">
        <v>3.9</v>
      </c>
      <c r="BE314" s="15">
        <f t="shared" si="173"/>
        <v>3900</v>
      </c>
      <c r="BF314" s="8">
        <f t="shared" si="169"/>
        <v>3.5910646070264991</v>
      </c>
      <c r="BG314" s="8">
        <f t="shared" si="174"/>
        <v>0.59106460702649921</v>
      </c>
      <c r="BH314" s="13" t="s">
        <v>841</v>
      </c>
      <c r="BI314" s="13"/>
      <c r="BJ314" s="13"/>
      <c r="BK314" s="8"/>
      <c r="BL314" s="8"/>
      <c r="BM314" s="18"/>
      <c r="BN314" s="8"/>
      <c r="BO314" s="24"/>
    </row>
    <row r="315" spans="1:67" s="14" customFormat="1" x14ac:dyDescent="0.3">
      <c r="A315" s="20">
        <v>313</v>
      </c>
      <c r="B315" s="2" t="s">
        <v>241</v>
      </c>
      <c r="C315" s="2">
        <v>2019</v>
      </c>
      <c r="D315" s="2" t="s">
        <v>201</v>
      </c>
      <c r="E315" s="10" t="s">
        <v>800</v>
      </c>
      <c r="F315" s="20" t="s">
        <v>29</v>
      </c>
      <c r="G315" s="2">
        <v>61</v>
      </c>
      <c r="H315" s="2" t="str">
        <f>'PFAS Properties'!$B$33</f>
        <v>PFOA</v>
      </c>
      <c r="I315" s="2" t="str">
        <f>'PFAS Properties'!$C$33</f>
        <v>PFCA</v>
      </c>
      <c r="J315" s="2" t="str">
        <f>'PFAS Properties'!$D$33</f>
        <v>C8HF15O2</v>
      </c>
      <c r="K315" s="25">
        <f>'PFAS Properties'!$P$33</f>
        <v>413.97359999999998</v>
      </c>
      <c r="L315" s="2">
        <f>'PFAS Properties'!$X$33</f>
        <v>-0.2</v>
      </c>
      <c r="M315" s="2" t="str">
        <f>'PFAS Properties'!$Y$33</f>
        <v>-</v>
      </c>
      <c r="N315" s="33">
        <v>0</v>
      </c>
      <c r="O315" s="33">
        <v>0</v>
      </c>
      <c r="P315" s="33">
        <v>0</v>
      </c>
      <c r="Q315" s="33">
        <f t="shared" si="161"/>
        <v>0.99999999601892831</v>
      </c>
      <c r="R315" s="33">
        <v>0</v>
      </c>
      <c r="S315" s="33">
        <f t="shared" si="162"/>
        <v>3.9810716896860486E-9</v>
      </c>
      <c r="T315" s="8">
        <f t="shared" si="163"/>
        <v>1</v>
      </c>
      <c r="U315" s="33">
        <f t="shared" si="164"/>
        <v>0</v>
      </c>
      <c r="V315" s="33">
        <f t="shared" si="165"/>
        <v>-0.99999999601892831</v>
      </c>
      <c r="W315" s="33">
        <f t="shared" si="166"/>
        <v>412.97360000398106</v>
      </c>
      <c r="X315" s="33">
        <v>96485</v>
      </c>
      <c r="Y315" s="16">
        <f t="shared" si="167"/>
        <v>-233.63478831323886</v>
      </c>
      <c r="Z315" s="16">
        <v>8</v>
      </c>
      <c r="AA315" s="16">
        <v>15</v>
      </c>
      <c r="AB315" s="8">
        <f t="shared" si="168"/>
        <v>0.33684210526315789</v>
      </c>
      <c r="AC315" s="16">
        <f t="shared" si="160"/>
        <v>68.844969824162703</v>
      </c>
      <c r="AD315" s="20">
        <f>'PFAS Properties'!$W$33</f>
        <v>7</v>
      </c>
      <c r="AE315" s="8">
        <f>'PFAS Properties'!$S$33</f>
        <v>2.6821450763738319</v>
      </c>
      <c r="AF315" s="15">
        <f>'PFAS Properties'!$V$33</f>
        <v>4.9000000000000004</v>
      </c>
      <c r="AG315" s="24">
        <v>8.1999999999999993</v>
      </c>
      <c r="AH315" s="2" t="s">
        <v>122</v>
      </c>
      <c r="AI315" s="2" t="s">
        <v>661</v>
      </c>
      <c r="AJ315" s="2" t="s">
        <v>661</v>
      </c>
      <c r="AK315" s="2" t="s">
        <v>661</v>
      </c>
      <c r="AL315" s="2" t="s">
        <v>661</v>
      </c>
      <c r="AM315" s="2" t="s">
        <v>661</v>
      </c>
      <c r="AN315" s="2" t="s">
        <v>661</v>
      </c>
      <c r="AO315" s="2" t="s">
        <v>661</v>
      </c>
      <c r="AP315" s="15">
        <v>27.3</v>
      </c>
      <c r="AQ315" s="2" t="s">
        <v>661</v>
      </c>
      <c r="AR315" s="16">
        <v>39</v>
      </c>
      <c r="AS315" s="16">
        <v>11</v>
      </c>
      <c r="AT315" s="16">
        <v>50</v>
      </c>
      <c r="AU315" s="2" t="s">
        <v>661</v>
      </c>
      <c r="AV315" s="16">
        <f t="shared" si="172"/>
        <v>100</v>
      </c>
      <c r="AW315" s="18">
        <v>0.1</v>
      </c>
      <c r="AX315" s="13">
        <f t="shared" si="171"/>
        <v>1E-3</v>
      </c>
      <c r="AY315" s="13" t="s">
        <v>123</v>
      </c>
      <c r="AZ315" s="16">
        <f t="shared" si="170"/>
        <v>100</v>
      </c>
      <c r="BA315" s="16" t="s">
        <v>55</v>
      </c>
      <c r="BB315" s="15">
        <v>2.2999999999999998</v>
      </c>
      <c r="BC315" s="16" t="s">
        <v>55</v>
      </c>
      <c r="BD315" s="18">
        <v>1.9</v>
      </c>
      <c r="BE315" s="15">
        <f t="shared" si="173"/>
        <v>1899.9999999999998</v>
      </c>
      <c r="BF315" s="8">
        <f t="shared" si="169"/>
        <v>3.2787536009528289</v>
      </c>
      <c r="BG315" s="8">
        <f t="shared" si="174"/>
        <v>0.27875360095282892</v>
      </c>
      <c r="BH315" s="13" t="s">
        <v>841</v>
      </c>
      <c r="BI315" s="13"/>
      <c r="BJ315" s="13"/>
      <c r="BK315" s="8"/>
      <c r="BL315" s="8"/>
      <c r="BM315" s="18"/>
      <c r="BN315" s="8"/>
      <c r="BO315" s="24"/>
    </row>
    <row r="316" spans="1:67" s="14" customFormat="1" x14ac:dyDescent="0.3">
      <c r="A316" s="20">
        <v>314</v>
      </c>
      <c r="B316" s="2" t="s">
        <v>241</v>
      </c>
      <c r="C316" s="2">
        <v>2019</v>
      </c>
      <c r="D316" s="2" t="s">
        <v>201</v>
      </c>
      <c r="E316" s="10" t="s">
        <v>800</v>
      </c>
      <c r="F316" s="20" t="s">
        <v>29</v>
      </c>
      <c r="G316" s="2">
        <v>62</v>
      </c>
      <c r="H316" s="2" t="str">
        <f>'PFAS Properties'!$B$33</f>
        <v>PFOA</v>
      </c>
      <c r="I316" s="2" t="str">
        <f>'PFAS Properties'!$C$33</f>
        <v>PFCA</v>
      </c>
      <c r="J316" s="2" t="str">
        <f>'PFAS Properties'!$D$33</f>
        <v>C8HF15O2</v>
      </c>
      <c r="K316" s="25">
        <f>'PFAS Properties'!$P$33</f>
        <v>413.97359999999998</v>
      </c>
      <c r="L316" s="2">
        <f>'PFAS Properties'!$X$33</f>
        <v>-0.2</v>
      </c>
      <c r="M316" s="2" t="str">
        <f>'PFAS Properties'!$Y$33</f>
        <v>-</v>
      </c>
      <c r="N316" s="33">
        <v>0</v>
      </c>
      <c r="O316" s="33">
        <v>0</v>
      </c>
      <c r="P316" s="33">
        <v>0</v>
      </c>
      <c r="Q316" s="33">
        <f t="shared" si="161"/>
        <v>0.99999990000001004</v>
      </c>
      <c r="R316" s="33">
        <v>0</v>
      </c>
      <c r="S316" s="33">
        <f t="shared" si="162"/>
        <v>9.9999990000001005E-8</v>
      </c>
      <c r="T316" s="8">
        <f t="shared" si="163"/>
        <v>1</v>
      </c>
      <c r="U316" s="33">
        <f t="shared" si="164"/>
        <v>0</v>
      </c>
      <c r="V316" s="33">
        <f t="shared" si="165"/>
        <v>-0.99999990000001004</v>
      </c>
      <c r="W316" s="33">
        <f t="shared" si="166"/>
        <v>412.9736001</v>
      </c>
      <c r="X316" s="33">
        <v>96485</v>
      </c>
      <c r="Y316" s="16">
        <f t="shared" si="167"/>
        <v>-233.63476582555762</v>
      </c>
      <c r="Z316" s="16">
        <v>8</v>
      </c>
      <c r="AA316" s="16">
        <v>15</v>
      </c>
      <c r="AB316" s="8">
        <f t="shared" si="168"/>
        <v>0.33684210526315789</v>
      </c>
      <c r="AC316" s="16">
        <f t="shared" si="160"/>
        <v>68.844969824162703</v>
      </c>
      <c r="AD316" s="20">
        <f>'PFAS Properties'!$W$33</f>
        <v>7</v>
      </c>
      <c r="AE316" s="8">
        <f>'PFAS Properties'!$S$33</f>
        <v>2.6821450763738319</v>
      </c>
      <c r="AF316" s="15">
        <f>'PFAS Properties'!$V$33</f>
        <v>4.9000000000000004</v>
      </c>
      <c r="AG316" s="24">
        <v>6.8</v>
      </c>
      <c r="AH316" s="2" t="s">
        <v>122</v>
      </c>
      <c r="AI316" s="2" t="s">
        <v>661</v>
      </c>
      <c r="AJ316" s="2" t="s">
        <v>661</v>
      </c>
      <c r="AK316" s="2" t="s">
        <v>661</v>
      </c>
      <c r="AL316" s="2" t="s">
        <v>661</v>
      </c>
      <c r="AM316" s="2" t="s">
        <v>661</v>
      </c>
      <c r="AN316" s="2" t="s">
        <v>661</v>
      </c>
      <c r="AO316" s="2" t="s">
        <v>661</v>
      </c>
      <c r="AP316" s="15">
        <v>18.7</v>
      </c>
      <c r="AQ316" s="2" t="s">
        <v>661</v>
      </c>
      <c r="AR316" s="16">
        <v>58</v>
      </c>
      <c r="AS316" s="16">
        <v>9</v>
      </c>
      <c r="AT316" s="16">
        <v>33</v>
      </c>
      <c r="AU316" s="2" t="s">
        <v>661</v>
      </c>
      <c r="AV316" s="16">
        <f t="shared" si="172"/>
        <v>100</v>
      </c>
      <c r="AW316" s="18">
        <v>1.5</v>
      </c>
      <c r="AX316" s="13">
        <f t="shared" si="171"/>
        <v>1.4999999999999999E-2</v>
      </c>
      <c r="AY316" s="13" t="s">
        <v>123</v>
      </c>
      <c r="AZ316" s="16">
        <f t="shared" si="170"/>
        <v>100</v>
      </c>
      <c r="BA316" s="16" t="s">
        <v>55</v>
      </c>
      <c r="BB316" s="15">
        <v>2.2999999999999998</v>
      </c>
      <c r="BC316" s="16" t="s">
        <v>55</v>
      </c>
      <c r="BD316" s="18">
        <v>9.8000000000000007</v>
      </c>
      <c r="BE316" s="15">
        <f t="shared" si="173"/>
        <v>653.33333333333337</v>
      </c>
      <c r="BF316" s="8">
        <f t="shared" si="169"/>
        <v>2.8151348166368138</v>
      </c>
      <c r="BG316" s="8">
        <f t="shared" si="174"/>
        <v>0.99122607569249488</v>
      </c>
      <c r="BH316" s="13" t="s">
        <v>841</v>
      </c>
      <c r="BI316" s="13"/>
      <c r="BJ316" s="13"/>
      <c r="BK316" s="8"/>
      <c r="BL316" s="8"/>
      <c r="BM316" s="18"/>
      <c r="BN316" s="8"/>
      <c r="BO316" s="24"/>
    </row>
    <row r="317" spans="1:67" s="14" customFormat="1" x14ac:dyDescent="0.3">
      <c r="A317" s="20">
        <v>315</v>
      </c>
      <c r="B317" s="2" t="s">
        <v>241</v>
      </c>
      <c r="C317" s="2">
        <v>2019</v>
      </c>
      <c r="D317" s="2" t="s">
        <v>201</v>
      </c>
      <c r="E317" s="10" t="s">
        <v>800</v>
      </c>
      <c r="F317" s="20" t="s">
        <v>29</v>
      </c>
      <c r="G317" s="2">
        <v>63</v>
      </c>
      <c r="H317" s="2" t="str">
        <f>'PFAS Properties'!$B$33</f>
        <v>PFOA</v>
      </c>
      <c r="I317" s="2" t="str">
        <f>'PFAS Properties'!$C$33</f>
        <v>PFCA</v>
      </c>
      <c r="J317" s="2" t="str">
        <f>'PFAS Properties'!$D$33</f>
        <v>C8HF15O2</v>
      </c>
      <c r="K317" s="25">
        <f>'PFAS Properties'!$P$33</f>
        <v>413.97359999999998</v>
      </c>
      <c r="L317" s="2">
        <f>'PFAS Properties'!$X$33</f>
        <v>-0.2</v>
      </c>
      <c r="M317" s="2" t="str">
        <f>'PFAS Properties'!$Y$33</f>
        <v>-</v>
      </c>
      <c r="N317" s="33">
        <v>0</v>
      </c>
      <c r="O317" s="33">
        <v>0</v>
      </c>
      <c r="P317" s="33">
        <v>0</v>
      </c>
      <c r="Q317" s="33">
        <f t="shared" si="161"/>
        <v>0.99999998004737722</v>
      </c>
      <c r="R317" s="33">
        <v>0</v>
      </c>
      <c r="S317" s="33">
        <f t="shared" si="162"/>
        <v>1.995262275158161E-8</v>
      </c>
      <c r="T317" s="8">
        <f t="shared" si="163"/>
        <v>1</v>
      </c>
      <c r="U317" s="33">
        <f t="shared" si="164"/>
        <v>0</v>
      </c>
      <c r="V317" s="33">
        <f t="shared" si="165"/>
        <v>-0.99999998004737722</v>
      </c>
      <c r="W317" s="33">
        <f t="shared" si="166"/>
        <v>412.97360001995258</v>
      </c>
      <c r="X317" s="33">
        <v>96485</v>
      </c>
      <c r="Y317" s="16">
        <f t="shared" si="167"/>
        <v>-233.63478457269321</v>
      </c>
      <c r="Z317" s="16">
        <v>8</v>
      </c>
      <c r="AA317" s="16">
        <v>15</v>
      </c>
      <c r="AB317" s="8">
        <f t="shared" si="168"/>
        <v>0.33684210526315789</v>
      </c>
      <c r="AC317" s="16">
        <f t="shared" si="160"/>
        <v>68.844969824162703</v>
      </c>
      <c r="AD317" s="20">
        <f>'PFAS Properties'!$W$33</f>
        <v>7</v>
      </c>
      <c r="AE317" s="8">
        <f>'PFAS Properties'!$S$33</f>
        <v>2.6821450763738319</v>
      </c>
      <c r="AF317" s="15">
        <f>'PFAS Properties'!$V$33</f>
        <v>4.9000000000000004</v>
      </c>
      <c r="AG317" s="24">
        <v>7.5</v>
      </c>
      <c r="AH317" s="2" t="s">
        <v>122</v>
      </c>
      <c r="AI317" s="2" t="s">
        <v>661</v>
      </c>
      <c r="AJ317" s="2" t="s">
        <v>661</v>
      </c>
      <c r="AK317" s="2" t="s">
        <v>661</v>
      </c>
      <c r="AL317" s="2" t="s">
        <v>661</v>
      </c>
      <c r="AM317" s="2" t="s">
        <v>661</v>
      </c>
      <c r="AN317" s="2" t="s">
        <v>661</v>
      </c>
      <c r="AO317" s="2" t="s">
        <v>661</v>
      </c>
      <c r="AP317" s="15">
        <v>25.3</v>
      </c>
      <c r="AQ317" s="2" t="s">
        <v>661</v>
      </c>
      <c r="AR317" s="16">
        <v>48</v>
      </c>
      <c r="AS317" s="16">
        <v>12</v>
      </c>
      <c r="AT317" s="16">
        <v>40</v>
      </c>
      <c r="AU317" s="2" t="s">
        <v>661</v>
      </c>
      <c r="AV317" s="16">
        <f t="shared" si="172"/>
        <v>100</v>
      </c>
      <c r="AW317" s="18">
        <v>0.6</v>
      </c>
      <c r="AX317" s="13">
        <f t="shared" si="171"/>
        <v>6.0000000000000001E-3</v>
      </c>
      <c r="AY317" s="13" t="s">
        <v>123</v>
      </c>
      <c r="AZ317" s="16">
        <f t="shared" si="170"/>
        <v>100</v>
      </c>
      <c r="BA317" s="16" t="s">
        <v>55</v>
      </c>
      <c r="BB317" s="15">
        <v>2.2999999999999998</v>
      </c>
      <c r="BC317" s="16" t="s">
        <v>55</v>
      </c>
      <c r="BD317" s="18">
        <v>5.7</v>
      </c>
      <c r="BE317" s="15">
        <f t="shared" si="173"/>
        <v>950</v>
      </c>
      <c r="BF317" s="8">
        <f t="shared" si="169"/>
        <v>2.9777236052888476</v>
      </c>
      <c r="BG317" s="8">
        <f t="shared" si="174"/>
        <v>0.75587485567249146</v>
      </c>
      <c r="BH317" s="13" t="s">
        <v>841</v>
      </c>
      <c r="BI317" s="13"/>
      <c r="BJ317" s="13"/>
      <c r="BK317" s="8"/>
      <c r="BL317" s="8"/>
      <c r="BM317" s="18"/>
      <c r="BN317" s="8"/>
      <c r="BO317" s="24"/>
    </row>
    <row r="318" spans="1:67" s="14" customFormat="1" x14ac:dyDescent="0.3">
      <c r="A318" s="20">
        <v>316</v>
      </c>
      <c r="B318" s="2" t="s">
        <v>241</v>
      </c>
      <c r="C318" s="2">
        <v>2019</v>
      </c>
      <c r="D318" s="2" t="s">
        <v>201</v>
      </c>
      <c r="E318" s="10" t="s">
        <v>800</v>
      </c>
      <c r="F318" s="20" t="s">
        <v>29</v>
      </c>
      <c r="G318" s="2">
        <v>64</v>
      </c>
      <c r="H318" s="2" t="str">
        <f>'PFAS Properties'!$B$33</f>
        <v>PFOA</v>
      </c>
      <c r="I318" s="2" t="str">
        <f>'PFAS Properties'!$C$33</f>
        <v>PFCA</v>
      </c>
      <c r="J318" s="2" t="str">
        <f>'PFAS Properties'!$D$33</f>
        <v>C8HF15O2</v>
      </c>
      <c r="K318" s="25">
        <f>'PFAS Properties'!$P$33</f>
        <v>413.97359999999998</v>
      </c>
      <c r="L318" s="2">
        <f>'PFAS Properties'!$X$33</f>
        <v>-0.2</v>
      </c>
      <c r="M318" s="2" t="str">
        <f>'PFAS Properties'!$Y$33</f>
        <v>-</v>
      </c>
      <c r="N318" s="33">
        <v>0</v>
      </c>
      <c r="O318" s="33">
        <v>0</v>
      </c>
      <c r="P318" s="33">
        <v>0</v>
      </c>
      <c r="Q318" s="33">
        <f t="shared" si="161"/>
        <v>0.9999999601892845</v>
      </c>
      <c r="R318" s="33">
        <v>0</v>
      </c>
      <c r="S318" s="33">
        <f t="shared" si="162"/>
        <v>3.9810715470456442E-8</v>
      </c>
      <c r="T318" s="8">
        <f t="shared" si="163"/>
        <v>1</v>
      </c>
      <c r="U318" s="33">
        <f t="shared" si="164"/>
        <v>0</v>
      </c>
      <c r="V318" s="33">
        <f t="shared" si="165"/>
        <v>-0.9999999601892845</v>
      </c>
      <c r="W318" s="33">
        <f t="shared" si="166"/>
        <v>412.97360003981066</v>
      </c>
      <c r="X318" s="33">
        <v>96485</v>
      </c>
      <c r="Y318" s="16">
        <f t="shared" si="167"/>
        <v>-233.63477992191741</v>
      </c>
      <c r="Z318" s="16">
        <v>8</v>
      </c>
      <c r="AA318" s="16">
        <v>15</v>
      </c>
      <c r="AB318" s="8">
        <f t="shared" si="168"/>
        <v>0.33684210526315789</v>
      </c>
      <c r="AC318" s="16">
        <f t="shared" si="160"/>
        <v>68.844969824162703</v>
      </c>
      <c r="AD318" s="20">
        <f>'PFAS Properties'!$W$33</f>
        <v>7</v>
      </c>
      <c r="AE318" s="8">
        <f>'PFAS Properties'!$S$33</f>
        <v>2.6821450763738319</v>
      </c>
      <c r="AF318" s="15">
        <f>'PFAS Properties'!$V$33</f>
        <v>4.9000000000000004</v>
      </c>
      <c r="AG318" s="24">
        <v>7.2</v>
      </c>
      <c r="AH318" s="2" t="s">
        <v>122</v>
      </c>
      <c r="AI318" s="2" t="s">
        <v>661</v>
      </c>
      <c r="AJ318" s="2" t="s">
        <v>661</v>
      </c>
      <c r="AK318" s="2" t="s">
        <v>661</v>
      </c>
      <c r="AL318" s="2" t="s">
        <v>661</v>
      </c>
      <c r="AM318" s="2" t="s">
        <v>661</v>
      </c>
      <c r="AN318" s="2" t="s">
        <v>661</v>
      </c>
      <c r="AO318" s="2" t="s">
        <v>661</v>
      </c>
      <c r="AP318" s="15">
        <v>18</v>
      </c>
      <c r="AQ318" s="2" t="s">
        <v>661</v>
      </c>
      <c r="AR318" s="16">
        <v>83</v>
      </c>
      <c r="AS318" s="16">
        <v>2</v>
      </c>
      <c r="AT318" s="16">
        <v>15</v>
      </c>
      <c r="AU318" s="2" t="s">
        <v>661</v>
      </c>
      <c r="AV318" s="16">
        <f t="shared" si="172"/>
        <v>100</v>
      </c>
      <c r="AW318" s="18">
        <v>0.9</v>
      </c>
      <c r="AX318" s="13">
        <f t="shared" si="171"/>
        <v>9.0000000000000011E-3</v>
      </c>
      <c r="AY318" s="13" t="s">
        <v>123</v>
      </c>
      <c r="AZ318" s="16">
        <f t="shared" si="170"/>
        <v>100</v>
      </c>
      <c r="BA318" s="16" t="s">
        <v>55</v>
      </c>
      <c r="BB318" s="15">
        <v>2.2999999999999998</v>
      </c>
      <c r="BC318" s="16" t="s">
        <v>55</v>
      </c>
      <c r="BD318" s="18">
        <v>6.6</v>
      </c>
      <c r="BE318" s="15">
        <f t="shared" si="173"/>
        <v>733.33333333333326</v>
      </c>
      <c r="BF318" s="8">
        <f t="shared" si="169"/>
        <v>2.8653014261025436</v>
      </c>
      <c r="BG318" s="8">
        <f t="shared" si="174"/>
        <v>0.81954393554186866</v>
      </c>
      <c r="BH318" s="13" t="s">
        <v>841</v>
      </c>
      <c r="BI318" s="13"/>
      <c r="BJ318" s="13"/>
      <c r="BK318" s="8"/>
      <c r="BL318" s="8"/>
      <c r="BM318" s="18"/>
      <c r="BN318" s="8"/>
      <c r="BO318" s="24"/>
    </row>
    <row r="319" spans="1:67" s="14" customFormat="1" x14ac:dyDescent="0.3">
      <c r="A319" s="20">
        <v>317</v>
      </c>
      <c r="B319" s="2" t="s">
        <v>241</v>
      </c>
      <c r="C319" s="2">
        <v>2019</v>
      </c>
      <c r="D319" s="2" t="s">
        <v>201</v>
      </c>
      <c r="E319" s="10" t="s">
        <v>800</v>
      </c>
      <c r="F319" s="20" t="s">
        <v>29</v>
      </c>
      <c r="G319" s="2">
        <v>65</v>
      </c>
      <c r="H319" s="2" t="str">
        <f>'PFAS Properties'!$B$33</f>
        <v>PFOA</v>
      </c>
      <c r="I319" s="2" t="str">
        <f>'PFAS Properties'!$C$33</f>
        <v>PFCA</v>
      </c>
      <c r="J319" s="2" t="str">
        <f>'PFAS Properties'!$D$33</f>
        <v>C8HF15O2</v>
      </c>
      <c r="K319" s="25">
        <f>'PFAS Properties'!$P$33</f>
        <v>413.97359999999998</v>
      </c>
      <c r="L319" s="2">
        <f>'PFAS Properties'!$X$33</f>
        <v>-0.2</v>
      </c>
      <c r="M319" s="2" t="str">
        <f>'PFAS Properties'!$Y$33</f>
        <v>-</v>
      </c>
      <c r="N319" s="33">
        <v>0</v>
      </c>
      <c r="O319" s="33">
        <v>0</v>
      </c>
      <c r="P319" s="33">
        <v>0</v>
      </c>
      <c r="Q319" s="33">
        <f t="shared" si="161"/>
        <v>0.99999999498812764</v>
      </c>
      <c r="R319" s="33">
        <v>0</v>
      </c>
      <c r="S319" s="33">
        <f t="shared" si="162"/>
        <v>5.0118723111538642E-9</v>
      </c>
      <c r="T319" s="8">
        <f t="shared" si="163"/>
        <v>1</v>
      </c>
      <c r="U319" s="33">
        <f t="shared" si="164"/>
        <v>0</v>
      </c>
      <c r="V319" s="33">
        <f t="shared" si="165"/>
        <v>-0.99999999498812764</v>
      </c>
      <c r="W319" s="33">
        <f t="shared" si="166"/>
        <v>412.9736000050118</v>
      </c>
      <c r="X319" s="33">
        <v>96485</v>
      </c>
      <c r="Y319" s="16">
        <f t="shared" si="167"/>
        <v>-233.63478807182486</v>
      </c>
      <c r="Z319" s="16">
        <v>8</v>
      </c>
      <c r="AA319" s="16">
        <v>15</v>
      </c>
      <c r="AB319" s="8">
        <f t="shared" si="168"/>
        <v>0.33684210526315789</v>
      </c>
      <c r="AC319" s="16">
        <f t="shared" si="160"/>
        <v>68.844969824162703</v>
      </c>
      <c r="AD319" s="20">
        <f>'PFAS Properties'!$W$33</f>
        <v>7</v>
      </c>
      <c r="AE319" s="8">
        <f>'PFAS Properties'!$S$33</f>
        <v>2.6821450763738319</v>
      </c>
      <c r="AF319" s="15">
        <f>'PFAS Properties'!$V$33</f>
        <v>4.9000000000000004</v>
      </c>
      <c r="AG319" s="24">
        <v>8.1</v>
      </c>
      <c r="AH319" s="2" t="s">
        <v>122</v>
      </c>
      <c r="AI319" s="2" t="s">
        <v>661</v>
      </c>
      <c r="AJ319" s="2" t="s">
        <v>661</v>
      </c>
      <c r="AK319" s="2" t="s">
        <v>661</v>
      </c>
      <c r="AL319" s="2" t="s">
        <v>661</v>
      </c>
      <c r="AM319" s="2" t="s">
        <v>661</v>
      </c>
      <c r="AN319" s="2" t="s">
        <v>661</v>
      </c>
      <c r="AO319" s="2" t="s">
        <v>661</v>
      </c>
      <c r="AP319" s="15">
        <v>15.9</v>
      </c>
      <c r="AQ319" s="2" t="s">
        <v>661</v>
      </c>
      <c r="AR319" s="16">
        <v>76</v>
      </c>
      <c r="AS319" s="16">
        <v>5</v>
      </c>
      <c r="AT319" s="16">
        <v>19</v>
      </c>
      <c r="AU319" s="2" t="s">
        <v>661</v>
      </c>
      <c r="AV319" s="16">
        <f t="shared" si="172"/>
        <v>100</v>
      </c>
      <c r="AW319" s="18">
        <v>0.2</v>
      </c>
      <c r="AX319" s="13">
        <f t="shared" si="171"/>
        <v>2E-3</v>
      </c>
      <c r="AY319" s="13" t="s">
        <v>123</v>
      </c>
      <c r="AZ319" s="16">
        <f t="shared" ref="AZ319:AZ354" si="175">1/0.01</f>
        <v>100</v>
      </c>
      <c r="BA319" s="16" t="s">
        <v>55</v>
      </c>
      <c r="BB319" s="15">
        <v>2.2999999999999998</v>
      </c>
      <c r="BC319" s="16" t="s">
        <v>55</v>
      </c>
      <c r="BD319" s="18">
        <v>1.7</v>
      </c>
      <c r="BE319" s="15">
        <f t="shared" si="173"/>
        <v>850</v>
      </c>
      <c r="BF319" s="8">
        <f t="shared" si="169"/>
        <v>2.9294189257142929</v>
      </c>
      <c r="BG319" s="8">
        <f t="shared" si="174"/>
        <v>0.23044892137827391</v>
      </c>
      <c r="BH319" s="13" t="s">
        <v>841</v>
      </c>
      <c r="BI319" s="13"/>
      <c r="BJ319" s="13"/>
      <c r="BK319" s="8"/>
      <c r="BL319" s="8"/>
      <c r="BM319" s="18"/>
      <c r="BN319" s="8"/>
      <c r="BO319" s="24"/>
    </row>
    <row r="320" spans="1:67" s="14" customFormat="1" x14ac:dyDescent="0.3">
      <c r="A320" s="20">
        <v>318</v>
      </c>
      <c r="B320" s="2" t="s">
        <v>241</v>
      </c>
      <c r="C320" s="2">
        <v>2019</v>
      </c>
      <c r="D320" s="2" t="s">
        <v>201</v>
      </c>
      <c r="E320" s="10" t="s">
        <v>800</v>
      </c>
      <c r="F320" s="20" t="s">
        <v>29</v>
      </c>
      <c r="G320" s="2">
        <v>66</v>
      </c>
      <c r="H320" s="2" t="str">
        <f>'PFAS Properties'!$B$33</f>
        <v>PFOA</v>
      </c>
      <c r="I320" s="2" t="str">
        <f>'PFAS Properties'!$C$33</f>
        <v>PFCA</v>
      </c>
      <c r="J320" s="2" t="str">
        <f>'PFAS Properties'!$D$33</f>
        <v>C8HF15O2</v>
      </c>
      <c r="K320" s="25">
        <f>'PFAS Properties'!$P$33</f>
        <v>413.97359999999998</v>
      </c>
      <c r="L320" s="2">
        <f>'PFAS Properties'!$X$33</f>
        <v>-0.2</v>
      </c>
      <c r="M320" s="2" t="str">
        <f>'PFAS Properties'!$Y$33</f>
        <v>-</v>
      </c>
      <c r="N320" s="33">
        <v>0</v>
      </c>
      <c r="O320" s="33">
        <v>0</v>
      </c>
      <c r="P320" s="33">
        <v>0</v>
      </c>
      <c r="Q320" s="33">
        <f t="shared" si="161"/>
        <v>0.99999987410747471</v>
      </c>
      <c r="R320" s="33">
        <v>0</v>
      </c>
      <c r="S320" s="33">
        <f t="shared" si="162"/>
        <v>1.2589252533048661E-7</v>
      </c>
      <c r="T320" s="8">
        <f t="shared" si="163"/>
        <v>1</v>
      </c>
      <c r="U320" s="33">
        <f t="shared" si="164"/>
        <v>0</v>
      </c>
      <c r="V320" s="33">
        <f t="shared" si="165"/>
        <v>-0.99999987410747471</v>
      </c>
      <c r="W320" s="33">
        <f t="shared" si="166"/>
        <v>412.97360012589252</v>
      </c>
      <c r="X320" s="33">
        <v>96485</v>
      </c>
      <c r="Y320" s="16">
        <f t="shared" si="167"/>
        <v>-233.63475976151219</v>
      </c>
      <c r="Z320" s="16">
        <v>8</v>
      </c>
      <c r="AA320" s="16">
        <v>15</v>
      </c>
      <c r="AB320" s="8">
        <f t="shared" si="168"/>
        <v>0.33684210526315789</v>
      </c>
      <c r="AC320" s="16">
        <f t="shared" si="160"/>
        <v>68.844969824162703</v>
      </c>
      <c r="AD320" s="20">
        <f>'PFAS Properties'!$W$33</f>
        <v>7</v>
      </c>
      <c r="AE320" s="8">
        <f>'PFAS Properties'!$S$33</f>
        <v>2.6821450763738319</v>
      </c>
      <c r="AF320" s="15">
        <f>'PFAS Properties'!$V$33</f>
        <v>4.9000000000000004</v>
      </c>
      <c r="AG320" s="24">
        <v>6.7</v>
      </c>
      <c r="AH320" s="2" t="s">
        <v>122</v>
      </c>
      <c r="AI320" s="2" t="s">
        <v>661</v>
      </c>
      <c r="AJ320" s="2" t="s">
        <v>661</v>
      </c>
      <c r="AK320" s="2" t="s">
        <v>661</v>
      </c>
      <c r="AL320" s="2" t="s">
        <v>661</v>
      </c>
      <c r="AM320" s="2" t="s">
        <v>661</v>
      </c>
      <c r="AN320" s="2" t="s">
        <v>661</v>
      </c>
      <c r="AO320" s="2" t="s">
        <v>661</v>
      </c>
      <c r="AP320" s="15">
        <v>4.4000000000000004</v>
      </c>
      <c r="AQ320" s="2" t="s">
        <v>661</v>
      </c>
      <c r="AR320" s="16">
        <v>89</v>
      </c>
      <c r="AS320" s="16">
        <v>1</v>
      </c>
      <c r="AT320" s="16">
        <v>10</v>
      </c>
      <c r="AU320" s="2" t="s">
        <v>661</v>
      </c>
      <c r="AV320" s="16">
        <f t="shared" si="172"/>
        <v>100</v>
      </c>
      <c r="AW320" s="18">
        <v>0.4</v>
      </c>
      <c r="AX320" s="13">
        <f t="shared" si="171"/>
        <v>4.0000000000000001E-3</v>
      </c>
      <c r="AY320" s="13" t="s">
        <v>123</v>
      </c>
      <c r="AZ320" s="16">
        <f t="shared" si="175"/>
        <v>100</v>
      </c>
      <c r="BA320" s="16" t="s">
        <v>55</v>
      </c>
      <c r="BB320" s="15">
        <v>2.2999999999999998</v>
      </c>
      <c r="BC320" s="16" t="s">
        <v>55</v>
      </c>
      <c r="BD320" s="18">
        <v>6</v>
      </c>
      <c r="BE320" s="15">
        <f t="shared" si="173"/>
        <v>1500</v>
      </c>
      <c r="BF320" s="8">
        <f t="shared" si="169"/>
        <v>3.1760912590556813</v>
      </c>
      <c r="BG320" s="8">
        <f t="shared" si="174"/>
        <v>0.77815125038364363</v>
      </c>
      <c r="BH320" s="13" t="s">
        <v>841</v>
      </c>
      <c r="BI320" s="13"/>
      <c r="BJ320" s="13"/>
      <c r="BK320" s="8"/>
      <c r="BL320" s="8"/>
      <c r="BM320" s="18"/>
      <c r="BN320" s="8"/>
      <c r="BO320" s="24"/>
    </row>
    <row r="321" spans="1:67" s="14" customFormat="1" x14ac:dyDescent="0.3">
      <c r="A321" s="20">
        <v>319</v>
      </c>
      <c r="B321" s="2" t="s">
        <v>241</v>
      </c>
      <c r="C321" s="2">
        <v>2019</v>
      </c>
      <c r="D321" s="2" t="s">
        <v>201</v>
      </c>
      <c r="E321" s="10" t="s">
        <v>800</v>
      </c>
      <c r="F321" s="20" t="s">
        <v>29</v>
      </c>
      <c r="G321" s="2">
        <v>67</v>
      </c>
      <c r="H321" s="2" t="str">
        <f>'PFAS Properties'!$B$33</f>
        <v>PFOA</v>
      </c>
      <c r="I321" s="2" t="str">
        <f>'PFAS Properties'!$C$33</f>
        <v>PFCA</v>
      </c>
      <c r="J321" s="2" t="str">
        <f>'PFAS Properties'!$D$33</f>
        <v>C8HF15O2</v>
      </c>
      <c r="K321" s="25">
        <f>'PFAS Properties'!$P$33</f>
        <v>413.97359999999998</v>
      </c>
      <c r="L321" s="2">
        <f>'PFAS Properties'!$X$33</f>
        <v>-0.2</v>
      </c>
      <c r="M321" s="2" t="str">
        <f>'PFAS Properties'!$Y$33</f>
        <v>-</v>
      </c>
      <c r="N321" s="33">
        <v>0</v>
      </c>
      <c r="O321" s="33">
        <v>0</v>
      </c>
      <c r="P321" s="33">
        <v>0</v>
      </c>
      <c r="Q321" s="33">
        <f t="shared" si="161"/>
        <v>0.99999999205671775</v>
      </c>
      <c r="R321" s="33">
        <v>0</v>
      </c>
      <c r="S321" s="33">
        <f t="shared" si="162"/>
        <v>7.9432822841470747E-9</v>
      </c>
      <c r="T321" s="8">
        <f t="shared" si="163"/>
        <v>1</v>
      </c>
      <c r="U321" s="33">
        <f t="shared" si="164"/>
        <v>0</v>
      </c>
      <c r="V321" s="33">
        <f t="shared" si="165"/>
        <v>-0.99999999205671775</v>
      </c>
      <c r="W321" s="33">
        <f t="shared" si="166"/>
        <v>412.97360000794328</v>
      </c>
      <c r="X321" s="33">
        <v>96485</v>
      </c>
      <c r="Y321" s="16">
        <f t="shared" si="167"/>
        <v>-233.63478738528704</v>
      </c>
      <c r="Z321" s="16">
        <v>8</v>
      </c>
      <c r="AA321" s="16">
        <v>15</v>
      </c>
      <c r="AB321" s="8">
        <f t="shared" si="168"/>
        <v>0.33684210526315789</v>
      </c>
      <c r="AC321" s="16">
        <f t="shared" si="160"/>
        <v>68.844969824162703</v>
      </c>
      <c r="AD321" s="20">
        <f>'PFAS Properties'!$W$33</f>
        <v>7</v>
      </c>
      <c r="AE321" s="8">
        <f>'PFAS Properties'!$S$33</f>
        <v>2.6821450763738319</v>
      </c>
      <c r="AF321" s="15">
        <f>'PFAS Properties'!$V$33</f>
        <v>4.9000000000000004</v>
      </c>
      <c r="AG321" s="24">
        <v>7.9</v>
      </c>
      <c r="AH321" s="2" t="s">
        <v>122</v>
      </c>
      <c r="AI321" s="2" t="s">
        <v>661</v>
      </c>
      <c r="AJ321" s="2" t="s">
        <v>661</v>
      </c>
      <c r="AK321" s="2" t="s">
        <v>661</v>
      </c>
      <c r="AL321" s="2" t="s">
        <v>661</v>
      </c>
      <c r="AM321" s="2" t="s">
        <v>661</v>
      </c>
      <c r="AN321" s="2" t="s">
        <v>661</v>
      </c>
      <c r="AO321" s="2" t="s">
        <v>661</v>
      </c>
      <c r="AP321" s="15">
        <v>20.100000000000001</v>
      </c>
      <c r="AQ321" s="2" t="s">
        <v>661</v>
      </c>
      <c r="AR321" s="16">
        <v>12</v>
      </c>
      <c r="AS321" s="16">
        <v>27</v>
      </c>
      <c r="AT321" s="16">
        <v>61</v>
      </c>
      <c r="AU321" s="2" t="s">
        <v>661</v>
      </c>
      <c r="AV321" s="16">
        <f t="shared" si="172"/>
        <v>100</v>
      </c>
      <c r="AW321" s="18">
        <v>0.2</v>
      </c>
      <c r="AX321" s="13">
        <f t="shared" si="171"/>
        <v>2E-3</v>
      </c>
      <c r="AY321" s="13" t="s">
        <v>123</v>
      </c>
      <c r="AZ321" s="16">
        <f t="shared" si="175"/>
        <v>100</v>
      </c>
      <c r="BA321" s="16" t="s">
        <v>55</v>
      </c>
      <c r="BB321" s="15">
        <v>2.2999999999999998</v>
      </c>
      <c r="BC321" s="16" t="s">
        <v>55</v>
      </c>
      <c r="BD321" s="18">
        <v>2.9</v>
      </c>
      <c r="BE321" s="15">
        <f t="shared" si="173"/>
        <v>1450</v>
      </c>
      <c r="BF321" s="8">
        <f t="shared" si="169"/>
        <v>3.1613680022349748</v>
      </c>
      <c r="BG321" s="8">
        <f t="shared" si="174"/>
        <v>0.46239799789895608</v>
      </c>
      <c r="BH321" s="13" t="s">
        <v>841</v>
      </c>
      <c r="BI321" s="13"/>
      <c r="BJ321" s="13"/>
      <c r="BK321" s="8"/>
      <c r="BL321" s="8"/>
      <c r="BM321" s="18"/>
      <c r="BN321" s="8"/>
      <c r="BO321" s="24"/>
    </row>
    <row r="322" spans="1:67" s="14" customFormat="1" x14ac:dyDescent="0.3">
      <c r="A322" s="20">
        <v>320</v>
      </c>
      <c r="B322" s="2" t="s">
        <v>241</v>
      </c>
      <c r="C322" s="2">
        <v>2019</v>
      </c>
      <c r="D322" s="2" t="s">
        <v>201</v>
      </c>
      <c r="E322" s="10" t="s">
        <v>800</v>
      </c>
      <c r="F322" s="20" t="s">
        <v>29</v>
      </c>
      <c r="G322" s="2">
        <v>68</v>
      </c>
      <c r="H322" s="2" t="str">
        <f>'PFAS Properties'!$B$33</f>
        <v>PFOA</v>
      </c>
      <c r="I322" s="2" t="str">
        <f>'PFAS Properties'!$C$33</f>
        <v>PFCA</v>
      </c>
      <c r="J322" s="2" t="str">
        <f>'PFAS Properties'!$D$33</f>
        <v>C8HF15O2</v>
      </c>
      <c r="K322" s="25">
        <f>'PFAS Properties'!$P$33</f>
        <v>413.97359999999998</v>
      </c>
      <c r="L322" s="2">
        <f>'PFAS Properties'!$X$33</f>
        <v>-0.2</v>
      </c>
      <c r="M322" s="2" t="str">
        <f>'PFAS Properties'!$Y$33</f>
        <v>-</v>
      </c>
      <c r="N322" s="33">
        <v>0</v>
      </c>
      <c r="O322" s="33">
        <v>0</v>
      </c>
      <c r="P322" s="33">
        <v>0</v>
      </c>
      <c r="Q322" s="33">
        <f t="shared" si="161"/>
        <v>0.99999999369042658</v>
      </c>
      <c r="R322" s="33">
        <v>0</v>
      </c>
      <c r="S322" s="33">
        <f t="shared" si="162"/>
        <v>6.3095734049912165E-9</v>
      </c>
      <c r="T322" s="8">
        <f t="shared" si="163"/>
        <v>1</v>
      </c>
      <c r="U322" s="33">
        <f t="shared" si="164"/>
        <v>0</v>
      </c>
      <c r="V322" s="33">
        <f t="shared" si="165"/>
        <v>-0.99999999369042658</v>
      </c>
      <c r="W322" s="33">
        <f t="shared" si="166"/>
        <v>412.97360000630954</v>
      </c>
      <c r="X322" s="33">
        <v>96485</v>
      </c>
      <c r="Y322" s="16">
        <f t="shared" si="167"/>
        <v>-233.63478776790257</v>
      </c>
      <c r="Z322" s="16">
        <v>8</v>
      </c>
      <c r="AA322" s="16">
        <v>15</v>
      </c>
      <c r="AB322" s="8">
        <f t="shared" si="168"/>
        <v>0.33684210526315789</v>
      </c>
      <c r="AC322" s="16">
        <f t="shared" si="160"/>
        <v>68.844969824162703</v>
      </c>
      <c r="AD322" s="20">
        <f>'PFAS Properties'!$W$33</f>
        <v>7</v>
      </c>
      <c r="AE322" s="8">
        <f>'PFAS Properties'!$S$33</f>
        <v>2.6821450763738319</v>
      </c>
      <c r="AF322" s="15">
        <f>'PFAS Properties'!$V$33</f>
        <v>4.9000000000000004</v>
      </c>
      <c r="AG322" s="24">
        <v>8</v>
      </c>
      <c r="AH322" s="2" t="s">
        <v>122</v>
      </c>
      <c r="AI322" s="2" t="s">
        <v>661</v>
      </c>
      <c r="AJ322" s="2" t="s">
        <v>661</v>
      </c>
      <c r="AK322" s="2" t="s">
        <v>661</v>
      </c>
      <c r="AL322" s="2" t="s">
        <v>661</v>
      </c>
      <c r="AM322" s="2" t="s">
        <v>661</v>
      </c>
      <c r="AN322" s="2" t="s">
        <v>661</v>
      </c>
      <c r="AO322" s="2" t="s">
        <v>661</v>
      </c>
      <c r="AP322" s="15">
        <v>18.5</v>
      </c>
      <c r="AQ322" s="2" t="s">
        <v>661</v>
      </c>
      <c r="AR322" s="16">
        <v>15</v>
      </c>
      <c r="AS322" s="16">
        <v>35</v>
      </c>
      <c r="AT322" s="16">
        <v>50</v>
      </c>
      <c r="AU322" s="2" t="s">
        <v>661</v>
      </c>
      <c r="AV322" s="16">
        <f t="shared" si="172"/>
        <v>100</v>
      </c>
      <c r="AW322" s="18">
        <v>0.2</v>
      </c>
      <c r="AX322" s="13">
        <f t="shared" ref="AX322:AX353" si="176">AW322/100</f>
        <v>2E-3</v>
      </c>
      <c r="AY322" s="13" t="s">
        <v>123</v>
      </c>
      <c r="AZ322" s="16">
        <f t="shared" si="175"/>
        <v>100</v>
      </c>
      <c r="BA322" s="16" t="s">
        <v>55</v>
      </c>
      <c r="BB322" s="15">
        <v>2.2999999999999998</v>
      </c>
      <c r="BC322" s="16" t="s">
        <v>55</v>
      </c>
      <c r="BD322" s="18">
        <v>2.2999999999999998</v>
      </c>
      <c r="BE322" s="15">
        <f t="shared" si="173"/>
        <v>1150</v>
      </c>
      <c r="BF322" s="8">
        <f t="shared" si="169"/>
        <v>3.0606978403536118</v>
      </c>
      <c r="BG322" s="8">
        <f t="shared" si="174"/>
        <v>0.36172783601759284</v>
      </c>
      <c r="BH322" s="13" t="s">
        <v>841</v>
      </c>
      <c r="BI322" s="13"/>
      <c r="BJ322" s="13"/>
      <c r="BK322" s="8"/>
      <c r="BL322" s="8"/>
      <c r="BM322" s="18"/>
      <c r="BN322" s="8"/>
      <c r="BO322" s="24"/>
    </row>
    <row r="323" spans="1:67" s="14" customFormat="1" x14ac:dyDescent="0.3">
      <c r="A323" s="20">
        <v>321</v>
      </c>
      <c r="B323" s="2" t="s">
        <v>241</v>
      </c>
      <c r="C323" s="2">
        <v>2019</v>
      </c>
      <c r="D323" s="2" t="s">
        <v>201</v>
      </c>
      <c r="E323" s="10" t="s">
        <v>800</v>
      </c>
      <c r="F323" s="20" t="s">
        <v>29</v>
      </c>
      <c r="G323" s="2">
        <v>69</v>
      </c>
      <c r="H323" s="2" t="str">
        <f>'PFAS Properties'!$B$33</f>
        <v>PFOA</v>
      </c>
      <c r="I323" s="2" t="str">
        <f>'PFAS Properties'!$C$33</f>
        <v>PFCA</v>
      </c>
      <c r="J323" s="2" t="str">
        <f>'PFAS Properties'!$D$33</f>
        <v>C8HF15O2</v>
      </c>
      <c r="K323" s="25">
        <f>'PFAS Properties'!$P$33</f>
        <v>413.97359999999998</v>
      </c>
      <c r="L323" s="2">
        <f>'PFAS Properties'!$X$33</f>
        <v>-0.2</v>
      </c>
      <c r="M323" s="2" t="str">
        <f>'PFAS Properties'!$Y$33</f>
        <v>-</v>
      </c>
      <c r="N323" s="33">
        <v>0</v>
      </c>
      <c r="O323" s="33">
        <v>0</v>
      </c>
      <c r="P323" s="33">
        <v>0</v>
      </c>
      <c r="Q323" s="33">
        <f t="shared" si="161"/>
        <v>0.99999998004737722</v>
      </c>
      <c r="R323" s="33">
        <v>0</v>
      </c>
      <c r="S323" s="33">
        <f t="shared" si="162"/>
        <v>1.995262275158161E-8</v>
      </c>
      <c r="T323" s="8">
        <f t="shared" si="163"/>
        <v>1</v>
      </c>
      <c r="U323" s="33">
        <f t="shared" si="164"/>
        <v>0</v>
      </c>
      <c r="V323" s="33">
        <f t="shared" si="165"/>
        <v>-0.99999998004737722</v>
      </c>
      <c r="W323" s="33">
        <f t="shared" si="166"/>
        <v>412.97360001995258</v>
      </c>
      <c r="X323" s="33">
        <v>96485</v>
      </c>
      <c r="Y323" s="16">
        <f t="shared" si="167"/>
        <v>-233.63478457269321</v>
      </c>
      <c r="Z323" s="16">
        <v>8</v>
      </c>
      <c r="AA323" s="16">
        <v>15</v>
      </c>
      <c r="AB323" s="8">
        <f t="shared" si="168"/>
        <v>0.33684210526315789</v>
      </c>
      <c r="AC323" s="16">
        <f t="shared" ref="AC323:AC386" si="177">((AA323*19)/K323)*100</f>
        <v>68.844969824162703</v>
      </c>
      <c r="AD323" s="20">
        <f>'PFAS Properties'!$W$33</f>
        <v>7</v>
      </c>
      <c r="AE323" s="8">
        <f>'PFAS Properties'!$S$33</f>
        <v>2.6821450763738319</v>
      </c>
      <c r="AF323" s="15">
        <f>'PFAS Properties'!$V$33</f>
        <v>4.9000000000000004</v>
      </c>
      <c r="AG323" s="24">
        <v>7.5</v>
      </c>
      <c r="AH323" s="2" t="s">
        <v>122</v>
      </c>
      <c r="AI323" s="2" t="s">
        <v>661</v>
      </c>
      <c r="AJ323" s="2" t="s">
        <v>661</v>
      </c>
      <c r="AK323" s="2" t="s">
        <v>661</v>
      </c>
      <c r="AL323" s="2" t="s">
        <v>661</v>
      </c>
      <c r="AM323" s="2" t="s">
        <v>661</v>
      </c>
      <c r="AN323" s="2" t="s">
        <v>661</v>
      </c>
      <c r="AO323" s="2" t="s">
        <v>661</v>
      </c>
      <c r="AP323" s="15">
        <v>41.4</v>
      </c>
      <c r="AQ323" s="2" t="s">
        <v>661</v>
      </c>
      <c r="AR323" s="16">
        <v>16.899999999999999</v>
      </c>
      <c r="AS323" s="16">
        <v>17.500000000000007</v>
      </c>
      <c r="AT323" s="16">
        <v>65.599999999999994</v>
      </c>
      <c r="AU323" s="2" t="s">
        <v>661</v>
      </c>
      <c r="AV323" s="16">
        <f t="shared" si="172"/>
        <v>100</v>
      </c>
      <c r="AW323" s="18">
        <v>0.7</v>
      </c>
      <c r="AX323" s="13">
        <f t="shared" si="176"/>
        <v>6.9999999999999993E-3</v>
      </c>
      <c r="AY323" s="13" t="s">
        <v>123</v>
      </c>
      <c r="AZ323" s="16">
        <f t="shared" si="175"/>
        <v>100</v>
      </c>
      <c r="BA323" s="16" t="s">
        <v>55</v>
      </c>
      <c r="BB323" s="15">
        <v>2.2999999999999998</v>
      </c>
      <c r="BC323" s="16" t="s">
        <v>55</v>
      </c>
      <c r="BD323" s="18">
        <v>11.7</v>
      </c>
      <c r="BE323" s="15">
        <f t="shared" si="173"/>
        <v>1671.4285714285716</v>
      </c>
      <c r="BF323" s="8">
        <f t="shared" si="169"/>
        <v>3.2230878217319048</v>
      </c>
      <c r="BG323" s="8">
        <f t="shared" si="174"/>
        <v>1.0681858617461617</v>
      </c>
      <c r="BH323" s="13" t="s">
        <v>841</v>
      </c>
      <c r="BI323" s="13"/>
      <c r="BJ323" s="13"/>
      <c r="BK323" s="8"/>
      <c r="BL323" s="8"/>
      <c r="BM323" s="18"/>
      <c r="BN323" s="8"/>
      <c r="BO323" s="24"/>
    </row>
    <row r="324" spans="1:67" s="14" customFormat="1" x14ac:dyDescent="0.3">
      <c r="A324" s="20">
        <v>322</v>
      </c>
      <c r="B324" s="2" t="s">
        <v>241</v>
      </c>
      <c r="C324" s="2">
        <v>2019</v>
      </c>
      <c r="D324" s="2" t="s">
        <v>201</v>
      </c>
      <c r="E324" s="10" t="s">
        <v>800</v>
      </c>
      <c r="F324" s="20" t="s">
        <v>29</v>
      </c>
      <c r="G324" s="2">
        <v>70</v>
      </c>
      <c r="H324" s="2" t="str">
        <f>'PFAS Properties'!$B$33</f>
        <v>PFOA</v>
      </c>
      <c r="I324" s="2" t="str">
        <f>'PFAS Properties'!$C$33</f>
        <v>PFCA</v>
      </c>
      <c r="J324" s="2" t="str">
        <f>'PFAS Properties'!$D$33</f>
        <v>C8HF15O2</v>
      </c>
      <c r="K324" s="25">
        <f>'PFAS Properties'!$P$33</f>
        <v>413.97359999999998</v>
      </c>
      <c r="L324" s="2">
        <f>'PFAS Properties'!$X$33</f>
        <v>-0.2</v>
      </c>
      <c r="M324" s="2" t="str">
        <f>'PFAS Properties'!$Y$33</f>
        <v>-</v>
      </c>
      <c r="N324" s="33">
        <v>0</v>
      </c>
      <c r="O324" s="33">
        <v>0</v>
      </c>
      <c r="P324" s="33">
        <v>0</v>
      </c>
      <c r="Q324" s="33">
        <f t="shared" si="161"/>
        <v>0.99999999000000006</v>
      </c>
      <c r="R324" s="33">
        <v>0</v>
      </c>
      <c r="S324" s="33">
        <f t="shared" si="162"/>
        <v>9.9999999000000002E-9</v>
      </c>
      <c r="T324" s="8">
        <f t="shared" si="163"/>
        <v>1</v>
      </c>
      <c r="U324" s="33">
        <f t="shared" si="164"/>
        <v>0</v>
      </c>
      <c r="V324" s="33">
        <f t="shared" si="165"/>
        <v>-0.99999999000000006</v>
      </c>
      <c r="W324" s="33">
        <f t="shared" si="166"/>
        <v>412.97360000999993</v>
      </c>
      <c r="X324" s="33">
        <v>96485</v>
      </c>
      <c r="Y324" s="16">
        <f t="shared" si="167"/>
        <v>-233.63478690360273</v>
      </c>
      <c r="Z324" s="16">
        <v>8</v>
      </c>
      <c r="AA324" s="16">
        <v>15</v>
      </c>
      <c r="AB324" s="8">
        <f t="shared" si="168"/>
        <v>0.33684210526315789</v>
      </c>
      <c r="AC324" s="16">
        <f t="shared" si="177"/>
        <v>68.844969824162703</v>
      </c>
      <c r="AD324" s="20">
        <f>'PFAS Properties'!$W$33</f>
        <v>7</v>
      </c>
      <c r="AE324" s="8">
        <f>'PFAS Properties'!$S$33</f>
        <v>2.6821450763738319</v>
      </c>
      <c r="AF324" s="15">
        <f>'PFAS Properties'!$V$33</f>
        <v>4.9000000000000004</v>
      </c>
      <c r="AG324" s="24">
        <v>7.8</v>
      </c>
      <c r="AH324" s="2" t="s">
        <v>122</v>
      </c>
      <c r="AI324" s="2" t="s">
        <v>661</v>
      </c>
      <c r="AJ324" s="2" t="s">
        <v>661</v>
      </c>
      <c r="AK324" s="2" t="s">
        <v>661</v>
      </c>
      <c r="AL324" s="2" t="s">
        <v>661</v>
      </c>
      <c r="AM324" s="2" t="s">
        <v>661</v>
      </c>
      <c r="AN324" s="2" t="s">
        <v>661</v>
      </c>
      <c r="AO324" s="2" t="s">
        <v>661</v>
      </c>
      <c r="AP324" s="15">
        <v>39.6</v>
      </c>
      <c r="AQ324" s="2" t="s">
        <v>661</v>
      </c>
      <c r="AR324" s="16">
        <v>13.3</v>
      </c>
      <c r="AS324" s="16">
        <v>18.799999999999994</v>
      </c>
      <c r="AT324" s="16">
        <v>67.900000000000006</v>
      </c>
      <c r="AU324" s="2" t="s">
        <v>661</v>
      </c>
      <c r="AV324" s="16">
        <f t="shared" si="172"/>
        <v>100</v>
      </c>
      <c r="AW324" s="18">
        <v>0.4</v>
      </c>
      <c r="AX324" s="13">
        <f t="shared" si="176"/>
        <v>4.0000000000000001E-3</v>
      </c>
      <c r="AY324" s="13" t="s">
        <v>123</v>
      </c>
      <c r="AZ324" s="16">
        <f t="shared" si="175"/>
        <v>100</v>
      </c>
      <c r="BA324" s="16" t="s">
        <v>55</v>
      </c>
      <c r="BB324" s="15">
        <v>2.2999999999999998</v>
      </c>
      <c r="BC324" s="16" t="s">
        <v>55</v>
      </c>
      <c r="BD324" s="18">
        <v>6.3</v>
      </c>
      <c r="BE324" s="15">
        <f t="shared" si="173"/>
        <v>1575</v>
      </c>
      <c r="BF324" s="8">
        <f t="shared" si="169"/>
        <v>3.1972805581256192</v>
      </c>
      <c r="BG324" s="8">
        <f t="shared" si="174"/>
        <v>0.79934054945358168</v>
      </c>
      <c r="BH324" s="13" t="s">
        <v>841</v>
      </c>
      <c r="BI324" s="13"/>
      <c r="BJ324" s="13"/>
      <c r="BK324" s="8"/>
      <c r="BL324" s="8"/>
      <c r="BM324" s="18"/>
      <c r="BN324" s="8"/>
      <c r="BO324" s="24"/>
    </row>
    <row r="325" spans="1:67" s="14" customFormat="1" x14ac:dyDescent="0.3">
      <c r="A325" s="20">
        <v>323</v>
      </c>
      <c r="B325" s="2" t="s">
        <v>241</v>
      </c>
      <c r="C325" s="2">
        <v>2019</v>
      </c>
      <c r="D325" s="2" t="s">
        <v>201</v>
      </c>
      <c r="E325" s="10" t="s">
        <v>800</v>
      </c>
      <c r="F325" s="20" t="s">
        <v>29</v>
      </c>
      <c r="G325" s="2">
        <v>71</v>
      </c>
      <c r="H325" s="2" t="str">
        <f>'PFAS Properties'!$B$33</f>
        <v>PFOA</v>
      </c>
      <c r="I325" s="2" t="str">
        <f>'PFAS Properties'!$C$33</f>
        <v>PFCA</v>
      </c>
      <c r="J325" s="2" t="str">
        <f>'PFAS Properties'!$D$33</f>
        <v>C8HF15O2</v>
      </c>
      <c r="K325" s="25">
        <f>'PFAS Properties'!$P$33</f>
        <v>413.97359999999998</v>
      </c>
      <c r="L325" s="2">
        <f>'PFAS Properties'!$X$33</f>
        <v>-0.2</v>
      </c>
      <c r="M325" s="2" t="str">
        <f>'PFAS Properties'!$Y$33</f>
        <v>-</v>
      </c>
      <c r="N325" s="33">
        <v>0</v>
      </c>
      <c r="O325" s="33">
        <v>0</v>
      </c>
      <c r="P325" s="33">
        <v>0</v>
      </c>
      <c r="Q325" s="33">
        <f t="shared" si="161"/>
        <v>0.99999987410747471</v>
      </c>
      <c r="R325" s="33">
        <v>0</v>
      </c>
      <c r="S325" s="33">
        <f t="shared" si="162"/>
        <v>1.2589252533048661E-7</v>
      </c>
      <c r="T325" s="8">
        <f t="shared" si="163"/>
        <v>1</v>
      </c>
      <c r="U325" s="33">
        <f t="shared" si="164"/>
        <v>0</v>
      </c>
      <c r="V325" s="33">
        <f t="shared" si="165"/>
        <v>-0.99999987410747471</v>
      </c>
      <c r="W325" s="33">
        <f t="shared" si="166"/>
        <v>412.97360012589252</v>
      </c>
      <c r="X325" s="33">
        <v>96485</v>
      </c>
      <c r="Y325" s="16">
        <f t="shared" si="167"/>
        <v>-233.63475976151219</v>
      </c>
      <c r="Z325" s="16">
        <v>8</v>
      </c>
      <c r="AA325" s="16">
        <v>15</v>
      </c>
      <c r="AB325" s="8">
        <f t="shared" si="168"/>
        <v>0.33684210526315789</v>
      </c>
      <c r="AC325" s="16">
        <f t="shared" si="177"/>
        <v>68.844969824162703</v>
      </c>
      <c r="AD325" s="20">
        <f>'PFAS Properties'!$W$33</f>
        <v>7</v>
      </c>
      <c r="AE325" s="8">
        <f>'PFAS Properties'!$S$33</f>
        <v>2.6821450763738319</v>
      </c>
      <c r="AF325" s="15">
        <f>'PFAS Properties'!$V$33</f>
        <v>4.9000000000000004</v>
      </c>
      <c r="AG325" s="24">
        <v>6.7</v>
      </c>
      <c r="AH325" s="2" t="s">
        <v>122</v>
      </c>
      <c r="AI325" s="2" t="s">
        <v>661</v>
      </c>
      <c r="AJ325" s="2" t="s">
        <v>661</v>
      </c>
      <c r="AK325" s="2" t="s">
        <v>661</v>
      </c>
      <c r="AL325" s="2" t="s">
        <v>661</v>
      </c>
      <c r="AM325" s="2" t="s">
        <v>661</v>
      </c>
      <c r="AN325" s="2" t="s">
        <v>661</v>
      </c>
      <c r="AO325" s="2" t="s">
        <v>661</v>
      </c>
      <c r="AP325" s="15">
        <v>7.1</v>
      </c>
      <c r="AQ325" s="2" t="s">
        <v>661</v>
      </c>
      <c r="AR325" s="16">
        <v>48.9</v>
      </c>
      <c r="AS325" s="16">
        <v>26.9</v>
      </c>
      <c r="AT325" s="16">
        <v>24.2</v>
      </c>
      <c r="AU325" s="2" t="s">
        <v>661</v>
      </c>
      <c r="AV325" s="16">
        <f t="shared" si="172"/>
        <v>100</v>
      </c>
      <c r="AW325" s="18">
        <v>0.3</v>
      </c>
      <c r="AX325" s="13">
        <f t="shared" si="176"/>
        <v>3.0000000000000001E-3</v>
      </c>
      <c r="AY325" s="13" t="s">
        <v>123</v>
      </c>
      <c r="AZ325" s="16">
        <f t="shared" si="175"/>
        <v>100</v>
      </c>
      <c r="BA325" s="16" t="s">
        <v>55</v>
      </c>
      <c r="BB325" s="15">
        <v>2.2999999999999998</v>
      </c>
      <c r="BC325" s="16" t="s">
        <v>55</v>
      </c>
      <c r="BD325" s="18">
        <v>6</v>
      </c>
      <c r="BE325" s="15">
        <f t="shared" si="173"/>
        <v>2000</v>
      </c>
      <c r="BF325" s="8">
        <f t="shared" si="169"/>
        <v>3.3010299956639813</v>
      </c>
      <c r="BG325" s="8">
        <f t="shared" si="174"/>
        <v>0.77815125038364363</v>
      </c>
      <c r="BH325" s="13" t="s">
        <v>841</v>
      </c>
      <c r="BI325" s="13"/>
      <c r="BJ325" s="13"/>
      <c r="BK325" s="8"/>
      <c r="BL325" s="8"/>
      <c r="BM325" s="18"/>
      <c r="BN325" s="8"/>
      <c r="BO325" s="24"/>
    </row>
    <row r="326" spans="1:67" s="14" customFormat="1" x14ac:dyDescent="0.3">
      <c r="A326" s="20">
        <v>324</v>
      </c>
      <c r="B326" s="2" t="s">
        <v>241</v>
      </c>
      <c r="C326" s="2">
        <v>2019</v>
      </c>
      <c r="D326" s="2" t="s">
        <v>201</v>
      </c>
      <c r="E326" s="10" t="s">
        <v>800</v>
      </c>
      <c r="F326" s="20" t="s">
        <v>29</v>
      </c>
      <c r="G326" s="2">
        <v>72</v>
      </c>
      <c r="H326" s="2" t="str">
        <f>'PFAS Properties'!$B$33</f>
        <v>PFOA</v>
      </c>
      <c r="I326" s="2" t="str">
        <f>'PFAS Properties'!$C$33</f>
        <v>PFCA</v>
      </c>
      <c r="J326" s="2" t="str">
        <f>'PFAS Properties'!$D$33</f>
        <v>C8HF15O2</v>
      </c>
      <c r="K326" s="25">
        <f>'PFAS Properties'!$P$33</f>
        <v>413.97359999999998</v>
      </c>
      <c r="L326" s="2">
        <f>'PFAS Properties'!$X$33</f>
        <v>-0.2</v>
      </c>
      <c r="M326" s="2" t="str">
        <f>'PFAS Properties'!$Y$33</f>
        <v>-</v>
      </c>
      <c r="N326" s="33">
        <v>0</v>
      </c>
      <c r="O326" s="33">
        <v>0</v>
      </c>
      <c r="P326" s="33">
        <v>0</v>
      </c>
      <c r="Q326" s="33">
        <f t="shared" si="161"/>
        <v>0.99999996837722438</v>
      </c>
      <c r="R326" s="33">
        <v>0</v>
      </c>
      <c r="S326" s="33">
        <f t="shared" si="162"/>
        <v>3.1622775601683729E-8</v>
      </c>
      <c r="T326" s="8">
        <f t="shared" si="163"/>
        <v>1</v>
      </c>
      <c r="U326" s="33">
        <f t="shared" si="164"/>
        <v>0</v>
      </c>
      <c r="V326" s="33">
        <f t="shared" si="165"/>
        <v>-0.99999996837722438</v>
      </c>
      <c r="W326" s="33">
        <f t="shared" si="166"/>
        <v>412.97360003162271</v>
      </c>
      <c r="X326" s="33">
        <v>96485</v>
      </c>
      <c r="Y326" s="16">
        <f t="shared" si="167"/>
        <v>-233.63478183953725</v>
      </c>
      <c r="Z326" s="16">
        <v>8</v>
      </c>
      <c r="AA326" s="16">
        <v>15</v>
      </c>
      <c r="AB326" s="8">
        <f t="shared" si="168"/>
        <v>0.33684210526315789</v>
      </c>
      <c r="AC326" s="16">
        <f t="shared" si="177"/>
        <v>68.844969824162703</v>
      </c>
      <c r="AD326" s="20">
        <f>'PFAS Properties'!$W$33</f>
        <v>7</v>
      </c>
      <c r="AE326" s="8">
        <f>'PFAS Properties'!$S$33</f>
        <v>2.6821450763738319</v>
      </c>
      <c r="AF326" s="15">
        <f>'PFAS Properties'!$V$33</f>
        <v>4.9000000000000004</v>
      </c>
      <c r="AG326" s="24">
        <v>7.3</v>
      </c>
      <c r="AH326" s="2" t="s">
        <v>122</v>
      </c>
      <c r="AI326" s="2" t="s">
        <v>661</v>
      </c>
      <c r="AJ326" s="2" t="s">
        <v>661</v>
      </c>
      <c r="AK326" s="2" t="s">
        <v>661</v>
      </c>
      <c r="AL326" s="2" t="s">
        <v>661</v>
      </c>
      <c r="AM326" s="2" t="s">
        <v>661</v>
      </c>
      <c r="AN326" s="2" t="s">
        <v>661</v>
      </c>
      <c r="AO326" s="2" t="s">
        <v>661</v>
      </c>
      <c r="AP326" s="15">
        <v>35.299999999999997</v>
      </c>
      <c r="AQ326" s="2" t="s">
        <v>661</v>
      </c>
      <c r="AR326" s="16">
        <v>43.1</v>
      </c>
      <c r="AS326" s="16">
        <v>6.5</v>
      </c>
      <c r="AT326" s="16">
        <v>50.4</v>
      </c>
      <c r="AU326" s="2" t="s">
        <v>661</v>
      </c>
      <c r="AV326" s="16">
        <f t="shared" si="172"/>
        <v>100</v>
      </c>
      <c r="AW326" s="18">
        <v>0.6</v>
      </c>
      <c r="AX326" s="13">
        <f t="shared" si="176"/>
        <v>6.0000000000000001E-3</v>
      </c>
      <c r="AY326" s="13" t="s">
        <v>123</v>
      </c>
      <c r="AZ326" s="16">
        <f t="shared" si="175"/>
        <v>100</v>
      </c>
      <c r="BA326" s="16" t="s">
        <v>55</v>
      </c>
      <c r="BB326" s="15">
        <v>2.2999999999999998</v>
      </c>
      <c r="BC326" s="16" t="s">
        <v>55</v>
      </c>
      <c r="BD326" s="18">
        <v>7</v>
      </c>
      <c r="BE326" s="15">
        <f t="shared" si="173"/>
        <v>1166.6666666666667</v>
      </c>
      <c r="BF326" s="8">
        <f t="shared" si="169"/>
        <v>3.0669467896306131</v>
      </c>
      <c r="BG326" s="8">
        <f t="shared" si="174"/>
        <v>0.84509804001425681</v>
      </c>
      <c r="BH326" s="13" t="s">
        <v>841</v>
      </c>
      <c r="BI326" s="13"/>
      <c r="BJ326" s="13"/>
      <c r="BK326" s="8"/>
      <c r="BL326" s="8"/>
      <c r="BM326" s="18"/>
      <c r="BN326" s="8"/>
      <c r="BO326" s="24"/>
    </row>
    <row r="327" spans="1:67" s="14" customFormat="1" x14ac:dyDescent="0.3">
      <c r="A327" s="20">
        <v>325</v>
      </c>
      <c r="B327" s="2" t="s">
        <v>241</v>
      </c>
      <c r="C327" s="2">
        <v>2019</v>
      </c>
      <c r="D327" s="2" t="s">
        <v>201</v>
      </c>
      <c r="E327" s="10" t="s">
        <v>800</v>
      </c>
      <c r="F327" s="20" t="s">
        <v>29</v>
      </c>
      <c r="G327" s="2">
        <v>73</v>
      </c>
      <c r="H327" s="2" t="str">
        <f>'PFAS Properties'!$B$33</f>
        <v>PFOA</v>
      </c>
      <c r="I327" s="2" t="str">
        <f>'PFAS Properties'!$C$33</f>
        <v>PFCA</v>
      </c>
      <c r="J327" s="2" t="str">
        <f>'PFAS Properties'!$D$33</f>
        <v>C8HF15O2</v>
      </c>
      <c r="K327" s="25">
        <f>'PFAS Properties'!$P$33</f>
        <v>413.97359999999998</v>
      </c>
      <c r="L327" s="2">
        <f>'PFAS Properties'!$X$33</f>
        <v>-0.2</v>
      </c>
      <c r="M327" s="2" t="str">
        <f>'PFAS Properties'!$Y$33</f>
        <v>-</v>
      </c>
      <c r="N327" s="33">
        <v>0</v>
      </c>
      <c r="O327" s="33">
        <v>0</v>
      </c>
      <c r="P327" s="33">
        <v>0</v>
      </c>
      <c r="Q327" s="33">
        <f t="shared" si="161"/>
        <v>0.99999998004737722</v>
      </c>
      <c r="R327" s="33">
        <v>0</v>
      </c>
      <c r="S327" s="33">
        <f t="shared" si="162"/>
        <v>1.995262275158161E-8</v>
      </c>
      <c r="T327" s="8">
        <f t="shared" si="163"/>
        <v>1</v>
      </c>
      <c r="U327" s="33">
        <f t="shared" si="164"/>
        <v>0</v>
      </c>
      <c r="V327" s="33">
        <f t="shared" si="165"/>
        <v>-0.99999998004737722</v>
      </c>
      <c r="W327" s="33">
        <f t="shared" si="166"/>
        <v>412.97360001995258</v>
      </c>
      <c r="X327" s="33">
        <v>96485</v>
      </c>
      <c r="Y327" s="16">
        <f t="shared" si="167"/>
        <v>-233.63478457269321</v>
      </c>
      <c r="Z327" s="16">
        <v>8</v>
      </c>
      <c r="AA327" s="16">
        <v>15</v>
      </c>
      <c r="AB327" s="8">
        <f t="shared" si="168"/>
        <v>0.33684210526315789</v>
      </c>
      <c r="AC327" s="16">
        <f t="shared" si="177"/>
        <v>68.844969824162703</v>
      </c>
      <c r="AD327" s="20">
        <f>'PFAS Properties'!$W$33</f>
        <v>7</v>
      </c>
      <c r="AE327" s="8">
        <f>'PFAS Properties'!$S$33</f>
        <v>2.6821450763738319</v>
      </c>
      <c r="AF327" s="15">
        <f>'PFAS Properties'!$V$33</f>
        <v>4.9000000000000004</v>
      </c>
      <c r="AG327" s="24">
        <v>7.5</v>
      </c>
      <c r="AH327" s="2" t="s">
        <v>122</v>
      </c>
      <c r="AI327" s="2" t="s">
        <v>661</v>
      </c>
      <c r="AJ327" s="2" t="s">
        <v>661</v>
      </c>
      <c r="AK327" s="2" t="s">
        <v>661</v>
      </c>
      <c r="AL327" s="2" t="s">
        <v>661</v>
      </c>
      <c r="AM327" s="2" t="s">
        <v>661</v>
      </c>
      <c r="AN327" s="2" t="s">
        <v>661</v>
      </c>
      <c r="AO327" s="2" t="s">
        <v>661</v>
      </c>
      <c r="AP327" s="15">
        <v>22.9</v>
      </c>
      <c r="AQ327" s="2" t="s">
        <v>661</v>
      </c>
      <c r="AR327" s="16">
        <v>49</v>
      </c>
      <c r="AS327" s="16">
        <v>10</v>
      </c>
      <c r="AT327" s="16">
        <v>41</v>
      </c>
      <c r="AU327" s="2" t="s">
        <v>661</v>
      </c>
      <c r="AV327" s="16">
        <f t="shared" si="172"/>
        <v>100</v>
      </c>
      <c r="AW327" s="18">
        <v>0.4</v>
      </c>
      <c r="AX327" s="13">
        <f t="shared" si="176"/>
        <v>4.0000000000000001E-3</v>
      </c>
      <c r="AY327" s="13" t="s">
        <v>123</v>
      </c>
      <c r="AZ327" s="16">
        <f t="shared" si="175"/>
        <v>100</v>
      </c>
      <c r="BA327" s="16" t="s">
        <v>55</v>
      </c>
      <c r="BB327" s="15">
        <v>2.2999999999999998</v>
      </c>
      <c r="BC327" s="16" t="s">
        <v>55</v>
      </c>
      <c r="BD327" s="18">
        <v>3.4</v>
      </c>
      <c r="BE327" s="15">
        <f t="shared" si="173"/>
        <v>850</v>
      </c>
      <c r="BF327" s="8">
        <f t="shared" si="169"/>
        <v>2.9294189257142929</v>
      </c>
      <c r="BG327" s="8">
        <f t="shared" si="174"/>
        <v>0.53147891704225514</v>
      </c>
      <c r="BH327" s="13" t="s">
        <v>841</v>
      </c>
      <c r="BI327" s="13"/>
      <c r="BJ327" s="13"/>
      <c r="BK327" s="8"/>
      <c r="BL327" s="8"/>
      <c r="BM327" s="18"/>
      <c r="BN327" s="8"/>
      <c r="BO327" s="24"/>
    </row>
    <row r="328" spans="1:67" s="14" customFormat="1" x14ac:dyDescent="0.3">
      <c r="A328" s="20">
        <v>326</v>
      </c>
      <c r="B328" s="2" t="s">
        <v>241</v>
      </c>
      <c r="C328" s="2">
        <v>2019</v>
      </c>
      <c r="D328" s="2" t="s">
        <v>201</v>
      </c>
      <c r="E328" s="10" t="s">
        <v>800</v>
      </c>
      <c r="F328" s="20" t="s">
        <v>29</v>
      </c>
      <c r="G328" s="2">
        <v>74</v>
      </c>
      <c r="H328" s="2" t="str">
        <f>'PFAS Properties'!$B$33</f>
        <v>PFOA</v>
      </c>
      <c r="I328" s="2" t="str">
        <f>'PFAS Properties'!$C$33</f>
        <v>PFCA</v>
      </c>
      <c r="J328" s="2" t="str">
        <f>'PFAS Properties'!$D$33</f>
        <v>C8HF15O2</v>
      </c>
      <c r="K328" s="25">
        <f>'PFAS Properties'!$P$33</f>
        <v>413.97359999999998</v>
      </c>
      <c r="L328" s="2">
        <f>'PFAS Properties'!$X$33</f>
        <v>-0.2</v>
      </c>
      <c r="M328" s="2" t="str">
        <f>'PFAS Properties'!$Y$33</f>
        <v>-</v>
      </c>
      <c r="N328" s="33">
        <v>0</v>
      </c>
      <c r="O328" s="33">
        <v>0</v>
      </c>
      <c r="P328" s="33">
        <v>0</v>
      </c>
      <c r="Q328" s="33">
        <f t="shared" si="161"/>
        <v>0.9999999601892845</v>
      </c>
      <c r="R328" s="33">
        <v>0</v>
      </c>
      <c r="S328" s="33">
        <f t="shared" si="162"/>
        <v>3.9810715470456442E-8</v>
      </c>
      <c r="T328" s="8">
        <f t="shared" si="163"/>
        <v>1</v>
      </c>
      <c r="U328" s="33">
        <f t="shared" si="164"/>
        <v>0</v>
      </c>
      <c r="V328" s="33">
        <f t="shared" si="165"/>
        <v>-0.9999999601892845</v>
      </c>
      <c r="W328" s="33">
        <f t="shared" si="166"/>
        <v>412.97360003981066</v>
      </c>
      <c r="X328" s="33">
        <v>96485</v>
      </c>
      <c r="Y328" s="16">
        <f t="shared" si="167"/>
        <v>-233.63477992191741</v>
      </c>
      <c r="Z328" s="16">
        <v>8</v>
      </c>
      <c r="AA328" s="16">
        <v>15</v>
      </c>
      <c r="AB328" s="8">
        <f t="shared" si="168"/>
        <v>0.33684210526315789</v>
      </c>
      <c r="AC328" s="16">
        <f t="shared" si="177"/>
        <v>68.844969824162703</v>
      </c>
      <c r="AD328" s="20">
        <f>'PFAS Properties'!$W$33</f>
        <v>7</v>
      </c>
      <c r="AE328" s="8">
        <f>'PFAS Properties'!$S$33</f>
        <v>2.6821450763738319</v>
      </c>
      <c r="AF328" s="15">
        <f>'PFAS Properties'!$V$33</f>
        <v>4.9000000000000004</v>
      </c>
      <c r="AG328" s="24">
        <v>7.2</v>
      </c>
      <c r="AH328" s="2" t="s">
        <v>122</v>
      </c>
      <c r="AI328" s="2" t="s">
        <v>661</v>
      </c>
      <c r="AJ328" s="2" t="s">
        <v>661</v>
      </c>
      <c r="AK328" s="2" t="s">
        <v>661</v>
      </c>
      <c r="AL328" s="2" t="s">
        <v>661</v>
      </c>
      <c r="AM328" s="2" t="s">
        <v>661</v>
      </c>
      <c r="AN328" s="2" t="s">
        <v>661</v>
      </c>
      <c r="AO328" s="2" t="s">
        <v>661</v>
      </c>
      <c r="AP328" s="15">
        <v>37.1</v>
      </c>
      <c r="AQ328" s="2" t="s">
        <v>661</v>
      </c>
      <c r="AR328" s="16">
        <v>50</v>
      </c>
      <c r="AS328" s="16">
        <v>10</v>
      </c>
      <c r="AT328" s="16">
        <v>40</v>
      </c>
      <c r="AU328" s="2" t="s">
        <v>661</v>
      </c>
      <c r="AV328" s="16">
        <f t="shared" si="172"/>
        <v>100</v>
      </c>
      <c r="AW328" s="18">
        <v>1.3</v>
      </c>
      <c r="AX328" s="13">
        <f t="shared" si="176"/>
        <v>1.3000000000000001E-2</v>
      </c>
      <c r="AY328" s="13" t="s">
        <v>123</v>
      </c>
      <c r="AZ328" s="16">
        <f t="shared" si="175"/>
        <v>100</v>
      </c>
      <c r="BA328" s="16" t="s">
        <v>55</v>
      </c>
      <c r="BB328" s="15">
        <v>2.2999999999999998</v>
      </c>
      <c r="BC328" s="16" t="s">
        <v>55</v>
      </c>
      <c r="BD328" s="18">
        <v>9</v>
      </c>
      <c r="BE328" s="15">
        <f t="shared" si="173"/>
        <v>692.30769230769226</v>
      </c>
      <c r="BF328" s="8">
        <f t="shared" si="169"/>
        <v>2.8402991571324883</v>
      </c>
      <c r="BG328" s="8">
        <f t="shared" si="174"/>
        <v>0.95424250943932487</v>
      </c>
      <c r="BH328" s="13" t="s">
        <v>841</v>
      </c>
      <c r="BI328" s="13"/>
      <c r="BJ328" s="13"/>
      <c r="BK328" s="8"/>
      <c r="BL328" s="8"/>
      <c r="BM328" s="18"/>
      <c r="BN328" s="8"/>
      <c r="BO328" s="24"/>
    </row>
    <row r="329" spans="1:67" s="14" customFormat="1" x14ac:dyDescent="0.3">
      <c r="A329" s="20">
        <v>327</v>
      </c>
      <c r="B329" s="2" t="s">
        <v>241</v>
      </c>
      <c r="C329" s="2">
        <v>2019</v>
      </c>
      <c r="D329" s="2" t="s">
        <v>201</v>
      </c>
      <c r="E329" s="10" t="s">
        <v>800</v>
      </c>
      <c r="F329" s="20" t="s">
        <v>29</v>
      </c>
      <c r="G329" s="2">
        <v>75</v>
      </c>
      <c r="H329" s="2" t="str">
        <f>'PFAS Properties'!$B$33</f>
        <v>PFOA</v>
      </c>
      <c r="I329" s="2" t="str">
        <f>'PFAS Properties'!$C$33</f>
        <v>PFCA</v>
      </c>
      <c r="J329" s="2" t="str">
        <f>'PFAS Properties'!$D$33</f>
        <v>C8HF15O2</v>
      </c>
      <c r="K329" s="25">
        <f>'PFAS Properties'!$P$33</f>
        <v>413.97359999999998</v>
      </c>
      <c r="L329" s="2">
        <f>'PFAS Properties'!$X$33</f>
        <v>-0.2</v>
      </c>
      <c r="M329" s="2" t="str">
        <f>'PFAS Properties'!$Y$33</f>
        <v>-</v>
      </c>
      <c r="N329" s="33">
        <v>0</v>
      </c>
      <c r="O329" s="33">
        <v>0</v>
      </c>
      <c r="P329" s="33">
        <v>0</v>
      </c>
      <c r="Q329" s="33">
        <f t="shared" si="161"/>
        <v>0.9999992056723962</v>
      </c>
      <c r="R329" s="33">
        <v>0</v>
      </c>
      <c r="S329" s="33">
        <f t="shared" si="162"/>
        <v>7.9432760376743655E-7</v>
      </c>
      <c r="T329" s="8">
        <f t="shared" si="163"/>
        <v>1</v>
      </c>
      <c r="U329" s="33">
        <f t="shared" si="164"/>
        <v>0</v>
      </c>
      <c r="V329" s="33">
        <f t="shared" si="165"/>
        <v>-0.9999992056723962</v>
      </c>
      <c r="W329" s="33">
        <f t="shared" si="166"/>
        <v>412.97360079432758</v>
      </c>
      <c r="X329" s="33">
        <v>96485</v>
      </c>
      <c r="Y329" s="16">
        <f t="shared" si="167"/>
        <v>-233.63460321366483</v>
      </c>
      <c r="Z329" s="16">
        <v>8</v>
      </c>
      <c r="AA329" s="16">
        <v>15</v>
      </c>
      <c r="AB329" s="8">
        <f t="shared" si="168"/>
        <v>0.33684210526315789</v>
      </c>
      <c r="AC329" s="16">
        <f t="shared" si="177"/>
        <v>68.844969824162703</v>
      </c>
      <c r="AD329" s="20">
        <f>'PFAS Properties'!$W$33</f>
        <v>7</v>
      </c>
      <c r="AE329" s="8">
        <f>'PFAS Properties'!$S$33</f>
        <v>2.6821450763738319</v>
      </c>
      <c r="AF329" s="15">
        <f>'PFAS Properties'!$V$33</f>
        <v>4.9000000000000004</v>
      </c>
      <c r="AG329" s="24">
        <v>5.9</v>
      </c>
      <c r="AH329" s="2" t="s">
        <v>122</v>
      </c>
      <c r="AI329" s="2" t="s">
        <v>661</v>
      </c>
      <c r="AJ329" s="2" t="s">
        <v>661</v>
      </c>
      <c r="AK329" s="2" t="s">
        <v>661</v>
      </c>
      <c r="AL329" s="2" t="s">
        <v>661</v>
      </c>
      <c r="AM329" s="2" t="s">
        <v>661</v>
      </c>
      <c r="AN329" s="2" t="s">
        <v>661</v>
      </c>
      <c r="AO329" s="2" t="s">
        <v>661</v>
      </c>
      <c r="AP329" s="15">
        <v>17.100000000000001</v>
      </c>
      <c r="AQ329" s="2" t="s">
        <v>661</v>
      </c>
      <c r="AR329" s="16">
        <v>68</v>
      </c>
      <c r="AS329" s="16">
        <v>8</v>
      </c>
      <c r="AT329" s="16">
        <v>24</v>
      </c>
      <c r="AU329" s="2" t="s">
        <v>661</v>
      </c>
      <c r="AV329" s="16">
        <f t="shared" si="172"/>
        <v>100</v>
      </c>
      <c r="AW329" s="18">
        <v>0.9</v>
      </c>
      <c r="AX329" s="13">
        <f t="shared" si="176"/>
        <v>9.0000000000000011E-3</v>
      </c>
      <c r="AY329" s="13" t="s">
        <v>123</v>
      </c>
      <c r="AZ329" s="16">
        <f t="shared" si="175"/>
        <v>100</v>
      </c>
      <c r="BA329" s="16" t="s">
        <v>55</v>
      </c>
      <c r="BB329" s="15">
        <v>2.2999999999999998</v>
      </c>
      <c r="BC329" s="16" t="s">
        <v>55</v>
      </c>
      <c r="BD329" s="18">
        <v>8.6999999999999993</v>
      </c>
      <c r="BE329" s="15">
        <f t="shared" si="173"/>
        <v>966.66666666666652</v>
      </c>
      <c r="BF329" s="8">
        <f t="shared" si="169"/>
        <v>2.9852767431792935</v>
      </c>
      <c r="BG329" s="8">
        <f t="shared" si="174"/>
        <v>0.93951925261861846</v>
      </c>
      <c r="BH329" s="13" t="s">
        <v>841</v>
      </c>
      <c r="BI329" s="13"/>
      <c r="BJ329" s="13"/>
      <c r="BK329" s="8"/>
      <c r="BL329" s="8"/>
      <c r="BM329" s="18"/>
      <c r="BN329" s="8"/>
      <c r="BO329" s="24"/>
    </row>
    <row r="330" spans="1:67" s="14" customFormat="1" x14ac:dyDescent="0.3">
      <c r="A330" s="20">
        <v>328</v>
      </c>
      <c r="B330" s="2" t="s">
        <v>241</v>
      </c>
      <c r="C330" s="2">
        <v>2019</v>
      </c>
      <c r="D330" s="2" t="s">
        <v>201</v>
      </c>
      <c r="E330" s="10" t="s">
        <v>800</v>
      </c>
      <c r="F330" s="20" t="s">
        <v>29</v>
      </c>
      <c r="G330" s="2">
        <v>76</v>
      </c>
      <c r="H330" s="2" t="str">
        <f>'PFAS Properties'!$B$33</f>
        <v>PFOA</v>
      </c>
      <c r="I330" s="2" t="str">
        <f>'PFAS Properties'!$C$33</f>
        <v>PFCA</v>
      </c>
      <c r="J330" s="2" t="str">
        <f>'PFAS Properties'!$D$33</f>
        <v>C8HF15O2</v>
      </c>
      <c r="K330" s="25">
        <f>'PFAS Properties'!$P$33</f>
        <v>413.97359999999998</v>
      </c>
      <c r="L330" s="2">
        <f>'PFAS Properties'!$X$33</f>
        <v>-0.2</v>
      </c>
      <c r="M330" s="2" t="str">
        <f>'PFAS Properties'!$Y$33</f>
        <v>-</v>
      </c>
      <c r="N330" s="33">
        <v>0</v>
      </c>
      <c r="O330" s="33">
        <v>0</v>
      </c>
      <c r="P330" s="33">
        <v>0</v>
      </c>
      <c r="Q330" s="33">
        <f t="shared" si="161"/>
        <v>0.99999998004737722</v>
      </c>
      <c r="R330" s="33">
        <v>0</v>
      </c>
      <c r="S330" s="33">
        <f t="shared" si="162"/>
        <v>1.995262275158161E-8</v>
      </c>
      <c r="T330" s="8">
        <f t="shared" si="163"/>
        <v>1</v>
      </c>
      <c r="U330" s="33">
        <f t="shared" si="164"/>
        <v>0</v>
      </c>
      <c r="V330" s="33">
        <f t="shared" si="165"/>
        <v>-0.99999998004737722</v>
      </c>
      <c r="W330" s="33">
        <f t="shared" si="166"/>
        <v>412.97360001995258</v>
      </c>
      <c r="X330" s="33">
        <v>96485</v>
      </c>
      <c r="Y330" s="16">
        <f t="shared" si="167"/>
        <v>-233.63478457269321</v>
      </c>
      <c r="Z330" s="16">
        <v>8</v>
      </c>
      <c r="AA330" s="16">
        <v>15</v>
      </c>
      <c r="AB330" s="8">
        <f t="shared" si="168"/>
        <v>0.33684210526315789</v>
      </c>
      <c r="AC330" s="16">
        <f t="shared" si="177"/>
        <v>68.844969824162703</v>
      </c>
      <c r="AD330" s="20">
        <f>'PFAS Properties'!$W$33</f>
        <v>7</v>
      </c>
      <c r="AE330" s="8">
        <f>'PFAS Properties'!$S$33</f>
        <v>2.6821450763738319</v>
      </c>
      <c r="AF330" s="15">
        <f>'PFAS Properties'!$V$33</f>
        <v>4.9000000000000004</v>
      </c>
      <c r="AG330" s="24">
        <v>7.5</v>
      </c>
      <c r="AH330" s="2" t="s">
        <v>122</v>
      </c>
      <c r="AI330" s="2" t="s">
        <v>661</v>
      </c>
      <c r="AJ330" s="2" t="s">
        <v>661</v>
      </c>
      <c r="AK330" s="2" t="s">
        <v>661</v>
      </c>
      <c r="AL330" s="2" t="s">
        <v>661</v>
      </c>
      <c r="AM330" s="2" t="s">
        <v>661</v>
      </c>
      <c r="AN330" s="2" t="s">
        <v>661</v>
      </c>
      <c r="AO330" s="2" t="s">
        <v>661</v>
      </c>
      <c r="AP330" s="15">
        <v>29.3</v>
      </c>
      <c r="AQ330" s="2" t="s">
        <v>661</v>
      </c>
      <c r="AR330" s="16">
        <v>46</v>
      </c>
      <c r="AS330" s="16">
        <v>13</v>
      </c>
      <c r="AT330" s="16">
        <v>41</v>
      </c>
      <c r="AU330" s="2" t="s">
        <v>661</v>
      </c>
      <c r="AV330" s="16">
        <f t="shared" si="172"/>
        <v>100</v>
      </c>
      <c r="AW330" s="18">
        <v>0.2</v>
      </c>
      <c r="AX330" s="13">
        <f t="shared" si="176"/>
        <v>2E-3</v>
      </c>
      <c r="AY330" s="13" t="s">
        <v>123</v>
      </c>
      <c r="AZ330" s="16">
        <f t="shared" si="175"/>
        <v>100</v>
      </c>
      <c r="BA330" s="16" t="s">
        <v>55</v>
      </c>
      <c r="BB330" s="15">
        <v>2.2999999999999998</v>
      </c>
      <c r="BC330" s="16" t="s">
        <v>55</v>
      </c>
      <c r="BD330" s="18">
        <v>3.7</v>
      </c>
      <c r="BE330" s="15">
        <f t="shared" si="173"/>
        <v>1850</v>
      </c>
      <c r="BF330" s="8">
        <f t="shared" si="169"/>
        <v>3.2671717284030137</v>
      </c>
      <c r="BG330" s="8">
        <f t="shared" si="174"/>
        <v>0.56820172406699498</v>
      </c>
      <c r="BH330" s="13" t="s">
        <v>841</v>
      </c>
      <c r="BI330" s="13"/>
      <c r="BJ330" s="13"/>
      <c r="BK330" s="8"/>
      <c r="BL330" s="8"/>
      <c r="BM330" s="18"/>
      <c r="BN330" s="8"/>
      <c r="BO330" s="24"/>
    </row>
    <row r="331" spans="1:67" s="14" customFormat="1" x14ac:dyDescent="0.3">
      <c r="A331" s="20">
        <v>329</v>
      </c>
      <c r="B331" s="2" t="s">
        <v>241</v>
      </c>
      <c r="C331" s="2">
        <v>2019</v>
      </c>
      <c r="D331" s="2" t="s">
        <v>201</v>
      </c>
      <c r="E331" s="10" t="s">
        <v>800</v>
      </c>
      <c r="F331" s="20" t="s">
        <v>29</v>
      </c>
      <c r="G331" s="2">
        <v>77</v>
      </c>
      <c r="H331" s="2" t="str">
        <f>'PFAS Properties'!$B$33</f>
        <v>PFOA</v>
      </c>
      <c r="I331" s="2" t="str">
        <f>'PFAS Properties'!$C$33</f>
        <v>PFCA</v>
      </c>
      <c r="J331" s="2" t="str">
        <f>'PFAS Properties'!$D$33</f>
        <v>C8HF15O2</v>
      </c>
      <c r="K331" s="25">
        <f>'PFAS Properties'!$P$33</f>
        <v>413.97359999999998</v>
      </c>
      <c r="L331" s="2">
        <f>'PFAS Properties'!$X$33</f>
        <v>-0.2</v>
      </c>
      <c r="M331" s="2" t="str">
        <f>'PFAS Properties'!$Y$33</f>
        <v>-</v>
      </c>
      <c r="N331" s="33">
        <v>0</v>
      </c>
      <c r="O331" s="33">
        <v>0</v>
      </c>
      <c r="P331" s="33">
        <v>0</v>
      </c>
      <c r="Q331" s="33">
        <f t="shared" si="161"/>
        <v>0.99999980047380832</v>
      </c>
      <c r="R331" s="33">
        <v>0</v>
      </c>
      <c r="S331" s="33">
        <f t="shared" si="162"/>
        <v>1.9952619168617852E-7</v>
      </c>
      <c r="T331" s="8">
        <f t="shared" si="163"/>
        <v>1</v>
      </c>
      <c r="U331" s="33">
        <f t="shared" si="164"/>
        <v>0</v>
      </c>
      <c r="V331" s="33">
        <f t="shared" si="165"/>
        <v>-0.99999980047380832</v>
      </c>
      <c r="W331" s="33">
        <f t="shared" si="166"/>
        <v>412.97360019952617</v>
      </c>
      <c r="X331" s="33">
        <v>96485</v>
      </c>
      <c r="Y331" s="16">
        <f t="shared" si="167"/>
        <v>-233.63474251646872</v>
      </c>
      <c r="Z331" s="16">
        <v>8</v>
      </c>
      <c r="AA331" s="16">
        <v>15</v>
      </c>
      <c r="AB331" s="8">
        <f t="shared" si="168"/>
        <v>0.33684210526315789</v>
      </c>
      <c r="AC331" s="16">
        <f t="shared" si="177"/>
        <v>68.844969824162703</v>
      </c>
      <c r="AD331" s="20">
        <f>'PFAS Properties'!$W$33</f>
        <v>7</v>
      </c>
      <c r="AE331" s="8">
        <f>'PFAS Properties'!$S$33</f>
        <v>2.6821450763738319</v>
      </c>
      <c r="AF331" s="15">
        <f>'PFAS Properties'!$V$33</f>
        <v>4.9000000000000004</v>
      </c>
      <c r="AG331" s="24">
        <v>6.5</v>
      </c>
      <c r="AH331" s="2" t="s">
        <v>122</v>
      </c>
      <c r="AI331" s="2" t="s">
        <v>661</v>
      </c>
      <c r="AJ331" s="2" t="s">
        <v>661</v>
      </c>
      <c r="AK331" s="2" t="s">
        <v>661</v>
      </c>
      <c r="AL331" s="2" t="s">
        <v>661</v>
      </c>
      <c r="AM331" s="2" t="s">
        <v>661</v>
      </c>
      <c r="AN331" s="2" t="s">
        <v>661</v>
      </c>
      <c r="AO331" s="2" t="s">
        <v>661</v>
      </c>
      <c r="AP331" s="15">
        <v>30.4</v>
      </c>
      <c r="AQ331" s="2" t="s">
        <v>661</v>
      </c>
      <c r="AR331" s="16">
        <v>55</v>
      </c>
      <c r="AS331" s="16">
        <v>7</v>
      </c>
      <c r="AT331" s="16">
        <v>38</v>
      </c>
      <c r="AU331" s="2" t="s">
        <v>661</v>
      </c>
      <c r="AV331" s="16">
        <f t="shared" si="172"/>
        <v>100</v>
      </c>
      <c r="AW331" s="18">
        <v>0.5</v>
      </c>
      <c r="AX331" s="13">
        <f t="shared" si="176"/>
        <v>5.0000000000000001E-3</v>
      </c>
      <c r="AY331" s="13" t="s">
        <v>123</v>
      </c>
      <c r="AZ331" s="16">
        <f t="shared" si="175"/>
        <v>100</v>
      </c>
      <c r="BA331" s="16" t="s">
        <v>55</v>
      </c>
      <c r="BB331" s="15">
        <v>2.2999999999999998</v>
      </c>
      <c r="BC331" s="16" t="s">
        <v>55</v>
      </c>
      <c r="BD331" s="18">
        <v>7.8</v>
      </c>
      <c r="BE331" s="15">
        <f t="shared" si="173"/>
        <v>1560</v>
      </c>
      <c r="BF331" s="8">
        <f t="shared" si="169"/>
        <v>3.1931245983544616</v>
      </c>
      <c r="BG331" s="8">
        <f t="shared" si="174"/>
        <v>0.89209460269048035</v>
      </c>
      <c r="BH331" s="13" t="s">
        <v>841</v>
      </c>
      <c r="BI331" s="13"/>
      <c r="BJ331" s="13"/>
      <c r="BK331" s="8"/>
      <c r="BL331" s="8"/>
      <c r="BM331" s="18"/>
      <c r="BN331" s="8"/>
      <c r="BO331" s="24"/>
    </row>
    <row r="332" spans="1:67" s="14" customFormat="1" x14ac:dyDescent="0.3">
      <c r="A332" s="20">
        <v>330</v>
      </c>
      <c r="B332" s="2" t="s">
        <v>241</v>
      </c>
      <c r="C332" s="2">
        <v>2019</v>
      </c>
      <c r="D332" s="2" t="s">
        <v>201</v>
      </c>
      <c r="E332" s="10" t="s">
        <v>800</v>
      </c>
      <c r="F332" s="20" t="s">
        <v>29</v>
      </c>
      <c r="G332" s="2">
        <v>78</v>
      </c>
      <c r="H332" s="2" t="str">
        <f>'PFAS Properties'!$B$33</f>
        <v>PFOA</v>
      </c>
      <c r="I332" s="2" t="str">
        <f>'PFAS Properties'!$C$33</f>
        <v>PFCA</v>
      </c>
      <c r="J332" s="2" t="str">
        <f>'PFAS Properties'!$D$33</f>
        <v>C8HF15O2</v>
      </c>
      <c r="K332" s="25">
        <f>'PFAS Properties'!$P$33</f>
        <v>413.97359999999998</v>
      </c>
      <c r="L332" s="2">
        <f>'PFAS Properties'!$X$33</f>
        <v>-0.2</v>
      </c>
      <c r="M332" s="2" t="str">
        <f>'PFAS Properties'!$Y$33</f>
        <v>-</v>
      </c>
      <c r="N332" s="33">
        <v>0</v>
      </c>
      <c r="O332" s="33">
        <v>0</v>
      </c>
      <c r="P332" s="33">
        <v>0</v>
      </c>
      <c r="Q332" s="33">
        <f t="shared" si="161"/>
        <v>0.99999984151070587</v>
      </c>
      <c r="R332" s="33">
        <v>0</v>
      </c>
      <c r="S332" s="33">
        <f t="shared" si="162"/>
        <v>1.5848929412725089E-7</v>
      </c>
      <c r="T332" s="8">
        <f t="shared" si="163"/>
        <v>1</v>
      </c>
      <c r="U332" s="33">
        <f t="shared" si="164"/>
        <v>0</v>
      </c>
      <c r="V332" s="33">
        <f t="shared" si="165"/>
        <v>-0.99999984151070587</v>
      </c>
      <c r="W332" s="33">
        <f t="shared" si="166"/>
        <v>412.97360015848926</v>
      </c>
      <c r="X332" s="33">
        <v>96485</v>
      </c>
      <c r="Y332" s="16">
        <f t="shared" si="167"/>
        <v>-233.63475212733178</v>
      </c>
      <c r="Z332" s="16">
        <v>8</v>
      </c>
      <c r="AA332" s="16">
        <v>15</v>
      </c>
      <c r="AB332" s="8">
        <f t="shared" si="168"/>
        <v>0.33684210526315789</v>
      </c>
      <c r="AC332" s="16">
        <f t="shared" si="177"/>
        <v>68.844969824162703</v>
      </c>
      <c r="AD332" s="20">
        <f>'PFAS Properties'!$W$33</f>
        <v>7</v>
      </c>
      <c r="AE332" s="8">
        <f>'PFAS Properties'!$S$33</f>
        <v>2.6821450763738319</v>
      </c>
      <c r="AF332" s="15">
        <f>'PFAS Properties'!$V$33</f>
        <v>4.9000000000000004</v>
      </c>
      <c r="AG332" s="24">
        <v>6.6</v>
      </c>
      <c r="AH332" s="2" t="s">
        <v>122</v>
      </c>
      <c r="AI332" s="2" t="s">
        <v>661</v>
      </c>
      <c r="AJ332" s="2" t="s">
        <v>661</v>
      </c>
      <c r="AK332" s="2" t="s">
        <v>661</v>
      </c>
      <c r="AL332" s="2" t="s">
        <v>661</v>
      </c>
      <c r="AM332" s="2" t="s">
        <v>661</v>
      </c>
      <c r="AN332" s="2" t="s">
        <v>661</v>
      </c>
      <c r="AO332" s="2" t="s">
        <v>661</v>
      </c>
      <c r="AP332" s="15">
        <v>45.7</v>
      </c>
      <c r="AQ332" s="2" t="s">
        <v>661</v>
      </c>
      <c r="AR332" s="16">
        <v>27</v>
      </c>
      <c r="AS332" s="16">
        <v>14</v>
      </c>
      <c r="AT332" s="16">
        <v>59</v>
      </c>
      <c r="AU332" s="2" t="s">
        <v>661</v>
      </c>
      <c r="AV332" s="16">
        <f t="shared" si="172"/>
        <v>100</v>
      </c>
      <c r="AW332" s="18">
        <v>1.1000000000000001</v>
      </c>
      <c r="AX332" s="13">
        <f t="shared" si="176"/>
        <v>1.1000000000000001E-2</v>
      </c>
      <c r="AY332" s="13" t="s">
        <v>123</v>
      </c>
      <c r="AZ332" s="16">
        <f t="shared" si="175"/>
        <v>100</v>
      </c>
      <c r="BA332" s="16" t="s">
        <v>55</v>
      </c>
      <c r="BB332" s="15">
        <v>2.2999999999999998</v>
      </c>
      <c r="BC332" s="16" t="s">
        <v>55</v>
      </c>
      <c r="BD332" s="18">
        <v>10.3</v>
      </c>
      <c r="BE332" s="15">
        <f t="shared" si="173"/>
        <v>936.36363636363637</v>
      </c>
      <c r="BF332" s="8">
        <f t="shared" si="169"/>
        <v>2.9714445395469471</v>
      </c>
      <c r="BG332" s="8">
        <f t="shared" si="174"/>
        <v>1.0128372247051722</v>
      </c>
      <c r="BH332" s="13" t="s">
        <v>841</v>
      </c>
      <c r="BI332" s="13"/>
      <c r="BJ332" s="13"/>
      <c r="BK332" s="8"/>
      <c r="BL332" s="8"/>
      <c r="BM332" s="18"/>
      <c r="BN332" s="8"/>
      <c r="BO332" s="24"/>
    </row>
    <row r="333" spans="1:67" s="14" customFormat="1" x14ac:dyDescent="0.3">
      <c r="A333" s="20">
        <v>331</v>
      </c>
      <c r="B333" s="2" t="s">
        <v>241</v>
      </c>
      <c r="C333" s="2">
        <v>2019</v>
      </c>
      <c r="D333" s="2" t="s">
        <v>201</v>
      </c>
      <c r="E333" s="10" t="s">
        <v>800</v>
      </c>
      <c r="F333" s="20" t="s">
        <v>29</v>
      </c>
      <c r="G333" s="2">
        <v>79</v>
      </c>
      <c r="H333" s="2" t="str">
        <f>'PFAS Properties'!$B$33</f>
        <v>PFOA</v>
      </c>
      <c r="I333" s="2" t="str">
        <f>'PFAS Properties'!$C$33</f>
        <v>PFCA</v>
      </c>
      <c r="J333" s="2" t="str">
        <f>'PFAS Properties'!$D$33</f>
        <v>C8HF15O2</v>
      </c>
      <c r="K333" s="25">
        <f>'PFAS Properties'!$P$33</f>
        <v>413.97359999999998</v>
      </c>
      <c r="L333" s="2">
        <f>'PFAS Properties'!$X$33</f>
        <v>-0.2</v>
      </c>
      <c r="M333" s="2" t="str">
        <f>'PFAS Properties'!$Y$33</f>
        <v>-</v>
      </c>
      <c r="N333" s="33">
        <v>0</v>
      </c>
      <c r="O333" s="33">
        <v>0</v>
      </c>
      <c r="P333" s="33">
        <v>0</v>
      </c>
      <c r="Q333" s="33">
        <f t="shared" si="161"/>
        <v>0.99999997488113634</v>
      </c>
      <c r="R333" s="33">
        <v>0</v>
      </c>
      <c r="S333" s="33">
        <f t="shared" si="162"/>
        <v>2.5118863684138424E-8</v>
      </c>
      <c r="T333" s="8">
        <f t="shared" si="163"/>
        <v>1</v>
      </c>
      <c r="U333" s="33">
        <f t="shared" si="164"/>
        <v>0</v>
      </c>
      <c r="V333" s="33">
        <f t="shared" si="165"/>
        <v>-0.99999997488113634</v>
      </c>
      <c r="W333" s="33">
        <f t="shared" si="166"/>
        <v>412.97360002511886</v>
      </c>
      <c r="X333" s="33">
        <v>96485</v>
      </c>
      <c r="Y333" s="16">
        <f t="shared" si="167"/>
        <v>-233.63478336275685</v>
      </c>
      <c r="Z333" s="16">
        <v>8</v>
      </c>
      <c r="AA333" s="16">
        <v>15</v>
      </c>
      <c r="AB333" s="8">
        <f t="shared" si="168"/>
        <v>0.33684210526315789</v>
      </c>
      <c r="AC333" s="16">
        <f t="shared" si="177"/>
        <v>68.844969824162703</v>
      </c>
      <c r="AD333" s="20">
        <f>'PFAS Properties'!$W$33</f>
        <v>7</v>
      </c>
      <c r="AE333" s="8">
        <f>'PFAS Properties'!$S$33</f>
        <v>2.6821450763738319</v>
      </c>
      <c r="AF333" s="15">
        <f>'PFAS Properties'!$V$33</f>
        <v>4.9000000000000004</v>
      </c>
      <c r="AG333" s="24">
        <v>7.4</v>
      </c>
      <c r="AH333" s="2" t="s">
        <v>122</v>
      </c>
      <c r="AI333" s="2" t="s">
        <v>661</v>
      </c>
      <c r="AJ333" s="2" t="s">
        <v>661</v>
      </c>
      <c r="AK333" s="2" t="s">
        <v>661</v>
      </c>
      <c r="AL333" s="2" t="s">
        <v>661</v>
      </c>
      <c r="AM333" s="2" t="s">
        <v>661</v>
      </c>
      <c r="AN333" s="2" t="s">
        <v>661</v>
      </c>
      <c r="AO333" s="2" t="s">
        <v>661</v>
      </c>
      <c r="AP333" s="15">
        <v>44.4</v>
      </c>
      <c r="AQ333" s="2" t="s">
        <v>661</v>
      </c>
      <c r="AR333" s="16">
        <v>22</v>
      </c>
      <c r="AS333" s="16">
        <v>14</v>
      </c>
      <c r="AT333" s="16">
        <v>64</v>
      </c>
      <c r="AU333" s="2" t="s">
        <v>661</v>
      </c>
      <c r="AV333" s="16">
        <f t="shared" si="172"/>
        <v>100</v>
      </c>
      <c r="AW333" s="18">
        <v>0.4</v>
      </c>
      <c r="AX333" s="13">
        <f t="shared" si="176"/>
        <v>4.0000000000000001E-3</v>
      </c>
      <c r="AY333" s="13" t="s">
        <v>123</v>
      </c>
      <c r="AZ333" s="16">
        <f t="shared" si="175"/>
        <v>100</v>
      </c>
      <c r="BA333" s="16" t="s">
        <v>55</v>
      </c>
      <c r="BB333" s="15">
        <v>2.2999999999999998</v>
      </c>
      <c r="BC333" s="16" t="s">
        <v>55</v>
      </c>
      <c r="BD333" s="18">
        <v>7.9</v>
      </c>
      <c r="BE333" s="15">
        <f t="shared" si="173"/>
        <v>1975</v>
      </c>
      <c r="BF333" s="8">
        <f t="shared" si="169"/>
        <v>3.2955670999624789</v>
      </c>
      <c r="BG333" s="8">
        <f t="shared" si="174"/>
        <v>0.89762709129044149</v>
      </c>
      <c r="BH333" s="13" t="s">
        <v>841</v>
      </c>
      <c r="BI333" s="13"/>
      <c r="BJ333" s="13"/>
      <c r="BK333" s="8"/>
      <c r="BL333" s="8"/>
      <c r="BM333" s="18"/>
      <c r="BN333" s="8"/>
      <c r="BO333" s="24"/>
    </row>
    <row r="334" spans="1:67" s="14" customFormat="1" x14ac:dyDescent="0.3">
      <c r="A334" s="20">
        <v>332</v>
      </c>
      <c r="B334" s="2" t="s">
        <v>241</v>
      </c>
      <c r="C334" s="2">
        <v>2019</v>
      </c>
      <c r="D334" s="2" t="s">
        <v>201</v>
      </c>
      <c r="E334" s="10" t="s">
        <v>800</v>
      </c>
      <c r="F334" s="20" t="s">
        <v>29</v>
      </c>
      <c r="G334" s="2">
        <v>80</v>
      </c>
      <c r="H334" s="2" t="str">
        <f>'PFAS Properties'!$B$33</f>
        <v>PFOA</v>
      </c>
      <c r="I334" s="2" t="str">
        <f>'PFAS Properties'!$C$33</f>
        <v>PFCA</v>
      </c>
      <c r="J334" s="2" t="str">
        <f>'PFAS Properties'!$D$33</f>
        <v>C8HF15O2</v>
      </c>
      <c r="K334" s="25">
        <f>'PFAS Properties'!$P$33</f>
        <v>413.97359999999998</v>
      </c>
      <c r="L334" s="2">
        <f>'PFAS Properties'!$X$33</f>
        <v>-0.2</v>
      </c>
      <c r="M334" s="2" t="str">
        <f>'PFAS Properties'!$Y$33</f>
        <v>-</v>
      </c>
      <c r="N334" s="33">
        <v>0</v>
      </c>
      <c r="O334" s="33">
        <v>0</v>
      </c>
      <c r="P334" s="33">
        <v>0</v>
      </c>
      <c r="Q334" s="33">
        <f t="shared" si="161"/>
        <v>0.99999999498812764</v>
      </c>
      <c r="R334" s="33">
        <v>0</v>
      </c>
      <c r="S334" s="33">
        <f t="shared" si="162"/>
        <v>5.0118723111538642E-9</v>
      </c>
      <c r="T334" s="8">
        <f t="shared" si="163"/>
        <v>1</v>
      </c>
      <c r="U334" s="33">
        <f t="shared" si="164"/>
        <v>0</v>
      </c>
      <c r="V334" s="33">
        <f t="shared" si="165"/>
        <v>-0.99999999498812764</v>
      </c>
      <c r="W334" s="33">
        <f t="shared" si="166"/>
        <v>412.9736000050118</v>
      </c>
      <c r="X334" s="33">
        <v>96485</v>
      </c>
      <c r="Y334" s="16">
        <f t="shared" si="167"/>
        <v>-233.63478807182486</v>
      </c>
      <c r="Z334" s="16">
        <v>8</v>
      </c>
      <c r="AA334" s="16">
        <v>15</v>
      </c>
      <c r="AB334" s="8">
        <f t="shared" si="168"/>
        <v>0.33684210526315789</v>
      </c>
      <c r="AC334" s="16">
        <f t="shared" si="177"/>
        <v>68.844969824162703</v>
      </c>
      <c r="AD334" s="20">
        <f>'PFAS Properties'!$W$33</f>
        <v>7</v>
      </c>
      <c r="AE334" s="8">
        <f>'PFAS Properties'!$S$33</f>
        <v>2.6821450763738319</v>
      </c>
      <c r="AF334" s="15">
        <f>'PFAS Properties'!$V$33</f>
        <v>4.9000000000000004</v>
      </c>
      <c r="AG334" s="24">
        <v>8.1</v>
      </c>
      <c r="AH334" s="2" t="s">
        <v>122</v>
      </c>
      <c r="AI334" s="2" t="s">
        <v>661</v>
      </c>
      <c r="AJ334" s="2" t="s">
        <v>661</v>
      </c>
      <c r="AK334" s="2" t="s">
        <v>661</v>
      </c>
      <c r="AL334" s="2" t="s">
        <v>661</v>
      </c>
      <c r="AM334" s="2" t="s">
        <v>661</v>
      </c>
      <c r="AN334" s="2" t="s">
        <v>661</v>
      </c>
      <c r="AO334" s="2" t="s">
        <v>661</v>
      </c>
      <c r="AP334" s="15">
        <v>36.5</v>
      </c>
      <c r="AQ334" s="2" t="s">
        <v>661</v>
      </c>
      <c r="AR334" s="16">
        <v>33</v>
      </c>
      <c r="AS334" s="16">
        <v>7</v>
      </c>
      <c r="AT334" s="16">
        <v>60</v>
      </c>
      <c r="AU334" s="2" t="s">
        <v>661</v>
      </c>
      <c r="AV334" s="16">
        <f t="shared" si="172"/>
        <v>100</v>
      </c>
      <c r="AW334" s="18">
        <v>0.2</v>
      </c>
      <c r="AX334" s="13">
        <f t="shared" si="176"/>
        <v>2E-3</v>
      </c>
      <c r="AY334" s="13" t="s">
        <v>123</v>
      </c>
      <c r="AZ334" s="16">
        <f t="shared" si="175"/>
        <v>100</v>
      </c>
      <c r="BA334" s="16" t="s">
        <v>55</v>
      </c>
      <c r="BB334" s="15">
        <v>2.2999999999999998</v>
      </c>
      <c r="BC334" s="16" t="s">
        <v>55</v>
      </c>
      <c r="BD334" s="18">
        <v>2.2999999999999998</v>
      </c>
      <c r="BE334" s="15">
        <f t="shared" si="173"/>
        <v>1150</v>
      </c>
      <c r="BF334" s="8">
        <f t="shared" si="169"/>
        <v>3.0606978403536118</v>
      </c>
      <c r="BG334" s="8">
        <f t="shared" si="174"/>
        <v>0.36172783601759284</v>
      </c>
      <c r="BH334" s="13" t="s">
        <v>841</v>
      </c>
      <c r="BI334" s="13"/>
      <c r="BJ334" s="13"/>
      <c r="BK334" s="8"/>
      <c r="BL334" s="8"/>
      <c r="BM334" s="18"/>
      <c r="BN334" s="8"/>
      <c r="BO334" s="24"/>
    </row>
    <row r="335" spans="1:67" s="14" customFormat="1" x14ac:dyDescent="0.3">
      <c r="A335" s="20">
        <v>333</v>
      </c>
      <c r="B335" s="2" t="s">
        <v>241</v>
      </c>
      <c r="C335" s="2">
        <v>2019</v>
      </c>
      <c r="D335" s="2" t="s">
        <v>201</v>
      </c>
      <c r="E335" s="10" t="s">
        <v>800</v>
      </c>
      <c r="F335" s="20" t="s">
        <v>29</v>
      </c>
      <c r="G335" s="2">
        <v>81</v>
      </c>
      <c r="H335" s="2" t="str">
        <f>'PFAS Properties'!$B$33</f>
        <v>PFOA</v>
      </c>
      <c r="I335" s="2" t="str">
        <f>'PFAS Properties'!$C$33</f>
        <v>PFCA</v>
      </c>
      <c r="J335" s="2" t="str">
        <f>'PFAS Properties'!$D$33</f>
        <v>C8HF15O2</v>
      </c>
      <c r="K335" s="25">
        <f>'PFAS Properties'!$P$33</f>
        <v>413.97359999999998</v>
      </c>
      <c r="L335" s="2">
        <f>'PFAS Properties'!$X$33</f>
        <v>-0.2</v>
      </c>
      <c r="M335" s="2" t="str">
        <f>'PFAS Properties'!$Y$33</f>
        <v>-</v>
      </c>
      <c r="N335" s="33">
        <v>0</v>
      </c>
      <c r="O335" s="33">
        <v>0</v>
      </c>
      <c r="P335" s="33">
        <v>0</v>
      </c>
      <c r="Q335" s="33">
        <f t="shared" si="161"/>
        <v>0.99999998741074603</v>
      </c>
      <c r="R335" s="33">
        <v>0</v>
      </c>
      <c r="S335" s="33">
        <f t="shared" si="162"/>
        <v>1.258925395945232E-8</v>
      </c>
      <c r="T335" s="8">
        <f t="shared" si="163"/>
        <v>1</v>
      </c>
      <c r="U335" s="33">
        <f t="shared" si="164"/>
        <v>0</v>
      </c>
      <c r="V335" s="33">
        <f t="shared" si="165"/>
        <v>-0.99999998741074603</v>
      </c>
      <c r="W335" s="33">
        <f t="shared" si="166"/>
        <v>412.9736000125892</v>
      </c>
      <c r="X335" s="33">
        <v>96485</v>
      </c>
      <c r="Y335" s="16">
        <f t="shared" si="167"/>
        <v>-233.63478629719808</v>
      </c>
      <c r="Z335" s="16">
        <v>8</v>
      </c>
      <c r="AA335" s="16">
        <v>15</v>
      </c>
      <c r="AB335" s="8">
        <f t="shared" si="168"/>
        <v>0.33684210526315789</v>
      </c>
      <c r="AC335" s="16">
        <f t="shared" si="177"/>
        <v>68.844969824162703</v>
      </c>
      <c r="AD335" s="20">
        <f>'PFAS Properties'!$W$33</f>
        <v>7</v>
      </c>
      <c r="AE335" s="8">
        <f>'PFAS Properties'!$S$33</f>
        <v>2.6821450763738319</v>
      </c>
      <c r="AF335" s="15">
        <f>'PFAS Properties'!$V$33</f>
        <v>4.9000000000000004</v>
      </c>
      <c r="AG335" s="24">
        <v>7.7</v>
      </c>
      <c r="AH335" s="2" t="s">
        <v>122</v>
      </c>
      <c r="AI335" s="2" t="s">
        <v>661</v>
      </c>
      <c r="AJ335" s="2" t="s">
        <v>661</v>
      </c>
      <c r="AK335" s="2" t="s">
        <v>661</v>
      </c>
      <c r="AL335" s="2" t="s">
        <v>661</v>
      </c>
      <c r="AM335" s="2" t="s">
        <v>661</v>
      </c>
      <c r="AN335" s="2" t="s">
        <v>661</v>
      </c>
      <c r="AO335" s="2" t="s">
        <v>661</v>
      </c>
      <c r="AP335" s="15">
        <v>18.3</v>
      </c>
      <c r="AQ335" s="2" t="s">
        <v>661</v>
      </c>
      <c r="AR335" s="16">
        <v>61</v>
      </c>
      <c r="AS335" s="16">
        <v>6</v>
      </c>
      <c r="AT335" s="16">
        <v>33</v>
      </c>
      <c r="AU335" s="2" t="s">
        <v>661</v>
      </c>
      <c r="AV335" s="16">
        <f t="shared" si="172"/>
        <v>100</v>
      </c>
      <c r="AW335" s="18">
        <v>0.4</v>
      </c>
      <c r="AX335" s="13">
        <f t="shared" si="176"/>
        <v>4.0000000000000001E-3</v>
      </c>
      <c r="AY335" s="13" t="s">
        <v>123</v>
      </c>
      <c r="AZ335" s="16">
        <f t="shared" si="175"/>
        <v>100</v>
      </c>
      <c r="BA335" s="16" t="s">
        <v>55</v>
      </c>
      <c r="BB335" s="15">
        <v>2.2999999999999998</v>
      </c>
      <c r="BC335" s="16" t="s">
        <v>55</v>
      </c>
      <c r="BD335" s="18">
        <v>3.3</v>
      </c>
      <c r="BE335" s="15">
        <f t="shared" si="173"/>
        <v>824.99999999999989</v>
      </c>
      <c r="BF335" s="8">
        <f t="shared" si="169"/>
        <v>2.916453948549925</v>
      </c>
      <c r="BG335" s="8">
        <f t="shared" si="174"/>
        <v>0.51851393987788741</v>
      </c>
      <c r="BH335" s="13" t="s">
        <v>841</v>
      </c>
      <c r="BI335" s="13"/>
      <c r="BJ335" s="13"/>
      <c r="BK335" s="8"/>
      <c r="BL335" s="8"/>
      <c r="BM335" s="18"/>
      <c r="BN335" s="8"/>
      <c r="BO335" s="24"/>
    </row>
    <row r="336" spans="1:67" s="14" customFormat="1" x14ac:dyDescent="0.3">
      <c r="A336" s="20">
        <v>334</v>
      </c>
      <c r="B336" s="2" t="s">
        <v>241</v>
      </c>
      <c r="C336" s="2">
        <v>2019</v>
      </c>
      <c r="D336" s="2" t="s">
        <v>201</v>
      </c>
      <c r="E336" s="10" t="s">
        <v>800</v>
      </c>
      <c r="F336" s="20" t="s">
        <v>29</v>
      </c>
      <c r="G336" s="2">
        <v>82</v>
      </c>
      <c r="H336" s="2" t="str">
        <f>'PFAS Properties'!$B$33</f>
        <v>PFOA</v>
      </c>
      <c r="I336" s="2" t="str">
        <f>'PFAS Properties'!$C$33</f>
        <v>PFCA</v>
      </c>
      <c r="J336" s="2" t="str">
        <f>'PFAS Properties'!$D$33</f>
        <v>C8HF15O2</v>
      </c>
      <c r="K336" s="25">
        <f>'PFAS Properties'!$P$33</f>
        <v>413.97359999999998</v>
      </c>
      <c r="L336" s="2">
        <f>'PFAS Properties'!$X$33</f>
        <v>-0.2</v>
      </c>
      <c r="M336" s="2" t="str">
        <f>'PFAS Properties'!$Y$33</f>
        <v>-</v>
      </c>
      <c r="N336" s="33">
        <v>0</v>
      </c>
      <c r="O336" s="33">
        <v>0</v>
      </c>
      <c r="P336" s="33">
        <v>0</v>
      </c>
      <c r="Q336" s="33">
        <f t="shared" ref="Q336:Q399" si="178">(10^(AG336-L336))/(1+(10^(AG336-L336)))</f>
        <v>0.99999999369042658</v>
      </c>
      <c r="R336" s="33">
        <v>0</v>
      </c>
      <c r="S336" s="33">
        <f t="shared" ref="S336:S399" si="179">(1/(1+(10^(AG336-L336))))</f>
        <v>6.3095734049912165E-9</v>
      </c>
      <c r="T336" s="8">
        <f t="shared" si="163"/>
        <v>1</v>
      </c>
      <c r="U336" s="33">
        <f t="shared" si="164"/>
        <v>0</v>
      </c>
      <c r="V336" s="33">
        <f t="shared" si="165"/>
        <v>-0.99999999369042658</v>
      </c>
      <c r="W336" s="33">
        <f t="shared" si="166"/>
        <v>412.97360000630954</v>
      </c>
      <c r="X336" s="33">
        <v>96485</v>
      </c>
      <c r="Y336" s="16">
        <f t="shared" si="167"/>
        <v>-233.63478776790257</v>
      </c>
      <c r="Z336" s="16">
        <v>8</v>
      </c>
      <c r="AA336" s="16">
        <v>15</v>
      </c>
      <c r="AB336" s="8">
        <f t="shared" si="168"/>
        <v>0.33684210526315789</v>
      </c>
      <c r="AC336" s="16">
        <f t="shared" si="177"/>
        <v>68.844969824162703</v>
      </c>
      <c r="AD336" s="20">
        <f>'PFAS Properties'!$W$33</f>
        <v>7</v>
      </c>
      <c r="AE336" s="8">
        <f>'PFAS Properties'!$S$33</f>
        <v>2.6821450763738319</v>
      </c>
      <c r="AF336" s="15">
        <f>'PFAS Properties'!$V$33</f>
        <v>4.9000000000000004</v>
      </c>
      <c r="AG336" s="24">
        <v>8</v>
      </c>
      <c r="AH336" s="2" t="s">
        <v>122</v>
      </c>
      <c r="AI336" s="2" t="s">
        <v>661</v>
      </c>
      <c r="AJ336" s="2" t="s">
        <v>661</v>
      </c>
      <c r="AK336" s="2" t="s">
        <v>661</v>
      </c>
      <c r="AL336" s="2" t="s">
        <v>661</v>
      </c>
      <c r="AM336" s="2" t="s">
        <v>661</v>
      </c>
      <c r="AN336" s="2" t="s">
        <v>661</v>
      </c>
      <c r="AO336" s="2" t="s">
        <v>661</v>
      </c>
      <c r="AP336" s="15">
        <v>16.100000000000001</v>
      </c>
      <c r="AQ336" s="2" t="s">
        <v>661</v>
      </c>
      <c r="AR336" s="16">
        <v>61</v>
      </c>
      <c r="AS336" s="16">
        <v>6</v>
      </c>
      <c r="AT336" s="16">
        <v>33</v>
      </c>
      <c r="AU336" s="2" t="s">
        <v>661</v>
      </c>
      <c r="AV336" s="16">
        <f t="shared" si="172"/>
        <v>100</v>
      </c>
      <c r="AW336" s="18">
        <v>0.2</v>
      </c>
      <c r="AX336" s="13">
        <f t="shared" si="176"/>
        <v>2E-3</v>
      </c>
      <c r="AY336" s="13" t="s">
        <v>123</v>
      </c>
      <c r="AZ336" s="16">
        <f t="shared" si="175"/>
        <v>100</v>
      </c>
      <c r="BA336" s="16" t="s">
        <v>55</v>
      </c>
      <c r="BB336" s="15">
        <v>2.2999999999999998</v>
      </c>
      <c r="BC336" s="16" t="s">
        <v>55</v>
      </c>
      <c r="BD336" s="18">
        <v>1.5</v>
      </c>
      <c r="BE336" s="15">
        <f t="shared" si="173"/>
        <v>750</v>
      </c>
      <c r="BF336" s="8">
        <f t="shared" si="169"/>
        <v>2.8750612633917001</v>
      </c>
      <c r="BG336" s="8">
        <f t="shared" si="174"/>
        <v>0.17609125905568124</v>
      </c>
      <c r="BH336" s="13" t="s">
        <v>841</v>
      </c>
      <c r="BI336" s="13"/>
      <c r="BJ336" s="13"/>
      <c r="BK336" s="8"/>
      <c r="BL336" s="8"/>
      <c r="BM336" s="18"/>
      <c r="BN336" s="8"/>
      <c r="BO336" s="24"/>
    </row>
    <row r="337" spans="1:67" s="14" customFormat="1" x14ac:dyDescent="0.3">
      <c r="A337" s="20">
        <v>335</v>
      </c>
      <c r="B337" s="2" t="s">
        <v>241</v>
      </c>
      <c r="C337" s="2">
        <v>2019</v>
      </c>
      <c r="D337" s="2" t="s">
        <v>201</v>
      </c>
      <c r="E337" s="10" t="s">
        <v>800</v>
      </c>
      <c r="F337" s="20" t="s">
        <v>29</v>
      </c>
      <c r="G337" s="2">
        <v>83</v>
      </c>
      <c r="H337" s="2" t="str">
        <f>'PFAS Properties'!$B$33</f>
        <v>PFOA</v>
      </c>
      <c r="I337" s="2" t="str">
        <f>'PFAS Properties'!$C$33</f>
        <v>PFCA</v>
      </c>
      <c r="J337" s="2" t="str">
        <f>'PFAS Properties'!$D$33</f>
        <v>C8HF15O2</v>
      </c>
      <c r="K337" s="25">
        <f>'PFAS Properties'!$P$33</f>
        <v>413.97359999999998</v>
      </c>
      <c r="L337" s="2">
        <f>'PFAS Properties'!$X$33</f>
        <v>-0.2</v>
      </c>
      <c r="M337" s="2" t="str">
        <f>'PFAS Properties'!$Y$33</f>
        <v>-</v>
      </c>
      <c r="N337" s="33">
        <v>0</v>
      </c>
      <c r="O337" s="33">
        <v>0</v>
      </c>
      <c r="P337" s="33">
        <v>0</v>
      </c>
      <c r="Q337" s="33">
        <f t="shared" si="178"/>
        <v>0.99999990000001004</v>
      </c>
      <c r="R337" s="33">
        <v>0</v>
      </c>
      <c r="S337" s="33">
        <f t="shared" si="179"/>
        <v>9.9999990000001005E-8</v>
      </c>
      <c r="T337" s="8">
        <f t="shared" si="163"/>
        <v>1</v>
      </c>
      <c r="U337" s="33">
        <f t="shared" si="164"/>
        <v>0</v>
      </c>
      <c r="V337" s="33">
        <f t="shared" si="165"/>
        <v>-0.99999990000001004</v>
      </c>
      <c r="W337" s="33">
        <f t="shared" si="166"/>
        <v>412.9736001</v>
      </c>
      <c r="X337" s="33">
        <v>96485</v>
      </c>
      <c r="Y337" s="16">
        <f t="shared" si="167"/>
        <v>-233.63476582555762</v>
      </c>
      <c r="Z337" s="16">
        <v>8</v>
      </c>
      <c r="AA337" s="16">
        <v>15</v>
      </c>
      <c r="AB337" s="8">
        <f t="shared" si="168"/>
        <v>0.33684210526315789</v>
      </c>
      <c r="AC337" s="16">
        <f t="shared" si="177"/>
        <v>68.844969824162703</v>
      </c>
      <c r="AD337" s="20">
        <f>'PFAS Properties'!$W$33</f>
        <v>7</v>
      </c>
      <c r="AE337" s="8">
        <f>'PFAS Properties'!$S$33</f>
        <v>2.6821450763738319</v>
      </c>
      <c r="AF337" s="15">
        <f>'PFAS Properties'!$V$33</f>
        <v>4.9000000000000004</v>
      </c>
      <c r="AG337" s="24">
        <v>6.8</v>
      </c>
      <c r="AH337" s="2" t="s">
        <v>122</v>
      </c>
      <c r="AI337" s="2" t="s">
        <v>661</v>
      </c>
      <c r="AJ337" s="2" t="s">
        <v>661</v>
      </c>
      <c r="AK337" s="2" t="s">
        <v>661</v>
      </c>
      <c r="AL337" s="2" t="s">
        <v>661</v>
      </c>
      <c r="AM337" s="2" t="s">
        <v>661</v>
      </c>
      <c r="AN337" s="2" t="s">
        <v>661</v>
      </c>
      <c r="AO337" s="2" t="s">
        <v>661</v>
      </c>
      <c r="AP337" s="15">
        <v>16.2</v>
      </c>
      <c r="AQ337" s="2" t="s">
        <v>661</v>
      </c>
      <c r="AR337" s="16">
        <v>50</v>
      </c>
      <c r="AS337" s="16">
        <v>30</v>
      </c>
      <c r="AT337" s="16">
        <v>20</v>
      </c>
      <c r="AU337" s="2" t="s">
        <v>661</v>
      </c>
      <c r="AV337" s="16">
        <f t="shared" si="172"/>
        <v>100</v>
      </c>
      <c r="AW337" s="18">
        <v>1.6</v>
      </c>
      <c r="AX337" s="13">
        <f t="shared" si="176"/>
        <v>1.6E-2</v>
      </c>
      <c r="AY337" s="13" t="s">
        <v>123</v>
      </c>
      <c r="AZ337" s="16">
        <f t="shared" si="175"/>
        <v>100</v>
      </c>
      <c r="BA337" s="16" t="s">
        <v>55</v>
      </c>
      <c r="BB337" s="15">
        <v>2.2999999999999998</v>
      </c>
      <c r="BC337" s="16" t="s">
        <v>55</v>
      </c>
      <c r="BD337" s="18">
        <v>8.4</v>
      </c>
      <c r="BE337" s="15">
        <f t="shared" si="173"/>
        <v>525</v>
      </c>
      <c r="BF337" s="8">
        <f t="shared" si="169"/>
        <v>2.720159303405957</v>
      </c>
      <c r="BG337" s="8">
        <f t="shared" si="174"/>
        <v>0.9242792860618817</v>
      </c>
      <c r="BH337" s="13" t="s">
        <v>841</v>
      </c>
      <c r="BI337" s="13"/>
      <c r="BJ337" s="13"/>
      <c r="BK337" s="8"/>
      <c r="BL337" s="8"/>
      <c r="BM337" s="18"/>
      <c r="BN337" s="8"/>
      <c r="BO337" s="24"/>
    </row>
    <row r="338" spans="1:67" s="14" customFormat="1" x14ac:dyDescent="0.3">
      <c r="A338" s="20">
        <v>336</v>
      </c>
      <c r="B338" s="2" t="s">
        <v>241</v>
      </c>
      <c r="C338" s="2">
        <v>2019</v>
      </c>
      <c r="D338" s="2" t="s">
        <v>201</v>
      </c>
      <c r="E338" s="10" t="s">
        <v>800</v>
      </c>
      <c r="F338" s="20" t="s">
        <v>29</v>
      </c>
      <c r="G338" s="2">
        <v>84</v>
      </c>
      <c r="H338" s="2" t="str">
        <f>'PFAS Properties'!$B$33</f>
        <v>PFOA</v>
      </c>
      <c r="I338" s="2" t="str">
        <f>'PFAS Properties'!$C$33</f>
        <v>PFCA</v>
      </c>
      <c r="J338" s="2" t="str">
        <f>'PFAS Properties'!$D$33</f>
        <v>C8HF15O2</v>
      </c>
      <c r="K338" s="25">
        <f>'PFAS Properties'!$P$33</f>
        <v>413.97359999999998</v>
      </c>
      <c r="L338" s="2">
        <f>'PFAS Properties'!$X$33</f>
        <v>-0.2</v>
      </c>
      <c r="M338" s="2" t="str">
        <f>'PFAS Properties'!$Y$33</f>
        <v>-</v>
      </c>
      <c r="N338" s="33">
        <v>0</v>
      </c>
      <c r="O338" s="33">
        <v>0</v>
      </c>
      <c r="P338" s="33">
        <v>0</v>
      </c>
      <c r="Q338" s="33">
        <f t="shared" si="178"/>
        <v>0.99999999000000006</v>
      </c>
      <c r="R338" s="33">
        <v>0</v>
      </c>
      <c r="S338" s="33">
        <f t="shared" si="179"/>
        <v>9.9999999000000002E-9</v>
      </c>
      <c r="T338" s="8">
        <f t="shared" si="163"/>
        <v>1</v>
      </c>
      <c r="U338" s="33">
        <f t="shared" si="164"/>
        <v>0</v>
      </c>
      <c r="V338" s="33">
        <f t="shared" si="165"/>
        <v>-0.99999999000000006</v>
      </c>
      <c r="W338" s="33">
        <f t="shared" si="166"/>
        <v>412.97360000999993</v>
      </c>
      <c r="X338" s="33">
        <v>96485</v>
      </c>
      <c r="Y338" s="16">
        <f t="shared" si="167"/>
        <v>-233.63478690360273</v>
      </c>
      <c r="Z338" s="16">
        <v>8</v>
      </c>
      <c r="AA338" s="16">
        <v>15</v>
      </c>
      <c r="AB338" s="8">
        <f t="shared" si="168"/>
        <v>0.33684210526315789</v>
      </c>
      <c r="AC338" s="16">
        <f t="shared" si="177"/>
        <v>68.844969824162703</v>
      </c>
      <c r="AD338" s="20">
        <f>'PFAS Properties'!$W$33</f>
        <v>7</v>
      </c>
      <c r="AE338" s="8">
        <f>'PFAS Properties'!$S$33</f>
        <v>2.6821450763738319</v>
      </c>
      <c r="AF338" s="15">
        <f>'PFAS Properties'!$V$33</f>
        <v>4.9000000000000004</v>
      </c>
      <c r="AG338" s="24">
        <v>7.8</v>
      </c>
      <c r="AH338" s="2" t="s">
        <v>122</v>
      </c>
      <c r="AI338" s="2" t="s">
        <v>661</v>
      </c>
      <c r="AJ338" s="2" t="s">
        <v>661</v>
      </c>
      <c r="AK338" s="2" t="s">
        <v>661</v>
      </c>
      <c r="AL338" s="2" t="s">
        <v>661</v>
      </c>
      <c r="AM338" s="2" t="s">
        <v>661</v>
      </c>
      <c r="AN338" s="2" t="s">
        <v>661</v>
      </c>
      <c r="AO338" s="2" t="s">
        <v>661</v>
      </c>
      <c r="AP338" s="15">
        <v>4.8</v>
      </c>
      <c r="AQ338" s="2" t="s">
        <v>661</v>
      </c>
      <c r="AR338" s="16">
        <v>46</v>
      </c>
      <c r="AS338" s="16">
        <v>37</v>
      </c>
      <c r="AT338" s="16">
        <v>17</v>
      </c>
      <c r="AU338" s="2" t="s">
        <v>661</v>
      </c>
      <c r="AV338" s="16">
        <f t="shared" si="172"/>
        <v>100</v>
      </c>
      <c r="AW338" s="18">
        <v>0.3</v>
      </c>
      <c r="AX338" s="13">
        <f t="shared" si="176"/>
        <v>3.0000000000000001E-3</v>
      </c>
      <c r="AY338" s="13" t="s">
        <v>123</v>
      </c>
      <c r="AZ338" s="16">
        <f t="shared" si="175"/>
        <v>100</v>
      </c>
      <c r="BA338" s="16" t="s">
        <v>55</v>
      </c>
      <c r="BB338" s="15">
        <v>2.2999999999999998</v>
      </c>
      <c r="BC338" s="16" t="s">
        <v>55</v>
      </c>
      <c r="BD338" s="18">
        <v>8.8000000000000007</v>
      </c>
      <c r="BE338" s="15">
        <f t="shared" si="173"/>
        <v>2933.3333333333335</v>
      </c>
      <c r="BF338" s="8">
        <f t="shared" si="169"/>
        <v>3.4673614174305061</v>
      </c>
      <c r="BG338" s="8">
        <f t="shared" si="174"/>
        <v>0.94448267215016868</v>
      </c>
      <c r="BH338" s="13" t="s">
        <v>841</v>
      </c>
      <c r="BI338" s="13"/>
      <c r="BJ338" s="13"/>
      <c r="BK338" s="8"/>
      <c r="BL338" s="8"/>
      <c r="BM338" s="18"/>
      <c r="BN338" s="8"/>
      <c r="BO338" s="24"/>
    </row>
    <row r="339" spans="1:67" s="14" customFormat="1" x14ac:dyDescent="0.3">
      <c r="A339" s="20">
        <v>337</v>
      </c>
      <c r="B339" s="2" t="s">
        <v>241</v>
      </c>
      <c r="C339" s="2">
        <v>2019</v>
      </c>
      <c r="D339" s="2" t="s">
        <v>201</v>
      </c>
      <c r="E339" s="10" t="s">
        <v>800</v>
      </c>
      <c r="F339" s="20" t="s">
        <v>29</v>
      </c>
      <c r="G339" s="2">
        <v>85</v>
      </c>
      <c r="H339" s="2" t="str">
        <f>'PFAS Properties'!$B$33</f>
        <v>PFOA</v>
      </c>
      <c r="I339" s="2" t="str">
        <f>'PFAS Properties'!$C$33</f>
        <v>PFCA</v>
      </c>
      <c r="J339" s="2" t="str">
        <f>'PFAS Properties'!$D$33</f>
        <v>C8HF15O2</v>
      </c>
      <c r="K339" s="25">
        <f>'PFAS Properties'!$P$33</f>
        <v>413.97359999999998</v>
      </c>
      <c r="L339" s="2">
        <f>'PFAS Properties'!$X$33</f>
        <v>-0.2</v>
      </c>
      <c r="M339" s="2" t="str">
        <f>'PFAS Properties'!$Y$33</f>
        <v>-</v>
      </c>
      <c r="N339" s="33">
        <v>0</v>
      </c>
      <c r="O339" s="33">
        <v>0</v>
      </c>
      <c r="P339" s="33">
        <v>0</v>
      </c>
      <c r="Q339" s="33">
        <f t="shared" si="178"/>
        <v>0.99999999000000006</v>
      </c>
      <c r="R339" s="33">
        <v>0</v>
      </c>
      <c r="S339" s="33">
        <f t="shared" si="179"/>
        <v>9.9999999000000002E-9</v>
      </c>
      <c r="T339" s="8">
        <f t="shared" si="163"/>
        <v>1</v>
      </c>
      <c r="U339" s="33">
        <f t="shared" si="164"/>
        <v>0</v>
      </c>
      <c r="V339" s="33">
        <f t="shared" si="165"/>
        <v>-0.99999999000000006</v>
      </c>
      <c r="W339" s="33">
        <f t="shared" si="166"/>
        <v>412.97360000999993</v>
      </c>
      <c r="X339" s="33">
        <v>96485</v>
      </c>
      <c r="Y339" s="16">
        <f t="shared" si="167"/>
        <v>-233.63478690360273</v>
      </c>
      <c r="Z339" s="16">
        <v>8</v>
      </c>
      <c r="AA339" s="16">
        <v>15</v>
      </c>
      <c r="AB339" s="8">
        <f t="shared" si="168"/>
        <v>0.33684210526315789</v>
      </c>
      <c r="AC339" s="16">
        <f t="shared" si="177"/>
        <v>68.844969824162703</v>
      </c>
      <c r="AD339" s="20">
        <f>'PFAS Properties'!$W$33</f>
        <v>7</v>
      </c>
      <c r="AE339" s="8">
        <f>'PFAS Properties'!$S$33</f>
        <v>2.6821450763738319</v>
      </c>
      <c r="AF339" s="15">
        <f>'PFAS Properties'!$V$33</f>
        <v>4.9000000000000004</v>
      </c>
      <c r="AG339" s="24">
        <v>7.8</v>
      </c>
      <c r="AH339" s="2" t="s">
        <v>122</v>
      </c>
      <c r="AI339" s="2" t="s">
        <v>661</v>
      </c>
      <c r="AJ339" s="2" t="s">
        <v>661</v>
      </c>
      <c r="AK339" s="2" t="s">
        <v>661</v>
      </c>
      <c r="AL339" s="2" t="s">
        <v>661</v>
      </c>
      <c r="AM339" s="2" t="s">
        <v>661</v>
      </c>
      <c r="AN339" s="2" t="s">
        <v>661</v>
      </c>
      <c r="AO339" s="2" t="s">
        <v>661</v>
      </c>
      <c r="AP339" s="15">
        <v>42.4</v>
      </c>
      <c r="AQ339" s="2" t="s">
        <v>661</v>
      </c>
      <c r="AR339" s="16">
        <v>48</v>
      </c>
      <c r="AS339" s="16">
        <v>10</v>
      </c>
      <c r="AT339" s="16">
        <v>42</v>
      </c>
      <c r="AU339" s="2" t="s">
        <v>661</v>
      </c>
      <c r="AV339" s="16">
        <f t="shared" si="172"/>
        <v>100</v>
      </c>
      <c r="AW339" s="18">
        <v>0.2</v>
      </c>
      <c r="AX339" s="13">
        <f t="shared" si="176"/>
        <v>2E-3</v>
      </c>
      <c r="AY339" s="13" t="s">
        <v>123</v>
      </c>
      <c r="AZ339" s="16">
        <f t="shared" si="175"/>
        <v>100</v>
      </c>
      <c r="BA339" s="16" t="s">
        <v>55</v>
      </c>
      <c r="BB339" s="15">
        <v>2.2999999999999998</v>
      </c>
      <c r="BC339" s="16" t="s">
        <v>55</v>
      </c>
      <c r="BD339" s="18">
        <v>3.8</v>
      </c>
      <c r="BE339" s="15">
        <f t="shared" si="173"/>
        <v>1899.9999999999998</v>
      </c>
      <c r="BF339" s="8">
        <f t="shared" si="169"/>
        <v>3.2787536009528289</v>
      </c>
      <c r="BG339" s="8">
        <f t="shared" si="174"/>
        <v>0.57978359661681012</v>
      </c>
      <c r="BH339" s="13" t="s">
        <v>841</v>
      </c>
      <c r="BI339" s="13"/>
      <c r="BJ339" s="13"/>
      <c r="BK339" s="8"/>
      <c r="BL339" s="8"/>
      <c r="BM339" s="18"/>
      <c r="BN339" s="8"/>
      <c r="BO339" s="24"/>
    </row>
    <row r="340" spans="1:67" s="14" customFormat="1" x14ac:dyDescent="0.3">
      <c r="A340" s="20">
        <v>338</v>
      </c>
      <c r="B340" s="2" t="s">
        <v>241</v>
      </c>
      <c r="C340" s="2">
        <v>2019</v>
      </c>
      <c r="D340" s="2" t="s">
        <v>201</v>
      </c>
      <c r="E340" s="10" t="s">
        <v>800</v>
      </c>
      <c r="F340" s="20" t="s">
        <v>29</v>
      </c>
      <c r="G340" s="2">
        <v>86</v>
      </c>
      <c r="H340" s="2" t="str">
        <f>'PFAS Properties'!$B$33</f>
        <v>PFOA</v>
      </c>
      <c r="I340" s="2" t="str">
        <f>'PFAS Properties'!$C$33</f>
        <v>PFCA</v>
      </c>
      <c r="J340" s="2" t="str">
        <f>'PFAS Properties'!$D$33</f>
        <v>C8HF15O2</v>
      </c>
      <c r="K340" s="25">
        <f>'PFAS Properties'!$P$33</f>
        <v>413.97359999999998</v>
      </c>
      <c r="L340" s="2">
        <f>'PFAS Properties'!$X$33</f>
        <v>-0.2</v>
      </c>
      <c r="M340" s="2" t="str">
        <f>'PFAS Properties'!$Y$33</f>
        <v>-</v>
      </c>
      <c r="N340" s="33">
        <v>0</v>
      </c>
      <c r="O340" s="33">
        <v>0</v>
      </c>
      <c r="P340" s="33">
        <v>0</v>
      </c>
      <c r="Q340" s="33">
        <f t="shared" si="178"/>
        <v>0.99999999601892831</v>
      </c>
      <c r="R340" s="33">
        <v>0</v>
      </c>
      <c r="S340" s="33">
        <f t="shared" si="179"/>
        <v>3.9810716896860486E-9</v>
      </c>
      <c r="T340" s="8">
        <f t="shared" si="163"/>
        <v>1</v>
      </c>
      <c r="U340" s="33">
        <f t="shared" si="164"/>
        <v>0</v>
      </c>
      <c r="V340" s="33">
        <f t="shared" si="165"/>
        <v>-0.99999999601892831</v>
      </c>
      <c r="W340" s="33">
        <f t="shared" si="166"/>
        <v>412.97360000398106</v>
      </c>
      <c r="X340" s="33">
        <v>96485</v>
      </c>
      <c r="Y340" s="16">
        <f t="shared" si="167"/>
        <v>-233.63478831323886</v>
      </c>
      <c r="Z340" s="16">
        <v>8</v>
      </c>
      <c r="AA340" s="16">
        <v>15</v>
      </c>
      <c r="AB340" s="8">
        <f t="shared" si="168"/>
        <v>0.33684210526315789</v>
      </c>
      <c r="AC340" s="16">
        <f t="shared" si="177"/>
        <v>68.844969824162703</v>
      </c>
      <c r="AD340" s="20">
        <f>'PFAS Properties'!$W$33</f>
        <v>7</v>
      </c>
      <c r="AE340" s="8">
        <f>'PFAS Properties'!$S$33</f>
        <v>2.6821450763738319</v>
      </c>
      <c r="AF340" s="15">
        <f>'PFAS Properties'!$V$33</f>
        <v>4.9000000000000004</v>
      </c>
      <c r="AG340" s="24">
        <v>8.1999999999999993</v>
      </c>
      <c r="AH340" s="2" t="s">
        <v>122</v>
      </c>
      <c r="AI340" s="2" t="s">
        <v>661</v>
      </c>
      <c r="AJ340" s="2" t="s">
        <v>661</v>
      </c>
      <c r="AK340" s="2" t="s">
        <v>661</v>
      </c>
      <c r="AL340" s="2" t="s">
        <v>661</v>
      </c>
      <c r="AM340" s="2" t="s">
        <v>661</v>
      </c>
      <c r="AN340" s="2" t="s">
        <v>661</v>
      </c>
      <c r="AO340" s="2" t="s">
        <v>661</v>
      </c>
      <c r="AP340" s="15">
        <v>26.1</v>
      </c>
      <c r="AQ340" s="2" t="s">
        <v>661</v>
      </c>
      <c r="AR340" s="16">
        <v>48</v>
      </c>
      <c r="AS340" s="16">
        <v>7</v>
      </c>
      <c r="AT340" s="16">
        <v>45</v>
      </c>
      <c r="AU340" s="2" t="s">
        <v>661</v>
      </c>
      <c r="AV340" s="16">
        <f t="shared" si="172"/>
        <v>100</v>
      </c>
      <c r="AW340" s="18">
        <v>0.1</v>
      </c>
      <c r="AX340" s="13">
        <f t="shared" si="176"/>
        <v>1E-3</v>
      </c>
      <c r="AY340" s="13" t="s">
        <v>123</v>
      </c>
      <c r="AZ340" s="16">
        <f t="shared" si="175"/>
        <v>100</v>
      </c>
      <c r="BA340" s="16" t="s">
        <v>55</v>
      </c>
      <c r="BB340" s="15">
        <v>2.2999999999999998</v>
      </c>
      <c r="BC340" s="16" t="s">
        <v>55</v>
      </c>
      <c r="BD340" s="18">
        <v>5</v>
      </c>
      <c r="BE340" s="15">
        <f t="shared" si="173"/>
        <v>5000</v>
      </c>
      <c r="BF340" s="8">
        <f t="shared" si="169"/>
        <v>3.6989700043360187</v>
      </c>
      <c r="BG340" s="8">
        <f t="shared" si="174"/>
        <v>0.69897000433601886</v>
      </c>
      <c r="BH340" s="13" t="s">
        <v>841</v>
      </c>
      <c r="BI340" s="13"/>
      <c r="BJ340" s="13"/>
      <c r="BK340" s="8"/>
      <c r="BL340" s="8"/>
      <c r="BM340" s="18"/>
      <c r="BN340" s="8"/>
      <c r="BO340" s="24"/>
    </row>
    <row r="341" spans="1:67" s="14" customFormat="1" x14ac:dyDescent="0.3">
      <c r="A341" s="20">
        <v>339</v>
      </c>
      <c r="B341" s="2" t="s">
        <v>241</v>
      </c>
      <c r="C341" s="2">
        <v>2019</v>
      </c>
      <c r="D341" s="2" t="s">
        <v>201</v>
      </c>
      <c r="E341" s="10" t="s">
        <v>800</v>
      </c>
      <c r="F341" s="20" t="s">
        <v>29</v>
      </c>
      <c r="G341" s="2">
        <v>87</v>
      </c>
      <c r="H341" s="2" t="str">
        <f>'PFAS Properties'!$B$33</f>
        <v>PFOA</v>
      </c>
      <c r="I341" s="2" t="str">
        <f>'PFAS Properties'!$C$33</f>
        <v>PFCA</v>
      </c>
      <c r="J341" s="2" t="str">
        <f>'PFAS Properties'!$D$33</f>
        <v>C8HF15O2</v>
      </c>
      <c r="K341" s="25">
        <f>'PFAS Properties'!$P$33</f>
        <v>413.97359999999998</v>
      </c>
      <c r="L341" s="2">
        <f>'PFAS Properties'!$X$33</f>
        <v>-0.2</v>
      </c>
      <c r="M341" s="2" t="str">
        <f>'PFAS Properties'!$Y$33</f>
        <v>-</v>
      </c>
      <c r="N341" s="33">
        <v>0</v>
      </c>
      <c r="O341" s="33">
        <v>0</v>
      </c>
      <c r="P341" s="33">
        <v>0</v>
      </c>
      <c r="Q341" s="33">
        <f t="shared" si="178"/>
        <v>0.99999999205671775</v>
      </c>
      <c r="R341" s="33">
        <v>0</v>
      </c>
      <c r="S341" s="33">
        <f t="shared" si="179"/>
        <v>7.9432822841470747E-9</v>
      </c>
      <c r="T341" s="8">
        <f t="shared" si="163"/>
        <v>1</v>
      </c>
      <c r="U341" s="33">
        <f t="shared" si="164"/>
        <v>0</v>
      </c>
      <c r="V341" s="33">
        <f t="shared" si="165"/>
        <v>-0.99999999205671775</v>
      </c>
      <c r="W341" s="33">
        <f t="shared" si="166"/>
        <v>412.97360000794328</v>
      </c>
      <c r="X341" s="33">
        <v>96485</v>
      </c>
      <c r="Y341" s="16">
        <f t="shared" si="167"/>
        <v>-233.63478738528704</v>
      </c>
      <c r="Z341" s="16">
        <v>8</v>
      </c>
      <c r="AA341" s="16">
        <v>15</v>
      </c>
      <c r="AB341" s="8">
        <f t="shared" si="168"/>
        <v>0.33684210526315789</v>
      </c>
      <c r="AC341" s="16">
        <f t="shared" si="177"/>
        <v>68.844969824162703</v>
      </c>
      <c r="AD341" s="20">
        <f>'PFAS Properties'!$W$33</f>
        <v>7</v>
      </c>
      <c r="AE341" s="8">
        <f>'PFAS Properties'!$S$33</f>
        <v>2.6821450763738319</v>
      </c>
      <c r="AF341" s="15">
        <f>'PFAS Properties'!$V$33</f>
        <v>4.9000000000000004</v>
      </c>
      <c r="AG341" s="24">
        <v>7.9</v>
      </c>
      <c r="AH341" s="2" t="s">
        <v>122</v>
      </c>
      <c r="AI341" s="2" t="s">
        <v>661</v>
      </c>
      <c r="AJ341" s="2" t="s">
        <v>661</v>
      </c>
      <c r="AK341" s="2" t="s">
        <v>661</v>
      </c>
      <c r="AL341" s="2" t="s">
        <v>661</v>
      </c>
      <c r="AM341" s="2" t="s">
        <v>661</v>
      </c>
      <c r="AN341" s="2" t="s">
        <v>661</v>
      </c>
      <c r="AO341" s="2" t="s">
        <v>661</v>
      </c>
      <c r="AP341" s="15">
        <v>10.4</v>
      </c>
      <c r="AQ341" s="2" t="s">
        <v>661</v>
      </c>
      <c r="AR341" s="16">
        <v>60.5</v>
      </c>
      <c r="AS341" s="16">
        <v>18.299999999999997</v>
      </c>
      <c r="AT341" s="16">
        <v>21.2</v>
      </c>
      <c r="AU341" s="2" t="s">
        <v>661</v>
      </c>
      <c r="AV341" s="16">
        <f t="shared" si="172"/>
        <v>100</v>
      </c>
      <c r="AW341" s="18">
        <v>0.1</v>
      </c>
      <c r="AX341" s="13">
        <f t="shared" si="176"/>
        <v>1E-3</v>
      </c>
      <c r="AY341" s="13" t="s">
        <v>123</v>
      </c>
      <c r="AZ341" s="16">
        <f t="shared" si="175"/>
        <v>100</v>
      </c>
      <c r="BA341" s="16" t="s">
        <v>55</v>
      </c>
      <c r="BB341" s="15">
        <v>2.2999999999999998</v>
      </c>
      <c r="BC341" s="16" t="s">
        <v>55</v>
      </c>
      <c r="BD341" s="18">
        <v>2.9</v>
      </c>
      <c r="BE341" s="15">
        <f t="shared" si="173"/>
        <v>2900</v>
      </c>
      <c r="BF341" s="8">
        <f t="shared" si="169"/>
        <v>3.4623979978989561</v>
      </c>
      <c r="BG341" s="8">
        <f t="shared" si="174"/>
        <v>0.46239799789895608</v>
      </c>
      <c r="BH341" s="13" t="s">
        <v>841</v>
      </c>
      <c r="BI341" s="13"/>
      <c r="BJ341" s="13"/>
      <c r="BK341" s="8"/>
      <c r="BL341" s="8"/>
      <c r="BM341" s="18"/>
      <c r="BN341" s="8"/>
      <c r="BO341" s="24"/>
    </row>
    <row r="342" spans="1:67" s="14" customFormat="1" x14ac:dyDescent="0.3">
      <c r="A342" s="20">
        <v>340</v>
      </c>
      <c r="B342" s="2" t="s">
        <v>241</v>
      </c>
      <c r="C342" s="2">
        <v>2019</v>
      </c>
      <c r="D342" s="2" t="s">
        <v>201</v>
      </c>
      <c r="E342" s="10" t="s">
        <v>800</v>
      </c>
      <c r="F342" s="20" t="s">
        <v>29</v>
      </c>
      <c r="G342" s="2">
        <v>88</v>
      </c>
      <c r="H342" s="2" t="str">
        <f>'PFAS Properties'!$B$33</f>
        <v>PFOA</v>
      </c>
      <c r="I342" s="2" t="str">
        <f>'PFAS Properties'!$C$33</f>
        <v>PFCA</v>
      </c>
      <c r="J342" s="2" t="str">
        <f>'PFAS Properties'!$D$33</f>
        <v>C8HF15O2</v>
      </c>
      <c r="K342" s="25">
        <f>'PFAS Properties'!$P$33</f>
        <v>413.97359999999998</v>
      </c>
      <c r="L342" s="2">
        <f>'PFAS Properties'!$X$33</f>
        <v>-0.2</v>
      </c>
      <c r="M342" s="2" t="str">
        <f>'PFAS Properties'!$Y$33</f>
        <v>-</v>
      </c>
      <c r="N342" s="33">
        <v>0</v>
      </c>
      <c r="O342" s="33">
        <v>0</v>
      </c>
      <c r="P342" s="33">
        <v>0</v>
      </c>
      <c r="Q342" s="33">
        <f t="shared" si="178"/>
        <v>0.99999998415106828</v>
      </c>
      <c r="R342" s="33">
        <v>0</v>
      </c>
      <c r="S342" s="33">
        <f t="shared" si="179"/>
        <v>1.5848931673422493E-8</v>
      </c>
      <c r="T342" s="8">
        <f t="shared" si="163"/>
        <v>1</v>
      </c>
      <c r="U342" s="33">
        <f t="shared" si="164"/>
        <v>0</v>
      </c>
      <c r="V342" s="33">
        <f t="shared" si="165"/>
        <v>-0.99999998415106828</v>
      </c>
      <c r="W342" s="33">
        <f t="shared" si="166"/>
        <v>412.97360001584889</v>
      </c>
      <c r="X342" s="33">
        <v>96485</v>
      </c>
      <c r="Y342" s="16">
        <f t="shared" si="167"/>
        <v>-233.63478553377979</v>
      </c>
      <c r="Z342" s="16">
        <v>8</v>
      </c>
      <c r="AA342" s="16">
        <v>15</v>
      </c>
      <c r="AB342" s="8">
        <f t="shared" si="168"/>
        <v>0.33684210526315789</v>
      </c>
      <c r="AC342" s="16">
        <f t="shared" si="177"/>
        <v>68.844969824162703</v>
      </c>
      <c r="AD342" s="20">
        <f>'PFAS Properties'!$W$33</f>
        <v>7</v>
      </c>
      <c r="AE342" s="8">
        <f>'PFAS Properties'!$S$33</f>
        <v>2.6821450763738319</v>
      </c>
      <c r="AF342" s="15">
        <f>'PFAS Properties'!$V$33</f>
        <v>4.9000000000000004</v>
      </c>
      <c r="AG342" s="24">
        <v>7.6</v>
      </c>
      <c r="AH342" s="2" t="s">
        <v>122</v>
      </c>
      <c r="AI342" s="2" t="s">
        <v>661</v>
      </c>
      <c r="AJ342" s="2" t="s">
        <v>661</v>
      </c>
      <c r="AK342" s="2" t="s">
        <v>661</v>
      </c>
      <c r="AL342" s="2" t="s">
        <v>661</v>
      </c>
      <c r="AM342" s="2" t="s">
        <v>661</v>
      </c>
      <c r="AN342" s="2" t="s">
        <v>661</v>
      </c>
      <c r="AO342" s="2" t="s">
        <v>661</v>
      </c>
      <c r="AP342" s="15">
        <v>9.6999999999999993</v>
      </c>
      <c r="AQ342" s="2" t="s">
        <v>661</v>
      </c>
      <c r="AR342" s="16">
        <v>80.5</v>
      </c>
      <c r="AS342" s="16">
        <v>4.7999999999999972</v>
      </c>
      <c r="AT342" s="16">
        <v>14.7</v>
      </c>
      <c r="AU342" s="2" t="s">
        <v>661</v>
      </c>
      <c r="AV342" s="16">
        <f t="shared" si="172"/>
        <v>100</v>
      </c>
      <c r="AW342" s="18">
        <v>0.2</v>
      </c>
      <c r="AX342" s="13">
        <f t="shared" si="176"/>
        <v>2E-3</v>
      </c>
      <c r="AY342" s="13" t="s">
        <v>123</v>
      </c>
      <c r="AZ342" s="16">
        <f t="shared" si="175"/>
        <v>100</v>
      </c>
      <c r="BA342" s="16" t="s">
        <v>55</v>
      </c>
      <c r="BB342" s="15">
        <v>2.2999999999999998</v>
      </c>
      <c r="BC342" s="16" t="s">
        <v>55</v>
      </c>
      <c r="BD342" s="18">
        <v>4</v>
      </c>
      <c r="BE342" s="15">
        <f t="shared" si="173"/>
        <v>2000</v>
      </c>
      <c r="BF342" s="8">
        <f t="shared" si="169"/>
        <v>3.3010299956639813</v>
      </c>
      <c r="BG342" s="8">
        <f t="shared" si="174"/>
        <v>0.6020599913279624</v>
      </c>
      <c r="BH342" s="13" t="s">
        <v>841</v>
      </c>
      <c r="BI342" s="13"/>
      <c r="BJ342" s="13"/>
      <c r="BK342" s="8"/>
      <c r="BL342" s="8"/>
      <c r="BM342" s="18"/>
      <c r="BN342" s="8"/>
      <c r="BO342" s="24"/>
    </row>
    <row r="343" spans="1:67" s="14" customFormat="1" x14ac:dyDescent="0.3">
      <c r="A343" s="20">
        <v>341</v>
      </c>
      <c r="B343" s="2" t="s">
        <v>241</v>
      </c>
      <c r="C343" s="2">
        <v>2019</v>
      </c>
      <c r="D343" s="2" t="s">
        <v>201</v>
      </c>
      <c r="E343" s="10" t="s">
        <v>800</v>
      </c>
      <c r="F343" s="20" t="s">
        <v>29</v>
      </c>
      <c r="G343" s="2">
        <v>89</v>
      </c>
      <c r="H343" s="2" t="str">
        <f>'PFAS Properties'!$B$33</f>
        <v>PFOA</v>
      </c>
      <c r="I343" s="2" t="str">
        <f>'PFAS Properties'!$C$33</f>
        <v>PFCA</v>
      </c>
      <c r="J343" s="2" t="str">
        <f>'PFAS Properties'!$D$33</f>
        <v>C8HF15O2</v>
      </c>
      <c r="K343" s="25">
        <f>'PFAS Properties'!$P$33</f>
        <v>413.97359999999998</v>
      </c>
      <c r="L343" s="2">
        <f>'PFAS Properties'!$X$33</f>
        <v>-0.2</v>
      </c>
      <c r="M343" s="2" t="str">
        <f>'PFAS Properties'!$Y$33</f>
        <v>-</v>
      </c>
      <c r="N343" s="33">
        <v>0</v>
      </c>
      <c r="O343" s="33">
        <v>0</v>
      </c>
      <c r="P343" s="33">
        <v>0</v>
      </c>
      <c r="Q343" s="33">
        <f t="shared" si="178"/>
        <v>0.99999998415106828</v>
      </c>
      <c r="R343" s="33">
        <v>0</v>
      </c>
      <c r="S343" s="33">
        <f t="shared" si="179"/>
        <v>1.5848931673422493E-8</v>
      </c>
      <c r="T343" s="8">
        <f t="shared" si="163"/>
        <v>1</v>
      </c>
      <c r="U343" s="33">
        <f t="shared" si="164"/>
        <v>0</v>
      </c>
      <c r="V343" s="33">
        <f t="shared" si="165"/>
        <v>-0.99999998415106828</v>
      </c>
      <c r="W343" s="33">
        <f t="shared" si="166"/>
        <v>412.97360001584889</v>
      </c>
      <c r="X343" s="33">
        <v>96485</v>
      </c>
      <c r="Y343" s="16">
        <f t="shared" si="167"/>
        <v>-233.63478553377979</v>
      </c>
      <c r="Z343" s="16">
        <v>8</v>
      </c>
      <c r="AA343" s="16">
        <v>15</v>
      </c>
      <c r="AB343" s="8">
        <f t="shared" si="168"/>
        <v>0.33684210526315789</v>
      </c>
      <c r="AC343" s="16">
        <f t="shared" si="177"/>
        <v>68.844969824162703</v>
      </c>
      <c r="AD343" s="20">
        <f>'PFAS Properties'!$W$33</f>
        <v>7</v>
      </c>
      <c r="AE343" s="8">
        <f>'PFAS Properties'!$S$33</f>
        <v>2.6821450763738319</v>
      </c>
      <c r="AF343" s="15">
        <f>'PFAS Properties'!$V$33</f>
        <v>4.9000000000000004</v>
      </c>
      <c r="AG343" s="24">
        <v>7.6</v>
      </c>
      <c r="AH343" s="2" t="s">
        <v>122</v>
      </c>
      <c r="AI343" s="2" t="s">
        <v>661</v>
      </c>
      <c r="AJ343" s="2" t="s">
        <v>661</v>
      </c>
      <c r="AK343" s="2" t="s">
        <v>661</v>
      </c>
      <c r="AL343" s="2" t="s">
        <v>661</v>
      </c>
      <c r="AM343" s="2" t="s">
        <v>661</v>
      </c>
      <c r="AN343" s="2" t="s">
        <v>661</v>
      </c>
      <c r="AO343" s="2" t="s">
        <v>661</v>
      </c>
      <c r="AP343" s="15">
        <v>13.1</v>
      </c>
      <c r="AQ343" s="2" t="s">
        <v>661</v>
      </c>
      <c r="AR343" s="16">
        <v>67.599999999999994</v>
      </c>
      <c r="AS343" s="16">
        <v>6.8000000000000114</v>
      </c>
      <c r="AT343" s="16">
        <v>25.6</v>
      </c>
      <c r="AU343" s="2" t="s">
        <v>661</v>
      </c>
      <c r="AV343" s="16">
        <f t="shared" si="172"/>
        <v>100</v>
      </c>
      <c r="AW343" s="18">
        <v>0.2</v>
      </c>
      <c r="AX343" s="13">
        <f t="shared" si="176"/>
        <v>2E-3</v>
      </c>
      <c r="AY343" s="13" t="s">
        <v>123</v>
      </c>
      <c r="AZ343" s="16">
        <f t="shared" si="175"/>
        <v>100</v>
      </c>
      <c r="BA343" s="16" t="s">
        <v>55</v>
      </c>
      <c r="BB343" s="15">
        <v>2.2999999999999998</v>
      </c>
      <c r="BC343" s="16" t="s">
        <v>55</v>
      </c>
      <c r="BD343" s="18">
        <v>3.4</v>
      </c>
      <c r="BE343" s="15">
        <f t="shared" si="173"/>
        <v>1700</v>
      </c>
      <c r="BF343" s="8">
        <f t="shared" si="169"/>
        <v>3.2304489213782741</v>
      </c>
      <c r="BG343" s="8">
        <f t="shared" si="174"/>
        <v>0.53147891704225514</v>
      </c>
      <c r="BH343" s="13" t="s">
        <v>841</v>
      </c>
      <c r="BI343" s="13"/>
      <c r="BJ343" s="13"/>
      <c r="BK343" s="8"/>
      <c r="BL343" s="8"/>
      <c r="BM343" s="18"/>
      <c r="BN343" s="8"/>
      <c r="BO343" s="24"/>
    </row>
    <row r="344" spans="1:67" s="14" customFormat="1" x14ac:dyDescent="0.3">
      <c r="A344" s="20">
        <v>342</v>
      </c>
      <c r="B344" s="2" t="s">
        <v>241</v>
      </c>
      <c r="C344" s="2">
        <v>2019</v>
      </c>
      <c r="D344" s="2" t="s">
        <v>201</v>
      </c>
      <c r="E344" s="10" t="s">
        <v>800</v>
      </c>
      <c r="F344" s="20" t="s">
        <v>29</v>
      </c>
      <c r="G344" s="2">
        <v>90</v>
      </c>
      <c r="H344" s="2" t="str">
        <f>'PFAS Properties'!$B$33</f>
        <v>PFOA</v>
      </c>
      <c r="I344" s="2" t="str">
        <f>'PFAS Properties'!$C$33</f>
        <v>PFCA</v>
      </c>
      <c r="J344" s="2" t="str">
        <f>'PFAS Properties'!$D$33</f>
        <v>C8HF15O2</v>
      </c>
      <c r="K344" s="25">
        <f>'PFAS Properties'!$P$33</f>
        <v>413.97359999999998</v>
      </c>
      <c r="L344" s="2">
        <f>'PFAS Properties'!$X$33</f>
        <v>-0.2</v>
      </c>
      <c r="M344" s="2" t="str">
        <f>'PFAS Properties'!$Y$33</f>
        <v>-</v>
      </c>
      <c r="N344" s="33">
        <v>0</v>
      </c>
      <c r="O344" s="33">
        <v>0</v>
      </c>
      <c r="P344" s="33">
        <v>0</v>
      </c>
      <c r="Q344" s="33">
        <f t="shared" si="178"/>
        <v>0.99999998741074603</v>
      </c>
      <c r="R344" s="33">
        <v>0</v>
      </c>
      <c r="S344" s="33">
        <f t="shared" si="179"/>
        <v>1.258925395945232E-8</v>
      </c>
      <c r="T344" s="8">
        <f t="shared" si="163"/>
        <v>1</v>
      </c>
      <c r="U344" s="33">
        <f t="shared" si="164"/>
        <v>0</v>
      </c>
      <c r="V344" s="33">
        <f t="shared" si="165"/>
        <v>-0.99999998741074603</v>
      </c>
      <c r="W344" s="33">
        <f t="shared" si="166"/>
        <v>412.9736000125892</v>
      </c>
      <c r="X344" s="33">
        <v>96485</v>
      </c>
      <c r="Y344" s="16">
        <f t="shared" si="167"/>
        <v>-233.63478629719808</v>
      </c>
      <c r="Z344" s="16">
        <v>8</v>
      </c>
      <c r="AA344" s="16">
        <v>15</v>
      </c>
      <c r="AB344" s="8">
        <f t="shared" si="168"/>
        <v>0.33684210526315789</v>
      </c>
      <c r="AC344" s="16">
        <f t="shared" si="177"/>
        <v>68.844969824162703</v>
      </c>
      <c r="AD344" s="20">
        <f>'PFAS Properties'!$W$33</f>
        <v>7</v>
      </c>
      <c r="AE344" s="8">
        <f>'PFAS Properties'!$S$33</f>
        <v>2.6821450763738319</v>
      </c>
      <c r="AF344" s="15">
        <f>'PFAS Properties'!$V$33</f>
        <v>4.9000000000000004</v>
      </c>
      <c r="AG344" s="24">
        <v>7.7</v>
      </c>
      <c r="AH344" s="2" t="s">
        <v>122</v>
      </c>
      <c r="AI344" s="2" t="s">
        <v>661</v>
      </c>
      <c r="AJ344" s="2" t="s">
        <v>661</v>
      </c>
      <c r="AK344" s="2" t="s">
        <v>661</v>
      </c>
      <c r="AL344" s="2" t="s">
        <v>661</v>
      </c>
      <c r="AM344" s="2" t="s">
        <v>661</v>
      </c>
      <c r="AN344" s="2" t="s">
        <v>661</v>
      </c>
      <c r="AO344" s="2" t="s">
        <v>661</v>
      </c>
      <c r="AP344" s="15">
        <v>13.1</v>
      </c>
      <c r="AQ344" s="2" t="s">
        <v>661</v>
      </c>
      <c r="AR344" s="16">
        <v>53.9</v>
      </c>
      <c r="AS344" s="16">
        <v>16.399999999999999</v>
      </c>
      <c r="AT344" s="16">
        <v>29.7</v>
      </c>
      <c r="AU344" s="2" t="s">
        <v>661</v>
      </c>
      <c r="AV344" s="16">
        <f t="shared" si="172"/>
        <v>100</v>
      </c>
      <c r="AW344" s="18">
        <v>0.1</v>
      </c>
      <c r="AX344" s="13">
        <f t="shared" si="176"/>
        <v>1E-3</v>
      </c>
      <c r="AY344" s="13" t="s">
        <v>123</v>
      </c>
      <c r="AZ344" s="16">
        <f t="shared" si="175"/>
        <v>100</v>
      </c>
      <c r="BA344" s="16" t="s">
        <v>55</v>
      </c>
      <c r="BB344" s="15">
        <v>2.2999999999999998</v>
      </c>
      <c r="BC344" s="16" t="s">
        <v>55</v>
      </c>
      <c r="BD344" s="18">
        <v>3</v>
      </c>
      <c r="BE344" s="15">
        <f t="shared" si="173"/>
        <v>3000</v>
      </c>
      <c r="BF344" s="8">
        <f t="shared" si="169"/>
        <v>3.4771212547196626</v>
      </c>
      <c r="BG344" s="8">
        <f t="shared" si="174"/>
        <v>0.47712125471966244</v>
      </c>
      <c r="BH344" s="13" t="s">
        <v>841</v>
      </c>
      <c r="BI344" s="13"/>
      <c r="BJ344" s="13"/>
      <c r="BK344" s="8"/>
      <c r="BL344" s="8"/>
      <c r="BM344" s="18"/>
      <c r="BN344" s="8"/>
      <c r="BO344" s="24"/>
    </row>
    <row r="345" spans="1:67" s="14" customFormat="1" x14ac:dyDescent="0.3">
      <c r="A345" s="20">
        <v>343</v>
      </c>
      <c r="B345" s="2" t="s">
        <v>241</v>
      </c>
      <c r="C345" s="2">
        <v>2019</v>
      </c>
      <c r="D345" s="2" t="s">
        <v>201</v>
      </c>
      <c r="E345" s="10" t="s">
        <v>800</v>
      </c>
      <c r="F345" s="20" t="s">
        <v>29</v>
      </c>
      <c r="G345" s="2">
        <v>91</v>
      </c>
      <c r="H345" s="2" t="str">
        <f>'PFAS Properties'!$B$33</f>
        <v>PFOA</v>
      </c>
      <c r="I345" s="2" t="str">
        <f>'PFAS Properties'!$C$33</f>
        <v>PFCA</v>
      </c>
      <c r="J345" s="2" t="str">
        <f>'PFAS Properties'!$D$33</f>
        <v>C8HF15O2</v>
      </c>
      <c r="K345" s="25">
        <f>'PFAS Properties'!$P$33</f>
        <v>413.97359999999998</v>
      </c>
      <c r="L345" s="2">
        <f>'PFAS Properties'!$X$33</f>
        <v>-0.2</v>
      </c>
      <c r="M345" s="2" t="str">
        <f>'PFAS Properties'!$Y$33</f>
        <v>-</v>
      </c>
      <c r="N345" s="33">
        <v>0</v>
      </c>
      <c r="O345" s="33">
        <v>0</v>
      </c>
      <c r="P345" s="33">
        <v>0</v>
      </c>
      <c r="Q345" s="33">
        <f t="shared" si="178"/>
        <v>0.99999998741074603</v>
      </c>
      <c r="R345" s="33">
        <v>0</v>
      </c>
      <c r="S345" s="33">
        <f t="shared" si="179"/>
        <v>1.258925395945232E-8</v>
      </c>
      <c r="T345" s="8">
        <f t="shared" si="163"/>
        <v>1</v>
      </c>
      <c r="U345" s="33">
        <f t="shared" si="164"/>
        <v>0</v>
      </c>
      <c r="V345" s="33">
        <f t="shared" si="165"/>
        <v>-0.99999998741074603</v>
      </c>
      <c r="W345" s="33">
        <f t="shared" si="166"/>
        <v>412.9736000125892</v>
      </c>
      <c r="X345" s="33">
        <v>96485</v>
      </c>
      <c r="Y345" s="16">
        <f t="shared" si="167"/>
        <v>-233.63478629719808</v>
      </c>
      <c r="Z345" s="16">
        <v>8</v>
      </c>
      <c r="AA345" s="16">
        <v>15</v>
      </c>
      <c r="AB345" s="8">
        <f t="shared" si="168"/>
        <v>0.33684210526315789</v>
      </c>
      <c r="AC345" s="16">
        <f t="shared" si="177"/>
        <v>68.844969824162703</v>
      </c>
      <c r="AD345" s="20">
        <f>'PFAS Properties'!$W$33</f>
        <v>7</v>
      </c>
      <c r="AE345" s="8">
        <f>'PFAS Properties'!$S$33</f>
        <v>2.6821450763738319</v>
      </c>
      <c r="AF345" s="15">
        <f>'PFAS Properties'!$V$33</f>
        <v>4.9000000000000004</v>
      </c>
      <c r="AG345" s="24">
        <v>7.7</v>
      </c>
      <c r="AH345" s="2" t="s">
        <v>122</v>
      </c>
      <c r="AI345" s="2" t="s">
        <v>661</v>
      </c>
      <c r="AJ345" s="2" t="s">
        <v>661</v>
      </c>
      <c r="AK345" s="2" t="s">
        <v>661</v>
      </c>
      <c r="AL345" s="2" t="s">
        <v>661</v>
      </c>
      <c r="AM345" s="2" t="s">
        <v>661</v>
      </c>
      <c r="AN345" s="2" t="s">
        <v>661</v>
      </c>
      <c r="AO345" s="2" t="s">
        <v>661</v>
      </c>
      <c r="AP345" s="15">
        <v>13.3</v>
      </c>
      <c r="AQ345" s="2" t="s">
        <v>661</v>
      </c>
      <c r="AR345" s="16">
        <v>43.6</v>
      </c>
      <c r="AS345" s="16">
        <v>26.300000000000004</v>
      </c>
      <c r="AT345" s="16">
        <v>30.1</v>
      </c>
      <c r="AU345" s="2" t="s">
        <v>661</v>
      </c>
      <c r="AV345" s="16">
        <f t="shared" si="172"/>
        <v>100</v>
      </c>
      <c r="AW345" s="18">
        <v>0.6</v>
      </c>
      <c r="AX345" s="13">
        <f t="shared" si="176"/>
        <v>6.0000000000000001E-3</v>
      </c>
      <c r="AY345" s="13" t="s">
        <v>123</v>
      </c>
      <c r="AZ345" s="16">
        <f t="shared" si="175"/>
        <v>100</v>
      </c>
      <c r="BA345" s="16" t="s">
        <v>55</v>
      </c>
      <c r="BB345" s="15">
        <v>2.2999999999999998</v>
      </c>
      <c r="BC345" s="16" t="s">
        <v>55</v>
      </c>
      <c r="BD345" s="18">
        <v>3.9</v>
      </c>
      <c r="BE345" s="15">
        <f t="shared" si="173"/>
        <v>650</v>
      </c>
      <c r="BF345" s="8">
        <f t="shared" si="169"/>
        <v>2.8129133566428557</v>
      </c>
      <c r="BG345" s="8">
        <f t="shared" si="174"/>
        <v>0.59106460702649921</v>
      </c>
      <c r="BH345" s="13" t="s">
        <v>841</v>
      </c>
      <c r="BI345" s="13"/>
      <c r="BJ345" s="13"/>
      <c r="BK345" s="8"/>
      <c r="BL345" s="8"/>
      <c r="BM345" s="18"/>
      <c r="BN345" s="8"/>
      <c r="BO345" s="24"/>
    </row>
    <row r="346" spans="1:67" s="14" customFormat="1" x14ac:dyDescent="0.3">
      <c r="A346" s="20">
        <v>344</v>
      </c>
      <c r="B346" s="2" t="s">
        <v>241</v>
      </c>
      <c r="C346" s="2">
        <v>2019</v>
      </c>
      <c r="D346" s="2" t="s">
        <v>201</v>
      </c>
      <c r="E346" s="10" t="s">
        <v>800</v>
      </c>
      <c r="F346" s="20" t="s">
        <v>29</v>
      </c>
      <c r="G346" s="2">
        <v>92</v>
      </c>
      <c r="H346" s="2" t="str">
        <f>'PFAS Properties'!$B$33</f>
        <v>PFOA</v>
      </c>
      <c r="I346" s="2" t="str">
        <f>'PFAS Properties'!$C$33</f>
        <v>PFCA</v>
      </c>
      <c r="J346" s="2" t="str">
        <f>'PFAS Properties'!$D$33</f>
        <v>C8HF15O2</v>
      </c>
      <c r="K346" s="25">
        <f>'PFAS Properties'!$P$33</f>
        <v>413.97359999999998</v>
      </c>
      <c r="L346" s="2">
        <f>'PFAS Properties'!$X$33</f>
        <v>-0.2</v>
      </c>
      <c r="M346" s="2" t="str">
        <f>'PFAS Properties'!$Y$33</f>
        <v>-</v>
      </c>
      <c r="N346" s="33">
        <v>0</v>
      </c>
      <c r="O346" s="33">
        <v>0</v>
      </c>
      <c r="P346" s="33">
        <v>0</v>
      </c>
      <c r="Q346" s="33">
        <f t="shared" si="178"/>
        <v>0.99999999369042658</v>
      </c>
      <c r="R346" s="33">
        <v>0</v>
      </c>
      <c r="S346" s="33">
        <f t="shared" si="179"/>
        <v>6.3095734049912165E-9</v>
      </c>
      <c r="T346" s="8">
        <f t="shared" si="163"/>
        <v>1</v>
      </c>
      <c r="U346" s="33">
        <f t="shared" si="164"/>
        <v>0</v>
      </c>
      <c r="V346" s="33">
        <f t="shared" si="165"/>
        <v>-0.99999999369042658</v>
      </c>
      <c r="W346" s="33">
        <f t="shared" si="166"/>
        <v>412.97360000630954</v>
      </c>
      <c r="X346" s="33">
        <v>96485</v>
      </c>
      <c r="Y346" s="16">
        <f t="shared" si="167"/>
        <v>-233.63478776790257</v>
      </c>
      <c r="Z346" s="16">
        <v>8</v>
      </c>
      <c r="AA346" s="16">
        <v>15</v>
      </c>
      <c r="AB346" s="8">
        <f t="shared" si="168"/>
        <v>0.33684210526315789</v>
      </c>
      <c r="AC346" s="16">
        <f t="shared" si="177"/>
        <v>68.844969824162703</v>
      </c>
      <c r="AD346" s="20">
        <f>'PFAS Properties'!$W$33</f>
        <v>7</v>
      </c>
      <c r="AE346" s="8">
        <f>'PFAS Properties'!$S$33</f>
        <v>2.6821450763738319</v>
      </c>
      <c r="AF346" s="15">
        <f>'PFAS Properties'!$V$33</f>
        <v>4.9000000000000004</v>
      </c>
      <c r="AG346" s="24">
        <v>8</v>
      </c>
      <c r="AH346" s="2" t="s">
        <v>122</v>
      </c>
      <c r="AI346" s="2" t="s">
        <v>661</v>
      </c>
      <c r="AJ346" s="2" t="s">
        <v>661</v>
      </c>
      <c r="AK346" s="2" t="s">
        <v>661</v>
      </c>
      <c r="AL346" s="2" t="s">
        <v>661</v>
      </c>
      <c r="AM346" s="2" t="s">
        <v>661</v>
      </c>
      <c r="AN346" s="2" t="s">
        <v>661</v>
      </c>
      <c r="AO346" s="2" t="s">
        <v>661</v>
      </c>
      <c r="AP346" s="15">
        <v>7.8</v>
      </c>
      <c r="AQ346" s="2" t="s">
        <v>661</v>
      </c>
      <c r="AR346" s="16">
        <v>48.9</v>
      </c>
      <c r="AS346" s="16">
        <v>32.6</v>
      </c>
      <c r="AT346" s="16">
        <v>18.5</v>
      </c>
      <c r="AU346" s="2" t="s">
        <v>661</v>
      </c>
      <c r="AV346" s="16">
        <f t="shared" si="172"/>
        <v>100</v>
      </c>
      <c r="AW346" s="18">
        <v>0.2</v>
      </c>
      <c r="AX346" s="13">
        <f t="shared" si="176"/>
        <v>2E-3</v>
      </c>
      <c r="AY346" s="13" t="s">
        <v>123</v>
      </c>
      <c r="AZ346" s="16">
        <f t="shared" si="175"/>
        <v>100</v>
      </c>
      <c r="BA346" s="16" t="s">
        <v>55</v>
      </c>
      <c r="BB346" s="15">
        <v>2.2999999999999998</v>
      </c>
      <c r="BC346" s="16" t="s">
        <v>55</v>
      </c>
      <c r="BD346" s="18">
        <v>2.8</v>
      </c>
      <c r="BE346" s="15">
        <f t="shared" si="173"/>
        <v>1399.9999999999998</v>
      </c>
      <c r="BF346" s="8">
        <f t="shared" si="169"/>
        <v>3.1461280356782382</v>
      </c>
      <c r="BG346" s="8">
        <f t="shared" si="174"/>
        <v>0.44715803134221921</v>
      </c>
      <c r="BH346" s="13" t="s">
        <v>841</v>
      </c>
      <c r="BI346" s="13"/>
      <c r="BJ346" s="13"/>
      <c r="BK346" s="8"/>
      <c r="BL346" s="8"/>
      <c r="BM346" s="18"/>
      <c r="BN346" s="8"/>
      <c r="BO346" s="24"/>
    </row>
    <row r="347" spans="1:67" s="14" customFormat="1" x14ac:dyDescent="0.3">
      <c r="A347" s="20">
        <v>345</v>
      </c>
      <c r="B347" s="2" t="s">
        <v>241</v>
      </c>
      <c r="C347" s="2">
        <v>2019</v>
      </c>
      <c r="D347" s="2" t="s">
        <v>201</v>
      </c>
      <c r="E347" s="10" t="s">
        <v>800</v>
      </c>
      <c r="F347" s="20" t="s">
        <v>29</v>
      </c>
      <c r="G347" s="2">
        <v>93</v>
      </c>
      <c r="H347" s="2" t="str">
        <f>'PFAS Properties'!$B$33</f>
        <v>PFOA</v>
      </c>
      <c r="I347" s="2" t="str">
        <f>'PFAS Properties'!$C$33</f>
        <v>PFCA</v>
      </c>
      <c r="J347" s="2" t="str">
        <f>'PFAS Properties'!$D$33</f>
        <v>C8HF15O2</v>
      </c>
      <c r="K347" s="25">
        <f>'PFAS Properties'!$P$33</f>
        <v>413.97359999999998</v>
      </c>
      <c r="L347" s="2">
        <f>'PFAS Properties'!$X$33</f>
        <v>-0.2</v>
      </c>
      <c r="M347" s="2" t="str">
        <f>'PFAS Properties'!$Y$33</f>
        <v>-</v>
      </c>
      <c r="N347" s="33">
        <v>0</v>
      </c>
      <c r="O347" s="33">
        <v>0</v>
      </c>
      <c r="P347" s="33">
        <v>0</v>
      </c>
      <c r="Q347" s="33">
        <f t="shared" si="178"/>
        <v>0.99999996837722438</v>
      </c>
      <c r="R347" s="33">
        <v>0</v>
      </c>
      <c r="S347" s="33">
        <f t="shared" si="179"/>
        <v>3.1622775601683729E-8</v>
      </c>
      <c r="T347" s="8">
        <f t="shared" si="163"/>
        <v>1</v>
      </c>
      <c r="U347" s="33">
        <f t="shared" si="164"/>
        <v>0</v>
      </c>
      <c r="V347" s="33">
        <f t="shared" si="165"/>
        <v>-0.99999996837722438</v>
      </c>
      <c r="W347" s="33">
        <f t="shared" si="166"/>
        <v>412.97360003162271</v>
      </c>
      <c r="X347" s="33">
        <v>96485</v>
      </c>
      <c r="Y347" s="16">
        <f t="shared" si="167"/>
        <v>-233.63478183953725</v>
      </c>
      <c r="Z347" s="16">
        <v>8</v>
      </c>
      <c r="AA347" s="16">
        <v>15</v>
      </c>
      <c r="AB347" s="8">
        <f t="shared" si="168"/>
        <v>0.33684210526315789</v>
      </c>
      <c r="AC347" s="16">
        <f t="shared" si="177"/>
        <v>68.844969824162703</v>
      </c>
      <c r="AD347" s="20">
        <f>'PFAS Properties'!$W$33</f>
        <v>7</v>
      </c>
      <c r="AE347" s="8">
        <f>'PFAS Properties'!$S$33</f>
        <v>2.6821450763738319</v>
      </c>
      <c r="AF347" s="15">
        <f>'PFAS Properties'!$V$33</f>
        <v>4.9000000000000004</v>
      </c>
      <c r="AG347" s="24">
        <v>7.3</v>
      </c>
      <c r="AH347" s="2" t="s">
        <v>122</v>
      </c>
      <c r="AI347" s="2" t="s">
        <v>661</v>
      </c>
      <c r="AJ347" s="2" t="s">
        <v>661</v>
      </c>
      <c r="AK347" s="2" t="s">
        <v>661</v>
      </c>
      <c r="AL347" s="2" t="s">
        <v>661</v>
      </c>
      <c r="AM347" s="2" t="s">
        <v>661</v>
      </c>
      <c r="AN347" s="2" t="s">
        <v>661</v>
      </c>
      <c r="AO347" s="2" t="s">
        <v>661</v>
      </c>
      <c r="AP347" s="15">
        <v>32.9</v>
      </c>
      <c r="AQ347" s="2" t="s">
        <v>661</v>
      </c>
      <c r="AR347" s="16">
        <v>40.799999999999997</v>
      </c>
      <c r="AS347" s="16">
        <v>12.600000000000001</v>
      </c>
      <c r="AT347" s="16">
        <v>46.6</v>
      </c>
      <c r="AU347" s="2" t="s">
        <v>661</v>
      </c>
      <c r="AV347" s="16">
        <f t="shared" si="172"/>
        <v>100</v>
      </c>
      <c r="AW347" s="18">
        <v>0.7</v>
      </c>
      <c r="AX347" s="13">
        <f t="shared" si="176"/>
        <v>6.9999999999999993E-3</v>
      </c>
      <c r="AY347" s="13" t="s">
        <v>123</v>
      </c>
      <c r="AZ347" s="16">
        <f t="shared" si="175"/>
        <v>100</v>
      </c>
      <c r="BA347" s="16" t="s">
        <v>55</v>
      </c>
      <c r="BB347" s="15">
        <v>2.2999999999999998</v>
      </c>
      <c r="BC347" s="16" t="s">
        <v>55</v>
      </c>
      <c r="BD347" s="18">
        <v>11.4</v>
      </c>
      <c r="BE347" s="15">
        <f t="shared" si="173"/>
        <v>1628.5714285714289</v>
      </c>
      <c r="BF347" s="8">
        <f t="shared" si="169"/>
        <v>3.2118068113222158</v>
      </c>
      <c r="BG347" s="8">
        <f t="shared" si="174"/>
        <v>1.0569048513364727</v>
      </c>
      <c r="BH347" s="13" t="s">
        <v>841</v>
      </c>
      <c r="BI347" s="13"/>
      <c r="BJ347" s="13"/>
      <c r="BK347" s="8"/>
      <c r="BL347" s="8"/>
      <c r="BM347" s="18"/>
      <c r="BN347" s="8"/>
      <c r="BO347" s="24"/>
    </row>
    <row r="348" spans="1:67" s="14" customFormat="1" x14ac:dyDescent="0.3">
      <c r="A348" s="20">
        <v>346</v>
      </c>
      <c r="B348" s="2" t="s">
        <v>241</v>
      </c>
      <c r="C348" s="2">
        <v>2019</v>
      </c>
      <c r="D348" s="2" t="s">
        <v>201</v>
      </c>
      <c r="E348" s="10" t="s">
        <v>800</v>
      </c>
      <c r="F348" s="20" t="s">
        <v>29</v>
      </c>
      <c r="G348" s="2">
        <v>94</v>
      </c>
      <c r="H348" s="2" t="str">
        <f>'PFAS Properties'!$B$33</f>
        <v>PFOA</v>
      </c>
      <c r="I348" s="2" t="str">
        <f>'PFAS Properties'!$C$33</f>
        <v>PFCA</v>
      </c>
      <c r="J348" s="2" t="str">
        <f>'PFAS Properties'!$D$33</f>
        <v>C8HF15O2</v>
      </c>
      <c r="K348" s="25">
        <f>'PFAS Properties'!$P$33</f>
        <v>413.97359999999998</v>
      </c>
      <c r="L348" s="2">
        <f>'PFAS Properties'!$X$33</f>
        <v>-0.2</v>
      </c>
      <c r="M348" s="2" t="str">
        <f>'PFAS Properties'!$Y$33</f>
        <v>-</v>
      </c>
      <c r="N348" s="33">
        <v>0</v>
      </c>
      <c r="O348" s="33">
        <v>0</v>
      </c>
      <c r="P348" s="33">
        <v>0</v>
      </c>
      <c r="Q348" s="33">
        <f t="shared" si="178"/>
        <v>0.99999999000000006</v>
      </c>
      <c r="R348" s="33">
        <v>0</v>
      </c>
      <c r="S348" s="33">
        <f t="shared" si="179"/>
        <v>9.9999999000000002E-9</v>
      </c>
      <c r="T348" s="8">
        <f t="shared" ref="T348:T411" si="180">SUM(N348:S348)</f>
        <v>1</v>
      </c>
      <c r="U348" s="33">
        <f t="shared" ref="U348:U411" si="181">((1*N348)+(1*O348)+(1*P348))</f>
        <v>0</v>
      </c>
      <c r="V348" s="33">
        <f t="shared" ref="V348:V411" si="182">-((1*O348)+(2*P348)+(1*Q348)+(2*R348))</f>
        <v>-0.99999999000000006</v>
      </c>
      <c r="W348" s="33">
        <f t="shared" ref="W348:W411" si="183">(N348*(K348+1))+(O348*K348)+(P348*(K348-1))+(Q348*(K348-1))+(R348*(K348-2))+(S348*K348)</f>
        <v>412.97360000999993</v>
      </c>
      <c r="X348" s="33">
        <v>96485</v>
      </c>
      <c r="Y348" s="16">
        <f t="shared" ref="Y348:Y411" si="184">((V348+U348)/W348)*X348</f>
        <v>-233.63478690360273</v>
      </c>
      <c r="Z348" s="16">
        <v>8</v>
      </c>
      <c r="AA348" s="16">
        <v>15</v>
      </c>
      <c r="AB348" s="8">
        <f t="shared" ref="AB348:AB411" si="185">(Z348/AA348)*(12/19)</f>
        <v>0.33684210526315789</v>
      </c>
      <c r="AC348" s="16">
        <f t="shared" si="177"/>
        <v>68.844969824162703</v>
      </c>
      <c r="AD348" s="20">
        <f>'PFAS Properties'!$W$33</f>
        <v>7</v>
      </c>
      <c r="AE348" s="8">
        <f>'PFAS Properties'!$S$33</f>
        <v>2.6821450763738319</v>
      </c>
      <c r="AF348" s="15">
        <f>'PFAS Properties'!$V$33</f>
        <v>4.9000000000000004</v>
      </c>
      <c r="AG348" s="24">
        <v>7.8</v>
      </c>
      <c r="AH348" s="2" t="s">
        <v>122</v>
      </c>
      <c r="AI348" s="2" t="s">
        <v>661</v>
      </c>
      <c r="AJ348" s="2" t="s">
        <v>661</v>
      </c>
      <c r="AK348" s="2" t="s">
        <v>661</v>
      </c>
      <c r="AL348" s="2" t="s">
        <v>661</v>
      </c>
      <c r="AM348" s="2" t="s">
        <v>661</v>
      </c>
      <c r="AN348" s="2" t="s">
        <v>661</v>
      </c>
      <c r="AO348" s="2" t="s">
        <v>661</v>
      </c>
      <c r="AP348" s="15">
        <v>39.4</v>
      </c>
      <c r="AQ348" s="2" t="s">
        <v>661</v>
      </c>
      <c r="AR348" s="16">
        <v>28.1</v>
      </c>
      <c r="AS348" s="16">
        <v>12.600000000000001</v>
      </c>
      <c r="AT348" s="16">
        <v>59.3</v>
      </c>
      <c r="AU348" s="2" t="s">
        <v>661</v>
      </c>
      <c r="AV348" s="16">
        <f t="shared" si="172"/>
        <v>100</v>
      </c>
      <c r="AW348" s="18">
        <v>0.2</v>
      </c>
      <c r="AX348" s="13">
        <f t="shared" si="176"/>
        <v>2E-3</v>
      </c>
      <c r="AY348" s="13" t="s">
        <v>123</v>
      </c>
      <c r="AZ348" s="16">
        <f t="shared" si="175"/>
        <v>100</v>
      </c>
      <c r="BA348" s="16" t="s">
        <v>55</v>
      </c>
      <c r="BB348" s="15">
        <v>2.2999999999999998</v>
      </c>
      <c r="BC348" s="16" t="s">
        <v>55</v>
      </c>
      <c r="BD348" s="18">
        <v>3.3</v>
      </c>
      <c r="BE348" s="15">
        <f t="shared" si="173"/>
        <v>1649.9999999999998</v>
      </c>
      <c r="BF348" s="8">
        <f t="shared" ref="BF348:BF411" si="186">LOG(BE348)</f>
        <v>3.2174839442139063</v>
      </c>
      <c r="BG348" s="8">
        <f t="shared" si="174"/>
        <v>0.51851393987788741</v>
      </c>
      <c r="BH348" s="13" t="s">
        <v>841</v>
      </c>
      <c r="BI348" s="13"/>
      <c r="BJ348" s="13"/>
      <c r="BK348" s="8"/>
      <c r="BL348" s="8"/>
      <c r="BM348" s="18"/>
      <c r="BN348" s="8"/>
      <c r="BO348" s="24"/>
    </row>
    <row r="349" spans="1:67" s="14" customFormat="1" x14ac:dyDescent="0.3">
      <c r="A349" s="20">
        <v>347</v>
      </c>
      <c r="B349" s="2" t="s">
        <v>241</v>
      </c>
      <c r="C349" s="2">
        <v>2019</v>
      </c>
      <c r="D349" s="2" t="s">
        <v>201</v>
      </c>
      <c r="E349" s="10" t="s">
        <v>800</v>
      </c>
      <c r="F349" s="20" t="s">
        <v>29</v>
      </c>
      <c r="G349" s="2">
        <v>95</v>
      </c>
      <c r="H349" s="2" t="str">
        <f>'PFAS Properties'!$B$33</f>
        <v>PFOA</v>
      </c>
      <c r="I349" s="2" t="str">
        <f>'PFAS Properties'!$C$33</f>
        <v>PFCA</v>
      </c>
      <c r="J349" s="2" t="str">
        <f>'PFAS Properties'!$D$33</f>
        <v>C8HF15O2</v>
      </c>
      <c r="K349" s="25">
        <f>'PFAS Properties'!$P$33</f>
        <v>413.97359999999998</v>
      </c>
      <c r="L349" s="2">
        <f>'PFAS Properties'!$X$33</f>
        <v>-0.2</v>
      </c>
      <c r="M349" s="2" t="str">
        <f>'PFAS Properties'!$Y$33</f>
        <v>-</v>
      </c>
      <c r="N349" s="33">
        <v>0</v>
      </c>
      <c r="O349" s="33">
        <v>0</v>
      </c>
      <c r="P349" s="33">
        <v>0</v>
      </c>
      <c r="Q349" s="33">
        <f t="shared" si="178"/>
        <v>0.9999999601892845</v>
      </c>
      <c r="R349" s="33">
        <v>0</v>
      </c>
      <c r="S349" s="33">
        <f t="shared" si="179"/>
        <v>3.9810715470456442E-8</v>
      </c>
      <c r="T349" s="8">
        <f t="shared" si="180"/>
        <v>1</v>
      </c>
      <c r="U349" s="33">
        <f t="shared" si="181"/>
        <v>0</v>
      </c>
      <c r="V349" s="33">
        <f t="shared" si="182"/>
        <v>-0.9999999601892845</v>
      </c>
      <c r="W349" s="33">
        <f t="shared" si="183"/>
        <v>412.97360003981066</v>
      </c>
      <c r="X349" s="33">
        <v>96485</v>
      </c>
      <c r="Y349" s="16">
        <f t="shared" si="184"/>
        <v>-233.63477992191741</v>
      </c>
      <c r="Z349" s="16">
        <v>8</v>
      </c>
      <c r="AA349" s="16">
        <v>15</v>
      </c>
      <c r="AB349" s="8">
        <f t="shared" si="185"/>
        <v>0.33684210526315789</v>
      </c>
      <c r="AC349" s="16">
        <f t="shared" si="177"/>
        <v>68.844969824162703</v>
      </c>
      <c r="AD349" s="20">
        <f>'PFAS Properties'!$W$33</f>
        <v>7</v>
      </c>
      <c r="AE349" s="8">
        <f>'PFAS Properties'!$S$33</f>
        <v>2.6821450763738319</v>
      </c>
      <c r="AF349" s="15">
        <f>'PFAS Properties'!$V$33</f>
        <v>4.9000000000000004</v>
      </c>
      <c r="AG349" s="24">
        <v>7.2</v>
      </c>
      <c r="AH349" s="2" t="s">
        <v>122</v>
      </c>
      <c r="AI349" s="2" t="s">
        <v>661</v>
      </c>
      <c r="AJ349" s="2" t="s">
        <v>661</v>
      </c>
      <c r="AK349" s="2" t="s">
        <v>661</v>
      </c>
      <c r="AL349" s="2" t="s">
        <v>661</v>
      </c>
      <c r="AM349" s="2" t="s">
        <v>661</v>
      </c>
      <c r="AN349" s="2" t="s">
        <v>661</v>
      </c>
      <c r="AO349" s="2" t="s">
        <v>661</v>
      </c>
      <c r="AP349" s="15">
        <v>10.3</v>
      </c>
      <c r="AQ349" s="2" t="s">
        <v>661</v>
      </c>
      <c r="AR349" s="16">
        <v>85.4</v>
      </c>
      <c r="AS349" s="16">
        <v>3.8999999999999915</v>
      </c>
      <c r="AT349" s="16">
        <v>10.7</v>
      </c>
      <c r="AU349" s="2" t="s">
        <v>661</v>
      </c>
      <c r="AV349" s="16">
        <f t="shared" si="172"/>
        <v>100</v>
      </c>
      <c r="AW349" s="18">
        <v>0.5</v>
      </c>
      <c r="AX349" s="13">
        <f t="shared" si="176"/>
        <v>5.0000000000000001E-3</v>
      </c>
      <c r="AY349" s="13" t="s">
        <v>123</v>
      </c>
      <c r="AZ349" s="16">
        <f t="shared" si="175"/>
        <v>100</v>
      </c>
      <c r="BA349" s="16" t="s">
        <v>55</v>
      </c>
      <c r="BB349" s="15">
        <v>2.2999999999999998</v>
      </c>
      <c r="BC349" s="16" t="s">
        <v>55</v>
      </c>
      <c r="BD349" s="18">
        <v>5.7</v>
      </c>
      <c r="BE349" s="15">
        <f t="shared" si="173"/>
        <v>1140</v>
      </c>
      <c r="BF349" s="8">
        <f t="shared" si="186"/>
        <v>3.0569048513364727</v>
      </c>
      <c r="BG349" s="8">
        <f t="shared" si="174"/>
        <v>0.75587485567249146</v>
      </c>
      <c r="BH349" s="13" t="s">
        <v>841</v>
      </c>
      <c r="BI349" s="13"/>
      <c r="BJ349" s="13"/>
      <c r="BK349" s="8"/>
      <c r="BL349" s="8"/>
      <c r="BM349" s="18"/>
      <c r="BN349" s="8"/>
      <c r="BO349" s="24"/>
    </row>
    <row r="350" spans="1:67" s="14" customFormat="1" x14ac:dyDescent="0.3">
      <c r="A350" s="20">
        <v>348</v>
      </c>
      <c r="B350" s="2" t="s">
        <v>241</v>
      </c>
      <c r="C350" s="2">
        <v>2019</v>
      </c>
      <c r="D350" s="2" t="s">
        <v>201</v>
      </c>
      <c r="E350" s="10" t="s">
        <v>800</v>
      </c>
      <c r="F350" s="20" t="s">
        <v>29</v>
      </c>
      <c r="G350" s="2">
        <v>96</v>
      </c>
      <c r="H350" s="2" t="str">
        <f>'PFAS Properties'!$B$33</f>
        <v>PFOA</v>
      </c>
      <c r="I350" s="2" t="str">
        <f>'PFAS Properties'!$C$33</f>
        <v>PFCA</v>
      </c>
      <c r="J350" s="2" t="str">
        <f>'PFAS Properties'!$D$33</f>
        <v>C8HF15O2</v>
      </c>
      <c r="K350" s="25">
        <f>'PFAS Properties'!$P$33</f>
        <v>413.97359999999998</v>
      </c>
      <c r="L350" s="2">
        <f>'PFAS Properties'!$X$33</f>
        <v>-0.2</v>
      </c>
      <c r="M350" s="2" t="str">
        <f>'PFAS Properties'!$Y$33</f>
        <v>-</v>
      </c>
      <c r="N350" s="33">
        <v>0</v>
      </c>
      <c r="O350" s="33">
        <v>0</v>
      </c>
      <c r="P350" s="33">
        <v>0</v>
      </c>
      <c r="Q350" s="33">
        <f t="shared" si="178"/>
        <v>0.99999998415106828</v>
      </c>
      <c r="R350" s="33">
        <v>0</v>
      </c>
      <c r="S350" s="33">
        <f t="shared" si="179"/>
        <v>1.5848931673422493E-8</v>
      </c>
      <c r="T350" s="8">
        <f t="shared" si="180"/>
        <v>1</v>
      </c>
      <c r="U350" s="33">
        <f t="shared" si="181"/>
        <v>0</v>
      </c>
      <c r="V350" s="33">
        <f t="shared" si="182"/>
        <v>-0.99999998415106828</v>
      </c>
      <c r="W350" s="33">
        <f t="shared" si="183"/>
        <v>412.97360001584889</v>
      </c>
      <c r="X350" s="33">
        <v>96485</v>
      </c>
      <c r="Y350" s="16">
        <f t="shared" si="184"/>
        <v>-233.63478553377979</v>
      </c>
      <c r="Z350" s="16">
        <v>8</v>
      </c>
      <c r="AA350" s="16">
        <v>15</v>
      </c>
      <c r="AB350" s="8">
        <f t="shared" si="185"/>
        <v>0.33684210526315789</v>
      </c>
      <c r="AC350" s="16">
        <f t="shared" si="177"/>
        <v>68.844969824162703</v>
      </c>
      <c r="AD350" s="20">
        <f>'PFAS Properties'!$W$33</f>
        <v>7</v>
      </c>
      <c r="AE350" s="8">
        <f>'PFAS Properties'!$S$33</f>
        <v>2.6821450763738319</v>
      </c>
      <c r="AF350" s="15">
        <f>'PFAS Properties'!$V$33</f>
        <v>4.9000000000000004</v>
      </c>
      <c r="AG350" s="24">
        <v>7.6</v>
      </c>
      <c r="AH350" s="2" t="s">
        <v>122</v>
      </c>
      <c r="AI350" s="2" t="s">
        <v>661</v>
      </c>
      <c r="AJ350" s="2" t="s">
        <v>661</v>
      </c>
      <c r="AK350" s="2" t="s">
        <v>661</v>
      </c>
      <c r="AL350" s="2" t="s">
        <v>661</v>
      </c>
      <c r="AM350" s="2" t="s">
        <v>661</v>
      </c>
      <c r="AN350" s="2" t="s">
        <v>661</v>
      </c>
      <c r="AO350" s="2" t="s">
        <v>661</v>
      </c>
      <c r="AP350" s="15">
        <v>9.6999999999999993</v>
      </c>
      <c r="AQ350" s="2" t="s">
        <v>661</v>
      </c>
      <c r="AR350" s="16">
        <v>77.8</v>
      </c>
      <c r="AS350" s="16">
        <v>4.7999999999999972</v>
      </c>
      <c r="AT350" s="16">
        <v>17.399999999999999</v>
      </c>
      <c r="AU350" s="2" t="s">
        <v>661</v>
      </c>
      <c r="AV350" s="16">
        <f t="shared" si="172"/>
        <v>100</v>
      </c>
      <c r="AW350" s="18">
        <v>0.3</v>
      </c>
      <c r="AX350" s="13">
        <f t="shared" si="176"/>
        <v>3.0000000000000001E-3</v>
      </c>
      <c r="AY350" s="13" t="s">
        <v>123</v>
      </c>
      <c r="AZ350" s="16">
        <f t="shared" si="175"/>
        <v>100</v>
      </c>
      <c r="BA350" s="16" t="s">
        <v>55</v>
      </c>
      <c r="BB350" s="15">
        <v>2.2999999999999998</v>
      </c>
      <c r="BC350" s="16" t="s">
        <v>55</v>
      </c>
      <c r="BD350" s="18">
        <v>4.0999999999999996</v>
      </c>
      <c r="BE350" s="15">
        <f t="shared" si="173"/>
        <v>1366.6666666666665</v>
      </c>
      <c r="BF350" s="8">
        <f t="shared" si="186"/>
        <v>3.1356626020000729</v>
      </c>
      <c r="BG350" s="8">
        <f t="shared" si="174"/>
        <v>0.61278385671973545</v>
      </c>
      <c r="BH350" s="13" t="s">
        <v>841</v>
      </c>
      <c r="BI350" s="13"/>
      <c r="BJ350" s="13"/>
      <c r="BK350" s="8"/>
      <c r="BL350" s="8"/>
      <c r="BM350" s="18"/>
      <c r="BN350" s="8"/>
      <c r="BO350" s="24"/>
    </row>
    <row r="351" spans="1:67" s="14" customFormat="1" x14ac:dyDescent="0.3">
      <c r="A351" s="20">
        <v>349</v>
      </c>
      <c r="B351" s="2" t="s">
        <v>241</v>
      </c>
      <c r="C351" s="2">
        <v>2019</v>
      </c>
      <c r="D351" s="2" t="s">
        <v>201</v>
      </c>
      <c r="E351" s="10" t="s">
        <v>800</v>
      </c>
      <c r="F351" s="20" t="s">
        <v>29</v>
      </c>
      <c r="G351" s="2">
        <v>97</v>
      </c>
      <c r="H351" s="2" t="str">
        <f>'PFAS Properties'!$B$33</f>
        <v>PFOA</v>
      </c>
      <c r="I351" s="2" t="str">
        <f>'PFAS Properties'!$C$33</f>
        <v>PFCA</v>
      </c>
      <c r="J351" s="2" t="str">
        <f>'PFAS Properties'!$D$33</f>
        <v>C8HF15O2</v>
      </c>
      <c r="K351" s="25">
        <f>'PFAS Properties'!$P$33</f>
        <v>413.97359999999998</v>
      </c>
      <c r="L351" s="2">
        <f>'PFAS Properties'!$X$33</f>
        <v>-0.2</v>
      </c>
      <c r="M351" s="2" t="str">
        <f>'PFAS Properties'!$Y$33</f>
        <v>-</v>
      </c>
      <c r="N351" s="33">
        <v>0</v>
      </c>
      <c r="O351" s="33">
        <v>0</v>
      </c>
      <c r="P351" s="33">
        <v>0</v>
      </c>
      <c r="Q351" s="33">
        <f t="shared" si="178"/>
        <v>0.99999996837722438</v>
      </c>
      <c r="R351" s="33">
        <v>0</v>
      </c>
      <c r="S351" s="33">
        <f t="shared" si="179"/>
        <v>3.1622775601683729E-8</v>
      </c>
      <c r="T351" s="8">
        <f t="shared" si="180"/>
        <v>1</v>
      </c>
      <c r="U351" s="33">
        <f t="shared" si="181"/>
        <v>0</v>
      </c>
      <c r="V351" s="33">
        <f t="shared" si="182"/>
        <v>-0.99999996837722438</v>
      </c>
      <c r="W351" s="33">
        <f t="shared" si="183"/>
        <v>412.97360003162271</v>
      </c>
      <c r="X351" s="33">
        <v>96485</v>
      </c>
      <c r="Y351" s="16">
        <f t="shared" si="184"/>
        <v>-233.63478183953725</v>
      </c>
      <c r="Z351" s="16">
        <v>8</v>
      </c>
      <c r="AA351" s="16">
        <v>15</v>
      </c>
      <c r="AB351" s="8">
        <f t="shared" si="185"/>
        <v>0.33684210526315789</v>
      </c>
      <c r="AC351" s="16">
        <f t="shared" si="177"/>
        <v>68.844969824162703</v>
      </c>
      <c r="AD351" s="20">
        <f>'PFAS Properties'!$W$33</f>
        <v>7</v>
      </c>
      <c r="AE351" s="8">
        <f>'PFAS Properties'!$S$33</f>
        <v>2.6821450763738319</v>
      </c>
      <c r="AF351" s="15">
        <f>'PFAS Properties'!$V$33</f>
        <v>4.9000000000000004</v>
      </c>
      <c r="AG351" s="24">
        <v>7.3</v>
      </c>
      <c r="AH351" s="2" t="s">
        <v>122</v>
      </c>
      <c r="AI351" s="2" t="s">
        <v>661</v>
      </c>
      <c r="AJ351" s="2" t="s">
        <v>661</v>
      </c>
      <c r="AK351" s="2" t="s">
        <v>661</v>
      </c>
      <c r="AL351" s="2" t="s">
        <v>661</v>
      </c>
      <c r="AM351" s="2" t="s">
        <v>661</v>
      </c>
      <c r="AN351" s="2" t="s">
        <v>661</v>
      </c>
      <c r="AO351" s="2" t="s">
        <v>661</v>
      </c>
      <c r="AP351" s="15">
        <v>22.4</v>
      </c>
      <c r="AQ351" s="2" t="s">
        <v>661</v>
      </c>
      <c r="AR351" s="16">
        <v>24.2</v>
      </c>
      <c r="AS351" s="16">
        <v>24.400000000000002</v>
      </c>
      <c r="AT351" s="16">
        <v>51.4</v>
      </c>
      <c r="AU351" s="2" t="s">
        <v>661</v>
      </c>
      <c r="AV351" s="16">
        <f t="shared" si="172"/>
        <v>100</v>
      </c>
      <c r="AW351" s="18">
        <v>0.4</v>
      </c>
      <c r="AX351" s="13">
        <f t="shared" si="176"/>
        <v>4.0000000000000001E-3</v>
      </c>
      <c r="AY351" s="13" t="s">
        <v>123</v>
      </c>
      <c r="AZ351" s="16">
        <f t="shared" si="175"/>
        <v>100</v>
      </c>
      <c r="BA351" s="16" t="s">
        <v>55</v>
      </c>
      <c r="BB351" s="15">
        <v>2.2999999999999998</v>
      </c>
      <c r="BC351" s="16" t="s">
        <v>55</v>
      </c>
      <c r="BD351" s="18">
        <v>8.8000000000000007</v>
      </c>
      <c r="BE351" s="15">
        <f t="shared" si="173"/>
        <v>2200</v>
      </c>
      <c r="BF351" s="8">
        <f t="shared" si="186"/>
        <v>3.3424226808222062</v>
      </c>
      <c r="BG351" s="8">
        <f t="shared" si="174"/>
        <v>0.94448267215016868</v>
      </c>
      <c r="BH351" s="13" t="s">
        <v>841</v>
      </c>
      <c r="BI351" s="13"/>
      <c r="BJ351" s="13"/>
      <c r="BK351" s="8"/>
      <c r="BL351" s="8"/>
      <c r="BM351" s="18"/>
      <c r="BN351" s="8"/>
      <c r="BO351" s="24"/>
    </row>
    <row r="352" spans="1:67" s="14" customFormat="1" x14ac:dyDescent="0.3">
      <c r="A352" s="20">
        <v>350</v>
      </c>
      <c r="B352" s="2" t="s">
        <v>241</v>
      </c>
      <c r="C352" s="2">
        <v>2019</v>
      </c>
      <c r="D352" s="2" t="s">
        <v>201</v>
      </c>
      <c r="E352" s="10" t="s">
        <v>800</v>
      </c>
      <c r="F352" s="20" t="s">
        <v>29</v>
      </c>
      <c r="G352" s="2">
        <v>98</v>
      </c>
      <c r="H352" s="2" t="str">
        <f>'PFAS Properties'!$B$33</f>
        <v>PFOA</v>
      </c>
      <c r="I352" s="2" t="str">
        <f>'PFAS Properties'!$C$33</f>
        <v>PFCA</v>
      </c>
      <c r="J352" s="2" t="str">
        <f>'PFAS Properties'!$D$33</f>
        <v>C8HF15O2</v>
      </c>
      <c r="K352" s="25">
        <f>'PFAS Properties'!$P$33</f>
        <v>413.97359999999998</v>
      </c>
      <c r="L352" s="2">
        <f>'PFAS Properties'!$X$33</f>
        <v>-0.2</v>
      </c>
      <c r="M352" s="2" t="str">
        <f>'PFAS Properties'!$Y$33</f>
        <v>-</v>
      </c>
      <c r="N352" s="33">
        <v>0</v>
      </c>
      <c r="O352" s="33">
        <v>0</v>
      </c>
      <c r="P352" s="33">
        <v>0</v>
      </c>
      <c r="Q352" s="33">
        <f t="shared" si="178"/>
        <v>0.99999999601892831</v>
      </c>
      <c r="R352" s="33">
        <v>0</v>
      </c>
      <c r="S352" s="33">
        <f t="shared" si="179"/>
        <v>3.9810716896860486E-9</v>
      </c>
      <c r="T352" s="8">
        <f t="shared" si="180"/>
        <v>1</v>
      </c>
      <c r="U352" s="33">
        <f t="shared" si="181"/>
        <v>0</v>
      </c>
      <c r="V352" s="33">
        <f t="shared" si="182"/>
        <v>-0.99999999601892831</v>
      </c>
      <c r="W352" s="33">
        <f t="shared" si="183"/>
        <v>412.97360000398106</v>
      </c>
      <c r="X352" s="33">
        <v>96485</v>
      </c>
      <c r="Y352" s="16">
        <f t="shared" si="184"/>
        <v>-233.63478831323886</v>
      </c>
      <c r="Z352" s="16">
        <v>8</v>
      </c>
      <c r="AA352" s="16">
        <v>15</v>
      </c>
      <c r="AB352" s="8">
        <f t="shared" si="185"/>
        <v>0.33684210526315789</v>
      </c>
      <c r="AC352" s="16">
        <f t="shared" si="177"/>
        <v>68.844969824162703</v>
      </c>
      <c r="AD352" s="20">
        <f>'PFAS Properties'!$W$33</f>
        <v>7</v>
      </c>
      <c r="AE352" s="8">
        <f>'PFAS Properties'!$S$33</f>
        <v>2.6821450763738319</v>
      </c>
      <c r="AF352" s="15">
        <f>'PFAS Properties'!$V$33</f>
        <v>4.9000000000000004</v>
      </c>
      <c r="AG352" s="24">
        <v>8.1999999999999993</v>
      </c>
      <c r="AH352" s="2" t="s">
        <v>122</v>
      </c>
      <c r="AI352" s="2" t="s">
        <v>661</v>
      </c>
      <c r="AJ352" s="2" t="s">
        <v>661</v>
      </c>
      <c r="AK352" s="2" t="s">
        <v>661</v>
      </c>
      <c r="AL352" s="2" t="s">
        <v>661</v>
      </c>
      <c r="AM352" s="2" t="s">
        <v>661</v>
      </c>
      <c r="AN352" s="2" t="s">
        <v>661</v>
      </c>
      <c r="AO352" s="2" t="s">
        <v>661</v>
      </c>
      <c r="AP352" s="15">
        <v>12.6</v>
      </c>
      <c r="AQ352" s="2" t="s">
        <v>661</v>
      </c>
      <c r="AR352" s="16">
        <v>53.2</v>
      </c>
      <c r="AS352" s="16">
        <v>13</v>
      </c>
      <c r="AT352" s="16">
        <v>33.799999999999997</v>
      </c>
      <c r="AU352" s="2" t="s">
        <v>661</v>
      </c>
      <c r="AV352" s="16">
        <f t="shared" si="172"/>
        <v>100</v>
      </c>
      <c r="AW352" s="18">
        <v>0.2</v>
      </c>
      <c r="AX352" s="13">
        <f t="shared" si="176"/>
        <v>2E-3</v>
      </c>
      <c r="AY352" s="13" t="s">
        <v>123</v>
      </c>
      <c r="AZ352" s="16">
        <f t="shared" si="175"/>
        <v>100</v>
      </c>
      <c r="BA352" s="16" t="s">
        <v>55</v>
      </c>
      <c r="BB352" s="15">
        <v>2.2999999999999998</v>
      </c>
      <c r="BC352" s="16" t="s">
        <v>55</v>
      </c>
      <c r="BD352" s="18">
        <v>2.9</v>
      </c>
      <c r="BE352" s="15">
        <f t="shared" si="173"/>
        <v>1450</v>
      </c>
      <c r="BF352" s="8">
        <f t="shared" si="186"/>
        <v>3.1613680022349748</v>
      </c>
      <c r="BG352" s="8">
        <f t="shared" si="174"/>
        <v>0.46239799789895608</v>
      </c>
      <c r="BH352" s="13" t="s">
        <v>841</v>
      </c>
      <c r="BI352" s="13"/>
      <c r="BJ352" s="13"/>
      <c r="BK352" s="8"/>
      <c r="BL352" s="8"/>
      <c r="BM352" s="18"/>
      <c r="BN352" s="8"/>
      <c r="BO352" s="24"/>
    </row>
    <row r="353" spans="1:67" s="14" customFormat="1" x14ac:dyDescent="0.3">
      <c r="A353" s="20">
        <v>351</v>
      </c>
      <c r="B353" s="2" t="s">
        <v>241</v>
      </c>
      <c r="C353" s="2">
        <v>2019</v>
      </c>
      <c r="D353" s="2" t="s">
        <v>201</v>
      </c>
      <c r="E353" s="10" t="s">
        <v>800</v>
      </c>
      <c r="F353" s="20" t="s">
        <v>29</v>
      </c>
      <c r="G353" s="2">
        <v>99</v>
      </c>
      <c r="H353" s="2" t="str">
        <f>'PFAS Properties'!$B$33</f>
        <v>PFOA</v>
      </c>
      <c r="I353" s="2" t="str">
        <f>'PFAS Properties'!$C$33</f>
        <v>PFCA</v>
      </c>
      <c r="J353" s="2" t="str">
        <f>'PFAS Properties'!$D$33</f>
        <v>C8HF15O2</v>
      </c>
      <c r="K353" s="25">
        <f>'PFAS Properties'!$P$33</f>
        <v>413.97359999999998</v>
      </c>
      <c r="L353" s="2">
        <f>'PFAS Properties'!$X$33</f>
        <v>-0.2</v>
      </c>
      <c r="M353" s="2" t="str">
        <f>'PFAS Properties'!$Y$33</f>
        <v>-</v>
      </c>
      <c r="N353" s="33">
        <v>0</v>
      </c>
      <c r="O353" s="33">
        <v>0</v>
      </c>
      <c r="P353" s="33">
        <v>0</v>
      </c>
      <c r="Q353" s="33">
        <f t="shared" si="178"/>
        <v>0.99999996837722438</v>
      </c>
      <c r="R353" s="33">
        <v>0</v>
      </c>
      <c r="S353" s="33">
        <f t="shared" si="179"/>
        <v>3.1622775601683729E-8</v>
      </c>
      <c r="T353" s="8">
        <f t="shared" si="180"/>
        <v>1</v>
      </c>
      <c r="U353" s="33">
        <f t="shared" si="181"/>
        <v>0</v>
      </c>
      <c r="V353" s="33">
        <f t="shared" si="182"/>
        <v>-0.99999996837722438</v>
      </c>
      <c r="W353" s="33">
        <f t="shared" si="183"/>
        <v>412.97360003162271</v>
      </c>
      <c r="X353" s="33">
        <v>96485</v>
      </c>
      <c r="Y353" s="16">
        <f t="shared" si="184"/>
        <v>-233.63478183953725</v>
      </c>
      <c r="Z353" s="16">
        <v>8</v>
      </c>
      <c r="AA353" s="16">
        <v>15</v>
      </c>
      <c r="AB353" s="8">
        <f t="shared" si="185"/>
        <v>0.33684210526315789</v>
      </c>
      <c r="AC353" s="16">
        <f t="shared" si="177"/>
        <v>68.844969824162703</v>
      </c>
      <c r="AD353" s="20">
        <f>'PFAS Properties'!$W$33</f>
        <v>7</v>
      </c>
      <c r="AE353" s="8">
        <f>'PFAS Properties'!$S$33</f>
        <v>2.6821450763738319</v>
      </c>
      <c r="AF353" s="15">
        <f>'PFAS Properties'!$V$33</f>
        <v>4.9000000000000004</v>
      </c>
      <c r="AG353" s="24">
        <v>7.3</v>
      </c>
      <c r="AH353" s="2" t="s">
        <v>122</v>
      </c>
      <c r="AI353" s="2" t="s">
        <v>661</v>
      </c>
      <c r="AJ353" s="2" t="s">
        <v>661</v>
      </c>
      <c r="AK353" s="2" t="s">
        <v>661</v>
      </c>
      <c r="AL353" s="2" t="s">
        <v>661</v>
      </c>
      <c r="AM353" s="2" t="s">
        <v>661</v>
      </c>
      <c r="AN353" s="2" t="s">
        <v>661</v>
      </c>
      <c r="AO353" s="2" t="s">
        <v>661</v>
      </c>
      <c r="AP353" s="15">
        <v>24.2</v>
      </c>
      <c r="AQ353" s="2" t="s">
        <v>661</v>
      </c>
      <c r="AR353" s="16">
        <v>24.6</v>
      </c>
      <c r="AS353" s="16">
        <v>10.199999999999996</v>
      </c>
      <c r="AT353" s="16">
        <v>65.2</v>
      </c>
      <c r="AU353" s="2" t="s">
        <v>661</v>
      </c>
      <c r="AV353" s="16">
        <f t="shared" si="172"/>
        <v>100</v>
      </c>
      <c r="AW353" s="18">
        <v>0.7</v>
      </c>
      <c r="AX353" s="13">
        <f t="shared" si="176"/>
        <v>6.9999999999999993E-3</v>
      </c>
      <c r="AY353" s="13" t="s">
        <v>123</v>
      </c>
      <c r="AZ353" s="16">
        <f t="shared" si="175"/>
        <v>100</v>
      </c>
      <c r="BA353" s="16" t="s">
        <v>55</v>
      </c>
      <c r="BB353" s="15">
        <v>2.2999999999999998</v>
      </c>
      <c r="BC353" s="16" t="s">
        <v>55</v>
      </c>
      <c r="BD353" s="18">
        <v>9.4</v>
      </c>
      <c r="BE353" s="15">
        <f t="shared" si="173"/>
        <v>1342.8571428571431</v>
      </c>
      <c r="BF353" s="8">
        <f t="shared" si="186"/>
        <v>3.1280298135854419</v>
      </c>
      <c r="BG353" s="8">
        <f t="shared" si="174"/>
        <v>0.97312785359969867</v>
      </c>
      <c r="BH353" s="13" t="s">
        <v>841</v>
      </c>
      <c r="BI353" s="13"/>
      <c r="BJ353" s="13"/>
      <c r="BK353" s="8"/>
      <c r="BL353" s="8"/>
      <c r="BM353" s="18"/>
      <c r="BN353" s="8"/>
      <c r="BO353" s="24"/>
    </row>
    <row r="354" spans="1:67" s="14" customFormat="1" x14ac:dyDescent="0.3">
      <c r="A354" s="20">
        <v>352</v>
      </c>
      <c r="B354" s="2" t="s">
        <v>241</v>
      </c>
      <c r="C354" s="2">
        <v>2019</v>
      </c>
      <c r="D354" s="2" t="s">
        <v>201</v>
      </c>
      <c r="E354" s="10" t="s">
        <v>800</v>
      </c>
      <c r="F354" s="20" t="s">
        <v>29</v>
      </c>
      <c r="G354" s="2">
        <v>100</v>
      </c>
      <c r="H354" s="2" t="str">
        <f>'PFAS Properties'!$B$33</f>
        <v>PFOA</v>
      </c>
      <c r="I354" s="2" t="str">
        <f>'PFAS Properties'!$C$33</f>
        <v>PFCA</v>
      </c>
      <c r="J354" s="2" t="str">
        <f>'PFAS Properties'!$D$33</f>
        <v>C8HF15O2</v>
      </c>
      <c r="K354" s="25">
        <f>'PFAS Properties'!$P$33</f>
        <v>413.97359999999998</v>
      </c>
      <c r="L354" s="2">
        <f>'PFAS Properties'!$X$33</f>
        <v>-0.2</v>
      </c>
      <c r="M354" s="2" t="str">
        <f>'PFAS Properties'!$Y$33</f>
        <v>-</v>
      </c>
      <c r="N354" s="33">
        <v>0</v>
      </c>
      <c r="O354" s="33">
        <v>0</v>
      </c>
      <c r="P354" s="33">
        <v>0</v>
      </c>
      <c r="Q354" s="33">
        <f t="shared" si="178"/>
        <v>0.99999999205671775</v>
      </c>
      <c r="R354" s="33">
        <v>0</v>
      </c>
      <c r="S354" s="33">
        <f t="shared" si="179"/>
        <v>7.9432822841470747E-9</v>
      </c>
      <c r="T354" s="8">
        <f t="shared" si="180"/>
        <v>1</v>
      </c>
      <c r="U354" s="33">
        <f t="shared" si="181"/>
        <v>0</v>
      </c>
      <c r="V354" s="33">
        <f t="shared" si="182"/>
        <v>-0.99999999205671775</v>
      </c>
      <c r="W354" s="33">
        <f t="shared" si="183"/>
        <v>412.97360000794328</v>
      </c>
      <c r="X354" s="33">
        <v>96485</v>
      </c>
      <c r="Y354" s="16">
        <f t="shared" si="184"/>
        <v>-233.63478738528704</v>
      </c>
      <c r="Z354" s="16">
        <v>8</v>
      </c>
      <c r="AA354" s="16">
        <v>15</v>
      </c>
      <c r="AB354" s="8">
        <f t="shared" si="185"/>
        <v>0.33684210526315789</v>
      </c>
      <c r="AC354" s="16">
        <f t="shared" si="177"/>
        <v>68.844969824162703</v>
      </c>
      <c r="AD354" s="20">
        <f>'PFAS Properties'!$W$33</f>
        <v>7</v>
      </c>
      <c r="AE354" s="8">
        <f>'PFAS Properties'!$S$33</f>
        <v>2.6821450763738319</v>
      </c>
      <c r="AF354" s="15">
        <f>'PFAS Properties'!$V$33</f>
        <v>4.9000000000000004</v>
      </c>
      <c r="AG354" s="24">
        <v>7.9</v>
      </c>
      <c r="AH354" s="2" t="s">
        <v>122</v>
      </c>
      <c r="AI354" s="2" t="s">
        <v>661</v>
      </c>
      <c r="AJ354" s="2" t="s">
        <v>661</v>
      </c>
      <c r="AK354" s="2" t="s">
        <v>661</v>
      </c>
      <c r="AL354" s="2" t="s">
        <v>661</v>
      </c>
      <c r="AM354" s="2" t="s">
        <v>661</v>
      </c>
      <c r="AN354" s="2" t="s">
        <v>661</v>
      </c>
      <c r="AO354" s="2" t="s">
        <v>661</v>
      </c>
      <c r="AP354" s="15">
        <v>10.1</v>
      </c>
      <c r="AQ354" s="2" t="s">
        <v>661</v>
      </c>
      <c r="AR354" s="16">
        <v>45.8</v>
      </c>
      <c r="AS354" s="16">
        <v>24.400000000000006</v>
      </c>
      <c r="AT354" s="16">
        <v>29.8</v>
      </c>
      <c r="AU354" s="2" t="s">
        <v>661</v>
      </c>
      <c r="AV354" s="16">
        <f t="shared" si="172"/>
        <v>100</v>
      </c>
      <c r="AW354" s="18">
        <v>0.2</v>
      </c>
      <c r="AX354" s="13">
        <f t="shared" ref="AX354" si="187">AW354/100</f>
        <v>2E-3</v>
      </c>
      <c r="AY354" s="13" t="s">
        <v>123</v>
      </c>
      <c r="AZ354" s="16">
        <f t="shared" si="175"/>
        <v>100</v>
      </c>
      <c r="BA354" s="16" t="s">
        <v>55</v>
      </c>
      <c r="BB354" s="15">
        <v>2.2999999999999998</v>
      </c>
      <c r="BC354" s="16" t="s">
        <v>55</v>
      </c>
      <c r="BD354" s="18">
        <v>14.8</v>
      </c>
      <c r="BE354" s="15">
        <f t="shared" si="173"/>
        <v>7400</v>
      </c>
      <c r="BF354" s="8">
        <f t="shared" si="186"/>
        <v>3.8692317197309762</v>
      </c>
      <c r="BG354" s="8">
        <f t="shared" si="174"/>
        <v>1.1702617153949575</v>
      </c>
      <c r="BH354" s="13" t="s">
        <v>841</v>
      </c>
      <c r="BI354" s="13"/>
      <c r="BJ354" s="13"/>
      <c r="BK354" s="8"/>
      <c r="BL354" s="8"/>
      <c r="BM354" s="18"/>
      <c r="BN354" s="8"/>
      <c r="BO354" s="24"/>
    </row>
    <row r="355" spans="1:67" s="14" customFormat="1" x14ac:dyDescent="0.3">
      <c r="A355" s="20">
        <v>353</v>
      </c>
      <c r="B355" s="2" t="s">
        <v>181</v>
      </c>
      <c r="C355" s="2">
        <v>2020</v>
      </c>
      <c r="D355" s="2" t="s">
        <v>203</v>
      </c>
      <c r="E355" s="10" t="s">
        <v>787</v>
      </c>
      <c r="F355" s="20" t="s">
        <v>29</v>
      </c>
      <c r="G355" s="2" t="s">
        <v>62</v>
      </c>
      <c r="H355" s="2" t="str">
        <f>'PFAS Properties'!$B$33</f>
        <v>PFOA</v>
      </c>
      <c r="I355" s="2" t="str">
        <f>'PFAS Properties'!$C$33</f>
        <v>PFCA</v>
      </c>
      <c r="J355" s="2" t="str">
        <f>'PFAS Properties'!$D$33</f>
        <v>C8HF15O2</v>
      </c>
      <c r="K355" s="25">
        <f>'PFAS Properties'!$P$33</f>
        <v>413.97359999999998</v>
      </c>
      <c r="L355" s="2">
        <f>'PFAS Properties'!$X$33</f>
        <v>-0.2</v>
      </c>
      <c r="M355" s="2" t="str">
        <f>'PFAS Properties'!$Y$33</f>
        <v>-</v>
      </c>
      <c r="N355" s="33">
        <v>0</v>
      </c>
      <c r="O355" s="33">
        <v>0</v>
      </c>
      <c r="P355" s="33">
        <v>0</v>
      </c>
      <c r="Q355" s="33">
        <f t="shared" si="178"/>
        <v>0.99999998004737722</v>
      </c>
      <c r="R355" s="33">
        <v>0</v>
      </c>
      <c r="S355" s="33">
        <f t="shared" si="179"/>
        <v>1.995262275158161E-8</v>
      </c>
      <c r="T355" s="8">
        <f t="shared" si="180"/>
        <v>1</v>
      </c>
      <c r="U355" s="33">
        <f t="shared" si="181"/>
        <v>0</v>
      </c>
      <c r="V355" s="33">
        <f t="shared" si="182"/>
        <v>-0.99999998004737722</v>
      </c>
      <c r="W355" s="33">
        <f t="shared" si="183"/>
        <v>412.97360001995258</v>
      </c>
      <c r="X355" s="33">
        <v>96485</v>
      </c>
      <c r="Y355" s="16">
        <f t="shared" si="184"/>
        <v>-233.63478457269321</v>
      </c>
      <c r="Z355" s="16">
        <v>8</v>
      </c>
      <c r="AA355" s="16">
        <v>15</v>
      </c>
      <c r="AB355" s="8">
        <f t="shared" si="185"/>
        <v>0.33684210526315789</v>
      </c>
      <c r="AC355" s="16">
        <f t="shared" si="177"/>
        <v>68.844969824162703</v>
      </c>
      <c r="AD355" s="20">
        <f>'PFAS Properties'!$W$33</f>
        <v>7</v>
      </c>
      <c r="AE355" s="8">
        <f>'PFAS Properties'!$S$33</f>
        <v>2.6821450763738319</v>
      </c>
      <c r="AF355" s="15">
        <f>'PFAS Properties'!$V$33</f>
        <v>4.9000000000000004</v>
      </c>
      <c r="AG355" s="24">
        <v>7.5</v>
      </c>
      <c r="AH355" s="2" t="s">
        <v>183</v>
      </c>
      <c r="AI355" s="2" t="s">
        <v>661</v>
      </c>
      <c r="AJ355" s="2" t="s">
        <v>661</v>
      </c>
      <c r="AK355" s="2" t="s">
        <v>661</v>
      </c>
      <c r="AL355" s="2" t="s">
        <v>661</v>
      </c>
      <c r="AM355" s="2" t="s">
        <v>661</v>
      </c>
      <c r="AN355" s="2" t="s">
        <v>661</v>
      </c>
      <c r="AO355" s="2" t="s">
        <v>661</v>
      </c>
      <c r="AP355" s="15">
        <v>41.4</v>
      </c>
      <c r="AQ355" s="2" t="s">
        <v>661</v>
      </c>
      <c r="AR355" s="16">
        <v>16.899999999999999</v>
      </c>
      <c r="AS355" s="16">
        <v>17.5</v>
      </c>
      <c r="AT355" s="16">
        <v>65.599999999999994</v>
      </c>
      <c r="AU355" s="2" t="s">
        <v>661</v>
      </c>
      <c r="AV355" s="16">
        <f t="shared" si="172"/>
        <v>100</v>
      </c>
      <c r="AW355" s="18">
        <v>0.7</v>
      </c>
      <c r="AX355" s="13">
        <v>6.9999999999999993E-3</v>
      </c>
      <c r="AY355" s="13" t="s">
        <v>184</v>
      </c>
      <c r="AZ355" s="16">
        <v>100</v>
      </c>
      <c r="BA355" s="16" t="s">
        <v>55</v>
      </c>
      <c r="BB355" s="16">
        <v>5</v>
      </c>
      <c r="BC355" s="16" t="s">
        <v>55</v>
      </c>
      <c r="BD355" s="18">
        <v>1.04</v>
      </c>
      <c r="BE355" s="15">
        <f t="shared" si="173"/>
        <v>148.57142857142858</v>
      </c>
      <c r="BF355" s="8">
        <f t="shared" si="186"/>
        <v>2.1719352992845238</v>
      </c>
      <c r="BG355" s="8">
        <f t="shared" si="174"/>
        <v>1.703333929878037E-2</v>
      </c>
      <c r="BH355" s="13" t="s">
        <v>841</v>
      </c>
      <c r="BI355" s="13"/>
      <c r="BJ355" s="13"/>
      <c r="BK355" s="8"/>
      <c r="BL355" s="8"/>
      <c r="BM355" s="18"/>
      <c r="BN355" s="8"/>
      <c r="BO355" s="24"/>
    </row>
    <row r="356" spans="1:67" s="14" customFormat="1" x14ac:dyDescent="0.3">
      <c r="A356" s="20">
        <v>354</v>
      </c>
      <c r="B356" s="2" t="s">
        <v>181</v>
      </c>
      <c r="C356" s="2">
        <v>2020</v>
      </c>
      <c r="D356" s="2" t="s">
        <v>203</v>
      </c>
      <c r="E356" s="10" t="s">
        <v>787</v>
      </c>
      <c r="F356" s="20" t="s">
        <v>29</v>
      </c>
      <c r="G356" s="2" t="s">
        <v>57</v>
      </c>
      <c r="H356" s="2" t="str">
        <f>'PFAS Properties'!$B$33</f>
        <v>PFOA</v>
      </c>
      <c r="I356" s="2" t="str">
        <f>'PFAS Properties'!$C$33</f>
        <v>PFCA</v>
      </c>
      <c r="J356" s="2" t="str">
        <f>'PFAS Properties'!$D$33</f>
        <v>C8HF15O2</v>
      </c>
      <c r="K356" s="25">
        <f>'PFAS Properties'!$P$33</f>
        <v>413.97359999999998</v>
      </c>
      <c r="L356" s="2">
        <f>'PFAS Properties'!$X$33</f>
        <v>-0.2</v>
      </c>
      <c r="M356" s="2" t="str">
        <f>'PFAS Properties'!$Y$33</f>
        <v>-</v>
      </c>
      <c r="N356" s="33">
        <v>0</v>
      </c>
      <c r="O356" s="33">
        <v>0</v>
      </c>
      <c r="P356" s="33">
        <v>0</v>
      </c>
      <c r="Q356" s="33">
        <f t="shared" si="178"/>
        <v>0.99999990000001004</v>
      </c>
      <c r="R356" s="33">
        <v>0</v>
      </c>
      <c r="S356" s="33">
        <f t="shared" si="179"/>
        <v>9.9999990000001005E-8</v>
      </c>
      <c r="T356" s="8">
        <f t="shared" si="180"/>
        <v>1</v>
      </c>
      <c r="U356" s="33">
        <f t="shared" si="181"/>
        <v>0</v>
      </c>
      <c r="V356" s="33">
        <f t="shared" si="182"/>
        <v>-0.99999990000001004</v>
      </c>
      <c r="W356" s="33">
        <f t="shared" si="183"/>
        <v>412.9736001</v>
      </c>
      <c r="X356" s="33">
        <v>96485</v>
      </c>
      <c r="Y356" s="16">
        <f t="shared" si="184"/>
        <v>-233.63476582555762</v>
      </c>
      <c r="Z356" s="16">
        <v>8</v>
      </c>
      <c r="AA356" s="16">
        <v>15</v>
      </c>
      <c r="AB356" s="8">
        <f t="shared" si="185"/>
        <v>0.33684210526315789</v>
      </c>
      <c r="AC356" s="16">
        <f t="shared" si="177"/>
        <v>68.844969824162703</v>
      </c>
      <c r="AD356" s="20">
        <f>'PFAS Properties'!$W$33</f>
        <v>7</v>
      </c>
      <c r="AE356" s="8">
        <f>'PFAS Properties'!$S$33</f>
        <v>2.6821450763738319</v>
      </c>
      <c r="AF356" s="15">
        <f>'PFAS Properties'!$V$33</f>
        <v>4.9000000000000004</v>
      </c>
      <c r="AG356" s="24">
        <v>6.8</v>
      </c>
      <c r="AH356" s="2" t="s">
        <v>183</v>
      </c>
      <c r="AI356" s="2" t="s">
        <v>661</v>
      </c>
      <c r="AJ356" s="2" t="s">
        <v>661</v>
      </c>
      <c r="AK356" s="2" t="s">
        <v>661</v>
      </c>
      <c r="AL356" s="2" t="s">
        <v>661</v>
      </c>
      <c r="AM356" s="2" t="s">
        <v>661</v>
      </c>
      <c r="AN356" s="2" t="s">
        <v>661</v>
      </c>
      <c r="AO356" s="2" t="s">
        <v>661</v>
      </c>
      <c r="AP356" s="15">
        <v>7.1</v>
      </c>
      <c r="AQ356" s="2" t="s">
        <v>661</v>
      </c>
      <c r="AR356" s="16">
        <v>48.9</v>
      </c>
      <c r="AS356" s="16">
        <v>27</v>
      </c>
      <c r="AT356" s="16">
        <v>24.2</v>
      </c>
      <c r="AU356" s="2" t="s">
        <v>661</v>
      </c>
      <c r="AV356" s="16">
        <f t="shared" si="172"/>
        <v>100.10000000000001</v>
      </c>
      <c r="AW356" s="18">
        <v>0.37</v>
      </c>
      <c r="AX356" s="13">
        <v>3.7000000000000002E-3</v>
      </c>
      <c r="AY356" s="13" t="s">
        <v>184</v>
      </c>
      <c r="AZ356" s="16">
        <v>100</v>
      </c>
      <c r="BA356" s="16" t="s">
        <v>55</v>
      </c>
      <c r="BB356" s="16">
        <v>5</v>
      </c>
      <c r="BC356" s="16" t="s">
        <v>55</v>
      </c>
      <c r="BD356" s="18">
        <v>0.68</v>
      </c>
      <c r="BE356" s="15">
        <f t="shared" si="173"/>
        <v>183.78378378378378</v>
      </c>
      <c r="BF356" s="8">
        <f t="shared" si="186"/>
        <v>2.2643071886392412</v>
      </c>
      <c r="BG356" s="8">
        <f t="shared" si="174"/>
        <v>-0.16749108729376366</v>
      </c>
      <c r="BH356" s="13" t="s">
        <v>841</v>
      </c>
      <c r="BI356" s="13"/>
      <c r="BJ356" s="13"/>
      <c r="BK356" s="8"/>
      <c r="BL356" s="8"/>
      <c r="BM356" s="18"/>
      <c r="BN356" s="8"/>
      <c r="BO356" s="24"/>
    </row>
    <row r="357" spans="1:67" s="14" customFormat="1" x14ac:dyDescent="0.3">
      <c r="A357" s="20">
        <v>355</v>
      </c>
      <c r="B357" s="2" t="s">
        <v>181</v>
      </c>
      <c r="C357" s="2">
        <v>2020</v>
      </c>
      <c r="D357" s="2" t="s">
        <v>203</v>
      </c>
      <c r="E357" s="10" t="s">
        <v>787</v>
      </c>
      <c r="F357" s="20" t="s">
        <v>29</v>
      </c>
      <c r="G357" s="2" t="s">
        <v>58</v>
      </c>
      <c r="H357" s="2" t="str">
        <f>'PFAS Properties'!$B$33</f>
        <v>PFOA</v>
      </c>
      <c r="I357" s="2" t="str">
        <f>'PFAS Properties'!$C$33</f>
        <v>PFCA</v>
      </c>
      <c r="J357" s="2" t="str">
        <f>'PFAS Properties'!$D$33</f>
        <v>C8HF15O2</v>
      </c>
      <c r="K357" s="25">
        <f>'PFAS Properties'!$P$33</f>
        <v>413.97359999999998</v>
      </c>
      <c r="L357" s="2">
        <f>'PFAS Properties'!$X$33</f>
        <v>-0.2</v>
      </c>
      <c r="M357" s="2" t="str">
        <f>'PFAS Properties'!$Y$33</f>
        <v>-</v>
      </c>
      <c r="N357" s="33">
        <v>0</v>
      </c>
      <c r="O357" s="33">
        <v>0</v>
      </c>
      <c r="P357" s="33">
        <v>0</v>
      </c>
      <c r="Q357" s="33">
        <f t="shared" si="178"/>
        <v>0.99999960189298798</v>
      </c>
      <c r="R357" s="33">
        <v>0</v>
      </c>
      <c r="S357" s="33">
        <f t="shared" si="179"/>
        <v>3.9810701206424001E-7</v>
      </c>
      <c r="T357" s="8">
        <f t="shared" si="180"/>
        <v>1</v>
      </c>
      <c r="U357" s="33">
        <f t="shared" si="181"/>
        <v>0</v>
      </c>
      <c r="V357" s="33">
        <f t="shared" si="182"/>
        <v>-0.99999960189298798</v>
      </c>
      <c r="W357" s="33">
        <f t="shared" si="183"/>
        <v>412.97360039810701</v>
      </c>
      <c r="X357" s="33">
        <v>96485</v>
      </c>
      <c r="Y357" s="16">
        <f t="shared" si="184"/>
        <v>-233.634696008736</v>
      </c>
      <c r="Z357" s="16">
        <v>8</v>
      </c>
      <c r="AA357" s="16">
        <v>15</v>
      </c>
      <c r="AB357" s="8">
        <f t="shared" si="185"/>
        <v>0.33684210526315789</v>
      </c>
      <c r="AC357" s="16">
        <f t="shared" si="177"/>
        <v>68.844969824162703</v>
      </c>
      <c r="AD357" s="20">
        <f>'PFAS Properties'!$W$33</f>
        <v>7</v>
      </c>
      <c r="AE357" s="8">
        <f>'PFAS Properties'!$S$33</f>
        <v>2.6821450763738319</v>
      </c>
      <c r="AF357" s="15">
        <f>'PFAS Properties'!$V$33</f>
        <v>4.9000000000000004</v>
      </c>
      <c r="AG357" s="24">
        <v>6.2</v>
      </c>
      <c r="AH357" s="2" t="s">
        <v>183</v>
      </c>
      <c r="AI357" s="2" t="s">
        <v>661</v>
      </c>
      <c r="AJ357" s="2" t="s">
        <v>661</v>
      </c>
      <c r="AK357" s="2" t="s">
        <v>661</v>
      </c>
      <c r="AL357" s="2" t="s">
        <v>661</v>
      </c>
      <c r="AM357" s="2" t="s">
        <v>661</v>
      </c>
      <c r="AN357" s="2" t="s">
        <v>661</v>
      </c>
      <c r="AO357" s="2" t="s">
        <v>661</v>
      </c>
      <c r="AP357" s="15">
        <v>8</v>
      </c>
      <c r="AQ357" s="2" t="s">
        <v>661</v>
      </c>
      <c r="AR357" s="16">
        <v>51.44</v>
      </c>
      <c r="AS357" s="16">
        <v>10.17</v>
      </c>
      <c r="AT357" s="16">
        <v>38.380000000000003</v>
      </c>
      <c r="AU357" s="2" t="s">
        <v>661</v>
      </c>
      <c r="AV357" s="16">
        <f t="shared" si="172"/>
        <v>99.990000000000009</v>
      </c>
      <c r="AW357" s="18">
        <v>0.08</v>
      </c>
      <c r="AX357" s="13">
        <v>8.0000000000000004E-4</v>
      </c>
      <c r="AY357" s="8" t="s">
        <v>184</v>
      </c>
      <c r="AZ357" s="16">
        <v>100</v>
      </c>
      <c r="BA357" s="16" t="s">
        <v>55</v>
      </c>
      <c r="BB357" s="16">
        <v>5</v>
      </c>
      <c r="BC357" s="16" t="s">
        <v>55</v>
      </c>
      <c r="BD357" s="18">
        <v>0.81</v>
      </c>
      <c r="BE357" s="15">
        <f t="shared" si="173"/>
        <v>1012.5</v>
      </c>
      <c r="BF357" s="8">
        <f t="shared" si="186"/>
        <v>3.0053950318867062</v>
      </c>
      <c r="BG357" s="8">
        <f t="shared" si="174"/>
        <v>-9.1514981121350217E-2</v>
      </c>
      <c r="BH357" s="13" t="s">
        <v>841</v>
      </c>
      <c r="BI357" s="13"/>
      <c r="BJ357" s="13"/>
      <c r="BK357" s="8"/>
      <c r="BL357" s="8"/>
      <c r="BM357" s="18"/>
      <c r="BN357" s="8"/>
      <c r="BO357" s="24"/>
    </row>
    <row r="358" spans="1:67" s="14" customFormat="1" x14ac:dyDescent="0.3">
      <c r="A358" s="20">
        <v>356</v>
      </c>
      <c r="B358" s="2" t="s">
        <v>181</v>
      </c>
      <c r="C358" s="2">
        <v>2020</v>
      </c>
      <c r="D358" s="2" t="s">
        <v>203</v>
      </c>
      <c r="E358" s="10" t="s">
        <v>787</v>
      </c>
      <c r="F358" s="20" t="s">
        <v>29</v>
      </c>
      <c r="G358" s="2" t="s">
        <v>59</v>
      </c>
      <c r="H358" s="2" t="str">
        <f>'PFAS Properties'!$B$33</f>
        <v>PFOA</v>
      </c>
      <c r="I358" s="2" t="str">
        <f>'PFAS Properties'!$C$33</f>
        <v>PFCA</v>
      </c>
      <c r="J358" s="2" t="str">
        <f>'PFAS Properties'!$D$33</f>
        <v>C8HF15O2</v>
      </c>
      <c r="K358" s="25">
        <f>'PFAS Properties'!$P$33</f>
        <v>413.97359999999998</v>
      </c>
      <c r="L358" s="2">
        <f>'PFAS Properties'!$X$33</f>
        <v>-0.2</v>
      </c>
      <c r="M358" s="2" t="str">
        <f>'PFAS Properties'!$Y$33</f>
        <v>-</v>
      </c>
      <c r="N358" s="33">
        <v>0</v>
      </c>
      <c r="O358" s="33">
        <v>0</v>
      </c>
      <c r="P358" s="33">
        <v>0</v>
      </c>
      <c r="Q358" s="33">
        <f t="shared" si="178"/>
        <v>0.99999998741074603</v>
      </c>
      <c r="R358" s="33">
        <v>0</v>
      </c>
      <c r="S358" s="33">
        <f t="shared" si="179"/>
        <v>1.258925395945232E-8</v>
      </c>
      <c r="T358" s="8">
        <f t="shared" si="180"/>
        <v>1</v>
      </c>
      <c r="U358" s="33">
        <f t="shared" si="181"/>
        <v>0</v>
      </c>
      <c r="V358" s="33">
        <f t="shared" si="182"/>
        <v>-0.99999998741074603</v>
      </c>
      <c r="W358" s="33">
        <f t="shared" si="183"/>
        <v>412.9736000125892</v>
      </c>
      <c r="X358" s="33">
        <v>96485</v>
      </c>
      <c r="Y358" s="16">
        <f t="shared" si="184"/>
        <v>-233.63478629719808</v>
      </c>
      <c r="Z358" s="16">
        <v>8</v>
      </c>
      <c r="AA358" s="16">
        <v>15</v>
      </c>
      <c r="AB358" s="8">
        <f t="shared" si="185"/>
        <v>0.33684210526315789</v>
      </c>
      <c r="AC358" s="16">
        <f t="shared" si="177"/>
        <v>68.844969824162703</v>
      </c>
      <c r="AD358" s="20">
        <f>'PFAS Properties'!$W$33</f>
        <v>7</v>
      </c>
      <c r="AE358" s="8">
        <f>'PFAS Properties'!$S$33</f>
        <v>2.6821450763738319</v>
      </c>
      <c r="AF358" s="15">
        <f>'PFAS Properties'!$V$33</f>
        <v>4.9000000000000004</v>
      </c>
      <c r="AG358" s="24">
        <v>7.7</v>
      </c>
      <c r="AH358" s="2" t="s">
        <v>183</v>
      </c>
      <c r="AI358" s="2" t="s">
        <v>661</v>
      </c>
      <c r="AJ358" s="2" t="s">
        <v>661</v>
      </c>
      <c r="AK358" s="2" t="s">
        <v>661</v>
      </c>
      <c r="AL358" s="2" t="s">
        <v>661</v>
      </c>
      <c r="AM358" s="2" t="s">
        <v>661</v>
      </c>
      <c r="AN358" s="2" t="s">
        <v>661</v>
      </c>
      <c r="AO358" s="2" t="s">
        <v>661</v>
      </c>
      <c r="AP358" s="15">
        <v>4.8</v>
      </c>
      <c r="AQ358" s="2" t="s">
        <v>661</v>
      </c>
      <c r="AR358" s="16">
        <v>46</v>
      </c>
      <c r="AS358" s="16">
        <v>37</v>
      </c>
      <c r="AT358" s="16">
        <v>17</v>
      </c>
      <c r="AU358" s="2" t="s">
        <v>661</v>
      </c>
      <c r="AV358" s="16">
        <f t="shared" si="172"/>
        <v>100</v>
      </c>
      <c r="AW358" s="18">
        <v>0.25</v>
      </c>
      <c r="AX358" s="13">
        <v>2.5000000000000001E-3</v>
      </c>
      <c r="AY358" s="13" t="s">
        <v>184</v>
      </c>
      <c r="AZ358" s="16">
        <v>100</v>
      </c>
      <c r="BA358" s="16" t="s">
        <v>55</v>
      </c>
      <c r="BB358" s="16">
        <v>5</v>
      </c>
      <c r="BC358" s="16" t="s">
        <v>55</v>
      </c>
      <c r="BD358" s="18">
        <v>0.64</v>
      </c>
      <c r="BE358" s="15">
        <f t="shared" si="173"/>
        <v>256</v>
      </c>
      <c r="BF358" s="8">
        <f t="shared" si="186"/>
        <v>2.4082399653118496</v>
      </c>
      <c r="BG358" s="8">
        <f t="shared" si="174"/>
        <v>-0.19382002601611281</v>
      </c>
      <c r="BH358" s="13" t="s">
        <v>841</v>
      </c>
      <c r="BI358" s="13"/>
      <c r="BJ358" s="13"/>
      <c r="BK358" s="8"/>
      <c r="BL358" s="8"/>
      <c r="BM358" s="18"/>
      <c r="BN358" s="8"/>
      <c r="BO358" s="24"/>
    </row>
    <row r="359" spans="1:67" s="14" customFormat="1" x14ac:dyDescent="0.3">
      <c r="A359" s="20">
        <v>357</v>
      </c>
      <c r="B359" s="2" t="s">
        <v>181</v>
      </c>
      <c r="C359" s="2">
        <v>2020</v>
      </c>
      <c r="D359" s="2" t="s">
        <v>203</v>
      </c>
      <c r="E359" s="10" t="s">
        <v>787</v>
      </c>
      <c r="F359" s="20" t="s">
        <v>29</v>
      </c>
      <c r="G359" s="2" t="s">
        <v>61</v>
      </c>
      <c r="H359" s="2" t="str">
        <f>'PFAS Properties'!$B$33</f>
        <v>PFOA</v>
      </c>
      <c r="I359" s="2" t="str">
        <f>'PFAS Properties'!$C$33</f>
        <v>PFCA</v>
      </c>
      <c r="J359" s="2" t="str">
        <f>'PFAS Properties'!$D$33</f>
        <v>C8HF15O2</v>
      </c>
      <c r="K359" s="25">
        <f>'PFAS Properties'!$P$33</f>
        <v>413.97359999999998</v>
      </c>
      <c r="L359" s="2">
        <f>'PFAS Properties'!$X$33</f>
        <v>-0.2</v>
      </c>
      <c r="M359" s="2" t="str">
        <f>'PFAS Properties'!$Y$33</f>
        <v>-</v>
      </c>
      <c r="N359" s="33">
        <v>0</v>
      </c>
      <c r="O359" s="33">
        <v>0</v>
      </c>
      <c r="P359" s="33">
        <v>0</v>
      </c>
      <c r="Q359" s="33">
        <f t="shared" si="178"/>
        <v>0.99999997488113634</v>
      </c>
      <c r="R359" s="33">
        <v>0</v>
      </c>
      <c r="S359" s="33">
        <f t="shared" si="179"/>
        <v>2.5118863684138424E-8</v>
      </c>
      <c r="T359" s="8">
        <f t="shared" si="180"/>
        <v>1</v>
      </c>
      <c r="U359" s="33">
        <f t="shared" si="181"/>
        <v>0</v>
      </c>
      <c r="V359" s="33">
        <f t="shared" si="182"/>
        <v>-0.99999997488113634</v>
      </c>
      <c r="W359" s="33">
        <f t="shared" si="183"/>
        <v>412.97360002511886</v>
      </c>
      <c r="X359" s="33">
        <v>96485</v>
      </c>
      <c r="Y359" s="16">
        <f t="shared" si="184"/>
        <v>-233.63478336275685</v>
      </c>
      <c r="Z359" s="16">
        <v>8</v>
      </c>
      <c r="AA359" s="16">
        <v>15</v>
      </c>
      <c r="AB359" s="8">
        <f t="shared" si="185"/>
        <v>0.33684210526315789</v>
      </c>
      <c r="AC359" s="16">
        <f t="shared" si="177"/>
        <v>68.844969824162703</v>
      </c>
      <c r="AD359" s="20">
        <f>'PFAS Properties'!$W$33</f>
        <v>7</v>
      </c>
      <c r="AE359" s="8">
        <f>'PFAS Properties'!$S$33</f>
        <v>2.6821450763738319</v>
      </c>
      <c r="AF359" s="15">
        <f>'PFAS Properties'!$V$33</f>
        <v>4.9000000000000004</v>
      </c>
      <c r="AG359" s="24">
        <v>7.4</v>
      </c>
      <c r="AH359" s="2" t="s">
        <v>183</v>
      </c>
      <c r="AI359" s="2" t="s">
        <v>661</v>
      </c>
      <c r="AJ359" s="2" t="s">
        <v>661</v>
      </c>
      <c r="AK359" s="2" t="s">
        <v>661</v>
      </c>
      <c r="AL359" s="2" t="s">
        <v>661</v>
      </c>
      <c r="AM359" s="2" t="s">
        <v>661</v>
      </c>
      <c r="AN359" s="2" t="s">
        <v>661</v>
      </c>
      <c r="AO359" s="2" t="s">
        <v>661</v>
      </c>
      <c r="AP359" s="15">
        <v>29.6</v>
      </c>
      <c r="AQ359" s="2" t="s">
        <v>661</v>
      </c>
      <c r="AR359" s="16">
        <v>39.799999999999997</v>
      </c>
      <c r="AS359" s="16">
        <v>7.7</v>
      </c>
      <c r="AT359" s="16">
        <v>52.5</v>
      </c>
      <c r="AU359" s="2" t="s">
        <v>661</v>
      </c>
      <c r="AV359" s="16">
        <f t="shared" si="172"/>
        <v>100</v>
      </c>
      <c r="AW359" s="18">
        <v>2.23</v>
      </c>
      <c r="AX359" s="13">
        <v>2.23E-2</v>
      </c>
      <c r="AY359" s="8" t="s">
        <v>184</v>
      </c>
      <c r="AZ359" s="16">
        <v>100</v>
      </c>
      <c r="BA359" s="16" t="s">
        <v>55</v>
      </c>
      <c r="BB359" s="16">
        <v>5</v>
      </c>
      <c r="BC359" s="16" t="s">
        <v>55</v>
      </c>
      <c r="BD359" s="18">
        <v>0.74</v>
      </c>
      <c r="BE359" s="15">
        <f t="shared" si="173"/>
        <v>33.183856502242151</v>
      </c>
      <c r="BF359" s="8">
        <f t="shared" si="186"/>
        <v>1.5209268566828156</v>
      </c>
      <c r="BG359" s="8">
        <f t="shared" si="174"/>
        <v>-0.13076828026902382</v>
      </c>
      <c r="BH359" s="13" t="s">
        <v>841</v>
      </c>
      <c r="BI359" s="13"/>
      <c r="BJ359" s="13"/>
      <c r="BK359" s="8"/>
      <c r="BL359" s="8"/>
      <c r="BM359" s="18"/>
      <c r="BN359" s="8"/>
      <c r="BO359" s="24"/>
    </row>
    <row r="360" spans="1:67" s="14" customFormat="1" x14ac:dyDescent="0.3">
      <c r="A360" s="20">
        <v>358</v>
      </c>
      <c r="B360" s="2" t="s">
        <v>181</v>
      </c>
      <c r="C360" s="2">
        <v>2020</v>
      </c>
      <c r="D360" s="2" t="s">
        <v>203</v>
      </c>
      <c r="E360" s="10" t="s">
        <v>787</v>
      </c>
      <c r="F360" s="20" t="s">
        <v>29</v>
      </c>
      <c r="G360" s="2" t="s">
        <v>60</v>
      </c>
      <c r="H360" s="2" t="str">
        <f>'PFAS Properties'!$B$33</f>
        <v>PFOA</v>
      </c>
      <c r="I360" s="2" t="str">
        <f>'PFAS Properties'!$C$33</f>
        <v>PFCA</v>
      </c>
      <c r="J360" s="2" t="str">
        <f>'PFAS Properties'!$D$33</f>
        <v>C8HF15O2</v>
      </c>
      <c r="K360" s="25">
        <f>'PFAS Properties'!$P$33</f>
        <v>413.97359999999998</v>
      </c>
      <c r="L360" s="2">
        <f>'PFAS Properties'!$X$33</f>
        <v>-0.2</v>
      </c>
      <c r="M360" s="2" t="str">
        <f>'PFAS Properties'!$Y$33</f>
        <v>-</v>
      </c>
      <c r="N360" s="33">
        <v>0</v>
      </c>
      <c r="O360" s="33">
        <v>0</v>
      </c>
      <c r="P360" s="33">
        <v>0</v>
      </c>
      <c r="Q360" s="33">
        <f t="shared" si="178"/>
        <v>0.99999998741074603</v>
      </c>
      <c r="R360" s="33">
        <v>0</v>
      </c>
      <c r="S360" s="33">
        <f t="shared" si="179"/>
        <v>1.258925395945232E-8</v>
      </c>
      <c r="T360" s="8">
        <f t="shared" si="180"/>
        <v>1</v>
      </c>
      <c r="U360" s="33">
        <f t="shared" si="181"/>
        <v>0</v>
      </c>
      <c r="V360" s="33">
        <f t="shared" si="182"/>
        <v>-0.99999998741074603</v>
      </c>
      <c r="W360" s="33">
        <f t="shared" si="183"/>
        <v>412.9736000125892</v>
      </c>
      <c r="X360" s="33">
        <v>96485</v>
      </c>
      <c r="Y360" s="16">
        <f t="shared" si="184"/>
        <v>-233.63478629719808</v>
      </c>
      <c r="Z360" s="16">
        <v>8</v>
      </c>
      <c r="AA360" s="16">
        <v>15</v>
      </c>
      <c r="AB360" s="8">
        <f t="shared" si="185"/>
        <v>0.33684210526315789</v>
      </c>
      <c r="AC360" s="16">
        <f t="shared" si="177"/>
        <v>68.844969824162703</v>
      </c>
      <c r="AD360" s="20">
        <f>'PFAS Properties'!$W$33</f>
        <v>7</v>
      </c>
      <c r="AE360" s="8">
        <f>'PFAS Properties'!$S$33</f>
        <v>2.6821450763738319</v>
      </c>
      <c r="AF360" s="15">
        <f>'PFAS Properties'!$V$33</f>
        <v>4.9000000000000004</v>
      </c>
      <c r="AG360" s="24">
        <v>7.7</v>
      </c>
      <c r="AH360" s="2" t="s">
        <v>183</v>
      </c>
      <c r="AI360" s="2" t="s">
        <v>661</v>
      </c>
      <c r="AJ360" s="2" t="s">
        <v>661</v>
      </c>
      <c r="AK360" s="2" t="s">
        <v>661</v>
      </c>
      <c r="AL360" s="2" t="s">
        <v>661</v>
      </c>
      <c r="AM360" s="2" t="s">
        <v>661</v>
      </c>
      <c r="AN360" s="2" t="s">
        <v>661</v>
      </c>
      <c r="AO360" s="2" t="s">
        <v>661</v>
      </c>
      <c r="AP360" s="15">
        <v>21.63</v>
      </c>
      <c r="AQ360" s="2" t="s">
        <v>661</v>
      </c>
      <c r="AR360" s="16">
        <v>70</v>
      </c>
      <c r="AS360" s="16">
        <v>11</v>
      </c>
      <c r="AT360" s="16">
        <v>19</v>
      </c>
      <c r="AU360" s="2" t="s">
        <v>661</v>
      </c>
      <c r="AV360" s="16">
        <f t="shared" si="172"/>
        <v>100</v>
      </c>
      <c r="AW360" s="18">
        <v>4.9000000000000004</v>
      </c>
      <c r="AX360" s="13">
        <v>4.9000000000000002E-2</v>
      </c>
      <c r="AY360" s="8" t="s">
        <v>184</v>
      </c>
      <c r="AZ360" s="16">
        <v>100</v>
      </c>
      <c r="BA360" s="16" t="s">
        <v>55</v>
      </c>
      <c r="BB360" s="16">
        <v>5</v>
      </c>
      <c r="BC360" s="16" t="s">
        <v>55</v>
      </c>
      <c r="BD360" s="18">
        <v>2.84</v>
      </c>
      <c r="BE360" s="15">
        <f t="shared" si="173"/>
        <v>57.959183673469383</v>
      </c>
      <c r="BF360" s="8">
        <f t="shared" si="186"/>
        <v>1.7631222600185239</v>
      </c>
      <c r="BG360" s="8">
        <f t="shared" si="174"/>
        <v>0.45331834004703764</v>
      </c>
      <c r="BH360" s="13" t="s">
        <v>841</v>
      </c>
      <c r="BI360" s="13"/>
      <c r="BJ360" s="13"/>
      <c r="BK360" s="8"/>
      <c r="BL360" s="8"/>
      <c r="BM360" s="18"/>
      <c r="BN360" s="8"/>
      <c r="BO360" s="24"/>
    </row>
    <row r="361" spans="1:67" s="14" customFormat="1" x14ac:dyDescent="0.3">
      <c r="A361" s="20">
        <v>359</v>
      </c>
      <c r="B361" s="2" t="s">
        <v>181</v>
      </c>
      <c r="C361" s="2">
        <v>2020</v>
      </c>
      <c r="D361" s="2" t="s">
        <v>203</v>
      </c>
      <c r="E361" s="10" t="s">
        <v>787</v>
      </c>
      <c r="F361" s="20" t="s">
        <v>29</v>
      </c>
      <c r="G361" s="2" t="s">
        <v>77</v>
      </c>
      <c r="H361" s="2" t="str">
        <f>'PFAS Properties'!$B$33</f>
        <v>PFOA</v>
      </c>
      <c r="I361" s="2" t="str">
        <f>'PFAS Properties'!$C$33</f>
        <v>PFCA</v>
      </c>
      <c r="J361" s="2" t="str">
        <f>'PFAS Properties'!$D$33</f>
        <v>C8HF15O2</v>
      </c>
      <c r="K361" s="25">
        <f>'PFAS Properties'!$P$33</f>
        <v>413.97359999999998</v>
      </c>
      <c r="L361" s="2">
        <f>'PFAS Properties'!$X$33</f>
        <v>-0.2</v>
      </c>
      <c r="M361" s="2" t="str">
        <f>'PFAS Properties'!$Y$33</f>
        <v>-</v>
      </c>
      <c r="N361" s="33">
        <v>0</v>
      </c>
      <c r="O361" s="33">
        <v>0</v>
      </c>
      <c r="P361" s="33">
        <v>0</v>
      </c>
      <c r="Q361" s="33">
        <f t="shared" si="178"/>
        <v>0.99999998741074603</v>
      </c>
      <c r="R361" s="33">
        <v>0</v>
      </c>
      <c r="S361" s="33">
        <f t="shared" si="179"/>
        <v>1.258925395945232E-8</v>
      </c>
      <c r="T361" s="8">
        <f t="shared" si="180"/>
        <v>1</v>
      </c>
      <c r="U361" s="33">
        <f t="shared" si="181"/>
        <v>0</v>
      </c>
      <c r="V361" s="33">
        <f t="shared" si="182"/>
        <v>-0.99999998741074603</v>
      </c>
      <c r="W361" s="33">
        <f t="shared" si="183"/>
        <v>412.9736000125892</v>
      </c>
      <c r="X361" s="33">
        <v>96485</v>
      </c>
      <c r="Y361" s="16">
        <f t="shared" si="184"/>
        <v>-233.63478629719808</v>
      </c>
      <c r="Z361" s="16">
        <v>8</v>
      </c>
      <c r="AA361" s="16">
        <v>15</v>
      </c>
      <c r="AB361" s="8">
        <f t="shared" si="185"/>
        <v>0.33684210526315789</v>
      </c>
      <c r="AC361" s="16">
        <f t="shared" si="177"/>
        <v>68.844969824162703</v>
      </c>
      <c r="AD361" s="20">
        <f>'PFAS Properties'!$W$33</f>
        <v>7</v>
      </c>
      <c r="AE361" s="8">
        <f>'PFAS Properties'!$S$33</f>
        <v>2.6821450763738319</v>
      </c>
      <c r="AF361" s="15">
        <f>'PFAS Properties'!$V$33</f>
        <v>4.9000000000000004</v>
      </c>
      <c r="AG361" s="24">
        <v>7.7</v>
      </c>
      <c r="AH361" s="2" t="s">
        <v>183</v>
      </c>
      <c r="AI361" s="2" t="s">
        <v>661</v>
      </c>
      <c r="AJ361" s="2" t="s">
        <v>661</v>
      </c>
      <c r="AK361" s="2" t="s">
        <v>661</v>
      </c>
      <c r="AL361" s="2" t="s">
        <v>661</v>
      </c>
      <c r="AM361" s="2" t="s">
        <v>661</v>
      </c>
      <c r="AN361" s="2" t="s">
        <v>661</v>
      </c>
      <c r="AO361" s="2" t="s">
        <v>661</v>
      </c>
      <c r="AP361" s="15">
        <v>7.8</v>
      </c>
      <c r="AQ361" s="2" t="s">
        <v>661</v>
      </c>
      <c r="AR361" s="16">
        <v>48.9</v>
      </c>
      <c r="AS361" s="16">
        <v>32.6</v>
      </c>
      <c r="AT361" s="16">
        <v>18.5</v>
      </c>
      <c r="AU361" s="2" t="s">
        <v>661</v>
      </c>
      <c r="AV361" s="16">
        <f t="shared" si="172"/>
        <v>100</v>
      </c>
      <c r="AW361" s="18">
        <v>0.13</v>
      </c>
      <c r="AX361" s="13">
        <v>1.2999999999999999E-3</v>
      </c>
      <c r="AY361" s="8" t="s">
        <v>184</v>
      </c>
      <c r="AZ361" s="16">
        <v>100</v>
      </c>
      <c r="BA361" s="16" t="s">
        <v>55</v>
      </c>
      <c r="BB361" s="16">
        <v>5</v>
      </c>
      <c r="BC361" s="16" t="s">
        <v>55</v>
      </c>
      <c r="BD361" s="18">
        <v>1.42</v>
      </c>
      <c r="BE361" s="15">
        <f t="shared" si="173"/>
        <v>1092.3076923076924</v>
      </c>
      <c r="BF361" s="8">
        <f t="shared" si="186"/>
        <v>3.0383449920762198</v>
      </c>
      <c r="BG361" s="8">
        <f t="shared" si="174"/>
        <v>0.15228834438305647</v>
      </c>
      <c r="BH361" s="13" t="s">
        <v>841</v>
      </c>
      <c r="BI361" s="13"/>
      <c r="BJ361" s="13"/>
      <c r="BK361" s="8"/>
      <c r="BL361" s="8"/>
      <c r="BM361" s="18"/>
      <c r="BN361" s="8"/>
      <c r="BO361" s="24"/>
    </row>
    <row r="362" spans="1:67" s="14" customFormat="1" x14ac:dyDescent="0.3">
      <c r="A362" s="20">
        <v>360</v>
      </c>
      <c r="B362" s="2" t="s">
        <v>181</v>
      </c>
      <c r="C362" s="2">
        <v>2020</v>
      </c>
      <c r="D362" s="2" t="s">
        <v>203</v>
      </c>
      <c r="E362" s="10" t="s">
        <v>787</v>
      </c>
      <c r="F362" s="20" t="s">
        <v>29</v>
      </c>
      <c r="G362" s="2" t="s">
        <v>182</v>
      </c>
      <c r="H362" s="2" t="str">
        <f>'PFAS Properties'!$B$33</f>
        <v>PFOA</v>
      </c>
      <c r="I362" s="2" t="str">
        <f>'PFAS Properties'!$C$33</f>
        <v>PFCA</v>
      </c>
      <c r="J362" s="2" t="str">
        <f>'PFAS Properties'!$D$33</f>
        <v>C8HF15O2</v>
      </c>
      <c r="K362" s="25">
        <f>'PFAS Properties'!$P$33</f>
        <v>413.97359999999998</v>
      </c>
      <c r="L362" s="2">
        <f>'PFAS Properties'!$X$33</f>
        <v>-0.2</v>
      </c>
      <c r="M362" s="2" t="str">
        <f>'PFAS Properties'!$Y$33</f>
        <v>-</v>
      </c>
      <c r="N362" s="33">
        <v>0</v>
      </c>
      <c r="O362" s="33">
        <v>0</v>
      </c>
      <c r="P362" s="33">
        <v>0</v>
      </c>
      <c r="Q362" s="33">
        <f t="shared" si="178"/>
        <v>0.99999998004737722</v>
      </c>
      <c r="R362" s="33">
        <v>0</v>
      </c>
      <c r="S362" s="33">
        <f t="shared" si="179"/>
        <v>1.995262275158161E-8</v>
      </c>
      <c r="T362" s="8">
        <f t="shared" si="180"/>
        <v>1</v>
      </c>
      <c r="U362" s="33">
        <f t="shared" si="181"/>
        <v>0</v>
      </c>
      <c r="V362" s="33">
        <f t="shared" si="182"/>
        <v>-0.99999998004737722</v>
      </c>
      <c r="W362" s="33">
        <f t="shared" si="183"/>
        <v>412.97360001995258</v>
      </c>
      <c r="X362" s="33">
        <v>96485</v>
      </c>
      <c r="Y362" s="16">
        <f t="shared" si="184"/>
        <v>-233.63478457269321</v>
      </c>
      <c r="Z362" s="16">
        <v>8</v>
      </c>
      <c r="AA362" s="16">
        <v>15</v>
      </c>
      <c r="AB362" s="8">
        <f t="shared" si="185"/>
        <v>0.33684210526315789</v>
      </c>
      <c r="AC362" s="16">
        <f t="shared" si="177"/>
        <v>68.844969824162703</v>
      </c>
      <c r="AD362" s="20">
        <f>'PFAS Properties'!$W$33</f>
        <v>7</v>
      </c>
      <c r="AE362" s="8">
        <f>'PFAS Properties'!$S$33</f>
        <v>2.6821450763738319</v>
      </c>
      <c r="AF362" s="15">
        <f>'PFAS Properties'!$V$33</f>
        <v>4.9000000000000004</v>
      </c>
      <c r="AG362" s="24">
        <v>7.5</v>
      </c>
      <c r="AH362" s="2" t="s">
        <v>183</v>
      </c>
      <c r="AI362" s="2" t="s">
        <v>661</v>
      </c>
      <c r="AJ362" s="2" t="s">
        <v>661</v>
      </c>
      <c r="AK362" s="2" t="s">
        <v>661</v>
      </c>
      <c r="AL362" s="2" t="s">
        <v>661</v>
      </c>
      <c r="AM362" s="2" t="s">
        <v>661</v>
      </c>
      <c r="AN362" s="2" t="s">
        <v>661</v>
      </c>
      <c r="AO362" s="2" t="s">
        <v>661</v>
      </c>
      <c r="AP362" s="15">
        <v>2.2799999999999998</v>
      </c>
      <c r="AQ362" s="2" t="s">
        <v>661</v>
      </c>
      <c r="AR362" s="16">
        <v>93</v>
      </c>
      <c r="AS362" s="16">
        <v>1</v>
      </c>
      <c r="AT362" s="16">
        <v>5</v>
      </c>
      <c r="AU362" s="2" t="s">
        <v>661</v>
      </c>
      <c r="AV362" s="16">
        <f t="shared" si="172"/>
        <v>99</v>
      </c>
      <c r="AW362" s="18">
        <v>0.4</v>
      </c>
      <c r="AX362" s="13">
        <v>4.0000000000000001E-3</v>
      </c>
      <c r="AY362" s="8" t="s">
        <v>184</v>
      </c>
      <c r="AZ362" s="16">
        <v>100</v>
      </c>
      <c r="BA362" s="16" t="s">
        <v>55</v>
      </c>
      <c r="BB362" s="16">
        <v>5</v>
      </c>
      <c r="BC362" s="16" t="s">
        <v>55</v>
      </c>
      <c r="BD362" s="18">
        <v>0.53</v>
      </c>
      <c r="BE362" s="15">
        <f t="shared" si="173"/>
        <v>132.5</v>
      </c>
      <c r="BF362" s="8">
        <f t="shared" si="186"/>
        <v>2.1222158782728267</v>
      </c>
      <c r="BG362" s="8">
        <f t="shared" si="174"/>
        <v>-0.27572413039921095</v>
      </c>
      <c r="BH362" s="13" t="s">
        <v>841</v>
      </c>
      <c r="BI362" s="13"/>
      <c r="BJ362" s="13"/>
      <c r="BK362" s="8"/>
      <c r="BL362" s="8"/>
      <c r="BM362" s="18"/>
      <c r="BN362" s="8"/>
      <c r="BO362" s="24"/>
    </row>
    <row r="363" spans="1:67" s="14" customFormat="1" x14ac:dyDescent="0.3">
      <c r="A363" s="20">
        <v>361</v>
      </c>
      <c r="B363" s="2" t="s">
        <v>181</v>
      </c>
      <c r="C363" s="2">
        <v>2020</v>
      </c>
      <c r="D363" s="2" t="s">
        <v>203</v>
      </c>
      <c r="E363" s="10" t="s">
        <v>787</v>
      </c>
      <c r="F363" s="20" t="s">
        <v>29</v>
      </c>
      <c r="G363" s="2" t="s">
        <v>78</v>
      </c>
      <c r="H363" s="2" t="str">
        <f>'PFAS Properties'!$B$33</f>
        <v>PFOA</v>
      </c>
      <c r="I363" s="2" t="str">
        <f>'PFAS Properties'!$C$33</f>
        <v>PFCA</v>
      </c>
      <c r="J363" s="2" t="str">
        <f>'PFAS Properties'!$D$33</f>
        <v>C8HF15O2</v>
      </c>
      <c r="K363" s="25">
        <f>'PFAS Properties'!$P$33</f>
        <v>413.97359999999998</v>
      </c>
      <c r="L363" s="2">
        <f>'PFAS Properties'!$X$33</f>
        <v>-0.2</v>
      </c>
      <c r="M363" s="2" t="str">
        <f>'PFAS Properties'!$Y$33</f>
        <v>-</v>
      </c>
      <c r="N363" s="33">
        <v>0</v>
      </c>
      <c r="O363" s="33">
        <v>0</v>
      </c>
      <c r="P363" s="33">
        <v>0</v>
      </c>
      <c r="Q363" s="33">
        <f t="shared" si="178"/>
        <v>0.99999994988127916</v>
      </c>
      <c r="R363" s="33">
        <v>0</v>
      </c>
      <c r="S363" s="33">
        <f t="shared" si="179"/>
        <v>5.011872085084086E-8</v>
      </c>
      <c r="T363" s="8">
        <f t="shared" si="180"/>
        <v>1</v>
      </c>
      <c r="U363" s="33">
        <f t="shared" si="181"/>
        <v>0</v>
      </c>
      <c r="V363" s="33">
        <f t="shared" si="182"/>
        <v>-0.99999994988127916</v>
      </c>
      <c r="W363" s="33">
        <f t="shared" si="183"/>
        <v>412.9736000501187</v>
      </c>
      <c r="X363" s="33">
        <v>96485</v>
      </c>
      <c r="Y363" s="16">
        <f t="shared" si="184"/>
        <v>-233.6347775077771</v>
      </c>
      <c r="Z363" s="16">
        <v>8</v>
      </c>
      <c r="AA363" s="16">
        <v>15</v>
      </c>
      <c r="AB363" s="8">
        <f t="shared" si="185"/>
        <v>0.33684210526315789</v>
      </c>
      <c r="AC363" s="16">
        <f t="shared" si="177"/>
        <v>68.844969824162703</v>
      </c>
      <c r="AD363" s="20">
        <f>'PFAS Properties'!$W$33</f>
        <v>7</v>
      </c>
      <c r="AE363" s="8">
        <f>'PFAS Properties'!$S$33</f>
        <v>2.6821450763738319</v>
      </c>
      <c r="AF363" s="15">
        <f>'PFAS Properties'!$V$33</f>
        <v>4.9000000000000004</v>
      </c>
      <c r="AG363" s="24">
        <v>7.1</v>
      </c>
      <c r="AH363" s="2" t="s">
        <v>183</v>
      </c>
      <c r="AI363" s="2" t="s">
        <v>661</v>
      </c>
      <c r="AJ363" s="2" t="s">
        <v>661</v>
      </c>
      <c r="AK363" s="2" t="s">
        <v>661</v>
      </c>
      <c r="AL363" s="2" t="s">
        <v>661</v>
      </c>
      <c r="AM363" s="2" t="s">
        <v>661</v>
      </c>
      <c r="AN363" s="2" t="s">
        <v>661</v>
      </c>
      <c r="AO363" s="2" t="s">
        <v>661</v>
      </c>
      <c r="AP363" s="15">
        <v>17.420000000000002</v>
      </c>
      <c r="AQ363" s="2" t="s">
        <v>661</v>
      </c>
      <c r="AR363" s="16">
        <v>48.86</v>
      </c>
      <c r="AS363" s="16">
        <v>16.05</v>
      </c>
      <c r="AT363" s="16">
        <v>35.090000000000003</v>
      </c>
      <c r="AU363" s="2" t="s">
        <v>661</v>
      </c>
      <c r="AV363" s="16">
        <f t="shared" si="172"/>
        <v>100</v>
      </c>
      <c r="AW363" s="18">
        <v>1.19</v>
      </c>
      <c r="AX363" s="13">
        <v>1.1899999999999999E-2</v>
      </c>
      <c r="AY363" s="8" t="s">
        <v>184</v>
      </c>
      <c r="AZ363" s="16">
        <v>100</v>
      </c>
      <c r="BA363" s="16" t="s">
        <v>55</v>
      </c>
      <c r="BB363" s="16">
        <v>5</v>
      </c>
      <c r="BC363" s="16" t="s">
        <v>55</v>
      </c>
      <c r="BD363" s="18">
        <v>1.18</v>
      </c>
      <c r="BE363" s="15">
        <f t="shared" si="173"/>
        <v>99.159663865546221</v>
      </c>
      <c r="BF363" s="8">
        <f t="shared" si="186"/>
        <v>1.9963350459135947</v>
      </c>
      <c r="BG363" s="8">
        <f t="shared" si="174"/>
        <v>7.1882007306125359E-2</v>
      </c>
      <c r="BH363" s="13" t="s">
        <v>841</v>
      </c>
      <c r="BI363" s="13"/>
      <c r="BJ363" s="13"/>
      <c r="BK363" s="8"/>
      <c r="BL363" s="8"/>
      <c r="BM363" s="18"/>
      <c r="BN363" s="8"/>
      <c r="BO363" s="24"/>
    </row>
    <row r="364" spans="1:67" s="14" customFormat="1" x14ac:dyDescent="0.3">
      <c r="A364" s="20">
        <v>362</v>
      </c>
      <c r="B364" s="2" t="s">
        <v>181</v>
      </c>
      <c r="C364" s="2">
        <v>2020</v>
      </c>
      <c r="D364" s="2" t="s">
        <v>203</v>
      </c>
      <c r="E364" s="10" t="s">
        <v>787</v>
      </c>
      <c r="F364" s="20" t="s">
        <v>29</v>
      </c>
      <c r="G364" s="2" t="s">
        <v>98</v>
      </c>
      <c r="H364" s="2" t="str">
        <f>'PFAS Properties'!$B$33</f>
        <v>PFOA</v>
      </c>
      <c r="I364" s="2" t="str">
        <f>'PFAS Properties'!$C$33</f>
        <v>PFCA</v>
      </c>
      <c r="J364" s="2" t="str">
        <f>'PFAS Properties'!$D$33</f>
        <v>C8HF15O2</v>
      </c>
      <c r="K364" s="25">
        <f>'PFAS Properties'!$P$33</f>
        <v>413.97359999999998</v>
      </c>
      <c r="L364" s="2">
        <f>'PFAS Properties'!$X$33</f>
        <v>-0.2</v>
      </c>
      <c r="M364" s="2" t="str">
        <f>'PFAS Properties'!$Y$33</f>
        <v>-</v>
      </c>
      <c r="N364" s="33">
        <v>0</v>
      </c>
      <c r="O364" s="33">
        <v>0</v>
      </c>
      <c r="P364" s="33">
        <v>0</v>
      </c>
      <c r="Q364" s="33">
        <f t="shared" si="178"/>
        <v>0.99999974881141995</v>
      </c>
      <c r="R364" s="33">
        <v>0</v>
      </c>
      <c r="S364" s="33">
        <f t="shared" si="179"/>
        <v>2.5118858005523878E-7</v>
      </c>
      <c r="T364" s="8">
        <f t="shared" si="180"/>
        <v>1</v>
      </c>
      <c r="U364" s="33">
        <f t="shared" si="181"/>
        <v>0</v>
      </c>
      <c r="V364" s="33">
        <f t="shared" si="182"/>
        <v>-0.99999974881141995</v>
      </c>
      <c r="W364" s="33">
        <f t="shared" si="183"/>
        <v>412.97360025118854</v>
      </c>
      <c r="X364" s="33">
        <v>96485</v>
      </c>
      <c r="Y364" s="16">
        <f t="shared" si="184"/>
        <v>-233.63473041711018</v>
      </c>
      <c r="Z364" s="16">
        <v>8</v>
      </c>
      <c r="AA364" s="16">
        <v>15</v>
      </c>
      <c r="AB364" s="8">
        <f t="shared" si="185"/>
        <v>0.33684210526315789</v>
      </c>
      <c r="AC364" s="16">
        <f t="shared" si="177"/>
        <v>68.844969824162703</v>
      </c>
      <c r="AD364" s="20">
        <f>'PFAS Properties'!$W$33</f>
        <v>7</v>
      </c>
      <c r="AE364" s="8">
        <f>'PFAS Properties'!$S$33</f>
        <v>2.6821450763738319</v>
      </c>
      <c r="AF364" s="15">
        <f>'PFAS Properties'!$V$33</f>
        <v>4.9000000000000004</v>
      </c>
      <c r="AG364" s="24">
        <v>6.4</v>
      </c>
      <c r="AH364" s="2" t="s">
        <v>183</v>
      </c>
      <c r="AI364" s="2" t="s">
        <v>661</v>
      </c>
      <c r="AJ364" s="2" t="s">
        <v>661</v>
      </c>
      <c r="AK364" s="2" t="s">
        <v>661</v>
      </c>
      <c r="AL364" s="2" t="s">
        <v>661</v>
      </c>
      <c r="AM364" s="2" t="s">
        <v>661</v>
      </c>
      <c r="AN364" s="2" t="s">
        <v>661</v>
      </c>
      <c r="AO364" s="2" t="s">
        <v>661</v>
      </c>
      <c r="AP364" s="15">
        <v>16.54</v>
      </c>
      <c r="AQ364" s="2" t="s">
        <v>661</v>
      </c>
      <c r="AR364" s="16">
        <v>29.38</v>
      </c>
      <c r="AS364" s="16">
        <v>13.9</v>
      </c>
      <c r="AT364" s="16">
        <v>56.71</v>
      </c>
      <c r="AU364" s="2" t="s">
        <v>661</v>
      </c>
      <c r="AV364" s="16">
        <f t="shared" si="172"/>
        <v>99.990000000000009</v>
      </c>
      <c r="AW364" s="18">
        <v>0.17</v>
      </c>
      <c r="AX364" s="13">
        <v>1.7000000000000001E-3</v>
      </c>
      <c r="AY364" s="8" t="s">
        <v>184</v>
      </c>
      <c r="AZ364" s="16">
        <v>100</v>
      </c>
      <c r="BA364" s="16" t="s">
        <v>55</v>
      </c>
      <c r="BB364" s="16">
        <v>5</v>
      </c>
      <c r="BC364" s="16" t="s">
        <v>55</v>
      </c>
      <c r="BD364" s="18">
        <v>0.86</v>
      </c>
      <c r="BE364" s="15">
        <f t="shared" si="173"/>
        <v>505.88235294117641</v>
      </c>
      <c r="BF364" s="8">
        <f t="shared" si="186"/>
        <v>2.7040495298652938</v>
      </c>
      <c r="BG364" s="8">
        <f t="shared" si="174"/>
        <v>-6.5501548756432285E-2</v>
      </c>
      <c r="BH364" s="13" t="s">
        <v>841</v>
      </c>
      <c r="BI364" s="13"/>
      <c r="BJ364" s="13"/>
      <c r="BK364" s="8"/>
      <c r="BL364" s="8"/>
      <c r="BM364" s="18"/>
      <c r="BN364" s="8"/>
      <c r="BO364" s="24"/>
    </row>
    <row r="365" spans="1:67" s="14" customFormat="1" x14ac:dyDescent="0.3">
      <c r="A365" s="20">
        <v>363</v>
      </c>
      <c r="B365" s="2" t="s">
        <v>219</v>
      </c>
      <c r="C365" s="2">
        <v>2020</v>
      </c>
      <c r="D365" s="2" t="s">
        <v>201</v>
      </c>
      <c r="E365" s="10" t="s">
        <v>801</v>
      </c>
      <c r="F365" s="20" t="s">
        <v>29</v>
      </c>
      <c r="G365" s="2" t="s">
        <v>66</v>
      </c>
      <c r="H365" s="2" t="str">
        <f>'PFAS Properties'!$B$33</f>
        <v>PFOA</v>
      </c>
      <c r="I365" s="2" t="str">
        <f>'PFAS Properties'!$C$33</f>
        <v>PFCA</v>
      </c>
      <c r="J365" s="2" t="str">
        <f>'PFAS Properties'!$D$33</f>
        <v>C8HF15O2</v>
      </c>
      <c r="K365" s="25">
        <f>'PFAS Properties'!$P$33</f>
        <v>413.97359999999998</v>
      </c>
      <c r="L365" s="2">
        <f>'PFAS Properties'!$X$33</f>
        <v>-0.2</v>
      </c>
      <c r="M365" s="2" t="str">
        <f>'PFAS Properties'!$Y$33</f>
        <v>-</v>
      </c>
      <c r="N365" s="33">
        <v>0</v>
      </c>
      <c r="O365" s="33">
        <v>0</v>
      </c>
      <c r="P365" s="33">
        <v>0</v>
      </c>
      <c r="Q365" s="33">
        <f t="shared" si="178"/>
        <v>0.99999994376587065</v>
      </c>
      <c r="R365" s="33">
        <v>0</v>
      </c>
      <c r="S365" s="33">
        <f t="shared" si="179"/>
        <v>5.6234129356757324E-8</v>
      </c>
      <c r="T365" s="8">
        <f t="shared" si="180"/>
        <v>1</v>
      </c>
      <c r="U365" s="33">
        <f t="shared" si="181"/>
        <v>0</v>
      </c>
      <c r="V365" s="33">
        <f t="shared" si="182"/>
        <v>-0.99999994376587065</v>
      </c>
      <c r="W365" s="33">
        <f t="shared" si="183"/>
        <v>412.97360005623409</v>
      </c>
      <c r="X365" s="33">
        <v>96485</v>
      </c>
      <c r="Y365" s="16">
        <f t="shared" si="184"/>
        <v>-233.63477607554523</v>
      </c>
      <c r="Z365" s="16">
        <v>8</v>
      </c>
      <c r="AA365" s="16">
        <v>15</v>
      </c>
      <c r="AB365" s="8">
        <f t="shared" si="185"/>
        <v>0.33684210526315789</v>
      </c>
      <c r="AC365" s="16">
        <f t="shared" si="177"/>
        <v>68.844969824162703</v>
      </c>
      <c r="AD365" s="20">
        <f>'PFAS Properties'!$W$33</f>
        <v>7</v>
      </c>
      <c r="AE365" s="8">
        <f>'PFAS Properties'!$S$33</f>
        <v>2.6821450763738319</v>
      </c>
      <c r="AF365" s="15">
        <f>'PFAS Properties'!$V$33</f>
        <v>4.9000000000000004</v>
      </c>
      <c r="AG365" s="24">
        <v>7.05</v>
      </c>
      <c r="AH365" s="2" t="s">
        <v>661</v>
      </c>
      <c r="AI365" s="2">
        <v>9.9</v>
      </c>
      <c r="AJ365" s="15">
        <f t="shared" ref="AJ365:AJ396" si="188">AI365*1000/55.845</f>
        <v>177.27639000805803</v>
      </c>
      <c r="AK365" s="15">
        <f t="shared" ref="AK365:AK396" si="189">AI365/10</f>
        <v>0.99</v>
      </c>
      <c r="AL365" s="2">
        <v>3.3</v>
      </c>
      <c r="AM365" s="15">
        <f t="shared" ref="AM365:AM396" si="190">AL365*1000/26.98</f>
        <v>122.31282431430689</v>
      </c>
      <c r="AN365" s="15">
        <f t="shared" ref="AN365:AN396" si="191">AL365/10</f>
        <v>0.32999999999999996</v>
      </c>
      <c r="AO365" s="2" t="s">
        <v>710</v>
      </c>
      <c r="AP365" s="72">
        <v>7.6433666666666662</v>
      </c>
      <c r="AQ365" s="70" t="s">
        <v>752</v>
      </c>
      <c r="AR365" s="2">
        <v>78</v>
      </c>
      <c r="AS365" s="2">
        <v>5</v>
      </c>
      <c r="AT365" s="2">
        <v>11</v>
      </c>
      <c r="AU365" s="2" t="s">
        <v>661</v>
      </c>
      <c r="AV365" s="16">
        <f t="shared" ref="AV365:AV428" si="192">SUM(AR365:AT365)</f>
        <v>94</v>
      </c>
      <c r="AW365" s="18">
        <v>1.6</v>
      </c>
      <c r="AX365" s="13">
        <f t="shared" ref="AX365:AX396" si="193">AW365/100</f>
        <v>1.6E-2</v>
      </c>
      <c r="AY365" s="8" t="s">
        <v>67</v>
      </c>
      <c r="AZ365" s="16">
        <f t="shared" ref="AZ365:AZ383" si="194">1.5/0.075</f>
        <v>20</v>
      </c>
      <c r="BA365" s="16" t="s">
        <v>55</v>
      </c>
      <c r="BB365" s="16">
        <v>10</v>
      </c>
      <c r="BC365" s="16" t="s">
        <v>55</v>
      </c>
      <c r="BD365" s="18">
        <v>1.86</v>
      </c>
      <c r="BE365" s="15">
        <f t="shared" ref="BE365:BE428" si="195">BD365/AX365</f>
        <v>116.25</v>
      </c>
      <c r="BF365" s="8">
        <f t="shared" si="186"/>
        <v>2.0653929615619915</v>
      </c>
      <c r="BG365" s="8">
        <f t="shared" ref="BG365:BG428" si="196">LOG(BD365)</f>
        <v>0.26951294421791633</v>
      </c>
      <c r="BH365" s="13" t="s">
        <v>841</v>
      </c>
      <c r="BI365" s="13"/>
      <c r="BJ365" s="13"/>
      <c r="BK365" s="8"/>
      <c r="BL365" s="8"/>
      <c r="BM365" s="18"/>
      <c r="BN365" s="8"/>
      <c r="BO365" s="24"/>
    </row>
    <row r="366" spans="1:67" s="14" customFormat="1" x14ac:dyDescent="0.3">
      <c r="A366" s="20">
        <v>364</v>
      </c>
      <c r="B366" s="2" t="s">
        <v>219</v>
      </c>
      <c r="C366" s="2">
        <v>2020</v>
      </c>
      <c r="D366" s="2" t="s">
        <v>201</v>
      </c>
      <c r="E366" s="10" t="s">
        <v>801</v>
      </c>
      <c r="F366" s="20" t="s">
        <v>29</v>
      </c>
      <c r="G366" s="2" t="s">
        <v>68</v>
      </c>
      <c r="H366" s="2" t="str">
        <f>'PFAS Properties'!$B$33</f>
        <v>PFOA</v>
      </c>
      <c r="I366" s="2" t="str">
        <f>'PFAS Properties'!$C$33</f>
        <v>PFCA</v>
      </c>
      <c r="J366" s="2" t="str">
        <f>'PFAS Properties'!$D$33</f>
        <v>C8HF15O2</v>
      </c>
      <c r="K366" s="25">
        <f>'PFAS Properties'!$P$33</f>
        <v>413.97359999999998</v>
      </c>
      <c r="L366" s="2">
        <f>'PFAS Properties'!$X$33</f>
        <v>-0.2</v>
      </c>
      <c r="M366" s="2" t="str">
        <f>'PFAS Properties'!$Y$33</f>
        <v>-</v>
      </c>
      <c r="N366" s="33">
        <v>0</v>
      </c>
      <c r="O366" s="33">
        <v>0</v>
      </c>
      <c r="P366" s="33">
        <v>0</v>
      </c>
      <c r="Q366" s="33">
        <f t="shared" si="178"/>
        <v>0.99999996837722438</v>
      </c>
      <c r="R366" s="33">
        <v>0</v>
      </c>
      <c r="S366" s="33">
        <f t="shared" si="179"/>
        <v>3.1622775601683729E-8</v>
      </c>
      <c r="T366" s="8">
        <f t="shared" si="180"/>
        <v>1</v>
      </c>
      <c r="U366" s="33">
        <f t="shared" si="181"/>
        <v>0</v>
      </c>
      <c r="V366" s="33">
        <f t="shared" si="182"/>
        <v>-0.99999996837722438</v>
      </c>
      <c r="W366" s="33">
        <f t="shared" si="183"/>
        <v>412.97360003162271</v>
      </c>
      <c r="X366" s="33">
        <v>96485</v>
      </c>
      <c r="Y366" s="16">
        <f t="shared" si="184"/>
        <v>-233.63478183953725</v>
      </c>
      <c r="Z366" s="16">
        <v>8</v>
      </c>
      <c r="AA366" s="16">
        <v>15</v>
      </c>
      <c r="AB366" s="8">
        <f t="shared" si="185"/>
        <v>0.33684210526315789</v>
      </c>
      <c r="AC366" s="16">
        <f t="shared" si="177"/>
        <v>68.844969824162703</v>
      </c>
      <c r="AD366" s="20">
        <f>'PFAS Properties'!$W$33</f>
        <v>7</v>
      </c>
      <c r="AE366" s="8">
        <f>'PFAS Properties'!$S$33</f>
        <v>2.6821450763738319</v>
      </c>
      <c r="AF366" s="15">
        <f>'PFAS Properties'!$V$33</f>
        <v>4.9000000000000004</v>
      </c>
      <c r="AG366" s="24">
        <v>7.3</v>
      </c>
      <c r="AH366" s="2" t="s">
        <v>661</v>
      </c>
      <c r="AI366" s="2">
        <v>1.1000000000000001</v>
      </c>
      <c r="AJ366" s="15">
        <f t="shared" si="188"/>
        <v>19.697376667562004</v>
      </c>
      <c r="AK366" s="15">
        <f t="shared" si="189"/>
        <v>0.11000000000000001</v>
      </c>
      <c r="AL366" s="2">
        <v>0.54</v>
      </c>
      <c r="AM366" s="15">
        <f t="shared" si="190"/>
        <v>20.014825796886583</v>
      </c>
      <c r="AN366" s="15">
        <f t="shared" si="191"/>
        <v>5.4000000000000006E-2</v>
      </c>
      <c r="AO366" s="2" t="s">
        <v>710</v>
      </c>
      <c r="AP366" s="72">
        <v>14.54611666666667</v>
      </c>
      <c r="AQ366" s="70" t="s">
        <v>752</v>
      </c>
      <c r="AR366" s="2">
        <v>92</v>
      </c>
      <c r="AS366" s="2">
        <v>0.7</v>
      </c>
      <c r="AT366" s="2">
        <v>3.1</v>
      </c>
      <c r="AU366" s="2" t="s">
        <v>661</v>
      </c>
      <c r="AV366" s="16">
        <f t="shared" si="192"/>
        <v>95.8</v>
      </c>
      <c r="AW366" s="18">
        <v>0.5</v>
      </c>
      <c r="AX366" s="13">
        <f t="shared" si="193"/>
        <v>5.0000000000000001E-3</v>
      </c>
      <c r="AY366" s="8" t="s">
        <v>67</v>
      </c>
      <c r="AZ366" s="16">
        <f t="shared" si="194"/>
        <v>20</v>
      </c>
      <c r="BA366" s="16" t="s">
        <v>55</v>
      </c>
      <c r="BB366" s="16">
        <v>10</v>
      </c>
      <c r="BC366" s="16" t="s">
        <v>55</v>
      </c>
      <c r="BD366" s="18">
        <v>1.4</v>
      </c>
      <c r="BE366" s="15">
        <f t="shared" si="195"/>
        <v>280</v>
      </c>
      <c r="BF366" s="8">
        <f t="shared" si="186"/>
        <v>2.4471580313422194</v>
      </c>
      <c r="BG366" s="8">
        <f t="shared" si="196"/>
        <v>0.14612803567823801</v>
      </c>
      <c r="BH366" s="13" t="s">
        <v>841</v>
      </c>
      <c r="BI366" s="13"/>
      <c r="BJ366" s="13"/>
      <c r="BK366" s="8"/>
      <c r="BL366" s="8"/>
      <c r="BM366" s="18"/>
      <c r="BN366" s="8"/>
      <c r="BO366" s="24"/>
    </row>
    <row r="367" spans="1:67" s="14" customFormat="1" x14ac:dyDescent="0.3">
      <c r="A367" s="20">
        <v>365</v>
      </c>
      <c r="B367" s="2" t="s">
        <v>219</v>
      </c>
      <c r="C367" s="2">
        <v>2020</v>
      </c>
      <c r="D367" s="2" t="s">
        <v>201</v>
      </c>
      <c r="E367" s="10" t="s">
        <v>801</v>
      </c>
      <c r="F367" s="20" t="s">
        <v>29</v>
      </c>
      <c r="G367" s="2" t="s">
        <v>69</v>
      </c>
      <c r="H367" s="2" t="str">
        <f>'PFAS Properties'!$B$33</f>
        <v>PFOA</v>
      </c>
      <c r="I367" s="2" t="str">
        <f>'PFAS Properties'!$C$33</f>
        <v>PFCA</v>
      </c>
      <c r="J367" s="2" t="str">
        <f>'PFAS Properties'!$D$33</f>
        <v>C8HF15O2</v>
      </c>
      <c r="K367" s="25">
        <f>'PFAS Properties'!$P$33</f>
        <v>413.97359999999998</v>
      </c>
      <c r="L367" s="2">
        <f>'PFAS Properties'!$X$33</f>
        <v>-0.2</v>
      </c>
      <c r="M367" s="2" t="str">
        <f>'PFAS Properties'!$Y$33</f>
        <v>-</v>
      </c>
      <c r="N367" s="33">
        <v>0</v>
      </c>
      <c r="O367" s="33">
        <v>0</v>
      </c>
      <c r="P367" s="33">
        <v>0</v>
      </c>
      <c r="Q367" s="33">
        <f t="shared" si="178"/>
        <v>0.99999995926197383</v>
      </c>
      <c r="R367" s="33">
        <v>0</v>
      </c>
      <c r="S367" s="33">
        <f t="shared" si="179"/>
        <v>4.0738026120824273E-8</v>
      </c>
      <c r="T367" s="8">
        <f t="shared" si="180"/>
        <v>1</v>
      </c>
      <c r="U367" s="33">
        <f t="shared" si="181"/>
        <v>0</v>
      </c>
      <c r="V367" s="33">
        <f t="shared" si="182"/>
        <v>-0.99999995926197383</v>
      </c>
      <c r="W367" s="33">
        <f t="shared" si="183"/>
        <v>412.97360004073801</v>
      </c>
      <c r="X367" s="33">
        <v>96485</v>
      </c>
      <c r="Y367" s="16">
        <f t="shared" si="184"/>
        <v>-233.63477970474077</v>
      </c>
      <c r="Z367" s="16">
        <v>8</v>
      </c>
      <c r="AA367" s="16">
        <v>15</v>
      </c>
      <c r="AB367" s="8">
        <f t="shared" si="185"/>
        <v>0.33684210526315789</v>
      </c>
      <c r="AC367" s="16">
        <f t="shared" si="177"/>
        <v>68.844969824162703</v>
      </c>
      <c r="AD367" s="20">
        <f>'PFAS Properties'!$W$33</f>
        <v>7</v>
      </c>
      <c r="AE367" s="8">
        <f>'PFAS Properties'!$S$33</f>
        <v>2.6821450763738319</v>
      </c>
      <c r="AF367" s="15">
        <f>'PFAS Properties'!$V$33</f>
        <v>4.9000000000000004</v>
      </c>
      <c r="AG367" s="24">
        <v>7.19</v>
      </c>
      <c r="AH367" s="2" t="s">
        <v>661</v>
      </c>
      <c r="AI367" s="2">
        <v>3</v>
      </c>
      <c r="AJ367" s="15">
        <f t="shared" si="188"/>
        <v>53.720118184260009</v>
      </c>
      <c r="AK367" s="15">
        <f t="shared" si="189"/>
        <v>0.3</v>
      </c>
      <c r="AL367" s="2">
        <v>1.2</v>
      </c>
      <c r="AM367" s="15">
        <f t="shared" si="190"/>
        <v>44.477390659747961</v>
      </c>
      <c r="AN367" s="15">
        <f t="shared" si="191"/>
        <v>0.12</v>
      </c>
      <c r="AO367" s="2" t="s">
        <v>710</v>
      </c>
      <c r="AP367" s="72">
        <v>5.4888166666666667</v>
      </c>
      <c r="AQ367" s="70" t="s">
        <v>752</v>
      </c>
      <c r="AR367" s="2">
        <v>83</v>
      </c>
      <c r="AS367" s="2">
        <v>1.9</v>
      </c>
      <c r="AT367" s="2">
        <v>5.3</v>
      </c>
      <c r="AU367" s="2" t="s">
        <v>661</v>
      </c>
      <c r="AV367" s="16">
        <f t="shared" si="192"/>
        <v>90.2</v>
      </c>
      <c r="AW367" s="18">
        <v>2.7</v>
      </c>
      <c r="AX367" s="13">
        <f t="shared" si="193"/>
        <v>2.7000000000000003E-2</v>
      </c>
      <c r="AY367" s="8" t="s">
        <v>67</v>
      </c>
      <c r="AZ367" s="16">
        <f t="shared" si="194"/>
        <v>20</v>
      </c>
      <c r="BA367" s="16" t="s">
        <v>55</v>
      </c>
      <c r="BB367" s="16">
        <v>10</v>
      </c>
      <c r="BC367" s="16" t="s">
        <v>55</v>
      </c>
      <c r="BD367" s="18">
        <v>4.34</v>
      </c>
      <c r="BE367" s="15">
        <f t="shared" si="195"/>
        <v>160.7407407407407</v>
      </c>
      <c r="BF367" s="8">
        <f t="shared" si="186"/>
        <v>2.2061259653535235</v>
      </c>
      <c r="BG367" s="8">
        <f t="shared" si="196"/>
        <v>0.63748972951251071</v>
      </c>
      <c r="BH367" s="13" t="s">
        <v>841</v>
      </c>
      <c r="BI367" s="13"/>
      <c r="BJ367" s="13"/>
      <c r="BK367" s="8"/>
      <c r="BL367" s="8"/>
      <c r="BM367" s="18"/>
      <c r="BN367" s="8"/>
      <c r="BO367" s="24"/>
    </row>
    <row r="368" spans="1:67" s="14" customFormat="1" x14ac:dyDescent="0.3">
      <c r="A368" s="20">
        <v>366</v>
      </c>
      <c r="B368" s="2" t="s">
        <v>219</v>
      </c>
      <c r="C368" s="2">
        <v>2020</v>
      </c>
      <c r="D368" s="2" t="s">
        <v>201</v>
      </c>
      <c r="E368" s="10" t="s">
        <v>801</v>
      </c>
      <c r="F368" s="20" t="s">
        <v>29</v>
      </c>
      <c r="G368" s="2" t="s">
        <v>70</v>
      </c>
      <c r="H368" s="2" t="str">
        <f>'PFAS Properties'!$B$33</f>
        <v>PFOA</v>
      </c>
      <c r="I368" s="2" t="str">
        <f>'PFAS Properties'!$C$33</f>
        <v>PFCA</v>
      </c>
      <c r="J368" s="2" t="str">
        <f>'PFAS Properties'!$D$33</f>
        <v>C8HF15O2</v>
      </c>
      <c r="K368" s="25">
        <f>'PFAS Properties'!$P$33</f>
        <v>413.97359999999998</v>
      </c>
      <c r="L368" s="2">
        <f>'PFAS Properties'!$X$33</f>
        <v>-0.2</v>
      </c>
      <c r="M368" s="2" t="str">
        <f>'PFAS Properties'!$Y$33</f>
        <v>-</v>
      </c>
      <c r="N368" s="33">
        <v>0</v>
      </c>
      <c r="O368" s="33">
        <v>0</v>
      </c>
      <c r="P368" s="33">
        <v>0</v>
      </c>
      <c r="Q368" s="33">
        <f t="shared" si="178"/>
        <v>0.99999998004737722</v>
      </c>
      <c r="R368" s="33">
        <v>0</v>
      </c>
      <c r="S368" s="33">
        <f t="shared" si="179"/>
        <v>1.995262275158161E-8</v>
      </c>
      <c r="T368" s="8">
        <f t="shared" si="180"/>
        <v>1</v>
      </c>
      <c r="U368" s="33">
        <f t="shared" si="181"/>
        <v>0</v>
      </c>
      <c r="V368" s="33">
        <f t="shared" si="182"/>
        <v>-0.99999998004737722</v>
      </c>
      <c r="W368" s="33">
        <f t="shared" si="183"/>
        <v>412.97360001995258</v>
      </c>
      <c r="X368" s="33">
        <v>96485</v>
      </c>
      <c r="Y368" s="16">
        <f t="shared" si="184"/>
        <v>-233.63478457269321</v>
      </c>
      <c r="Z368" s="16">
        <v>8</v>
      </c>
      <c r="AA368" s="16">
        <v>15</v>
      </c>
      <c r="AB368" s="8">
        <f t="shared" si="185"/>
        <v>0.33684210526315789</v>
      </c>
      <c r="AC368" s="16">
        <f t="shared" si="177"/>
        <v>68.844969824162703</v>
      </c>
      <c r="AD368" s="20">
        <f>'PFAS Properties'!$W$33</f>
        <v>7</v>
      </c>
      <c r="AE368" s="8">
        <f>'PFAS Properties'!$S$33</f>
        <v>2.6821450763738319</v>
      </c>
      <c r="AF368" s="15">
        <f>'PFAS Properties'!$V$33</f>
        <v>4.9000000000000004</v>
      </c>
      <c r="AG368" s="24">
        <v>7.5</v>
      </c>
      <c r="AH368" s="2" t="s">
        <v>661</v>
      </c>
      <c r="AI368" s="2">
        <v>2.2000000000000002</v>
      </c>
      <c r="AJ368" s="15">
        <f t="shared" si="188"/>
        <v>39.394753335124008</v>
      </c>
      <c r="AK368" s="15">
        <f t="shared" si="189"/>
        <v>0.22000000000000003</v>
      </c>
      <c r="AL368" s="2">
        <v>8</v>
      </c>
      <c r="AM368" s="15">
        <f t="shared" si="190"/>
        <v>296.51593773165308</v>
      </c>
      <c r="AN368" s="15">
        <f t="shared" si="191"/>
        <v>0.8</v>
      </c>
      <c r="AO368" s="2" t="s">
        <v>710</v>
      </c>
      <c r="AP368" s="72">
        <v>5.670066666666667</v>
      </c>
      <c r="AQ368" s="70" t="s">
        <v>752</v>
      </c>
      <c r="AR368" s="2">
        <v>76</v>
      </c>
      <c r="AS368" s="2">
        <v>6</v>
      </c>
      <c r="AT368" s="2">
        <v>13</v>
      </c>
      <c r="AU368" s="2" t="s">
        <v>661</v>
      </c>
      <c r="AV368" s="16">
        <f t="shared" si="192"/>
        <v>95</v>
      </c>
      <c r="AW368" s="18">
        <v>1.1000000000000001</v>
      </c>
      <c r="AX368" s="13">
        <f t="shared" si="193"/>
        <v>1.1000000000000001E-2</v>
      </c>
      <c r="AY368" s="8" t="s">
        <v>67</v>
      </c>
      <c r="AZ368" s="16">
        <f t="shared" si="194"/>
        <v>20</v>
      </c>
      <c r="BA368" s="16" t="s">
        <v>55</v>
      </c>
      <c r="BB368" s="16">
        <v>10</v>
      </c>
      <c r="BC368" s="16" t="s">
        <v>55</v>
      </c>
      <c r="BD368" s="18">
        <v>1.82</v>
      </c>
      <c r="BE368" s="15">
        <f t="shared" si="195"/>
        <v>165.45454545454544</v>
      </c>
      <c r="BF368" s="8">
        <f t="shared" si="186"/>
        <v>2.2186787028268498</v>
      </c>
      <c r="BG368" s="8">
        <f t="shared" si="196"/>
        <v>0.26007138798507479</v>
      </c>
      <c r="BH368" s="13" t="s">
        <v>841</v>
      </c>
      <c r="BI368" s="13"/>
      <c r="BJ368" s="13"/>
      <c r="BK368" s="8"/>
      <c r="BL368" s="8"/>
      <c r="BM368" s="18"/>
      <c r="BN368" s="8"/>
      <c r="BO368" s="24"/>
    </row>
    <row r="369" spans="1:67" s="14" customFormat="1" x14ac:dyDescent="0.3">
      <c r="A369" s="20">
        <v>367</v>
      </c>
      <c r="B369" s="2" t="s">
        <v>219</v>
      </c>
      <c r="C369" s="2">
        <v>2020</v>
      </c>
      <c r="D369" s="2" t="s">
        <v>201</v>
      </c>
      <c r="E369" s="10" t="s">
        <v>801</v>
      </c>
      <c r="F369" s="20" t="s">
        <v>29</v>
      </c>
      <c r="G369" s="2" t="s">
        <v>71</v>
      </c>
      <c r="H369" s="2" t="str">
        <f>'PFAS Properties'!$B$33</f>
        <v>PFOA</v>
      </c>
      <c r="I369" s="2" t="str">
        <f>'PFAS Properties'!$C$33</f>
        <v>PFCA</v>
      </c>
      <c r="J369" s="2" t="str">
        <f>'PFAS Properties'!$D$33</f>
        <v>C8HF15O2</v>
      </c>
      <c r="K369" s="25">
        <f>'PFAS Properties'!$P$33</f>
        <v>413.97359999999998</v>
      </c>
      <c r="L369" s="2">
        <f>'PFAS Properties'!$X$33</f>
        <v>-0.2</v>
      </c>
      <c r="M369" s="2" t="str">
        <f>'PFAS Properties'!$Y$33</f>
        <v>-</v>
      </c>
      <c r="N369" s="33">
        <v>0</v>
      </c>
      <c r="O369" s="33">
        <v>0</v>
      </c>
      <c r="P369" s="33">
        <v>0</v>
      </c>
      <c r="Q369" s="33">
        <f t="shared" si="178"/>
        <v>0.99999990667457861</v>
      </c>
      <c r="R369" s="33">
        <v>0</v>
      </c>
      <c r="S369" s="33">
        <f t="shared" si="179"/>
        <v>9.3325421370063985E-8</v>
      </c>
      <c r="T369" s="8">
        <f t="shared" si="180"/>
        <v>1</v>
      </c>
      <c r="U369" s="33">
        <f t="shared" si="181"/>
        <v>0</v>
      </c>
      <c r="V369" s="33">
        <f t="shared" si="182"/>
        <v>-0.99999990667457861</v>
      </c>
      <c r="W369" s="33">
        <f t="shared" si="183"/>
        <v>412.97360009332539</v>
      </c>
      <c r="X369" s="33">
        <v>96485</v>
      </c>
      <c r="Y369" s="16">
        <f t="shared" si="184"/>
        <v>-233.6347673887451</v>
      </c>
      <c r="Z369" s="16">
        <v>8</v>
      </c>
      <c r="AA369" s="16">
        <v>15</v>
      </c>
      <c r="AB369" s="8">
        <f t="shared" si="185"/>
        <v>0.33684210526315789</v>
      </c>
      <c r="AC369" s="16">
        <f t="shared" si="177"/>
        <v>68.844969824162703</v>
      </c>
      <c r="AD369" s="20">
        <f>'PFAS Properties'!$W$33</f>
        <v>7</v>
      </c>
      <c r="AE369" s="8">
        <f>'PFAS Properties'!$S$33</f>
        <v>2.6821450763738319</v>
      </c>
      <c r="AF369" s="15">
        <f>'PFAS Properties'!$V$33</f>
        <v>4.9000000000000004</v>
      </c>
      <c r="AG369" s="24">
        <v>6.83</v>
      </c>
      <c r="AH369" s="2" t="s">
        <v>661</v>
      </c>
      <c r="AI369" s="2">
        <v>47</v>
      </c>
      <c r="AJ369" s="15">
        <f t="shared" si="188"/>
        <v>841.61518488674005</v>
      </c>
      <c r="AK369" s="15">
        <f t="shared" si="189"/>
        <v>4.7</v>
      </c>
      <c r="AL369" s="2">
        <v>20</v>
      </c>
      <c r="AM369" s="15">
        <f t="shared" si="190"/>
        <v>741.28984432913273</v>
      </c>
      <c r="AN369" s="15">
        <f t="shared" si="191"/>
        <v>2</v>
      </c>
      <c r="AO369" s="2" t="s">
        <v>710</v>
      </c>
      <c r="AP369" s="72">
        <v>8.2616166666666668</v>
      </c>
      <c r="AQ369" s="70" t="s">
        <v>752</v>
      </c>
      <c r="AR369" s="2">
        <v>13</v>
      </c>
      <c r="AS369" s="2">
        <v>14</v>
      </c>
      <c r="AT369" s="2">
        <v>53</v>
      </c>
      <c r="AU369" s="2" t="s">
        <v>661</v>
      </c>
      <c r="AV369" s="16">
        <f t="shared" si="192"/>
        <v>80</v>
      </c>
      <c r="AW369" s="18">
        <v>5</v>
      </c>
      <c r="AX369" s="13">
        <f t="shared" si="193"/>
        <v>0.05</v>
      </c>
      <c r="AY369" s="8" t="s">
        <v>67</v>
      </c>
      <c r="AZ369" s="16">
        <f t="shared" si="194"/>
        <v>20</v>
      </c>
      <c r="BA369" s="16" t="s">
        <v>55</v>
      </c>
      <c r="BB369" s="16">
        <v>10</v>
      </c>
      <c r="BC369" s="16" t="s">
        <v>55</v>
      </c>
      <c r="BD369" s="18">
        <v>6.63</v>
      </c>
      <c r="BE369" s="15">
        <f t="shared" si="195"/>
        <v>132.6</v>
      </c>
      <c r="BF369" s="8">
        <f t="shared" si="186"/>
        <v>2.1225435240687545</v>
      </c>
      <c r="BG369" s="8">
        <f t="shared" si="196"/>
        <v>0.8215135284047731</v>
      </c>
      <c r="BH369" s="13" t="s">
        <v>841</v>
      </c>
      <c r="BI369" s="13"/>
      <c r="BJ369" s="13"/>
      <c r="BK369" s="8"/>
      <c r="BL369" s="8"/>
      <c r="BM369" s="18"/>
      <c r="BN369" s="8"/>
      <c r="BO369" s="24"/>
    </row>
    <row r="370" spans="1:67" s="14" customFormat="1" x14ac:dyDescent="0.3">
      <c r="A370" s="20">
        <v>368</v>
      </c>
      <c r="B370" s="2" t="s">
        <v>219</v>
      </c>
      <c r="C370" s="2">
        <v>2020</v>
      </c>
      <c r="D370" s="2" t="s">
        <v>201</v>
      </c>
      <c r="E370" s="10" t="s">
        <v>801</v>
      </c>
      <c r="F370" s="20" t="s">
        <v>29</v>
      </c>
      <c r="G370" s="2" t="s">
        <v>72</v>
      </c>
      <c r="H370" s="2" t="str">
        <f>'PFAS Properties'!$B$33</f>
        <v>PFOA</v>
      </c>
      <c r="I370" s="2" t="str">
        <f>'PFAS Properties'!$C$33</f>
        <v>PFCA</v>
      </c>
      <c r="J370" s="2" t="str">
        <f>'PFAS Properties'!$D$33</f>
        <v>C8HF15O2</v>
      </c>
      <c r="K370" s="25">
        <f>'PFAS Properties'!$P$33</f>
        <v>413.97359999999998</v>
      </c>
      <c r="L370" s="2">
        <f>'PFAS Properties'!$X$33</f>
        <v>-0.2</v>
      </c>
      <c r="M370" s="2" t="str">
        <f>'PFAS Properties'!$Y$33</f>
        <v>-</v>
      </c>
      <c r="N370" s="33">
        <v>0</v>
      </c>
      <c r="O370" s="33">
        <v>0</v>
      </c>
      <c r="P370" s="33">
        <v>0</v>
      </c>
      <c r="Q370" s="33">
        <f t="shared" si="178"/>
        <v>0.99999989528715616</v>
      </c>
      <c r="R370" s="33">
        <v>0</v>
      </c>
      <c r="S370" s="33">
        <f t="shared" si="179"/>
        <v>1.0471284384030905E-7</v>
      </c>
      <c r="T370" s="8">
        <f t="shared" si="180"/>
        <v>1</v>
      </c>
      <c r="U370" s="33">
        <f t="shared" si="181"/>
        <v>0</v>
      </c>
      <c r="V370" s="33">
        <f t="shared" si="182"/>
        <v>-0.99999989528715616</v>
      </c>
      <c r="W370" s="33">
        <f t="shared" si="183"/>
        <v>412.97360010471277</v>
      </c>
      <c r="X370" s="33">
        <v>96485</v>
      </c>
      <c r="Y370" s="16">
        <f t="shared" si="184"/>
        <v>-233.63476472180477</v>
      </c>
      <c r="Z370" s="16">
        <v>8</v>
      </c>
      <c r="AA370" s="16">
        <v>15</v>
      </c>
      <c r="AB370" s="8">
        <f t="shared" si="185"/>
        <v>0.33684210526315789</v>
      </c>
      <c r="AC370" s="16">
        <f t="shared" si="177"/>
        <v>68.844969824162703</v>
      </c>
      <c r="AD370" s="20">
        <f>'PFAS Properties'!$W$33</f>
        <v>7</v>
      </c>
      <c r="AE370" s="8">
        <f>'PFAS Properties'!$S$33</f>
        <v>2.6821450763738319</v>
      </c>
      <c r="AF370" s="15">
        <f>'PFAS Properties'!$V$33</f>
        <v>4.9000000000000004</v>
      </c>
      <c r="AG370" s="24">
        <v>6.78</v>
      </c>
      <c r="AH370" s="2" t="s">
        <v>661</v>
      </c>
      <c r="AI370" s="2">
        <v>21</v>
      </c>
      <c r="AJ370" s="15">
        <f t="shared" si="188"/>
        <v>376.04082728982007</v>
      </c>
      <c r="AK370" s="15">
        <f t="shared" si="189"/>
        <v>2.1</v>
      </c>
      <c r="AL370" s="2">
        <v>1.8</v>
      </c>
      <c r="AM370" s="15">
        <f t="shared" si="190"/>
        <v>66.716085989621945</v>
      </c>
      <c r="AN370" s="15">
        <f t="shared" si="191"/>
        <v>0.18</v>
      </c>
      <c r="AO370" s="2" t="s">
        <v>710</v>
      </c>
      <c r="AP370" s="72">
        <v>5.6660666666666657</v>
      </c>
      <c r="AQ370" s="70" t="s">
        <v>752</v>
      </c>
      <c r="AR370" s="2">
        <v>88</v>
      </c>
      <c r="AS370" s="2">
        <v>2.1</v>
      </c>
      <c r="AT370" s="2">
        <v>5.7</v>
      </c>
      <c r="AU370" s="2" t="s">
        <v>661</v>
      </c>
      <c r="AV370" s="16">
        <f t="shared" si="192"/>
        <v>95.8</v>
      </c>
      <c r="AW370" s="18">
        <v>1.1000000000000001</v>
      </c>
      <c r="AX370" s="13">
        <f t="shared" si="193"/>
        <v>1.1000000000000001E-2</v>
      </c>
      <c r="AY370" s="8" t="s">
        <v>67</v>
      </c>
      <c r="AZ370" s="16">
        <f t="shared" si="194"/>
        <v>20</v>
      </c>
      <c r="BA370" s="16" t="s">
        <v>55</v>
      </c>
      <c r="BB370" s="16">
        <v>10</v>
      </c>
      <c r="BC370" s="16" t="s">
        <v>55</v>
      </c>
      <c r="BD370" s="18">
        <v>2.2200000000000002</v>
      </c>
      <c r="BE370" s="15">
        <f t="shared" si="195"/>
        <v>201.81818181818181</v>
      </c>
      <c r="BF370" s="8">
        <f t="shared" si="186"/>
        <v>2.3049602892924135</v>
      </c>
      <c r="BG370" s="8">
        <f t="shared" si="196"/>
        <v>0.34635297445063867</v>
      </c>
      <c r="BH370" s="13" t="s">
        <v>841</v>
      </c>
      <c r="BI370" s="13"/>
      <c r="BJ370" s="13"/>
      <c r="BK370" s="8"/>
      <c r="BL370" s="8"/>
      <c r="BM370" s="18"/>
      <c r="BN370" s="8"/>
      <c r="BO370" s="24"/>
    </row>
    <row r="371" spans="1:67" s="14" customFormat="1" x14ac:dyDescent="0.3">
      <c r="A371" s="20">
        <v>369</v>
      </c>
      <c r="B371" s="2" t="s">
        <v>219</v>
      </c>
      <c r="C371" s="2">
        <v>2020</v>
      </c>
      <c r="D371" s="2" t="s">
        <v>201</v>
      </c>
      <c r="E371" s="10" t="s">
        <v>801</v>
      </c>
      <c r="F371" s="20" t="s">
        <v>29</v>
      </c>
      <c r="G371" s="2" t="s">
        <v>73</v>
      </c>
      <c r="H371" s="2" t="str">
        <f>'PFAS Properties'!$B$33</f>
        <v>PFOA</v>
      </c>
      <c r="I371" s="2" t="str">
        <f>'PFAS Properties'!$C$33</f>
        <v>PFCA</v>
      </c>
      <c r="J371" s="2" t="str">
        <f>'PFAS Properties'!$D$33</f>
        <v>C8HF15O2</v>
      </c>
      <c r="K371" s="25">
        <f>'PFAS Properties'!$P$33</f>
        <v>413.97359999999998</v>
      </c>
      <c r="L371" s="2">
        <f>'PFAS Properties'!$X$33</f>
        <v>-0.2</v>
      </c>
      <c r="M371" s="2" t="str">
        <f>'PFAS Properties'!$Y$33</f>
        <v>-</v>
      </c>
      <c r="N371" s="33">
        <v>0</v>
      </c>
      <c r="O371" s="33">
        <v>0</v>
      </c>
      <c r="P371" s="33">
        <v>0</v>
      </c>
      <c r="Q371" s="33">
        <f t="shared" si="178"/>
        <v>0.9999998681743435</v>
      </c>
      <c r="R371" s="33">
        <v>0</v>
      </c>
      <c r="S371" s="33">
        <f t="shared" si="179"/>
        <v>1.3182565647763447E-7</v>
      </c>
      <c r="T371" s="8">
        <f t="shared" si="180"/>
        <v>1</v>
      </c>
      <c r="U371" s="33">
        <f t="shared" si="181"/>
        <v>0</v>
      </c>
      <c r="V371" s="33">
        <f t="shared" si="182"/>
        <v>-0.9999998681743435</v>
      </c>
      <c r="W371" s="33">
        <f t="shared" si="183"/>
        <v>412.97360013182561</v>
      </c>
      <c r="X371" s="33">
        <v>96485</v>
      </c>
      <c r="Y371" s="16">
        <f t="shared" si="184"/>
        <v>-233.63475837196975</v>
      </c>
      <c r="Z371" s="16">
        <v>8</v>
      </c>
      <c r="AA371" s="16">
        <v>15</v>
      </c>
      <c r="AB371" s="8">
        <f t="shared" si="185"/>
        <v>0.33684210526315789</v>
      </c>
      <c r="AC371" s="16">
        <f t="shared" si="177"/>
        <v>68.844969824162703</v>
      </c>
      <c r="AD371" s="20">
        <f>'PFAS Properties'!$W$33</f>
        <v>7</v>
      </c>
      <c r="AE371" s="8">
        <f>'PFAS Properties'!$S$33</f>
        <v>2.6821450763738319</v>
      </c>
      <c r="AF371" s="15">
        <f>'PFAS Properties'!$V$33</f>
        <v>4.9000000000000004</v>
      </c>
      <c r="AG371" s="24">
        <v>6.68</v>
      </c>
      <c r="AH371" s="2" t="s">
        <v>661</v>
      </c>
      <c r="AI371" s="2">
        <v>0.62</v>
      </c>
      <c r="AJ371" s="15">
        <f t="shared" si="188"/>
        <v>11.102157758080402</v>
      </c>
      <c r="AK371" s="15">
        <f t="shared" si="189"/>
        <v>6.2E-2</v>
      </c>
      <c r="AL371" s="2">
        <v>0.7</v>
      </c>
      <c r="AM371" s="15">
        <f t="shared" si="190"/>
        <v>25.945144551519643</v>
      </c>
      <c r="AN371" s="15">
        <f t="shared" si="191"/>
        <v>6.9999999999999993E-2</v>
      </c>
      <c r="AO371" s="2" t="s">
        <v>710</v>
      </c>
      <c r="AP371" s="72">
        <v>9.8359666666666676</v>
      </c>
      <c r="AQ371" s="70" t="s">
        <v>752</v>
      </c>
      <c r="AR371" s="2">
        <v>96</v>
      </c>
      <c r="AS371" s="2">
        <v>0</v>
      </c>
      <c r="AT371" s="2">
        <v>0.5</v>
      </c>
      <c r="AU371" s="2" t="s">
        <v>661</v>
      </c>
      <c r="AV371" s="16">
        <f t="shared" si="192"/>
        <v>96.5</v>
      </c>
      <c r="AW371" s="18">
        <v>0.3</v>
      </c>
      <c r="AX371" s="13">
        <f t="shared" si="193"/>
        <v>3.0000000000000001E-3</v>
      </c>
      <c r="AY371" s="8" t="s">
        <v>67</v>
      </c>
      <c r="AZ371" s="16">
        <f t="shared" si="194"/>
        <v>20</v>
      </c>
      <c r="BA371" s="16" t="s">
        <v>55</v>
      </c>
      <c r="BB371" s="16">
        <v>10</v>
      </c>
      <c r="BC371" s="16" t="s">
        <v>55</v>
      </c>
      <c r="BD371" s="18">
        <v>1.1299999999999999</v>
      </c>
      <c r="BE371" s="15">
        <f t="shared" si="195"/>
        <v>376.66666666666663</v>
      </c>
      <c r="BF371" s="8">
        <f t="shared" si="186"/>
        <v>2.5759571887637573</v>
      </c>
      <c r="BG371" s="8">
        <f t="shared" si="196"/>
        <v>5.3078443483419682E-2</v>
      </c>
      <c r="BH371" s="13" t="s">
        <v>841</v>
      </c>
      <c r="BI371" s="13"/>
      <c r="BJ371" s="13"/>
      <c r="BK371" s="8"/>
      <c r="BL371" s="8"/>
      <c r="BM371" s="18"/>
      <c r="BN371" s="8"/>
      <c r="BO371" s="24"/>
    </row>
    <row r="372" spans="1:67" s="14" customFormat="1" x14ac:dyDescent="0.3">
      <c r="A372" s="20">
        <v>370</v>
      </c>
      <c r="B372" s="2" t="s">
        <v>219</v>
      </c>
      <c r="C372" s="2">
        <v>2020</v>
      </c>
      <c r="D372" s="2" t="s">
        <v>201</v>
      </c>
      <c r="E372" s="22" t="s">
        <v>801</v>
      </c>
      <c r="F372" s="20" t="s">
        <v>29</v>
      </c>
      <c r="G372" s="2" t="s">
        <v>74</v>
      </c>
      <c r="H372" s="2" t="str">
        <f>'PFAS Properties'!$B$33</f>
        <v>PFOA</v>
      </c>
      <c r="I372" s="2" t="str">
        <f>'PFAS Properties'!$C$33</f>
        <v>PFCA</v>
      </c>
      <c r="J372" s="2" t="str">
        <f>'PFAS Properties'!$D$33</f>
        <v>C8HF15O2</v>
      </c>
      <c r="K372" s="25">
        <f>'PFAS Properties'!$P$33</f>
        <v>413.97359999999998</v>
      </c>
      <c r="L372" s="2">
        <f>'PFAS Properties'!$X$33</f>
        <v>-0.2</v>
      </c>
      <c r="M372" s="2" t="str">
        <f>'PFAS Properties'!$Y$33</f>
        <v>-</v>
      </c>
      <c r="N372" s="33">
        <v>0</v>
      </c>
      <c r="O372" s="33">
        <v>0</v>
      </c>
      <c r="P372" s="33">
        <v>0</v>
      </c>
      <c r="Q372" s="33">
        <f t="shared" si="178"/>
        <v>0.99999962846490897</v>
      </c>
      <c r="R372" s="33">
        <v>0</v>
      </c>
      <c r="S372" s="33">
        <f t="shared" si="179"/>
        <v>3.7153509105879646E-7</v>
      </c>
      <c r="T372" s="8">
        <f t="shared" si="180"/>
        <v>1</v>
      </c>
      <c r="U372" s="33">
        <f t="shared" si="181"/>
        <v>0</v>
      </c>
      <c r="V372" s="33">
        <f t="shared" si="182"/>
        <v>-0.99999962846490897</v>
      </c>
      <c r="W372" s="33">
        <f t="shared" si="183"/>
        <v>412.97360037153504</v>
      </c>
      <c r="X372" s="33">
        <v>96485</v>
      </c>
      <c r="Y372" s="16">
        <f t="shared" si="184"/>
        <v>-233.6347022318939</v>
      </c>
      <c r="Z372" s="16">
        <v>8</v>
      </c>
      <c r="AA372" s="16">
        <v>15</v>
      </c>
      <c r="AB372" s="8">
        <f t="shared" si="185"/>
        <v>0.33684210526315789</v>
      </c>
      <c r="AC372" s="16">
        <f t="shared" si="177"/>
        <v>68.844969824162703</v>
      </c>
      <c r="AD372" s="20">
        <f>'PFAS Properties'!$W$33</f>
        <v>7</v>
      </c>
      <c r="AE372" s="8">
        <f>'PFAS Properties'!$S$33</f>
        <v>2.6821450763738319</v>
      </c>
      <c r="AF372" s="15">
        <f>'PFAS Properties'!$V$33</f>
        <v>4.9000000000000004</v>
      </c>
      <c r="AG372" s="24">
        <v>6.23</v>
      </c>
      <c r="AH372" s="2" t="s">
        <v>661</v>
      </c>
      <c r="AI372" s="2">
        <v>25</v>
      </c>
      <c r="AJ372" s="15">
        <f t="shared" si="188"/>
        <v>447.66765153550006</v>
      </c>
      <c r="AK372" s="15">
        <f t="shared" si="189"/>
        <v>2.5</v>
      </c>
      <c r="AL372" s="2">
        <v>11</v>
      </c>
      <c r="AM372" s="15">
        <f t="shared" si="190"/>
        <v>407.70941438102295</v>
      </c>
      <c r="AN372" s="15">
        <f t="shared" si="191"/>
        <v>1.1000000000000001</v>
      </c>
      <c r="AO372" s="2" t="s">
        <v>710</v>
      </c>
      <c r="AP372" s="72">
        <v>5.7400666666666664</v>
      </c>
      <c r="AQ372" s="70" t="s">
        <v>752</v>
      </c>
      <c r="AR372" s="2">
        <v>75</v>
      </c>
      <c r="AS372" s="2">
        <v>8.6</v>
      </c>
      <c r="AT372" s="2">
        <v>8.8000000000000007</v>
      </c>
      <c r="AU372" s="2" t="s">
        <v>661</v>
      </c>
      <c r="AV372" s="16">
        <f t="shared" si="192"/>
        <v>92.399999999999991</v>
      </c>
      <c r="AW372" s="18">
        <v>3.6</v>
      </c>
      <c r="AX372" s="13">
        <f t="shared" si="193"/>
        <v>3.6000000000000004E-2</v>
      </c>
      <c r="AY372" s="8" t="s">
        <v>67</v>
      </c>
      <c r="AZ372" s="16">
        <f t="shared" si="194"/>
        <v>20</v>
      </c>
      <c r="BA372" s="16" t="s">
        <v>55</v>
      </c>
      <c r="BB372" s="16">
        <v>10</v>
      </c>
      <c r="BC372" s="16" t="s">
        <v>55</v>
      </c>
      <c r="BD372" s="18">
        <v>2.64</v>
      </c>
      <c r="BE372" s="15">
        <f t="shared" si="195"/>
        <v>73.333333333333329</v>
      </c>
      <c r="BF372" s="8">
        <f t="shared" si="186"/>
        <v>1.8653014261025438</v>
      </c>
      <c r="BG372" s="8">
        <f t="shared" si="196"/>
        <v>0.42160392686983106</v>
      </c>
      <c r="BH372" s="13" t="s">
        <v>841</v>
      </c>
      <c r="BI372" s="13"/>
      <c r="BJ372" s="13"/>
      <c r="BK372" s="8"/>
      <c r="BL372" s="8"/>
      <c r="BM372" s="18"/>
      <c r="BN372" s="8"/>
      <c r="BO372" s="24"/>
    </row>
    <row r="373" spans="1:67" s="14" customFormat="1" x14ac:dyDescent="0.3">
      <c r="A373" s="20">
        <v>371</v>
      </c>
      <c r="B373" s="2" t="s">
        <v>219</v>
      </c>
      <c r="C373" s="2">
        <v>2020</v>
      </c>
      <c r="D373" s="2" t="s">
        <v>201</v>
      </c>
      <c r="E373" s="10" t="s">
        <v>801</v>
      </c>
      <c r="F373" s="20" t="s">
        <v>29</v>
      </c>
      <c r="G373" s="2" t="s">
        <v>75</v>
      </c>
      <c r="H373" s="2" t="str">
        <f>'PFAS Properties'!$B$33</f>
        <v>PFOA</v>
      </c>
      <c r="I373" s="2" t="str">
        <f>'PFAS Properties'!$C$33</f>
        <v>PFCA</v>
      </c>
      <c r="J373" s="2" t="str">
        <f>'PFAS Properties'!$D$33</f>
        <v>C8HF15O2</v>
      </c>
      <c r="K373" s="25">
        <f>'PFAS Properties'!$P$33</f>
        <v>413.97359999999998</v>
      </c>
      <c r="L373" s="2">
        <f>'PFAS Properties'!$X$33</f>
        <v>-0.2</v>
      </c>
      <c r="M373" s="2" t="str">
        <f>'PFAS Properties'!$Y$33</f>
        <v>-</v>
      </c>
      <c r="N373" s="33">
        <v>0</v>
      </c>
      <c r="O373" s="33">
        <v>0</v>
      </c>
      <c r="P373" s="33">
        <v>0</v>
      </c>
      <c r="Q373" s="33">
        <f t="shared" si="178"/>
        <v>0.99999996764063537</v>
      </c>
      <c r="R373" s="33">
        <v>0</v>
      </c>
      <c r="S373" s="33">
        <f t="shared" si="179"/>
        <v>3.2359364645834216E-8</v>
      </c>
      <c r="T373" s="8">
        <f t="shared" si="180"/>
        <v>1</v>
      </c>
      <c r="U373" s="33">
        <f t="shared" si="181"/>
        <v>0</v>
      </c>
      <c r="V373" s="33">
        <f t="shared" si="182"/>
        <v>-0.99999996764063537</v>
      </c>
      <c r="W373" s="33">
        <f t="shared" si="183"/>
        <v>412.97360003235934</v>
      </c>
      <c r="X373" s="33">
        <v>96485</v>
      </c>
      <c r="Y373" s="16">
        <f t="shared" si="184"/>
        <v>-233.63478166702771</v>
      </c>
      <c r="Z373" s="16">
        <v>8</v>
      </c>
      <c r="AA373" s="16">
        <v>15</v>
      </c>
      <c r="AB373" s="8">
        <f t="shared" si="185"/>
        <v>0.33684210526315789</v>
      </c>
      <c r="AC373" s="16">
        <f t="shared" si="177"/>
        <v>68.844969824162703</v>
      </c>
      <c r="AD373" s="20">
        <f>'PFAS Properties'!$W$33</f>
        <v>7</v>
      </c>
      <c r="AE373" s="8">
        <f>'PFAS Properties'!$S$33</f>
        <v>2.6821450763738319</v>
      </c>
      <c r="AF373" s="15">
        <f>'PFAS Properties'!$V$33</f>
        <v>4.9000000000000004</v>
      </c>
      <c r="AG373" s="24">
        <v>7.29</v>
      </c>
      <c r="AH373" s="2" t="s">
        <v>661</v>
      </c>
      <c r="AI373" s="2">
        <v>5.3</v>
      </c>
      <c r="AJ373" s="15">
        <f t="shared" si="188"/>
        <v>94.905542125526011</v>
      </c>
      <c r="AK373" s="15">
        <f t="shared" si="189"/>
        <v>0.53</v>
      </c>
      <c r="AL373" s="2">
        <v>2.1</v>
      </c>
      <c r="AM373" s="15">
        <f t="shared" si="190"/>
        <v>77.835433654558926</v>
      </c>
      <c r="AN373" s="15">
        <f t="shared" si="191"/>
        <v>0.21000000000000002</v>
      </c>
      <c r="AO373" s="2" t="s">
        <v>710</v>
      </c>
      <c r="AP373" s="72">
        <v>6.4225666666666674</v>
      </c>
      <c r="AQ373" s="70" t="s">
        <v>752</v>
      </c>
      <c r="AR373" s="2">
        <v>90</v>
      </c>
      <c r="AS373" s="2">
        <v>2.2999999999999998</v>
      </c>
      <c r="AT373" s="2">
        <v>0.3</v>
      </c>
      <c r="AU373" s="2" t="s">
        <v>661</v>
      </c>
      <c r="AV373" s="16">
        <f t="shared" si="192"/>
        <v>92.6</v>
      </c>
      <c r="AW373" s="18">
        <v>0.7</v>
      </c>
      <c r="AX373" s="13">
        <f t="shared" si="193"/>
        <v>6.9999999999999993E-3</v>
      </c>
      <c r="AY373" s="8" t="s">
        <v>67</v>
      </c>
      <c r="AZ373" s="16">
        <f t="shared" si="194"/>
        <v>20</v>
      </c>
      <c r="BA373" s="16" t="s">
        <v>55</v>
      </c>
      <c r="BB373" s="16">
        <v>10</v>
      </c>
      <c r="BC373" s="16" t="s">
        <v>55</v>
      </c>
      <c r="BD373" s="18">
        <v>1.3</v>
      </c>
      <c r="BE373" s="15">
        <f t="shared" si="195"/>
        <v>185.71428571428575</v>
      </c>
      <c r="BF373" s="8">
        <f t="shared" si="186"/>
        <v>2.26884531229258</v>
      </c>
      <c r="BG373" s="8">
        <f t="shared" si="196"/>
        <v>0.11394335230683679</v>
      </c>
      <c r="BH373" s="13" t="s">
        <v>841</v>
      </c>
      <c r="BI373" s="13"/>
      <c r="BJ373" s="13"/>
      <c r="BK373" s="8"/>
      <c r="BL373" s="8"/>
      <c r="BM373" s="18"/>
      <c r="BN373" s="8"/>
      <c r="BO373" s="24"/>
    </row>
    <row r="374" spans="1:67" s="14" customFormat="1" x14ac:dyDescent="0.3">
      <c r="A374" s="20">
        <v>372</v>
      </c>
      <c r="B374" s="2" t="s">
        <v>219</v>
      </c>
      <c r="C374" s="2">
        <v>2020</v>
      </c>
      <c r="D374" s="2" t="s">
        <v>201</v>
      </c>
      <c r="E374" s="10" t="s">
        <v>801</v>
      </c>
      <c r="F374" s="20" t="s">
        <v>29</v>
      </c>
      <c r="G374" s="2" t="s">
        <v>121</v>
      </c>
      <c r="H374" s="2" t="str">
        <f>'PFAS Properties'!$B$33</f>
        <v>PFOA</v>
      </c>
      <c r="I374" s="2" t="str">
        <f>'PFAS Properties'!$C$33</f>
        <v>PFCA</v>
      </c>
      <c r="J374" s="2" t="str">
        <f>'PFAS Properties'!$D$33</f>
        <v>C8HF15O2</v>
      </c>
      <c r="K374" s="25">
        <f>'PFAS Properties'!$P$33</f>
        <v>413.97359999999998</v>
      </c>
      <c r="L374" s="2">
        <f>'PFAS Properties'!$X$33</f>
        <v>-0.2</v>
      </c>
      <c r="M374" s="2" t="str">
        <f>'PFAS Properties'!$Y$33</f>
        <v>-</v>
      </c>
      <c r="N374" s="33">
        <v>0</v>
      </c>
      <c r="O374" s="33">
        <v>0</v>
      </c>
      <c r="P374" s="33">
        <v>0</v>
      </c>
      <c r="Q374" s="33">
        <f t="shared" si="178"/>
        <v>0.99999996109548706</v>
      </c>
      <c r="R374" s="33">
        <v>0</v>
      </c>
      <c r="S374" s="33">
        <f t="shared" si="179"/>
        <v>3.8904512985866862E-8</v>
      </c>
      <c r="T374" s="8">
        <f t="shared" si="180"/>
        <v>1</v>
      </c>
      <c r="U374" s="33">
        <f t="shared" si="181"/>
        <v>0</v>
      </c>
      <c r="V374" s="33">
        <f t="shared" si="182"/>
        <v>-0.99999996109548706</v>
      </c>
      <c r="W374" s="33">
        <f t="shared" si="183"/>
        <v>412.97360003890452</v>
      </c>
      <c r="X374" s="33">
        <v>96485</v>
      </c>
      <c r="Y374" s="16">
        <f t="shared" si="184"/>
        <v>-233.6347801341505</v>
      </c>
      <c r="Z374" s="16">
        <v>8</v>
      </c>
      <c r="AA374" s="16">
        <v>15</v>
      </c>
      <c r="AB374" s="8">
        <f t="shared" si="185"/>
        <v>0.33684210526315789</v>
      </c>
      <c r="AC374" s="16">
        <f t="shared" si="177"/>
        <v>68.844969824162703</v>
      </c>
      <c r="AD374" s="20">
        <f>'PFAS Properties'!$W$33</f>
        <v>7</v>
      </c>
      <c r="AE374" s="8">
        <f>'PFAS Properties'!$S$33</f>
        <v>2.6821450763738319</v>
      </c>
      <c r="AF374" s="15">
        <f>'PFAS Properties'!$V$33</f>
        <v>4.9000000000000004</v>
      </c>
      <c r="AG374" s="24">
        <v>7.21</v>
      </c>
      <c r="AH374" s="2" t="s">
        <v>661</v>
      </c>
      <c r="AI374" s="2">
        <v>37</v>
      </c>
      <c r="AJ374" s="15">
        <f t="shared" si="188"/>
        <v>662.54812427254012</v>
      </c>
      <c r="AK374" s="15">
        <f t="shared" si="189"/>
        <v>3.7</v>
      </c>
      <c r="AL374" s="2">
        <v>4.9000000000000004</v>
      </c>
      <c r="AM374" s="15">
        <f t="shared" si="190"/>
        <v>181.61601186063751</v>
      </c>
      <c r="AN374" s="15">
        <f t="shared" si="191"/>
        <v>0.49000000000000005</v>
      </c>
      <c r="AO374" s="2" t="s">
        <v>710</v>
      </c>
      <c r="AP374" s="72">
        <v>8.0642166666666668</v>
      </c>
      <c r="AQ374" s="70" t="s">
        <v>752</v>
      </c>
      <c r="AR374" s="2">
        <v>57</v>
      </c>
      <c r="AS374" s="2">
        <v>8</v>
      </c>
      <c r="AT374" s="2">
        <v>15</v>
      </c>
      <c r="AU374" s="2" t="s">
        <v>661</v>
      </c>
      <c r="AV374" s="16">
        <f t="shared" si="192"/>
        <v>80</v>
      </c>
      <c r="AW374" s="18">
        <v>4.8</v>
      </c>
      <c r="AX374" s="13">
        <f t="shared" si="193"/>
        <v>4.8000000000000001E-2</v>
      </c>
      <c r="AY374" s="8" t="s">
        <v>67</v>
      </c>
      <c r="AZ374" s="16">
        <f t="shared" si="194"/>
        <v>20</v>
      </c>
      <c r="BA374" s="16" t="s">
        <v>55</v>
      </c>
      <c r="BB374" s="16">
        <v>10</v>
      </c>
      <c r="BC374" s="16" t="s">
        <v>55</v>
      </c>
      <c r="BD374" s="18">
        <v>2.68</v>
      </c>
      <c r="BE374" s="15">
        <f t="shared" si="195"/>
        <v>55.833333333333336</v>
      </c>
      <c r="BF374" s="8">
        <f t="shared" si="186"/>
        <v>1.7468935566532016</v>
      </c>
      <c r="BG374" s="8">
        <f t="shared" si="196"/>
        <v>0.42813479402878885</v>
      </c>
      <c r="BH374" s="13" t="s">
        <v>841</v>
      </c>
      <c r="BI374" s="13"/>
      <c r="BJ374" s="13"/>
      <c r="BK374" s="8"/>
      <c r="BL374" s="8"/>
      <c r="BM374" s="18"/>
      <c r="BN374" s="8"/>
      <c r="BO374" s="24"/>
    </row>
    <row r="375" spans="1:67" s="14" customFormat="1" x14ac:dyDescent="0.3">
      <c r="A375" s="20">
        <v>373</v>
      </c>
      <c r="B375" s="2" t="s">
        <v>219</v>
      </c>
      <c r="C375" s="2">
        <v>2020</v>
      </c>
      <c r="D375" s="2" t="s">
        <v>201</v>
      </c>
      <c r="E375" s="10" t="s">
        <v>801</v>
      </c>
      <c r="F375" s="20" t="s">
        <v>29</v>
      </c>
      <c r="G375" s="2" t="s">
        <v>60</v>
      </c>
      <c r="H375" s="2" t="str">
        <f>'PFAS Properties'!$B$33</f>
        <v>PFOA</v>
      </c>
      <c r="I375" s="2" t="str">
        <f>'PFAS Properties'!$C$33</f>
        <v>PFCA</v>
      </c>
      <c r="J375" s="2" t="str">
        <f>'PFAS Properties'!$D$33</f>
        <v>C8HF15O2</v>
      </c>
      <c r="K375" s="25">
        <f>'PFAS Properties'!$P$33</f>
        <v>413.97359999999998</v>
      </c>
      <c r="L375" s="2">
        <f>'PFAS Properties'!$X$33</f>
        <v>-0.2</v>
      </c>
      <c r="M375" s="2" t="str">
        <f>'PFAS Properties'!$Y$33</f>
        <v>-</v>
      </c>
      <c r="N375" s="33">
        <v>0</v>
      </c>
      <c r="O375" s="33">
        <v>0</v>
      </c>
      <c r="P375" s="33">
        <v>0</v>
      </c>
      <c r="Q375" s="33">
        <f t="shared" si="178"/>
        <v>0.999999939744045</v>
      </c>
      <c r="R375" s="33">
        <v>0</v>
      </c>
      <c r="S375" s="33">
        <f t="shared" si="179"/>
        <v>6.0255954976655325E-8</v>
      </c>
      <c r="T375" s="8">
        <f t="shared" si="180"/>
        <v>1</v>
      </c>
      <c r="U375" s="33">
        <f t="shared" si="181"/>
        <v>0</v>
      </c>
      <c r="V375" s="33">
        <f t="shared" si="182"/>
        <v>-0.999999939744045</v>
      </c>
      <c r="W375" s="33">
        <f t="shared" si="183"/>
        <v>412.97360006025593</v>
      </c>
      <c r="X375" s="33">
        <v>96485</v>
      </c>
      <c r="Y375" s="16">
        <f t="shared" si="184"/>
        <v>-233.63477513363156</v>
      </c>
      <c r="Z375" s="16">
        <v>8</v>
      </c>
      <c r="AA375" s="16">
        <v>15</v>
      </c>
      <c r="AB375" s="8">
        <f t="shared" si="185"/>
        <v>0.33684210526315789</v>
      </c>
      <c r="AC375" s="16">
        <f t="shared" si="177"/>
        <v>68.844969824162703</v>
      </c>
      <c r="AD375" s="20">
        <f>'PFAS Properties'!$W$33</f>
        <v>7</v>
      </c>
      <c r="AE375" s="8">
        <f>'PFAS Properties'!$S$33</f>
        <v>2.6821450763738319</v>
      </c>
      <c r="AF375" s="15">
        <f>'PFAS Properties'!$V$33</f>
        <v>4.9000000000000004</v>
      </c>
      <c r="AG375" s="24">
        <v>7.02</v>
      </c>
      <c r="AH375" s="2" t="s">
        <v>661</v>
      </c>
      <c r="AI375" s="2">
        <v>22</v>
      </c>
      <c r="AJ375" s="15">
        <f t="shared" si="188"/>
        <v>393.94753335124005</v>
      </c>
      <c r="AK375" s="15">
        <f t="shared" si="189"/>
        <v>2.2000000000000002</v>
      </c>
      <c r="AL375" s="2">
        <v>5.9</v>
      </c>
      <c r="AM375" s="15">
        <f t="shared" si="190"/>
        <v>218.68050407709413</v>
      </c>
      <c r="AN375" s="15">
        <f t="shared" si="191"/>
        <v>0.59000000000000008</v>
      </c>
      <c r="AO375" s="2" t="s">
        <v>710</v>
      </c>
      <c r="AP375" s="72">
        <v>14.11508666666667</v>
      </c>
      <c r="AQ375" s="70" t="s">
        <v>752</v>
      </c>
      <c r="AR375" s="2">
        <v>45</v>
      </c>
      <c r="AS375" s="2">
        <v>24</v>
      </c>
      <c r="AT375" s="2">
        <v>20</v>
      </c>
      <c r="AU375" s="2" t="s">
        <v>661</v>
      </c>
      <c r="AV375" s="16">
        <f t="shared" si="192"/>
        <v>89</v>
      </c>
      <c r="AW375" s="18">
        <v>2.9</v>
      </c>
      <c r="AX375" s="13">
        <f t="shared" si="193"/>
        <v>2.8999999999999998E-2</v>
      </c>
      <c r="AY375" s="8" t="s">
        <v>67</v>
      </c>
      <c r="AZ375" s="16">
        <f t="shared" si="194"/>
        <v>20</v>
      </c>
      <c r="BA375" s="16" t="s">
        <v>55</v>
      </c>
      <c r="BB375" s="16">
        <v>10</v>
      </c>
      <c r="BC375" s="16" t="s">
        <v>55</v>
      </c>
      <c r="BD375" s="18">
        <v>5.52</v>
      </c>
      <c r="BE375" s="15">
        <f t="shared" si="195"/>
        <v>190.34482758620689</v>
      </c>
      <c r="BF375" s="8">
        <f t="shared" si="186"/>
        <v>2.2795410798302429</v>
      </c>
      <c r="BG375" s="8">
        <f t="shared" si="196"/>
        <v>0.74193907772919887</v>
      </c>
      <c r="BH375" s="13" t="s">
        <v>841</v>
      </c>
      <c r="BI375" s="13"/>
      <c r="BJ375" s="13"/>
      <c r="BK375" s="8"/>
      <c r="BL375" s="8"/>
      <c r="BM375" s="18"/>
      <c r="BN375" s="8"/>
      <c r="BO375" s="24"/>
    </row>
    <row r="376" spans="1:67" s="14" customFormat="1" x14ac:dyDescent="0.3">
      <c r="A376" s="20">
        <v>374</v>
      </c>
      <c r="B376" s="2" t="s">
        <v>219</v>
      </c>
      <c r="C376" s="2">
        <v>2020</v>
      </c>
      <c r="D376" s="2" t="s">
        <v>201</v>
      </c>
      <c r="E376" s="10" t="s">
        <v>801</v>
      </c>
      <c r="F376" s="20" t="s">
        <v>29</v>
      </c>
      <c r="G376" s="2" t="s">
        <v>77</v>
      </c>
      <c r="H376" s="2" t="str">
        <f>'PFAS Properties'!$B$33</f>
        <v>PFOA</v>
      </c>
      <c r="I376" s="2" t="str">
        <f>'PFAS Properties'!$C$33</f>
        <v>PFCA</v>
      </c>
      <c r="J376" s="2" t="str">
        <f>'PFAS Properties'!$D$33</f>
        <v>C8HF15O2</v>
      </c>
      <c r="K376" s="25">
        <f>'PFAS Properties'!$P$33</f>
        <v>413.97359999999998</v>
      </c>
      <c r="L376" s="2">
        <f>'PFAS Properties'!$X$33</f>
        <v>-0.2</v>
      </c>
      <c r="M376" s="2" t="str">
        <f>'PFAS Properties'!$Y$33</f>
        <v>-</v>
      </c>
      <c r="N376" s="33">
        <v>0</v>
      </c>
      <c r="O376" s="33">
        <v>0</v>
      </c>
      <c r="P376" s="33">
        <v>0</v>
      </c>
      <c r="Q376" s="33">
        <f t="shared" si="178"/>
        <v>0.99999997308465272</v>
      </c>
      <c r="R376" s="33">
        <v>0</v>
      </c>
      <c r="S376" s="33">
        <f t="shared" si="179"/>
        <v>2.6915347314833158E-8</v>
      </c>
      <c r="T376" s="8">
        <f t="shared" si="180"/>
        <v>1</v>
      </c>
      <c r="U376" s="33">
        <f t="shared" si="181"/>
        <v>0</v>
      </c>
      <c r="V376" s="33">
        <f t="shared" si="182"/>
        <v>-0.99999997308465272</v>
      </c>
      <c r="W376" s="33">
        <f t="shared" si="183"/>
        <v>412.97360002691534</v>
      </c>
      <c r="X376" s="33">
        <v>96485</v>
      </c>
      <c r="Y376" s="16">
        <f t="shared" si="184"/>
        <v>-233.63478294201943</v>
      </c>
      <c r="Z376" s="16">
        <v>8</v>
      </c>
      <c r="AA376" s="16">
        <v>15</v>
      </c>
      <c r="AB376" s="8">
        <f t="shared" si="185"/>
        <v>0.33684210526315789</v>
      </c>
      <c r="AC376" s="16">
        <f t="shared" si="177"/>
        <v>68.844969824162703</v>
      </c>
      <c r="AD376" s="20">
        <f>'PFAS Properties'!$W$33</f>
        <v>7</v>
      </c>
      <c r="AE376" s="8">
        <f>'PFAS Properties'!$S$33</f>
        <v>2.6821450763738319</v>
      </c>
      <c r="AF376" s="15">
        <f>'PFAS Properties'!$V$33</f>
        <v>4.9000000000000004</v>
      </c>
      <c r="AG376" s="24">
        <v>7.37</v>
      </c>
      <c r="AH376" s="2" t="s">
        <v>661</v>
      </c>
      <c r="AI376" s="2">
        <v>6.9</v>
      </c>
      <c r="AJ376" s="15">
        <f t="shared" si="188"/>
        <v>123.55627182379801</v>
      </c>
      <c r="AK376" s="15">
        <f t="shared" si="189"/>
        <v>0.69000000000000006</v>
      </c>
      <c r="AL376" s="2">
        <v>3.1</v>
      </c>
      <c r="AM376" s="15">
        <f t="shared" si="190"/>
        <v>114.89992587101557</v>
      </c>
      <c r="AN376" s="15">
        <f t="shared" si="191"/>
        <v>0.31</v>
      </c>
      <c r="AO376" s="2" t="s">
        <v>710</v>
      </c>
      <c r="AP376" s="72">
        <v>15.382516666666669</v>
      </c>
      <c r="AQ376" s="70" t="s">
        <v>752</v>
      </c>
      <c r="AR376" s="2">
        <v>73</v>
      </c>
      <c r="AS376" s="2">
        <v>4</v>
      </c>
      <c r="AT376" s="2">
        <v>9</v>
      </c>
      <c r="AU376" s="2" t="s">
        <v>661</v>
      </c>
      <c r="AV376" s="16">
        <f t="shared" si="192"/>
        <v>86</v>
      </c>
      <c r="AW376" s="18">
        <v>5.7</v>
      </c>
      <c r="AX376" s="13">
        <f t="shared" si="193"/>
        <v>5.7000000000000002E-2</v>
      </c>
      <c r="AY376" s="8" t="s">
        <v>67</v>
      </c>
      <c r="AZ376" s="16">
        <f t="shared" si="194"/>
        <v>20</v>
      </c>
      <c r="BA376" s="16" t="s">
        <v>55</v>
      </c>
      <c r="BB376" s="16">
        <v>10</v>
      </c>
      <c r="BC376" s="16" t="s">
        <v>55</v>
      </c>
      <c r="BD376" s="18">
        <v>6.12</v>
      </c>
      <c r="BE376" s="15">
        <f t="shared" si="195"/>
        <v>107.36842105263158</v>
      </c>
      <c r="BF376" s="8">
        <f t="shared" si="186"/>
        <v>2.0308765664730699</v>
      </c>
      <c r="BG376" s="8">
        <f t="shared" si="196"/>
        <v>0.78675142214556115</v>
      </c>
      <c r="BH376" s="13" t="s">
        <v>841</v>
      </c>
      <c r="BI376" s="13"/>
      <c r="BJ376" s="13"/>
      <c r="BK376" s="8"/>
      <c r="BL376" s="8"/>
      <c r="BM376" s="18"/>
      <c r="BN376" s="8"/>
      <c r="BO376" s="24"/>
    </row>
    <row r="377" spans="1:67" s="14" customFormat="1" x14ac:dyDescent="0.3">
      <c r="A377" s="20">
        <v>375</v>
      </c>
      <c r="B377" s="2" t="s">
        <v>219</v>
      </c>
      <c r="C377" s="2">
        <v>2020</v>
      </c>
      <c r="D377" s="2" t="s">
        <v>201</v>
      </c>
      <c r="E377" s="10" t="s">
        <v>801</v>
      </c>
      <c r="F377" s="20" t="s">
        <v>29</v>
      </c>
      <c r="G377" s="2" t="s">
        <v>78</v>
      </c>
      <c r="H377" s="2" t="str">
        <f>'PFAS Properties'!$B$33</f>
        <v>PFOA</v>
      </c>
      <c r="I377" s="2" t="str">
        <f>'PFAS Properties'!$C$33</f>
        <v>PFCA</v>
      </c>
      <c r="J377" s="2" t="str">
        <f>'PFAS Properties'!$D$33</f>
        <v>C8HF15O2</v>
      </c>
      <c r="K377" s="25">
        <f>'PFAS Properties'!$P$33</f>
        <v>413.97359999999998</v>
      </c>
      <c r="L377" s="2">
        <f>'PFAS Properties'!$X$33</f>
        <v>-0.2</v>
      </c>
      <c r="M377" s="2" t="str">
        <f>'PFAS Properties'!$Y$33</f>
        <v>-</v>
      </c>
      <c r="N377" s="33">
        <v>0</v>
      </c>
      <c r="O377" s="33">
        <v>0</v>
      </c>
      <c r="P377" s="33">
        <v>0</v>
      </c>
      <c r="Q377" s="33">
        <f t="shared" si="178"/>
        <v>0.99999998262199197</v>
      </c>
      <c r="R377" s="33">
        <v>0</v>
      </c>
      <c r="S377" s="33">
        <f t="shared" si="179"/>
        <v>1.7378007985498579E-8</v>
      </c>
      <c r="T377" s="8">
        <f t="shared" si="180"/>
        <v>1</v>
      </c>
      <c r="U377" s="33">
        <f t="shared" si="181"/>
        <v>0</v>
      </c>
      <c r="V377" s="33">
        <f t="shared" si="182"/>
        <v>-0.99999998262199197</v>
      </c>
      <c r="W377" s="33">
        <f t="shared" si="183"/>
        <v>412.97360001737798</v>
      </c>
      <c r="X377" s="33">
        <v>96485</v>
      </c>
      <c r="Y377" s="16">
        <f t="shared" si="184"/>
        <v>-233.63478517566932</v>
      </c>
      <c r="Z377" s="16">
        <v>8</v>
      </c>
      <c r="AA377" s="16">
        <v>15</v>
      </c>
      <c r="AB377" s="8">
        <f t="shared" si="185"/>
        <v>0.33684210526315789</v>
      </c>
      <c r="AC377" s="16">
        <f t="shared" si="177"/>
        <v>68.844969824162703</v>
      </c>
      <c r="AD377" s="20">
        <f>'PFAS Properties'!$W$33</f>
        <v>7</v>
      </c>
      <c r="AE377" s="8">
        <f>'PFAS Properties'!$S$33</f>
        <v>2.6821450763738319</v>
      </c>
      <c r="AF377" s="15">
        <f>'PFAS Properties'!$V$33</f>
        <v>4.9000000000000004</v>
      </c>
      <c r="AG377" s="24">
        <v>7.56</v>
      </c>
      <c r="AH377" s="2" t="s">
        <v>661</v>
      </c>
      <c r="AI377" s="2">
        <v>1.5</v>
      </c>
      <c r="AJ377" s="15">
        <f t="shared" si="188"/>
        <v>26.860059092130005</v>
      </c>
      <c r="AK377" s="15">
        <f t="shared" si="189"/>
        <v>0.15</v>
      </c>
      <c r="AL377" s="2">
        <v>0.6</v>
      </c>
      <c r="AM377" s="15">
        <f t="shared" si="190"/>
        <v>22.23869532987398</v>
      </c>
      <c r="AN377" s="15">
        <f t="shared" si="191"/>
        <v>0.06</v>
      </c>
      <c r="AO377" s="2" t="s">
        <v>710</v>
      </c>
      <c r="AP377" s="72">
        <v>11.48601666666667</v>
      </c>
      <c r="AQ377" s="70" t="s">
        <v>752</v>
      </c>
      <c r="AR377" s="2">
        <v>98</v>
      </c>
      <c r="AS377" s="2">
        <v>0.1</v>
      </c>
      <c r="AT377" s="2">
        <v>0.6</v>
      </c>
      <c r="AU377" s="2" t="s">
        <v>661</v>
      </c>
      <c r="AV377" s="16">
        <f t="shared" si="192"/>
        <v>98.699999999999989</v>
      </c>
      <c r="AW377" s="18">
        <v>0.1</v>
      </c>
      <c r="AX377" s="13">
        <f t="shared" si="193"/>
        <v>1E-3</v>
      </c>
      <c r="AY377" s="8" t="s">
        <v>67</v>
      </c>
      <c r="AZ377" s="16">
        <f t="shared" si="194"/>
        <v>20</v>
      </c>
      <c r="BA377" s="16" t="s">
        <v>55</v>
      </c>
      <c r="BB377" s="16">
        <v>10</v>
      </c>
      <c r="BC377" s="16" t="s">
        <v>55</v>
      </c>
      <c r="BD377" s="18">
        <v>0.93</v>
      </c>
      <c r="BE377" s="15">
        <f t="shared" si="195"/>
        <v>930</v>
      </c>
      <c r="BF377" s="8">
        <f t="shared" si="186"/>
        <v>2.9684829485539352</v>
      </c>
      <c r="BG377" s="8">
        <f t="shared" si="196"/>
        <v>-3.1517051446064863E-2</v>
      </c>
      <c r="BH377" s="13" t="s">
        <v>841</v>
      </c>
      <c r="BI377" s="13"/>
      <c r="BJ377" s="13"/>
      <c r="BK377" s="8"/>
      <c r="BL377" s="8"/>
      <c r="BM377" s="18"/>
      <c r="BN377" s="8"/>
      <c r="BO377" s="24"/>
    </row>
    <row r="378" spans="1:67" s="14" customFormat="1" x14ac:dyDescent="0.3">
      <c r="A378" s="20">
        <v>376</v>
      </c>
      <c r="B378" s="2" t="s">
        <v>219</v>
      </c>
      <c r="C378" s="2">
        <v>2020</v>
      </c>
      <c r="D378" s="2" t="s">
        <v>201</v>
      </c>
      <c r="E378" s="10" t="s">
        <v>801</v>
      </c>
      <c r="F378" s="20" t="s">
        <v>29</v>
      </c>
      <c r="G378" s="2" t="s">
        <v>79</v>
      </c>
      <c r="H378" s="2" t="str">
        <f>'PFAS Properties'!$B$33</f>
        <v>PFOA</v>
      </c>
      <c r="I378" s="2" t="str">
        <f>'PFAS Properties'!$C$33</f>
        <v>PFCA</v>
      </c>
      <c r="J378" s="2" t="str">
        <f>'PFAS Properties'!$D$33</f>
        <v>C8HF15O2</v>
      </c>
      <c r="K378" s="25">
        <f>'PFAS Properties'!$P$33</f>
        <v>413.97359999999998</v>
      </c>
      <c r="L378" s="2">
        <f>'PFAS Properties'!$X$33</f>
        <v>-0.2</v>
      </c>
      <c r="M378" s="2" t="str">
        <f>'PFAS Properties'!$Y$33</f>
        <v>-</v>
      </c>
      <c r="N378" s="33">
        <v>0</v>
      </c>
      <c r="O378" s="33">
        <v>0</v>
      </c>
      <c r="P378" s="33">
        <v>0</v>
      </c>
      <c r="Q378" s="33">
        <f t="shared" si="178"/>
        <v>0.99999998797735579</v>
      </c>
      <c r="R378" s="33">
        <v>0</v>
      </c>
      <c r="S378" s="33">
        <f t="shared" si="179"/>
        <v>1.2022644201630123E-8</v>
      </c>
      <c r="T378" s="8">
        <f t="shared" si="180"/>
        <v>1</v>
      </c>
      <c r="U378" s="33">
        <f t="shared" si="181"/>
        <v>0</v>
      </c>
      <c r="V378" s="33">
        <f t="shared" si="182"/>
        <v>-0.99999998797735579</v>
      </c>
      <c r="W378" s="33">
        <f t="shared" si="183"/>
        <v>412.97360001202264</v>
      </c>
      <c r="X378" s="33">
        <v>96485</v>
      </c>
      <c r="Y378" s="16">
        <f t="shared" si="184"/>
        <v>-233.63478642989833</v>
      </c>
      <c r="Z378" s="16">
        <v>8</v>
      </c>
      <c r="AA378" s="16">
        <v>15</v>
      </c>
      <c r="AB378" s="8">
        <f t="shared" si="185"/>
        <v>0.33684210526315789</v>
      </c>
      <c r="AC378" s="16">
        <f t="shared" si="177"/>
        <v>68.844969824162703</v>
      </c>
      <c r="AD378" s="20">
        <f>'PFAS Properties'!$W$33</f>
        <v>7</v>
      </c>
      <c r="AE378" s="8">
        <f>'PFAS Properties'!$S$33</f>
        <v>2.6821450763738319</v>
      </c>
      <c r="AF378" s="15">
        <f>'PFAS Properties'!$V$33</f>
        <v>4.9000000000000004</v>
      </c>
      <c r="AG378" s="24">
        <v>7.72</v>
      </c>
      <c r="AH378" s="2" t="s">
        <v>661</v>
      </c>
      <c r="AI378" s="2">
        <v>12</v>
      </c>
      <c r="AJ378" s="15">
        <f t="shared" si="188"/>
        <v>214.88047273704004</v>
      </c>
      <c r="AK378" s="15">
        <f t="shared" si="189"/>
        <v>1.2</v>
      </c>
      <c r="AL378" s="2">
        <v>5.8</v>
      </c>
      <c r="AM378" s="15">
        <f t="shared" si="190"/>
        <v>214.97405485544849</v>
      </c>
      <c r="AN378" s="15">
        <f t="shared" si="191"/>
        <v>0.57999999999999996</v>
      </c>
      <c r="AO378" s="2" t="s">
        <v>710</v>
      </c>
      <c r="AP378" s="72">
        <v>8.416266666666667</v>
      </c>
      <c r="AQ378" s="70" t="s">
        <v>752</v>
      </c>
      <c r="AR378" s="2">
        <v>32</v>
      </c>
      <c r="AS378" s="2">
        <v>31</v>
      </c>
      <c r="AT378" s="2">
        <v>38</v>
      </c>
      <c r="AU378" s="2" t="s">
        <v>661</v>
      </c>
      <c r="AV378" s="16">
        <f t="shared" si="192"/>
        <v>101</v>
      </c>
      <c r="AW378" s="18">
        <v>11</v>
      </c>
      <c r="AX378" s="13">
        <f t="shared" si="193"/>
        <v>0.11</v>
      </c>
      <c r="AY378" s="8" t="s">
        <v>67</v>
      </c>
      <c r="AZ378" s="16">
        <f t="shared" si="194"/>
        <v>20</v>
      </c>
      <c r="BA378" s="16" t="s">
        <v>55</v>
      </c>
      <c r="BB378" s="16">
        <v>10</v>
      </c>
      <c r="BC378" s="16" t="s">
        <v>55</v>
      </c>
      <c r="BD378" s="18">
        <v>14.66</v>
      </c>
      <c r="BE378" s="15">
        <f t="shared" si="195"/>
        <v>133.27272727272728</v>
      </c>
      <c r="BF378" s="8">
        <f t="shared" si="186"/>
        <v>2.1247412851468841</v>
      </c>
      <c r="BG378" s="8">
        <f t="shared" si="196"/>
        <v>1.1661339703051092</v>
      </c>
      <c r="BH378" s="13" t="s">
        <v>841</v>
      </c>
      <c r="BI378" s="13"/>
      <c r="BJ378" s="13"/>
      <c r="BK378" s="8"/>
      <c r="BL378" s="8"/>
      <c r="BM378" s="18"/>
      <c r="BN378" s="8"/>
      <c r="BO378" s="24"/>
    </row>
    <row r="379" spans="1:67" s="14" customFormat="1" x14ac:dyDescent="0.3">
      <c r="A379" s="20">
        <v>377</v>
      </c>
      <c r="B379" s="2" t="s">
        <v>219</v>
      </c>
      <c r="C379" s="2">
        <v>2020</v>
      </c>
      <c r="D379" s="2" t="s">
        <v>201</v>
      </c>
      <c r="E379" s="10" t="s">
        <v>801</v>
      </c>
      <c r="F379" s="20" t="s">
        <v>29</v>
      </c>
      <c r="G379" s="2" t="s">
        <v>80</v>
      </c>
      <c r="H379" s="2" t="str">
        <f>'PFAS Properties'!$B$33</f>
        <v>PFOA</v>
      </c>
      <c r="I379" s="2" t="str">
        <f>'PFAS Properties'!$C$33</f>
        <v>PFCA</v>
      </c>
      <c r="J379" s="2" t="str">
        <f>'PFAS Properties'!$D$33</f>
        <v>C8HF15O2</v>
      </c>
      <c r="K379" s="25">
        <f>'PFAS Properties'!$P$33</f>
        <v>413.97359999999998</v>
      </c>
      <c r="L379" s="2">
        <f>'PFAS Properties'!$X$33</f>
        <v>-0.2</v>
      </c>
      <c r="M379" s="2" t="str">
        <f>'PFAS Properties'!$Y$33</f>
        <v>-</v>
      </c>
      <c r="N379" s="33">
        <v>0</v>
      </c>
      <c r="O379" s="33">
        <v>0</v>
      </c>
      <c r="P379" s="33">
        <v>0</v>
      </c>
      <c r="Q379" s="33">
        <f t="shared" si="178"/>
        <v>0.99999992056718279</v>
      </c>
      <c r="R379" s="33">
        <v>0</v>
      </c>
      <c r="S379" s="33">
        <f t="shared" si="179"/>
        <v>7.9432817162854954E-8</v>
      </c>
      <c r="T379" s="8">
        <f t="shared" si="180"/>
        <v>1</v>
      </c>
      <c r="U379" s="33">
        <f t="shared" si="181"/>
        <v>0</v>
      </c>
      <c r="V379" s="33">
        <f t="shared" si="182"/>
        <v>-0.99999992056718279</v>
      </c>
      <c r="W379" s="33">
        <f t="shared" si="183"/>
        <v>412.97360007943274</v>
      </c>
      <c r="X379" s="33">
        <v>96485</v>
      </c>
      <c r="Y379" s="16">
        <f t="shared" si="184"/>
        <v>-233.63477064240035</v>
      </c>
      <c r="Z379" s="16">
        <v>8</v>
      </c>
      <c r="AA379" s="16">
        <v>15</v>
      </c>
      <c r="AB379" s="8">
        <f t="shared" si="185"/>
        <v>0.33684210526315789</v>
      </c>
      <c r="AC379" s="16">
        <f t="shared" si="177"/>
        <v>68.844969824162703</v>
      </c>
      <c r="AD379" s="20">
        <f>'PFAS Properties'!$W$33</f>
        <v>7</v>
      </c>
      <c r="AE379" s="8">
        <f>'PFAS Properties'!$S$33</f>
        <v>2.6821450763738319</v>
      </c>
      <c r="AF379" s="15">
        <f>'PFAS Properties'!$V$33</f>
        <v>4.9000000000000004</v>
      </c>
      <c r="AG379" s="24">
        <v>6.9</v>
      </c>
      <c r="AH379" s="2" t="s">
        <v>661</v>
      </c>
      <c r="AI379" s="2">
        <v>42</v>
      </c>
      <c r="AJ379" s="15">
        <f t="shared" si="188"/>
        <v>752.08165457964014</v>
      </c>
      <c r="AK379" s="15">
        <f t="shared" si="189"/>
        <v>4.2</v>
      </c>
      <c r="AL379" s="2">
        <v>1</v>
      </c>
      <c r="AM379" s="15">
        <f t="shared" si="190"/>
        <v>37.064492216456635</v>
      </c>
      <c r="AN379" s="15">
        <f t="shared" si="191"/>
        <v>0.1</v>
      </c>
      <c r="AO379" s="2" t="s">
        <v>710</v>
      </c>
      <c r="AP379" s="72">
        <v>5.6875666666666662</v>
      </c>
      <c r="AQ379" s="70" t="s">
        <v>752</v>
      </c>
      <c r="AR379" s="2">
        <v>19</v>
      </c>
      <c r="AS379" s="2">
        <v>36</v>
      </c>
      <c r="AT379" s="2">
        <v>32</v>
      </c>
      <c r="AU379" s="2" t="s">
        <v>661</v>
      </c>
      <c r="AV379" s="16">
        <f t="shared" si="192"/>
        <v>87</v>
      </c>
      <c r="AW379" s="18">
        <v>5.9</v>
      </c>
      <c r="AX379" s="13">
        <f t="shared" si="193"/>
        <v>5.9000000000000004E-2</v>
      </c>
      <c r="AY379" s="8" t="s">
        <v>67</v>
      </c>
      <c r="AZ379" s="16">
        <f t="shared" si="194"/>
        <v>20</v>
      </c>
      <c r="BA379" s="16" t="s">
        <v>55</v>
      </c>
      <c r="BB379" s="16">
        <v>10</v>
      </c>
      <c r="BC379" s="16" t="s">
        <v>55</v>
      </c>
      <c r="BD379" s="18">
        <v>4.3899999999999997</v>
      </c>
      <c r="BE379" s="15">
        <f t="shared" si="195"/>
        <v>74.406779661016941</v>
      </c>
      <c r="BF379" s="8">
        <f t="shared" si="186"/>
        <v>1.8716125085999771</v>
      </c>
      <c r="BG379" s="8">
        <f t="shared" si="196"/>
        <v>0.64246452024212131</v>
      </c>
      <c r="BH379" s="13" t="s">
        <v>841</v>
      </c>
      <c r="BI379" s="13"/>
      <c r="BJ379" s="13"/>
      <c r="BK379" s="8"/>
      <c r="BL379" s="8"/>
      <c r="BM379" s="18"/>
      <c r="BN379" s="8"/>
      <c r="BO379" s="24"/>
    </row>
    <row r="380" spans="1:67" s="14" customFormat="1" x14ac:dyDescent="0.3">
      <c r="A380" s="20">
        <v>378</v>
      </c>
      <c r="B380" s="2" t="s">
        <v>219</v>
      </c>
      <c r="C380" s="2">
        <v>2020</v>
      </c>
      <c r="D380" s="2" t="s">
        <v>201</v>
      </c>
      <c r="E380" s="10" t="s">
        <v>801</v>
      </c>
      <c r="F380" s="20" t="s">
        <v>29</v>
      </c>
      <c r="G380" s="2" t="s">
        <v>81</v>
      </c>
      <c r="H380" s="2" t="str">
        <f>'PFAS Properties'!$B$33</f>
        <v>PFOA</v>
      </c>
      <c r="I380" s="2" t="str">
        <f>'PFAS Properties'!$C$33</f>
        <v>PFCA</v>
      </c>
      <c r="J380" s="2" t="str">
        <f>'PFAS Properties'!$D$33</f>
        <v>C8HF15O2</v>
      </c>
      <c r="K380" s="25">
        <f>'PFAS Properties'!$P$33</f>
        <v>413.97359999999998</v>
      </c>
      <c r="L380" s="2">
        <f>'PFAS Properties'!$X$33</f>
        <v>-0.2</v>
      </c>
      <c r="M380" s="2" t="str">
        <f>'PFAS Properties'!$Y$33</f>
        <v>-</v>
      </c>
      <c r="N380" s="33">
        <v>0</v>
      </c>
      <c r="O380" s="33">
        <v>0</v>
      </c>
      <c r="P380" s="33">
        <v>0</v>
      </c>
      <c r="Q380" s="33">
        <f t="shared" si="178"/>
        <v>0.99999989528715616</v>
      </c>
      <c r="R380" s="33">
        <v>0</v>
      </c>
      <c r="S380" s="33">
        <f t="shared" si="179"/>
        <v>1.0471284384030905E-7</v>
      </c>
      <c r="T380" s="8">
        <f t="shared" si="180"/>
        <v>1</v>
      </c>
      <c r="U380" s="33">
        <f t="shared" si="181"/>
        <v>0</v>
      </c>
      <c r="V380" s="33">
        <f t="shared" si="182"/>
        <v>-0.99999989528715616</v>
      </c>
      <c r="W380" s="33">
        <f t="shared" si="183"/>
        <v>412.97360010471277</v>
      </c>
      <c r="X380" s="33">
        <v>96485</v>
      </c>
      <c r="Y380" s="16">
        <f t="shared" si="184"/>
        <v>-233.63476472180477</v>
      </c>
      <c r="Z380" s="16">
        <v>8</v>
      </c>
      <c r="AA380" s="16">
        <v>15</v>
      </c>
      <c r="AB380" s="8">
        <f t="shared" si="185"/>
        <v>0.33684210526315789</v>
      </c>
      <c r="AC380" s="16">
        <f t="shared" si="177"/>
        <v>68.844969824162703</v>
      </c>
      <c r="AD380" s="20">
        <f>'PFAS Properties'!$W$33</f>
        <v>7</v>
      </c>
      <c r="AE380" s="8">
        <f>'PFAS Properties'!$S$33</f>
        <v>2.6821450763738319</v>
      </c>
      <c r="AF380" s="15">
        <f>'PFAS Properties'!$V$33</f>
        <v>4.9000000000000004</v>
      </c>
      <c r="AG380" s="24">
        <v>6.78</v>
      </c>
      <c r="AH380" s="2" t="s">
        <v>661</v>
      </c>
      <c r="AI380" s="2">
        <v>15</v>
      </c>
      <c r="AJ380" s="15">
        <f t="shared" si="188"/>
        <v>268.60059092130001</v>
      </c>
      <c r="AK380" s="15">
        <f t="shared" si="189"/>
        <v>1.5</v>
      </c>
      <c r="AL380" s="2">
        <v>4.9000000000000004</v>
      </c>
      <c r="AM380" s="15">
        <f t="shared" si="190"/>
        <v>181.61601186063751</v>
      </c>
      <c r="AN380" s="15">
        <f t="shared" si="191"/>
        <v>0.49000000000000005</v>
      </c>
      <c r="AO380" s="2" t="s">
        <v>710</v>
      </c>
      <c r="AP380" s="72">
        <v>6.7671166666666656</v>
      </c>
      <c r="AQ380" s="70" t="s">
        <v>752</v>
      </c>
      <c r="AR380" s="2">
        <v>79</v>
      </c>
      <c r="AS380" s="2">
        <v>4</v>
      </c>
      <c r="AT380" s="2">
        <v>9</v>
      </c>
      <c r="AU380" s="2" t="s">
        <v>661</v>
      </c>
      <c r="AV380" s="16">
        <f t="shared" si="192"/>
        <v>92</v>
      </c>
      <c r="AW380" s="18">
        <v>3.2</v>
      </c>
      <c r="AX380" s="13">
        <f t="shared" si="193"/>
        <v>3.2000000000000001E-2</v>
      </c>
      <c r="AY380" s="8" t="s">
        <v>67</v>
      </c>
      <c r="AZ380" s="16">
        <f t="shared" si="194"/>
        <v>20</v>
      </c>
      <c r="BA380" s="16" t="s">
        <v>55</v>
      </c>
      <c r="BB380" s="16">
        <v>10</v>
      </c>
      <c r="BC380" s="16" t="s">
        <v>55</v>
      </c>
      <c r="BD380" s="18">
        <v>3.34</v>
      </c>
      <c r="BE380" s="15">
        <f t="shared" si="195"/>
        <v>104.375</v>
      </c>
      <c r="BF380" s="8">
        <f t="shared" si="186"/>
        <v>2.0185964884916583</v>
      </c>
      <c r="BG380" s="8">
        <f t="shared" si="196"/>
        <v>0.52374646681156445</v>
      </c>
      <c r="BH380" s="13" t="s">
        <v>841</v>
      </c>
      <c r="BI380" s="13"/>
      <c r="BJ380" s="13"/>
      <c r="BK380" s="8"/>
      <c r="BL380" s="8"/>
      <c r="BM380" s="18"/>
      <c r="BN380" s="8"/>
      <c r="BO380" s="24"/>
    </row>
    <row r="381" spans="1:67" s="14" customFormat="1" x14ac:dyDescent="0.3">
      <c r="A381" s="20">
        <v>379</v>
      </c>
      <c r="B381" s="2" t="s">
        <v>219</v>
      </c>
      <c r="C381" s="2">
        <v>2020</v>
      </c>
      <c r="D381" s="2" t="s">
        <v>201</v>
      </c>
      <c r="E381" s="10" t="s">
        <v>801</v>
      </c>
      <c r="F381" s="20" t="s">
        <v>29</v>
      </c>
      <c r="G381" s="2" t="s">
        <v>82</v>
      </c>
      <c r="H381" s="2" t="str">
        <f>'PFAS Properties'!$B$33</f>
        <v>PFOA</v>
      </c>
      <c r="I381" s="2" t="str">
        <f>'PFAS Properties'!$C$33</f>
        <v>PFCA</v>
      </c>
      <c r="J381" s="2" t="str">
        <f>'PFAS Properties'!$D$33</f>
        <v>C8HF15O2</v>
      </c>
      <c r="K381" s="25">
        <f>'PFAS Properties'!$P$33</f>
        <v>413.97359999999998</v>
      </c>
      <c r="L381" s="2">
        <f>'PFAS Properties'!$X$33</f>
        <v>-0.2</v>
      </c>
      <c r="M381" s="2" t="str">
        <f>'PFAS Properties'!$Y$33</f>
        <v>-</v>
      </c>
      <c r="N381" s="33">
        <v>0</v>
      </c>
      <c r="O381" s="33">
        <v>0</v>
      </c>
      <c r="P381" s="33">
        <v>0</v>
      </c>
      <c r="Q381" s="33">
        <f t="shared" si="178"/>
        <v>0.99999996532631619</v>
      </c>
      <c r="R381" s="33">
        <v>0</v>
      </c>
      <c r="S381" s="33">
        <f t="shared" si="179"/>
        <v>3.467368384298878E-8</v>
      </c>
      <c r="T381" s="8">
        <f t="shared" si="180"/>
        <v>1</v>
      </c>
      <c r="U381" s="33">
        <f t="shared" si="181"/>
        <v>0</v>
      </c>
      <c r="V381" s="33">
        <f t="shared" si="182"/>
        <v>-0.99999996532631619</v>
      </c>
      <c r="W381" s="33">
        <f t="shared" si="183"/>
        <v>412.97360003467367</v>
      </c>
      <c r="X381" s="33">
        <v>96485</v>
      </c>
      <c r="Y381" s="16">
        <f t="shared" si="184"/>
        <v>-233.63478112501292</v>
      </c>
      <c r="Z381" s="16">
        <v>8</v>
      </c>
      <c r="AA381" s="16">
        <v>15</v>
      </c>
      <c r="AB381" s="8">
        <f t="shared" si="185"/>
        <v>0.33684210526315789</v>
      </c>
      <c r="AC381" s="16">
        <f t="shared" si="177"/>
        <v>68.844969824162703</v>
      </c>
      <c r="AD381" s="20">
        <f>'PFAS Properties'!$W$33</f>
        <v>7</v>
      </c>
      <c r="AE381" s="8">
        <f>'PFAS Properties'!$S$33</f>
        <v>2.6821450763738319</v>
      </c>
      <c r="AF381" s="15">
        <f>'PFAS Properties'!$V$33</f>
        <v>4.9000000000000004</v>
      </c>
      <c r="AG381" s="24">
        <v>7.26</v>
      </c>
      <c r="AH381" s="2" t="s">
        <v>661</v>
      </c>
      <c r="AI381" s="2">
        <v>26</v>
      </c>
      <c r="AJ381" s="15">
        <f t="shared" si="188"/>
        <v>465.57435759692004</v>
      </c>
      <c r="AK381" s="15">
        <f t="shared" si="189"/>
        <v>2.6</v>
      </c>
      <c r="AL381" s="2">
        <v>9.1999999999999993</v>
      </c>
      <c r="AM381" s="15">
        <f t="shared" si="190"/>
        <v>340.99332839140101</v>
      </c>
      <c r="AN381" s="15">
        <f t="shared" si="191"/>
        <v>0.91999999999999993</v>
      </c>
      <c r="AO381" s="2" t="s">
        <v>710</v>
      </c>
      <c r="AP381" s="72">
        <v>12.88201666666667</v>
      </c>
      <c r="AQ381" s="70" t="s">
        <v>752</v>
      </c>
      <c r="AR381" s="2">
        <v>37</v>
      </c>
      <c r="AS381" s="2">
        <v>14</v>
      </c>
      <c r="AT381" s="2">
        <v>34</v>
      </c>
      <c r="AU381" s="2" t="s">
        <v>661</v>
      </c>
      <c r="AV381" s="16">
        <f t="shared" si="192"/>
        <v>85</v>
      </c>
      <c r="AW381" s="18">
        <v>10</v>
      </c>
      <c r="AX381" s="13">
        <f t="shared" si="193"/>
        <v>0.1</v>
      </c>
      <c r="AY381" s="8" t="s">
        <v>67</v>
      </c>
      <c r="AZ381" s="16">
        <f t="shared" si="194"/>
        <v>20</v>
      </c>
      <c r="BA381" s="16" t="s">
        <v>55</v>
      </c>
      <c r="BB381" s="16">
        <v>10</v>
      </c>
      <c r="BC381" s="16" t="s">
        <v>55</v>
      </c>
      <c r="BD381" s="18">
        <v>12.24</v>
      </c>
      <c r="BE381" s="15">
        <f t="shared" si="195"/>
        <v>122.39999999999999</v>
      </c>
      <c r="BF381" s="8">
        <f t="shared" si="186"/>
        <v>2.0877814178095422</v>
      </c>
      <c r="BG381" s="8">
        <f t="shared" si="196"/>
        <v>1.0877814178095424</v>
      </c>
      <c r="BH381" s="13" t="s">
        <v>841</v>
      </c>
      <c r="BI381" s="13"/>
      <c r="BJ381" s="13"/>
      <c r="BK381" s="8"/>
      <c r="BL381" s="8"/>
      <c r="BM381" s="18"/>
      <c r="BN381" s="8"/>
      <c r="BO381" s="24"/>
    </row>
    <row r="382" spans="1:67" s="14" customFormat="1" x14ac:dyDescent="0.3">
      <c r="A382" s="20">
        <v>380</v>
      </c>
      <c r="B382" s="2" t="s">
        <v>219</v>
      </c>
      <c r="C382" s="2">
        <v>2020</v>
      </c>
      <c r="D382" s="2" t="s">
        <v>201</v>
      </c>
      <c r="E382" s="10" t="s">
        <v>801</v>
      </c>
      <c r="F382" s="20" t="s">
        <v>29</v>
      </c>
      <c r="G382" s="2" t="s">
        <v>83</v>
      </c>
      <c r="H382" s="2" t="str">
        <f>'PFAS Properties'!$B$33</f>
        <v>PFOA</v>
      </c>
      <c r="I382" s="2" t="str">
        <f>'PFAS Properties'!$C$33</f>
        <v>PFCA</v>
      </c>
      <c r="J382" s="2" t="str">
        <f>'PFAS Properties'!$D$33</f>
        <v>C8HF15O2</v>
      </c>
      <c r="K382" s="25">
        <f>'PFAS Properties'!$P$33</f>
        <v>413.97359999999998</v>
      </c>
      <c r="L382" s="2">
        <f>'PFAS Properties'!$X$33</f>
        <v>-0.2</v>
      </c>
      <c r="M382" s="2" t="str">
        <f>'PFAS Properties'!$Y$33</f>
        <v>-</v>
      </c>
      <c r="N382" s="33">
        <v>0</v>
      </c>
      <c r="O382" s="33">
        <v>0</v>
      </c>
      <c r="P382" s="33">
        <v>0</v>
      </c>
      <c r="Q382" s="33">
        <f t="shared" si="178"/>
        <v>0.99999995831306343</v>
      </c>
      <c r="R382" s="33">
        <v>0</v>
      </c>
      <c r="S382" s="33">
        <f t="shared" si="179"/>
        <v>4.1686936609232756E-8</v>
      </c>
      <c r="T382" s="8">
        <f t="shared" si="180"/>
        <v>1</v>
      </c>
      <c r="U382" s="33">
        <f t="shared" si="181"/>
        <v>0</v>
      </c>
      <c r="V382" s="33">
        <f t="shared" si="182"/>
        <v>-0.99999995831306343</v>
      </c>
      <c r="W382" s="33">
        <f t="shared" si="183"/>
        <v>412.97360004168695</v>
      </c>
      <c r="X382" s="33">
        <v>96485</v>
      </c>
      <c r="Y382" s="16">
        <f t="shared" si="184"/>
        <v>-233.63477948250545</v>
      </c>
      <c r="Z382" s="16">
        <v>8</v>
      </c>
      <c r="AA382" s="16">
        <v>15</v>
      </c>
      <c r="AB382" s="8">
        <f t="shared" si="185"/>
        <v>0.33684210526315789</v>
      </c>
      <c r="AC382" s="16">
        <f t="shared" si="177"/>
        <v>68.844969824162703</v>
      </c>
      <c r="AD382" s="20">
        <f>'PFAS Properties'!$W$33</f>
        <v>7</v>
      </c>
      <c r="AE382" s="8">
        <f>'PFAS Properties'!$S$33</f>
        <v>2.6821450763738319</v>
      </c>
      <c r="AF382" s="15">
        <f>'PFAS Properties'!$V$33</f>
        <v>4.9000000000000004</v>
      </c>
      <c r="AG382" s="24">
        <v>7.18</v>
      </c>
      <c r="AH382" s="2" t="s">
        <v>661</v>
      </c>
      <c r="AI382" s="2">
        <v>25</v>
      </c>
      <c r="AJ382" s="15">
        <f t="shared" si="188"/>
        <v>447.66765153550006</v>
      </c>
      <c r="AK382" s="15">
        <f t="shared" si="189"/>
        <v>2.5</v>
      </c>
      <c r="AL382" s="2">
        <v>8.1999999999999993</v>
      </c>
      <c r="AM382" s="15">
        <f t="shared" si="190"/>
        <v>303.92883617494442</v>
      </c>
      <c r="AN382" s="15">
        <f t="shared" si="191"/>
        <v>0.82</v>
      </c>
      <c r="AO382" s="2" t="s">
        <v>710</v>
      </c>
      <c r="AP382" s="72">
        <v>12.04371666666666</v>
      </c>
      <c r="AQ382" s="70" t="s">
        <v>752</v>
      </c>
      <c r="AR382" s="2">
        <v>44</v>
      </c>
      <c r="AS382" s="2">
        <v>14</v>
      </c>
      <c r="AT382" s="2">
        <v>24</v>
      </c>
      <c r="AU382" s="2" t="s">
        <v>661</v>
      </c>
      <c r="AV382" s="16">
        <f t="shared" si="192"/>
        <v>82</v>
      </c>
      <c r="AW382" s="18">
        <v>10.1</v>
      </c>
      <c r="AX382" s="13">
        <f t="shared" si="193"/>
        <v>0.10099999999999999</v>
      </c>
      <c r="AY382" s="8" t="s">
        <v>67</v>
      </c>
      <c r="AZ382" s="16">
        <f t="shared" si="194"/>
        <v>20</v>
      </c>
      <c r="BA382" s="16" t="s">
        <v>55</v>
      </c>
      <c r="BB382" s="16">
        <v>10</v>
      </c>
      <c r="BC382" s="16" t="s">
        <v>55</v>
      </c>
      <c r="BD382" s="18">
        <v>11.22</v>
      </c>
      <c r="BE382" s="15">
        <f t="shared" si="195"/>
        <v>111.0891089108911</v>
      </c>
      <c r="BF382" s="8">
        <f t="shared" si="186"/>
        <v>2.0456714831375002</v>
      </c>
      <c r="BG382" s="8">
        <f t="shared" si="196"/>
        <v>1.0499928569201427</v>
      </c>
      <c r="BH382" s="13" t="s">
        <v>841</v>
      </c>
      <c r="BI382" s="13"/>
      <c r="BJ382" s="13"/>
      <c r="BK382" s="8"/>
      <c r="BL382" s="8"/>
      <c r="BM382" s="18"/>
      <c r="BN382" s="8"/>
      <c r="BO382" s="24"/>
    </row>
    <row r="383" spans="1:67" s="14" customFormat="1" x14ac:dyDescent="0.3">
      <c r="A383" s="20">
        <v>381</v>
      </c>
      <c r="B383" s="2" t="s">
        <v>219</v>
      </c>
      <c r="C383" s="2">
        <v>2020</v>
      </c>
      <c r="D383" s="2" t="s">
        <v>201</v>
      </c>
      <c r="E383" s="10" t="s">
        <v>801</v>
      </c>
      <c r="F383" s="20" t="s">
        <v>29</v>
      </c>
      <c r="G383" s="2" t="s">
        <v>84</v>
      </c>
      <c r="H383" s="2" t="str">
        <f>'PFAS Properties'!$B$33</f>
        <v>PFOA</v>
      </c>
      <c r="I383" s="2" t="str">
        <f>'PFAS Properties'!$C$33</f>
        <v>PFCA</v>
      </c>
      <c r="J383" s="2" t="str">
        <f>'PFAS Properties'!$D$33</f>
        <v>C8HF15O2</v>
      </c>
      <c r="K383" s="25">
        <f>'PFAS Properties'!$P$33</f>
        <v>413.97359999999998</v>
      </c>
      <c r="L383" s="2">
        <f>'PFAS Properties'!$X$33</f>
        <v>-0.2</v>
      </c>
      <c r="M383" s="2" t="str">
        <f>'PFAS Properties'!$Y$33</f>
        <v>-</v>
      </c>
      <c r="N383" s="33">
        <v>0</v>
      </c>
      <c r="O383" s="33">
        <v>0</v>
      </c>
      <c r="P383" s="33">
        <v>0</v>
      </c>
      <c r="Q383" s="33">
        <f t="shared" si="178"/>
        <v>0.99999994871386422</v>
      </c>
      <c r="R383" s="33">
        <v>0</v>
      </c>
      <c r="S383" s="33">
        <f t="shared" si="179"/>
        <v>5.1286135768868562E-8</v>
      </c>
      <c r="T383" s="8">
        <f t="shared" si="180"/>
        <v>1</v>
      </c>
      <c r="U383" s="33">
        <f t="shared" si="181"/>
        <v>0</v>
      </c>
      <c r="V383" s="33">
        <f t="shared" si="182"/>
        <v>-0.99999994871386422</v>
      </c>
      <c r="W383" s="33">
        <f t="shared" si="183"/>
        <v>412.9736000512861</v>
      </c>
      <c r="X383" s="33">
        <v>96485</v>
      </c>
      <c r="Y383" s="16">
        <f t="shared" si="184"/>
        <v>-233.63477723436796</v>
      </c>
      <c r="Z383" s="16">
        <v>8</v>
      </c>
      <c r="AA383" s="16">
        <v>15</v>
      </c>
      <c r="AB383" s="8">
        <f t="shared" si="185"/>
        <v>0.33684210526315789</v>
      </c>
      <c r="AC383" s="16">
        <f t="shared" si="177"/>
        <v>68.844969824162703</v>
      </c>
      <c r="AD383" s="20">
        <f>'PFAS Properties'!$W$33</f>
        <v>7</v>
      </c>
      <c r="AE383" s="8">
        <f>'PFAS Properties'!$S$33</f>
        <v>2.6821450763738319</v>
      </c>
      <c r="AF383" s="15">
        <f>'PFAS Properties'!$V$33</f>
        <v>4.9000000000000004</v>
      </c>
      <c r="AG383" s="24">
        <v>7.09</v>
      </c>
      <c r="AH383" s="2" t="s">
        <v>661</v>
      </c>
      <c r="AI383" s="2">
        <v>28</v>
      </c>
      <c r="AJ383" s="15">
        <f t="shared" si="188"/>
        <v>501.38776971976006</v>
      </c>
      <c r="AK383" s="15">
        <f t="shared" si="189"/>
        <v>2.8</v>
      </c>
      <c r="AL383" s="2">
        <v>10</v>
      </c>
      <c r="AM383" s="15">
        <f t="shared" si="190"/>
        <v>370.64492216456637</v>
      </c>
      <c r="AN383" s="15">
        <f t="shared" si="191"/>
        <v>1</v>
      </c>
      <c r="AO383" s="2" t="s">
        <v>710</v>
      </c>
      <c r="AP383" s="72">
        <v>15.281916666666669</v>
      </c>
      <c r="AQ383" s="70" t="s">
        <v>752</v>
      </c>
      <c r="AR383" s="2">
        <v>15</v>
      </c>
      <c r="AS383" s="2">
        <v>26</v>
      </c>
      <c r="AT383" s="2">
        <v>42</v>
      </c>
      <c r="AU383" s="2" t="s">
        <v>661</v>
      </c>
      <c r="AV383" s="16">
        <f t="shared" si="192"/>
        <v>83</v>
      </c>
      <c r="AW383" s="18">
        <v>5.6</v>
      </c>
      <c r="AX383" s="13">
        <f t="shared" si="193"/>
        <v>5.5999999999999994E-2</v>
      </c>
      <c r="AY383" s="8" t="s">
        <v>67</v>
      </c>
      <c r="AZ383" s="16">
        <f t="shared" si="194"/>
        <v>20</v>
      </c>
      <c r="BA383" s="16" t="s">
        <v>55</v>
      </c>
      <c r="BB383" s="16">
        <v>10</v>
      </c>
      <c r="BC383" s="16" t="s">
        <v>55</v>
      </c>
      <c r="BD383" s="18">
        <v>9.7100000000000009</v>
      </c>
      <c r="BE383" s="15">
        <f t="shared" si="195"/>
        <v>173.39285714285717</v>
      </c>
      <c r="BF383" s="8">
        <f t="shared" si="186"/>
        <v>2.2390312029018045</v>
      </c>
      <c r="BG383" s="8">
        <f t="shared" si="196"/>
        <v>0.98721922990800492</v>
      </c>
      <c r="BH383" s="13" t="s">
        <v>841</v>
      </c>
      <c r="BI383" s="13"/>
      <c r="BJ383" s="13"/>
      <c r="BK383" s="8"/>
      <c r="BL383" s="8"/>
      <c r="BM383" s="18"/>
      <c r="BN383" s="8"/>
      <c r="BO383" s="24"/>
    </row>
    <row r="384" spans="1:67" s="14" customFormat="1" x14ac:dyDescent="0.3">
      <c r="A384" s="20">
        <v>382</v>
      </c>
      <c r="B384" s="2" t="s">
        <v>200</v>
      </c>
      <c r="C384" s="2">
        <v>2021</v>
      </c>
      <c r="D384" s="2" t="s">
        <v>201</v>
      </c>
      <c r="E384" s="10" t="s">
        <v>794</v>
      </c>
      <c r="F384" s="20" t="s">
        <v>29</v>
      </c>
      <c r="G384" s="2" t="s">
        <v>30</v>
      </c>
      <c r="H384" s="2" t="str">
        <f>'PFAS Properties'!$B$33</f>
        <v>PFOA</v>
      </c>
      <c r="I384" s="2" t="str">
        <f>'PFAS Properties'!$C$33</f>
        <v>PFCA</v>
      </c>
      <c r="J384" s="2" t="str">
        <f>'PFAS Properties'!$D$33</f>
        <v>C8HF15O2</v>
      </c>
      <c r="K384" s="25">
        <f>'PFAS Properties'!$P$33</f>
        <v>413.97359999999998</v>
      </c>
      <c r="L384" s="2">
        <f>'PFAS Properties'!$X$33</f>
        <v>-0.2</v>
      </c>
      <c r="M384" s="2" t="str">
        <f>'PFAS Properties'!$Y$33</f>
        <v>-</v>
      </c>
      <c r="N384" s="33">
        <v>0</v>
      </c>
      <c r="O384" s="33">
        <v>0</v>
      </c>
      <c r="P384" s="33">
        <v>0</v>
      </c>
      <c r="Q384" s="33">
        <f t="shared" si="178"/>
        <v>0.99999800474166611</v>
      </c>
      <c r="R384" s="33">
        <v>0</v>
      </c>
      <c r="S384" s="33">
        <f t="shared" si="179"/>
        <v>1.9952583339051124E-6</v>
      </c>
      <c r="T384" s="8">
        <f t="shared" si="180"/>
        <v>1</v>
      </c>
      <c r="U384" s="33">
        <f t="shared" si="181"/>
        <v>0</v>
      </c>
      <c r="V384" s="33">
        <f t="shared" si="182"/>
        <v>-0.99999800474166611</v>
      </c>
      <c r="W384" s="33">
        <f t="shared" si="183"/>
        <v>412.97360199525832</v>
      </c>
      <c r="X384" s="33">
        <v>96485</v>
      </c>
      <c r="Y384" s="16">
        <f t="shared" si="184"/>
        <v>-233.63432195505678</v>
      </c>
      <c r="Z384" s="16">
        <v>8</v>
      </c>
      <c r="AA384" s="16">
        <v>15</v>
      </c>
      <c r="AB384" s="8">
        <f t="shared" si="185"/>
        <v>0.33684210526315789</v>
      </c>
      <c r="AC384" s="16">
        <f t="shared" si="177"/>
        <v>68.844969824162703</v>
      </c>
      <c r="AD384" s="20">
        <f>'PFAS Properties'!$W$33</f>
        <v>7</v>
      </c>
      <c r="AE384" s="8">
        <f>'PFAS Properties'!$S$33</f>
        <v>2.6821450763738319</v>
      </c>
      <c r="AF384" s="15">
        <f>'PFAS Properties'!$V$33</f>
        <v>4.9000000000000004</v>
      </c>
      <c r="AG384" s="24">
        <v>5.5</v>
      </c>
      <c r="AH384" s="2" t="s">
        <v>834</v>
      </c>
      <c r="AI384" s="15">
        <v>1.0129999999999999</v>
      </c>
      <c r="AJ384" s="16">
        <f t="shared" si="188"/>
        <v>18.13949324021846</v>
      </c>
      <c r="AK384" s="8">
        <f t="shared" si="189"/>
        <v>0.10129999999999999</v>
      </c>
      <c r="AL384" s="15">
        <v>0.40400000000000003</v>
      </c>
      <c r="AM384" s="16">
        <f t="shared" si="190"/>
        <v>14.974054855448481</v>
      </c>
      <c r="AN384" s="8">
        <f t="shared" si="191"/>
        <v>4.0400000000000005E-2</v>
      </c>
      <c r="AO384" s="15" t="s">
        <v>31</v>
      </c>
      <c r="AP384" s="15">
        <v>23.4</v>
      </c>
      <c r="AQ384" s="16" t="s">
        <v>689</v>
      </c>
      <c r="AR384" s="16">
        <v>54.4</v>
      </c>
      <c r="AS384" s="16">
        <v>35</v>
      </c>
      <c r="AT384" s="16">
        <v>10.6</v>
      </c>
      <c r="AU384" s="16" t="s">
        <v>664</v>
      </c>
      <c r="AV384" s="16">
        <f t="shared" si="192"/>
        <v>100</v>
      </c>
      <c r="AW384" s="18">
        <v>1.6</v>
      </c>
      <c r="AX384" s="13">
        <f t="shared" si="193"/>
        <v>1.6E-2</v>
      </c>
      <c r="AY384" s="8" t="s">
        <v>32</v>
      </c>
      <c r="AZ384" s="16">
        <f t="shared" ref="AZ384:AZ396" si="197">3/0.03</f>
        <v>100</v>
      </c>
      <c r="BA384" s="16" t="s">
        <v>55</v>
      </c>
      <c r="BB384" s="16">
        <v>50</v>
      </c>
      <c r="BC384" s="16" t="s">
        <v>55</v>
      </c>
      <c r="BD384" s="18">
        <v>5.88</v>
      </c>
      <c r="BE384" s="15">
        <f t="shared" si="195"/>
        <v>367.5</v>
      </c>
      <c r="BF384" s="8">
        <f t="shared" si="186"/>
        <v>2.5652573434202135</v>
      </c>
      <c r="BG384" s="8">
        <f t="shared" si="196"/>
        <v>0.76937732607613851</v>
      </c>
      <c r="BH384" s="2" t="s">
        <v>841</v>
      </c>
      <c r="BI384" s="2"/>
      <c r="BJ384" s="2"/>
      <c r="BK384" s="2"/>
      <c r="BL384" s="2"/>
      <c r="BM384" s="20"/>
      <c r="BN384" s="20"/>
      <c r="BO384" s="2"/>
    </row>
    <row r="385" spans="1:67" s="14" customFormat="1" x14ac:dyDescent="0.3">
      <c r="A385" s="20">
        <v>383</v>
      </c>
      <c r="B385" s="2" t="s">
        <v>200</v>
      </c>
      <c r="C385" s="2">
        <v>2021</v>
      </c>
      <c r="D385" s="2" t="s">
        <v>201</v>
      </c>
      <c r="E385" s="10" t="s">
        <v>794</v>
      </c>
      <c r="F385" s="20" t="s">
        <v>29</v>
      </c>
      <c r="G385" s="2" t="s">
        <v>33</v>
      </c>
      <c r="H385" s="2" t="str">
        <f>'PFAS Properties'!$B$33</f>
        <v>PFOA</v>
      </c>
      <c r="I385" s="2" t="str">
        <f>'PFAS Properties'!$C$33</f>
        <v>PFCA</v>
      </c>
      <c r="J385" s="2" t="str">
        <f>'PFAS Properties'!$D$33</f>
        <v>C8HF15O2</v>
      </c>
      <c r="K385" s="25">
        <f>'PFAS Properties'!$P$33</f>
        <v>413.97359999999998</v>
      </c>
      <c r="L385" s="2">
        <f>'PFAS Properties'!$X$33</f>
        <v>-0.2</v>
      </c>
      <c r="M385" s="2" t="str">
        <f>'PFAS Properties'!$Y$33</f>
        <v>-</v>
      </c>
      <c r="N385" s="33">
        <v>0</v>
      </c>
      <c r="O385" s="33">
        <v>0</v>
      </c>
      <c r="P385" s="33">
        <v>0</v>
      </c>
      <c r="Q385" s="33">
        <f t="shared" si="178"/>
        <v>0.99999999369042658</v>
      </c>
      <c r="R385" s="33">
        <v>0</v>
      </c>
      <c r="S385" s="33">
        <f t="shared" si="179"/>
        <v>6.3095734049912165E-9</v>
      </c>
      <c r="T385" s="8">
        <f t="shared" si="180"/>
        <v>1</v>
      </c>
      <c r="U385" s="33">
        <f t="shared" si="181"/>
        <v>0</v>
      </c>
      <c r="V385" s="33">
        <f t="shared" si="182"/>
        <v>-0.99999999369042658</v>
      </c>
      <c r="W385" s="33">
        <f t="shared" si="183"/>
        <v>412.97360000630954</v>
      </c>
      <c r="X385" s="33">
        <v>96485</v>
      </c>
      <c r="Y385" s="16">
        <f t="shared" si="184"/>
        <v>-233.63478776790257</v>
      </c>
      <c r="Z385" s="16">
        <v>8</v>
      </c>
      <c r="AA385" s="16">
        <v>15</v>
      </c>
      <c r="AB385" s="8">
        <f t="shared" si="185"/>
        <v>0.33684210526315789</v>
      </c>
      <c r="AC385" s="16">
        <f t="shared" si="177"/>
        <v>68.844969824162703</v>
      </c>
      <c r="AD385" s="20">
        <f>'PFAS Properties'!$W$33</f>
        <v>7</v>
      </c>
      <c r="AE385" s="8">
        <f>'PFAS Properties'!$S$33</f>
        <v>2.6821450763738319</v>
      </c>
      <c r="AF385" s="15">
        <f>'PFAS Properties'!$V$33</f>
        <v>4.9000000000000004</v>
      </c>
      <c r="AG385" s="24">
        <v>8</v>
      </c>
      <c r="AH385" s="2" t="s">
        <v>834</v>
      </c>
      <c r="AI385" s="15">
        <v>2.9660000000000002</v>
      </c>
      <c r="AJ385" s="16">
        <f t="shared" si="188"/>
        <v>53.111290178171728</v>
      </c>
      <c r="AK385" s="8">
        <f t="shared" si="189"/>
        <v>0.29660000000000003</v>
      </c>
      <c r="AL385" s="15">
        <v>0.23</v>
      </c>
      <c r="AM385" s="16">
        <f t="shared" si="190"/>
        <v>8.5248332097850259</v>
      </c>
      <c r="AN385" s="8">
        <f t="shared" si="191"/>
        <v>2.3E-2</v>
      </c>
      <c r="AO385" s="15" t="s">
        <v>31</v>
      </c>
      <c r="AP385" s="15">
        <v>87.3</v>
      </c>
      <c r="AQ385" s="16" t="s">
        <v>689</v>
      </c>
      <c r="AR385" s="16">
        <v>12.2</v>
      </c>
      <c r="AS385" s="16">
        <v>54.3</v>
      </c>
      <c r="AT385" s="16">
        <v>33.5</v>
      </c>
      <c r="AU385" s="16" t="s">
        <v>664</v>
      </c>
      <c r="AV385" s="16">
        <f t="shared" si="192"/>
        <v>100</v>
      </c>
      <c r="AW385" s="18">
        <v>7.7</v>
      </c>
      <c r="AX385" s="13">
        <f t="shared" si="193"/>
        <v>7.6999999999999999E-2</v>
      </c>
      <c r="AY385" s="8" t="s">
        <v>32</v>
      </c>
      <c r="AZ385" s="16">
        <f t="shared" si="197"/>
        <v>100</v>
      </c>
      <c r="BA385" s="16" t="s">
        <v>55</v>
      </c>
      <c r="BB385" s="16">
        <v>50</v>
      </c>
      <c r="BC385" s="16" t="s">
        <v>55</v>
      </c>
      <c r="BD385" s="18">
        <v>10.18</v>
      </c>
      <c r="BE385" s="15">
        <f t="shared" si="195"/>
        <v>132.20779220779221</v>
      </c>
      <c r="BF385" s="8">
        <f t="shared" si="186"/>
        <v>2.1212570528282582</v>
      </c>
      <c r="BG385" s="8">
        <f t="shared" si="196"/>
        <v>1.00774777800074</v>
      </c>
      <c r="BH385" s="2" t="s">
        <v>841</v>
      </c>
      <c r="BI385" s="2"/>
      <c r="BJ385" s="2"/>
      <c r="BK385" s="2"/>
      <c r="BL385" s="2"/>
      <c r="BM385" s="20"/>
      <c r="BN385" s="20"/>
      <c r="BO385" s="2"/>
    </row>
    <row r="386" spans="1:67" s="14" customFormat="1" x14ac:dyDescent="0.3">
      <c r="A386" s="20">
        <v>384</v>
      </c>
      <c r="B386" s="2" t="s">
        <v>200</v>
      </c>
      <c r="C386" s="2">
        <v>2021</v>
      </c>
      <c r="D386" s="2" t="s">
        <v>201</v>
      </c>
      <c r="E386" s="10" t="s">
        <v>794</v>
      </c>
      <c r="F386" s="20" t="s">
        <v>29</v>
      </c>
      <c r="G386" s="2" t="s">
        <v>34</v>
      </c>
      <c r="H386" s="2" t="str">
        <f>'PFAS Properties'!$B$33</f>
        <v>PFOA</v>
      </c>
      <c r="I386" s="2" t="str">
        <f>'PFAS Properties'!$C$33</f>
        <v>PFCA</v>
      </c>
      <c r="J386" s="2" t="str">
        <f>'PFAS Properties'!$D$33</f>
        <v>C8HF15O2</v>
      </c>
      <c r="K386" s="25">
        <f>'PFAS Properties'!$P$33</f>
        <v>413.97359999999998</v>
      </c>
      <c r="L386" s="2">
        <f>'PFAS Properties'!$X$33</f>
        <v>-0.2</v>
      </c>
      <c r="M386" s="2" t="str">
        <f>'PFAS Properties'!$Y$33</f>
        <v>-</v>
      </c>
      <c r="N386" s="33">
        <v>0</v>
      </c>
      <c r="O386" s="33">
        <v>0</v>
      </c>
      <c r="P386" s="33">
        <v>0</v>
      </c>
      <c r="Q386" s="33">
        <f t="shared" si="178"/>
        <v>0.99999601894414336</v>
      </c>
      <c r="R386" s="33">
        <v>0</v>
      </c>
      <c r="S386" s="33">
        <f t="shared" si="179"/>
        <v>3.981055856666137E-6</v>
      </c>
      <c r="T386" s="8">
        <f t="shared" si="180"/>
        <v>1</v>
      </c>
      <c r="U386" s="33">
        <f t="shared" si="181"/>
        <v>0</v>
      </c>
      <c r="V386" s="33">
        <f t="shared" si="182"/>
        <v>-0.99999601894414336</v>
      </c>
      <c r="W386" s="33">
        <f t="shared" si="183"/>
        <v>412.97360398105587</v>
      </c>
      <c r="X386" s="33">
        <v>96485</v>
      </c>
      <c r="Y386" s="16">
        <f t="shared" si="184"/>
        <v>-233.63385688023698</v>
      </c>
      <c r="Z386" s="16">
        <v>8</v>
      </c>
      <c r="AA386" s="16">
        <v>15</v>
      </c>
      <c r="AB386" s="8">
        <f t="shared" si="185"/>
        <v>0.33684210526315789</v>
      </c>
      <c r="AC386" s="16">
        <f t="shared" si="177"/>
        <v>68.844969824162703</v>
      </c>
      <c r="AD386" s="20">
        <f>'PFAS Properties'!$W$33</f>
        <v>7</v>
      </c>
      <c r="AE386" s="8">
        <f>'PFAS Properties'!$S$33</f>
        <v>2.6821450763738319</v>
      </c>
      <c r="AF386" s="15">
        <f>'PFAS Properties'!$V$33</f>
        <v>4.9000000000000004</v>
      </c>
      <c r="AG386" s="24">
        <v>5.2</v>
      </c>
      <c r="AH386" s="2" t="s">
        <v>834</v>
      </c>
      <c r="AI386" s="15">
        <v>4.5149999999999997</v>
      </c>
      <c r="AJ386" s="16">
        <f t="shared" si="188"/>
        <v>80.848777867311313</v>
      </c>
      <c r="AK386" s="8">
        <f t="shared" si="189"/>
        <v>0.45149999999999996</v>
      </c>
      <c r="AL386" s="15">
        <v>0.377</v>
      </c>
      <c r="AM386" s="16">
        <f t="shared" si="190"/>
        <v>13.973313565604151</v>
      </c>
      <c r="AN386" s="8">
        <f t="shared" si="191"/>
        <v>3.7699999999999997E-2</v>
      </c>
      <c r="AO386" s="15" t="s">
        <v>31</v>
      </c>
      <c r="AP386" s="15">
        <v>44.3</v>
      </c>
      <c r="AQ386" s="16" t="s">
        <v>689</v>
      </c>
      <c r="AR386" s="16">
        <v>41.3</v>
      </c>
      <c r="AS386" s="16">
        <v>39.799999999999997</v>
      </c>
      <c r="AT386" s="16">
        <v>18.899999999999999</v>
      </c>
      <c r="AU386" s="16" t="s">
        <v>664</v>
      </c>
      <c r="AV386" s="16">
        <f t="shared" si="192"/>
        <v>100</v>
      </c>
      <c r="AW386" s="18">
        <v>9.4</v>
      </c>
      <c r="AX386" s="13">
        <f t="shared" si="193"/>
        <v>9.4E-2</v>
      </c>
      <c r="AY386" s="8" t="s">
        <v>32</v>
      </c>
      <c r="AZ386" s="16">
        <f t="shared" si="197"/>
        <v>100</v>
      </c>
      <c r="BA386" s="16" t="s">
        <v>55</v>
      </c>
      <c r="BB386" s="16">
        <v>50</v>
      </c>
      <c r="BC386" s="16" t="s">
        <v>55</v>
      </c>
      <c r="BD386" s="18">
        <v>12.96</v>
      </c>
      <c r="BE386" s="15">
        <f t="shared" si="195"/>
        <v>137.87234042553192</v>
      </c>
      <c r="BF386" s="8">
        <f t="shared" si="186"/>
        <v>2.1394771479348758</v>
      </c>
      <c r="BG386" s="8">
        <f t="shared" si="196"/>
        <v>1.1126050015345745</v>
      </c>
      <c r="BH386" s="2" t="s">
        <v>841</v>
      </c>
      <c r="BI386" s="2"/>
      <c r="BJ386" s="2"/>
      <c r="BK386" s="2"/>
      <c r="BL386" s="2"/>
      <c r="BM386" s="20"/>
      <c r="BN386" s="20"/>
      <c r="BO386" s="2"/>
    </row>
    <row r="387" spans="1:67" s="14" customFormat="1" x14ac:dyDescent="0.3">
      <c r="A387" s="20">
        <v>385</v>
      </c>
      <c r="B387" s="2" t="s">
        <v>200</v>
      </c>
      <c r="C387" s="2">
        <v>2021</v>
      </c>
      <c r="D387" s="2" t="s">
        <v>201</v>
      </c>
      <c r="E387" s="10" t="s">
        <v>794</v>
      </c>
      <c r="F387" s="20" t="s">
        <v>29</v>
      </c>
      <c r="G387" s="2" t="s">
        <v>37</v>
      </c>
      <c r="H387" s="2" t="str">
        <f>'PFAS Properties'!$B$33</f>
        <v>PFOA</v>
      </c>
      <c r="I387" s="2" t="str">
        <f>'PFAS Properties'!$C$33</f>
        <v>PFCA</v>
      </c>
      <c r="J387" s="2" t="str">
        <f>'PFAS Properties'!$D$33</f>
        <v>C8HF15O2</v>
      </c>
      <c r="K387" s="25">
        <f>'PFAS Properties'!$P$33</f>
        <v>413.97359999999998</v>
      </c>
      <c r="L387" s="2">
        <f>'PFAS Properties'!$X$33</f>
        <v>-0.2</v>
      </c>
      <c r="M387" s="2" t="str">
        <f>'PFAS Properties'!$Y$33</f>
        <v>-</v>
      </c>
      <c r="N387" s="33">
        <v>0</v>
      </c>
      <c r="O387" s="33">
        <v>0</v>
      </c>
      <c r="P387" s="33">
        <v>0</v>
      </c>
      <c r="Q387" s="33">
        <f t="shared" si="178"/>
        <v>0.99999900000099995</v>
      </c>
      <c r="R387" s="33">
        <v>0</v>
      </c>
      <c r="S387" s="33">
        <f t="shared" si="179"/>
        <v>9.9999900000100006E-7</v>
      </c>
      <c r="T387" s="8">
        <f t="shared" si="180"/>
        <v>1</v>
      </c>
      <c r="U387" s="33">
        <f t="shared" si="181"/>
        <v>0</v>
      </c>
      <c r="V387" s="33">
        <f t="shared" si="182"/>
        <v>-0.99999900000099995</v>
      </c>
      <c r="W387" s="33">
        <f t="shared" si="183"/>
        <v>412.97360099999895</v>
      </c>
      <c r="X387" s="33">
        <v>96485</v>
      </c>
      <c r="Y387" s="16">
        <f t="shared" si="184"/>
        <v>-233.63455504531566</v>
      </c>
      <c r="Z387" s="16">
        <v>8</v>
      </c>
      <c r="AA387" s="16">
        <v>15</v>
      </c>
      <c r="AB387" s="8">
        <f t="shared" si="185"/>
        <v>0.33684210526315789</v>
      </c>
      <c r="AC387" s="16">
        <f t="shared" ref="AC387:AC450" si="198">((AA387*19)/K387)*100</f>
        <v>68.844969824162703</v>
      </c>
      <c r="AD387" s="20">
        <f>'PFAS Properties'!$W$33</f>
        <v>7</v>
      </c>
      <c r="AE387" s="8">
        <f>'PFAS Properties'!$S$33</f>
        <v>2.6821450763738319</v>
      </c>
      <c r="AF387" s="15">
        <f>'PFAS Properties'!$V$33</f>
        <v>4.9000000000000004</v>
      </c>
      <c r="AG387" s="24">
        <v>5.8</v>
      </c>
      <c r="AH387" s="2" t="s">
        <v>834</v>
      </c>
      <c r="AI387" s="15">
        <v>6.5019999999999998</v>
      </c>
      <c r="AJ387" s="16">
        <f t="shared" si="188"/>
        <v>116.42940281135286</v>
      </c>
      <c r="AK387" s="8">
        <f t="shared" si="189"/>
        <v>0.6502</v>
      </c>
      <c r="AL387" s="15">
        <v>1.732</v>
      </c>
      <c r="AM387" s="16">
        <f t="shared" si="190"/>
        <v>64.195700518902896</v>
      </c>
      <c r="AN387" s="8">
        <f t="shared" si="191"/>
        <v>0.17319999999999999</v>
      </c>
      <c r="AO387" s="15" t="s">
        <v>31</v>
      </c>
      <c r="AP387" s="15">
        <v>90</v>
      </c>
      <c r="AQ387" s="16" t="s">
        <v>689</v>
      </c>
      <c r="AR387" s="16">
        <v>46</v>
      </c>
      <c r="AS387" s="16">
        <v>51</v>
      </c>
      <c r="AT387" s="16">
        <v>3</v>
      </c>
      <c r="AU387" s="16" t="s">
        <v>664</v>
      </c>
      <c r="AV387" s="16">
        <f t="shared" si="192"/>
        <v>100</v>
      </c>
      <c r="AW387" s="18">
        <v>27</v>
      </c>
      <c r="AX387" s="13">
        <f t="shared" si="193"/>
        <v>0.27</v>
      </c>
      <c r="AY387" s="8" t="s">
        <v>32</v>
      </c>
      <c r="AZ387" s="16">
        <f t="shared" si="197"/>
        <v>100</v>
      </c>
      <c r="BA387" s="16" t="s">
        <v>55</v>
      </c>
      <c r="BB387" s="16">
        <v>150</v>
      </c>
      <c r="BC387" s="16" t="s">
        <v>55</v>
      </c>
      <c r="BD387" s="18">
        <v>40.630000000000003</v>
      </c>
      <c r="BE387" s="15">
        <f t="shared" si="195"/>
        <v>150.4814814814815</v>
      </c>
      <c r="BF387" s="8">
        <f t="shared" si="186"/>
        <v>2.1774830581674243</v>
      </c>
      <c r="BG387" s="8">
        <f t="shared" si="196"/>
        <v>1.6088468223264116</v>
      </c>
      <c r="BH387" s="2" t="s">
        <v>841</v>
      </c>
      <c r="BI387" s="2"/>
      <c r="BJ387" s="2"/>
      <c r="BK387" s="2"/>
      <c r="BL387" s="2"/>
      <c r="BM387" s="20"/>
      <c r="BN387" s="20"/>
      <c r="BO387" s="2"/>
    </row>
    <row r="388" spans="1:67" s="14" customFormat="1" x14ac:dyDescent="0.3">
      <c r="A388" s="20">
        <v>386</v>
      </c>
      <c r="B388" s="2" t="s">
        <v>200</v>
      </c>
      <c r="C388" s="2">
        <v>2021</v>
      </c>
      <c r="D388" s="2" t="s">
        <v>201</v>
      </c>
      <c r="E388" s="10" t="s">
        <v>794</v>
      </c>
      <c r="F388" s="20" t="s">
        <v>29</v>
      </c>
      <c r="G388" s="2" t="s">
        <v>35</v>
      </c>
      <c r="H388" s="2" t="str">
        <f>'PFAS Properties'!$B$33</f>
        <v>PFOA</v>
      </c>
      <c r="I388" s="2" t="str">
        <f>'PFAS Properties'!$C$33</f>
        <v>PFCA</v>
      </c>
      <c r="J388" s="2" t="str">
        <f>'PFAS Properties'!$D$33</f>
        <v>C8HF15O2</v>
      </c>
      <c r="K388" s="25">
        <f>'PFAS Properties'!$P$33</f>
        <v>413.97359999999998</v>
      </c>
      <c r="L388" s="2">
        <f>'PFAS Properties'!$X$33</f>
        <v>-0.2</v>
      </c>
      <c r="M388" s="2" t="str">
        <f>'PFAS Properties'!$Y$33</f>
        <v>-</v>
      </c>
      <c r="N388" s="33">
        <v>0</v>
      </c>
      <c r="O388" s="33">
        <v>0</v>
      </c>
      <c r="P388" s="33">
        <v>0</v>
      </c>
      <c r="Q388" s="33">
        <f t="shared" si="178"/>
        <v>0.99999874107617315</v>
      </c>
      <c r="R388" s="33">
        <v>0</v>
      </c>
      <c r="S388" s="33">
        <f t="shared" si="179"/>
        <v>1.2589238269029671E-6</v>
      </c>
      <c r="T388" s="8">
        <f t="shared" si="180"/>
        <v>1</v>
      </c>
      <c r="U388" s="33">
        <f t="shared" si="181"/>
        <v>0</v>
      </c>
      <c r="V388" s="33">
        <f t="shared" si="182"/>
        <v>-0.99999874107617315</v>
      </c>
      <c r="W388" s="33">
        <f t="shared" si="183"/>
        <v>412.97360125892379</v>
      </c>
      <c r="X388" s="33">
        <v>96485</v>
      </c>
      <c r="Y388" s="16">
        <f t="shared" si="184"/>
        <v>-233.63449440498505</v>
      </c>
      <c r="Z388" s="16">
        <v>8</v>
      </c>
      <c r="AA388" s="16">
        <v>15</v>
      </c>
      <c r="AB388" s="8">
        <f t="shared" si="185"/>
        <v>0.33684210526315789</v>
      </c>
      <c r="AC388" s="16">
        <f t="shared" si="198"/>
        <v>68.844969824162703</v>
      </c>
      <c r="AD388" s="20">
        <f>'PFAS Properties'!$W$33</f>
        <v>7</v>
      </c>
      <c r="AE388" s="8">
        <f>'PFAS Properties'!$S$33</f>
        <v>2.6821450763738319</v>
      </c>
      <c r="AF388" s="15">
        <f>'PFAS Properties'!$V$33</f>
        <v>4.9000000000000004</v>
      </c>
      <c r="AG388" s="24">
        <v>5.7</v>
      </c>
      <c r="AH388" s="2" t="s">
        <v>834</v>
      </c>
      <c r="AI388" s="15">
        <v>12.358000000000001</v>
      </c>
      <c r="AJ388" s="16">
        <f t="shared" si="188"/>
        <v>221.29107350702839</v>
      </c>
      <c r="AK388" s="8">
        <f t="shared" si="189"/>
        <v>1.2358</v>
      </c>
      <c r="AL388" s="15">
        <v>1.0269999999999999</v>
      </c>
      <c r="AM388" s="16">
        <f t="shared" si="190"/>
        <v>38.065233506300963</v>
      </c>
      <c r="AN388" s="8">
        <f t="shared" si="191"/>
        <v>0.10269999999999999</v>
      </c>
      <c r="AO388" s="15" t="s">
        <v>31</v>
      </c>
      <c r="AP388" s="15">
        <v>103</v>
      </c>
      <c r="AQ388" s="16" t="s">
        <v>689</v>
      </c>
      <c r="AR388" s="16">
        <v>35</v>
      </c>
      <c r="AS388" s="16">
        <v>63</v>
      </c>
      <c r="AT388" s="16">
        <v>2</v>
      </c>
      <c r="AU388" s="16" t="s">
        <v>664</v>
      </c>
      <c r="AV388" s="16">
        <f t="shared" si="192"/>
        <v>100</v>
      </c>
      <c r="AW388" s="18">
        <v>32</v>
      </c>
      <c r="AX388" s="13">
        <f t="shared" si="193"/>
        <v>0.32</v>
      </c>
      <c r="AY388" s="8" t="s">
        <v>32</v>
      </c>
      <c r="AZ388" s="16">
        <f t="shared" si="197"/>
        <v>100</v>
      </c>
      <c r="BA388" s="16" t="s">
        <v>55</v>
      </c>
      <c r="BB388" s="16">
        <v>150</v>
      </c>
      <c r="BC388" s="16" t="s">
        <v>55</v>
      </c>
      <c r="BD388" s="18">
        <v>26.1</v>
      </c>
      <c r="BE388" s="15">
        <f t="shared" si="195"/>
        <v>81.5625</v>
      </c>
      <c r="BF388" s="8">
        <f t="shared" si="186"/>
        <v>1.911490529018375</v>
      </c>
      <c r="BG388" s="8">
        <f t="shared" si="196"/>
        <v>1.4166405073382811</v>
      </c>
      <c r="BH388" s="2" t="s">
        <v>841</v>
      </c>
      <c r="BI388" s="2"/>
      <c r="BJ388" s="2"/>
      <c r="BK388" s="2"/>
      <c r="BL388" s="2"/>
      <c r="BM388" s="20"/>
      <c r="BN388" s="20"/>
      <c r="BO388" s="2"/>
    </row>
    <row r="389" spans="1:67" s="14" customFormat="1" x14ac:dyDescent="0.3">
      <c r="A389" s="20">
        <v>387</v>
      </c>
      <c r="B389" s="2" t="s">
        <v>200</v>
      </c>
      <c r="C389" s="2">
        <v>2021</v>
      </c>
      <c r="D389" s="2" t="s">
        <v>201</v>
      </c>
      <c r="E389" s="10" t="s">
        <v>794</v>
      </c>
      <c r="F389" s="20" t="s">
        <v>29</v>
      </c>
      <c r="G389" s="2" t="s">
        <v>36</v>
      </c>
      <c r="H389" s="2" t="str">
        <f>'PFAS Properties'!$B$33</f>
        <v>PFOA</v>
      </c>
      <c r="I389" s="2" t="str">
        <f>'PFAS Properties'!$C$33</f>
        <v>PFCA</v>
      </c>
      <c r="J389" s="2" t="str">
        <f>'PFAS Properties'!$D$33</f>
        <v>C8HF15O2</v>
      </c>
      <c r="K389" s="25">
        <f>'PFAS Properties'!$P$33</f>
        <v>413.97359999999998</v>
      </c>
      <c r="L389" s="2">
        <f>'PFAS Properties'!$X$33</f>
        <v>-0.2</v>
      </c>
      <c r="M389" s="2" t="str">
        <f>'PFAS Properties'!$Y$33</f>
        <v>-</v>
      </c>
      <c r="N389" s="33">
        <v>0</v>
      </c>
      <c r="O389" s="33">
        <v>0</v>
      </c>
      <c r="P389" s="33">
        <v>0</v>
      </c>
      <c r="Q389" s="33">
        <f t="shared" si="178"/>
        <v>0.99999874107617315</v>
      </c>
      <c r="R389" s="33">
        <v>0</v>
      </c>
      <c r="S389" s="33">
        <f t="shared" si="179"/>
        <v>1.2589238269029671E-6</v>
      </c>
      <c r="T389" s="8">
        <f t="shared" si="180"/>
        <v>1</v>
      </c>
      <c r="U389" s="33">
        <f t="shared" si="181"/>
        <v>0</v>
      </c>
      <c r="V389" s="33">
        <f t="shared" si="182"/>
        <v>-0.99999874107617315</v>
      </c>
      <c r="W389" s="33">
        <f t="shared" si="183"/>
        <v>412.97360125892379</v>
      </c>
      <c r="X389" s="33">
        <v>96485</v>
      </c>
      <c r="Y389" s="16">
        <f t="shared" si="184"/>
        <v>-233.63449440498505</v>
      </c>
      <c r="Z389" s="16">
        <v>8</v>
      </c>
      <c r="AA389" s="16">
        <v>15</v>
      </c>
      <c r="AB389" s="8">
        <f t="shared" si="185"/>
        <v>0.33684210526315789</v>
      </c>
      <c r="AC389" s="16">
        <f t="shared" si="198"/>
        <v>68.844969824162703</v>
      </c>
      <c r="AD389" s="20">
        <f>'PFAS Properties'!$W$33</f>
        <v>7</v>
      </c>
      <c r="AE389" s="8">
        <f>'PFAS Properties'!$S$33</f>
        <v>2.6821450763738319</v>
      </c>
      <c r="AF389" s="15">
        <f>'PFAS Properties'!$V$33</f>
        <v>4.9000000000000004</v>
      </c>
      <c r="AG389" s="24">
        <v>5.7</v>
      </c>
      <c r="AH389" s="2" t="s">
        <v>834</v>
      </c>
      <c r="AI389" s="15">
        <v>10.64</v>
      </c>
      <c r="AJ389" s="16">
        <f t="shared" si="188"/>
        <v>190.52735249350883</v>
      </c>
      <c r="AK389" s="8">
        <f t="shared" si="189"/>
        <v>1.0640000000000001</v>
      </c>
      <c r="AL389" s="15">
        <v>0.16700000000000001</v>
      </c>
      <c r="AM389" s="16">
        <f t="shared" si="190"/>
        <v>6.1897702001482582</v>
      </c>
      <c r="AN389" s="8">
        <f t="shared" si="191"/>
        <v>1.67E-2</v>
      </c>
      <c r="AO389" s="15" t="s">
        <v>31</v>
      </c>
      <c r="AP389" s="15">
        <v>140</v>
      </c>
      <c r="AQ389" s="16" t="s">
        <v>689</v>
      </c>
      <c r="AR389" s="16">
        <v>20.7</v>
      </c>
      <c r="AS389" s="16">
        <v>78</v>
      </c>
      <c r="AT389" s="16">
        <v>1.3</v>
      </c>
      <c r="AU389" s="16" t="s">
        <v>664</v>
      </c>
      <c r="AV389" s="16">
        <f t="shared" si="192"/>
        <v>100</v>
      </c>
      <c r="AW389" s="18">
        <v>39</v>
      </c>
      <c r="AX389" s="13">
        <f t="shared" si="193"/>
        <v>0.39</v>
      </c>
      <c r="AY389" s="8" t="s">
        <v>32</v>
      </c>
      <c r="AZ389" s="16">
        <f t="shared" si="197"/>
        <v>100</v>
      </c>
      <c r="BA389" s="16" t="s">
        <v>55</v>
      </c>
      <c r="BB389" s="16">
        <v>150</v>
      </c>
      <c r="BC389" s="16" t="s">
        <v>55</v>
      </c>
      <c r="BD389" s="18">
        <v>26.77</v>
      </c>
      <c r="BE389" s="15">
        <f t="shared" si="195"/>
        <v>68.641025641025635</v>
      </c>
      <c r="BF389" s="8">
        <f t="shared" si="186"/>
        <v>1.8365837641604335</v>
      </c>
      <c r="BG389" s="8">
        <f t="shared" si="196"/>
        <v>1.4276483711869326</v>
      </c>
      <c r="BH389" s="2" t="s">
        <v>841</v>
      </c>
      <c r="BI389" s="2"/>
      <c r="BJ389" s="2"/>
      <c r="BK389" s="2"/>
      <c r="BL389" s="2"/>
      <c r="BM389" s="20"/>
      <c r="BN389" s="20"/>
      <c r="BO389" s="2"/>
    </row>
    <row r="390" spans="1:67" s="14" customFormat="1" x14ac:dyDescent="0.3">
      <c r="A390" s="20">
        <v>388</v>
      </c>
      <c r="B390" s="2" t="s">
        <v>200</v>
      </c>
      <c r="C390" s="2">
        <v>2021</v>
      </c>
      <c r="D390" s="2" t="s">
        <v>201</v>
      </c>
      <c r="E390" s="10" t="s">
        <v>794</v>
      </c>
      <c r="F390" s="20" t="s">
        <v>29</v>
      </c>
      <c r="G390" s="2" t="s">
        <v>38</v>
      </c>
      <c r="H390" s="2" t="str">
        <f>'PFAS Properties'!$B$33</f>
        <v>PFOA</v>
      </c>
      <c r="I390" s="2" t="str">
        <f>'PFAS Properties'!$C$33</f>
        <v>PFCA</v>
      </c>
      <c r="J390" s="2" t="str">
        <f>'PFAS Properties'!$D$33</f>
        <v>C8HF15O2</v>
      </c>
      <c r="K390" s="25">
        <f>'PFAS Properties'!$P$33</f>
        <v>413.97359999999998</v>
      </c>
      <c r="L390" s="2">
        <f>'PFAS Properties'!$X$33</f>
        <v>-0.2</v>
      </c>
      <c r="M390" s="2" t="str">
        <f>'PFAS Properties'!$Y$33</f>
        <v>-</v>
      </c>
      <c r="N390" s="33">
        <v>0</v>
      </c>
      <c r="O390" s="33">
        <v>0</v>
      </c>
      <c r="P390" s="33">
        <v>0</v>
      </c>
      <c r="Q390" s="33">
        <f t="shared" si="178"/>
        <v>0.99999874107617315</v>
      </c>
      <c r="R390" s="33">
        <v>0</v>
      </c>
      <c r="S390" s="33">
        <f t="shared" si="179"/>
        <v>1.2589238269029671E-6</v>
      </c>
      <c r="T390" s="8">
        <f t="shared" si="180"/>
        <v>1</v>
      </c>
      <c r="U390" s="33">
        <f t="shared" si="181"/>
        <v>0</v>
      </c>
      <c r="V390" s="33">
        <f t="shared" si="182"/>
        <v>-0.99999874107617315</v>
      </c>
      <c r="W390" s="33">
        <f t="shared" si="183"/>
        <v>412.97360125892379</v>
      </c>
      <c r="X390" s="33">
        <v>96485</v>
      </c>
      <c r="Y390" s="16">
        <f t="shared" si="184"/>
        <v>-233.63449440498505</v>
      </c>
      <c r="Z390" s="16">
        <v>8</v>
      </c>
      <c r="AA390" s="16">
        <v>15</v>
      </c>
      <c r="AB390" s="8">
        <f t="shared" si="185"/>
        <v>0.33684210526315789</v>
      </c>
      <c r="AC390" s="16">
        <f t="shared" si="198"/>
        <v>68.844969824162703</v>
      </c>
      <c r="AD390" s="20">
        <f>'PFAS Properties'!$W$33</f>
        <v>7</v>
      </c>
      <c r="AE390" s="8">
        <f>'PFAS Properties'!$S$33</f>
        <v>2.6821450763738319</v>
      </c>
      <c r="AF390" s="15">
        <f>'PFAS Properties'!$V$33</f>
        <v>4.9000000000000004</v>
      </c>
      <c r="AG390" s="24">
        <v>5.7</v>
      </c>
      <c r="AH390" s="2" t="s">
        <v>834</v>
      </c>
      <c r="AI390" s="15">
        <v>19.667999999999999</v>
      </c>
      <c r="AJ390" s="16">
        <f t="shared" si="188"/>
        <v>352.18909481600861</v>
      </c>
      <c r="AK390" s="8">
        <f t="shared" si="189"/>
        <v>1.9667999999999999</v>
      </c>
      <c r="AL390" s="15">
        <v>0.48099999999999998</v>
      </c>
      <c r="AM390" s="16">
        <f t="shared" si="190"/>
        <v>17.828020756115642</v>
      </c>
      <c r="AN390" s="8">
        <f t="shared" si="191"/>
        <v>4.8099999999999997E-2</v>
      </c>
      <c r="AO390" s="15" t="s">
        <v>31</v>
      </c>
      <c r="AP390" s="15">
        <v>114</v>
      </c>
      <c r="AQ390" s="16" t="s">
        <v>689</v>
      </c>
      <c r="AR390" s="16">
        <v>20</v>
      </c>
      <c r="AS390" s="16">
        <v>78.900000000000006</v>
      </c>
      <c r="AT390" s="16">
        <v>1.1000000000000001</v>
      </c>
      <c r="AU390" s="16" t="s">
        <v>664</v>
      </c>
      <c r="AV390" s="16">
        <f t="shared" si="192"/>
        <v>100</v>
      </c>
      <c r="AW390" s="18">
        <v>41</v>
      </c>
      <c r="AX390" s="13">
        <f t="shared" si="193"/>
        <v>0.41</v>
      </c>
      <c r="AY390" s="8" t="s">
        <v>32</v>
      </c>
      <c r="AZ390" s="16">
        <f t="shared" si="197"/>
        <v>100</v>
      </c>
      <c r="BA390" s="16" t="s">
        <v>55</v>
      </c>
      <c r="BB390" s="16">
        <v>150</v>
      </c>
      <c r="BC390" s="16" t="s">
        <v>55</v>
      </c>
      <c r="BD390" s="18">
        <v>36.590000000000003</v>
      </c>
      <c r="BE390" s="15">
        <f t="shared" si="195"/>
        <v>89.24390243902441</v>
      </c>
      <c r="BF390" s="8">
        <f t="shared" si="186"/>
        <v>1.9505785527668722</v>
      </c>
      <c r="BG390" s="8">
        <f t="shared" si="196"/>
        <v>1.5633624094866074</v>
      </c>
      <c r="BH390" s="2" t="s">
        <v>841</v>
      </c>
      <c r="BI390" s="2"/>
      <c r="BJ390" s="2"/>
      <c r="BK390" s="2"/>
      <c r="BL390" s="2"/>
      <c r="BM390" s="20"/>
      <c r="BN390" s="20"/>
      <c r="BO390" s="2"/>
    </row>
    <row r="391" spans="1:67" s="14" customFormat="1" x14ac:dyDescent="0.3">
      <c r="A391" s="20">
        <v>389</v>
      </c>
      <c r="B391" s="2" t="s">
        <v>207</v>
      </c>
      <c r="C391" s="2">
        <v>2015</v>
      </c>
      <c r="D391" s="2" t="s">
        <v>201</v>
      </c>
      <c r="E391" s="10" t="s">
        <v>810</v>
      </c>
      <c r="F391" s="20" t="s">
        <v>29</v>
      </c>
      <c r="G391" s="2" t="s">
        <v>51</v>
      </c>
      <c r="H391" s="2" t="str">
        <f>'PFAS Properties'!$B$33</f>
        <v>PFOA</v>
      </c>
      <c r="I391" s="2" t="str">
        <f>'PFAS Properties'!$C$33</f>
        <v>PFCA</v>
      </c>
      <c r="J391" s="2" t="str">
        <f>'PFAS Properties'!$D$33</f>
        <v>C8HF15O2</v>
      </c>
      <c r="K391" s="25">
        <f>'PFAS Properties'!$P$33</f>
        <v>413.97359999999998</v>
      </c>
      <c r="L391" s="2">
        <f>'PFAS Properties'!$X$33</f>
        <v>-0.2</v>
      </c>
      <c r="M391" s="2" t="str">
        <f>'PFAS Properties'!$Y$33</f>
        <v>-</v>
      </c>
      <c r="N391" s="33">
        <v>0</v>
      </c>
      <c r="O391" s="33">
        <v>0</v>
      </c>
      <c r="P391" s="33">
        <v>0</v>
      </c>
      <c r="Q391" s="33">
        <f t="shared" si="178"/>
        <v>0.99999999748811352</v>
      </c>
      <c r="R391" s="33">
        <v>0</v>
      </c>
      <c r="S391" s="33">
        <f t="shared" si="179"/>
        <v>2.5118864252000079E-9</v>
      </c>
      <c r="T391" s="8">
        <f t="shared" si="180"/>
        <v>1</v>
      </c>
      <c r="U391" s="33">
        <f t="shared" si="181"/>
        <v>0</v>
      </c>
      <c r="V391" s="33">
        <f t="shared" si="182"/>
        <v>-0.99999999748811352</v>
      </c>
      <c r="W391" s="33">
        <f t="shared" si="183"/>
        <v>412.97360000251183</v>
      </c>
      <c r="X391" s="33">
        <v>96485</v>
      </c>
      <c r="Y391" s="16">
        <f t="shared" si="184"/>
        <v>-233.63478865732284</v>
      </c>
      <c r="Z391" s="16">
        <v>8</v>
      </c>
      <c r="AA391" s="16">
        <v>15</v>
      </c>
      <c r="AB391" s="8">
        <f t="shared" si="185"/>
        <v>0.33684210526315789</v>
      </c>
      <c r="AC391" s="16">
        <f t="shared" si="198"/>
        <v>68.844969824162703</v>
      </c>
      <c r="AD391" s="20">
        <f>'PFAS Properties'!$W$33</f>
        <v>7</v>
      </c>
      <c r="AE391" s="8">
        <f>'PFAS Properties'!$S$33</f>
        <v>2.6821450763738319</v>
      </c>
      <c r="AF391" s="15">
        <f>'PFAS Properties'!$V$33</f>
        <v>4.9000000000000004</v>
      </c>
      <c r="AG391" s="24">
        <v>8.4</v>
      </c>
      <c r="AH391" s="2" t="s">
        <v>834</v>
      </c>
      <c r="AI391" s="2">
        <v>0.40699999999999997</v>
      </c>
      <c r="AJ391" s="15">
        <f t="shared" si="188"/>
        <v>7.2880293669979412</v>
      </c>
      <c r="AK391" s="8">
        <f t="shared" si="189"/>
        <v>4.07E-2</v>
      </c>
      <c r="AL391" s="2">
        <v>0.504</v>
      </c>
      <c r="AM391" s="15">
        <f t="shared" si="190"/>
        <v>18.680504077094145</v>
      </c>
      <c r="AN391" s="8">
        <f t="shared" si="191"/>
        <v>5.04E-2</v>
      </c>
      <c r="AO391" s="15" t="s">
        <v>31</v>
      </c>
      <c r="AP391" s="15">
        <v>42.8</v>
      </c>
      <c r="AQ391" s="16" t="s">
        <v>689</v>
      </c>
      <c r="AR391" s="2">
        <v>18.5</v>
      </c>
      <c r="AS391" s="2">
        <v>64.599999999999994</v>
      </c>
      <c r="AT391" s="2">
        <v>16.899999999999999</v>
      </c>
      <c r="AU391" s="16" t="s">
        <v>664</v>
      </c>
      <c r="AV391" s="16">
        <f t="shared" si="192"/>
        <v>100</v>
      </c>
      <c r="AW391" s="18">
        <v>0.2</v>
      </c>
      <c r="AX391" s="13">
        <f t="shared" si="193"/>
        <v>2E-3</v>
      </c>
      <c r="AY391" s="8" t="s">
        <v>32</v>
      </c>
      <c r="AZ391" s="16">
        <f t="shared" si="197"/>
        <v>100</v>
      </c>
      <c r="BA391" s="16" t="s">
        <v>55</v>
      </c>
      <c r="BB391" s="16">
        <v>1</v>
      </c>
      <c r="BC391" s="16">
        <v>300</v>
      </c>
      <c r="BD391" s="18">
        <v>2.2000000000000002</v>
      </c>
      <c r="BE391" s="15">
        <f t="shared" si="195"/>
        <v>1100</v>
      </c>
      <c r="BF391" s="8">
        <f t="shared" si="186"/>
        <v>3.0413926851582249</v>
      </c>
      <c r="BG391" s="8">
        <f t="shared" si="196"/>
        <v>0.34242268082220628</v>
      </c>
      <c r="BH391" s="2" t="s">
        <v>837</v>
      </c>
      <c r="BI391" s="15"/>
      <c r="BJ391" s="13"/>
      <c r="BK391" s="15"/>
      <c r="BL391" s="16"/>
      <c r="BM391" s="18"/>
      <c r="BN391" s="8"/>
      <c r="BO391" s="24"/>
    </row>
    <row r="392" spans="1:67" s="14" customFormat="1" x14ac:dyDescent="0.3">
      <c r="A392" s="20">
        <v>390</v>
      </c>
      <c r="B392" s="2" t="s">
        <v>207</v>
      </c>
      <c r="C392" s="2">
        <v>2015</v>
      </c>
      <c r="D392" s="2" t="s">
        <v>201</v>
      </c>
      <c r="E392" s="10" t="s">
        <v>810</v>
      </c>
      <c r="F392" s="20" t="s">
        <v>29</v>
      </c>
      <c r="G392" s="2" t="s">
        <v>30</v>
      </c>
      <c r="H392" s="2" t="str">
        <f>'PFAS Properties'!$B$33</f>
        <v>PFOA</v>
      </c>
      <c r="I392" s="2" t="str">
        <f>'PFAS Properties'!$C$33</f>
        <v>PFCA</v>
      </c>
      <c r="J392" s="2" t="str">
        <f>'PFAS Properties'!$D$33</f>
        <v>C8HF15O2</v>
      </c>
      <c r="K392" s="25">
        <f>'PFAS Properties'!$P$33</f>
        <v>413.97359999999998</v>
      </c>
      <c r="L392" s="2">
        <f>'PFAS Properties'!$X$33</f>
        <v>-0.2</v>
      </c>
      <c r="M392" s="2" t="str">
        <f>'PFAS Properties'!$Y$33</f>
        <v>-</v>
      </c>
      <c r="N392" s="33">
        <v>0</v>
      </c>
      <c r="O392" s="33">
        <v>0</v>
      </c>
      <c r="P392" s="33">
        <v>0</v>
      </c>
      <c r="Q392" s="33">
        <f t="shared" si="178"/>
        <v>0.99999800474166611</v>
      </c>
      <c r="R392" s="33">
        <v>0</v>
      </c>
      <c r="S392" s="33">
        <f t="shared" si="179"/>
        <v>1.9952583339051124E-6</v>
      </c>
      <c r="T392" s="8">
        <f t="shared" si="180"/>
        <v>1</v>
      </c>
      <c r="U392" s="33">
        <f t="shared" si="181"/>
        <v>0</v>
      </c>
      <c r="V392" s="33">
        <f t="shared" si="182"/>
        <v>-0.99999800474166611</v>
      </c>
      <c r="W392" s="33">
        <f t="shared" si="183"/>
        <v>412.97360199525832</v>
      </c>
      <c r="X392" s="33">
        <v>96485</v>
      </c>
      <c r="Y392" s="16">
        <f t="shared" si="184"/>
        <v>-233.63432195505678</v>
      </c>
      <c r="Z392" s="16">
        <v>8</v>
      </c>
      <c r="AA392" s="16">
        <v>15</v>
      </c>
      <c r="AB392" s="8">
        <f t="shared" si="185"/>
        <v>0.33684210526315789</v>
      </c>
      <c r="AC392" s="16">
        <f t="shared" si="198"/>
        <v>68.844969824162703</v>
      </c>
      <c r="AD392" s="20">
        <f>'PFAS Properties'!$W$33</f>
        <v>7</v>
      </c>
      <c r="AE392" s="8">
        <f>'PFAS Properties'!$S$33</f>
        <v>2.6821450763738319</v>
      </c>
      <c r="AF392" s="15">
        <f>'PFAS Properties'!$V$33</f>
        <v>4.9000000000000004</v>
      </c>
      <c r="AG392" s="24">
        <v>5.5</v>
      </c>
      <c r="AH392" s="2" t="s">
        <v>834</v>
      </c>
      <c r="AI392" s="15">
        <v>1.0129999999999999</v>
      </c>
      <c r="AJ392" s="15">
        <f t="shared" si="188"/>
        <v>18.13949324021846</v>
      </c>
      <c r="AK392" s="15">
        <f t="shared" si="189"/>
        <v>0.10129999999999999</v>
      </c>
      <c r="AL392" s="15">
        <v>0.40400000000000003</v>
      </c>
      <c r="AM392" s="15">
        <f t="shared" si="190"/>
        <v>14.974054855448481</v>
      </c>
      <c r="AN392" s="15">
        <f t="shared" si="191"/>
        <v>4.0400000000000005E-2</v>
      </c>
      <c r="AO392" s="2" t="s">
        <v>31</v>
      </c>
      <c r="AP392" s="15">
        <v>23.4</v>
      </c>
      <c r="AQ392" s="16" t="s">
        <v>689</v>
      </c>
      <c r="AR392" s="2">
        <v>54.4</v>
      </c>
      <c r="AS392" s="2">
        <v>35</v>
      </c>
      <c r="AT392" s="2">
        <v>10.6</v>
      </c>
      <c r="AU392" s="16" t="s">
        <v>664</v>
      </c>
      <c r="AV392" s="16">
        <f t="shared" si="192"/>
        <v>100</v>
      </c>
      <c r="AW392" s="18">
        <v>1.6</v>
      </c>
      <c r="AX392" s="13">
        <f t="shared" si="193"/>
        <v>1.6E-2</v>
      </c>
      <c r="AY392" s="8" t="s">
        <v>32</v>
      </c>
      <c r="AZ392" s="16">
        <f t="shared" si="197"/>
        <v>100</v>
      </c>
      <c r="BA392" s="16" t="s">
        <v>55</v>
      </c>
      <c r="BB392" s="16">
        <v>1</v>
      </c>
      <c r="BC392" s="16">
        <v>300</v>
      </c>
      <c r="BD392" s="18">
        <v>2.6</v>
      </c>
      <c r="BE392" s="15">
        <f t="shared" si="195"/>
        <v>162.5</v>
      </c>
      <c r="BF392" s="8">
        <f t="shared" si="186"/>
        <v>2.2108533653148932</v>
      </c>
      <c r="BG392" s="8">
        <f t="shared" si="196"/>
        <v>0.41497334797081797</v>
      </c>
      <c r="BH392" s="2" t="s">
        <v>837</v>
      </c>
      <c r="BI392" s="15"/>
      <c r="BJ392" s="13"/>
      <c r="BK392" s="15"/>
      <c r="BL392" s="16"/>
      <c r="BM392" s="18"/>
      <c r="BN392" s="8"/>
      <c r="BO392" s="24"/>
    </row>
    <row r="393" spans="1:67" s="14" customFormat="1" x14ac:dyDescent="0.3">
      <c r="A393" s="20">
        <v>391</v>
      </c>
      <c r="B393" s="2" t="s">
        <v>207</v>
      </c>
      <c r="C393" s="2">
        <v>2015</v>
      </c>
      <c r="D393" s="2" t="s">
        <v>201</v>
      </c>
      <c r="E393" s="10" t="s">
        <v>810</v>
      </c>
      <c r="F393" s="20" t="s">
        <v>29</v>
      </c>
      <c r="G393" s="2" t="s">
        <v>56</v>
      </c>
      <c r="H393" s="2" t="str">
        <f>'PFAS Properties'!$B$33</f>
        <v>PFOA</v>
      </c>
      <c r="I393" s="2" t="str">
        <f>'PFAS Properties'!$C$33</f>
        <v>PFCA</v>
      </c>
      <c r="J393" s="2" t="str">
        <f>'PFAS Properties'!$D$33</f>
        <v>C8HF15O2</v>
      </c>
      <c r="K393" s="25">
        <f>'PFAS Properties'!$P$33</f>
        <v>413.97359999999998</v>
      </c>
      <c r="L393" s="2">
        <f>'PFAS Properties'!$X$33</f>
        <v>-0.2</v>
      </c>
      <c r="M393" s="2" t="str">
        <f>'PFAS Properties'!$Y$33</f>
        <v>-</v>
      </c>
      <c r="N393" s="33">
        <v>0</v>
      </c>
      <c r="O393" s="33">
        <v>0</v>
      </c>
      <c r="P393" s="33">
        <v>0</v>
      </c>
      <c r="Q393" s="33">
        <f t="shared" si="178"/>
        <v>0.9999992056723962</v>
      </c>
      <c r="R393" s="33">
        <v>0</v>
      </c>
      <c r="S393" s="33">
        <f t="shared" si="179"/>
        <v>7.9432760376743655E-7</v>
      </c>
      <c r="T393" s="8">
        <f t="shared" si="180"/>
        <v>1</v>
      </c>
      <c r="U393" s="33">
        <f t="shared" si="181"/>
        <v>0</v>
      </c>
      <c r="V393" s="33">
        <f t="shared" si="182"/>
        <v>-0.9999992056723962</v>
      </c>
      <c r="W393" s="33">
        <f t="shared" si="183"/>
        <v>412.97360079432758</v>
      </c>
      <c r="X393" s="33">
        <v>96485</v>
      </c>
      <c r="Y393" s="16">
        <f t="shared" si="184"/>
        <v>-233.63460321366483</v>
      </c>
      <c r="Z393" s="16">
        <v>8</v>
      </c>
      <c r="AA393" s="16">
        <v>15</v>
      </c>
      <c r="AB393" s="8">
        <f t="shared" si="185"/>
        <v>0.33684210526315789</v>
      </c>
      <c r="AC393" s="16">
        <f t="shared" si="198"/>
        <v>68.844969824162703</v>
      </c>
      <c r="AD393" s="20">
        <f>'PFAS Properties'!$W$33</f>
        <v>7</v>
      </c>
      <c r="AE393" s="8">
        <f>'PFAS Properties'!$S$33</f>
        <v>2.6821450763738319</v>
      </c>
      <c r="AF393" s="15">
        <f>'PFAS Properties'!$V$33</f>
        <v>4.9000000000000004</v>
      </c>
      <c r="AG393" s="24">
        <v>5.9</v>
      </c>
      <c r="AH393" s="2" t="s">
        <v>834</v>
      </c>
      <c r="AI393" s="2">
        <v>0.13800000000000001</v>
      </c>
      <c r="AJ393" s="15">
        <f t="shared" si="188"/>
        <v>2.4711254364759605</v>
      </c>
      <c r="AK393" s="8">
        <f t="shared" si="189"/>
        <v>1.3800000000000002E-2</v>
      </c>
      <c r="AL393" s="2">
        <v>0.32500000000000001</v>
      </c>
      <c r="AM393" s="15">
        <f t="shared" si="190"/>
        <v>12.045959970348406</v>
      </c>
      <c r="AN393" s="8">
        <f t="shared" si="191"/>
        <v>3.2500000000000001E-2</v>
      </c>
      <c r="AO393" s="15" t="s">
        <v>31</v>
      </c>
      <c r="AP393" s="15">
        <v>72.400000000000006</v>
      </c>
      <c r="AQ393" s="16" t="s">
        <v>689</v>
      </c>
      <c r="AR393" s="2">
        <v>73.400000000000006</v>
      </c>
      <c r="AS393" s="2">
        <v>16.8</v>
      </c>
      <c r="AT393" s="2">
        <v>9.8000000000000007</v>
      </c>
      <c r="AU393" s="16" t="s">
        <v>664</v>
      </c>
      <c r="AV393" s="16">
        <f t="shared" si="192"/>
        <v>100</v>
      </c>
      <c r="AW393" s="18">
        <v>3.9</v>
      </c>
      <c r="AX393" s="13">
        <f t="shared" si="193"/>
        <v>3.9E-2</v>
      </c>
      <c r="AY393" s="8" t="s">
        <v>32</v>
      </c>
      <c r="AZ393" s="16">
        <f t="shared" si="197"/>
        <v>100</v>
      </c>
      <c r="BA393" s="16" t="s">
        <v>55</v>
      </c>
      <c r="BB393" s="16">
        <v>1</v>
      </c>
      <c r="BC393" s="16">
        <v>300</v>
      </c>
      <c r="BD393" s="18">
        <v>2.7</v>
      </c>
      <c r="BE393" s="15">
        <f t="shared" si="195"/>
        <v>69.230769230769241</v>
      </c>
      <c r="BF393" s="8">
        <f t="shared" si="186"/>
        <v>1.8402991571324883</v>
      </c>
      <c r="BG393" s="8">
        <f t="shared" si="196"/>
        <v>0.43136376415898736</v>
      </c>
      <c r="BH393" s="2" t="s">
        <v>837</v>
      </c>
      <c r="BI393" s="15"/>
      <c r="BJ393" s="13"/>
      <c r="BK393" s="15"/>
      <c r="BL393" s="16"/>
      <c r="BM393" s="18"/>
      <c r="BN393" s="8"/>
      <c r="BO393" s="24"/>
    </row>
    <row r="394" spans="1:67" s="14" customFormat="1" x14ac:dyDescent="0.3">
      <c r="A394" s="20">
        <v>392</v>
      </c>
      <c r="B394" s="2" t="s">
        <v>207</v>
      </c>
      <c r="C394" s="2">
        <v>2015</v>
      </c>
      <c r="D394" s="2" t="s">
        <v>201</v>
      </c>
      <c r="E394" s="10" t="s">
        <v>810</v>
      </c>
      <c r="F394" s="20" t="s">
        <v>29</v>
      </c>
      <c r="G394" s="2" t="s">
        <v>33</v>
      </c>
      <c r="H394" s="2" t="str">
        <f>'PFAS Properties'!$B$33</f>
        <v>PFOA</v>
      </c>
      <c r="I394" s="2" t="str">
        <f>'PFAS Properties'!$C$33</f>
        <v>PFCA</v>
      </c>
      <c r="J394" s="2" t="str">
        <f>'PFAS Properties'!$D$33</f>
        <v>C8HF15O2</v>
      </c>
      <c r="K394" s="25">
        <f>'PFAS Properties'!$P$33</f>
        <v>413.97359999999998</v>
      </c>
      <c r="L394" s="2">
        <f>'PFAS Properties'!$X$33</f>
        <v>-0.2</v>
      </c>
      <c r="M394" s="2" t="str">
        <f>'PFAS Properties'!$Y$33</f>
        <v>-</v>
      </c>
      <c r="N394" s="33">
        <v>0</v>
      </c>
      <c r="O394" s="33">
        <v>0</v>
      </c>
      <c r="P394" s="33">
        <v>0</v>
      </c>
      <c r="Q394" s="33">
        <f t="shared" si="178"/>
        <v>0.99999999369042658</v>
      </c>
      <c r="R394" s="33">
        <v>0</v>
      </c>
      <c r="S394" s="33">
        <f t="shared" si="179"/>
        <v>6.3095734049912165E-9</v>
      </c>
      <c r="T394" s="8">
        <f t="shared" si="180"/>
        <v>1</v>
      </c>
      <c r="U394" s="33">
        <f t="shared" si="181"/>
        <v>0</v>
      </c>
      <c r="V394" s="33">
        <f t="shared" si="182"/>
        <v>-0.99999999369042658</v>
      </c>
      <c r="W394" s="33">
        <f t="shared" si="183"/>
        <v>412.97360000630954</v>
      </c>
      <c r="X394" s="33">
        <v>96485</v>
      </c>
      <c r="Y394" s="16">
        <f t="shared" si="184"/>
        <v>-233.63478776790257</v>
      </c>
      <c r="Z394" s="16">
        <v>8</v>
      </c>
      <c r="AA394" s="16">
        <v>15</v>
      </c>
      <c r="AB394" s="8">
        <f t="shared" si="185"/>
        <v>0.33684210526315789</v>
      </c>
      <c r="AC394" s="16">
        <f t="shared" si="198"/>
        <v>68.844969824162703</v>
      </c>
      <c r="AD394" s="20">
        <f>'PFAS Properties'!$W$33</f>
        <v>7</v>
      </c>
      <c r="AE394" s="8">
        <f>'PFAS Properties'!$S$33</f>
        <v>2.6821450763738319</v>
      </c>
      <c r="AF394" s="15">
        <f>'PFAS Properties'!$V$33</f>
        <v>4.9000000000000004</v>
      </c>
      <c r="AG394" s="24">
        <v>8</v>
      </c>
      <c r="AH394" s="2" t="s">
        <v>834</v>
      </c>
      <c r="AI394" s="15">
        <v>2.9660000000000002</v>
      </c>
      <c r="AJ394" s="15">
        <f t="shared" si="188"/>
        <v>53.111290178171728</v>
      </c>
      <c r="AK394" s="15">
        <f t="shared" si="189"/>
        <v>0.29660000000000003</v>
      </c>
      <c r="AL394" s="15">
        <v>0.23</v>
      </c>
      <c r="AM394" s="15">
        <f t="shared" si="190"/>
        <v>8.5248332097850259</v>
      </c>
      <c r="AN394" s="15">
        <f t="shared" si="191"/>
        <v>2.3E-2</v>
      </c>
      <c r="AO394" s="2" t="s">
        <v>31</v>
      </c>
      <c r="AP394" s="15">
        <v>89.3</v>
      </c>
      <c r="AQ394" s="16" t="s">
        <v>689</v>
      </c>
      <c r="AR394" s="2">
        <v>12.2</v>
      </c>
      <c r="AS394" s="2">
        <v>54.3</v>
      </c>
      <c r="AT394" s="2">
        <v>33.5</v>
      </c>
      <c r="AU394" s="16" t="s">
        <v>664</v>
      </c>
      <c r="AV394" s="16">
        <f t="shared" si="192"/>
        <v>100</v>
      </c>
      <c r="AW394" s="18">
        <v>7.7</v>
      </c>
      <c r="AX394" s="13">
        <f t="shared" si="193"/>
        <v>7.6999999999999999E-2</v>
      </c>
      <c r="AY394" s="8" t="s">
        <v>32</v>
      </c>
      <c r="AZ394" s="16">
        <f t="shared" si="197"/>
        <v>100</v>
      </c>
      <c r="BA394" s="16" t="s">
        <v>55</v>
      </c>
      <c r="BB394" s="16">
        <v>1</v>
      </c>
      <c r="BC394" s="16">
        <v>300</v>
      </c>
      <c r="BD394" s="18">
        <v>3.9</v>
      </c>
      <c r="BE394" s="15">
        <f t="shared" si="195"/>
        <v>50.649350649350652</v>
      </c>
      <c r="BF394" s="8">
        <f t="shared" si="186"/>
        <v>1.7045738818540173</v>
      </c>
      <c r="BG394" s="8">
        <f t="shared" si="196"/>
        <v>0.59106460702649921</v>
      </c>
      <c r="BH394" s="2" t="s">
        <v>837</v>
      </c>
      <c r="BI394" s="15"/>
      <c r="BJ394" s="13"/>
      <c r="BK394" s="15"/>
      <c r="BL394" s="16"/>
      <c r="BM394" s="18"/>
      <c r="BN394" s="8"/>
      <c r="BO394" s="24"/>
    </row>
    <row r="395" spans="1:67" s="14" customFormat="1" x14ac:dyDescent="0.3">
      <c r="A395" s="20">
        <v>393</v>
      </c>
      <c r="B395" s="2" t="s">
        <v>207</v>
      </c>
      <c r="C395" s="2">
        <v>2015</v>
      </c>
      <c r="D395" s="2" t="s">
        <v>201</v>
      </c>
      <c r="E395" s="10" t="s">
        <v>810</v>
      </c>
      <c r="F395" s="20" t="s">
        <v>29</v>
      </c>
      <c r="G395" s="2" t="s">
        <v>34</v>
      </c>
      <c r="H395" s="2" t="str">
        <f>'PFAS Properties'!$B$33</f>
        <v>PFOA</v>
      </c>
      <c r="I395" s="2" t="str">
        <f>'PFAS Properties'!$C$33</f>
        <v>PFCA</v>
      </c>
      <c r="J395" s="2" t="str">
        <f>'PFAS Properties'!$D$33</f>
        <v>C8HF15O2</v>
      </c>
      <c r="K395" s="25">
        <f>'PFAS Properties'!$P$33</f>
        <v>413.97359999999998</v>
      </c>
      <c r="L395" s="2">
        <f>'PFAS Properties'!$X$33</f>
        <v>-0.2</v>
      </c>
      <c r="M395" s="2" t="str">
        <f>'PFAS Properties'!$Y$33</f>
        <v>-</v>
      </c>
      <c r="N395" s="33">
        <v>0</v>
      </c>
      <c r="O395" s="33">
        <v>0</v>
      </c>
      <c r="P395" s="33">
        <v>0</v>
      </c>
      <c r="Q395" s="33">
        <f t="shared" si="178"/>
        <v>0.99999601894414336</v>
      </c>
      <c r="R395" s="33">
        <v>0</v>
      </c>
      <c r="S395" s="33">
        <f t="shared" si="179"/>
        <v>3.981055856666137E-6</v>
      </c>
      <c r="T395" s="8">
        <f t="shared" si="180"/>
        <v>1</v>
      </c>
      <c r="U395" s="33">
        <f t="shared" si="181"/>
        <v>0</v>
      </c>
      <c r="V395" s="33">
        <f t="shared" si="182"/>
        <v>-0.99999601894414336</v>
      </c>
      <c r="W395" s="33">
        <f t="shared" si="183"/>
        <v>412.97360398105587</v>
      </c>
      <c r="X395" s="33">
        <v>96485</v>
      </c>
      <c r="Y395" s="16">
        <f t="shared" si="184"/>
        <v>-233.63385688023698</v>
      </c>
      <c r="Z395" s="16">
        <v>8</v>
      </c>
      <c r="AA395" s="16">
        <v>15</v>
      </c>
      <c r="AB395" s="8">
        <f t="shared" si="185"/>
        <v>0.33684210526315789</v>
      </c>
      <c r="AC395" s="16">
        <f t="shared" si="198"/>
        <v>68.844969824162703</v>
      </c>
      <c r="AD395" s="20">
        <f>'PFAS Properties'!$W$33</f>
        <v>7</v>
      </c>
      <c r="AE395" s="8">
        <f>'PFAS Properties'!$S$33</f>
        <v>2.6821450763738319</v>
      </c>
      <c r="AF395" s="15">
        <f>'PFAS Properties'!$V$33</f>
        <v>4.9000000000000004</v>
      </c>
      <c r="AG395" s="24">
        <v>5.2</v>
      </c>
      <c r="AH395" s="2" t="s">
        <v>834</v>
      </c>
      <c r="AI395" s="15">
        <v>4.5149999999999997</v>
      </c>
      <c r="AJ395" s="15">
        <f t="shared" si="188"/>
        <v>80.848777867311313</v>
      </c>
      <c r="AK395" s="15">
        <f t="shared" si="189"/>
        <v>0.45149999999999996</v>
      </c>
      <c r="AL395" s="15">
        <v>0.377</v>
      </c>
      <c r="AM395" s="15">
        <f t="shared" si="190"/>
        <v>13.973313565604151</v>
      </c>
      <c r="AN395" s="15">
        <f t="shared" si="191"/>
        <v>3.7699999999999997E-2</v>
      </c>
      <c r="AO395" s="2" t="s">
        <v>31</v>
      </c>
      <c r="AP395" s="15">
        <v>46.3</v>
      </c>
      <c r="AQ395" s="16" t="s">
        <v>689</v>
      </c>
      <c r="AR395" s="2">
        <v>41.3</v>
      </c>
      <c r="AS395" s="2">
        <v>39.799999999999997</v>
      </c>
      <c r="AT395" s="2">
        <v>18.899999999999999</v>
      </c>
      <c r="AU395" s="16" t="s">
        <v>664</v>
      </c>
      <c r="AV395" s="16">
        <f t="shared" si="192"/>
        <v>100</v>
      </c>
      <c r="AW395" s="18">
        <v>9.4</v>
      </c>
      <c r="AX395" s="13">
        <f t="shared" si="193"/>
        <v>9.4E-2</v>
      </c>
      <c r="AY395" s="8" t="s">
        <v>32</v>
      </c>
      <c r="AZ395" s="16">
        <f t="shared" si="197"/>
        <v>100</v>
      </c>
      <c r="BA395" s="16" t="s">
        <v>55</v>
      </c>
      <c r="BB395" s="16">
        <v>1</v>
      </c>
      <c r="BC395" s="16">
        <v>300</v>
      </c>
      <c r="BD395" s="18">
        <v>7.1</v>
      </c>
      <c r="BE395" s="15">
        <f t="shared" si="195"/>
        <v>75.531914893617014</v>
      </c>
      <c r="BF395" s="8">
        <f t="shared" si="186"/>
        <v>1.8781304951193767</v>
      </c>
      <c r="BG395" s="8">
        <f t="shared" si="196"/>
        <v>0.85125834871907524</v>
      </c>
      <c r="BH395" s="2" t="s">
        <v>837</v>
      </c>
      <c r="BI395" s="15"/>
      <c r="BJ395" s="13"/>
      <c r="BK395" s="15"/>
      <c r="BL395" s="16"/>
      <c r="BM395" s="18"/>
      <c r="BN395" s="8"/>
      <c r="BO395" s="24"/>
    </row>
    <row r="396" spans="1:67" s="14" customFormat="1" x14ac:dyDescent="0.3">
      <c r="A396" s="20">
        <v>394</v>
      </c>
      <c r="B396" s="2" t="s">
        <v>207</v>
      </c>
      <c r="C396" s="2">
        <v>2015</v>
      </c>
      <c r="D396" s="2" t="s">
        <v>201</v>
      </c>
      <c r="E396" s="10" t="s">
        <v>810</v>
      </c>
      <c r="F396" s="20" t="s">
        <v>29</v>
      </c>
      <c r="G396" s="2" t="s">
        <v>37</v>
      </c>
      <c r="H396" s="2" t="str">
        <f>'PFAS Properties'!$B$33</f>
        <v>PFOA</v>
      </c>
      <c r="I396" s="2" t="str">
        <f>'PFAS Properties'!$C$33</f>
        <v>PFCA</v>
      </c>
      <c r="J396" s="2" t="str">
        <f>'PFAS Properties'!$D$33</f>
        <v>C8HF15O2</v>
      </c>
      <c r="K396" s="25">
        <f>'PFAS Properties'!$P$33</f>
        <v>413.97359999999998</v>
      </c>
      <c r="L396" s="2">
        <f>'PFAS Properties'!$X$33</f>
        <v>-0.2</v>
      </c>
      <c r="M396" s="2" t="str">
        <f>'PFAS Properties'!$Y$33</f>
        <v>-</v>
      </c>
      <c r="N396" s="33">
        <v>0</v>
      </c>
      <c r="O396" s="33">
        <v>0</v>
      </c>
      <c r="P396" s="33">
        <v>0</v>
      </c>
      <c r="Q396" s="33">
        <f t="shared" si="178"/>
        <v>0.99999874107617315</v>
      </c>
      <c r="R396" s="33">
        <v>0</v>
      </c>
      <c r="S396" s="33">
        <f t="shared" si="179"/>
        <v>1.2589238269029671E-6</v>
      </c>
      <c r="T396" s="8">
        <f t="shared" si="180"/>
        <v>1</v>
      </c>
      <c r="U396" s="33">
        <f t="shared" si="181"/>
        <v>0</v>
      </c>
      <c r="V396" s="33">
        <f t="shared" si="182"/>
        <v>-0.99999874107617315</v>
      </c>
      <c r="W396" s="33">
        <f t="shared" si="183"/>
        <v>412.97360125892379</v>
      </c>
      <c r="X396" s="33">
        <v>96485</v>
      </c>
      <c r="Y396" s="16">
        <f t="shared" si="184"/>
        <v>-233.63449440498505</v>
      </c>
      <c r="Z396" s="16">
        <v>8</v>
      </c>
      <c r="AA396" s="16">
        <v>15</v>
      </c>
      <c r="AB396" s="8">
        <f t="shared" si="185"/>
        <v>0.33684210526315789</v>
      </c>
      <c r="AC396" s="16">
        <f t="shared" si="198"/>
        <v>68.844969824162703</v>
      </c>
      <c r="AD396" s="20">
        <f>'PFAS Properties'!$W$33</f>
        <v>7</v>
      </c>
      <c r="AE396" s="8">
        <f>'PFAS Properties'!$S$33</f>
        <v>2.6821450763738319</v>
      </c>
      <c r="AF396" s="15">
        <f>'PFAS Properties'!$V$33</f>
        <v>4.9000000000000004</v>
      </c>
      <c r="AG396" s="24">
        <v>5.7</v>
      </c>
      <c r="AH396" s="2" t="s">
        <v>834</v>
      </c>
      <c r="AI396" s="15">
        <v>10.64</v>
      </c>
      <c r="AJ396" s="15">
        <f t="shared" si="188"/>
        <v>190.52735249350883</v>
      </c>
      <c r="AK396" s="15">
        <f t="shared" si="189"/>
        <v>1.0640000000000001</v>
      </c>
      <c r="AL396" s="15">
        <v>0.16700000000000001</v>
      </c>
      <c r="AM396" s="15">
        <f t="shared" si="190"/>
        <v>6.1897702001482582</v>
      </c>
      <c r="AN396" s="15">
        <f t="shared" si="191"/>
        <v>1.67E-2</v>
      </c>
      <c r="AO396" s="2" t="s">
        <v>31</v>
      </c>
      <c r="AP396" s="15">
        <v>130</v>
      </c>
      <c r="AQ396" s="16" t="s">
        <v>689</v>
      </c>
      <c r="AR396" s="2">
        <v>20.7</v>
      </c>
      <c r="AS396" s="2">
        <v>78</v>
      </c>
      <c r="AT396" s="2">
        <v>1.3</v>
      </c>
      <c r="AU396" s="16" t="s">
        <v>664</v>
      </c>
      <c r="AV396" s="16">
        <f t="shared" si="192"/>
        <v>100</v>
      </c>
      <c r="AW396" s="18">
        <v>39</v>
      </c>
      <c r="AX396" s="13">
        <f t="shared" si="193"/>
        <v>0.39</v>
      </c>
      <c r="AY396" s="8" t="s">
        <v>32</v>
      </c>
      <c r="AZ396" s="16">
        <f t="shared" si="197"/>
        <v>100</v>
      </c>
      <c r="BA396" s="16" t="s">
        <v>55</v>
      </c>
      <c r="BB396" s="16">
        <v>1</v>
      </c>
      <c r="BC396" s="16">
        <v>300</v>
      </c>
      <c r="BD396" s="18">
        <v>38</v>
      </c>
      <c r="BE396" s="15">
        <f t="shared" si="195"/>
        <v>97.435897435897431</v>
      </c>
      <c r="BF396" s="8">
        <f t="shared" si="186"/>
        <v>1.988718989590311</v>
      </c>
      <c r="BG396" s="8">
        <f t="shared" si="196"/>
        <v>1.5797835966168101</v>
      </c>
      <c r="BH396" s="2" t="s">
        <v>837</v>
      </c>
      <c r="BI396" s="15"/>
      <c r="BJ396" s="13"/>
      <c r="BK396" s="15"/>
      <c r="BL396" s="16"/>
      <c r="BM396" s="18"/>
      <c r="BN396" s="8"/>
      <c r="BO396" s="24"/>
    </row>
    <row r="397" spans="1:67" s="14" customFormat="1" x14ac:dyDescent="0.3">
      <c r="A397" s="20">
        <v>395</v>
      </c>
      <c r="B397" s="2" t="s">
        <v>775</v>
      </c>
      <c r="C397" s="2">
        <v>2021</v>
      </c>
      <c r="D397" s="2" t="s">
        <v>203</v>
      </c>
      <c r="E397" s="10" t="s">
        <v>786</v>
      </c>
      <c r="F397" s="20" t="s">
        <v>29</v>
      </c>
      <c r="G397" s="2" t="s">
        <v>116</v>
      </c>
      <c r="H397" s="2" t="str">
        <f>'PFAS Properties'!$B$33</f>
        <v>PFOA</v>
      </c>
      <c r="I397" s="2" t="str">
        <f>'PFAS Properties'!$C$33</f>
        <v>PFCA</v>
      </c>
      <c r="J397" s="2" t="str">
        <f>'PFAS Properties'!$D$33</f>
        <v>C8HF15O2</v>
      </c>
      <c r="K397" s="25">
        <f>'PFAS Properties'!$P$33</f>
        <v>413.97359999999998</v>
      </c>
      <c r="L397" s="2">
        <f>'PFAS Properties'!$X$33</f>
        <v>-0.2</v>
      </c>
      <c r="M397" s="2" t="str">
        <f>'PFAS Properties'!$Y$33</f>
        <v>-</v>
      </c>
      <c r="N397" s="33">
        <v>0</v>
      </c>
      <c r="O397" s="33">
        <v>0</v>
      </c>
      <c r="P397" s="33">
        <v>0</v>
      </c>
      <c r="Q397" s="33">
        <f t="shared" si="178"/>
        <v>0.99999998221720621</v>
      </c>
      <c r="R397" s="33">
        <v>0</v>
      </c>
      <c r="S397" s="33">
        <f t="shared" si="179"/>
        <v>1.7782793784161458E-8</v>
      </c>
      <c r="T397" s="8">
        <f t="shared" si="180"/>
        <v>1</v>
      </c>
      <c r="U397" s="33">
        <f t="shared" si="181"/>
        <v>0</v>
      </c>
      <c r="V397" s="33">
        <f t="shared" si="182"/>
        <v>-0.99999998221720621</v>
      </c>
      <c r="W397" s="33">
        <f t="shared" si="183"/>
        <v>412.97360001778276</v>
      </c>
      <c r="X397" s="33">
        <v>96485</v>
      </c>
      <c r="Y397" s="16">
        <f t="shared" si="184"/>
        <v>-233.63478508086828</v>
      </c>
      <c r="Z397" s="16">
        <v>8</v>
      </c>
      <c r="AA397" s="16">
        <v>15</v>
      </c>
      <c r="AB397" s="8">
        <f t="shared" si="185"/>
        <v>0.33684210526315789</v>
      </c>
      <c r="AC397" s="16">
        <f t="shared" si="198"/>
        <v>68.844969824162703</v>
      </c>
      <c r="AD397" s="20">
        <f>'PFAS Properties'!$W$33</f>
        <v>7</v>
      </c>
      <c r="AE397" s="8">
        <f>'PFAS Properties'!$S$33</f>
        <v>2.6821450763738319</v>
      </c>
      <c r="AF397" s="15">
        <f>'PFAS Properties'!$V$33</f>
        <v>4.9000000000000004</v>
      </c>
      <c r="AG397" s="24">
        <v>7.55</v>
      </c>
      <c r="AH397" s="15" t="s">
        <v>830</v>
      </c>
      <c r="AI397" s="2" t="s">
        <v>661</v>
      </c>
      <c r="AJ397" s="2" t="s">
        <v>661</v>
      </c>
      <c r="AK397" s="2" t="s">
        <v>661</v>
      </c>
      <c r="AL397" s="2" t="s">
        <v>661</v>
      </c>
      <c r="AM397" s="2" t="s">
        <v>661</v>
      </c>
      <c r="AN397" s="2" t="s">
        <v>661</v>
      </c>
      <c r="AO397" s="2" t="s">
        <v>661</v>
      </c>
      <c r="AP397" s="15">
        <v>2.52</v>
      </c>
      <c r="AQ397" s="16" t="s">
        <v>689</v>
      </c>
      <c r="AR397" s="16">
        <v>45.3</v>
      </c>
      <c r="AS397" s="16">
        <v>30</v>
      </c>
      <c r="AT397" s="16">
        <v>24.7</v>
      </c>
      <c r="AU397" s="16" t="s">
        <v>664</v>
      </c>
      <c r="AV397" s="16">
        <f t="shared" si="192"/>
        <v>100</v>
      </c>
      <c r="AW397" s="18">
        <v>3.4</v>
      </c>
      <c r="AX397" s="13">
        <f t="shared" ref="AX397:AX428" si="199">AW397/100</f>
        <v>3.4000000000000002E-2</v>
      </c>
      <c r="AY397" s="8" t="s">
        <v>342</v>
      </c>
      <c r="AZ397" s="16">
        <f>1/0.01</f>
        <v>100</v>
      </c>
      <c r="BA397" s="16" t="s">
        <v>55</v>
      </c>
      <c r="BB397" s="15">
        <f>5*K397/1000</f>
        <v>2.069868</v>
      </c>
      <c r="BC397" s="16">
        <f>5000*K397/1000</f>
        <v>2069.8679999999999</v>
      </c>
      <c r="BD397" s="18">
        <f>112.9*AX397</f>
        <v>3.8386000000000005</v>
      </c>
      <c r="BE397" s="15">
        <f t="shared" si="195"/>
        <v>112.9</v>
      </c>
      <c r="BF397" s="8">
        <f t="shared" si="186"/>
        <v>2.0526939419249679</v>
      </c>
      <c r="BG397" s="8">
        <f t="shared" si="196"/>
        <v>0.58417285896722304</v>
      </c>
      <c r="BH397" s="13" t="s">
        <v>343</v>
      </c>
      <c r="BI397" s="8"/>
      <c r="BJ397" s="13"/>
      <c r="BK397" s="15"/>
      <c r="BL397" s="15"/>
      <c r="BM397" s="18"/>
      <c r="BN397" s="8"/>
      <c r="BO397" s="24"/>
    </row>
    <row r="398" spans="1:67" s="14" customFormat="1" x14ac:dyDescent="0.3">
      <c r="A398" s="20">
        <v>396</v>
      </c>
      <c r="B398" s="2" t="s">
        <v>775</v>
      </c>
      <c r="C398" s="2">
        <v>2021</v>
      </c>
      <c r="D398" s="2" t="s">
        <v>203</v>
      </c>
      <c r="E398" s="10" t="s">
        <v>786</v>
      </c>
      <c r="F398" s="20" t="s">
        <v>29</v>
      </c>
      <c r="G398" s="2" t="s">
        <v>117</v>
      </c>
      <c r="H398" s="2" t="str">
        <f>'PFAS Properties'!$B$33</f>
        <v>PFOA</v>
      </c>
      <c r="I398" s="2" t="str">
        <f>'PFAS Properties'!$C$33</f>
        <v>PFCA</v>
      </c>
      <c r="J398" s="2" t="str">
        <f>'PFAS Properties'!$D$33</f>
        <v>C8HF15O2</v>
      </c>
      <c r="K398" s="25">
        <f>'PFAS Properties'!$P$33</f>
        <v>413.97359999999998</v>
      </c>
      <c r="L398" s="2">
        <f>'PFAS Properties'!$X$33</f>
        <v>-0.2</v>
      </c>
      <c r="M398" s="2" t="str">
        <f>'PFAS Properties'!$Y$33</f>
        <v>-</v>
      </c>
      <c r="N398" s="33">
        <v>0</v>
      </c>
      <c r="O398" s="33">
        <v>0</v>
      </c>
      <c r="P398" s="33">
        <v>0</v>
      </c>
      <c r="Q398" s="33">
        <f t="shared" si="178"/>
        <v>0.99999999610954859</v>
      </c>
      <c r="R398" s="33">
        <v>0</v>
      </c>
      <c r="S398" s="33">
        <f t="shared" si="179"/>
        <v>3.8904514348071882E-9</v>
      </c>
      <c r="T398" s="8">
        <f t="shared" si="180"/>
        <v>1</v>
      </c>
      <c r="U398" s="33">
        <f t="shared" si="181"/>
        <v>0</v>
      </c>
      <c r="V398" s="33">
        <f t="shared" si="182"/>
        <v>-0.99999999610954859</v>
      </c>
      <c r="W398" s="33">
        <f t="shared" si="183"/>
        <v>412.97360000389045</v>
      </c>
      <c r="X398" s="33">
        <v>96485</v>
      </c>
      <c r="Y398" s="16">
        <f t="shared" si="184"/>
        <v>-233.6347883344622</v>
      </c>
      <c r="Z398" s="16">
        <v>8</v>
      </c>
      <c r="AA398" s="16">
        <v>15</v>
      </c>
      <c r="AB398" s="8">
        <f t="shared" si="185"/>
        <v>0.33684210526315789</v>
      </c>
      <c r="AC398" s="16">
        <f t="shared" si="198"/>
        <v>68.844969824162703</v>
      </c>
      <c r="AD398" s="20">
        <f>'PFAS Properties'!$W$33</f>
        <v>7</v>
      </c>
      <c r="AE398" s="8">
        <f>'PFAS Properties'!$S$33</f>
        <v>2.6821450763738319</v>
      </c>
      <c r="AF398" s="15">
        <f>'PFAS Properties'!$V$33</f>
        <v>4.9000000000000004</v>
      </c>
      <c r="AG398" s="24">
        <v>8.2100000000000009</v>
      </c>
      <c r="AH398" s="15" t="s">
        <v>830</v>
      </c>
      <c r="AI398" s="2" t="s">
        <v>661</v>
      </c>
      <c r="AJ398" s="2" t="s">
        <v>661</v>
      </c>
      <c r="AK398" s="2" t="s">
        <v>661</v>
      </c>
      <c r="AL398" s="2" t="s">
        <v>661</v>
      </c>
      <c r="AM398" s="2" t="s">
        <v>661</v>
      </c>
      <c r="AN398" s="2" t="s">
        <v>661</v>
      </c>
      <c r="AO398" s="2" t="s">
        <v>661</v>
      </c>
      <c r="AP398" s="15">
        <v>11.4</v>
      </c>
      <c r="AQ398" s="16" t="s">
        <v>689</v>
      </c>
      <c r="AR398" s="16">
        <v>28.7</v>
      </c>
      <c r="AS398" s="16">
        <v>40</v>
      </c>
      <c r="AT398" s="16">
        <v>31.3</v>
      </c>
      <c r="AU398" s="16" t="s">
        <v>664</v>
      </c>
      <c r="AV398" s="16">
        <f t="shared" si="192"/>
        <v>100</v>
      </c>
      <c r="AW398" s="18">
        <v>1.7</v>
      </c>
      <c r="AX398" s="13">
        <f t="shared" si="199"/>
        <v>1.7000000000000001E-2</v>
      </c>
      <c r="AY398" s="8" t="s">
        <v>342</v>
      </c>
      <c r="AZ398" s="16">
        <f>1/0.01</f>
        <v>100</v>
      </c>
      <c r="BA398" s="16" t="s">
        <v>55</v>
      </c>
      <c r="BB398" s="15">
        <f>5*K398/1000</f>
        <v>2.069868</v>
      </c>
      <c r="BC398" s="16">
        <f>5000*K398/1000</f>
        <v>2069.8679999999999</v>
      </c>
      <c r="BD398" s="18">
        <f>171.2*AX398</f>
        <v>2.9104000000000001</v>
      </c>
      <c r="BE398" s="15">
        <f t="shared" si="195"/>
        <v>171.2</v>
      </c>
      <c r="BF398" s="8">
        <f t="shared" si="186"/>
        <v>2.2335037603411343</v>
      </c>
      <c r="BG398" s="8">
        <f t="shared" si="196"/>
        <v>0.46395268171940834</v>
      </c>
      <c r="BH398" s="13" t="s">
        <v>343</v>
      </c>
      <c r="BI398" s="16"/>
      <c r="BJ398" s="13"/>
      <c r="BK398" s="15"/>
      <c r="BL398" s="16"/>
      <c r="BM398" s="18"/>
      <c r="BN398" s="8"/>
      <c r="BO398" s="24"/>
    </row>
    <row r="399" spans="1:67" s="14" customFormat="1" x14ac:dyDescent="0.3">
      <c r="A399" s="20">
        <v>397</v>
      </c>
      <c r="B399" s="2" t="s">
        <v>775</v>
      </c>
      <c r="C399" s="2">
        <v>2021</v>
      </c>
      <c r="D399" s="2" t="s">
        <v>203</v>
      </c>
      <c r="E399" s="22" t="s">
        <v>786</v>
      </c>
      <c r="F399" s="20" t="s">
        <v>29</v>
      </c>
      <c r="G399" s="2" t="s">
        <v>118</v>
      </c>
      <c r="H399" s="2" t="str">
        <f>'PFAS Properties'!$B$33</f>
        <v>PFOA</v>
      </c>
      <c r="I399" s="2" t="str">
        <f>'PFAS Properties'!$C$33</f>
        <v>PFCA</v>
      </c>
      <c r="J399" s="2" t="str">
        <f>'PFAS Properties'!$D$33</f>
        <v>C8HF15O2</v>
      </c>
      <c r="K399" s="25">
        <f>'PFAS Properties'!$P$33</f>
        <v>413.97359999999998</v>
      </c>
      <c r="L399" s="2">
        <f>'PFAS Properties'!$X$33</f>
        <v>-0.2</v>
      </c>
      <c r="M399" s="2" t="str">
        <f>'PFAS Properties'!$Y$33</f>
        <v>-</v>
      </c>
      <c r="N399" s="33">
        <v>0</v>
      </c>
      <c r="O399" s="33">
        <v>0</v>
      </c>
      <c r="P399" s="33">
        <v>0</v>
      </c>
      <c r="Q399" s="33">
        <f t="shared" si="178"/>
        <v>0.99999983017566363</v>
      </c>
      <c r="R399" s="33">
        <v>0</v>
      </c>
      <c r="S399" s="33">
        <f t="shared" si="179"/>
        <v>1.698243364058638E-7</v>
      </c>
      <c r="T399" s="8">
        <f t="shared" si="180"/>
        <v>1</v>
      </c>
      <c r="U399" s="33">
        <f t="shared" si="181"/>
        <v>0</v>
      </c>
      <c r="V399" s="33">
        <f t="shared" si="182"/>
        <v>-0.99999983017566363</v>
      </c>
      <c r="W399" s="33">
        <f t="shared" si="183"/>
        <v>412.97360016982435</v>
      </c>
      <c r="X399" s="33">
        <v>96485</v>
      </c>
      <c r="Y399" s="16">
        <f t="shared" si="184"/>
        <v>-233.63474947265885</v>
      </c>
      <c r="Z399" s="16">
        <v>8</v>
      </c>
      <c r="AA399" s="16">
        <v>15</v>
      </c>
      <c r="AB399" s="8">
        <f t="shared" si="185"/>
        <v>0.33684210526315789</v>
      </c>
      <c r="AC399" s="16">
        <f t="shared" si="198"/>
        <v>68.844969824162703</v>
      </c>
      <c r="AD399" s="20">
        <f>'PFAS Properties'!$W$33</f>
        <v>7</v>
      </c>
      <c r="AE399" s="8">
        <f>'PFAS Properties'!$S$33</f>
        <v>2.6821450763738319</v>
      </c>
      <c r="AF399" s="15">
        <f>'PFAS Properties'!$V$33</f>
        <v>4.9000000000000004</v>
      </c>
      <c r="AG399" s="24">
        <v>6.57</v>
      </c>
      <c r="AH399" s="15" t="s">
        <v>830</v>
      </c>
      <c r="AI399" s="2" t="s">
        <v>661</v>
      </c>
      <c r="AJ399" s="2" t="s">
        <v>661</v>
      </c>
      <c r="AK399" s="2" t="s">
        <v>661</v>
      </c>
      <c r="AL399" s="2" t="s">
        <v>661</v>
      </c>
      <c r="AM399" s="2" t="s">
        <v>661</v>
      </c>
      <c r="AN399" s="2" t="s">
        <v>661</v>
      </c>
      <c r="AO399" s="2" t="s">
        <v>661</v>
      </c>
      <c r="AP399" s="15">
        <v>9.93</v>
      </c>
      <c r="AQ399" s="16" t="s">
        <v>689</v>
      </c>
      <c r="AR399" s="16">
        <v>20</v>
      </c>
      <c r="AS399" s="16">
        <v>50</v>
      </c>
      <c r="AT399" s="16">
        <v>30</v>
      </c>
      <c r="AU399" s="16" t="s">
        <v>664</v>
      </c>
      <c r="AV399" s="16">
        <f t="shared" si="192"/>
        <v>100</v>
      </c>
      <c r="AW399" s="18">
        <v>2.9</v>
      </c>
      <c r="AX399" s="13">
        <f t="shared" si="199"/>
        <v>2.8999999999999998E-2</v>
      </c>
      <c r="AY399" s="8" t="s">
        <v>342</v>
      </c>
      <c r="AZ399" s="16">
        <f>1/0.01</f>
        <v>100</v>
      </c>
      <c r="BA399" s="16" t="s">
        <v>55</v>
      </c>
      <c r="BB399" s="15">
        <f>5*K399/1000</f>
        <v>2.069868</v>
      </c>
      <c r="BC399" s="16">
        <f>5000*K399/1000</f>
        <v>2069.8679999999999</v>
      </c>
      <c r="BD399" s="18">
        <f>288.8*AX399</f>
        <v>8.3751999999999995</v>
      </c>
      <c r="BE399" s="15">
        <f t="shared" si="195"/>
        <v>288.8</v>
      </c>
      <c r="BF399" s="8">
        <f t="shared" si="186"/>
        <v>2.4605971888976015</v>
      </c>
      <c r="BG399" s="8">
        <f t="shared" si="196"/>
        <v>0.92299518679655757</v>
      </c>
      <c r="BH399" s="13" t="s">
        <v>343</v>
      </c>
      <c r="BI399" s="15"/>
      <c r="BJ399" s="13"/>
      <c r="BK399" s="15"/>
      <c r="BL399" s="16"/>
      <c r="BM399" s="18"/>
      <c r="BN399" s="8"/>
      <c r="BO399" s="24"/>
    </row>
    <row r="400" spans="1:67" s="14" customFormat="1" x14ac:dyDescent="0.3">
      <c r="A400" s="20">
        <v>398</v>
      </c>
      <c r="B400" s="2" t="s">
        <v>775</v>
      </c>
      <c r="C400" s="2">
        <v>2021</v>
      </c>
      <c r="D400" s="2" t="s">
        <v>203</v>
      </c>
      <c r="E400" s="10" t="s">
        <v>786</v>
      </c>
      <c r="F400" s="20" t="s">
        <v>29</v>
      </c>
      <c r="G400" s="2" t="s">
        <v>119</v>
      </c>
      <c r="H400" s="2" t="str">
        <f>'PFAS Properties'!$B$33</f>
        <v>PFOA</v>
      </c>
      <c r="I400" s="2" t="str">
        <f>'PFAS Properties'!$C$33</f>
        <v>PFCA</v>
      </c>
      <c r="J400" s="2" t="str">
        <f>'PFAS Properties'!$D$33</f>
        <v>C8HF15O2</v>
      </c>
      <c r="K400" s="25">
        <f>'PFAS Properties'!$P$33</f>
        <v>413.97359999999998</v>
      </c>
      <c r="L400" s="2">
        <f>'PFAS Properties'!$X$33</f>
        <v>-0.2</v>
      </c>
      <c r="M400" s="2" t="str">
        <f>'PFAS Properties'!$Y$33</f>
        <v>-</v>
      </c>
      <c r="N400" s="33">
        <v>0</v>
      </c>
      <c r="O400" s="33">
        <v>0</v>
      </c>
      <c r="P400" s="33">
        <v>0</v>
      </c>
      <c r="Q400" s="33">
        <f t="shared" ref="Q400:Q463" si="200">(10^(AG400-L400))/(1+(10^(AG400-L400)))</f>
        <v>0.99998004777494953</v>
      </c>
      <c r="R400" s="33">
        <v>0</v>
      </c>
      <c r="S400" s="33">
        <f t="shared" ref="S400:S463" si="201">(1/(1+(10^(AG400-L400))))</f>
        <v>1.9952225050461341E-5</v>
      </c>
      <c r="T400" s="8">
        <f t="shared" si="180"/>
        <v>1</v>
      </c>
      <c r="U400" s="33">
        <f t="shared" si="181"/>
        <v>0</v>
      </c>
      <c r="V400" s="33">
        <f t="shared" si="182"/>
        <v>-0.99998004777494953</v>
      </c>
      <c r="W400" s="33">
        <f t="shared" si="183"/>
        <v>412.97361995222502</v>
      </c>
      <c r="X400" s="33">
        <v>96485</v>
      </c>
      <c r="Y400" s="16">
        <f t="shared" si="184"/>
        <v>-233.63011642421051</v>
      </c>
      <c r="Z400" s="16">
        <v>8</v>
      </c>
      <c r="AA400" s="16">
        <v>15</v>
      </c>
      <c r="AB400" s="8">
        <f t="shared" si="185"/>
        <v>0.33684210526315789</v>
      </c>
      <c r="AC400" s="16">
        <f t="shared" si="198"/>
        <v>68.844969824162703</v>
      </c>
      <c r="AD400" s="20">
        <f>'PFAS Properties'!$W$33</f>
        <v>7</v>
      </c>
      <c r="AE400" s="8">
        <f>'PFAS Properties'!$S$33</f>
        <v>2.6821450763738319</v>
      </c>
      <c r="AF400" s="15">
        <f>'PFAS Properties'!$V$33</f>
        <v>4.9000000000000004</v>
      </c>
      <c r="AG400" s="24">
        <v>4.5</v>
      </c>
      <c r="AH400" s="15" t="s">
        <v>830</v>
      </c>
      <c r="AI400" s="2" t="s">
        <v>661</v>
      </c>
      <c r="AJ400" s="2" t="s">
        <v>661</v>
      </c>
      <c r="AK400" s="2" t="s">
        <v>661</v>
      </c>
      <c r="AL400" s="2" t="s">
        <v>661</v>
      </c>
      <c r="AM400" s="2" t="s">
        <v>661</v>
      </c>
      <c r="AN400" s="2" t="s">
        <v>661</v>
      </c>
      <c r="AO400" s="2" t="s">
        <v>661</v>
      </c>
      <c r="AP400" s="72">
        <v>11.497016666666671</v>
      </c>
      <c r="AQ400" s="70" t="s">
        <v>752</v>
      </c>
      <c r="AR400" s="16">
        <v>51.2</v>
      </c>
      <c r="AS400" s="16">
        <v>36.200000000000003</v>
      </c>
      <c r="AT400" s="16">
        <v>12.6</v>
      </c>
      <c r="AU400" s="16" t="s">
        <v>664</v>
      </c>
      <c r="AV400" s="16">
        <f t="shared" si="192"/>
        <v>100</v>
      </c>
      <c r="AW400" s="18">
        <v>7.3</v>
      </c>
      <c r="AX400" s="13">
        <f t="shared" si="199"/>
        <v>7.2999999999999995E-2</v>
      </c>
      <c r="AY400" s="8" t="s">
        <v>342</v>
      </c>
      <c r="AZ400" s="16">
        <f>1/0.01</f>
        <v>100</v>
      </c>
      <c r="BA400" s="16" t="s">
        <v>55</v>
      </c>
      <c r="BB400" s="15">
        <f>5*K400/1000</f>
        <v>2.069868</v>
      </c>
      <c r="BC400" s="16">
        <f>5000*K400/1000</f>
        <v>2069.8679999999999</v>
      </c>
      <c r="BD400" s="18">
        <f>276.9*AX400</f>
        <v>20.213699999999996</v>
      </c>
      <c r="BE400" s="15">
        <f t="shared" si="195"/>
        <v>276.89999999999998</v>
      </c>
      <c r="BF400" s="8">
        <f t="shared" si="186"/>
        <v>2.4423229557455746</v>
      </c>
      <c r="BG400" s="8">
        <f t="shared" si="196"/>
        <v>1.3056458158660302</v>
      </c>
      <c r="BH400" s="13" t="s">
        <v>343</v>
      </c>
      <c r="BI400" s="15"/>
      <c r="BJ400" s="13"/>
      <c r="BK400" s="15"/>
      <c r="BL400" s="16"/>
      <c r="BM400" s="18"/>
      <c r="BN400" s="8"/>
      <c r="BO400" s="24"/>
    </row>
    <row r="401" spans="1:67" s="14" customFormat="1" x14ac:dyDescent="0.3">
      <c r="A401" s="20">
        <v>399</v>
      </c>
      <c r="B401" s="2" t="s">
        <v>775</v>
      </c>
      <c r="C401" s="2">
        <v>2021</v>
      </c>
      <c r="D401" s="2" t="s">
        <v>203</v>
      </c>
      <c r="E401" s="10" t="s">
        <v>786</v>
      </c>
      <c r="F401" s="20" t="s">
        <v>29</v>
      </c>
      <c r="G401" s="2" t="s">
        <v>120</v>
      </c>
      <c r="H401" s="2" t="str">
        <f>'PFAS Properties'!$B$33</f>
        <v>PFOA</v>
      </c>
      <c r="I401" s="2" t="str">
        <f>'PFAS Properties'!$C$33</f>
        <v>PFCA</v>
      </c>
      <c r="J401" s="2" t="str">
        <f>'PFAS Properties'!$D$33</f>
        <v>C8HF15O2</v>
      </c>
      <c r="K401" s="25">
        <f>'PFAS Properties'!$P$33</f>
        <v>413.97359999999998</v>
      </c>
      <c r="L401" s="2">
        <f>'PFAS Properties'!$X$33</f>
        <v>-0.2</v>
      </c>
      <c r="M401" s="2" t="str">
        <f>'PFAS Properties'!$Y$33</f>
        <v>-</v>
      </c>
      <c r="N401" s="33">
        <v>0</v>
      </c>
      <c r="O401" s="33">
        <v>0</v>
      </c>
      <c r="P401" s="33">
        <v>0</v>
      </c>
      <c r="Q401" s="33">
        <f t="shared" si="200"/>
        <v>0.999995533184031</v>
      </c>
      <c r="R401" s="33">
        <v>0</v>
      </c>
      <c r="S401" s="33">
        <f t="shared" si="201"/>
        <v>4.4668159689755961E-6</v>
      </c>
      <c r="T401" s="8">
        <f t="shared" si="180"/>
        <v>1</v>
      </c>
      <c r="U401" s="33">
        <f t="shared" si="181"/>
        <v>0</v>
      </c>
      <c r="V401" s="33">
        <f t="shared" si="182"/>
        <v>-0.999995533184031</v>
      </c>
      <c r="W401" s="33">
        <f t="shared" si="183"/>
        <v>412.97360446681597</v>
      </c>
      <c r="X401" s="33">
        <v>96485</v>
      </c>
      <c r="Y401" s="16">
        <f t="shared" si="184"/>
        <v>-233.63374311496497</v>
      </c>
      <c r="Z401" s="16">
        <v>8</v>
      </c>
      <c r="AA401" s="16">
        <v>15</v>
      </c>
      <c r="AB401" s="8">
        <f t="shared" si="185"/>
        <v>0.33684210526315789</v>
      </c>
      <c r="AC401" s="16">
        <f t="shared" si="198"/>
        <v>68.844969824162703</v>
      </c>
      <c r="AD401" s="20">
        <f>'PFAS Properties'!$W$33</f>
        <v>7</v>
      </c>
      <c r="AE401" s="8">
        <f>'PFAS Properties'!$S$33</f>
        <v>2.6821450763738319</v>
      </c>
      <c r="AF401" s="15">
        <f>'PFAS Properties'!$V$33</f>
        <v>4.9000000000000004</v>
      </c>
      <c r="AG401" s="24">
        <v>5.15</v>
      </c>
      <c r="AH401" s="2" t="s">
        <v>830</v>
      </c>
      <c r="AI401" s="2" t="s">
        <v>661</v>
      </c>
      <c r="AJ401" s="2" t="s">
        <v>661</v>
      </c>
      <c r="AK401" s="2" t="s">
        <v>661</v>
      </c>
      <c r="AL401" s="2" t="s">
        <v>661</v>
      </c>
      <c r="AM401" s="2" t="s">
        <v>661</v>
      </c>
      <c r="AN401" s="2" t="s">
        <v>661</v>
      </c>
      <c r="AO401" s="2" t="s">
        <v>661</v>
      </c>
      <c r="AP401" s="15">
        <v>0.57999999999999996</v>
      </c>
      <c r="AQ401" s="16" t="s">
        <v>689</v>
      </c>
      <c r="AR401" s="16">
        <v>59.2</v>
      </c>
      <c r="AS401" s="16">
        <v>32.200000000000003</v>
      </c>
      <c r="AT401" s="16">
        <v>8.6</v>
      </c>
      <c r="AU401" s="16" t="s">
        <v>664</v>
      </c>
      <c r="AV401" s="16">
        <f t="shared" si="192"/>
        <v>100</v>
      </c>
      <c r="AW401" s="18">
        <v>1.8</v>
      </c>
      <c r="AX401" s="13">
        <f t="shared" si="199"/>
        <v>1.8000000000000002E-2</v>
      </c>
      <c r="AY401" s="13" t="s">
        <v>342</v>
      </c>
      <c r="AZ401" s="16">
        <f>1/0.01</f>
        <v>100</v>
      </c>
      <c r="BA401" s="16" t="s">
        <v>55</v>
      </c>
      <c r="BB401" s="15">
        <f>5*K401/1000</f>
        <v>2.069868</v>
      </c>
      <c r="BC401" s="16">
        <f>5000*K401/1000</f>
        <v>2069.8679999999999</v>
      </c>
      <c r="BD401" s="18">
        <f>27*AX401</f>
        <v>0.48600000000000004</v>
      </c>
      <c r="BE401" s="15">
        <f t="shared" si="195"/>
        <v>27</v>
      </c>
      <c r="BF401" s="8">
        <f t="shared" si="186"/>
        <v>1.4313637641589874</v>
      </c>
      <c r="BG401" s="8">
        <f t="shared" si="196"/>
        <v>-0.31336373073770657</v>
      </c>
      <c r="BH401" s="13" t="s">
        <v>343</v>
      </c>
      <c r="BI401" s="15"/>
      <c r="BJ401" s="13"/>
      <c r="BK401" s="15"/>
      <c r="BL401" s="16"/>
      <c r="BM401" s="18"/>
      <c r="BN401" s="8"/>
      <c r="BO401" s="24"/>
    </row>
    <row r="402" spans="1:67" s="14" customFormat="1" x14ac:dyDescent="0.3">
      <c r="A402" s="20">
        <v>400</v>
      </c>
      <c r="B402" s="2" t="s">
        <v>230</v>
      </c>
      <c r="C402" s="2">
        <v>2019</v>
      </c>
      <c r="D402" s="2" t="s">
        <v>203</v>
      </c>
      <c r="E402" s="10" t="s">
        <v>231</v>
      </c>
      <c r="F402" s="20" t="s">
        <v>29</v>
      </c>
      <c r="G402" s="2" t="s">
        <v>110</v>
      </c>
      <c r="H402" s="2" t="str">
        <f>'PFAS Properties'!$B$33</f>
        <v>PFOA</v>
      </c>
      <c r="I402" s="2" t="str">
        <f>'PFAS Properties'!$C$33</f>
        <v>PFCA</v>
      </c>
      <c r="J402" s="2" t="str">
        <f>'PFAS Properties'!$D$33</f>
        <v>C8HF15O2</v>
      </c>
      <c r="K402" s="25">
        <f>'PFAS Properties'!$P$33</f>
        <v>413.97359999999998</v>
      </c>
      <c r="L402" s="2">
        <f>'PFAS Properties'!$X$33</f>
        <v>-0.2</v>
      </c>
      <c r="M402" s="2" t="str">
        <f>'PFAS Properties'!$Y$33</f>
        <v>-</v>
      </c>
      <c r="N402" s="33">
        <v>0</v>
      </c>
      <c r="O402" s="33">
        <v>0</v>
      </c>
      <c r="P402" s="33">
        <v>0</v>
      </c>
      <c r="Q402" s="33">
        <f t="shared" si="200"/>
        <v>0.99999999683772234</v>
      </c>
      <c r="R402" s="33">
        <v>0</v>
      </c>
      <c r="S402" s="33">
        <f t="shared" si="201"/>
        <v>3.162277650168378E-9</v>
      </c>
      <c r="T402" s="8">
        <f t="shared" si="180"/>
        <v>1</v>
      </c>
      <c r="U402" s="33">
        <f t="shared" si="181"/>
        <v>0</v>
      </c>
      <c r="V402" s="33">
        <f t="shared" si="182"/>
        <v>-0.99999999683772234</v>
      </c>
      <c r="W402" s="33">
        <f t="shared" si="183"/>
        <v>412.97360000316223</v>
      </c>
      <c r="X402" s="33">
        <v>96485</v>
      </c>
      <c r="Y402" s="16">
        <f t="shared" si="184"/>
        <v>-233.63478850500087</v>
      </c>
      <c r="Z402" s="16">
        <v>8</v>
      </c>
      <c r="AA402" s="16">
        <v>15</v>
      </c>
      <c r="AB402" s="8">
        <f t="shared" si="185"/>
        <v>0.33684210526315789</v>
      </c>
      <c r="AC402" s="16">
        <f t="shared" si="198"/>
        <v>68.844969824162703</v>
      </c>
      <c r="AD402" s="20">
        <f>'PFAS Properties'!$W$33</f>
        <v>7</v>
      </c>
      <c r="AE402" s="8">
        <f>'PFAS Properties'!$S$33</f>
        <v>2.6821450763738319</v>
      </c>
      <c r="AF402" s="15">
        <f>'PFAS Properties'!$V$33</f>
        <v>4.9000000000000004</v>
      </c>
      <c r="AG402" s="24">
        <v>8.3000000000000007</v>
      </c>
      <c r="AH402" s="2" t="s">
        <v>355</v>
      </c>
      <c r="AI402" s="2" t="s">
        <v>661</v>
      </c>
      <c r="AJ402" s="2" t="s">
        <v>661</v>
      </c>
      <c r="AK402" s="2" t="s">
        <v>661</v>
      </c>
      <c r="AL402" s="2" t="s">
        <v>661</v>
      </c>
      <c r="AM402" s="2" t="s">
        <v>661</v>
      </c>
      <c r="AN402" s="2" t="s">
        <v>661</v>
      </c>
      <c r="AO402" s="2" t="s">
        <v>661</v>
      </c>
      <c r="AP402" s="15">
        <v>24.8</v>
      </c>
      <c r="AQ402" s="2" t="s">
        <v>661</v>
      </c>
      <c r="AR402" s="71">
        <v>30.683900000000001</v>
      </c>
      <c r="AS402" s="71">
        <v>38.891100000000002</v>
      </c>
      <c r="AT402" s="71">
        <v>30.567799999999998</v>
      </c>
      <c r="AU402" s="70" t="s">
        <v>752</v>
      </c>
      <c r="AV402" s="16">
        <f t="shared" si="192"/>
        <v>100.14279999999999</v>
      </c>
      <c r="AW402" s="18">
        <v>0.1</v>
      </c>
      <c r="AX402" s="13">
        <f t="shared" si="199"/>
        <v>1E-3</v>
      </c>
      <c r="AY402" s="8" t="s">
        <v>111</v>
      </c>
      <c r="AZ402" s="15">
        <v>0.2</v>
      </c>
      <c r="BA402" s="15">
        <v>15</v>
      </c>
      <c r="BB402" s="16" t="s">
        <v>55</v>
      </c>
      <c r="BC402" s="12" t="s">
        <v>55</v>
      </c>
      <c r="BD402" s="18">
        <f>BO402</f>
        <v>8.9796337074491426</v>
      </c>
      <c r="BE402" s="16">
        <f t="shared" si="195"/>
        <v>8979.6337074491421</v>
      </c>
      <c r="BF402" s="8">
        <f t="shared" si="186"/>
        <v>3.9532586215138426</v>
      </c>
      <c r="BG402" s="8">
        <f t="shared" si="196"/>
        <v>0.95325862151384266</v>
      </c>
      <c r="BH402" s="13" t="s">
        <v>782</v>
      </c>
      <c r="BI402" s="16">
        <f>10^1</f>
        <v>10</v>
      </c>
      <c r="BJ402" s="16" t="s">
        <v>330</v>
      </c>
      <c r="BK402" s="8">
        <v>1.05</v>
      </c>
      <c r="BL402" s="16">
        <f>BI402*(K402/1000)/((K402^BK402)/1000)</f>
        <v>7.3986309978893736</v>
      </c>
      <c r="BM402" s="25">
        <f>'PFAS Properties'!$U$33</f>
        <v>48.1</v>
      </c>
      <c r="BN402" s="16">
        <f>(BL402*(BM402^BK402))</f>
        <v>431.92038132830373</v>
      </c>
      <c r="BO402" s="24">
        <f>BN402/BM402</f>
        <v>8.9796337074491426</v>
      </c>
    </row>
    <row r="403" spans="1:67" s="14" customFormat="1" x14ac:dyDescent="0.3">
      <c r="A403" s="20">
        <v>401</v>
      </c>
      <c r="B403" s="2" t="s">
        <v>230</v>
      </c>
      <c r="C403" s="2">
        <v>2019</v>
      </c>
      <c r="D403" s="2" t="s">
        <v>203</v>
      </c>
      <c r="E403" s="10" t="s">
        <v>231</v>
      </c>
      <c r="F403" s="20" t="s">
        <v>29</v>
      </c>
      <c r="G403" s="2" t="s">
        <v>112</v>
      </c>
      <c r="H403" s="2" t="str">
        <f>'PFAS Properties'!$B$33</f>
        <v>PFOA</v>
      </c>
      <c r="I403" s="2" t="str">
        <f>'PFAS Properties'!$C$33</f>
        <v>PFCA</v>
      </c>
      <c r="J403" s="2" t="str">
        <f>'PFAS Properties'!$D$33</f>
        <v>C8HF15O2</v>
      </c>
      <c r="K403" s="25">
        <f>'PFAS Properties'!$P$33</f>
        <v>413.97359999999998</v>
      </c>
      <c r="L403" s="2">
        <f>'PFAS Properties'!$X$33</f>
        <v>-0.2</v>
      </c>
      <c r="M403" s="2" t="str">
        <f>'PFAS Properties'!$Y$33</f>
        <v>-</v>
      </c>
      <c r="N403" s="33">
        <v>0</v>
      </c>
      <c r="O403" s="33">
        <v>0</v>
      </c>
      <c r="P403" s="33">
        <v>0</v>
      </c>
      <c r="Q403" s="33">
        <f t="shared" si="200"/>
        <v>0.99999999601892831</v>
      </c>
      <c r="R403" s="33">
        <v>0</v>
      </c>
      <c r="S403" s="33">
        <f t="shared" si="201"/>
        <v>3.9810716896860486E-9</v>
      </c>
      <c r="T403" s="8">
        <f t="shared" si="180"/>
        <v>1</v>
      </c>
      <c r="U403" s="33">
        <f t="shared" si="181"/>
        <v>0</v>
      </c>
      <c r="V403" s="33">
        <f t="shared" si="182"/>
        <v>-0.99999999601892831</v>
      </c>
      <c r="W403" s="33">
        <f t="shared" si="183"/>
        <v>412.97360000398106</v>
      </c>
      <c r="X403" s="33">
        <v>96485</v>
      </c>
      <c r="Y403" s="16">
        <f t="shared" si="184"/>
        <v>-233.63478831323886</v>
      </c>
      <c r="Z403" s="16">
        <v>8</v>
      </c>
      <c r="AA403" s="16">
        <v>15</v>
      </c>
      <c r="AB403" s="8">
        <f t="shared" si="185"/>
        <v>0.33684210526315789</v>
      </c>
      <c r="AC403" s="16">
        <f t="shared" si="198"/>
        <v>68.844969824162703</v>
      </c>
      <c r="AD403" s="20">
        <f>'PFAS Properties'!$W$33</f>
        <v>7</v>
      </c>
      <c r="AE403" s="8">
        <f>'PFAS Properties'!$S$33</f>
        <v>2.6821450763738319</v>
      </c>
      <c r="AF403" s="15">
        <f>'PFAS Properties'!$V$33</f>
        <v>4.9000000000000004</v>
      </c>
      <c r="AG403" s="24">
        <v>8.1999999999999993</v>
      </c>
      <c r="AH403" s="2" t="s">
        <v>355</v>
      </c>
      <c r="AI403" s="2" t="s">
        <v>661</v>
      </c>
      <c r="AJ403" s="2" t="s">
        <v>661</v>
      </c>
      <c r="AK403" s="2" t="s">
        <v>661</v>
      </c>
      <c r="AL403" s="2" t="s">
        <v>661</v>
      </c>
      <c r="AM403" s="2" t="s">
        <v>661</v>
      </c>
      <c r="AN403" s="2" t="s">
        <v>661</v>
      </c>
      <c r="AO403" s="2" t="s">
        <v>661</v>
      </c>
      <c r="AP403" s="15">
        <v>41.3</v>
      </c>
      <c r="AQ403" s="2" t="s">
        <v>661</v>
      </c>
      <c r="AR403" s="71">
        <v>33.491900000000001</v>
      </c>
      <c r="AS403" s="71">
        <v>33.659599999999998</v>
      </c>
      <c r="AT403" s="71">
        <v>31.685300000000002</v>
      </c>
      <c r="AU403" s="70" t="s">
        <v>752</v>
      </c>
      <c r="AV403" s="16">
        <f t="shared" si="192"/>
        <v>98.836799999999997</v>
      </c>
      <c r="AW403" s="18">
        <v>0.1</v>
      </c>
      <c r="AX403" s="13">
        <f t="shared" si="199"/>
        <v>1E-3</v>
      </c>
      <c r="AY403" s="8" t="s">
        <v>111</v>
      </c>
      <c r="AZ403" s="15">
        <v>0.2</v>
      </c>
      <c r="BA403" s="15">
        <v>15</v>
      </c>
      <c r="BB403" s="16" t="s">
        <v>55</v>
      </c>
      <c r="BC403" s="12" t="s">
        <v>55</v>
      </c>
      <c r="BD403" s="18">
        <f>BO403</f>
        <v>15.511425964038613</v>
      </c>
      <c r="BE403" s="16">
        <f t="shared" si="195"/>
        <v>15511.425964038614</v>
      </c>
      <c r="BF403" s="8">
        <f t="shared" si="186"/>
        <v>4.1906517243027688</v>
      </c>
      <c r="BG403" s="8">
        <f t="shared" si="196"/>
        <v>1.1906517243027688</v>
      </c>
      <c r="BH403" s="13" t="s">
        <v>782</v>
      </c>
      <c r="BI403" s="16">
        <f>10^1.2</f>
        <v>15.848931924611136</v>
      </c>
      <c r="BJ403" s="16" t="s">
        <v>330</v>
      </c>
      <c r="BK403" s="8">
        <v>1.01</v>
      </c>
      <c r="BL403" s="16">
        <f>BI403*(K403/1000)/((K403^BK403)/1000)</f>
        <v>14.92211125148676</v>
      </c>
      <c r="BM403" s="25">
        <f>'PFAS Properties'!$U$33</f>
        <v>48.1</v>
      </c>
      <c r="BN403" s="16">
        <f>(BL403*(BM403^BK403))</f>
        <v>746.09958887025732</v>
      </c>
      <c r="BO403" s="24">
        <f>BN403/BM403</f>
        <v>15.511425964038613</v>
      </c>
    </row>
    <row r="404" spans="1:67" s="14" customFormat="1" x14ac:dyDescent="0.3">
      <c r="A404" s="20">
        <v>402</v>
      </c>
      <c r="B404" s="2" t="s">
        <v>230</v>
      </c>
      <c r="C404" s="2">
        <v>2019</v>
      </c>
      <c r="D404" s="2" t="s">
        <v>203</v>
      </c>
      <c r="E404" s="10" t="s">
        <v>231</v>
      </c>
      <c r="F404" s="20" t="s">
        <v>29</v>
      </c>
      <c r="G404" s="2" t="s">
        <v>113</v>
      </c>
      <c r="H404" s="2" t="str">
        <f>'PFAS Properties'!$B$33</f>
        <v>PFOA</v>
      </c>
      <c r="I404" s="2" t="str">
        <f>'PFAS Properties'!$C$33</f>
        <v>PFCA</v>
      </c>
      <c r="J404" s="2" t="str">
        <f>'PFAS Properties'!$D$33</f>
        <v>C8HF15O2</v>
      </c>
      <c r="K404" s="25">
        <f>'PFAS Properties'!$P$33</f>
        <v>413.97359999999998</v>
      </c>
      <c r="L404" s="2">
        <f>'PFAS Properties'!$X$33</f>
        <v>-0.2</v>
      </c>
      <c r="M404" s="2" t="str">
        <f>'PFAS Properties'!$Y$33</f>
        <v>-</v>
      </c>
      <c r="N404" s="33">
        <v>0</v>
      </c>
      <c r="O404" s="33">
        <v>0</v>
      </c>
      <c r="P404" s="33">
        <v>0</v>
      </c>
      <c r="Q404" s="33">
        <f t="shared" si="200"/>
        <v>0.99999999748811352</v>
      </c>
      <c r="R404" s="33">
        <v>0</v>
      </c>
      <c r="S404" s="33">
        <f t="shared" si="201"/>
        <v>2.5118864252000079E-9</v>
      </c>
      <c r="T404" s="8">
        <f t="shared" si="180"/>
        <v>1</v>
      </c>
      <c r="U404" s="33">
        <f t="shared" si="181"/>
        <v>0</v>
      </c>
      <c r="V404" s="33">
        <f t="shared" si="182"/>
        <v>-0.99999999748811352</v>
      </c>
      <c r="W404" s="33">
        <f t="shared" si="183"/>
        <v>412.97360000251183</v>
      </c>
      <c r="X404" s="33">
        <v>96485</v>
      </c>
      <c r="Y404" s="16">
        <f t="shared" si="184"/>
        <v>-233.63478865732284</v>
      </c>
      <c r="Z404" s="16">
        <v>8</v>
      </c>
      <c r="AA404" s="16">
        <v>15</v>
      </c>
      <c r="AB404" s="8">
        <f t="shared" si="185"/>
        <v>0.33684210526315789</v>
      </c>
      <c r="AC404" s="16">
        <f t="shared" si="198"/>
        <v>68.844969824162703</v>
      </c>
      <c r="AD404" s="20">
        <f>'PFAS Properties'!$W$33</f>
        <v>7</v>
      </c>
      <c r="AE404" s="8">
        <f>'PFAS Properties'!$S$33</f>
        <v>2.6821450763738319</v>
      </c>
      <c r="AF404" s="15">
        <f>'PFAS Properties'!$V$33</f>
        <v>4.9000000000000004</v>
      </c>
      <c r="AG404" s="24">
        <v>8.4</v>
      </c>
      <c r="AH404" s="2" t="s">
        <v>355</v>
      </c>
      <c r="AI404" s="2" t="s">
        <v>661</v>
      </c>
      <c r="AJ404" s="2" t="s">
        <v>661</v>
      </c>
      <c r="AK404" s="2" t="s">
        <v>661</v>
      </c>
      <c r="AL404" s="2" t="s">
        <v>661</v>
      </c>
      <c r="AM404" s="2" t="s">
        <v>661</v>
      </c>
      <c r="AN404" s="2" t="s">
        <v>661</v>
      </c>
      <c r="AO404" s="2" t="s">
        <v>661</v>
      </c>
      <c r="AP404" s="15">
        <v>22.5</v>
      </c>
      <c r="AQ404" s="2" t="s">
        <v>661</v>
      </c>
      <c r="AR404" s="71">
        <v>34.417400000000001</v>
      </c>
      <c r="AS404" s="71">
        <v>33.425600000000003</v>
      </c>
      <c r="AT404" s="71">
        <v>31.142800000000001</v>
      </c>
      <c r="AU404" s="70" t="s">
        <v>752</v>
      </c>
      <c r="AV404" s="16">
        <f t="shared" si="192"/>
        <v>98.985800000000012</v>
      </c>
      <c r="AW404" s="18">
        <v>0.9</v>
      </c>
      <c r="AX404" s="13">
        <f t="shared" si="199"/>
        <v>9.0000000000000011E-3</v>
      </c>
      <c r="AY404" s="8" t="s">
        <v>111</v>
      </c>
      <c r="AZ404" s="15">
        <v>0.2</v>
      </c>
      <c r="BA404" s="15">
        <v>15</v>
      </c>
      <c r="BB404" s="16" t="s">
        <v>55</v>
      </c>
      <c r="BC404" s="12" t="s">
        <v>55</v>
      </c>
      <c r="BD404" s="18">
        <f>BO404</f>
        <v>3.9810717055349731</v>
      </c>
      <c r="BE404" s="16">
        <f t="shared" si="195"/>
        <v>442.34130061499695</v>
      </c>
      <c r="BF404" s="8">
        <f t="shared" si="186"/>
        <v>2.6457574905606753</v>
      </c>
      <c r="BG404" s="8">
        <f t="shared" si="196"/>
        <v>0.60000000000000009</v>
      </c>
      <c r="BH404" s="13" t="s">
        <v>782</v>
      </c>
      <c r="BI404" s="16">
        <f>10^0.6</f>
        <v>3.9810717055349727</v>
      </c>
      <c r="BJ404" s="16" t="s">
        <v>330</v>
      </c>
      <c r="BK404" s="8">
        <v>1</v>
      </c>
      <c r="BL404" s="16">
        <f>BI404*(K404/1000)/((K404^BK404)/1000)</f>
        <v>3.9810717055349731</v>
      </c>
      <c r="BM404" s="25">
        <f>'PFAS Properties'!$U$33</f>
        <v>48.1</v>
      </c>
      <c r="BN404" s="16">
        <f>(BL404*(BM404^BK404))</f>
        <v>191.48954903623221</v>
      </c>
      <c r="BO404" s="24">
        <f>BN404/BM404</f>
        <v>3.9810717055349731</v>
      </c>
    </row>
    <row r="405" spans="1:67" s="14" customFormat="1" x14ac:dyDescent="0.3">
      <c r="A405" s="20">
        <v>403</v>
      </c>
      <c r="B405" s="2" t="s">
        <v>230</v>
      </c>
      <c r="C405" s="2">
        <v>2019</v>
      </c>
      <c r="D405" s="2" t="s">
        <v>203</v>
      </c>
      <c r="E405" s="10" t="s">
        <v>231</v>
      </c>
      <c r="F405" s="20" t="s">
        <v>29</v>
      </c>
      <c r="G405" s="2" t="s">
        <v>114</v>
      </c>
      <c r="H405" s="2" t="str">
        <f>'PFAS Properties'!$B$33</f>
        <v>PFOA</v>
      </c>
      <c r="I405" s="2" t="str">
        <f>'PFAS Properties'!$C$33</f>
        <v>PFCA</v>
      </c>
      <c r="J405" s="2" t="str">
        <f>'PFAS Properties'!$D$33</f>
        <v>C8HF15O2</v>
      </c>
      <c r="K405" s="25">
        <f>'PFAS Properties'!$P$33</f>
        <v>413.97359999999998</v>
      </c>
      <c r="L405" s="2">
        <f>'PFAS Properties'!$X$33</f>
        <v>-0.2</v>
      </c>
      <c r="M405" s="2" t="str">
        <f>'PFAS Properties'!$Y$33</f>
        <v>-</v>
      </c>
      <c r="N405" s="33">
        <v>0</v>
      </c>
      <c r="O405" s="33">
        <v>0</v>
      </c>
      <c r="P405" s="33">
        <v>0</v>
      </c>
      <c r="Q405" s="33">
        <f t="shared" si="200"/>
        <v>0.99999999601892831</v>
      </c>
      <c r="R405" s="33">
        <v>0</v>
      </c>
      <c r="S405" s="33">
        <f t="shared" si="201"/>
        <v>3.9810716896860486E-9</v>
      </c>
      <c r="T405" s="8">
        <f t="shared" si="180"/>
        <v>1</v>
      </c>
      <c r="U405" s="33">
        <f t="shared" si="181"/>
        <v>0</v>
      </c>
      <c r="V405" s="33">
        <f t="shared" si="182"/>
        <v>-0.99999999601892831</v>
      </c>
      <c r="W405" s="33">
        <f t="shared" si="183"/>
        <v>412.97360000398106</v>
      </c>
      <c r="X405" s="33">
        <v>96485</v>
      </c>
      <c r="Y405" s="16">
        <f t="shared" si="184"/>
        <v>-233.63478831323886</v>
      </c>
      <c r="Z405" s="16">
        <v>8</v>
      </c>
      <c r="AA405" s="16">
        <v>15</v>
      </c>
      <c r="AB405" s="8">
        <f t="shared" si="185"/>
        <v>0.33684210526315789</v>
      </c>
      <c r="AC405" s="16">
        <f t="shared" si="198"/>
        <v>68.844969824162703</v>
      </c>
      <c r="AD405" s="20">
        <f>'PFAS Properties'!$W$33</f>
        <v>7</v>
      </c>
      <c r="AE405" s="8">
        <f>'PFAS Properties'!$S$33</f>
        <v>2.6821450763738319</v>
      </c>
      <c r="AF405" s="15">
        <f>'PFAS Properties'!$V$33</f>
        <v>4.9000000000000004</v>
      </c>
      <c r="AG405" s="24">
        <v>8.1999999999999993</v>
      </c>
      <c r="AH405" s="2" t="s">
        <v>355</v>
      </c>
      <c r="AI405" s="2" t="s">
        <v>661</v>
      </c>
      <c r="AJ405" s="2" t="s">
        <v>661</v>
      </c>
      <c r="AK405" s="2" t="s">
        <v>661</v>
      </c>
      <c r="AL405" s="2" t="s">
        <v>661</v>
      </c>
      <c r="AM405" s="2" t="s">
        <v>661</v>
      </c>
      <c r="AN405" s="2" t="s">
        <v>661</v>
      </c>
      <c r="AO405" s="2" t="s">
        <v>661</v>
      </c>
      <c r="AP405" s="15">
        <v>38.200000000000003</v>
      </c>
      <c r="AQ405" s="2" t="s">
        <v>661</v>
      </c>
      <c r="AR405" s="71">
        <v>31.346399999999999</v>
      </c>
      <c r="AS405" s="71">
        <v>39.162100000000002</v>
      </c>
      <c r="AT405" s="71">
        <v>29.6173</v>
      </c>
      <c r="AU405" s="70" t="s">
        <v>752</v>
      </c>
      <c r="AV405" s="16">
        <f t="shared" si="192"/>
        <v>100.1258</v>
      </c>
      <c r="AW405" s="18">
        <v>1.2</v>
      </c>
      <c r="AX405" s="13">
        <f t="shared" si="199"/>
        <v>1.2E-2</v>
      </c>
      <c r="AY405" s="8" t="s">
        <v>111</v>
      </c>
      <c r="AZ405" s="15">
        <v>0.2</v>
      </c>
      <c r="BA405" s="15">
        <v>15</v>
      </c>
      <c r="BB405" s="16" t="s">
        <v>55</v>
      </c>
      <c r="BC405" s="12" t="s">
        <v>55</v>
      </c>
      <c r="BD405" s="18">
        <f>BO405</f>
        <v>10.828344646452289</v>
      </c>
      <c r="BE405" s="16">
        <f t="shared" si="195"/>
        <v>902.36205387102405</v>
      </c>
      <c r="BF405" s="8">
        <f t="shared" si="186"/>
        <v>2.9553808240717547</v>
      </c>
      <c r="BG405" s="8">
        <f t="shared" si="196"/>
        <v>1.0345620701193796</v>
      </c>
      <c r="BH405" s="13" t="s">
        <v>782</v>
      </c>
      <c r="BI405" s="16">
        <f>10^1.1</f>
        <v>12.58925411794168</v>
      </c>
      <c r="BJ405" s="16" t="s">
        <v>330</v>
      </c>
      <c r="BK405" s="8">
        <v>1.07</v>
      </c>
      <c r="BL405" s="16">
        <f>BI405*(K405/1000)/((K405^BK405)/1000)</f>
        <v>8.256802846668835</v>
      </c>
      <c r="BM405" s="25">
        <f>'PFAS Properties'!$U$33</f>
        <v>48.1</v>
      </c>
      <c r="BN405" s="16">
        <f>(BL405*(BM405^BK405))</f>
        <v>520.84337749435508</v>
      </c>
      <c r="BO405" s="24">
        <f>BN405/BM405</f>
        <v>10.828344646452289</v>
      </c>
    </row>
    <row r="406" spans="1:67" s="14" customFormat="1" x14ac:dyDescent="0.3">
      <c r="A406" s="20">
        <v>404</v>
      </c>
      <c r="B406" s="2" t="s">
        <v>230</v>
      </c>
      <c r="C406" s="2">
        <v>2019</v>
      </c>
      <c r="D406" s="2" t="s">
        <v>203</v>
      </c>
      <c r="E406" s="10" t="s">
        <v>231</v>
      </c>
      <c r="F406" s="20" t="s">
        <v>29</v>
      </c>
      <c r="G406" s="2" t="s">
        <v>115</v>
      </c>
      <c r="H406" s="2" t="str">
        <f>'PFAS Properties'!$B$33</f>
        <v>PFOA</v>
      </c>
      <c r="I406" s="2" t="str">
        <f>'PFAS Properties'!$C$33</f>
        <v>PFCA</v>
      </c>
      <c r="J406" s="2" t="str">
        <f>'PFAS Properties'!$D$33</f>
        <v>C8HF15O2</v>
      </c>
      <c r="K406" s="25">
        <f>'PFAS Properties'!$P$33</f>
        <v>413.97359999999998</v>
      </c>
      <c r="L406" s="2">
        <f>'PFAS Properties'!$X$33</f>
        <v>-0.2</v>
      </c>
      <c r="M406" s="2" t="str">
        <f>'PFAS Properties'!$Y$33</f>
        <v>-</v>
      </c>
      <c r="N406" s="33">
        <v>0</v>
      </c>
      <c r="O406" s="33">
        <v>0</v>
      </c>
      <c r="P406" s="33">
        <v>0</v>
      </c>
      <c r="Q406" s="33">
        <f t="shared" si="200"/>
        <v>0.99999999601892831</v>
      </c>
      <c r="R406" s="33">
        <v>0</v>
      </c>
      <c r="S406" s="33">
        <f t="shared" si="201"/>
        <v>3.9810716896860486E-9</v>
      </c>
      <c r="T406" s="8">
        <f t="shared" si="180"/>
        <v>1</v>
      </c>
      <c r="U406" s="33">
        <f t="shared" si="181"/>
        <v>0</v>
      </c>
      <c r="V406" s="33">
        <f t="shared" si="182"/>
        <v>-0.99999999601892831</v>
      </c>
      <c r="W406" s="33">
        <f t="shared" si="183"/>
        <v>412.97360000398106</v>
      </c>
      <c r="X406" s="33">
        <v>96485</v>
      </c>
      <c r="Y406" s="16">
        <f t="shared" si="184"/>
        <v>-233.63478831323886</v>
      </c>
      <c r="Z406" s="16">
        <v>8</v>
      </c>
      <c r="AA406" s="16">
        <v>15</v>
      </c>
      <c r="AB406" s="8">
        <f t="shared" si="185"/>
        <v>0.33684210526315789</v>
      </c>
      <c r="AC406" s="16">
        <f t="shared" si="198"/>
        <v>68.844969824162703</v>
      </c>
      <c r="AD406" s="20">
        <f>'PFAS Properties'!$W$33</f>
        <v>7</v>
      </c>
      <c r="AE406" s="8">
        <f>'PFAS Properties'!$S$33</f>
        <v>2.6821450763738319</v>
      </c>
      <c r="AF406" s="15">
        <f>'PFAS Properties'!$V$33</f>
        <v>4.9000000000000004</v>
      </c>
      <c r="AG406" s="24">
        <v>8.1999999999999993</v>
      </c>
      <c r="AH406" s="2" t="s">
        <v>355</v>
      </c>
      <c r="AI406" s="2" t="s">
        <v>661</v>
      </c>
      <c r="AJ406" s="2" t="s">
        <v>661</v>
      </c>
      <c r="AK406" s="2" t="s">
        <v>661</v>
      </c>
      <c r="AL406" s="2" t="s">
        <v>661</v>
      </c>
      <c r="AM406" s="2" t="s">
        <v>661</v>
      </c>
      <c r="AN406" s="2" t="s">
        <v>661</v>
      </c>
      <c r="AO406" s="2" t="s">
        <v>661</v>
      </c>
      <c r="AP406" s="15">
        <v>41</v>
      </c>
      <c r="AQ406" s="2" t="s">
        <v>661</v>
      </c>
      <c r="AR406" s="71">
        <v>34.556900000000013</v>
      </c>
      <c r="AS406" s="71">
        <v>33.706099999999999</v>
      </c>
      <c r="AT406" s="71">
        <v>30.8308</v>
      </c>
      <c r="AU406" s="70" t="s">
        <v>752</v>
      </c>
      <c r="AV406" s="16">
        <f t="shared" si="192"/>
        <v>99.093800000000002</v>
      </c>
      <c r="AW406" s="18">
        <v>5.3</v>
      </c>
      <c r="AX406" s="13">
        <f t="shared" si="199"/>
        <v>5.2999999999999999E-2</v>
      </c>
      <c r="AY406" s="8" t="s">
        <v>111</v>
      </c>
      <c r="AZ406" s="15">
        <v>0.2</v>
      </c>
      <c r="BA406" s="15">
        <v>15</v>
      </c>
      <c r="BB406" s="16" t="s">
        <v>55</v>
      </c>
      <c r="BC406" s="12" t="s">
        <v>55</v>
      </c>
      <c r="BD406" s="18">
        <f>BO406</f>
        <v>5.2323471624199085</v>
      </c>
      <c r="BE406" s="16">
        <f t="shared" si="195"/>
        <v>98.723531366413368</v>
      </c>
      <c r="BF406" s="8">
        <f t="shared" si="186"/>
        <v>1.994420681793674</v>
      </c>
      <c r="BG406" s="8">
        <f t="shared" si="196"/>
        <v>0.7186965513944632</v>
      </c>
      <c r="BH406" s="13" t="s">
        <v>782</v>
      </c>
      <c r="BI406" s="16">
        <f>10^0.7</f>
        <v>5.0118723362727229</v>
      </c>
      <c r="BJ406" s="16" t="s">
        <v>330</v>
      </c>
      <c r="BK406" s="8">
        <v>0.98</v>
      </c>
      <c r="BL406" s="16">
        <f>BI406*(K406/1000)/((K406^BK406)/1000)</f>
        <v>5.6537871303303477</v>
      </c>
      <c r="BM406" s="25">
        <f>'PFAS Properties'!$U$33</f>
        <v>48.1</v>
      </c>
      <c r="BN406" s="16">
        <f>(BL406*(BM406^BK406))</f>
        <v>251.67589851239762</v>
      </c>
      <c r="BO406" s="24">
        <f>BN406/BM406</f>
        <v>5.2323471624199085</v>
      </c>
    </row>
    <row r="407" spans="1:67" s="14" customFormat="1" x14ac:dyDescent="0.3">
      <c r="A407" s="20">
        <v>405</v>
      </c>
      <c r="B407" s="2" t="s">
        <v>221</v>
      </c>
      <c r="C407" s="2">
        <v>2016</v>
      </c>
      <c r="D407" s="2" t="s">
        <v>199</v>
      </c>
      <c r="E407" s="22" t="s">
        <v>811</v>
      </c>
      <c r="F407" s="20" t="s">
        <v>63</v>
      </c>
      <c r="G407" s="2" t="s">
        <v>64</v>
      </c>
      <c r="H407" s="2" t="str">
        <f>'PFAS Properties'!$B$33</f>
        <v>PFOA</v>
      </c>
      <c r="I407" s="2" t="str">
        <f>'PFAS Properties'!$C$33</f>
        <v>PFCA</v>
      </c>
      <c r="J407" s="2" t="str">
        <f>'PFAS Properties'!$D$33</f>
        <v>C8HF15O2</v>
      </c>
      <c r="K407" s="25">
        <f>'PFAS Properties'!$P$33</f>
        <v>413.97359999999998</v>
      </c>
      <c r="L407" s="2">
        <f>'PFAS Properties'!$X$33</f>
        <v>-0.2</v>
      </c>
      <c r="M407" s="2" t="str">
        <f>'PFAS Properties'!$Y$33</f>
        <v>-</v>
      </c>
      <c r="N407" s="33">
        <v>0</v>
      </c>
      <c r="O407" s="33">
        <v>0</v>
      </c>
      <c r="P407" s="33">
        <v>0</v>
      </c>
      <c r="Q407" s="33">
        <f t="shared" si="200"/>
        <v>0.99999998415106828</v>
      </c>
      <c r="R407" s="33">
        <v>0</v>
      </c>
      <c r="S407" s="33">
        <f t="shared" si="201"/>
        <v>1.5848931673422493E-8</v>
      </c>
      <c r="T407" s="8">
        <f t="shared" si="180"/>
        <v>1</v>
      </c>
      <c r="U407" s="33">
        <f t="shared" si="181"/>
        <v>0</v>
      </c>
      <c r="V407" s="33">
        <f t="shared" si="182"/>
        <v>-0.99999998415106828</v>
      </c>
      <c r="W407" s="33">
        <f t="shared" si="183"/>
        <v>412.97360001584889</v>
      </c>
      <c r="X407" s="33">
        <v>96485</v>
      </c>
      <c r="Y407" s="16">
        <f t="shared" si="184"/>
        <v>-233.63478553377979</v>
      </c>
      <c r="Z407" s="16">
        <v>8</v>
      </c>
      <c r="AA407" s="16">
        <v>15</v>
      </c>
      <c r="AB407" s="8">
        <f t="shared" si="185"/>
        <v>0.33684210526315789</v>
      </c>
      <c r="AC407" s="16">
        <f t="shared" si="198"/>
        <v>68.844969824162703</v>
      </c>
      <c r="AD407" s="20">
        <f>'PFAS Properties'!$W$33</f>
        <v>7</v>
      </c>
      <c r="AE407" s="8">
        <f>'PFAS Properties'!$S$33</f>
        <v>2.6821450763738319</v>
      </c>
      <c r="AF407" s="15">
        <f>'PFAS Properties'!$V$33</f>
        <v>4.9000000000000004</v>
      </c>
      <c r="AG407" s="24">
        <v>7.6</v>
      </c>
      <c r="AH407" s="2" t="s">
        <v>661</v>
      </c>
      <c r="AI407" s="2">
        <v>2.8492E-2</v>
      </c>
      <c r="AJ407" s="15">
        <f>AI407*1000/55.845</f>
        <v>0.51019786910197873</v>
      </c>
      <c r="AK407" s="8">
        <f>AI407/10</f>
        <v>2.8492000000000001E-3</v>
      </c>
      <c r="AL407" s="12">
        <v>1.2054E-2</v>
      </c>
      <c r="AM407" s="15">
        <f>AL407*1000/26.98</f>
        <v>0.4467753891771683</v>
      </c>
      <c r="AN407" s="8">
        <f>AL407/10</f>
        <v>1.2054000000000001E-3</v>
      </c>
      <c r="AO407" s="2" t="s">
        <v>661</v>
      </c>
      <c r="AP407" s="72">
        <v>15.90036666666667</v>
      </c>
      <c r="AQ407" s="70" t="s">
        <v>752</v>
      </c>
      <c r="AR407" s="2">
        <v>4</v>
      </c>
      <c r="AS407" s="2">
        <v>61</v>
      </c>
      <c r="AT407" s="2">
        <v>35</v>
      </c>
      <c r="AU407" s="2" t="s">
        <v>661</v>
      </c>
      <c r="AV407" s="16">
        <f t="shared" si="192"/>
        <v>100</v>
      </c>
      <c r="AW407" s="18">
        <v>2.52</v>
      </c>
      <c r="AX407" s="13">
        <f t="shared" si="199"/>
        <v>2.52E-2</v>
      </c>
      <c r="AY407" s="13" t="s">
        <v>65</v>
      </c>
      <c r="AZ407" s="16">
        <f>5/0.04</f>
        <v>125</v>
      </c>
      <c r="BA407" s="16" t="s">
        <v>55</v>
      </c>
      <c r="BB407" s="15">
        <v>0.5</v>
      </c>
      <c r="BC407" s="16">
        <v>100</v>
      </c>
      <c r="BD407" s="18">
        <f>10^0.45</f>
        <v>2.8183829312644542</v>
      </c>
      <c r="BE407" s="15">
        <f t="shared" si="195"/>
        <v>111.84059251049422</v>
      </c>
      <c r="BF407" s="8">
        <f t="shared" si="186"/>
        <v>2.048599459218456</v>
      </c>
      <c r="BG407" s="8">
        <f t="shared" si="196"/>
        <v>0.45000000000000007</v>
      </c>
      <c r="BH407" s="13" t="s">
        <v>390</v>
      </c>
      <c r="BI407" s="13"/>
      <c r="BJ407" s="13"/>
      <c r="BK407" s="15"/>
      <c r="BL407" s="8"/>
      <c r="BM407" s="18"/>
      <c r="BN407" s="8"/>
      <c r="BO407" s="24"/>
    </row>
    <row r="408" spans="1:67" s="14" customFormat="1" x14ac:dyDescent="0.3">
      <c r="A408" s="20">
        <v>406</v>
      </c>
      <c r="B408" s="2" t="s">
        <v>202</v>
      </c>
      <c r="C408" s="2">
        <v>2019</v>
      </c>
      <c r="D408" s="2" t="s">
        <v>199</v>
      </c>
      <c r="E408" s="10" t="s">
        <v>791</v>
      </c>
      <c r="F408" s="20" t="s">
        <v>29</v>
      </c>
      <c r="G408" s="2" t="s">
        <v>39</v>
      </c>
      <c r="H408" s="2" t="str">
        <f>'PFAS Properties'!$B$33</f>
        <v>PFOA</v>
      </c>
      <c r="I408" s="2" t="str">
        <f>'PFAS Properties'!$C$33</f>
        <v>PFCA</v>
      </c>
      <c r="J408" s="2" t="str">
        <f>'PFAS Properties'!$D$33</f>
        <v>C8HF15O2</v>
      </c>
      <c r="K408" s="25">
        <f>'PFAS Properties'!$P$33</f>
        <v>413.97359999999998</v>
      </c>
      <c r="L408" s="2">
        <f>'PFAS Properties'!$X$33</f>
        <v>-0.2</v>
      </c>
      <c r="M408" s="2" t="str">
        <f>'PFAS Properties'!$Y$33</f>
        <v>-</v>
      </c>
      <c r="N408" s="33">
        <v>0</v>
      </c>
      <c r="O408" s="33">
        <v>0</v>
      </c>
      <c r="P408" s="33">
        <v>0</v>
      </c>
      <c r="Q408" s="33">
        <f t="shared" si="200"/>
        <v>0.9999964518786969</v>
      </c>
      <c r="R408" s="33">
        <v>0</v>
      </c>
      <c r="S408" s="33">
        <f t="shared" si="201"/>
        <v>3.5481213031263005E-6</v>
      </c>
      <c r="T408" s="8">
        <f t="shared" si="180"/>
        <v>1</v>
      </c>
      <c r="U408" s="33">
        <f t="shared" si="181"/>
        <v>0</v>
      </c>
      <c r="V408" s="33">
        <f t="shared" si="182"/>
        <v>-0.9999964518786969</v>
      </c>
      <c r="W408" s="33">
        <f t="shared" si="183"/>
        <v>412.97360354812128</v>
      </c>
      <c r="X408" s="33">
        <v>96485</v>
      </c>
      <c r="Y408" s="16">
        <f t="shared" si="184"/>
        <v>-233.6339582737358</v>
      </c>
      <c r="Z408" s="16">
        <v>8</v>
      </c>
      <c r="AA408" s="16">
        <v>15</v>
      </c>
      <c r="AB408" s="8">
        <f t="shared" si="185"/>
        <v>0.33684210526315789</v>
      </c>
      <c r="AC408" s="16">
        <f t="shared" si="198"/>
        <v>68.844969824162703</v>
      </c>
      <c r="AD408" s="20">
        <f>'PFAS Properties'!$W$33</f>
        <v>7</v>
      </c>
      <c r="AE408" s="8">
        <f>'PFAS Properties'!$S$33</f>
        <v>2.6821450763738319</v>
      </c>
      <c r="AF408" s="15">
        <f>'PFAS Properties'!$V$33</f>
        <v>4.9000000000000004</v>
      </c>
      <c r="AG408" s="24">
        <v>5.25</v>
      </c>
      <c r="AH408" s="2" t="s">
        <v>661</v>
      </c>
      <c r="AI408" s="2" t="s">
        <v>661</v>
      </c>
      <c r="AJ408" s="2" t="s">
        <v>661</v>
      </c>
      <c r="AK408" s="2" t="s">
        <v>661</v>
      </c>
      <c r="AL408" s="2" t="s">
        <v>661</v>
      </c>
      <c r="AM408" s="2" t="s">
        <v>661</v>
      </c>
      <c r="AN408" s="2" t="s">
        <v>661</v>
      </c>
      <c r="AO408" s="2" t="s">
        <v>661</v>
      </c>
      <c r="AP408" s="72">
        <v>5.7023166666666656</v>
      </c>
      <c r="AQ408" s="70" t="s">
        <v>752</v>
      </c>
      <c r="AR408" s="16">
        <v>100</v>
      </c>
      <c r="AS408" s="16">
        <v>0</v>
      </c>
      <c r="AT408" s="16">
        <v>0</v>
      </c>
      <c r="AU408" s="2" t="s">
        <v>661</v>
      </c>
      <c r="AV408" s="16">
        <f t="shared" si="192"/>
        <v>100</v>
      </c>
      <c r="AW408" s="18">
        <v>0.4</v>
      </c>
      <c r="AX408" s="13">
        <f t="shared" si="199"/>
        <v>4.0000000000000001E-3</v>
      </c>
      <c r="AY408" s="13" t="s">
        <v>658</v>
      </c>
      <c r="AZ408" s="16">
        <f>2/0.01</f>
        <v>200</v>
      </c>
      <c r="BA408" s="16" t="s">
        <v>55</v>
      </c>
      <c r="BB408" s="16">
        <v>1</v>
      </c>
      <c r="BC408" s="16">
        <v>1000</v>
      </c>
      <c r="BD408" s="18">
        <v>0.22</v>
      </c>
      <c r="BE408" s="15">
        <f t="shared" si="195"/>
        <v>55</v>
      </c>
      <c r="BF408" s="8">
        <f t="shared" si="186"/>
        <v>1.7403626894942439</v>
      </c>
      <c r="BG408" s="8">
        <f t="shared" si="196"/>
        <v>-0.65757731917779372</v>
      </c>
      <c r="BH408" s="13" t="s">
        <v>272</v>
      </c>
      <c r="BI408" s="13"/>
      <c r="BJ408" s="13"/>
      <c r="BK408" s="13"/>
      <c r="BL408" s="13"/>
      <c r="BM408" s="17"/>
      <c r="BN408" s="17"/>
      <c r="BO408" s="2"/>
    </row>
    <row r="409" spans="1:67" s="14" customFormat="1" x14ac:dyDescent="0.3">
      <c r="A409" s="20">
        <v>407</v>
      </c>
      <c r="B409" s="2" t="s">
        <v>202</v>
      </c>
      <c r="C409" s="2">
        <v>2019</v>
      </c>
      <c r="D409" s="2" t="s">
        <v>199</v>
      </c>
      <c r="E409" s="10" t="s">
        <v>791</v>
      </c>
      <c r="F409" s="20" t="s">
        <v>29</v>
      </c>
      <c r="G409" s="2" t="s">
        <v>43</v>
      </c>
      <c r="H409" s="2" t="str">
        <f>'PFAS Properties'!$B$33</f>
        <v>PFOA</v>
      </c>
      <c r="I409" s="2" t="str">
        <f>'PFAS Properties'!$C$33</f>
        <v>PFCA</v>
      </c>
      <c r="J409" s="2" t="str">
        <f>'PFAS Properties'!$D$33</f>
        <v>C8HF15O2</v>
      </c>
      <c r="K409" s="25">
        <f>'PFAS Properties'!$P$33</f>
        <v>413.97359999999998</v>
      </c>
      <c r="L409" s="2">
        <f>'PFAS Properties'!$X$33</f>
        <v>-0.2</v>
      </c>
      <c r="M409" s="2" t="str">
        <f>'PFAS Properties'!$Y$33</f>
        <v>-</v>
      </c>
      <c r="N409" s="33">
        <v>0</v>
      </c>
      <c r="O409" s="33">
        <v>0</v>
      </c>
      <c r="P409" s="33">
        <v>0</v>
      </c>
      <c r="Q409" s="33">
        <f t="shared" si="200"/>
        <v>0.99999865103893715</v>
      </c>
      <c r="R409" s="33">
        <v>0</v>
      </c>
      <c r="S409" s="33">
        <f t="shared" si="201"/>
        <v>1.3489610628932487E-6</v>
      </c>
      <c r="T409" s="8">
        <f t="shared" si="180"/>
        <v>1</v>
      </c>
      <c r="U409" s="33">
        <f t="shared" si="181"/>
        <v>0</v>
      </c>
      <c r="V409" s="33">
        <f t="shared" si="182"/>
        <v>-0.99999865103893715</v>
      </c>
      <c r="W409" s="33">
        <f t="shared" si="183"/>
        <v>412.97360134896104</v>
      </c>
      <c r="X409" s="33">
        <v>96485</v>
      </c>
      <c r="Y409" s="16">
        <f t="shared" si="184"/>
        <v>-233.63447331821709</v>
      </c>
      <c r="Z409" s="16">
        <v>8</v>
      </c>
      <c r="AA409" s="16">
        <v>15</v>
      </c>
      <c r="AB409" s="8">
        <f t="shared" si="185"/>
        <v>0.33684210526315789</v>
      </c>
      <c r="AC409" s="16">
        <f t="shared" si="198"/>
        <v>68.844969824162703</v>
      </c>
      <c r="AD409" s="20">
        <f>'PFAS Properties'!$W$33</f>
        <v>7</v>
      </c>
      <c r="AE409" s="8">
        <f>'PFAS Properties'!$S$33</f>
        <v>2.6821450763738319</v>
      </c>
      <c r="AF409" s="15">
        <f>'PFAS Properties'!$V$33</f>
        <v>4.9000000000000004</v>
      </c>
      <c r="AG409" s="24">
        <v>5.67</v>
      </c>
      <c r="AH409" s="2" t="s">
        <v>661</v>
      </c>
      <c r="AI409" s="15" t="s">
        <v>661</v>
      </c>
      <c r="AJ409" s="16" t="s">
        <v>661</v>
      </c>
      <c r="AK409" s="2" t="s">
        <v>661</v>
      </c>
      <c r="AL409" s="15" t="s">
        <v>661</v>
      </c>
      <c r="AM409" s="16" t="s">
        <v>661</v>
      </c>
      <c r="AN409" s="2" t="s">
        <v>661</v>
      </c>
      <c r="AO409" s="2" t="s">
        <v>661</v>
      </c>
      <c r="AP409" s="72">
        <v>9.2037666666666649</v>
      </c>
      <c r="AQ409" s="70" t="s">
        <v>752</v>
      </c>
      <c r="AR409" s="16">
        <v>71</v>
      </c>
      <c r="AS409" s="16">
        <v>24</v>
      </c>
      <c r="AT409" s="16">
        <v>5</v>
      </c>
      <c r="AU409" s="2" t="s">
        <v>661</v>
      </c>
      <c r="AV409" s="16">
        <f t="shared" si="192"/>
        <v>100</v>
      </c>
      <c r="AW409" s="18">
        <v>0.93</v>
      </c>
      <c r="AX409" s="13">
        <f t="shared" si="199"/>
        <v>9.300000000000001E-3</v>
      </c>
      <c r="AY409" s="13" t="s">
        <v>658</v>
      </c>
      <c r="AZ409" s="16">
        <f>2/0.01</f>
        <v>200</v>
      </c>
      <c r="BA409" s="16" t="s">
        <v>55</v>
      </c>
      <c r="BB409" s="16">
        <v>1</v>
      </c>
      <c r="BC409" s="16">
        <v>1000</v>
      </c>
      <c r="BD409" s="18">
        <v>0.92</v>
      </c>
      <c r="BE409" s="15">
        <f t="shared" si="195"/>
        <v>98.924731182795696</v>
      </c>
      <c r="BF409" s="8">
        <f t="shared" si="186"/>
        <v>1.9953048787916201</v>
      </c>
      <c r="BG409" s="8">
        <f t="shared" si="196"/>
        <v>-3.6212172654444715E-2</v>
      </c>
      <c r="BH409" s="13" t="s">
        <v>272</v>
      </c>
      <c r="BI409" s="13"/>
      <c r="BJ409" s="13"/>
      <c r="BK409" s="13"/>
      <c r="BL409" s="13"/>
      <c r="BM409" s="17"/>
      <c r="BN409" s="17"/>
      <c r="BO409" s="2"/>
    </row>
    <row r="410" spans="1:67" s="14" customFormat="1" x14ac:dyDescent="0.3">
      <c r="A410" s="20">
        <v>408</v>
      </c>
      <c r="B410" s="2" t="s">
        <v>211</v>
      </c>
      <c r="C410" s="2">
        <v>2019</v>
      </c>
      <c r="D410" s="2" t="s">
        <v>212</v>
      </c>
      <c r="E410" s="10" t="s">
        <v>213</v>
      </c>
      <c r="F410" s="20" t="s">
        <v>29</v>
      </c>
      <c r="G410" s="2" t="s">
        <v>55</v>
      </c>
      <c r="H410" s="2" t="str">
        <f>'PFAS Properties'!$B$33</f>
        <v>PFOA</v>
      </c>
      <c r="I410" s="2" t="str">
        <f>'PFAS Properties'!$C$33</f>
        <v>PFCA</v>
      </c>
      <c r="J410" s="2" t="str">
        <f>'PFAS Properties'!$D$33</f>
        <v>C8HF15O2</v>
      </c>
      <c r="K410" s="25">
        <f>'PFAS Properties'!$P$33</f>
        <v>413.97359999999998</v>
      </c>
      <c r="L410" s="2">
        <f>'PFAS Properties'!$X$33</f>
        <v>-0.2</v>
      </c>
      <c r="M410" s="2" t="str">
        <f>'PFAS Properties'!$Y$33</f>
        <v>-</v>
      </c>
      <c r="N410" s="33">
        <v>0</v>
      </c>
      <c r="O410" s="33">
        <v>0</v>
      </c>
      <c r="P410" s="33">
        <v>0</v>
      </c>
      <c r="Q410" s="33">
        <f t="shared" si="200"/>
        <v>0.99999993690426958</v>
      </c>
      <c r="R410" s="33">
        <v>0</v>
      </c>
      <c r="S410" s="33">
        <f t="shared" si="201"/>
        <v>6.3095730466947729E-8</v>
      </c>
      <c r="T410" s="8">
        <f t="shared" si="180"/>
        <v>1</v>
      </c>
      <c r="U410" s="33">
        <f t="shared" si="181"/>
        <v>0</v>
      </c>
      <c r="V410" s="33">
        <f t="shared" si="182"/>
        <v>-0.99999993690426958</v>
      </c>
      <c r="W410" s="33">
        <f t="shared" si="183"/>
        <v>412.97360006309572</v>
      </c>
      <c r="X410" s="33">
        <v>96485</v>
      </c>
      <c r="Y410" s="16">
        <f t="shared" si="184"/>
        <v>-233.63477446855464</v>
      </c>
      <c r="Z410" s="16">
        <v>8</v>
      </c>
      <c r="AA410" s="16">
        <v>15</v>
      </c>
      <c r="AB410" s="8">
        <f t="shared" si="185"/>
        <v>0.33684210526315789</v>
      </c>
      <c r="AC410" s="16">
        <f t="shared" si="198"/>
        <v>68.844969824162703</v>
      </c>
      <c r="AD410" s="20">
        <f>'PFAS Properties'!$W$33</f>
        <v>7</v>
      </c>
      <c r="AE410" s="8">
        <f>'PFAS Properties'!$S$33</f>
        <v>2.6821450763738319</v>
      </c>
      <c r="AF410" s="15">
        <f>'PFAS Properties'!$V$33</f>
        <v>4.9000000000000004</v>
      </c>
      <c r="AG410" s="24">
        <v>7</v>
      </c>
      <c r="AH410" s="2" t="s">
        <v>661</v>
      </c>
      <c r="AI410" s="2" t="s">
        <v>661</v>
      </c>
      <c r="AJ410" s="2" t="s">
        <v>661</v>
      </c>
      <c r="AK410" s="2" t="s">
        <v>661</v>
      </c>
      <c r="AL410" s="2" t="s">
        <v>661</v>
      </c>
      <c r="AM410" s="2" t="s">
        <v>661</v>
      </c>
      <c r="AN410" s="2" t="s">
        <v>661</v>
      </c>
      <c r="AO410" s="2" t="s">
        <v>661</v>
      </c>
      <c r="AP410" s="59">
        <f>(26.31+26.59+27.81)/3</f>
        <v>26.903333333333332</v>
      </c>
      <c r="AQ410" s="16" t="s">
        <v>661</v>
      </c>
      <c r="AR410" s="71">
        <v>31.549399999999999</v>
      </c>
      <c r="AS410" s="71">
        <v>38.265099999999997</v>
      </c>
      <c r="AT410" s="71">
        <v>30.404799999999991</v>
      </c>
      <c r="AU410" s="70" t="s">
        <v>752</v>
      </c>
      <c r="AV410" s="16">
        <f t="shared" si="192"/>
        <v>100.21929999999999</v>
      </c>
      <c r="AW410" s="18">
        <f>(1.55+1.44+1.34)/3</f>
        <v>1.4433333333333334</v>
      </c>
      <c r="AX410" s="13">
        <f t="shared" si="199"/>
        <v>1.4433333333333333E-2</v>
      </c>
      <c r="AY410" s="8" t="s">
        <v>829</v>
      </c>
      <c r="AZ410" s="16">
        <f>5/0.01</f>
        <v>500</v>
      </c>
      <c r="BA410" s="16" t="s">
        <v>55</v>
      </c>
      <c r="BB410" s="16">
        <v>10</v>
      </c>
      <c r="BC410" s="16">
        <v>100</v>
      </c>
      <c r="BD410" s="18">
        <v>1.62</v>
      </c>
      <c r="BE410" s="15">
        <f t="shared" si="195"/>
        <v>112.24018475750579</v>
      </c>
      <c r="BF410" s="8">
        <f t="shared" si="186"/>
        <v>2.0501483729089278</v>
      </c>
      <c r="BG410" s="8">
        <f t="shared" si="196"/>
        <v>0.20951501454263097</v>
      </c>
      <c r="BH410" s="2" t="s">
        <v>837</v>
      </c>
      <c r="BI410" s="13"/>
      <c r="BJ410" s="13"/>
      <c r="BK410" s="13"/>
      <c r="BL410" s="13"/>
      <c r="BM410" s="17"/>
      <c r="BN410" s="17"/>
      <c r="BO410" s="2"/>
    </row>
    <row r="411" spans="1:67" s="14" customFormat="1" x14ac:dyDescent="0.3">
      <c r="A411" s="20">
        <v>409</v>
      </c>
      <c r="B411" s="2" t="s">
        <v>206</v>
      </c>
      <c r="C411" s="2">
        <v>2020</v>
      </c>
      <c r="D411" s="2" t="s">
        <v>201</v>
      </c>
      <c r="E411" s="10" t="s">
        <v>793</v>
      </c>
      <c r="F411" s="20" t="s">
        <v>29</v>
      </c>
      <c r="G411" s="2" t="s">
        <v>44</v>
      </c>
      <c r="H411" s="2" t="str">
        <f>'PFAS Properties'!$B$33</f>
        <v>PFOA</v>
      </c>
      <c r="I411" s="2" t="str">
        <f>'PFAS Properties'!$C$33</f>
        <v>PFCA</v>
      </c>
      <c r="J411" s="2" t="str">
        <f>'PFAS Properties'!$D$33</f>
        <v>C8HF15O2</v>
      </c>
      <c r="K411" s="25">
        <f>'PFAS Properties'!$P$33</f>
        <v>413.97359999999998</v>
      </c>
      <c r="L411" s="2">
        <f>'PFAS Properties'!$X$33</f>
        <v>-0.2</v>
      </c>
      <c r="M411" s="2" t="str">
        <f>'PFAS Properties'!$Y$33</f>
        <v>-</v>
      </c>
      <c r="N411" s="33">
        <v>0</v>
      </c>
      <c r="O411" s="33">
        <v>0</v>
      </c>
      <c r="P411" s="33">
        <v>0</v>
      </c>
      <c r="Q411" s="33">
        <f t="shared" si="200"/>
        <v>0.99999999000000006</v>
      </c>
      <c r="R411" s="33">
        <v>0</v>
      </c>
      <c r="S411" s="33">
        <f t="shared" si="201"/>
        <v>9.9999999000000002E-9</v>
      </c>
      <c r="T411" s="8">
        <f t="shared" si="180"/>
        <v>1</v>
      </c>
      <c r="U411" s="33">
        <f t="shared" si="181"/>
        <v>0</v>
      </c>
      <c r="V411" s="33">
        <f t="shared" si="182"/>
        <v>-0.99999999000000006</v>
      </c>
      <c r="W411" s="33">
        <f t="shared" si="183"/>
        <v>412.97360000999993</v>
      </c>
      <c r="X411" s="33">
        <v>96485</v>
      </c>
      <c r="Y411" s="16">
        <f t="shared" si="184"/>
        <v>-233.63478690360273</v>
      </c>
      <c r="Z411" s="16">
        <v>8</v>
      </c>
      <c r="AA411" s="16">
        <v>15</v>
      </c>
      <c r="AB411" s="8">
        <f t="shared" si="185"/>
        <v>0.33684210526315789</v>
      </c>
      <c r="AC411" s="16">
        <f t="shared" si="198"/>
        <v>68.844969824162703</v>
      </c>
      <c r="AD411" s="20">
        <f>'PFAS Properties'!$W$33</f>
        <v>7</v>
      </c>
      <c r="AE411" s="8">
        <f>'PFAS Properties'!$S$33</f>
        <v>2.6821450763738319</v>
      </c>
      <c r="AF411" s="15">
        <f>'PFAS Properties'!$V$33</f>
        <v>4.9000000000000004</v>
      </c>
      <c r="AG411" s="24">
        <v>7.8</v>
      </c>
      <c r="AH411" s="2" t="s">
        <v>661</v>
      </c>
      <c r="AI411" s="2" t="s">
        <v>661</v>
      </c>
      <c r="AJ411" s="2" t="s">
        <v>661</v>
      </c>
      <c r="AK411" s="2" t="s">
        <v>661</v>
      </c>
      <c r="AL411" s="2" t="s">
        <v>661</v>
      </c>
      <c r="AM411" s="2" t="s">
        <v>661</v>
      </c>
      <c r="AN411" s="2" t="s">
        <v>661</v>
      </c>
      <c r="AO411" s="2" t="s">
        <v>661</v>
      </c>
      <c r="AP411" s="72">
        <v>11.17476666666666</v>
      </c>
      <c r="AQ411" s="70" t="s">
        <v>752</v>
      </c>
      <c r="AR411" s="16">
        <v>47</v>
      </c>
      <c r="AS411" s="16">
        <v>38</v>
      </c>
      <c r="AT411" s="16">
        <v>15</v>
      </c>
      <c r="AU411" s="16" t="s">
        <v>661</v>
      </c>
      <c r="AV411" s="16">
        <f t="shared" si="192"/>
        <v>100</v>
      </c>
      <c r="AW411" s="18">
        <v>1.43</v>
      </c>
      <c r="AX411" s="13">
        <f t="shared" si="199"/>
        <v>1.43E-2</v>
      </c>
      <c r="AY411" s="8" t="s">
        <v>45</v>
      </c>
      <c r="AZ411" s="16">
        <f>5/0.025</f>
        <v>200</v>
      </c>
      <c r="BA411" s="16" t="s">
        <v>55</v>
      </c>
      <c r="BB411" s="16">
        <v>10</v>
      </c>
      <c r="BC411" s="16">
        <v>100</v>
      </c>
      <c r="BD411" s="18">
        <v>1.1599999999999999</v>
      </c>
      <c r="BE411" s="15">
        <f t="shared" si="195"/>
        <v>81.118881118881106</v>
      </c>
      <c r="BF411" s="8">
        <f t="shared" si="186"/>
        <v>1.9091219517618565</v>
      </c>
      <c r="BG411" s="8">
        <f t="shared" si="196"/>
        <v>6.445798922691845E-2</v>
      </c>
      <c r="BH411" s="2" t="s">
        <v>837</v>
      </c>
      <c r="BI411" s="8"/>
      <c r="BJ411" s="13"/>
      <c r="BK411" s="15"/>
      <c r="BL411" s="8"/>
      <c r="BM411" s="18"/>
      <c r="BN411" s="8"/>
      <c r="BO411" s="24"/>
    </row>
    <row r="412" spans="1:67" s="14" customFormat="1" x14ac:dyDescent="0.3">
      <c r="A412" s="20">
        <v>410</v>
      </c>
      <c r="B412" s="2" t="s">
        <v>242</v>
      </c>
      <c r="C412" s="2">
        <v>2018</v>
      </c>
      <c r="D412" s="2" t="s">
        <v>243</v>
      </c>
      <c r="E412" s="10" t="s">
        <v>788</v>
      </c>
      <c r="F412" s="20" t="s">
        <v>29</v>
      </c>
      <c r="G412" s="2" t="s">
        <v>129</v>
      </c>
      <c r="H412" s="2" t="str">
        <f>'PFAS Properties'!$B$33</f>
        <v>PFOA</v>
      </c>
      <c r="I412" s="2" t="str">
        <f>'PFAS Properties'!$C$33</f>
        <v>PFCA</v>
      </c>
      <c r="J412" s="2" t="str">
        <f>'PFAS Properties'!$D$33</f>
        <v>C8HF15O2</v>
      </c>
      <c r="K412" s="25">
        <f>'PFAS Properties'!$P$33</f>
        <v>413.97359999999998</v>
      </c>
      <c r="L412" s="2">
        <f>'PFAS Properties'!$X$33</f>
        <v>-0.2</v>
      </c>
      <c r="M412" s="2" t="str">
        <f>'PFAS Properties'!$Y$33</f>
        <v>-</v>
      </c>
      <c r="N412" s="33">
        <v>0</v>
      </c>
      <c r="O412" s="33">
        <v>0</v>
      </c>
      <c r="P412" s="33">
        <v>0</v>
      </c>
      <c r="Q412" s="33">
        <f t="shared" si="200"/>
        <v>0.99999785612693026</v>
      </c>
      <c r="R412" s="33">
        <v>0</v>
      </c>
      <c r="S412" s="33">
        <f t="shared" si="201"/>
        <v>2.1438730697719104E-6</v>
      </c>
      <c r="T412" s="8">
        <f t="shared" ref="T412:T475" si="202">SUM(N412:S412)</f>
        <v>1</v>
      </c>
      <c r="U412" s="33">
        <f t="shared" ref="U412:U475" si="203">((1*N412)+(1*O412)+(1*P412))</f>
        <v>0</v>
      </c>
      <c r="V412" s="33">
        <f t="shared" ref="V412:V475" si="204">-((1*O412)+(2*P412)+(1*Q412)+(2*R412))</f>
        <v>-0.99999785612693026</v>
      </c>
      <c r="W412" s="33">
        <f t="shared" ref="W412:W475" si="205">(N412*(K412+1))+(O412*K412)+(P412*(K412-1))+(Q412*(K412-1))+(R412*(K412-2))+(S412*K412)</f>
        <v>412.97360214387305</v>
      </c>
      <c r="X412" s="33">
        <v>96485</v>
      </c>
      <c r="Y412" s="16">
        <f t="shared" ref="Y412:Y475" si="206">((V412+U412)/W412)*X412</f>
        <v>-233.63428714940764</v>
      </c>
      <c r="Z412" s="16">
        <v>8</v>
      </c>
      <c r="AA412" s="16">
        <v>15</v>
      </c>
      <c r="AB412" s="8">
        <f t="shared" ref="AB412:AB475" si="207">(Z412/AA412)*(12/19)</f>
        <v>0.33684210526315789</v>
      </c>
      <c r="AC412" s="16">
        <f t="shared" si="198"/>
        <v>68.844969824162703</v>
      </c>
      <c r="AD412" s="20">
        <f>'PFAS Properties'!$W$33</f>
        <v>7</v>
      </c>
      <c r="AE412" s="8">
        <f>'PFAS Properties'!$S$33</f>
        <v>2.6821450763738319</v>
      </c>
      <c r="AF412" s="15">
        <f>'PFAS Properties'!$V$33</f>
        <v>4.9000000000000004</v>
      </c>
      <c r="AG412" s="124">
        <v>5.4687999999999999</v>
      </c>
      <c r="AH412" s="70" t="s">
        <v>752</v>
      </c>
      <c r="AI412" s="2" t="s">
        <v>661</v>
      </c>
      <c r="AJ412" s="2" t="s">
        <v>661</v>
      </c>
      <c r="AK412" s="2" t="s">
        <v>661</v>
      </c>
      <c r="AL412" s="2" t="s">
        <v>661</v>
      </c>
      <c r="AM412" s="2" t="s">
        <v>661</v>
      </c>
      <c r="AN412" s="2" t="s">
        <v>661</v>
      </c>
      <c r="AO412" s="2" t="s">
        <v>661</v>
      </c>
      <c r="AP412" s="72">
        <v>21.5806</v>
      </c>
      <c r="AQ412" s="70" t="s">
        <v>752</v>
      </c>
      <c r="AR412" s="71">
        <v>41.737499999999997</v>
      </c>
      <c r="AS412" s="71">
        <v>35.036999999999999</v>
      </c>
      <c r="AT412" s="71">
        <v>21.887</v>
      </c>
      <c r="AU412" s="70" t="s">
        <v>752</v>
      </c>
      <c r="AV412" s="16">
        <f t="shared" si="192"/>
        <v>98.66149999999999</v>
      </c>
      <c r="AW412" s="18">
        <v>46.9</v>
      </c>
      <c r="AX412" s="13">
        <f t="shared" si="199"/>
        <v>0.46899999999999997</v>
      </c>
      <c r="AY412" s="13" t="s">
        <v>344</v>
      </c>
      <c r="AZ412" s="15">
        <f>0.01/0.05</f>
        <v>0.19999999999999998</v>
      </c>
      <c r="BA412" s="16" t="s">
        <v>55</v>
      </c>
      <c r="BB412" s="15">
        <v>2</v>
      </c>
      <c r="BC412" s="16">
        <v>3500</v>
      </c>
      <c r="BD412" s="18">
        <f>10^1.85</f>
        <v>70.794578438413865</v>
      </c>
      <c r="BE412" s="16">
        <f t="shared" si="195"/>
        <v>150.94792844011485</v>
      </c>
      <c r="BF412" s="8">
        <f t="shared" ref="BF412:BF475" si="208">LOG(BE412)</f>
        <v>2.1788271572849172</v>
      </c>
      <c r="BG412" s="8">
        <f t="shared" si="196"/>
        <v>1.8500000000000005</v>
      </c>
      <c r="BH412" s="13" t="s">
        <v>346</v>
      </c>
      <c r="BI412" s="8"/>
      <c r="BJ412" s="13"/>
      <c r="BK412" s="15"/>
      <c r="BL412" s="16"/>
      <c r="BM412" s="18"/>
      <c r="BN412" s="8"/>
      <c r="BO412" s="24"/>
    </row>
    <row r="413" spans="1:67" s="14" customFormat="1" x14ac:dyDescent="0.3">
      <c r="A413" s="20">
        <v>411</v>
      </c>
      <c r="B413" s="2" t="s">
        <v>248</v>
      </c>
      <c r="C413" s="2">
        <v>2018</v>
      </c>
      <c r="D413" s="2" t="s">
        <v>245</v>
      </c>
      <c r="E413" s="10" t="s">
        <v>244</v>
      </c>
      <c r="F413" s="20" t="s">
        <v>29</v>
      </c>
      <c r="G413" s="2" t="s">
        <v>124</v>
      </c>
      <c r="H413" s="2" t="str">
        <f>'PFAS Properties'!$B$33</f>
        <v>PFOA</v>
      </c>
      <c r="I413" s="2" t="str">
        <f>'PFAS Properties'!$C$33</f>
        <v>PFCA</v>
      </c>
      <c r="J413" s="2" t="str">
        <f>'PFAS Properties'!$D$33</f>
        <v>C8HF15O2</v>
      </c>
      <c r="K413" s="25">
        <f>'PFAS Properties'!$P$33</f>
        <v>413.97359999999998</v>
      </c>
      <c r="L413" s="2">
        <f>'PFAS Properties'!$X$33</f>
        <v>-0.2</v>
      </c>
      <c r="M413" s="2" t="str">
        <f>'PFAS Properties'!$Y$33</f>
        <v>-</v>
      </c>
      <c r="N413" s="33">
        <v>0</v>
      </c>
      <c r="O413" s="33">
        <v>0</v>
      </c>
      <c r="P413" s="33">
        <v>0</v>
      </c>
      <c r="Q413" s="33">
        <f t="shared" si="200"/>
        <v>0.99999976011676561</v>
      </c>
      <c r="R413" s="33">
        <v>0</v>
      </c>
      <c r="S413" s="33">
        <f t="shared" si="201"/>
        <v>2.3988323435796854E-7</v>
      </c>
      <c r="T413" s="8">
        <f t="shared" si="202"/>
        <v>1</v>
      </c>
      <c r="U413" s="33">
        <f t="shared" si="203"/>
        <v>0</v>
      </c>
      <c r="V413" s="33">
        <f t="shared" si="204"/>
        <v>-0.99999976011676561</v>
      </c>
      <c r="W413" s="33">
        <f t="shared" si="205"/>
        <v>412.97360023988318</v>
      </c>
      <c r="X413" s="33">
        <v>96485</v>
      </c>
      <c r="Y413" s="16">
        <f t="shared" si="206"/>
        <v>-233.63473306482808</v>
      </c>
      <c r="Z413" s="16">
        <v>8</v>
      </c>
      <c r="AA413" s="16">
        <v>15</v>
      </c>
      <c r="AB413" s="8">
        <f t="shared" si="207"/>
        <v>0.33684210526315789</v>
      </c>
      <c r="AC413" s="16">
        <f t="shared" si="198"/>
        <v>68.844969824162703</v>
      </c>
      <c r="AD413" s="20">
        <f>'PFAS Properties'!$W$33</f>
        <v>7</v>
      </c>
      <c r="AE413" s="8">
        <f>'PFAS Properties'!$S$33</f>
        <v>2.6821450763738319</v>
      </c>
      <c r="AF413" s="15">
        <f>'PFAS Properties'!$V$33</f>
        <v>4.9000000000000004</v>
      </c>
      <c r="AG413" s="24">
        <v>6.42</v>
      </c>
      <c r="AH413" s="2" t="s">
        <v>661</v>
      </c>
      <c r="AI413" s="2" t="s">
        <v>661</v>
      </c>
      <c r="AJ413" s="2" t="s">
        <v>661</v>
      </c>
      <c r="AK413" s="2" t="s">
        <v>661</v>
      </c>
      <c r="AL413" s="2" t="s">
        <v>661</v>
      </c>
      <c r="AM413" s="2" t="s">
        <v>661</v>
      </c>
      <c r="AN413" s="2" t="s">
        <v>661</v>
      </c>
      <c r="AO413" s="2" t="s">
        <v>661</v>
      </c>
      <c r="AP413" s="15">
        <v>99</v>
      </c>
      <c r="AQ413" s="2" t="s">
        <v>661</v>
      </c>
      <c r="AR413" s="2">
        <f>31.9+29.6</f>
        <v>61.5</v>
      </c>
      <c r="AS413" s="2">
        <f>17.1+11</f>
        <v>28.1</v>
      </c>
      <c r="AT413" s="2">
        <v>8.6</v>
      </c>
      <c r="AU413" s="2" t="s">
        <v>661</v>
      </c>
      <c r="AV413" s="16">
        <f t="shared" si="192"/>
        <v>98.199999999999989</v>
      </c>
      <c r="AW413" s="18">
        <v>1.38</v>
      </c>
      <c r="AX413" s="13">
        <f t="shared" si="199"/>
        <v>1.38E-2</v>
      </c>
      <c r="AY413" s="8" t="s">
        <v>125</v>
      </c>
      <c r="AZ413" s="15">
        <f>1/0.02</f>
        <v>50</v>
      </c>
      <c r="BA413" s="15" t="s">
        <v>55</v>
      </c>
      <c r="BB413" s="16">
        <v>10</v>
      </c>
      <c r="BC413" s="16">
        <v>1000</v>
      </c>
      <c r="BD413" s="18">
        <v>8</v>
      </c>
      <c r="BE413" s="16">
        <f t="shared" si="195"/>
        <v>579.71014492753625</v>
      </c>
      <c r="BF413" s="8">
        <f t="shared" si="208"/>
        <v>2.7632109005907073</v>
      </c>
      <c r="BG413" s="8">
        <f t="shared" si="196"/>
        <v>0.90308998699194354</v>
      </c>
      <c r="BH413" s="2" t="s">
        <v>837</v>
      </c>
      <c r="BI413" s="13"/>
      <c r="BJ413" s="13"/>
      <c r="BK413" s="13"/>
      <c r="BL413" s="13"/>
      <c r="BM413" s="18"/>
      <c r="BN413" s="18"/>
      <c r="BO413" s="2"/>
    </row>
    <row r="414" spans="1:67" s="14" customFormat="1" x14ac:dyDescent="0.3">
      <c r="A414" s="20">
        <v>412</v>
      </c>
      <c r="B414" s="2" t="s">
        <v>247</v>
      </c>
      <c r="C414" s="2">
        <v>2011</v>
      </c>
      <c r="D414" s="2" t="s">
        <v>199</v>
      </c>
      <c r="E414" s="10" t="s">
        <v>246</v>
      </c>
      <c r="F414" s="20" t="s">
        <v>63</v>
      </c>
      <c r="G414" s="2" t="s">
        <v>126</v>
      </c>
      <c r="H414" s="2" t="str">
        <f>'PFAS Properties'!$B$33</f>
        <v>PFOA</v>
      </c>
      <c r="I414" s="2" t="str">
        <f>'PFAS Properties'!$C$33</f>
        <v>PFCA</v>
      </c>
      <c r="J414" s="2" t="str">
        <f>'PFAS Properties'!$D$33</f>
        <v>C8HF15O2</v>
      </c>
      <c r="K414" s="25">
        <f>'PFAS Properties'!$P$33</f>
        <v>413.97359999999998</v>
      </c>
      <c r="L414" s="2">
        <f>'PFAS Properties'!$X$33</f>
        <v>-0.2</v>
      </c>
      <c r="M414" s="2" t="str">
        <f>'PFAS Properties'!$Y$33</f>
        <v>-</v>
      </c>
      <c r="N414" s="33">
        <v>0</v>
      </c>
      <c r="O414" s="33">
        <v>0</v>
      </c>
      <c r="P414" s="33">
        <v>0</v>
      </c>
      <c r="Q414" s="33">
        <f t="shared" si="200"/>
        <v>0.99999986240585936</v>
      </c>
      <c r="R414" s="33">
        <v>0</v>
      </c>
      <c r="S414" s="33">
        <f t="shared" si="201"/>
        <v>1.3759414067418832E-7</v>
      </c>
      <c r="T414" s="8">
        <f t="shared" si="202"/>
        <v>1</v>
      </c>
      <c r="U414" s="33">
        <f t="shared" si="203"/>
        <v>0</v>
      </c>
      <c r="V414" s="33">
        <f t="shared" si="204"/>
        <v>-0.99999986240585936</v>
      </c>
      <c r="W414" s="33">
        <f t="shared" si="205"/>
        <v>412.97360013759413</v>
      </c>
      <c r="X414" s="33">
        <v>96485</v>
      </c>
      <c r="Y414" s="16">
        <f t="shared" si="206"/>
        <v>-233.63475702098768</v>
      </c>
      <c r="Z414" s="16">
        <v>8</v>
      </c>
      <c r="AA414" s="16">
        <v>15</v>
      </c>
      <c r="AB414" s="8">
        <f t="shared" si="207"/>
        <v>0.33684210526315789</v>
      </c>
      <c r="AC414" s="16">
        <f t="shared" si="198"/>
        <v>68.844969824162703</v>
      </c>
      <c r="AD414" s="20">
        <f>'PFAS Properties'!$W$33</f>
        <v>7</v>
      </c>
      <c r="AE414" s="8">
        <f>'PFAS Properties'!$S$33</f>
        <v>2.6821450763738319</v>
      </c>
      <c r="AF414" s="15">
        <f>'PFAS Properties'!$V$33</f>
        <v>4.9000000000000004</v>
      </c>
      <c r="AG414" s="124">
        <v>6.6614000000000004</v>
      </c>
      <c r="AH414" s="70" t="s">
        <v>752</v>
      </c>
      <c r="AI414" s="2" t="s">
        <v>661</v>
      </c>
      <c r="AJ414" s="2" t="s">
        <v>661</v>
      </c>
      <c r="AK414" s="2" t="s">
        <v>661</v>
      </c>
      <c r="AL414" s="2" t="s">
        <v>661</v>
      </c>
      <c r="AM414" s="2" t="s">
        <v>661</v>
      </c>
      <c r="AN414" s="2" t="s">
        <v>661</v>
      </c>
      <c r="AO414" s="2" t="s">
        <v>661</v>
      </c>
      <c r="AP414" s="72">
        <v>5.6683166666666667</v>
      </c>
      <c r="AQ414" s="70" t="s">
        <v>752</v>
      </c>
      <c r="AR414" s="16">
        <v>100</v>
      </c>
      <c r="AS414" s="16">
        <v>0</v>
      </c>
      <c r="AT414" s="16">
        <v>0</v>
      </c>
      <c r="AU414" s="16" t="s">
        <v>337</v>
      </c>
      <c r="AV414" s="16">
        <f t="shared" si="192"/>
        <v>100</v>
      </c>
      <c r="AW414" s="18">
        <v>0.03</v>
      </c>
      <c r="AX414" s="13">
        <f t="shared" si="199"/>
        <v>2.9999999999999997E-4</v>
      </c>
      <c r="AY414" s="13" t="s">
        <v>127</v>
      </c>
      <c r="AZ414" s="16">
        <v>20</v>
      </c>
      <c r="BA414" s="16" t="s">
        <v>55</v>
      </c>
      <c r="BB414" s="15">
        <v>1.4</v>
      </c>
      <c r="BC414" s="16">
        <v>143</v>
      </c>
      <c r="BD414" s="18">
        <v>5.73</v>
      </c>
      <c r="BE414" s="16">
        <f t="shared" si="195"/>
        <v>19100.000000000004</v>
      </c>
      <c r="BF414" s="8">
        <f t="shared" si="208"/>
        <v>4.2810333672477272</v>
      </c>
      <c r="BG414" s="8">
        <f t="shared" si="196"/>
        <v>0.75815462196739003</v>
      </c>
      <c r="BH414" s="13" t="s">
        <v>842</v>
      </c>
      <c r="BI414" s="13"/>
      <c r="BJ414" s="13"/>
      <c r="BK414" s="13"/>
      <c r="BL414" s="13"/>
      <c r="BM414" s="17"/>
      <c r="BN414" s="17"/>
      <c r="BO414" s="2"/>
    </row>
    <row r="415" spans="1:67" s="14" customFormat="1" x14ac:dyDescent="0.3">
      <c r="A415" s="20">
        <v>413</v>
      </c>
      <c r="B415" s="2" t="s">
        <v>249</v>
      </c>
      <c r="C415" s="2">
        <v>2012</v>
      </c>
      <c r="D415" s="2" t="s">
        <v>227</v>
      </c>
      <c r="E415" s="10" t="s">
        <v>250</v>
      </c>
      <c r="F415" s="20" t="s">
        <v>63</v>
      </c>
      <c r="G415" s="2" t="s">
        <v>131</v>
      </c>
      <c r="H415" s="2" t="str">
        <f>'PFAS Properties'!$B$33</f>
        <v>PFOA</v>
      </c>
      <c r="I415" s="2" t="str">
        <f>'PFAS Properties'!$C$33</f>
        <v>PFCA</v>
      </c>
      <c r="J415" s="2" t="str">
        <f>'PFAS Properties'!$D$33</f>
        <v>C8HF15O2</v>
      </c>
      <c r="K415" s="25">
        <f>'PFAS Properties'!$P$33</f>
        <v>413.97359999999998</v>
      </c>
      <c r="L415" s="2">
        <f>'PFAS Properties'!$X$33</f>
        <v>-0.2</v>
      </c>
      <c r="M415" s="2" t="str">
        <f>'PFAS Properties'!$Y$33</f>
        <v>-</v>
      </c>
      <c r="N415" s="33">
        <v>0</v>
      </c>
      <c r="O415" s="33">
        <v>0</v>
      </c>
      <c r="P415" s="33">
        <v>0</v>
      </c>
      <c r="Q415" s="33">
        <f t="shared" si="200"/>
        <v>0.99999997488113634</v>
      </c>
      <c r="R415" s="33">
        <v>0</v>
      </c>
      <c r="S415" s="33">
        <f t="shared" si="201"/>
        <v>2.5118863684138424E-8</v>
      </c>
      <c r="T415" s="8">
        <f t="shared" si="202"/>
        <v>1</v>
      </c>
      <c r="U415" s="33">
        <f t="shared" si="203"/>
        <v>0</v>
      </c>
      <c r="V415" s="33">
        <f t="shared" si="204"/>
        <v>-0.99999997488113634</v>
      </c>
      <c r="W415" s="33">
        <f t="shared" si="205"/>
        <v>412.97360002511886</v>
      </c>
      <c r="X415" s="33">
        <v>96485</v>
      </c>
      <c r="Y415" s="16">
        <f t="shared" si="206"/>
        <v>-233.63478336275685</v>
      </c>
      <c r="Z415" s="16">
        <v>8</v>
      </c>
      <c r="AA415" s="16">
        <v>15</v>
      </c>
      <c r="AB415" s="8">
        <f t="shared" si="207"/>
        <v>0.33684210526315789</v>
      </c>
      <c r="AC415" s="16">
        <f t="shared" si="198"/>
        <v>68.844969824162703</v>
      </c>
      <c r="AD415" s="20">
        <f>'PFAS Properties'!$W$33</f>
        <v>7</v>
      </c>
      <c r="AE415" s="8">
        <f>'PFAS Properties'!$S$33</f>
        <v>2.6821450763738319</v>
      </c>
      <c r="AF415" s="15">
        <f>'PFAS Properties'!$V$33</f>
        <v>4.9000000000000004</v>
      </c>
      <c r="AG415" s="24">
        <v>7.4</v>
      </c>
      <c r="AH415" s="2" t="s">
        <v>661</v>
      </c>
      <c r="AI415" s="2">
        <v>3.3</v>
      </c>
      <c r="AJ415" s="15">
        <f t="shared" ref="AJ415:AJ445" si="209">AI415*1000/55.845</f>
        <v>59.092130002686005</v>
      </c>
      <c r="AK415" s="15">
        <f t="shared" ref="AK415:AK455" si="210">AI415/10</f>
        <v>0.32999999999999996</v>
      </c>
      <c r="AL415" s="2" t="s">
        <v>661</v>
      </c>
      <c r="AM415" s="2" t="s">
        <v>661</v>
      </c>
      <c r="AN415" s="2" t="s">
        <v>661</v>
      </c>
      <c r="AO415" s="13" t="s">
        <v>93</v>
      </c>
      <c r="AP415" s="72">
        <v>11.74244166666667</v>
      </c>
      <c r="AQ415" s="70" t="s">
        <v>752</v>
      </c>
      <c r="AR415" s="16">
        <v>5.7</v>
      </c>
      <c r="AS415" s="16">
        <v>84.1</v>
      </c>
      <c r="AT415" s="16">
        <v>10.1</v>
      </c>
      <c r="AU415" s="2" t="s">
        <v>661</v>
      </c>
      <c r="AV415" s="16">
        <f t="shared" si="192"/>
        <v>99.899999999999991</v>
      </c>
      <c r="AW415" s="18">
        <v>0.28000000000000003</v>
      </c>
      <c r="AX415" s="13">
        <f t="shared" si="199"/>
        <v>2.8000000000000004E-3</v>
      </c>
      <c r="AY415" s="8" t="s">
        <v>132</v>
      </c>
      <c r="AZ415" s="16">
        <f t="shared" ref="AZ415:AZ420" si="211">0.2/0.01</f>
        <v>20</v>
      </c>
      <c r="BA415" s="16">
        <f t="shared" ref="BA415:BA420" si="212">2/0.01</f>
        <v>200</v>
      </c>
      <c r="BB415" s="16" t="s">
        <v>55</v>
      </c>
      <c r="BC415" s="12" t="s">
        <v>55</v>
      </c>
      <c r="BD415" s="18">
        <v>0.12</v>
      </c>
      <c r="BE415" s="16">
        <f t="shared" si="195"/>
        <v>42.857142857142847</v>
      </c>
      <c r="BF415" s="8">
        <f t="shared" si="208"/>
        <v>1.6320232147054055</v>
      </c>
      <c r="BG415" s="8">
        <f t="shared" si="196"/>
        <v>-0.92081875395237522</v>
      </c>
      <c r="BH415" s="2" t="s">
        <v>837</v>
      </c>
      <c r="BI415" s="2"/>
      <c r="BJ415" s="2"/>
      <c r="BK415" s="2"/>
      <c r="BL415" s="2"/>
      <c r="BM415" s="20"/>
      <c r="BN415" s="20"/>
      <c r="BO415" s="2"/>
    </row>
    <row r="416" spans="1:67" s="14" customFormat="1" x14ac:dyDescent="0.3">
      <c r="A416" s="20">
        <v>414</v>
      </c>
      <c r="B416" s="2" t="s">
        <v>249</v>
      </c>
      <c r="C416" s="2">
        <v>2012</v>
      </c>
      <c r="D416" s="2" t="s">
        <v>227</v>
      </c>
      <c r="E416" s="10" t="s">
        <v>250</v>
      </c>
      <c r="F416" s="20" t="s">
        <v>63</v>
      </c>
      <c r="G416" s="2" t="s">
        <v>133</v>
      </c>
      <c r="H416" s="2" t="str">
        <f>'PFAS Properties'!$B$33</f>
        <v>PFOA</v>
      </c>
      <c r="I416" s="2" t="str">
        <f>'PFAS Properties'!$C$33</f>
        <v>PFCA</v>
      </c>
      <c r="J416" s="2" t="str">
        <f>'PFAS Properties'!$D$33</f>
        <v>C8HF15O2</v>
      </c>
      <c r="K416" s="25">
        <f>'PFAS Properties'!$P$33</f>
        <v>413.97359999999998</v>
      </c>
      <c r="L416" s="2">
        <f>'PFAS Properties'!$X$33</f>
        <v>-0.2</v>
      </c>
      <c r="M416" s="2" t="str">
        <f>'PFAS Properties'!$Y$33</f>
        <v>-</v>
      </c>
      <c r="N416" s="33">
        <v>0</v>
      </c>
      <c r="O416" s="33">
        <v>0</v>
      </c>
      <c r="P416" s="33">
        <v>0</v>
      </c>
      <c r="Q416" s="33">
        <f t="shared" si="200"/>
        <v>0.99999997488113634</v>
      </c>
      <c r="R416" s="33">
        <v>0</v>
      </c>
      <c r="S416" s="33">
        <f t="shared" si="201"/>
        <v>2.5118863684138424E-8</v>
      </c>
      <c r="T416" s="8">
        <f t="shared" si="202"/>
        <v>1</v>
      </c>
      <c r="U416" s="33">
        <f t="shared" si="203"/>
        <v>0</v>
      </c>
      <c r="V416" s="33">
        <f t="shared" si="204"/>
        <v>-0.99999997488113634</v>
      </c>
      <c r="W416" s="33">
        <f t="shared" si="205"/>
        <v>412.97360002511886</v>
      </c>
      <c r="X416" s="33">
        <v>96485</v>
      </c>
      <c r="Y416" s="16">
        <f t="shared" si="206"/>
        <v>-233.63478336275685</v>
      </c>
      <c r="Z416" s="16">
        <v>8</v>
      </c>
      <c r="AA416" s="16">
        <v>15</v>
      </c>
      <c r="AB416" s="8">
        <f t="shared" si="207"/>
        <v>0.33684210526315789</v>
      </c>
      <c r="AC416" s="16">
        <f t="shared" si="198"/>
        <v>68.844969824162703</v>
      </c>
      <c r="AD416" s="20">
        <f>'PFAS Properties'!$W$33</f>
        <v>7</v>
      </c>
      <c r="AE416" s="8">
        <f>'PFAS Properties'!$S$33</f>
        <v>2.6821450763738319</v>
      </c>
      <c r="AF416" s="15">
        <f>'PFAS Properties'!$V$33</f>
        <v>4.9000000000000004</v>
      </c>
      <c r="AG416" s="24">
        <v>7.4</v>
      </c>
      <c r="AH416" s="2" t="s">
        <v>661</v>
      </c>
      <c r="AI416" s="2">
        <v>10.8</v>
      </c>
      <c r="AJ416" s="15">
        <f t="shared" si="209"/>
        <v>193.39242546333602</v>
      </c>
      <c r="AK416" s="15">
        <f t="shared" si="210"/>
        <v>1.08</v>
      </c>
      <c r="AL416" s="2" t="s">
        <v>661</v>
      </c>
      <c r="AM416" s="2" t="s">
        <v>661</v>
      </c>
      <c r="AN416" s="2" t="s">
        <v>661</v>
      </c>
      <c r="AO416" s="13" t="s">
        <v>93</v>
      </c>
      <c r="AP416" s="72">
        <v>12.994766666666671</v>
      </c>
      <c r="AQ416" s="70" t="s">
        <v>752</v>
      </c>
      <c r="AR416" s="16">
        <v>14.9</v>
      </c>
      <c r="AS416" s="16">
        <v>58.5</v>
      </c>
      <c r="AT416" s="16">
        <v>26.6</v>
      </c>
      <c r="AU416" s="2" t="s">
        <v>661</v>
      </c>
      <c r="AV416" s="16">
        <f t="shared" si="192"/>
        <v>100</v>
      </c>
      <c r="AW416" s="18">
        <v>0.65</v>
      </c>
      <c r="AX416" s="13">
        <f t="shared" si="199"/>
        <v>6.5000000000000006E-3</v>
      </c>
      <c r="AY416" s="8" t="s">
        <v>132</v>
      </c>
      <c r="AZ416" s="16">
        <f t="shared" si="211"/>
        <v>20</v>
      </c>
      <c r="BA416" s="16">
        <f t="shared" si="212"/>
        <v>200</v>
      </c>
      <c r="BB416" s="16" t="s">
        <v>55</v>
      </c>
      <c r="BC416" s="12" t="s">
        <v>55</v>
      </c>
      <c r="BD416" s="18">
        <v>0.17</v>
      </c>
      <c r="BE416" s="16">
        <f t="shared" si="195"/>
        <v>26.153846153846153</v>
      </c>
      <c r="BF416" s="8">
        <f t="shared" si="208"/>
        <v>1.4175355647354184</v>
      </c>
      <c r="BG416" s="8">
        <f t="shared" si="196"/>
        <v>-0.769551078621726</v>
      </c>
      <c r="BH416" s="2" t="s">
        <v>837</v>
      </c>
      <c r="BI416" s="2"/>
      <c r="BJ416" s="2"/>
      <c r="BK416" s="2"/>
      <c r="BL416" s="2"/>
      <c r="BM416" s="20"/>
      <c r="BN416" s="20"/>
      <c r="BO416" s="2"/>
    </row>
    <row r="417" spans="1:67" s="14" customFormat="1" x14ac:dyDescent="0.3">
      <c r="A417" s="20">
        <v>415</v>
      </c>
      <c r="B417" s="2" t="s">
        <v>249</v>
      </c>
      <c r="C417" s="2">
        <v>2012</v>
      </c>
      <c r="D417" s="2" t="s">
        <v>227</v>
      </c>
      <c r="E417" s="10" t="s">
        <v>250</v>
      </c>
      <c r="F417" s="20" t="s">
        <v>63</v>
      </c>
      <c r="G417" s="2" t="s">
        <v>134</v>
      </c>
      <c r="H417" s="2" t="str">
        <f>'PFAS Properties'!$B$33</f>
        <v>PFOA</v>
      </c>
      <c r="I417" s="2" t="str">
        <f>'PFAS Properties'!$C$33</f>
        <v>PFCA</v>
      </c>
      <c r="J417" s="2" t="str">
        <f>'PFAS Properties'!$D$33</f>
        <v>C8HF15O2</v>
      </c>
      <c r="K417" s="25">
        <f>'PFAS Properties'!$P$33</f>
        <v>413.97359999999998</v>
      </c>
      <c r="L417" s="2">
        <f>'PFAS Properties'!$X$33</f>
        <v>-0.2</v>
      </c>
      <c r="M417" s="2" t="str">
        <f>'PFAS Properties'!$Y$33</f>
        <v>-</v>
      </c>
      <c r="N417" s="33">
        <v>0</v>
      </c>
      <c r="O417" s="33">
        <v>0</v>
      </c>
      <c r="P417" s="33">
        <v>0</v>
      </c>
      <c r="Q417" s="33">
        <f t="shared" si="200"/>
        <v>0.99999997488113634</v>
      </c>
      <c r="R417" s="33">
        <v>0</v>
      </c>
      <c r="S417" s="33">
        <f t="shared" si="201"/>
        <v>2.5118863684138424E-8</v>
      </c>
      <c r="T417" s="8">
        <f t="shared" si="202"/>
        <v>1</v>
      </c>
      <c r="U417" s="33">
        <f t="shared" si="203"/>
        <v>0</v>
      </c>
      <c r="V417" s="33">
        <f t="shared" si="204"/>
        <v>-0.99999997488113634</v>
      </c>
      <c r="W417" s="33">
        <f t="shared" si="205"/>
        <v>412.97360002511886</v>
      </c>
      <c r="X417" s="33">
        <v>96485</v>
      </c>
      <c r="Y417" s="16">
        <f t="shared" si="206"/>
        <v>-233.63478336275685</v>
      </c>
      <c r="Z417" s="16">
        <v>8</v>
      </c>
      <c r="AA417" s="16">
        <v>15</v>
      </c>
      <c r="AB417" s="8">
        <f t="shared" si="207"/>
        <v>0.33684210526315789</v>
      </c>
      <c r="AC417" s="16">
        <f t="shared" si="198"/>
        <v>68.844969824162703</v>
      </c>
      <c r="AD417" s="20">
        <f>'PFAS Properties'!$W$33</f>
        <v>7</v>
      </c>
      <c r="AE417" s="8">
        <f>'PFAS Properties'!$S$33</f>
        <v>2.6821450763738319</v>
      </c>
      <c r="AF417" s="15">
        <f>'PFAS Properties'!$V$33</f>
        <v>4.9000000000000004</v>
      </c>
      <c r="AG417" s="24">
        <v>7.4</v>
      </c>
      <c r="AH417" s="2" t="s">
        <v>661</v>
      </c>
      <c r="AI417" s="2">
        <v>16.100000000000001</v>
      </c>
      <c r="AJ417" s="15">
        <f t="shared" si="209"/>
        <v>288.29796758886209</v>
      </c>
      <c r="AK417" s="15">
        <f t="shared" si="210"/>
        <v>1.61</v>
      </c>
      <c r="AL417" s="2" t="s">
        <v>661</v>
      </c>
      <c r="AM417" s="2" t="s">
        <v>661</v>
      </c>
      <c r="AN417" s="2" t="s">
        <v>661</v>
      </c>
      <c r="AO417" s="13" t="s">
        <v>93</v>
      </c>
      <c r="AP417" s="72">
        <v>11.134266666666671</v>
      </c>
      <c r="AQ417" s="70" t="s">
        <v>752</v>
      </c>
      <c r="AR417" s="16">
        <v>17.600000000000001</v>
      </c>
      <c r="AS417" s="16">
        <v>78.3</v>
      </c>
      <c r="AT417" s="16">
        <v>4.2</v>
      </c>
      <c r="AU417" s="2" t="s">
        <v>661</v>
      </c>
      <c r="AV417" s="16">
        <f t="shared" si="192"/>
        <v>100.10000000000001</v>
      </c>
      <c r="AW417" s="18">
        <v>0.7</v>
      </c>
      <c r="AX417" s="13">
        <f t="shared" si="199"/>
        <v>6.9999999999999993E-3</v>
      </c>
      <c r="AY417" s="8" t="s">
        <v>132</v>
      </c>
      <c r="AZ417" s="16">
        <f t="shared" si="211"/>
        <v>20</v>
      </c>
      <c r="BA417" s="16">
        <f t="shared" si="212"/>
        <v>200</v>
      </c>
      <c r="BB417" s="16" t="s">
        <v>55</v>
      </c>
      <c r="BC417" s="12" t="s">
        <v>55</v>
      </c>
      <c r="BD417" s="18">
        <v>0.13</v>
      </c>
      <c r="BE417" s="16">
        <f t="shared" si="195"/>
        <v>18.571428571428573</v>
      </c>
      <c r="BF417" s="8">
        <f t="shared" si="208"/>
        <v>1.26884531229258</v>
      </c>
      <c r="BG417" s="8">
        <f t="shared" si="196"/>
        <v>-0.88605664769316317</v>
      </c>
      <c r="BH417" s="2" t="s">
        <v>837</v>
      </c>
      <c r="BI417" s="2"/>
      <c r="BJ417" s="2"/>
      <c r="BK417" s="2"/>
      <c r="BL417" s="2"/>
      <c r="BM417" s="20"/>
      <c r="BN417" s="20"/>
      <c r="BO417" s="2"/>
    </row>
    <row r="418" spans="1:67" s="14" customFormat="1" x14ac:dyDescent="0.3">
      <c r="A418" s="20">
        <v>416</v>
      </c>
      <c r="B418" s="2" t="s">
        <v>249</v>
      </c>
      <c r="C418" s="2">
        <v>2012</v>
      </c>
      <c r="D418" s="2" t="s">
        <v>227</v>
      </c>
      <c r="E418" s="10" t="s">
        <v>250</v>
      </c>
      <c r="F418" s="20" t="s">
        <v>63</v>
      </c>
      <c r="G418" s="2" t="s">
        <v>135</v>
      </c>
      <c r="H418" s="2" t="str">
        <f>'PFAS Properties'!$B$33</f>
        <v>PFOA</v>
      </c>
      <c r="I418" s="2" t="str">
        <f>'PFAS Properties'!$C$33</f>
        <v>PFCA</v>
      </c>
      <c r="J418" s="2" t="str">
        <f>'PFAS Properties'!$D$33</f>
        <v>C8HF15O2</v>
      </c>
      <c r="K418" s="25">
        <f>'PFAS Properties'!$P$33</f>
        <v>413.97359999999998</v>
      </c>
      <c r="L418" s="2">
        <f>'PFAS Properties'!$X$33</f>
        <v>-0.2</v>
      </c>
      <c r="M418" s="2" t="str">
        <f>'PFAS Properties'!$Y$33</f>
        <v>-</v>
      </c>
      <c r="N418" s="33">
        <v>0</v>
      </c>
      <c r="O418" s="33">
        <v>0</v>
      </c>
      <c r="P418" s="33">
        <v>0</v>
      </c>
      <c r="Q418" s="33">
        <f t="shared" si="200"/>
        <v>0.99999996837722438</v>
      </c>
      <c r="R418" s="33">
        <v>0</v>
      </c>
      <c r="S418" s="33">
        <f t="shared" si="201"/>
        <v>3.1622775601683729E-8</v>
      </c>
      <c r="T418" s="8">
        <f t="shared" si="202"/>
        <v>1</v>
      </c>
      <c r="U418" s="33">
        <f t="shared" si="203"/>
        <v>0</v>
      </c>
      <c r="V418" s="33">
        <f t="shared" si="204"/>
        <v>-0.99999996837722438</v>
      </c>
      <c r="W418" s="33">
        <f t="shared" si="205"/>
        <v>412.97360003162271</v>
      </c>
      <c r="X418" s="33">
        <v>96485</v>
      </c>
      <c r="Y418" s="16">
        <f t="shared" si="206"/>
        <v>-233.63478183953725</v>
      </c>
      <c r="Z418" s="16">
        <v>8</v>
      </c>
      <c r="AA418" s="16">
        <v>15</v>
      </c>
      <c r="AB418" s="8">
        <f t="shared" si="207"/>
        <v>0.33684210526315789</v>
      </c>
      <c r="AC418" s="16">
        <f t="shared" si="198"/>
        <v>68.844969824162703</v>
      </c>
      <c r="AD418" s="20">
        <f>'PFAS Properties'!$W$33</f>
        <v>7</v>
      </c>
      <c r="AE418" s="8">
        <f>'PFAS Properties'!$S$33</f>
        <v>2.6821450763738319</v>
      </c>
      <c r="AF418" s="15">
        <f>'PFAS Properties'!$V$33</f>
        <v>4.9000000000000004</v>
      </c>
      <c r="AG418" s="24">
        <v>7.3</v>
      </c>
      <c r="AH418" s="2" t="s">
        <v>661</v>
      </c>
      <c r="AI418" s="2">
        <v>8.6</v>
      </c>
      <c r="AJ418" s="15">
        <f t="shared" si="209"/>
        <v>153.99767212821203</v>
      </c>
      <c r="AK418" s="15">
        <f t="shared" si="210"/>
        <v>0.86</v>
      </c>
      <c r="AL418" s="2" t="s">
        <v>661</v>
      </c>
      <c r="AM418" s="2" t="s">
        <v>661</v>
      </c>
      <c r="AN418" s="2" t="s">
        <v>661</v>
      </c>
      <c r="AO418" s="13" t="s">
        <v>93</v>
      </c>
      <c r="AP418" s="72">
        <v>11.550541666666669</v>
      </c>
      <c r="AQ418" s="70" t="s">
        <v>752</v>
      </c>
      <c r="AR418" s="16">
        <v>13.6</v>
      </c>
      <c r="AS418" s="16">
        <v>79.2</v>
      </c>
      <c r="AT418" s="16">
        <v>7.2</v>
      </c>
      <c r="AU418" s="2" t="s">
        <v>661</v>
      </c>
      <c r="AV418" s="16">
        <f t="shared" si="192"/>
        <v>100</v>
      </c>
      <c r="AW418" s="18">
        <v>0.75</v>
      </c>
      <c r="AX418" s="13">
        <f t="shared" si="199"/>
        <v>7.4999999999999997E-3</v>
      </c>
      <c r="AY418" s="8" t="s">
        <v>132</v>
      </c>
      <c r="AZ418" s="16">
        <f t="shared" si="211"/>
        <v>20</v>
      </c>
      <c r="BA418" s="16">
        <f t="shared" si="212"/>
        <v>200</v>
      </c>
      <c r="BB418" s="16" t="s">
        <v>55</v>
      </c>
      <c r="BC418" s="12" t="s">
        <v>55</v>
      </c>
      <c r="BD418" s="18">
        <v>0.15</v>
      </c>
      <c r="BE418" s="16">
        <f t="shared" si="195"/>
        <v>20</v>
      </c>
      <c r="BF418" s="8">
        <f t="shared" si="208"/>
        <v>1.3010299956639813</v>
      </c>
      <c r="BG418" s="8">
        <f t="shared" si="196"/>
        <v>-0.82390874094431876</v>
      </c>
      <c r="BH418" s="2" t="s">
        <v>837</v>
      </c>
      <c r="BI418" s="2"/>
      <c r="BJ418" s="2"/>
      <c r="BK418" s="2"/>
      <c r="BL418" s="2"/>
      <c r="BM418" s="20"/>
      <c r="BN418" s="20"/>
      <c r="BO418" s="2"/>
    </row>
    <row r="419" spans="1:67" s="14" customFormat="1" x14ac:dyDescent="0.3">
      <c r="A419" s="20">
        <v>417</v>
      </c>
      <c r="B419" s="2" t="s">
        <v>249</v>
      </c>
      <c r="C419" s="2">
        <v>2012</v>
      </c>
      <c r="D419" s="2" t="s">
        <v>227</v>
      </c>
      <c r="E419" s="10" t="s">
        <v>250</v>
      </c>
      <c r="F419" s="20" t="s">
        <v>63</v>
      </c>
      <c r="G419" s="2" t="s">
        <v>136</v>
      </c>
      <c r="H419" s="2" t="str">
        <f>'PFAS Properties'!$B$33</f>
        <v>PFOA</v>
      </c>
      <c r="I419" s="2" t="str">
        <f>'PFAS Properties'!$C$33</f>
        <v>PFCA</v>
      </c>
      <c r="J419" s="2" t="str">
        <f>'PFAS Properties'!$D$33</f>
        <v>C8HF15O2</v>
      </c>
      <c r="K419" s="25">
        <f>'PFAS Properties'!$P$33</f>
        <v>413.97359999999998</v>
      </c>
      <c r="L419" s="2">
        <f>'PFAS Properties'!$X$33</f>
        <v>-0.2</v>
      </c>
      <c r="M419" s="2" t="str">
        <f>'PFAS Properties'!$Y$33</f>
        <v>-</v>
      </c>
      <c r="N419" s="33">
        <v>0</v>
      </c>
      <c r="O419" s="33">
        <v>0</v>
      </c>
      <c r="P419" s="33">
        <v>0</v>
      </c>
      <c r="Q419" s="33">
        <f t="shared" si="200"/>
        <v>0.99999996837722438</v>
      </c>
      <c r="R419" s="33">
        <v>0</v>
      </c>
      <c r="S419" s="33">
        <f t="shared" si="201"/>
        <v>3.1622775601683729E-8</v>
      </c>
      <c r="T419" s="8">
        <f t="shared" si="202"/>
        <v>1</v>
      </c>
      <c r="U419" s="33">
        <f t="shared" si="203"/>
        <v>0</v>
      </c>
      <c r="V419" s="33">
        <f t="shared" si="204"/>
        <v>-0.99999996837722438</v>
      </c>
      <c r="W419" s="33">
        <f t="shared" si="205"/>
        <v>412.97360003162271</v>
      </c>
      <c r="X419" s="33">
        <v>96485</v>
      </c>
      <c r="Y419" s="16">
        <f t="shared" si="206"/>
        <v>-233.63478183953725</v>
      </c>
      <c r="Z419" s="16">
        <v>8</v>
      </c>
      <c r="AA419" s="16">
        <v>15</v>
      </c>
      <c r="AB419" s="8">
        <f t="shared" si="207"/>
        <v>0.33684210526315789</v>
      </c>
      <c r="AC419" s="16">
        <f t="shared" si="198"/>
        <v>68.844969824162703</v>
      </c>
      <c r="AD419" s="20">
        <f>'PFAS Properties'!$W$33</f>
        <v>7</v>
      </c>
      <c r="AE419" s="8">
        <f>'PFAS Properties'!$S$33</f>
        <v>2.6821450763738319</v>
      </c>
      <c r="AF419" s="15">
        <f>'PFAS Properties'!$V$33</f>
        <v>4.9000000000000004</v>
      </c>
      <c r="AG419" s="24">
        <v>7.3</v>
      </c>
      <c r="AH419" s="2" t="s">
        <v>661</v>
      </c>
      <c r="AI419" s="2">
        <v>4.5999999999999996</v>
      </c>
      <c r="AJ419" s="15">
        <f t="shared" si="209"/>
        <v>82.370847882532004</v>
      </c>
      <c r="AK419" s="15">
        <f t="shared" si="210"/>
        <v>0.45999999999999996</v>
      </c>
      <c r="AL419" s="2" t="s">
        <v>661</v>
      </c>
      <c r="AM419" s="2" t="s">
        <v>661</v>
      </c>
      <c r="AN419" s="2" t="s">
        <v>661</v>
      </c>
      <c r="AO419" s="13" t="s">
        <v>93</v>
      </c>
      <c r="AP419" s="72">
        <v>12.462391666666671</v>
      </c>
      <c r="AQ419" s="70" t="s">
        <v>752</v>
      </c>
      <c r="AR419" s="16">
        <v>10</v>
      </c>
      <c r="AS419" s="16">
        <v>71.7</v>
      </c>
      <c r="AT419" s="16">
        <v>18.399999999999999</v>
      </c>
      <c r="AU419" s="2" t="s">
        <v>661</v>
      </c>
      <c r="AV419" s="16">
        <f t="shared" si="192"/>
        <v>100.1</v>
      </c>
      <c r="AW419" s="18">
        <v>0.94</v>
      </c>
      <c r="AX419" s="13">
        <f t="shared" si="199"/>
        <v>9.3999999999999986E-3</v>
      </c>
      <c r="AY419" s="8" t="s">
        <v>132</v>
      </c>
      <c r="AZ419" s="16">
        <f t="shared" si="211"/>
        <v>20</v>
      </c>
      <c r="BA419" s="16">
        <f t="shared" si="212"/>
        <v>200</v>
      </c>
      <c r="BB419" s="16" t="s">
        <v>55</v>
      </c>
      <c r="BC419" s="12" t="s">
        <v>55</v>
      </c>
      <c r="BD419" s="18">
        <v>0.24</v>
      </c>
      <c r="BE419" s="16">
        <f t="shared" si="195"/>
        <v>25.531914893617024</v>
      </c>
      <c r="BF419" s="8">
        <f t="shared" si="208"/>
        <v>1.4070833881119074</v>
      </c>
      <c r="BG419" s="8">
        <f t="shared" si="196"/>
        <v>-0.61978875828839397</v>
      </c>
      <c r="BH419" s="2" t="s">
        <v>837</v>
      </c>
      <c r="BI419" s="2"/>
      <c r="BJ419" s="2"/>
      <c r="BK419" s="2"/>
      <c r="BL419" s="2"/>
      <c r="BM419" s="20"/>
      <c r="BN419" s="20"/>
      <c r="BO419" s="2"/>
    </row>
    <row r="420" spans="1:67" s="14" customFormat="1" x14ac:dyDescent="0.3">
      <c r="A420" s="20">
        <v>418</v>
      </c>
      <c r="B420" s="2" t="s">
        <v>249</v>
      </c>
      <c r="C420" s="2">
        <v>2012</v>
      </c>
      <c r="D420" s="2" t="s">
        <v>227</v>
      </c>
      <c r="E420" s="10" t="s">
        <v>250</v>
      </c>
      <c r="F420" s="20" t="s">
        <v>63</v>
      </c>
      <c r="G420" s="2" t="s">
        <v>137</v>
      </c>
      <c r="H420" s="2" t="str">
        <f>'PFAS Properties'!$B$33</f>
        <v>PFOA</v>
      </c>
      <c r="I420" s="2" t="str">
        <f>'PFAS Properties'!$C$33</f>
        <v>PFCA</v>
      </c>
      <c r="J420" s="2" t="str">
        <f>'PFAS Properties'!$D$33</f>
        <v>C8HF15O2</v>
      </c>
      <c r="K420" s="25">
        <f>'PFAS Properties'!$P$33</f>
        <v>413.97359999999998</v>
      </c>
      <c r="L420" s="2">
        <f>'PFAS Properties'!$X$33</f>
        <v>-0.2</v>
      </c>
      <c r="M420" s="2" t="str">
        <f>'PFAS Properties'!$Y$33</f>
        <v>-</v>
      </c>
      <c r="N420" s="33">
        <v>0</v>
      </c>
      <c r="O420" s="33">
        <v>0</v>
      </c>
      <c r="P420" s="33">
        <v>0</v>
      </c>
      <c r="Q420" s="33">
        <f t="shared" si="200"/>
        <v>0.99999996837722438</v>
      </c>
      <c r="R420" s="33">
        <v>0</v>
      </c>
      <c r="S420" s="33">
        <f t="shared" si="201"/>
        <v>3.1622775601683729E-8</v>
      </c>
      <c r="T420" s="8">
        <f t="shared" si="202"/>
        <v>1</v>
      </c>
      <c r="U420" s="33">
        <f t="shared" si="203"/>
        <v>0</v>
      </c>
      <c r="V420" s="33">
        <f t="shared" si="204"/>
        <v>-0.99999996837722438</v>
      </c>
      <c r="W420" s="33">
        <f t="shared" si="205"/>
        <v>412.97360003162271</v>
      </c>
      <c r="X420" s="33">
        <v>96485</v>
      </c>
      <c r="Y420" s="16">
        <f t="shared" si="206"/>
        <v>-233.63478183953725</v>
      </c>
      <c r="Z420" s="16">
        <v>8</v>
      </c>
      <c r="AA420" s="16">
        <v>15</v>
      </c>
      <c r="AB420" s="8">
        <f t="shared" si="207"/>
        <v>0.33684210526315789</v>
      </c>
      <c r="AC420" s="16">
        <f t="shared" si="198"/>
        <v>68.844969824162703</v>
      </c>
      <c r="AD420" s="20">
        <f>'PFAS Properties'!$W$33</f>
        <v>7</v>
      </c>
      <c r="AE420" s="8">
        <f>'PFAS Properties'!$S$33</f>
        <v>2.6821450763738319</v>
      </c>
      <c r="AF420" s="15">
        <f>'PFAS Properties'!$V$33</f>
        <v>4.9000000000000004</v>
      </c>
      <c r="AG420" s="24">
        <v>7.3</v>
      </c>
      <c r="AH420" s="2" t="s">
        <v>661</v>
      </c>
      <c r="AI420" s="2">
        <v>11.4</v>
      </c>
      <c r="AJ420" s="15">
        <f t="shared" si="209"/>
        <v>204.13644910018803</v>
      </c>
      <c r="AK420" s="15">
        <f t="shared" si="210"/>
        <v>1.1400000000000001</v>
      </c>
      <c r="AL420" s="2" t="s">
        <v>661</v>
      </c>
      <c r="AM420" s="2" t="s">
        <v>661</v>
      </c>
      <c r="AN420" s="2" t="s">
        <v>661</v>
      </c>
      <c r="AO420" s="13" t="s">
        <v>93</v>
      </c>
      <c r="AP420" s="72">
        <v>12.535391666666669</v>
      </c>
      <c r="AQ420" s="70" t="s">
        <v>752</v>
      </c>
      <c r="AR420" s="16">
        <v>4.0999999999999996</v>
      </c>
      <c r="AS420" s="16">
        <v>84.1</v>
      </c>
      <c r="AT420" s="16">
        <v>17.899999999999999</v>
      </c>
      <c r="AU420" s="2" t="s">
        <v>661</v>
      </c>
      <c r="AV420" s="16">
        <f t="shared" si="192"/>
        <v>106.1</v>
      </c>
      <c r="AW420" s="18">
        <v>0.96</v>
      </c>
      <c r="AX420" s="13">
        <f t="shared" si="199"/>
        <v>9.5999999999999992E-3</v>
      </c>
      <c r="AY420" s="8" t="s">
        <v>132</v>
      </c>
      <c r="AZ420" s="16">
        <f t="shared" si="211"/>
        <v>20</v>
      </c>
      <c r="BA420" s="16">
        <f t="shared" si="212"/>
        <v>200</v>
      </c>
      <c r="BB420" s="16" t="s">
        <v>55</v>
      </c>
      <c r="BC420" s="12" t="s">
        <v>55</v>
      </c>
      <c r="BD420" s="18">
        <v>0.19</v>
      </c>
      <c r="BE420" s="16">
        <f t="shared" si="195"/>
        <v>19.791666666666668</v>
      </c>
      <c r="BF420" s="8">
        <f t="shared" si="208"/>
        <v>1.2964823679132607</v>
      </c>
      <c r="BG420" s="8">
        <f t="shared" si="196"/>
        <v>-0.72124639904717103</v>
      </c>
      <c r="BH420" s="2" t="s">
        <v>837</v>
      </c>
      <c r="BI420" s="2"/>
      <c r="BJ420" s="2"/>
      <c r="BK420" s="2"/>
      <c r="BL420" s="2"/>
      <c r="BM420" s="20"/>
      <c r="BN420" s="20"/>
      <c r="BO420" s="2"/>
    </row>
    <row r="421" spans="1:67" s="14" customFormat="1" x14ac:dyDescent="0.3">
      <c r="A421" s="20">
        <v>419</v>
      </c>
      <c r="B421" s="2" t="s">
        <v>219</v>
      </c>
      <c r="C421" s="2">
        <v>2020</v>
      </c>
      <c r="D421" s="2" t="s">
        <v>205</v>
      </c>
      <c r="E421" s="22" t="s">
        <v>802</v>
      </c>
      <c r="F421" s="20" t="s">
        <v>29</v>
      </c>
      <c r="G421" s="2">
        <v>1</v>
      </c>
      <c r="H421" s="2" t="str">
        <f>'PFAS Properties'!$B$33</f>
        <v>PFOA</v>
      </c>
      <c r="I421" s="2" t="str">
        <f>'PFAS Properties'!$C$33</f>
        <v>PFCA</v>
      </c>
      <c r="J421" s="2" t="str">
        <f>'PFAS Properties'!$D$33</f>
        <v>C8HF15O2</v>
      </c>
      <c r="K421" s="25">
        <f>'PFAS Properties'!$P$33</f>
        <v>413.97359999999998</v>
      </c>
      <c r="L421" s="2">
        <f>'PFAS Properties'!$X$33</f>
        <v>-0.2</v>
      </c>
      <c r="M421" s="2" t="str">
        <f>'PFAS Properties'!$Y$33</f>
        <v>-</v>
      </c>
      <c r="N421" s="33">
        <v>0</v>
      </c>
      <c r="O421" s="33">
        <v>0</v>
      </c>
      <c r="P421" s="33">
        <v>0</v>
      </c>
      <c r="Q421" s="33">
        <f t="shared" si="200"/>
        <v>0.99999984151070587</v>
      </c>
      <c r="R421" s="33">
        <v>0</v>
      </c>
      <c r="S421" s="33">
        <f t="shared" si="201"/>
        <v>1.5848929412725089E-7</v>
      </c>
      <c r="T421" s="8">
        <f t="shared" si="202"/>
        <v>1</v>
      </c>
      <c r="U421" s="33">
        <f t="shared" si="203"/>
        <v>0</v>
      </c>
      <c r="V421" s="33">
        <f t="shared" si="204"/>
        <v>-0.99999984151070587</v>
      </c>
      <c r="W421" s="33">
        <f t="shared" si="205"/>
        <v>412.97360015848926</v>
      </c>
      <c r="X421" s="33">
        <v>96485</v>
      </c>
      <c r="Y421" s="16">
        <f t="shared" si="206"/>
        <v>-233.63475212733178</v>
      </c>
      <c r="Z421" s="16">
        <v>8</v>
      </c>
      <c r="AA421" s="16">
        <v>15</v>
      </c>
      <c r="AB421" s="8">
        <f t="shared" si="207"/>
        <v>0.33684210526315789</v>
      </c>
      <c r="AC421" s="16">
        <f t="shared" si="198"/>
        <v>68.844969824162703</v>
      </c>
      <c r="AD421" s="20">
        <f>'PFAS Properties'!$W$33</f>
        <v>7</v>
      </c>
      <c r="AE421" s="8">
        <f>'PFAS Properties'!$S$33</f>
        <v>2.6821450763738319</v>
      </c>
      <c r="AF421" s="15">
        <f>'PFAS Properties'!$V$33</f>
        <v>4.9000000000000004</v>
      </c>
      <c r="AG421" s="24">
        <v>6.6</v>
      </c>
      <c r="AH421" s="2" t="s">
        <v>85</v>
      </c>
      <c r="AI421" s="2">
        <v>4.17</v>
      </c>
      <c r="AJ421" s="15">
        <f t="shared" si="209"/>
        <v>74.67096427612141</v>
      </c>
      <c r="AK421" s="8">
        <f t="shared" si="210"/>
        <v>0.41699999999999998</v>
      </c>
      <c r="AL421" s="2">
        <v>2.58</v>
      </c>
      <c r="AM421" s="15">
        <f t="shared" ref="AM421:AM445" si="213">AL421*1000/26.98</f>
        <v>95.626389918458116</v>
      </c>
      <c r="AN421" s="8">
        <f t="shared" ref="AN421:AN455" si="214">AL421/10</f>
        <v>0.25800000000000001</v>
      </c>
      <c r="AO421" s="15" t="s">
        <v>86</v>
      </c>
      <c r="AP421" s="15">
        <v>10</v>
      </c>
      <c r="AQ421" s="15" t="s">
        <v>661</v>
      </c>
      <c r="AR421" s="16">
        <v>43</v>
      </c>
      <c r="AS421" s="2">
        <v>12</v>
      </c>
      <c r="AT421" s="2">
        <v>45</v>
      </c>
      <c r="AU421" s="15" t="s">
        <v>661</v>
      </c>
      <c r="AV421" s="16">
        <f t="shared" si="192"/>
        <v>100</v>
      </c>
      <c r="AW421" s="18">
        <v>1.8</v>
      </c>
      <c r="AX421" s="13">
        <f t="shared" si="199"/>
        <v>1.8000000000000002E-2</v>
      </c>
      <c r="AY421" s="8" t="s">
        <v>87</v>
      </c>
      <c r="AZ421" s="16">
        <v>200</v>
      </c>
      <c r="BA421" s="16" t="s">
        <v>55</v>
      </c>
      <c r="BB421" s="16" t="s">
        <v>391</v>
      </c>
      <c r="BC421" s="16" t="s">
        <v>55</v>
      </c>
      <c r="BD421" s="18">
        <v>0.33</v>
      </c>
      <c r="BE421" s="15">
        <f t="shared" si="195"/>
        <v>18.333333333333332</v>
      </c>
      <c r="BF421" s="8">
        <f t="shared" si="208"/>
        <v>1.2632414347745813</v>
      </c>
      <c r="BG421" s="8">
        <f t="shared" si="196"/>
        <v>-0.48148606012211248</v>
      </c>
      <c r="BH421" s="13" t="s">
        <v>841</v>
      </c>
      <c r="BI421" s="13"/>
      <c r="BJ421" s="13"/>
      <c r="BK421" s="13"/>
      <c r="BL421" s="13"/>
      <c r="BM421" s="17"/>
      <c r="BN421" s="17"/>
      <c r="BO421" s="2"/>
    </row>
    <row r="422" spans="1:67" s="14" customFormat="1" x14ac:dyDescent="0.3">
      <c r="A422" s="20">
        <v>420</v>
      </c>
      <c r="B422" s="2" t="s">
        <v>219</v>
      </c>
      <c r="C422" s="2">
        <v>2020</v>
      </c>
      <c r="D422" s="2" t="s">
        <v>205</v>
      </c>
      <c r="E422" s="10" t="s">
        <v>802</v>
      </c>
      <c r="F422" s="20" t="s">
        <v>29</v>
      </c>
      <c r="G422" s="2">
        <v>2</v>
      </c>
      <c r="H422" s="2" t="str">
        <f>'PFAS Properties'!$B$33</f>
        <v>PFOA</v>
      </c>
      <c r="I422" s="2" t="str">
        <f>'PFAS Properties'!$C$33</f>
        <v>PFCA</v>
      </c>
      <c r="J422" s="2" t="str">
        <f>'PFAS Properties'!$D$33</f>
        <v>C8HF15O2</v>
      </c>
      <c r="K422" s="25">
        <f>'PFAS Properties'!$P$33</f>
        <v>413.97359999999998</v>
      </c>
      <c r="L422" s="2">
        <f>'PFAS Properties'!$X$33</f>
        <v>-0.2</v>
      </c>
      <c r="M422" s="2" t="str">
        <f>'PFAS Properties'!$Y$33</f>
        <v>-</v>
      </c>
      <c r="N422" s="33">
        <v>0</v>
      </c>
      <c r="O422" s="33">
        <v>0</v>
      </c>
      <c r="P422" s="33">
        <v>0</v>
      </c>
      <c r="Q422" s="33">
        <f t="shared" si="200"/>
        <v>0.99999984151070587</v>
      </c>
      <c r="R422" s="33">
        <v>0</v>
      </c>
      <c r="S422" s="33">
        <f t="shared" si="201"/>
        <v>1.5848929412725089E-7</v>
      </c>
      <c r="T422" s="8">
        <f t="shared" si="202"/>
        <v>1</v>
      </c>
      <c r="U422" s="33">
        <f t="shared" si="203"/>
        <v>0</v>
      </c>
      <c r="V422" s="33">
        <f t="shared" si="204"/>
        <v>-0.99999984151070587</v>
      </c>
      <c r="W422" s="33">
        <f t="shared" si="205"/>
        <v>412.97360015848926</v>
      </c>
      <c r="X422" s="33">
        <v>96485</v>
      </c>
      <c r="Y422" s="16">
        <f t="shared" si="206"/>
        <v>-233.63475212733178</v>
      </c>
      <c r="Z422" s="16">
        <v>8</v>
      </c>
      <c r="AA422" s="16">
        <v>15</v>
      </c>
      <c r="AB422" s="8">
        <f t="shared" si="207"/>
        <v>0.33684210526315789</v>
      </c>
      <c r="AC422" s="16">
        <f t="shared" si="198"/>
        <v>68.844969824162703</v>
      </c>
      <c r="AD422" s="20">
        <f>'PFAS Properties'!$W$33</f>
        <v>7</v>
      </c>
      <c r="AE422" s="8">
        <f>'PFAS Properties'!$S$33</f>
        <v>2.6821450763738319</v>
      </c>
      <c r="AF422" s="15">
        <f>'PFAS Properties'!$V$33</f>
        <v>4.9000000000000004</v>
      </c>
      <c r="AG422" s="24">
        <v>6.6</v>
      </c>
      <c r="AH422" s="2" t="s">
        <v>85</v>
      </c>
      <c r="AI422" s="2">
        <v>6.06</v>
      </c>
      <c r="AJ422" s="15">
        <f t="shared" si="209"/>
        <v>108.51463873220521</v>
      </c>
      <c r="AK422" s="8">
        <f t="shared" si="210"/>
        <v>0.60599999999999998</v>
      </c>
      <c r="AL422" s="2">
        <v>3.75</v>
      </c>
      <c r="AM422" s="15">
        <f t="shared" si="213"/>
        <v>138.99184581171238</v>
      </c>
      <c r="AN422" s="8">
        <f t="shared" si="214"/>
        <v>0.375</v>
      </c>
      <c r="AO422" s="15" t="s">
        <v>86</v>
      </c>
      <c r="AP422" s="15">
        <v>9.5399999999999991</v>
      </c>
      <c r="AQ422" s="15" t="s">
        <v>661</v>
      </c>
      <c r="AR422" s="16">
        <v>36</v>
      </c>
      <c r="AS422" s="16">
        <v>23</v>
      </c>
      <c r="AT422" s="16">
        <v>41</v>
      </c>
      <c r="AU422" s="15" t="s">
        <v>661</v>
      </c>
      <c r="AV422" s="16">
        <f t="shared" si="192"/>
        <v>100</v>
      </c>
      <c r="AW422" s="18">
        <v>2.1</v>
      </c>
      <c r="AX422" s="13">
        <f t="shared" si="199"/>
        <v>2.1000000000000001E-2</v>
      </c>
      <c r="AY422" s="8" t="s">
        <v>87</v>
      </c>
      <c r="AZ422" s="16">
        <v>20</v>
      </c>
      <c r="BA422" s="16" t="s">
        <v>55</v>
      </c>
      <c r="BB422" s="16" t="s">
        <v>391</v>
      </c>
      <c r="BC422" s="16" t="s">
        <v>55</v>
      </c>
      <c r="BD422" s="18">
        <v>0.20699999999999999</v>
      </c>
      <c r="BE422" s="15">
        <f t="shared" si="195"/>
        <v>9.8571428571428559</v>
      </c>
      <c r="BF422" s="8">
        <f t="shared" si="208"/>
        <v>0.99375105072299841</v>
      </c>
      <c r="BG422" s="8">
        <f t="shared" si="196"/>
        <v>-0.68402965454308229</v>
      </c>
      <c r="BH422" s="13" t="s">
        <v>841</v>
      </c>
      <c r="BI422" s="13"/>
      <c r="BJ422" s="13"/>
      <c r="BK422" s="13"/>
      <c r="BL422" s="13"/>
      <c r="BM422" s="17"/>
      <c r="BN422" s="17"/>
      <c r="BO422" s="2"/>
    </row>
    <row r="423" spans="1:67" s="14" customFormat="1" x14ac:dyDescent="0.3">
      <c r="A423" s="20">
        <v>421</v>
      </c>
      <c r="B423" s="2" t="s">
        <v>219</v>
      </c>
      <c r="C423" s="2">
        <v>2020</v>
      </c>
      <c r="D423" s="2" t="s">
        <v>205</v>
      </c>
      <c r="E423" s="10" t="s">
        <v>802</v>
      </c>
      <c r="F423" s="20" t="s">
        <v>29</v>
      </c>
      <c r="G423" s="2">
        <v>3</v>
      </c>
      <c r="H423" s="2" t="str">
        <f>'PFAS Properties'!$B$33</f>
        <v>PFOA</v>
      </c>
      <c r="I423" s="2" t="str">
        <f>'PFAS Properties'!$C$33</f>
        <v>PFCA</v>
      </c>
      <c r="J423" s="2" t="str">
        <f>'PFAS Properties'!$D$33</f>
        <v>C8HF15O2</v>
      </c>
      <c r="K423" s="25">
        <f>'PFAS Properties'!$P$33</f>
        <v>413.97359999999998</v>
      </c>
      <c r="L423" s="2">
        <f>'PFAS Properties'!$X$33</f>
        <v>-0.2</v>
      </c>
      <c r="M423" s="2" t="str">
        <f>'PFAS Properties'!$Y$33</f>
        <v>-</v>
      </c>
      <c r="N423" s="33">
        <v>0</v>
      </c>
      <c r="O423" s="33">
        <v>0</v>
      </c>
      <c r="P423" s="33">
        <v>0</v>
      </c>
      <c r="Q423" s="33">
        <f t="shared" si="200"/>
        <v>0.99999968377233395</v>
      </c>
      <c r="R423" s="33">
        <v>0</v>
      </c>
      <c r="S423" s="33">
        <f t="shared" si="201"/>
        <v>3.1622766601686895E-7</v>
      </c>
      <c r="T423" s="8">
        <f t="shared" si="202"/>
        <v>1</v>
      </c>
      <c r="U423" s="33">
        <f t="shared" si="203"/>
        <v>0</v>
      </c>
      <c r="V423" s="33">
        <f t="shared" si="204"/>
        <v>-0.99999968377233395</v>
      </c>
      <c r="W423" s="33">
        <f t="shared" si="205"/>
        <v>412.97360031622759</v>
      </c>
      <c r="X423" s="33">
        <v>96485</v>
      </c>
      <c r="Y423" s="16">
        <f t="shared" si="206"/>
        <v>-233.63471518492202</v>
      </c>
      <c r="Z423" s="16">
        <v>8</v>
      </c>
      <c r="AA423" s="16">
        <v>15</v>
      </c>
      <c r="AB423" s="8">
        <f t="shared" si="207"/>
        <v>0.33684210526315789</v>
      </c>
      <c r="AC423" s="16">
        <f t="shared" si="198"/>
        <v>68.844969824162703</v>
      </c>
      <c r="AD423" s="20">
        <f>'PFAS Properties'!$W$33</f>
        <v>7</v>
      </c>
      <c r="AE423" s="8">
        <f>'PFAS Properties'!$S$33</f>
        <v>2.6821450763738319</v>
      </c>
      <c r="AF423" s="15">
        <f>'PFAS Properties'!$V$33</f>
        <v>4.9000000000000004</v>
      </c>
      <c r="AG423" s="24">
        <v>6.3</v>
      </c>
      <c r="AH423" s="2" t="s">
        <v>85</v>
      </c>
      <c r="AI423" s="2">
        <v>0.46600000000000003</v>
      </c>
      <c r="AJ423" s="15">
        <f t="shared" si="209"/>
        <v>8.3445250246217206</v>
      </c>
      <c r="AK423" s="8">
        <f t="shared" si="210"/>
        <v>4.6600000000000003E-2</v>
      </c>
      <c r="AL423" s="2">
        <v>0.185</v>
      </c>
      <c r="AM423" s="15">
        <f t="shared" si="213"/>
        <v>6.8569310600444773</v>
      </c>
      <c r="AN423" s="8">
        <f t="shared" si="214"/>
        <v>1.8499999999999999E-2</v>
      </c>
      <c r="AO423" s="15" t="s">
        <v>86</v>
      </c>
      <c r="AP423" s="15">
        <v>2.83</v>
      </c>
      <c r="AQ423" s="15" t="s">
        <v>661</v>
      </c>
      <c r="AR423" s="16">
        <v>91</v>
      </c>
      <c r="AS423" s="16">
        <v>2</v>
      </c>
      <c r="AT423" s="16">
        <v>7</v>
      </c>
      <c r="AU423" s="15" t="s">
        <v>661</v>
      </c>
      <c r="AV423" s="16">
        <f t="shared" si="192"/>
        <v>100</v>
      </c>
      <c r="AW423" s="18">
        <v>0.6</v>
      </c>
      <c r="AX423" s="13">
        <f t="shared" si="199"/>
        <v>6.0000000000000001E-3</v>
      </c>
      <c r="AY423" s="8" t="s">
        <v>87</v>
      </c>
      <c r="AZ423" s="16">
        <v>20</v>
      </c>
      <c r="BA423" s="16" t="s">
        <v>55</v>
      </c>
      <c r="BB423" s="16" t="s">
        <v>391</v>
      </c>
      <c r="BC423" s="16" t="s">
        <v>55</v>
      </c>
      <c r="BD423" s="18">
        <v>4.88</v>
      </c>
      <c r="BE423" s="15">
        <f t="shared" si="195"/>
        <v>813.33333333333326</v>
      </c>
      <c r="BF423" s="8">
        <f t="shared" si="208"/>
        <v>2.910268571619067</v>
      </c>
      <c r="BG423" s="8">
        <f t="shared" si="196"/>
        <v>0.68841982200271057</v>
      </c>
      <c r="BH423" s="13" t="s">
        <v>841</v>
      </c>
      <c r="BI423" s="13"/>
      <c r="BJ423" s="13"/>
      <c r="BK423" s="13"/>
      <c r="BL423" s="13"/>
      <c r="BM423" s="17"/>
      <c r="BN423" s="17"/>
      <c r="BO423" s="2"/>
    </row>
    <row r="424" spans="1:67" s="14" customFormat="1" x14ac:dyDescent="0.3">
      <c r="A424" s="20">
        <v>422</v>
      </c>
      <c r="B424" s="2" t="s">
        <v>219</v>
      </c>
      <c r="C424" s="2">
        <v>2020</v>
      </c>
      <c r="D424" s="2" t="s">
        <v>205</v>
      </c>
      <c r="E424" s="10" t="s">
        <v>802</v>
      </c>
      <c r="F424" s="20" t="s">
        <v>29</v>
      </c>
      <c r="G424" s="2">
        <v>4</v>
      </c>
      <c r="H424" s="2" t="str">
        <f>'PFAS Properties'!$B$33</f>
        <v>PFOA</v>
      </c>
      <c r="I424" s="2" t="str">
        <f>'PFAS Properties'!$C$33</f>
        <v>PFCA</v>
      </c>
      <c r="J424" s="2" t="str">
        <f>'PFAS Properties'!$D$33</f>
        <v>C8HF15O2</v>
      </c>
      <c r="K424" s="25">
        <f>'PFAS Properties'!$P$33</f>
        <v>413.97359999999998</v>
      </c>
      <c r="L424" s="2">
        <f>'PFAS Properties'!$X$33</f>
        <v>-0.2</v>
      </c>
      <c r="M424" s="2" t="str">
        <f>'PFAS Properties'!$Y$33</f>
        <v>-</v>
      </c>
      <c r="N424" s="33">
        <v>0</v>
      </c>
      <c r="O424" s="33">
        <v>0</v>
      </c>
      <c r="P424" s="33">
        <v>0</v>
      </c>
      <c r="Q424" s="33">
        <f t="shared" si="200"/>
        <v>0.99999996837722438</v>
      </c>
      <c r="R424" s="33">
        <v>0</v>
      </c>
      <c r="S424" s="33">
        <f t="shared" si="201"/>
        <v>3.1622775601683729E-8</v>
      </c>
      <c r="T424" s="8">
        <f t="shared" si="202"/>
        <v>1</v>
      </c>
      <c r="U424" s="33">
        <f t="shared" si="203"/>
        <v>0</v>
      </c>
      <c r="V424" s="33">
        <f t="shared" si="204"/>
        <v>-0.99999996837722438</v>
      </c>
      <c r="W424" s="33">
        <f t="shared" si="205"/>
        <v>412.97360003162271</v>
      </c>
      <c r="X424" s="33">
        <v>96485</v>
      </c>
      <c r="Y424" s="16">
        <f t="shared" si="206"/>
        <v>-233.63478183953725</v>
      </c>
      <c r="Z424" s="16">
        <v>8</v>
      </c>
      <c r="AA424" s="16">
        <v>15</v>
      </c>
      <c r="AB424" s="8">
        <f t="shared" si="207"/>
        <v>0.33684210526315789</v>
      </c>
      <c r="AC424" s="16">
        <f t="shared" si="198"/>
        <v>68.844969824162703</v>
      </c>
      <c r="AD424" s="20">
        <f>'PFAS Properties'!$W$33</f>
        <v>7</v>
      </c>
      <c r="AE424" s="8">
        <f>'PFAS Properties'!$S$33</f>
        <v>2.6821450763738319</v>
      </c>
      <c r="AF424" s="15">
        <f>'PFAS Properties'!$V$33</f>
        <v>4.9000000000000004</v>
      </c>
      <c r="AG424" s="24">
        <v>7.3</v>
      </c>
      <c r="AH424" s="2" t="s">
        <v>85</v>
      </c>
      <c r="AI424" s="2">
        <v>7.87</v>
      </c>
      <c r="AJ424" s="15">
        <f t="shared" si="209"/>
        <v>140.92577670337542</v>
      </c>
      <c r="AK424" s="8">
        <f t="shared" si="210"/>
        <v>0.78700000000000003</v>
      </c>
      <c r="AL424" s="2">
        <v>2.4</v>
      </c>
      <c r="AM424" s="15">
        <f t="shared" si="213"/>
        <v>88.954781319495922</v>
      </c>
      <c r="AN424" s="8">
        <f t="shared" si="214"/>
        <v>0.24</v>
      </c>
      <c r="AO424" s="15" t="s">
        <v>86</v>
      </c>
      <c r="AP424" s="15">
        <v>27.69</v>
      </c>
      <c r="AQ424" s="15" t="s">
        <v>661</v>
      </c>
      <c r="AR424" s="16">
        <v>27</v>
      </c>
      <c r="AS424" s="16">
        <v>21</v>
      </c>
      <c r="AT424" s="16">
        <v>52</v>
      </c>
      <c r="AU424" s="15" t="s">
        <v>661</v>
      </c>
      <c r="AV424" s="16">
        <f t="shared" si="192"/>
        <v>100</v>
      </c>
      <c r="AW424" s="18">
        <v>1.8</v>
      </c>
      <c r="AX424" s="13">
        <f t="shared" si="199"/>
        <v>1.8000000000000002E-2</v>
      </c>
      <c r="AY424" s="8" t="s">
        <v>87</v>
      </c>
      <c r="AZ424" s="16">
        <v>20</v>
      </c>
      <c r="BA424" s="16" t="s">
        <v>55</v>
      </c>
      <c r="BB424" s="16" t="s">
        <v>391</v>
      </c>
      <c r="BC424" s="16" t="s">
        <v>55</v>
      </c>
      <c r="BD424" s="18">
        <v>3.22</v>
      </c>
      <c r="BE424" s="15">
        <f t="shared" si="195"/>
        <v>178.88888888888889</v>
      </c>
      <c r="BF424" s="8">
        <f t="shared" si="208"/>
        <v>2.2525833665925248</v>
      </c>
      <c r="BG424" s="8">
        <f t="shared" si="196"/>
        <v>0.50785587169583091</v>
      </c>
      <c r="BH424" s="13" t="s">
        <v>841</v>
      </c>
      <c r="BI424" s="13"/>
      <c r="BJ424" s="13"/>
      <c r="BK424" s="13"/>
      <c r="BL424" s="13"/>
      <c r="BM424" s="17"/>
      <c r="BN424" s="17"/>
      <c r="BO424" s="2"/>
    </row>
    <row r="425" spans="1:67" s="14" customFormat="1" x14ac:dyDescent="0.3">
      <c r="A425" s="20">
        <v>423</v>
      </c>
      <c r="B425" s="2" t="s">
        <v>219</v>
      </c>
      <c r="C425" s="2">
        <v>2020</v>
      </c>
      <c r="D425" s="2" t="s">
        <v>205</v>
      </c>
      <c r="E425" s="10" t="s">
        <v>802</v>
      </c>
      <c r="F425" s="20" t="s">
        <v>29</v>
      </c>
      <c r="G425" s="2">
        <v>5</v>
      </c>
      <c r="H425" s="2" t="str">
        <f>'PFAS Properties'!$B$33</f>
        <v>PFOA</v>
      </c>
      <c r="I425" s="2" t="str">
        <f>'PFAS Properties'!$C$33</f>
        <v>PFCA</v>
      </c>
      <c r="J425" s="2" t="str">
        <f>'PFAS Properties'!$D$33</f>
        <v>C8HF15O2</v>
      </c>
      <c r="K425" s="25">
        <f>'PFAS Properties'!$P$33</f>
        <v>413.97359999999998</v>
      </c>
      <c r="L425" s="2">
        <f>'PFAS Properties'!$X$33</f>
        <v>-0.2</v>
      </c>
      <c r="M425" s="2" t="str">
        <f>'PFAS Properties'!$Y$33</f>
        <v>-</v>
      </c>
      <c r="N425" s="33">
        <v>0</v>
      </c>
      <c r="O425" s="33">
        <v>0</v>
      </c>
      <c r="P425" s="33">
        <v>0</v>
      </c>
      <c r="Q425" s="33">
        <f t="shared" si="200"/>
        <v>0.99999968377233395</v>
      </c>
      <c r="R425" s="33">
        <v>0</v>
      </c>
      <c r="S425" s="33">
        <f t="shared" si="201"/>
        <v>3.1622766601686895E-7</v>
      </c>
      <c r="T425" s="8">
        <f t="shared" si="202"/>
        <v>1</v>
      </c>
      <c r="U425" s="33">
        <f t="shared" si="203"/>
        <v>0</v>
      </c>
      <c r="V425" s="33">
        <f t="shared" si="204"/>
        <v>-0.99999968377233395</v>
      </c>
      <c r="W425" s="33">
        <f t="shared" si="205"/>
        <v>412.97360031622759</v>
      </c>
      <c r="X425" s="33">
        <v>96485</v>
      </c>
      <c r="Y425" s="16">
        <f t="shared" si="206"/>
        <v>-233.63471518492202</v>
      </c>
      <c r="Z425" s="16">
        <v>8</v>
      </c>
      <c r="AA425" s="16">
        <v>15</v>
      </c>
      <c r="AB425" s="8">
        <f t="shared" si="207"/>
        <v>0.33684210526315789</v>
      </c>
      <c r="AC425" s="16">
        <f t="shared" si="198"/>
        <v>68.844969824162703</v>
      </c>
      <c r="AD425" s="20">
        <f>'PFAS Properties'!$W$33</f>
        <v>7</v>
      </c>
      <c r="AE425" s="8">
        <f>'PFAS Properties'!$S$33</f>
        <v>2.6821450763738319</v>
      </c>
      <c r="AF425" s="15">
        <f>'PFAS Properties'!$V$33</f>
        <v>4.9000000000000004</v>
      </c>
      <c r="AG425" s="24">
        <v>6.3</v>
      </c>
      <c r="AH425" s="2" t="s">
        <v>85</v>
      </c>
      <c r="AI425" s="2">
        <v>4.12</v>
      </c>
      <c r="AJ425" s="15">
        <f t="shared" si="209"/>
        <v>73.775628973050402</v>
      </c>
      <c r="AK425" s="8">
        <f t="shared" si="210"/>
        <v>0.41200000000000003</v>
      </c>
      <c r="AL425" s="2">
        <v>2.57</v>
      </c>
      <c r="AM425" s="15">
        <f t="shared" si="213"/>
        <v>95.255744996293544</v>
      </c>
      <c r="AN425" s="8">
        <f t="shared" si="214"/>
        <v>0.25700000000000001</v>
      </c>
      <c r="AO425" s="15" t="s">
        <v>86</v>
      </c>
      <c r="AP425" s="15">
        <v>7.18</v>
      </c>
      <c r="AQ425" s="15" t="s">
        <v>661</v>
      </c>
      <c r="AR425" s="16">
        <v>40</v>
      </c>
      <c r="AS425" s="16">
        <v>12</v>
      </c>
      <c r="AT425" s="16">
        <v>48</v>
      </c>
      <c r="AU425" s="15" t="s">
        <v>661</v>
      </c>
      <c r="AV425" s="16">
        <f t="shared" si="192"/>
        <v>100</v>
      </c>
      <c r="AW425" s="18">
        <v>1.5</v>
      </c>
      <c r="AX425" s="13">
        <f t="shared" si="199"/>
        <v>1.4999999999999999E-2</v>
      </c>
      <c r="AY425" s="8" t="s">
        <v>87</v>
      </c>
      <c r="AZ425" s="16">
        <v>20</v>
      </c>
      <c r="BA425" s="16" t="s">
        <v>55</v>
      </c>
      <c r="BB425" s="16" t="s">
        <v>391</v>
      </c>
      <c r="BC425" s="16" t="s">
        <v>55</v>
      </c>
      <c r="BD425" s="18">
        <v>4.8099999999999996</v>
      </c>
      <c r="BE425" s="15">
        <f t="shared" si="195"/>
        <v>320.66666666666663</v>
      </c>
      <c r="BF425" s="8">
        <f t="shared" si="208"/>
        <v>2.5060538173181506</v>
      </c>
      <c r="BG425" s="8">
        <f t="shared" si="196"/>
        <v>0.6821450763738317</v>
      </c>
      <c r="BH425" s="13" t="s">
        <v>841</v>
      </c>
      <c r="BI425" s="13"/>
      <c r="BJ425" s="13"/>
      <c r="BK425" s="13"/>
      <c r="BL425" s="13"/>
      <c r="BM425" s="17"/>
      <c r="BN425" s="17"/>
      <c r="BO425" s="2"/>
    </row>
    <row r="426" spans="1:67" s="14" customFormat="1" x14ac:dyDescent="0.3">
      <c r="A426" s="20">
        <v>424</v>
      </c>
      <c r="B426" s="2" t="s">
        <v>219</v>
      </c>
      <c r="C426" s="2">
        <v>2020</v>
      </c>
      <c r="D426" s="2" t="s">
        <v>205</v>
      </c>
      <c r="E426" s="10" t="s">
        <v>802</v>
      </c>
      <c r="F426" s="20" t="s">
        <v>29</v>
      </c>
      <c r="G426" s="2">
        <v>6</v>
      </c>
      <c r="H426" s="2" t="str">
        <f>'PFAS Properties'!$B$33</f>
        <v>PFOA</v>
      </c>
      <c r="I426" s="2" t="str">
        <f>'PFAS Properties'!$C$33</f>
        <v>PFCA</v>
      </c>
      <c r="J426" s="2" t="str">
        <f>'PFAS Properties'!$D$33</f>
        <v>C8HF15O2</v>
      </c>
      <c r="K426" s="25">
        <f>'PFAS Properties'!$P$33</f>
        <v>413.97359999999998</v>
      </c>
      <c r="L426" s="2">
        <f>'PFAS Properties'!$X$33</f>
        <v>-0.2</v>
      </c>
      <c r="M426" s="2" t="str">
        <f>'PFAS Properties'!$Y$33</f>
        <v>-</v>
      </c>
      <c r="N426" s="33">
        <v>0</v>
      </c>
      <c r="O426" s="33">
        <v>0</v>
      </c>
      <c r="P426" s="33">
        <v>0</v>
      </c>
      <c r="Q426" s="33">
        <f t="shared" si="200"/>
        <v>0.99999498815278243</v>
      </c>
      <c r="R426" s="33">
        <v>0</v>
      </c>
      <c r="S426" s="33">
        <f t="shared" si="201"/>
        <v>5.0118472175342954E-6</v>
      </c>
      <c r="T426" s="8">
        <f t="shared" si="202"/>
        <v>1</v>
      </c>
      <c r="U426" s="33">
        <f t="shared" si="203"/>
        <v>0</v>
      </c>
      <c r="V426" s="33">
        <f t="shared" si="204"/>
        <v>-0.99999498815278243</v>
      </c>
      <c r="W426" s="33">
        <f t="shared" si="205"/>
        <v>412.97360501184716</v>
      </c>
      <c r="X426" s="33">
        <v>96485</v>
      </c>
      <c r="Y426" s="16">
        <f t="shared" si="206"/>
        <v>-233.63361546836225</v>
      </c>
      <c r="Z426" s="16">
        <v>8</v>
      </c>
      <c r="AA426" s="16">
        <v>15</v>
      </c>
      <c r="AB426" s="8">
        <f t="shared" si="207"/>
        <v>0.33684210526315789</v>
      </c>
      <c r="AC426" s="16">
        <f t="shared" si="198"/>
        <v>68.844969824162703</v>
      </c>
      <c r="AD426" s="20">
        <f>'PFAS Properties'!$W$33</f>
        <v>7</v>
      </c>
      <c r="AE426" s="8">
        <f>'PFAS Properties'!$S$33</f>
        <v>2.6821450763738319</v>
      </c>
      <c r="AF426" s="15">
        <f>'PFAS Properties'!$V$33</f>
        <v>4.9000000000000004</v>
      </c>
      <c r="AG426" s="24">
        <v>5.0999999999999996</v>
      </c>
      <c r="AH426" s="2" t="s">
        <v>85</v>
      </c>
      <c r="AI426" s="2">
        <v>2.35</v>
      </c>
      <c r="AJ426" s="15">
        <f t="shared" si="209"/>
        <v>42.080759244337003</v>
      </c>
      <c r="AK426" s="8">
        <f t="shared" si="210"/>
        <v>0.23500000000000001</v>
      </c>
      <c r="AL426" s="2">
        <v>0.92900000000000005</v>
      </c>
      <c r="AM426" s="15">
        <f t="shared" si="213"/>
        <v>34.43291326908821</v>
      </c>
      <c r="AN426" s="8">
        <f t="shared" si="214"/>
        <v>9.290000000000001E-2</v>
      </c>
      <c r="AO426" s="15" t="s">
        <v>86</v>
      </c>
      <c r="AP426" s="15">
        <v>3.64</v>
      </c>
      <c r="AQ426" s="15" t="s">
        <v>661</v>
      </c>
      <c r="AR426" s="16">
        <v>48</v>
      </c>
      <c r="AS426" s="16">
        <v>22</v>
      </c>
      <c r="AT426" s="16">
        <v>30</v>
      </c>
      <c r="AU426" s="15" t="s">
        <v>661</v>
      </c>
      <c r="AV426" s="16">
        <f t="shared" si="192"/>
        <v>100</v>
      </c>
      <c r="AW426" s="18">
        <v>0.9</v>
      </c>
      <c r="AX426" s="13">
        <f t="shared" si="199"/>
        <v>9.0000000000000011E-3</v>
      </c>
      <c r="AY426" s="8" t="s">
        <v>87</v>
      </c>
      <c r="AZ426" s="16">
        <v>20</v>
      </c>
      <c r="BA426" s="16" t="s">
        <v>55</v>
      </c>
      <c r="BB426" s="16" t="s">
        <v>391</v>
      </c>
      <c r="BC426" s="16" t="s">
        <v>55</v>
      </c>
      <c r="BD426" s="18">
        <v>0.42</v>
      </c>
      <c r="BE426" s="15">
        <f t="shared" si="195"/>
        <v>46.666666666666657</v>
      </c>
      <c r="BF426" s="8">
        <f t="shared" si="208"/>
        <v>1.6690067809585756</v>
      </c>
      <c r="BG426" s="8">
        <f t="shared" si="196"/>
        <v>-0.37675070960209955</v>
      </c>
      <c r="BH426" s="13" t="s">
        <v>841</v>
      </c>
      <c r="BI426" s="13"/>
      <c r="BJ426" s="13"/>
      <c r="BK426" s="13"/>
      <c r="BL426" s="13"/>
      <c r="BM426" s="17"/>
      <c r="BN426" s="17"/>
      <c r="BO426" s="2"/>
    </row>
    <row r="427" spans="1:67" s="14" customFormat="1" x14ac:dyDescent="0.3">
      <c r="A427" s="20">
        <v>425</v>
      </c>
      <c r="B427" s="2" t="s">
        <v>219</v>
      </c>
      <c r="C427" s="2">
        <v>2020</v>
      </c>
      <c r="D427" s="2" t="s">
        <v>205</v>
      </c>
      <c r="E427" s="10" t="s">
        <v>802</v>
      </c>
      <c r="F427" s="20" t="s">
        <v>29</v>
      </c>
      <c r="G427" s="2">
        <v>8</v>
      </c>
      <c r="H427" s="2" t="str">
        <f>'PFAS Properties'!$B$33</f>
        <v>PFOA</v>
      </c>
      <c r="I427" s="2" t="str">
        <f>'PFAS Properties'!$C$33</f>
        <v>PFCA</v>
      </c>
      <c r="J427" s="2" t="str">
        <f>'PFAS Properties'!$D$33</f>
        <v>C8HF15O2</v>
      </c>
      <c r="K427" s="25">
        <f>'PFAS Properties'!$P$33</f>
        <v>413.97359999999998</v>
      </c>
      <c r="L427" s="2">
        <f>'PFAS Properties'!$X$33</f>
        <v>-0.2</v>
      </c>
      <c r="M427" s="2" t="str">
        <f>'PFAS Properties'!$Y$33</f>
        <v>-</v>
      </c>
      <c r="N427" s="33">
        <v>0</v>
      </c>
      <c r="O427" s="33">
        <v>0</v>
      </c>
      <c r="P427" s="33">
        <v>0</v>
      </c>
      <c r="Q427" s="33">
        <f t="shared" si="200"/>
        <v>0.99999990000001004</v>
      </c>
      <c r="R427" s="33">
        <v>0</v>
      </c>
      <c r="S427" s="33">
        <f t="shared" si="201"/>
        <v>9.9999990000001005E-8</v>
      </c>
      <c r="T427" s="8">
        <f t="shared" si="202"/>
        <v>1</v>
      </c>
      <c r="U427" s="33">
        <f t="shared" si="203"/>
        <v>0</v>
      </c>
      <c r="V427" s="33">
        <f t="shared" si="204"/>
        <v>-0.99999990000001004</v>
      </c>
      <c r="W427" s="33">
        <f t="shared" si="205"/>
        <v>412.9736001</v>
      </c>
      <c r="X427" s="33">
        <v>96485</v>
      </c>
      <c r="Y427" s="16">
        <f t="shared" si="206"/>
        <v>-233.63476582555762</v>
      </c>
      <c r="Z427" s="16">
        <v>8</v>
      </c>
      <c r="AA427" s="16">
        <v>15</v>
      </c>
      <c r="AB427" s="8">
        <f t="shared" si="207"/>
        <v>0.33684210526315789</v>
      </c>
      <c r="AC427" s="16">
        <f t="shared" si="198"/>
        <v>68.844969824162703</v>
      </c>
      <c r="AD427" s="20">
        <f>'PFAS Properties'!$W$33</f>
        <v>7</v>
      </c>
      <c r="AE427" s="8">
        <f>'PFAS Properties'!$S$33</f>
        <v>2.6821450763738319</v>
      </c>
      <c r="AF427" s="15">
        <f>'PFAS Properties'!$V$33</f>
        <v>4.9000000000000004</v>
      </c>
      <c r="AG427" s="24">
        <v>6.8</v>
      </c>
      <c r="AH427" s="2" t="s">
        <v>85</v>
      </c>
      <c r="AI427" s="2">
        <v>4.41</v>
      </c>
      <c r="AJ427" s="15">
        <f t="shared" si="209"/>
        <v>78.968573730862204</v>
      </c>
      <c r="AK427" s="8">
        <f t="shared" si="210"/>
        <v>0.441</v>
      </c>
      <c r="AL427" s="2">
        <v>1.85</v>
      </c>
      <c r="AM427" s="15">
        <f t="shared" si="213"/>
        <v>68.56931060044478</v>
      </c>
      <c r="AN427" s="8">
        <f t="shared" si="214"/>
        <v>0.185</v>
      </c>
      <c r="AO427" s="15" t="s">
        <v>86</v>
      </c>
      <c r="AP427" s="15">
        <v>10.86</v>
      </c>
      <c r="AQ427" s="15" t="s">
        <v>661</v>
      </c>
      <c r="AR427" s="16">
        <v>54</v>
      </c>
      <c r="AS427" s="16">
        <v>21</v>
      </c>
      <c r="AT427" s="16">
        <v>25</v>
      </c>
      <c r="AU427" s="15" t="s">
        <v>661</v>
      </c>
      <c r="AV427" s="16">
        <f t="shared" si="192"/>
        <v>100</v>
      </c>
      <c r="AW427" s="18">
        <v>1.1000000000000001</v>
      </c>
      <c r="AX427" s="13">
        <f t="shared" si="199"/>
        <v>1.1000000000000001E-2</v>
      </c>
      <c r="AY427" s="8" t="s">
        <v>87</v>
      </c>
      <c r="AZ427" s="16">
        <v>20</v>
      </c>
      <c r="BA427" s="16" t="s">
        <v>55</v>
      </c>
      <c r="BB427" s="16" t="s">
        <v>391</v>
      </c>
      <c r="BC427" s="16" t="s">
        <v>55</v>
      </c>
      <c r="BD427" s="18">
        <v>2.74</v>
      </c>
      <c r="BE427" s="15">
        <f t="shared" si="195"/>
        <v>249.09090909090909</v>
      </c>
      <c r="BF427" s="8">
        <f t="shared" si="208"/>
        <v>2.396357877662163</v>
      </c>
      <c r="BG427" s="8">
        <f t="shared" si="196"/>
        <v>0.43775056282038799</v>
      </c>
      <c r="BH427" s="13" t="s">
        <v>841</v>
      </c>
      <c r="BI427" s="13"/>
      <c r="BJ427" s="13"/>
      <c r="BK427" s="13"/>
      <c r="BL427" s="13"/>
      <c r="BM427" s="17"/>
      <c r="BN427" s="17"/>
      <c r="BO427" s="2"/>
    </row>
    <row r="428" spans="1:67" s="14" customFormat="1" x14ac:dyDescent="0.3">
      <c r="A428" s="20">
        <v>426</v>
      </c>
      <c r="B428" s="2" t="s">
        <v>219</v>
      </c>
      <c r="C428" s="2">
        <v>2020</v>
      </c>
      <c r="D428" s="2" t="s">
        <v>205</v>
      </c>
      <c r="E428" s="10" t="s">
        <v>802</v>
      </c>
      <c r="F428" s="20" t="s">
        <v>29</v>
      </c>
      <c r="G428" s="2">
        <v>11</v>
      </c>
      <c r="H428" s="2" t="str">
        <f>'PFAS Properties'!$B$33</f>
        <v>PFOA</v>
      </c>
      <c r="I428" s="2" t="str">
        <f>'PFAS Properties'!$C$33</f>
        <v>PFCA</v>
      </c>
      <c r="J428" s="2" t="str">
        <f>'PFAS Properties'!$D$33</f>
        <v>C8HF15O2</v>
      </c>
      <c r="K428" s="25">
        <f>'PFAS Properties'!$P$33</f>
        <v>413.97359999999998</v>
      </c>
      <c r="L428" s="2">
        <f>'PFAS Properties'!$X$33</f>
        <v>-0.2</v>
      </c>
      <c r="M428" s="2" t="str">
        <f>'PFAS Properties'!$Y$33</f>
        <v>-</v>
      </c>
      <c r="N428" s="33">
        <v>0</v>
      </c>
      <c r="O428" s="33">
        <v>0</v>
      </c>
      <c r="P428" s="33">
        <v>0</v>
      </c>
      <c r="Q428" s="33">
        <f t="shared" si="200"/>
        <v>0.9999974881198781</v>
      </c>
      <c r="R428" s="33">
        <v>0</v>
      </c>
      <c r="S428" s="33">
        <f t="shared" si="201"/>
        <v>2.5118801219519806E-6</v>
      </c>
      <c r="T428" s="8">
        <f t="shared" si="202"/>
        <v>1</v>
      </c>
      <c r="U428" s="33">
        <f t="shared" si="203"/>
        <v>0</v>
      </c>
      <c r="V428" s="33">
        <f t="shared" si="204"/>
        <v>-0.9999974881198781</v>
      </c>
      <c r="W428" s="33">
        <f t="shared" si="205"/>
        <v>412.97360251188013</v>
      </c>
      <c r="X428" s="33">
        <v>96485</v>
      </c>
      <c r="Y428" s="16">
        <f t="shared" si="206"/>
        <v>-233.63420096196302</v>
      </c>
      <c r="Z428" s="16">
        <v>8</v>
      </c>
      <c r="AA428" s="16">
        <v>15</v>
      </c>
      <c r="AB428" s="8">
        <f t="shared" si="207"/>
        <v>0.33684210526315789</v>
      </c>
      <c r="AC428" s="16">
        <f t="shared" si="198"/>
        <v>68.844969824162703</v>
      </c>
      <c r="AD428" s="20">
        <f>'PFAS Properties'!$W$33</f>
        <v>7</v>
      </c>
      <c r="AE428" s="8">
        <f>'PFAS Properties'!$S$33</f>
        <v>2.6821450763738319</v>
      </c>
      <c r="AF428" s="15">
        <f>'PFAS Properties'!$V$33</f>
        <v>4.9000000000000004</v>
      </c>
      <c r="AG428" s="24">
        <v>5.4</v>
      </c>
      <c r="AH428" s="2" t="s">
        <v>85</v>
      </c>
      <c r="AI428" s="2">
        <v>2.72</v>
      </c>
      <c r="AJ428" s="15">
        <f t="shared" si="209"/>
        <v>48.706240487062409</v>
      </c>
      <c r="AK428" s="8">
        <f t="shared" si="210"/>
        <v>0.27200000000000002</v>
      </c>
      <c r="AL428" s="2">
        <v>2.65</v>
      </c>
      <c r="AM428" s="15">
        <f t="shared" si="213"/>
        <v>98.220904373610082</v>
      </c>
      <c r="AN428" s="8">
        <f t="shared" si="214"/>
        <v>0.26500000000000001</v>
      </c>
      <c r="AO428" s="15" t="s">
        <v>86</v>
      </c>
      <c r="AP428" s="15">
        <v>7.61</v>
      </c>
      <c r="AQ428" s="15" t="s">
        <v>661</v>
      </c>
      <c r="AR428" s="16">
        <v>34</v>
      </c>
      <c r="AS428" s="16">
        <v>22</v>
      </c>
      <c r="AT428" s="16">
        <v>44</v>
      </c>
      <c r="AU428" s="15" t="s">
        <v>661</v>
      </c>
      <c r="AV428" s="16">
        <f t="shared" si="192"/>
        <v>100</v>
      </c>
      <c r="AW428" s="18">
        <v>1.7</v>
      </c>
      <c r="AX428" s="13">
        <f t="shared" si="199"/>
        <v>1.7000000000000001E-2</v>
      </c>
      <c r="AY428" s="8" t="s">
        <v>87</v>
      </c>
      <c r="AZ428" s="16">
        <v>20</v>
      </c>
      <c r="BA428" s="16" t="s">
        <v>55</v>
      </c>
      <c r="BB428" s="16" t="s">
        <v>391</v>
      </c>
      <c r="BC428" s="16" t="s">
        <v>55</v>
      </c>
      <c r="BD428" s="18">
        <v>0.22</v>
      </c>
      <c r="BE428" s="15">
        <f t="shared" si="195"/>
        <v>12.941176470588234</v>
      </c>
      <c r="BF428" s="8">
        <f t="shared" si="208"/>
        <v>1.1119737594439323</v>
      </c>
      <c r="BG428" s="8">
        <f t="shared" si="196"/>
        <v>-0.65757731917779372</v>
      </c>
      <c r="BH428" s="13" t="s">
        <v>841</v>
      </c>
      <c r="BI428" s="13"/>
      <c r="BJ428" s="13"/>
      <c r="BK428" s="13"/>
      <c r="BL428" s="13"/>
      <c r="BM428" s="17"/>
      <c r="BN428" s="17"/>
      <c r="BO428" s="2"/>
    </row>
    <row r="429" spans="1:67" s="14" customFormat="1" x14ac:dyDescent="0.3">
      <c r="A429" s="20">
        <v>427</v>
      </c>
      <c r="B429" s="2" t="s">
        <v>219</v>
      </c>
      <c r="C429" s="2">
        <v>2020</v>
      </c>
      <c r="D429" s="2" t="s">
        <v>205</v>
      </c>
      <c r="E429" s="10" t="s">
        <v>802</v>
      </c>
      <c r="F429" s="20" t="s">
        <v>29</v>
      </c>
      <c r="G429" s="2">
        <v>12</v>
      </c>
      <c r="H429" s="2" t="str">
        <f>'PFAS Properties'!$B$33</f>
        <v>PFOA</v>
      </c>
      <c r="I429" s="2" t="str">
        <f>'PFAS Properties'!$C$33</f>
        <v>PFCA</v>
      </c>
      <c r="J429" s="2" t="str">
        <f>'PFAS Properties'!$D$33</f>
        <v>C8HF15O2</v>
      </c>
      <c r="K429" s="25">
        <f>'PFAS Properties'!$P$33</f>
        <v>413.97359999999998</v>
      </c>
      <c r="L429" s="2">
        <f>'PFAS Properties'!$X$33</f>
        <v>-0.2</v>
      </c>
      <c r="M429" s="2" t="str">
        <f>'PFAS Properties'!$Y$33</f>
        <v>-</v>
      </c>
      <c r="N429" s="33">
        <v>0</v>
      </c>
      <c r="O429" s="33">
        <v>0</v>
      </c>
      <c r="P429" s="33">
        <v>0</v>
      </c>
      <c r="Q429" s="33">
        <f t="shared" si="200"/>
        <v>0.99999987410747471</v>
      </c>
      <c r="R429" s="33">
        <v>0</v>
      </c>
      <c r="S429" s="33">
        <f t="shared" si="201"/>
        <v>1.2589252533048661E-7</v>
      </c>
      <c r="T429" s="8">
        <f t="shared" si="202"/>
        <v>1</v>
      </c>
      <c r="U429" s="33">
        <f t="shared" si="203"/>
        <v>0</v>
      </c>
      <c r="V429" s="33">
        <f t="shared" si="204"/>
        <v>-0.99999987410747471</v>
      </c>
      <c r="W429" s="33">
        <f t="shared" si="205"/>
        <v>412.97360012589252</v>
      </c>
      <c r="X429" s="33">
        <v>96485</v>
      </c>
      <c r="Y429" s="16">
        <f t="shared" si="206"/>
        <v>-233.63475976151219</v>
      </c>
      <c r="Z429" s="16">
        <v>8</v>
      </c>
      <c r="AA429" s="16">
        <v>15</v>
      </c>
      <c r="AB429" s="8">
        <f t="shared" si="207"/>
        <v>0.33684210526315789</v>
      </c>
      <c r="AC429" s="16">
        <f t="shared" si="198"/>
        <v>68.844969824162703</v>
      </c>
      <c r="AD429" s="20">
        <f>'PFAS Properties'!$W$33</f>
        <v>7</v>
      </c>
      <c r="AE429" s="8">
        <f>'PFAS Properties'!$S$33</f>
        <v>2.6821450763738319</v>
      </c>
      <c r="AF429" s="15">
        <f>'PFAS Properties'!$V$33</f>
        <v>4.9000000000000004</v>
      </c>
      <c r="AG429" s="24">
        <v>6.7</v>
      </c>
      <c r="AH429" s="2" t="s">
        <v>85</v>
      </c>
      <c r="AI429" s="2">
        <v>3.45</v>
      </c>
      <c r="AJ429" s="15">
        <f t="shared" si="209"/>
        <v>61.778135911899007</v>
      </c>
      <c r="AK429" s="8">
        <f t="shared" si="210"/>
        <v>0.34500000000000003</v>
      </c>
      <c r="AL429" s="2">
        <v>2.15</v>
      </c>
      <c r="AM429" s="15">
        <f t="shared" si="213"/>
        <v>79.688658265381761</v>
      </c>
      <c r="AN429" s="8">
        <f t="shared" si="214"/>
        <v>0.215</v>
      </c>
      <c r="AO429" s="15" t="s">
        <v>86</v>
      </c>
      <c r="AP429" s="15">
        <v>12.76</v>
      </c>
      <c r="AQ429" s="15" t="s">
        <v>661</v>
      </c>
      <c r="AR429" s="16">
        <v>54</v>
      </c>
      <c r="AS429" s="16">
        <v>19</v>
      </c>
      <c r="AT429" s="16">
        <v>28</v>
      </c>
      <c r="AU429" s="15" t="s">
        <v>661</v>
      </c>
      <c r="AV429" s="16">
        <f t="shared" ref="AV429:AV491" si="215">SUM(AR429:AT429)</f>
        <v>101</v>
      </c>
      <c r="AW429" s="18">
        <v>1.3</v>
      </c>
      <c r="AX429" s="13">
        <f t="shared" ref="AX429:AX462" si="216">AW429/100</f>
        <v>1.3000000000000001E-2</v>
      </c>
      <c r="AY429" s="8" t="s">
        <v>87</v>
      </c>
      <c r="AZ429" s="16">
        <v>20</v>
      </c>
      <c r="BA429" s="16" t="s">
        <v>55</v>
      </c>
      <c r="BB429" s="16" t="s">
        <v>391</v>
      </c>
      <c r="BC429" s="16" t="s">
        <v>55</v>
      </c>
      <c r="BD429" s="18">
        <v>0.1</v>
      </c>
      <c r="BE429" s="15">
        <f t="shared" ref="BE429:BE492" si="217">BD429/AX429</f>
        <v>7.6923076923076916</v>
      </c>
      <c r="BF429" s="8">
        <f t="shared" si="208"/>
        <v>0.88605664769316317</v>
      </c>
      <c r="BG429" s="8">
        <f t="shared" ref="BG429:BG445" si="218">LOG(BD429)</f>
        <v>-1</v>
      </c>
      <c r="BH429" s="13" t="s">
        <v>841</v>
      </c>
      <c r="BI429" s="13"/>
      <c r="BJ429" s="13"/>
      <c r="BK429" s="13"/>
      <c r="BL429" s="13"/>
      <c r="BM429" s="17"/>
      <c r="BN429" s="17"/>
      <c r="BO429" s="2"/>
    </row>
    <row r="430" spans="1:67" s="14" customFormat="1" x14ac:dyDescent="0.3">
      <c r="A430" s="20">
        <v>428</v>
      </c>
      <c r="B430" s="2" t="s">
        <v>219</v>
      </c>
      <c r="C430" s="2">
        <v>2020</v>
      </c>
      <c r="D430" s="2" t="s">
        <v>205</v>
      </c>
      <c r="E430" s="10" t="s">
        <v>802</v>
      </c>
      <c r="F430" s="20" t="s">
        <v>29</v>
      </c>
      <c r="G430" s="2">
        <v>13</v>
      </c>
      <c r="H430" s="2" t="str">
        <f>'PFAS Properties'!$B$33</f>
        <v>PFOA</v>
      </c>
      <c r="I430" s="2" t="str">
        <f>'PFAS Properties'!$C$33</f>
        <v>PFCA</v>
      </c>
      <c r="J430" s="2" t="str">
        <f>'PFAS Properties'!$D$33</f>
        <v>C8HF15O2</v>
      </c>
      <c r="K430" s="25">
        <f>'PFAS Properties'!$P$33</f>
        <v>413.97359999999998</v>
      </c>
      <c r="L430" s="2">
        <f>'PFAS Properties'!$X$33</f>
        <v>-0.2</v>
      </c>
      <c r="M430" s="2" t="str">
        <f>'PFAS Properties'!$Y$33</f>
        <v>-</v>
      </c>
      <c r="N430" s="33">
        <v>0</v>
      </c>
      <c r="O430" s="33">
        <v>0</v>
      </c>
      <c r="P430" s="33">
        <v>0</v>
      </c>
      <c r="Q430" s="33">
        <f t="shared" si="200"/>
        <v>0.99999960189298798</v>
      </c>
      <c r="R430" s="33">
        <v>0</v>
      </c>
      <c r="S430" s="33">
        <f t="shared" si="201"/>
        <v>3.9810701206424001E-7</v>
      </c>
      <c r="T430" s="8">
        <f t="shared" si="202"/>
        <v>1</v>
      </c>
      <c r="U430" s="33">
        <f t="shared" si="203"/>
        <v>0</v>
      </c>
      <c r="V430" s="33">
        <f t="shared" si="204"/>
        <v>-0.99999960189298798</v>
      </c>
      <c r="W430" s="33">
        <f t="shared" si="205"/>
        <v>412.97360039810701</v>
      </c>
      <c r="X430" s="33">
        <v>96485</v>
      </c>
      <c r="Y430" s="16">
        <f t="shared" si="206"/>
        <v>-233.634696008736</v>
      </c>
      <c r="Z430" s="16">
        <v>8</v>
      </c>
      <c r="AA430" s="16">
        <v>15</v>
      </c>
      <c r="AB430" s="8">
        <f t="shared" si="207"/>
        <v>0.33684210526315789</v>
      </c>
      <c r="AC430" s="16">
        <f t="shared" si="198"/>
        <v>68.844969824162703</v>
      </c>
      <c r="AD430" s="20">
        <f>'PFAS Properties'!$W$33</f>
        <v>7</v>
      </c>
      <c r="AE430" s="8">
        <f>'PFAS Properties'!$S$33</f>
        <v>2.6821450763738319</v>
      </c>
      <c r="AF430" s="15">
        <f>'PFAS Properties'!$V$33</f>
        <v>4.9000000000000004</v>
      </c>
      <c r="AG430" s="24">
        <v>6.2</v>
      </c>
      <c r="AH430" s="2" t="s">
        <v>85</v>
      </c>
      <c r="AI430" s="2">
        <v>2.71</v>
      </c>
      <c r="AJ430" s="15">
        <f t="shared" si="209"/>
        <v>48.527173426448208</v>
      </c>
      <c r="AK430" s="8">
        <f t="shared" si="210"/>
        <v>0.27100000000000002</v>
      </c>
      <c r="AL430" s="2">
        <v>1.63</v>
      </c>
      <c r="AM430" s="15">
        <f t="shared" si="213"/>
        <v>60.415122312824316</v>
      </c>
      <c r="AN430" s="8">
        <f t="shared" si="214"/>
        <v>0.16299999999999998</v>
      </c>
      <c r="AO430" s="15" t="s">
        <v>86</v>
      </c>
      <c r="AP430" s="15">
        <v>5.24</v>
      </c>
      <c r="AQ430" s="15" t="s">
        <v>661</v>
      </c>
      <c r="AR430" s="16">
        <v>55</v>
      </c>
      <c r="AS430" s="16">
        <v>13</v>
      </c>
      <c r="AT430" s="16">
        <v>32</v>
      </c>
      <c r="AU430" s="15" t="s">
        <v>661</v>
      </c>
      <c r="AV430" s="16">
        <f t="shared" si="215"/>
        <v>100</v>
      </c>
      <c r="AW430" s="18">
        <v>1.6</v>
      </c>
      <c r="AX430" s="13">
        <f t="shared" si="216"/>
        <v>1.6E-2</v>
      </c>
      <c r="AY430" s="8" t="s">
        <v>87</v>
      </c>
      <c r="AZ430" s="16">
        <v>20</v>
      </c>
      <c r="BA430" s="16" t="s">
        <v>55</v>
      </c>
      <c r="BB430" s="16" t="s">
        <v>391</v>
      </c>
      <c r="BC430" s="16" t="s">
        <v>55</v>
      </c>
      <c r="BD430" s="18">
        <v>0.33</v>
      </c>
      <c r="BE430" s="15">
        <f t="shared" si="217"/>
        <v>20.625</v>
      </c>
      <c r="BF430" s="8">
        <f t="shared" si="208"/>
        <v>1.3143939572219627</v>
      </c>
      <c r="BG430" s="8">
        <f t="shared" si="218"/>
        <v>-0.48148606012211248</v>
      </c>
      <c r="BH430" s="13" t="s">
        <v>841</v>
      </c>
      <c r="BI430" s="13"/>
      <c r="BJ430" s="13"/>
      <c r="BK430" s="13"/>
      <c r="BL430" s="13"/>
      <c r="BM430" s="17"/>
      <c r="BN430" s="17"/>
      <c r="BO430" s="2"/>
    </row>
    <row r="431" spans="1:67" s="14" customFormat="1" x14ac:dyDescent="0.3">
      <c r="A431" s="20">
        <v>429</v>
      </c>
      <c r="B431" s="2" t="s">
        <v>219</v>
      </c>
      <c r="C431" s="2">
        <v>2020</v>
      </c>
      <c r="D431" s="2" t="s">
        <v>205</v>
      </c>
      <c r="E431" s="10" t="s">
        <v>802</v>
      </c>
      <c r="F431" s="20" t="s">
        <v>29</v>
      </c>
      <c r="G431" s="2">
        <v>14</v>
      </c>
      <c r="H431" s="2" t="str">
        <f>'PFAS Properties'!$B$33</f>
        <v>PFOA</v>
      </c>
      <c r="I431" s="2" t="str">
        <f>'PFAS Properties'!$C$33</f>
        <v>PFCA</v>
      </c>
      <c r="J431" s="2" t="str">
        <f>'PFAS Properties'!$D$33</f>
        <v>C8HF15O2</v>
      </c>
      <c r="K431" s="25">
        <f>'PFAS Properties'!$P$33</f>
        <v>413.97359999999998</v>
      </c>
      <c r="L431" s="2">
        <f>'PFAS Properties'!$X$33</f>
        <v>-0.2</v>
      </c>
      <c r="M431" s="2" t="str">
        <f>'PFAS Properties'!$Y$33</f>
        <v>-</v>
      </c>
      <c r="N431" s="33">
        <v>0</v>
      </c>
      <c r="O431" s="33">
        <v>0</v>
      </c>
      <c r="P431" s="33">
        <v>0</v>
      </c>
      <c r="Q431" s="33">
        <f t="shared" si="200"/>
        <v>0.99999993690426958</v>
      </c>
      <c r="R431" s="33">
        <v>0</v>
      </c>
      <c r="S431" s="33">
        <f t="shared" si="201"/>
        <v>6.3095730466947729E-8</v>
      </c>
      <c r="T431" s="8">
        <f t="shared" si="202"/>
        <v>1</v>
      </c>
      <c r="U431" s="33">
        <f t="shared" si="203"/>
        <v>0</v>
      </c>
      <c r="V431" s="33">
        <f t="shared" si="204"/>
        <v>-0.99999993690426958</v>
      </c>
      <c r="W431" s="33">
        <f t="shared" si="205"/>
        <v>412.97360006309572</v>
      </c>
      <c r="X431" s="33">
        <v>96485</v>
      </c>
      <c r="Y431" s="16">
        <f t="shared" si="206"/>
        <v>-233.63477446855464</v>
      </c>
      <c r="Z431" s="16">
        <v>8</v>
      </c>
      <c r="AA431" s="16">
        <v>15</v>
      </c>
      <c r="AB431" s="8">
        <f t="shared" si="207"/>
        <v>0.33684210526315789</v>
      </c>
      <c r="AC431" s="16">
        <f t="shared" si="198"/>
        <v>68.844969824162703</v>
      </c>
      <c r="AD431" s="20">
        <f>'PFAS Properties'!$W$33</f>
        <v>7</v>
      </c>
      <c r="AE431" s="8">
        <f>'PFAS Properties'!$S$33</f>
        <v>2.6821450763738319</v>
      </c>
      <c r="AF431" s="15">
        <f>'PFAS Properties'!$V$33</f>
        <v>4.9000000000000004</v>
      </c>
      <c r="AG431" s="24">
        <v>7</v>
      </c>
      <c r="AH431" s="2" t="s">
        <v>85</v>
      </c>
      <c r="AI431" s="2">
        <v>3.22</v>
      </c>
      <c r="AJ431" s="15">
        <f t="shared" si="209"/>
        <v>57.659593517772407</v>
      </c>
      <c r="AK431" s="8">
        <f t="shared" si="210"/>
        <v>0.32200000000000001</v>
      </c>
      <c r="AL431" s="2">
        <v>1.79</v>
      </c>
      <c r="AM431" s="15">
        <f t="shared" si="213"/>
        <v>66.345441067457372</v>
      </c>
      <c r="AN431" s="8">
        <f t="shared" si="214"/>
        <v>0.17899999999999999</v>
      </c>
      <c r="AO431" s="15" t="s">
        <v>86</v>
      </c>
      <c r="AP431" s="15">
        <v>17.75</v>
      </c>
      <c r="AQ431" s="15" t="s">
        <v>661</v>
      </c>
      <c r="AR431" s="16">
        <v>36</v>
      </c>
      <c r="AS431" s="16">
        <v>8</v>
      </c>
      <c r="AT431" s="16">
        <v>56</v>
      </c>
      <c r="AU431" s="15" t="s">
        <v>661</v>
      </c>
      <c r="AV431" s="16">
        <f t="shared" si="215"/>
        <v>100</v>
      </c>
      <c r="AW431" s="18">
        <v>1.2</v>
      </c>
      <c r="AX431" s="13">
        <f t="shared" si="216"/>
        <v>1.2E-2</v>
      </c>
      <c r="AY431" s="8" t="s">
        <v>87</v>
      </c>
      <c r="AZ431" s="16">
        <v>20</v>
      </c>
      <c r="BA431" s="16" t="s">
        <v>55</v>
      </c>
      <c r="BB431" s="16" t="s">
        <v>391</v>
      </c>
      <c r="BC431" s="16" t="s">
        <v>55</v>
      </c>
      <c r="BD431" s="18">
        <v>2.88</v>
      </c>
      <c r="BE431" s="15">
        <f t="shared" si="217"/>
        <v>240</v>
      </c>
      <c r="BF431" s="8">
        <f t="shared" si="208"/>
        <v>2.3802112417116059</v>
      </c>
      <c r="BG431" s="8">
        <f t="shared" si="218"/>
        <v>0.45939248775923086</v>
      </c>
      <c r="BH431" s="13" t="s">
        <v>841</v>
      </c>
      <c r="BI431" s="13"/>
      <c r="BJ431" s="13"/>
      <c r="BK431" s="13"/>
      <c r="BL431" s="13"/>
      <c r="BM431" s="17"/>
      <c r="BN431" s="17"/>
      <c r="BO431" s="2"/>
    </row>
    <row r="432" spans="1:67" s="14" customFormat="1" x14ac:dyDescent="0.3">
      <c r="A432" s="20">
        <v>430</v>
      </c>
      <c r="B432" s="2" t="s">
        <v>219</v>
      </c>
      <c r="C432" s="2">
        <v>2020</v>
      </c>
      <c r="D432" s="2" t="s">
        <v>205</v>
      </c>
      <c r="E432" s="10" t="s">
        <v>802</v>
      </c>
      <c r="F432" s="20" t="s">
        <v>29</v>
      </c>
      <c r="G432" s="2">
        <v>15</v>
      </c>
      <c r="H432" s="2" t="str">
        <f>'PFAS Properties'!$B$33</f>
        <v>PFOA</v>
      </c>
      <c r="I432" s="2" t="str">
        <f>'PFAS Properties'!$C$33</f>
        <v>PFCA</v>
      </c>
      <c r="J432" s="2" t="str">
        <f>'PFAS Properties'!$D$33</f>
        <v>C8HF15O2</v>
      </c>
      <c r="K432" s="25">
        <f>'PFAS Properties'!$P$33</f>
        <v>413.97359999999998</v>
      </c>
      <c r="L432" s="2">
        <f>'PFAS Properties'!$X$33</f>
        <v>-0.2</v>
      </c>
      <c r="M432" s="2" t="str">
        <f>'PFAS Properties'!$Y$33</f>
        <v>-</v>
      </c>
      <c r="N432" s="33">
        <v>0</v>
      </c>
      <c r="O432" s="33">
        <v>0</v>
      </c>
      <c r="P432" s="33">
        <v>0</v>
      </c>
      <c r="Q432" s="33">
        <f t="shared" si="200"/>
        <v>0.9999999601892845</v>
      </c>
      <c r="R432" s="33">
        <v>0</v>
      </c>
      <c r="S432" s="33">
        <f t="shared" si="201"/>
        <v>3.9810715470456442E-8</v>
      </c>
      <c r="T432" s="8">
        <f t="shared" si="202"/>
        <v>1</v>
      </c>
      <c r="U432" s="33">
        <f t="shared" si="203"/>
        <v>0</v>
      </c>
      <c r="V432" s="33">
        <f t="shared" si="204"/>
        <v>-0.9999999601892845</v>
      </c>
      <c r="W432" s="33">
        <f t="shared" si="205"/>
        <v>412.97360003981066</v>
      </c>
      <c r="X432" s="33">
        <v>96485</v>
      </c>
      <c r="Y432" s="16">
        <f t="shared" si="206"/>
        <v>-233.63477992191741</v>
      </c>
      <c r="Z432" s="16">
        <v>8</v>
      </c>
      <c r="AA432" s="16">
        <v>15</v>
      </c>
      <c r="AB432" s="8">
        <f t="shared" si="207"/>
        <v>0.33684210526315789</v>
      </c>
      <c r="AC432" s="16">
        <f t="shared" si="198"/>
        <v>68.844969824162703</v>
      </c>
      <c r="AD432" s="20">
        <f>'PFAS Properties'!$W$33</f>
        <v>7</v>
      </c>
      <c r="AE432" s="8">
        <f>'PFAS Properties'!$S$33</f>
        <v>2.6821450763738319</v>
      </c>
      <c r="AF432" s="15">
        <f>'PFAS Properties'!$V$33</f>
        <v>4.9000000000000004</v>
      </c>
      <c r="AG432" s="24">
        <v>7.2</v>
      </c>
      <c r="AH432" s="2" t="s">
        <v>85</v>
      </c>
      <c r="AI432" s="2">
        <v>2.4300000000000002</v>
      </c>
      <c r="AJ432" s="15">
        <f t="shared" si="209"/>
        <v>43.513295729250608</v>
      </c>
      <c r="AK432" s="8">
        <f t="shared" si="210"/>
        <v>0.24300000000000002</v>
      </c>
      <c r="AL432" s="2">
        <v>2.08</v>
      </c>
      <c r="AM432" s="15">
        <f t="shared" si="213"/>
        <v>77.094143810229795</v>
      </c>
      <c r="AN432" s="8">
        <f t="shared" si="214"/>
        <v>0.20800000000000002</v>
      </c>
      <c r="AO432" s="15" t="s">
        <v>86</v>
      </c>
      <c r="AP432" s="15">
        <v>10.81</v>
      </c>
      <c r="AQ432" s="15" t="s">
        <v>661</v>
      </c>
      <c r="AR432" s="16">
        <v>67</v>
      </c>
      <c r="AS432" s="16">
        <v>4</v>
      </c>
      <c r="AT432" s="16">
        <v>29</v>
      </c>
      <c r="AU432" s="15" t="s">
        <v>661</v>
      </c>
      <c r="AV432" s="16">
        <f t="shared" si="215"/>
        <v>100</v>
      </c>
      <c r="AW432" s="18">
        <v>1.5</v>
      </c>
      <c r="AX432" s="13">
        <f t="shared" si="216"/>
        <v>1.4999999999999999E-2</v>
      </c>
      <c r="AY432" s="8" t="s">
        <v>87</v>
      </c>
      <c r="AZ432" s="16">
        <v>20</v>
      </c>
      <c r="BA432" s="16" t="s">
        <v>55</v>
      </c>
      <c r="BB432" s="16" t="s">
        <v>391</v>
      </c>
      <c r="BC432" s="16" t="s">
        <v>55</v>
      </c>
      <c r="BD432" s="18">
        <v>3.65</v>
      </c>
      <c r="BE432" s="15">
        <f t="shared" si="217"/>
        <v>243.33333333333334</v>
      </c>
      <c r="BF432" s="8">
        <f t="shared" si="208"/>
        <v>2.3862016054007933</v>
      </c>
      <c r="BG432" s="8">
        <f t="shared" si="218"/>
        <v>0.56229286445647475</v>
      </c>
      <c r="BH432" s="13" t="s">
        <v>841</v>
      </c>
      <c r="BI432" s="13"/>
      <c r="BJ432" s="13"/>
      <c r="BK432" s="13"/>
      <c r="BL432" s="13"/>
      <c r="BM432" s="17"/>
      <c r="BN432" s="17"/>
      <c r="BO432" s="2"/>
    </row>
    <row r="433" spans="1:69" s="14" customFormat="1" x14ac:dyDescent="0.3">
      <c r="A433" s="20">
        <v>431</v>
      </c>
      <c r="B433" s="2" t="s">
        <v>219</v>
      </c>
      <c r="C433" s="2">
        <v>2020</v>
      </c>
      <c r="D433" s="2" t="s">
        <v>205</v>
      </c>
      <c r="E433" s="10" t="s">
        <v>802</v>
      </c>
      <c r="F433" s="20" t="s">
        <v>29</v>
      </c>
      <c r="G433" s="2">
        <v>16</v>
      </c>
      <c r="H433" s="2" t="str">
        <f>'PFAS Properties'!$B$33</f>
        <v>PFOA</v>
      </c>
      <c r="I433" s="2" t="str">
        <f>'PFAS Properties'!$C$33</f>
        <v>PFCA</v>
      </c>
      <c r="J433" s="2" t="str">
        <f>'PFAS Properties'!$D$33</f>
        <v>C8HF15O2</v>
      </c>
      <c r="K433" s="25">
        <f>'PFAS Properties'!$P$33</f>
        <v>413.97359999999998</v>
      </c>
      <c r="L433" s="2">
        <f>'PFAS Properties'!$X$33</f>
        <v>-0.2</v>
      </c>
      <c r="M433" s="2" t="str">
        <f>'PFAS Properties'!$Y$33</f>
        <v>-</v>
      </c>
      <c r="N433" s="33">
        <v>0</v>
      </c>
      <c r="O433" s="33">
        <v>0</v>
      </c>
      <c r="P433" s="33">
        <v>0</v>
      </c>
      <c r="Q433" s="33">
        <f t="shared" si="200"/>
        <v>0.99999994988127916</v>
      </c>
      <c r="R433" s="33">
        <v>0</v>
      </c>
      <c r="S433" s="33">
        <f t="shared" si="201"/>
        <v>5.011872085084086E-8</v>
      </c>
      <c r="T433" s="8">
        <f t="shared" si="202"/>
        <v>1</v>
      </c>
      <c r="U433" s="33">
        <f t="shared" si="203"/>
        <v>0</v>
      </c>
      <c r="V433" s="33">
        <f t="shared" si="204"/>
        <v>-0.99999994988127916</v>
      </c>
      <c r="W433" s="33">
        <f t="shared" si="205"/>
        <v>412.9736000501187</v>
      </c>
      <c r="X433" s="33">
        <v>96485</v>
      </c>
      <c r="Y433" s="16">
        <f t="shared" si="206"/>
        <v>-233.6347775077771</v>
      </c>
      <c r="Z433" s="16">
        <v>8</v>
      </c>
      <c r="AA433" s="16">
        <v>15</v>
      </c>
      <c r="AB433" s="8">
        <f t="shared" si="207"/>
        <v>0.33684210526315789</v>
      </c>
      <c r="AC433" s="16">
        <f t="shared" si="198"/>
        <v>68.844969824162703</v>
      </c>
      <c r="AD433" s="20">
        <f>'PFAS Properties'!$W$33</f>
        <v>7</v>
      </c>
      <c r="AE433" s="8">
        <f>'PFAS Properties'!$S$33</f>
        <v>2.6821450763738319</v>
      </c>
      <c r="AF433" s="15">
        <f>'PFAS Properties'!$V$33</f>
        <v>4.9000000000000004</v>
      </c>
      <c r="AG433" s="24">
        <v>7.1</v>
      </c>
      <c r="AH433" s="2" t="s">
        <v>85</v>
      </c>
      <c r="AI433" s="2">
        <v>1.82</v>
      </c>
      <c r="AJ433" s="15">
        <f t="shared" si="209"/>
        <v>32.590205031784407</v>
      </c>
      <c r="AK433" s="8">
        <f t="shared" si="210"/>
        <v>0.182</v>
      </c>
      <c r="AL433" s="2">
        <v>1.61</v>
      </c>
      <c r="AM433" s="15">
        <f t="shared" si="213"/>
        <v>59.673832468495178</v>
      </c>
      <c r="AN433" s="8">
        <f t="shared" si="214"/>
        <v>0.161</v>
      </c>
      <c r="AO433" s="15" t="s">
        <v>86</v>
      </c>
      <c r="AP433" s="15">
        <v>14.74</v>
      </c>
      <c r="AQ433" s="15" t="s">
        <v>661</v>
      </c>
      <c r="AR433" s="16">
        <v>60</v>
      </c>
      <c r="AS433" s="16">
        <v>9</v>
      </c>
      <c r="AT433" s="16">
        <v>31</v>
      </c>
      <c r="AU433" s="15" t="s">
        <v>661</v>
      </c>
      <c r="AV433" s="16">
        <f t="shared" si="215"/>
        <v>100</v>
      </c>
      <c r="AW433" s="18">
        <v>1</v>
      </c>
      <c r="AX433" s="13">
        <f t="shared" si="216"/>
        <v>0.01</v>
      </c>
      <c r="AY433" s="8" t="s">
        <v>87</v>
      </c>
      <c r="AZ433" s="16">
        <v>20</v>
      </c>
      <c r="BA433" s="16" t="s">
        <v>55</v>
      </c>
      <c r="BB433" s="16" t="s">
        <v>391</v>
      </c>
      <c r="BC433" s="16" t="s">
        <v>55</v>
      </c>
      <c r="BD433" s="18">
        <v>1.6</v>
      </c>
      <c r="BE433" s="15">
        <f t="shared" si="217"/>
        <v>160</v>
      </c>
      <c r="BF433" s="8">
        <f t="shared" si="208"/>
        <v>2.2041199826559246</v>
      </c>
      <c r="BG433" s="8">
        <f t="shared" si="218"/>
        <v>0.20411998265592479</v>
      </c>
      <c r="BH433" s="13" t="s">
        <v>841</v>
      </c>
      <c r="BI433" s="13"/>
      <c r="BJ433" s="13"/>
      <c r="BK433" s="13"/>
      <c r="BL433" s="13"/>
      <c r="BM433" s="17"/>
      <c r="BN433" s="17"/>
      <c r="BO433" s="2"/>
    </row>
    <row r="434" spans="1:69" s="14" customFormat="1" x14ac:dyDescent="0.3">
      <c r="A434" s="20">
        <v>432</v>
      </c>
      <c r="B434" s="2" t="s">
        <v>219</v>
      </c>
      <c r="C434" s="2">
        <v>2020</v>
      </c>
      <c r="D434" s="2" t="s">
        <v>205</v>
      </c>
      <c r="E434" s="10" t="s">
        <v>802</v>
      </c>
      <c r="F434" s="20" t="s">
        <v>29</v>
      </c>
      <c r="G434" s="2">
        <v>17</v>
      </c>
      <c r="H434" s="2" t="str">
        <f>'PFAS Properties'!$B$33</f>
        <v>PFOA</v>
      </c>
      <c r="I434" s="2" t="str">
        <f>'PFAS Properties'!$C$33</f>
        <v>PFCA</v>
      </c>
      <c r="J434" s="2" t="str">
        <f>'PFAS Properties'!$D$33</f>
        <v>C8HF15O2</v>
      </c>
      <c r="K434" s="25">
        <f>'PFAS Properties'!$P$33</f>
        <v>413.97359999999998</v>
      </c>
      <c r="L434" s="2">
        <f>'PFAS Properties'!$X$33</f>
        <v>-0.2</v>
      </c>
      <c r="M434" s="2" t="str">
        <f>'PFAS Properties'!$Y$33</f>
        <v>-</v>
      </c>
      <c r="N434" s="33">
        <v>0</v>
      </c>
      <c r="O434" s="33">
        <v>0</v>
      </c>
      <c r="P434" s="33">
        <v>0</v>
      </c>
      <c r="Q434" s="33">
        <f t="shared" si="200"/>
        <v>0.99999369046636566</v>
      </c>
      <c r="R434" s="33">
        <v>0</v>
      </c>
      <c r="S434" s="33">
        <f t="shared" si="201"/>
        <v>6.3095336343360528E-6</v>
      </c>
      <c r="T434" s="8">
        <f t="shared" si="202"/>
        <v>1</v>
      </c>
      <c r="U434" s="33">
        <f t="shared" si="203"/>
        <v>0</v>
      </c>
      <c r="V434" s="33">
        <f t="shared" si="204"/>
        <v>-0.99999369046636566</v>
      </c>
      <c r="W434" s="33">
        <f t="shared" si="205"/>
        <v>412.97360630953358</v>
      </c>
      <c r="X434" s="33">
        <v>96485</v>
      </c>
      <c r="Y434" s="16">
        <f t="shared" si="206"/>
        <v>-233.63331154952778</v>
      </c>
      <c r="Z434" s="16">
        <v>8</v>
      </c>
      <c r="AA434" s="16">
        <v>15</v>
      </c>
      <c r="AB434" s="8">
        <f t="shared" si="207"/>
        <v>0.33684210526315789</v>
      </c>
      <c r="AC434" s="16">
        <f t="shared" si="198"/>
        <v>68.844969824162703</v>
      </c>
      <c r="AD434" s="20">
        <f>'PFAS Properties'!$W$33</f>
        <v>7</v>
      </c>
      <c r="AE434" s="8">
        <f>'PFAS Properties'!$S$33</f>
        <v>2.6821450763738319</v>
      </c>
      <c r="AF434" s="15">
        <f>'PFAS Properties'!$V$33</f>
        <v>4.9000000000000004</v>
      </c>
      <c r="AG434" s="24">
        <v>5</v>
      </c>
      <c r="AH434" s="2" t="s">
        <v>85</v>
      </c>
      <c r="AI434" s="2">
        <v>3.66</v>
      </c>
      <c r="AJ434" s="15">
        <f t="shared" si="209"/>
        <v>65.538544184797203</v>
      </c>
      <c r="AK434" s="8">
        <f t="shared" si="210"/>
        <v>0.36599999999999999</v>
      </c>
      <c r="AL434" s="2">
        <v>2.37</v>
      </c>
      <c r="AM434" s="15">
        <f t="shared" si="213"/>
        <v>87.842846553002218</v>
      </c>
      <c r="AN434" s="8">
        <f t="shared" si="214"/>
        <v>0.23700000000000002</v>
      </c>
      <c r="AO434" s="15" t="s">
        <v>86</v>
      </c>
      <c r="AP434" s="15">
        <v>5.42</v>
      </c>
      <c r="AQ434" s="15" t="s">
        <v>661</v>
      </c>
      <c r="AR434" s="16">
        <v>38</v>
      </c>
      <c r="AS434" s="16">
        <v>16</v>
      </c>
      <c r="AT434" s="16">
        <v>46</v>
      </c>
      <c r="AU434" s="15" t="s">
        <v>661</v>
      </c>
      <c r="AV434" s="16">
        <f t="shared" si="215"/>
        <v>100</v>
      </c>
      <c r="AW434" s="18">
        <v>1.6</v>
      </c>
      <c r="AX434" s="13">
        <f t="shared" si="216"/>
        <v>1.6E-2</v>
      </c>
      <c r="AY434" s="8" t="s">
        <v>87</v>
      </c>
      <c r="AZ434" s="16">
        <v>20</v>
      </c>
      <c r="BA434" s="16" t="s">
        <v>55</v>
      </c>
      <c r="BB434" s="16" t="s">
        <v>391</v>
      </c>
      <c r="BC434" s="16" t="s">
        <v>55</v>
      </c>
      <c r="BD434" s="18">
        <v>0.5</v>
      </c>
      <c r="BE434" s="15">
        <f t="shared" si="217"/>
        <v>31.25</v>
      </c>
      <c r="BF434" s="8">
        <f t="shared" si="208"/>
        <v>1.494850021680094</v>
      </c>
      <c r="BG434" s="8">
        <f t="shared" si="218"/>
        <v>-0.3010299956639812</v>
      </c>
      <c r="BH434" s="13" t="s">
        <v>841</v>
      </c>
      <c r="BI434" s="13"/>
      <c r="BJ434" s="13"/>
      <c r="BK434" s="13"/>
      <c r="BL434" s="13"/>
      <c r="BM434" s="17"/>
      <c r="BN434" s="17"/>
      <c r="BO434" s="2"/>
    </row>
    <row r="435" spans="1:69" s="14" customFormat="1" x14ac:dyDescent="0.3">
      <c r="A435" s="20">
        <v>433</v>
      </c>
      <c r="B435" s="2" t="s">
        <v>219</v>
      </c>
      <c r="C435" s="2">
        <v>2020</v>
      </c>
      <c r="D435" s="2" t="s">
        <v>205</v>
      </c>
      <c r="E435" s="10" t="s">
        <v>802</v>
      </c>
      <c r="F435" s="20" t="s">
        <v>29</v>
      </c>
      <c r="G435" s="2">
        <v>18</v>
      </c>
      <c r="H435" s="2" t="str">
        <f>'PFAS Properties'!$B$33</f>
        <v>PFOA</v>
      </c>
      <c r="I435" s="2" t="str">
        <f>'PFAS Properties'!$C$33</f>
        <v>PFCA</v>
      </c>
      <c r="J435" s="2" t="str">
        <f>'PFAS Properties'!$D$33</f>
        <v>C8HF15O2</v>
      </c>
      <c r="K435" s="25">
        <f>'PFAS Properties'!$P$33</f>
        <v>413.97359999999998</v>
      </c>
      <c r="L435" s="2">
        <f>'PFAS Properties'!$X$33</f>
        <v>-0.2</v>
      </c>
      <c r="M435" s="2" t="str">
        <f>'PFAS Properties'!$Y$33</f>
        <v>-</v>
      </c>
      <c r="N435" s="33">
        <v>0</v>
      </c>
      <c r="O435" s="33">
        <v>0</v>
      </c>
      <c r="P435" s="33">
        <v>0</v>
      </c>
      <c r="Q435" s="33">
        <f t="shared" si="200"/>
        <v>0.99999369046636566</v>
      </c>
      <c r="R435" s="33">
        <v>0</v>
      </c>
      <c r="S435" s="33">
        <f t="shared" si="201"/>
        <v>6.3095336343360528E-6</v>
      </c>
      <c r="T435" s="8">
        <f t="shared" si="202"/>
        <v>1</v>
      </c>
      <c r="U435" s="33">
        <f t="shared" si="203"/>
        <v>0</v>
      </c>
      <c r="V435" s="33">
        <f t="shared" si="204"/>
        <v>-0.99999369046636566</v>
      </c>
      <c r="W435" s="33">
        <f t="shared" si="205"/>
        <v>412.97360630953358</v>
      </c>
      <c r="X435" s="33">
        <v>96485</v>
      </c>
      <c r="Y435" s="16">
        <f t="shared" si="206"/>
        <v>-233.63331154952778</v>
      </c>
      <c r="Z435" s="16">
        <v>8</v>
      </c>
      <c r="AA435" s="16">
        <v>15</v>
      </c>
      <c r="AB435" s="8">
        <f t="shared" si="207"/>
        <v>0.33684210526315789</v>
      </c>
      <c r="AC435" s="16">
        <f t="shared" si="198"/>
        <v>68.844969824162703</v>
      </c>
      <c r="AD435" s="20">
        <f>'PFAS Properties'!$W$33</f>
        <v>7</v>
      </c>
      <c r="AE435" s="8">
        <f>'PFAS Properties'!$S$33</f>
        <v>2.6821450763738319</v>
      </c>
      <c r="AF435" s="15">
        <f>'PFAS Properties'!$V$33</f>
        <v>4.9000000000000004</v>
      </c>
      <c r="AG435" s="24">
        <v>5</v>
      </c>
      <c r="AH435" s="2" t="s">
        <v>85</v>
      </c>
      <c r="AI435" s="2">
        <v>4.32</v>
      </c>
      <c r="AJ435" s="15">
        <f t="shared" si="209"/>
        <v>77.356970185334404</v>
      </c>
      <c r="AK435" s="8">
        <f t="shared" si="210"/>
        <v>0.43200000000000005</v>
      </c>
      <c r="AL435" s="2">
        <v>19.399999999999999</v>
      </c>
      <c r="AM435" s="15">
        <f t="shared" si="213"/>
        <v>719.05114899925866</v>
      </c>
      <c r="AN435" s="8">
        <f t="shared" si="214"/>
        <v>1.94</v>
      </c>
      <c r="AO435" s="15" t="s">
        <v>86</v>
      </c>
      <c r="AP435" s="15">
        <v>17.3</v>
      </c>
      <c r="AQ435" s="15" t="s">
        <v>661</v>
      </c>
      <c r="AR435" s="16">
        <v>49</v>
      </c>
      <c r="AS435" s="16">
        <v>38</v>
      </c>
      <c r="AT435" s="16">
        <v>13</v>
      </c>
      <c r="AU435" s="15" t="s">
        <v>661</v>
      </c>
      <c r="AV435" s="16">
        <f t="shared" si="215"/>
        <v>100</v>
      </c>
      <c r="AW435" s="18">
        <v>4.8</v>
      </c>
      <c r="AX435" s="13">
        <f t="shared" si="216"/>
        <v>4.8000000000000001E-2</v>
      </c>
      <c r="AY435" s="8" t="s">
        <v>87</v>
      </c>
      <c r="AZ435" s="16">
        <v>20</v>
      </c>
      <c r="BA435" s="16" t="s">
        <v>55</v>
      </c>
      <c r="BB435" s="16" t="s">
        <v>391</v>
      </c>
      <c r="BC435" s="16" t="s">
        <v>55</v>
      </c>
      <c r="BD435" s="18">
        <v>3.94</v>
      </c>
      <c r="BE435" s="15">
        <f t="shared" si="217"/>
        <v>82.083333333333329</v>
      </c>
      <c r="BF435" s="8">
        <f t="shared" si="208"/>
        <v>1.914254984449987</v>
      </c>
      <c r="BG435" s="8">
        <f t="shared" si="218"/>
        <v>0.59549622182557416</v>
      </c>
      <c r="BH435" s="13" t="s">
        <v>841</v>
      </c>
      <c r="BI435" s="13"/>
      <c r="BJ435" s="13"/>
      <c r="BK435" s="13"/>
      <c r="BL435" s="13"/>
      <c r="BM435" s="17"/>
      <c r="BN435" s="17"/>
      <c r="BO435" s="2"/>
    </row>
    <row r="436" spans="1:69" s="14" customFormat="1" x14ac:dyDescent="0.3">
      <c r="A436" s="20">
        <v>434</v>
      </c>
      <c r="B436" s="2" t="s">
        <v>219</v>
      </c>
      <c r="C436" s="2">
        <v>2020</v>
      </c>
      <c r="D436" s="2" t="s">
        <v>205</v>
      </c>
      <c r="E436" s="10" t="s">
        <v>802</v>
      </c>
      <c r="F436" s="20" t="s">
        <v>29</v>
      </c>
      <c r="G436" s="2">
        <v>19</v>
      </c>
      <c r="H436" s="2" t="str">
        <f>'PFAS Properties'!$B$33</f>
        <v>PFOA</v>
      </c>
      <c r="I436" s="2" t="str">
        <f>'PFAS Properties'!$C$33</f>
        <v>PFCA</v>
      </c>
      <c r="J436" s="2" t="str">
        <f>'PFAS Properties'!$D$33</f>
        <v>C8HF15O2</v>
      </c>
      <c r="K436" s="25">
        <f>'PFAS Properties'!$P$33</f>
        <v>413.97359999999998</v>
      </c>
      <c r="L436" s="2">
        <f>'PFAS Properties'!$X$33</f>
        <v>-0.2</v>
      </c>
      <c r="M436" s="2" t="str">
        <f>'PFAS Properties'!$Y$33</f>
        <v>-</v>
      </c>
      <c r="N436" s="33">
        <v>0</v>
      </c>
      <c r="O436" s="33">
        <v>0</v>
      </c>
      <c r="P436" s="33">
        <v>0</v>
      </c>
      <c r="Q436" s="33">
        <f t="shared" si="200"/>
        <v>0.99999900000099995</v>
      </c>
      <c r="R436" s="33">
        <v>0</v>
      </c>
      <c r="S436" s="33">
        <f t="shared" si="201"/>
        <v>9.9999900000100006E-7</v>
      </c>
      <c r="T436" s="8">
        <f t="shared" si="202"/>
        <v>1</v>
      </c>
      <c r="U436" s="33">
        <f t="shared" si="203"/>
        <v>0</v>
      </c>
      <c r="V436" s="33">
        <f t="shared" si="204"/>
        <v>-0.99999900000099995</v>
      </c>
      <c r="W436" s="33">
        <f t="shared" si="205"/>
        <v>412.97360099999895</v>
      </c>
      <c r="X436" s="33">
        <v>96485</v>
      </c>
      <c r="Y436" s="16">
        <f t="shared" si="206"/>
        <v>-233.63455504531566</v>
      </c>
      <c r="Z436" s="16">
        <v>8</v>
      </c>
      <c r="AA436" s="16">
        <v>15</v>
      </c>
      <c r="AB436" s="8">
        <f t="shared" si="207"/>
        <v>0.33684210526315789</v>
      </c>
      <c r="AC436" s="16">
        <f t="shared" si="198"/>
        <v>68.844969824162703</v>
      </c>
      <c r="AD436" s="20">
        <f>'PFAS Properties'!$W$33</f>
        <v>7</v>
      </c>
      <c r="AE436" s="8">
        <f>'PFAS Properties'!$S$33</f>
        <v>2.6821450763738319</v>
      </c>
      <c r="AF436" s="15">
        <f>'PFAS Properties'!$V$33</f>
        <v>4.9000000000000004</v>
      </c>
      <c r="AG436" s="24">
        <v>5.8</v>
      </c>
      <c r="AH436" s="2" t="s">
        <v>85</v>
      </c>
      <c r="AI436" s="2">
        <v>1.58</v>
      </c>
      <c r="AJ436" s="15">
        <f t="shared" si="209"/>
        <v>28.292595577043603</v>
      </c>
      <c r="AK436" s="8">
        <f t="shared" si="210"/>
        <v>0.158</v>
      </c>
      <c r="AL436" s="2">
        <v>0.65500000000000003</v>
      </c>
      <c r="AM436" s="15">
        <f t="shared" si="213"/>
        <v>24.277242401779095</v>
      </c>
      <c r="AN436" s="8">
        <f t="shared" si="214"/>
        <v>6.5500000000000003E-2</v>
      </c>
      <c r="AO436" s="15" t="s">
        <v>86</v>
      </c>
      <c r="AP436" s="15">
        <v>4.34</v>
      </c>
      <c r="AQ436" s="15" t="s">
        <v>661</v>
      </c>
      <c r="AR436" s="16">
        <v>74</v>
      </c>
      <c r="AS436" s="16">
        <v>5</v>
      </c>
      <c r="AT436" s="16">
        <v>21</v>
      </c>
      <c r="AU436" s="15" t="s">
        <v>661</v>
      </c>
      <c r="AV436" s="16">
        <f t="shared" si="215"/>
        <v>100</v>
      </c>
      <c r="AW436" s="18">
        <v>0.8</v>
      </c>
      <c r="AX436" s="13">
        <f t="shared" si="216"/>
        <v>8.0000000000000002E-3</v>
      </c>
      <c r="AY436" s="8" t="s">
        <v>87</v>
      </c>
      <c r="AZ436" s="16">
        <v>20</v>
      </c>
      <c r="BA436" s="16" t="s">
        <v>55</v>
      </c>
      <c r="BB436" s="16" t="s">
        <v>391</v>
      </c>
      <c r="BC436" s="16" t="s">
        <v>55</v>
      </c>
      <c r="BD436" s="18">
        <v>0.61</v>
      </c>
      <c r="BE436" s="15">
        <f t="shared" si="217"/>
        <v>76.25</v>
      </c>
      <c r="BF436" s="8">
        <f t="shared" si="208"/>
        <v>1.8822398480188234</v>
      </c>
      <c r="BG436" s="8">
        <f t="shared" si="218"/>
        <v>-0.21467016498923297</v>
      </c>
      <c r="BH436" s="13" t="s">
        <v>841</v>
      </c>
      <c r="BI436" s="13"/>
      <c r="BJ436" s="13"/>
      <c r="BK436" s="13"/>
      <c r="BL436" s="13"/>
      <c r="BM436" s="17"/>
      <c r="BN436" s="17"/>
      <c r="BO436" s="2"/>
    </row>
    <row r="437" spans="1:69" s="14" customFormat="1" x14ac:dyDescent="0.3">
      <c r="A437" s="20">
        <v>435</v>
      </c>
      <c r="B437" s="2" t="s">
        <v>219</v>
      </c>
      <c r="C437" s="2">
        <v>2020</v>
      </c>
      <c r="D437" s="2" t="s">
        <v>205</v>
      </c>
      <c r="E437" s="10" t="s">
        <v>802</v>
      </c>
      <c r="F437" s="20" t="s">
        <v>29</v>
      </c>
      <c r="G437" s="2">
        <v>20</v>
      </c>
      <c r="H437" s="2" t="str">
        <f>'PFAS Properties'!$B$33</f>
        <v>PFOA</v>
      </c>
      <c r="I437" s="2" t="str">
        <f>'PFAS Properties'!$C$33</f>
        <v>PFCA</v>
      </c>
      <c r="J437" s="2" t="str">
        <f>'PFAS Properties'!$D$33</f>
        <v>C8HF15O2</v>
      </c>
      <c r="K437" s="25">
        <f>'PFAS Properties'!$P$33</f>
        <v>413.97359999999998</v>
      </c>
      <c r="L437" s="2">
        <f>'PFAS Properties'!$X$33</f>
        <v>-0.2</v>
      </c>
      <c r="M437" s="2" t="str">
        <f>'PFAS Properties'!$Y$33</f>
        <v>-</v>
      </c>
      <c r="N437" s="33">
        <v>0</v>
      </c>
      <c r="O437" s="33">
        <v>0</v>
      </c>
      <c r="P437" s="33">
        <v>0</v>
      </c>
      <c r="Q437" s="33">
        <f t="shared" si="200"/>
        <v>0.99999800474166611</v>
      </c>
      <c r="R437" s="33">
        <v>0</v>
      </c>
      <c r="S437" s="33">
        <f t="shared" si="201"/>
        <v>1.9952583339051124E-6</v>
      </c>
      <c r="T437" s="8">
        <f t="shared" si="202"/>
        <v>1</v>
      </c>
      <c r="U437" s="33">
        <f t="shared" si="203"/>
        <v>0</v>
      </c>
      <c r="V437" s="33">
        <f t="shared" si="204"/>
        <v>-0.99999800474166611</v>
      </c>
      <c r="W437" s="33">
        <f t="shared" si="205"/>
        <v>412.97360199525832</v>
      </c>
      <c r="X437" s="33">
        <v>96485</v>
      </c>
      <c r="Y437" s="16">
        <f t="shared" si="206"/>
        <v>-233.63432195505678</v>
      </c>
      <c r="Z437" s="16">
        <v>8</v>
      </c>
      <c r="AA437" s="16">
        <v>15</v>
      </c>
      <c r="AB437" s="8">
        <f t="shared" si="207"/>
        <v>0.33684210526315789</v>
      </c>
      <c r="AC437" s="16">
        <f t="shared" si="198"/>
        <v>68.844969824162703</v>
      </c>
      <c r="AD437" s="20">
        <f>'PFAS Properties'!$W$33</f>
        <v>7</v>
      </c>
      <c r="AE437" s="8">
        <f>'PFAS Properties'!$S$33</f>
        <v>2.6821450763738319</v>
      </c>
      <c r="AF437" s="15">
        <f>'PFAS Properties'!$V$33</f>
        <v>4.9000000000000004</v>
      </c>
      <c r="AG437" s="24">
        <v>5.5</v>
      </c>
      <c r="AH437" s="2" t="s">
        <v>85</v>
      </c>
      <c r="AI437" s="2">
        <v>2.91</v>
      </c>
      <c r="AJ437" s="15">
        <f t="shared" si="209"/>
        <v>52.10851463873221</v>
      </c>
      <c r="AK437" s="8">
        <f t="shared" si="210"/>
        <v>0.29100000000000004</v>
      </c>
      <c r="AL437" s="2">
        <v>2.72</v>
      </c>
      <c r="AM437" s="15">
        <f t="shared" si="213"/>
        <v>100.81541882876205</v>
      </c>
      <c r="AN437" s="8">
        <f t="shared" si="214"/>
        <v>0.27200000000000002</v>
      </c>
      <c r="AO437" s="15" t="s">
        <v>86</v>
      </c>
      <c r="AP437" s="15">
        <v>16.3</v>
      </c>
      <c r="AQ437" s="15" t="s">
        <v>661</v>
      </c>
      <c r="AR437" s="16">
        <v>21</v>
      </c>
      <c r="AS437" s="16">
        <v>21</v>
      </c>
      <c r="AT437" s="16">
        <v>58</v>
      </c>
      <c r="AU437" s="15" t="s">
        <v>661</v>
      </c>
      <c r="AV437" s="16">
        <f t="shared" si="215"/>
        <v>100</v>
      </c>
      <c r="AW437" s="18">
        <v>1</v>
      </c>
      <c r="AX437" s="13">
        <f t="shared" si="216"/>
        <v>0.01</v>
      </c>
      <c r="AY437" s="8" t="s">
        <v>87</v>
      </c>
      <c r="AZ437" s="16">
        <v>20</v>
      </c>
      <c r="BA437" s="16" t="s">
        <v>55</v>
      </c>
      <c r="BB437" s="16" t="s">
        <v>391</v>
      </c>
      <c r="BC437" s="16" t="s">
        <v>55</v>
      </c>
      <c r="BD437" s="18">
        <v>3.71</v>
      </c>
      <c r="BE437" s="15">
        <f t="shared" si="217"/>
        <v>371</v>
      </c>
      <c r="BF437" s="8">
        <f t="shared" si="208"/>
        <v>2.5693739096150461</v>
      </c>
      <c r="BG437" s="8">
        <f t="shared" si="218"/>
        <v>0.56937390961504586</v>
      </c>
      <c r="BH437" s="13" t="s">
        <v>841</v>
      </c>
      <c r="BI437" s="13"/>
      <c r="BJ437" s="13"/>
      <c r="BK437" s="13"/>
      <c r="BL437" s="13"/>
      <c r="BM437" s="17"/>
      <c r="BN437" s="17"/>
      <c r="BO437" s="2"/>
    </row>
    <row r="438" spans="1:69" s="14" customFormat="1" x14ac:dyDescent="0.3">
      <c r="A438" s="20">
        <v>436</v>
      </c>
      <c r="B438" s="2" t="s">
        <v>219</v>
      </c>
      <c r="C438" s="2">
        <v>2020</v>
      </c>
      <c r="D438" s="2" t="s">
        <v>205</v>
      </c>
      <c r="E438" s="10" t="s">
        <v>802</v>
      </c>
      <c r="F438" s="20" t="s">
        <v>29</v>
      </c>
      <c r="G438" s="2">
        <v>21</v>
      </c>
      <c r="H438" s="2" t="str">
        <f>'PFAS Properties'!$B$33</f>
        <v>PFOA</v>
      </c>
      <c r="I438" s="2" t="str">
        <f>'PFAS Properties'!$C$33</f>
        <v>PFCA</v>
      </c>
      <c r="J438" s="2" t="str">
        <f>'PFAS Properties'!$D$33</f>
        <v>C8HF15O2</v>
      </c>
      <c r="K438" s="25">
        <f>'PFAS Properties'!$P$33</f>
        <v>413.97359999999998</v>
      </c>
      <c r="L438" s="2">
        <f>'PFAS Properties'!$X$33</f>
        <v>-0.2</v>
      </c>
      <c r="M438" s="2" t="str">
        <f>'PFAS Properties'!$Y$33</f>
        <v>-</v>
      </c>
      <c r="N438" s="33">
        <v>0</v>
      </c>
      <c r="O438" s="33">
        <v>0</v>
      </c>
      <c r="P438" s="33">
        <v>0</v>
      </c>
      <c r="Q438" s="33">
        <f t="shared" si="200"/>
        <v>0.99999874107617315</v>
      </c>
      <c r="R438" s="33">
        <v>0</v>
      </c>
      <c r="S438" s="33">
        <f t="shared" si="201"/>
        <v>1.2589238269029671E-6</v>
      </c>
      <c r="T438" s="8">
        <f t="shared" si="202"/>
        <v>1</v>
      </c>
      <c r="U438" s="33">
        <f t="shared" si="203"/>
        <v>0</v>
      </c>
      <c r="V438" s="33">
        <f t="shared" si="204"/>
        <v>-0.99999874107617315</v>
      </c>
      <c r="W438" s="33">
        <f t="shared" si="205"/>
        <v>412.97360125892379</v>
      </c>
      <c r="X438" s="33">
        <v>96485</v>
      </c>
      <c r="Y438" s="16">
        <f t="shared" si="206"/>
        <v>-233.63449440498505</v>
      </c>
      <c r="Z438" s="16">
        <v>8</v>
      </c>
      <c r="AA438" s="16">
        <v>15</v>
      </c>
      <c r="AB438" s="8">
        <f t="shared" si="207"/>
        <v>0.33684210526315789</v>
      </c>
      <c r="AC438" s="16">
        <f t="shared" si="198"/>
        <v>68.844969824162703</v>
      </c>
      <c r="AD438" s="20">
        <f>'PFAS Properties'!$W$33</f>
        <v>7</v>
      </c>
      <c r="AE438" s="8">
        <f>'PFAS Properties'!$S$33</f>
        <v>2.6821450763738319</v>
      </c>
      <c r="AF438" s="15">
        <f>'PFAS Properties'!$V$33</f>
        <v>4.9000000000000004</v>
      </c>
      <c r="AG438" s="24">
        <v>5.7</v>
      </c>
      <c r="AH438" s="2" t="s">
        <v>85</v>
      </c>
      <c r="AI438" s="2">
        <v>2.2599999999999998</v>
      </c>
      <c r="AJ438" s="15">
        <f t="shared" si="209"/>
        <v>40.469155698809203</v>
      </c>
      <c r="AK438" s="8">
        <f t="shared" si="210"/>
        <v>0.22599999999999998</v>
      </c>
      <c r="AL438" s="2">
        <v>5.72</v>
      </c>
      <c r="AM438" s="15">
        <f t="shared" si="213"/>
        <v>212.00889547813193</v>
      </c>
      <c r="AN438" s="8">
        <f t="shared" si="214"/>
        <v>0.57199999999999995</v>
      </c>
      <c r="AO438" s="15" t="s">
        <v>86</v>
      </c>
      <c r="AP438" s="15">
        <v>9.98</v>
      </c>
      <c r="AQ438" s="15" t="s">
        <v>661</v>
      </c>
      <c r="AR438" s="16">
        <v>70</v>
      </c>
      <c r="AS438" s="16">
        <v>8</v>
      </c>
      <c r="AT438" s="16">
        <v>22</v>
      </c>
      <c r="AU438" s="15" t="s">
        <v>661</v>
      </c>
      <c r="AV438" s="16">
        <f t="shared" si="215"/>
        <v>100</v>
      </c>
      <c r="AW438" s="18">
        <v>3.5</v>
      </c>
      <c r="AX438" s="13">
        <f t="shared" si="216"/>
        <v>3.5000000000000003E-2</v>
      </c>
      <c r="AY438" s="8" t="s">
        <v>87</v>
      </c>
      <c r="AZ438" s="16">
        <v>20</v>
      </c>
      <c r="BA438" s="16" t="s">
        <v>55</v>
      </c>
      <c r="BB438" s="16" t="s">
        <v>391</v>
      </c>
      <c r="BC438" s="16" t="s">
        <v>55</v>
      </c>
      <c r="BD438" s="18">
        <v>0.92</v>
      </c>
      <c r="BE438" s="15">
        <f t="shared" si="217"/>
        <v>26.285714285714285</v>
      </c>
      <c r="BF438" s="8">
        <f t="shared" si="208"/>
        <v>1.4197197829952797</v>
      </c>
      <c r="BG438" s="8">
        <f t="shared" si="218"/>
        <v>-3.6212172654444715E-2</v>
      </c>
      <c r="BH438" s="13" t="s">
        <v>841</v>
      </c>
      <c r="BI438" s="13"/>
      <c r="BJ438" s="13"/>
      <c r="BK438" s="13"/>
      <c r="BL438" s="13"/>
      <c r="BM438" s="17"/>
      <c r="BN438" s="17"/>
      <c r="BO438" s="2"/>
    </row>
    <row r="439" spans="1:69" s="14" customFormat="1" x14ac:dyDescent="0.3">
      <c r="A439" s="20">
        <v>437</v>
      </c>
      <c r="B439" s="2" t="s">
        <v>219</v>
      </c>
      <c r="C439" s="2">
        <v>2020</v>
      </c>
      <c r="D439" s="2" t="s">
        <v>205</v>
      </c>
      <c r="E439" s="10" t="s">
        <v>802</v>
      </c>
      <c r="F439" s="20" t="s">
        <v>29</v>
      </c>
      <c r="G439" s="2">
        <v>22</v>
      </c>
      <c r="H439" s="2" t="str">
        <f>'PFAS Properties'!$B$33</f>
        <v>PFOA</v>
      </c>
      <c r="I439" s="2" t="str">
        <f>'PFAS Properties'!$C$33</f>
        <v>PFCA</v>
      </c>
      <c r="J439" s="2" t="str">
        <f>'PFAS Properties'!$D$33</f>
        <v>C8HF15O2</v>
      </c>
      <c r="K439" s="25">
        <f>'PFAS Properties'!$P$33</f>
        <v>413.97359999999998</v>
      </c>
      <c r="L439" s="2">
        <f>'PFAS Properties'!$X$33</f>
        <v>-0.2</v>
      </c>
      <c r="M439" s="2" t="str">
        <f>'PFAS Properties'!$Y$33</f>
        <v>-</v>
      </c>
      <c r="N439" s="33">
        <v>0</v>
      </c>
      <c r="O439" s="33">
        <v>0</v>
      </c>
      <c r="P439" s="33">
        <v>0</v>
      </c>
      <c r="Q439" s="33">
        <f t="shared" si="200"/>
        <v>0.99999993690426958</v>
      </c>
      <c r="R439" s="33">
        <v>0</v>
      </c>
      <c r="S439" s="33">
        <f t="shared" si="201"/>
        <v>6.3095730466947729E-8</v>
      </c>
      <c r="T439" s="8">
        <f t="shared" si="202"/>
        <v>1</v>
      </c>
      <c r="U439" s="33">
        <f t="shared" si="203"/>
        <v>0</v>
      </c>
      <c r="V439" s="33">
        <f t="shared" si="204"/>
        <v>-0.99999993690426958</v>
      </c>
      <c r="W439" s="33">
        <f t="shared" si="205"/>
        <v>412.97360006309572</v>
      </c>
      <c r="X439" s="33">
        <v>96485</v>
      </c>
      <c r="Y439" s="16">
        <f t="shared" si="206"/>
        <v>-233.63477446855464</v>
      </c>
      <c r="Z439" s="16">
        <v>8</v>
      </c>
      <c r="AA439" s="16">
        <v>15</v>
      </c>
      <c r="AB439" s="8">
        <f t="shared" si="207"/>
        <v>0.33684210526315789</v>
      </c>
      <c r="AC439" s="16">
        <f t="shared" si="198"/>
        <v>68.844969824162703</v>
      </c>
      <c r="AD439" s="20">
        <f>'PFAS Properties'!$W$33</f>
        <v>7</v>
      </c>
      <c r="AE439" s="8">
        <f>'PFAS Properties'!$S$33</f>
        <v>2.6821450763738319</v>
      </c>
      <c r="AF439" s="15">
        <f>'PFAS Properties'!$V$33</f>
        <v>4.9000000000000004</v>
      </c>
      <c r="AG439" s="24">
        <v>7</v>
      </c>
      <c r="AH439" s="2" t="s">
        <v>85</v>
      </c>
      <c r="AI439" s="2">
        <v>3.78</v>
      </c>
      <c r="AJ439" s="15">
        <f t="shared" si="209"/>
        <v>67.687348912167607</v>
      </c>
      <c r="AK439" s="8">
        <f t="shared" si="210"/>
        <v>0.378</v>
      </c>
      <c r="AL439" s="2">
        <v>2.46</v>
      </c>
      <c r="AM439" s="15">
        <f t="shared" si="213"/>
        <v>91.178650852483315</v>
      </c>
      <c r="AN439" s="8">
        <f t="shared" si="214"/>
        <v>0.246</v>
      </c>
      <c r="AO439" s="15" t="s">
        <v>86</v>
      </c>
      <c r="AP439" s="15">
        <v>19.12</v>
      </c>
      <c r="AQ439" s="15" t="s">
        <v>661</v>
      </c>
      <c r="AR439" s="16">
        <v>35</v>
      </c>
      <c r="AS439" s="16">
        <v>13</v>
      </c>
      <c r="AT439" s="16">
        <v>52</v>
      </c>
      <c r="AU439" s="15" t="s">
        <v>661</v>
      </c>
      <c r="AV439" s="16">
        <f t="shared" si="215"/>
        <v>100</v>
      </c>
      <c r="AW439" s="18">
        <v>1.1000000000000001</v>
      </c>
      <c r="AX439" s="13">
        <f t="shared" si="216"/>
        <v>1.1000000000000001E-2</v>
      </c>
      <c r="AY439" s="8" t="s">
        <v>87</v>
      </c>
      <c r="AZ439" s="16">
        <v>20</v>
      </c>
      <c r="BA439" s="16" t="s">
        <v>55</v>
      </c>
      <c r="BB439" s="16" t="s">
        <v>391</v>
      </c>
      <c r="BC439" s="16" t="s">
        <v>55</v>
      </c>
      <c r="BD439" s="18">
        <v>0.5</v>
      </c>
      <c r="BE439" s="15">
        <f t="shared" si="217"/>
        <v>45.454545454545453</v>
      </c>
      <c r="BF439" s="8">
        <f t="shared" si="208"/>
        <v>1.6575773191777938</v>
      </c>
      <c r="BG439" s="8">
        <f t="shared" si="218"/>
        <v>-0.3010299956639812</v>
      </c>
      <c r="BH439" s="13" t="s">
        <v>841</v>
      </c>
      <c r="BI439" s="13"/>
      <c r="BJ439" s="13"/>
      <c r="BK439" s="13"/>
      <c r="BL439" s="13"/>
      <c r="BM439" s="17"/>
      <c r="BN439" s="17"/>
      <c r="BO439" s="2"/>
    </row>
    <row r="440" spans="1:69" s="14" customFormat="1" x14ac:dyDescent="0.3">
      <c r="A440" s="20">
        <v>438</v>
      </c>
      <c r="B440" s="2" t="s">
        <v>219</v>
      </c>
      <c r="C440" s="2">
        <v>2020</v>
      </c>
      <c r="D440" s="2" t="s">
        <v>205</v>
      </c>
      <c r="E440" s="10" t="s">
        <v>802</v>
      </c>
      <c r="F440" s="20" t="s">
        <v>29</v>
      </c>
      <c r="G440" s="2">
        <v>23</v>
      </c>
      <c r="H440" s="2" t="str">
        <f>'PFAS Properties'!$B$33</f>
        <v>PFOA</v>
      </c>
      <c r="I440" s="2" t="str">
        <f>'PFAS Properties'!$C$33</f>
        <v>PFCA</v>
      </c>
      <c r="J440" s="2" t="str">
        <f>'PFAS Properties'!$D$33</f>
        <v>C8HF15O2</v>
      </c>
      <c r="K440" s="25">
        <f>'PFAS Properties'!$P$33</f>
        <v>413.97359999999998</v>
      </c>
      <c r="L440" s="2">
        <f>'PFAS Properties'!$X$33</f>
        <v>-0.2</v>
      </c>
      <c r="M440" s="2" t="str">
        <f>'PFAS Properties'!$Y$33</f>
        <v>-</v>
      </c>
      <c r="N440" s="33">
        <v>0</v>
      </c>
      <c r="O440" s="33">
        <v>0</v>
      </c>
      <c r="P440" s="33">
        <v>0</v>
      </c>
      <c r="Q440" s="33">
        <f t="shared" si="200"/>
        <v>0.99999980047380832</v>
      </c>
      <c r="R440" s="33">
        <v>0</v>
      </c>
      <c r="S440" s="33">
        <f t="shared" si="201"/>
        <v>1.9952619168617852E-7</v>
      </c>
      <c r="T440" s="8">
        <f t="shared" si="202"/>
        <v>1</v>
      </c>
      <c r="U440" s="33">
        <f t="shared" si="203"/>
        <v>0</v>
      </c>
      <c r="V440" s="33">
        <f t="shared" si="204"/>
        <v>-0.99999980047380832</v>
      </c>
      <c r="W440" s="33">
        <f t="shared" si="205"/>
        <v>412.97360019952617</v>
      </c>
      <c r="X440" s="33">
        <v>96485</v>
      </c>
      <c r="Y440" s="16">
        <f t="shared" si="206"/>
        <v>-233.63474251646872</v>
      </c>
      <c r="Z440" s="16">
        <v>8</v>
      </c>
      <c r="AA440" s="16">
        <v>15</v>
      </c>
      <c r="AB440" s="8">
        <f t="shared" si="207"/>
        <v>0.33684210526315789</v>
      </c>
      <c r="AC440" s="16">
        <f t="shared" si="198"/>
        <v>68.844969824162703</v>
      </c>
      <c r="AD440" s="20">
        <f>'PFAS Properties'!$W$33</f>
        <v>7</v>
      </c>
      <c r="AE440" s="8">
        <f>'PFAS Properties'!$S$33</f>
        <v>2.6821450763738319</v>
      </c>
      <c r="AF440" s="15">
        <f>'PFAS Properties'!$V$33</f>
        <v>4.9000000000000004</v>
      </c>
      <c r="AG440" s="24">
        <v>6.5</v>
      </c>
      <c r="AH440" s="2" t="s">
        <v>85</v>
      </c>
      <c r="AI440" s="2">
        <v>2.0299999999999998</v>
      </c>
      <c r="AJ440" s="15">
        <f t="shared" si="209"/>
        <v>36.350613304682604</v>
      </c>
      <c r="AK440" s="8">
        <f t="shared" si="210"/>
        <v>0.20299999999999999</v>
      </c>
      <c r="AL440" s="2">
        <v>1.53</v>
      </c>
      <c r="AM440" s="15">
        <f t="shared" si="213"/>
        <v>56.708673091178653</v>
      </c>
      <c r="AN440" s="8">
        <f t="shared" si="214"/>
        <v>0.153</v>
      </c>
      <c r="AO440" s="15" t="s">
        <v>86</v>
      </c>
      <c r="AP440" s="15">
        <v>7.1</v>
      </c>
      <c r="AQ440" s="15" t="s">
        <v>661</v>
      </c>
      <c r="AR440" s="16">
        <v>60</v>
      </c>
      <c r="AS440" s="16">
        <v>16</v>
      </c>
      <c r="AT440" s="16">
        <v>24</v>
      </c>
      <c r="AU440" s="15" t="s">
        <v>661</v>
      </c>
      <c r="AV440" s="16">
        <f t="shared" si="215"/>
        <v>100</v>
      </c>
      <c r="AW440" s="18">
        <v>1.3</v>
      </c>
      <c r="AX440" s="13">
        <f t="shared" si="216"/>
        <v>1.3000000000000001E-2</v>
      </c>
      <c r="AY440" s="8" t="s">
        <v>87</v>
      </c>
      <c r="AZ440" s="16">
        <v>20</v>
      </c>
      <c r="BA440" s="16" t="s">
        <v>55</v>
      </c>
      <c r="BB440" s="16" t="s">
        <v>391</v>
      </c>
      <c r="BC440" s="16" t="s">
        <v>55</v>
      </c>
      <c r="BD440" s="18">
        <v>0.16</v>
      </c>
      <c r="BE440" s="15">
        <f t="shared" si="217"/>
        <v>12.307692307692307</v>
      </c>
      <c r="BF440" s="8">
        <f t="shared" si="208"/>
        <v>1.0901766303490881</v>
      </c>
      <c r="BG440" s="8">
        <f t="shared" si="218"/>
        <v>-0.79588001734407521</v>
      </c>
      <c r="BH440" s="13" t="s">
        <v>841</v>
      </c>
      <c r="BI440" s="13"/>
      <c r="BJ440" s="13"/>
      <c r="BK440" s="13"/>
      <c r="BL440" s="13"/>
      <c r="BM440" s="17"/>
      <c r="BN440" s="17"/>
      <c r="BO440" s="2"/>
    </row>
    <row r="441" spans="1:69" s="14" customFormat="1" x14ac:dyDescent="0.3">
      <c r="A441" s="20">
        <v>439</v>
      </c>
      <c r="B441" s="2" t="s">
        <v>219</v>
      </c>
      <c r="C441" s="2">
        <v>2020</v>
      </c>
      <c r="D441" s="2" t="s">
        <v>205</v>
      </c>
      <c r="E441" s="10" t="s">
        <v>802</v>
      </c>
      <c r="F441" s="20" t="s">
        <v>29</v>
      </c>
      <c r="G441" s="2">
        <v>24</v>
      </c>
      <c r="H441" s="2" t="str">
        <f>'PFAS Properties'!$B$33</f>
        <v>PFOA</v>
      </c>
      <c r="I441" s="2" t="str">
        <f>'PFAS Properties'!$C$33</f>
        <v>PFCA</v>
      </c>
      <c r="J441" s="2" t="str">
        <f>'PFAS Properties'!$D$33</f>
        <v>C8HF15O2</v>
      </c>
      <c r="K441" s="25">
        <f>'PFAS Properties'!$P$33</f>
        <v>413.97359999999998</v>
      </c>
      <c r="L441" s="2">
        <f>'PFAS Properties'!$X$33</f>
        <v>-0.2</v>
      </c>
      <c r="M441" s="2" t="str">
        <f>'PFAS Properties'!$Y$33</f>
        <v>-</v>
      </c>
      <c r="N441" s="33">
        <v>0</v>
      </c>
      <c r="O441" s="33">
        <v>0</v>
      </c>
      <c r="P441" s="33">
        <v>0</v>
      </c>
      <c r="Q441" s="33">
        <f t="shared" si="200"/>
        <v>0.99999984151070587</v>
      </c>
      <c r="R441" s="33">
        <v>0</v>
      </c>
      <c r="S441" s="33">
        <f t="shared" si="201"/>
        <v>1.5848929412725089E-7</v>
      </c>
      <c r="T441" s="8">
        <f t="shared" si="202"/>
        <v>1</v>
      </c>
      <c r="U441" s="33">
        <f t="shared" si="203"/>
        <v>0</v>
      </c>
      <c r="V441" s="33">
        <f t="shared" si="204"/>
        <v>-0.99999984151070587</v>
      </c>
      <c r="W441" s="33">
        <f t="shared" si="205"/>
        <v>412.97360015848926</v>
      </c>
      <c r="X441" s="33">
        <v>96485</v>
      </c>
      <c r="Y441" s="16">
        <f t="shared" si="206"/>
        <v>-233.63475212733178</v>
      </c>
      <c r="Z441" s="16">
        <v>8</v>
      </c>
      <c r="AA441" s="16">
        <v>15</v>
      </c>
      <c r="AB441" s="8">
        <f t="shared" si="207"/>
        <v>0.33684210526315789</v>
      </c>
      <c r="AC441" s="16">
        <f t="shared" si="198"/>
        <v>68.844969824162703</v>
      </c>
      <c r="AD441" s="20">
        <f>'PFAS Properties'!$W$33</f>
        <v>7</v>
      </c>
      <c r="AE441" s="8">
        <f>'PFAS Properties'!$S$33</f>
        <v>2.6821450763738319</v>
      </c>
      <c r="AF441" s="15">
        <f>'PFAS Properties'!$V$33</f>
        <v>4.9000000000000004</v>
      </c>
      <c r="AG441" s="24">
        <v>6.6</v>
      </c>
      <c r="AH441" s="2" t="s">
        <v>85</v>
      </c>
      <c r="AI441" s="2">
        <v>1.82</v>
      </c>
      <c r="AJ441" s="15">
        <f t="shared" si="209"/>
        <v>32.590205031784407</v>
      </c>
      <c r="AK441" s="8">
        <f t="shared" si="210"/>
        <v>0.182</v>
      </c>
      <c r="AL441" s="2">
        <v>2.0699999999999998</v>
      </c>
      <c r="AM441" s="15">
        <f t="shared" si="213"/>
        <v>76.723498888065237</v>
      </c>
      <c r="AN441" s="8">
        <f t="shared" si="214"/>
        <v>0.20699999999999999</v>
      </c>
      <c r="AO441" s="15" t="s">
        <v>86</v>
      </c>
      <c r="AP441" s="15">
        <v>7.54</v>
      </c>
      <c r="AQ441" s="15" t="s">
        <v>661</v>
      </c>
      <c r="AR441" s="16">
        <v>67</v>
      </c>
      <c r="AS441" s="16">
        <v>11</v>
      </c>
      <c r="AT441" s="16">
        <v>22</v>
      </c>
      <c r="AU441" s="15" t="s">
        <v>661</v>
      </c>
      <c r="AV441" s="16">
        <f t="shared" si="215"/>
        <v>100</v>
      </c>
      <c r="AW441" s="18">
        <v>1.3</v>
      </c>
      <c r="AX441" s="13">
        <f t="shared" si="216"/>
        <v>1.3000000000000001E-2</v>
      </c>
      <c r="AY441" s="8" t="s">
        <v>87</v>
      </c>
      <c r="AZ441" s="16">
        <v>20</v>
      </c>
      <c r="BA441" s="16" t="s">
        <v>55</v>
      </c>
      <c r="BB441" s="16" t="s">
        <v>391</v>
      </c>
      <c r="BC441" s="16" t="s">
        <v>55</v>
      </c>
      <c r="BD441" s="18">
        <v>0.59</v>
      </c>
      <c r="BE441" s="15">
        <f t="shared" si="217"/>
        <v>45.38461538461538</v>
      </c>
      <c r="BF441" s="8">
        <f t="shared" si="208"/>
        <v>1.6569086593353073</v>
      </c>
      <c r="BG441" s="8">
        <f t="shared" si="218"/>
        <v>-0.22914798835785583</v>
      </c>
      <c r="BH441" s="13" t="s">
        <v>841</v>
      </c>
      <c r="BI441" s="13"/>
      <c r="BJ441" s="13"/>
      <c r="BK441" s="13"/>
      <c r="BL441" s="13"/>
      <c r="BM441" s="17"/>
      <c r="BN441" s="17"/>
      <c r="BO441" s="2"/>
    </row>
    <row r="442" spans="1:69" s="14" customFormat="1" x14ac:dyDescent="0.3">
      <c r="A442" s="20">
        <v>440</v>
      </c>
      <c r="B442" s="2" t="s">
        <v>219</v>
      </c>
      <c r="C442" s="2">
        <v>2020</v>
      </c>
      <c r="D442" s="2" t="s">
        <v>205</v>
      </c>
      <c r="E442" s="10" t="s">
        <v>802</v>
      </c>
      <c r="F442" s="20" t="s">
        <v>29</v>
      </c>
      <c r="G442" s="2">
        <v>25</v>
      </c>
      <c r="H442" s="2" t="str">
        <f>'PFAS Properties'!$B$33</f>
        <v>PFOA</v>
      </c>
      <c r="I442" s="2" t="str">
        <f>'PFAS Properties'!$C$33</f>
        <v>PFCA</v>
      </c>
      <c r="J442" s="2" t="str">
        <f>'PFAS Properties'!$D$33</f>
        <v>C8HF15O2</v>
      </c>
      <c r="K442" s="25">
        <f>'PFAS Properties'!$P$33</f>
        <v>413.97359999999998</v>
      </c>
      <c r="L442" s="2">
        <f>'PFAS Properties'!$X$33</f>
        <v>-0.2</v>
      </c>
      <c r="M442" s="2" t="str">
        <f>'PFAS Properties'!$Y$33</f>
        <v>-</v>
      </c>
      <c r="N442" s="33">
        <v>0</v>
      </c>
      <c r="O442" s="33">
        <v>0</v>
      </c>
      <c r="P442" s="33">
        <v>0</v>
      </c>
      <c r="Q442" s="33">
        <f t="shared" si="200"/>
        <v>0.99999900000099995</v>
      </c>
      <c r="R442" s="33">
        <v>0</v>
      </c>
      <c r="S442" s="33">
        <f t="shared" si="201"/>
        <v>9.9999900000100006E-7</v>
      </c>
      <c r="T442" s="8">
        <f t="shared" si="202"/>
        <v>1</v>
      </c>
      <c r="U442" s="33">
        <f t="shared" si="203"/>
        <v>0</v>
      </c>
      <c r="V442" s="33">
        <f t="shared" si="204"/>
        <v>-0.99999900000099995</v>
      </c>
      <c r="W442" s="33">
        <f t="shared" si="205"/>
        <v>412.97360099999895</v>
      </c>
      <c r="X442" s="33">
        <v>96485</v>
      </c>
      <c r="Y442" s="16">
        <f t="shared" si="206"/>
        <v>-233.63455504531566</v>
      </c>
      <c r="Z442" s="16">
        <v>8</v>
      </c>
      <c r="AA442" s="16">
        <v>15</v>
      </c>
      <c r="AB442" s="8">
        <f t="shared" si="207"/>
        <v>0.33684210526315789</v>
      </c>
      <c r="AC442" s="16">
        <f t="shared" si="198"/>
        <v>68.844969824162703</v>
      </c>
      <c r="AD442" s="20">
        <f>'PFAS Properties'!$W$33</f>
        <v>7</v>
      </c>
      <c r="AE442" s="8">
        <f>'PFAS Properties'!$S$33</f>
        <v>2.6821450763738319</v>
      </c>
      <c r="AF442" s="15">
        <f>'PFAS Properties'!$V$33</f>
        <v>4.9000000000000004</v>
      </c>
      <c r="AG442" s="24">
        <v>5.8</v>
      </c>
      <c r="AH442" s="2" t="s">
        <v>85</v>
      </c>
      <c r="AI442" s="2">
        <v>2.56</v>
      </c>
      <c r="AJ442" s="15">
        <f t="shared" si="209"/>
        <v>45.841167517235206</v>
      </c>
      <c r="AK442" s="8">
        <f t="shared" si="210"/>
        <v>0.25600000000000001</v>
      </c>
      <c r="AL442" s="2">
        <v>1.68</v>
      </c>
      <c r="AM442" s="15">
        <f t="shared" si="213"/>
        <v>62.268346923647144</v>
      </c>
      <c r="AN442" s="8">
        <f t="shared" si="214"/>
        <v>0.16799999999999998</v>
      </c>
      <c r="AO442" s="15" t="s">
        <v>86</v>
      </c>
      <c r="AP442" s="15">
        <v>6.17</v>
      </c>
      <c r="AQ442" s="15" t="s">
        <v>661</v>
      </c>
      <c r="AR442" s="16">
        <v>59</v>
      </c>
      <c r="AS442" s="16">
        <v>15</v>
      </c>
      <c r="AT442" s="16">
        <v>26</v>
      </c>
      <c r="AU442" s="15" t="s">
        <v>661</v>
      </c>
      <c r="AV442" s="16">
        <f t="shared" si="215"/>
        <v>100</v>
      </c>
      <c r="AW442" s="18">
        <v>0.9</v>
      </c>
      <c r="AX442" s="13">
        <f t="shared" si="216"/>
        <v>9.0000000000000011E-3</v>
      </c>
      <c r="AY442" s="8" t="s">
        <v>87</v>
      </c>
      <c r="AZ442" s="16">
        <v>20</v>
      </c>
      <c r="BA442" s="16" t="s">
        <v>55</v>
      </c>
      <c r="BB442" s="16" t="s">
        <v>391</v>
      </c>
      <c r="BC442" s="16" t="s">
        <v>55</v>
      </c>
      <c r="BD442" s="18">
        <v>1.57</v>
      </c>
      <c r="BE442" s="15">
        <f t="shared" si="217"/>
        <v>174.44444444444443</v>
      </c>
      <c r="BF442" s="8">
        <f t="shared" si="208"/>
        <v>2.2416571429699088</v>
      </c>
      <c r="BG442" s="8">
        <f t="shared" si="218"/>
        <v>0.19589965240923377</v>
      </c>
      <c r="BH442" s="13" t="s">
        <v>841</v>
      </c>
      <c r="BI442" s="13"/>
      <c r="BJ442" s="13"/>
      <c r="BK442" s="13"/>
      <c r="BL442" s="13"/>
      <c r="BM442" s="17"/>
      <c r="BN442" s="17"/>
      <c r="BO442" s="2"/>
    </row>
    <row r="443" spans="1:69" s="14" customFormat="1" x14ac:dyDescent="0.3">
      <c r="A443" s="20">
        <v>441</v>
      </c>
      <c r="B443" s="2" t="s">
        <v>219</v>
      </c>
      <c r="C443" s="2">
        <v>2020</v>
      </c>
      <c r="D443" s="2" t="s">
        <v>205</v>
      </c>
      <c r="E443" s="10" t="s">
        <v>802</v>
      </c>
      <c r="F443" s="20" t="s">
        <v>29</v>
      </c>
      <c r="G443" s="2">
        <v>26</v>
      </c>
      <c r="H443" s="2" t="str">
        <f>'PFAS Properties'!$B$33</f>
        <v>PFOA</v>
      </c>
      <c r="I443" s="2" t="str">
        <f>'PFAS Properties'!$C$33</f>
        <v>PFCA</v>
      </c>
      <c r="J443" s="2" t="str">
        <f>'PFAS Properties'!$D$33</f>
        <v>C8HF15O2</v>
      </c>
      <c r="K443" s="25">
        <f>'PFAS Properties'!$P$33</f>
        <v>413.97359999999998</v>
      </c>
      <c r="L443" s="2">
        <f>'PFAS Properties'!$X$33</f>
        <v>-0.2</v>
      </c>
      <c r="M443" s="2" t="str">
        <f>'PFAS Properties'!$Y$33</f>
        <v>-</v>
      </c>
      <c r="N443" s="33">
        <v>0</v>
      </c>
      <c r="O443" s="33">
        <v>0</v>
      </c>
      <c r="P443" s="33">
        <v>0</v>
      </c>
      <c r="Q443" s="33">
        <f t="shared" si="200"/>
        <v>0.99999980047380832</v>
      </c>
      <c r="R443" s="33">
        <v>0</v>
      </c>
      <c r="S443" s="33">
        <f t="shared" si="201"/>
        <v>1.9952619168617852E-7</v>
      </c>
      <c r="T443" s="8">
        <f t="shared" si="202"/>
        <v>1</v>
      </c>
      <c r="U443" s="33">
        <f t="shared" si="203"/>
        <v>0</v>
      </c>
      <c r="V443" s="33">
        <f t="shared" si="204"/>
        <v>-0.99999980047380832</v>
      </c>
      <c r="W443" s="33">
        <f t="shared" si="205"/>
        <v>412.97360019952617</v>
      </c>
      <c r="X443" s="33">
        <v>96485</v>
      </c>
      <c r="Y443" s="16">
        <f t="shared" si="206"/>
        <v>-233.63474251646872</v>
      </c>
      <c r="Z443" s="16">
        <v>8</v>
      </c>
      <c r="AA443" s="16">
        <v>15</v>
      </c>
      <c r="AB443" s="8">
        <f t="shared" si="207"/>
        <v>0.33684210526315789</v>
      </c>
      <c r="AC443" s="16">
        <f t="shared" si="198"/>
        <v>68.844969824162703</v>
      </c>
      <c r="AD443" s="20">
        <f>'PFAS Properties'!$W$33</f>
        <v>7</v>
      </c>
      <c r="AE443" s="8">
        <f>'PFAS Properties'!$S$33</f>
        <v>2.6821450763738319</v>
      </c>
      <c r="AF443" s="15">
        <f>'PFAS Properties'!$V$33</f>
        <v>4.9000000000000004</v>
      </c>
      <c r="AG443" s="24">
        <v>6.5</v>
      </c>
      <c r="AH443" s="2" t="s">
        <v>85</v>
      </c>
      <c r="AI443" s="2">
        <v>3.27</v>
      </c>
      <c r="AJ443" s="15">
        <f t="shared" si="209"/>
        <v>58.554928820843408</v>
      </c>
      <c r="AK443" s="8">
        <f t="shared" si="210"/>
        <v>0.32700000000000001</v>
      </c>
      <c r="AL443" s="2">
        <v>1.42</v>
      </c>
      <c r="AM443" s="15">
        <f t="shared" si="213"/>
        <v>52.631578947368418</v>
      </c>
      <c r="AN443" s="8">
        <f t="shared" si="214"/>
        <v>0.14199999999999999</v>
      </c>
      <c r="AO443" s="15" t="s">
        <v>86</v>
      </c>
      <c r="AP443" s="15">
        <v>12.67</v>
      </c>
      <c r="AQ443" s="15" t="s">
        <v>661</v>
      </c>
      <c r="AR443" s="16">
        <v>49</v>
      </c>
      <c r="AS443" s="16">
        <v>8</v>
      </c>
      <c r="AT443" s="16">
        <v>43</v>
      </c>
      <c r="AU443" s="15" t="s">
        <v>661</v>
      </c>
      <c r="AV443" s="16">
        <f t="shared" si="215"/>
        <v>100</v>
      </c>
      <c r="AW443" s="18">
        <v>1.3</v>
      </c>
      <c r="AX443" s="13">
        <f t="shared" si="216"/>
        <v>1.3000000000000001E-2</v>
      </c>
      <c r="AY443" s="8" t="s">
        <v>87</v>
      </c>
      <c r="AZ443" s="16">
        <v>20</v>
      </c>
      <c r="BA443" s="16" t="s">
        <v>55</v>
      </c>
      <c r="BB443" s="16" t="s">
        <v>391</v>
      </c>
      <c r="BC443" s="16" t="s">
        <v>55</v>
      </c>
      <c r="BD443" s="18">
        <v>1.47</v>
      </c>
      <c r="BE443" s="15">
        <f t="shared" si="217"/>
        <v>113.07692307692307</v>
      </c>
      <c r="BF443" s="8">
        <f t="shared" si="208"/>
        <v>2.0533739824413395</v>
      </c>
      <c r="BG443" s="8">
        <f t="shared" si="218"/>
        <v>0.16731733474817609</v>
      </c>
      <c r="BH443" s="13" t="s">
        <v>841</v>
      </c>
      <c r="BI443" s="2"/>
      <c r="BJ443" s="2"/>
      <c r="BK443" s="2"/>
      <c r="BL443" s="2"/>
      <c r="BM443" s="2"/>
      <c r="BN443" s="2"/>
      <c r="BO443" s="2"/>
    </row>
    <row r="444" spans="1:69" s="14" customFormat="1" x14ac:dyDescent="0.3">
      <c r="A444" s="20">
        <v>442</v>
      </c>
      <c r="B444" s="2" t="s">
        <v>219</v>
      </c>
      <c r="C444" s="2">
        <v>2020</v>
      </c>
      <c r="D444" s="2" t="s">
        <v>205</v>
      </c>
      <c r="E444" s="10" t="s">
        <v>802</v>
      </c>
      <c r="F444" s="20" t="s">
        <v>29</v>
      </c>
      <c r="G444" s="2">
        <v>27</v>
      </c>
      <c r="H444" s="2" t="str">
        <f>'PFAS Properties'!$B$33</f>
        <v>PFOA</v>
      </c>
      <c r="I444" s="2" t="str">
        <f>'PFAS Properties'!$C$33</f>
        <v>PFCA</v>
      </c>
      <c r="J444" s="2" t="str">
        <f>'PFAS Properties'!$D$33</f>
        <v>C8HF15O2</v>
      </c>
      <c r="K444" s="25">
        <f>'PFAS Properties'!$P$33</f>
        <v>413.97359999999998</v>
      </c>
      <c r="L444" s="2">
        <f>'PFAS Properties'!$X$33</f>
        <v>-0.2</v>
      </c>
      <c r="M444" s="2" t="str">
        <f>'PFAS Properties'!$Y$33</f>
        <v>-</v>
      </c>
      <c r="N444" s="33">
        <v>0</v>
      </c>
      <c r="O444" s="33">
        <v>0</v>
      </c>
      <c r="P444" s="33">
        <v>0</v>
      </c>
      <c r="Q444" s="33">
        <f t="shared" si="200"/>
        <v>0.99999369046636566</v>
      </c>
      <c r="R444" s="33">
        <v>0</v>
      </c>
      <c r="S444" s="33">
        <f t="shared" si="201"/>
        <v>6.3095336343360528E-6</v>
      </c>
      <c r="T444" s="8">
        <f t="shared" si="202"/>
        <v>1</v>
      </c>
      <c r="U444" s="33">
        <f t="shared" si="203"/>
        <v>0</v>
      </c>
      <c r="V444" s="33">
        <f t="shared" si="204"/>
        <v>-0.99999369046636566</v>
      </c>
      <c r="W444" s="33">
        <f t="shared" si="205"/>
        <v>412.97360630953358</v>
      </c>
      <c r="X444" s="33">
        <v>96485</v>
      </c>
      <c r="Y444" s="16">
        <f t="shared" si="206"/>
        <v>-233.63331154952778</v>
      </c>
      <c r="Z444" s="16">
        <v>8</v>
      </c>
      <c r="AA444" s="16">
        <v>15</v>
      </c>
      <c r="AB444" s="8">
        <f t="shared" si="207"/>
        <v>0.33684210526315789</v>
      </c>
      <c r="AC444" s="16">
        <f t="shared" si="198"/>
        <v>68.844969824162703</v>
      </c>
      <c r="AD444" s="20">
        <f>'PFAS Properties'!$W$33</f>
        <v>7</v>
      </c>
      <c r="AE444" s="8">
        <f>'PFAS Properties'!$S$33</f>
        <v>2.6821450763738319</v>
      </c>
      <c r="AF444" s="15">
        <f>'PFAS Properties'!$V$33</f>
        <v>4.9000000000000004</v>
      </c>
      <c r="AG444" s="24">
        <v>5</v>
      </c>
      <c r="AH444" s="2" t="s">
        <v>85</v>
      </c>
      <c r="AI444" s="2">
        <v>10.4</v>
      </c>
      <c r="AJ444" s="15">
        <f t="shared" si="209"/>
        <v>186.22974303876802</v>
      </c>
      <c r="AK444" s="8">
        <f t="shared" si="210"/>
        <v>1.04</v>
      </c>
      <c r="AL444" s="2">
        <v>4.1500000000000004</v>
      </c>
      <c r="AM444" s="15">
        <f t="shared" si="213"/>
        <v>153.81764269829503</v>
      </c>
      <c r="AN444" s="8">
        <f t="shared" si="214"/>
        <v>0.41500000000000004</v>
      </c>
      <c r="AO444" s="15" t="s">
        <v>86</v>
      </c>
      <c r="AP444" s="15">
        <v>6.82</v>
      </c>
      <c r="AQ444" s="15" t="s">
        <v>661</v>
      </c>
      <c r="AR444" s="16">
        <v>24</v>
      </c>
      <c r="AS444" s="16">
        <v>29</v>
      </c>
      <c r="AT444" s="16">
        <v>47</v>
      </c>
      <c r="AU444" s="15" t="s">
        <v>661</v>
      </c>
      <c r="AV444" s="16">
        <f t="shared" si="215"/>
        <v>100</v>
      </c>
      <c r="AW444" s="18">
        <v>2</v>
      </c>
      <c r="AX444" s="13">
        <f t="shared" si="216"/>
        <v>0.02</v>
      </c>
      <c r="AY444" s="8" t="s">
        <v>87</v>
      </c>
      <c r="AZ444" s="16">
        <v>20</v>
      </c>
      <c r="BA444" s="16" t="s">
        <v>55</v>
      </c>
      <c r="BB444" s="16" t="s">
        <v>391</v>
      </c>
      <c r="BC444" s="16" t="s">
        <v>55</v>
      </c>
      <c r="BD444" s="18">
        <v>2.0499999999999998</v>
      </c>
      <c r="BE444" s="15">
        <f t="shared" si="217"/>
        <v>102.49999999999999</v>
      </c>
      <c r="BF444" s="8">
        <f t="shared" si="208"/>
        <v>2.0107238653917729</v>
      </c>
      <c r="BG444" s="8">
        <f t="shared" si="218"/>
        <v>0.31175386105575426</v>
      </c>
      <c r="BH444" s="13" t="s">
        <v>841</v>
      </c>
      <c r="BI444" s="13"/>
      <c r="BJ444" s="13"/>
      <c r="BK444" s="13"/>
      <c r="BL444" s="13"/>
      <c r="BM444" s="17"/>
      <c r="BN444" s="17"/>
      <c r="BO444" s="2"/>
    </row>
    <row r="445" spans="1:69" s="14" customFormat="1" x14ac:dyDescent="0.3">
      <c r="A445" s="20">
        <v>443</v>
      </c>
      <c r="B445" s="2" t="s">
        <v>219</v>
      </c>
      <c r="C445" s="2">
        <v>2020</v>
      </c>
      <c r="D445" s="2" t="s">
        <v>205</v>
      </c>
      <c r="E445" s="10" t="s">
        <v>802</v>
      </c>
      <c r="F445" s="20" t="s">
        <v>29</v>
      </c>
      <c r="G445" s="2">
        <v>28</v>
      </c>
      <c r="H445" s="2" t="str">
        <f>'PFAS Properties'!$B$33</f>
        <v>PFOA</v>
      </c>
      <c r="I445" s="2" t="str">
        <f>'PFAS Properties'!$C$33</f>
        <v>PFCA</v>
      </c>
      <c r="J445" s="2" t="str">
        <f>'PFAS Properties'!$D$33</f>
        <v>C8HF15O2</v>
      </c>
      <c r="K445" s="25">
        <f>'PFAS Properties'!$P$33</f>
        <v>413.97359999999998</v>
      </c>
      <c r="L445" s="2">
        <f>'PFAS Properties'!$X$33</f>
        <v>-0.2</v>
      </c>
      <c r="M445" s="2" t="str">
        <f>'PFAS Properties'!$Y$33</f>
        <v>-</v>
      </c>
      <c r="N445" s="33">
        <v>0</v>
      </c>
      <c r="O445" s="33">
        <v>0</v>
      </c>
      <c r="P445" s="33">
        <v>0</v>
      </c>
      <c r="Q445" s="33">
        <f t="shared" si="200"/>
        <v>0.99999992056718279</v>
      </c>
      <c r="R445" s="33">
        <v>0</v>
      </c>
      <c r="S445" s="33">
        <f t="shared" si="201"/>
        <v>7.9432817162854954E-8</v>
      </c>
      <c r="T445" s="8">
        <f t="shared" si="202"/>
        <v>1</v>
      </c>
      <c r="U445" s="33">
        <f t="shared" si="203"/>
        <v>0</v>
      </c>
      <c r="V445" s="33">
        <f t="shared" si="204"/>
        <v>-0.99999992056718279</v>
      </c>
      <c r="W445" s="33">
        <f t="shared" si="205"/>
        <v>412.97360007943274</v>
      </c>
      <c r="X445" s="33">
        <v>96485</v>
      </c>
      <c r="Y445" s="16">
        <f t="shared" si="206"/>
        <v>-233.63477064240035</v>
      </c>
      <c r="Z445" s="16">
        <v>8</v>
      </c>
      <c r="AA445" s="16">
        <v>15</v>
      </c>
      <c r="AB445" s="8">
        <f t="shared" si="207"/>
        <v>0.33684210526315789</v>
      </c>
      <c r="AC445" s="16">
        <f t="shared" si="198"/>
        <v>68.844969824162703</v>
      </c>
      <c r="AD445" s="20">
        <f>'PFAS Properties'!$W$33</f>
        <v>7</v>
      </c>
      <c r="AE445" s="8">
        <f>'PFAS Properties'!$S$33</f>
        <v>2.6821450763738319</v>
      </c>
      <c r="AF445" s="15">
        <f>'PFAS Properties'!$V$33</f>
        <v>4.9000000000000004</v>
      </c>
      <c r="AG445" s="24">
        <v>6.9</v>
      </c>
      <c r="AH445" s="2" t="s">
        <v>85</v>
      </c>
      <c r="AI445" s="2">
        <v>4.2</v>
      </c>
      <c r="AJ445" s="15">
        <f t="shared" si="209"/>
        <v>75.208165457964014</v>
      </c>
      <c r="AK445" s="8">
        <f t="shared" si="210"/>
        <v>0.42000000000000004</v>
      </c>
      <c r="AL445" s="2">
        <v>1.48</v>
      </c>
      <c r="AM445" s="15">
        <f t="shared" si="213"/>
        <v>54.855448480355818</v>
      </c>
      <c r="AN445" s="8">
        <f t="shared" si="214"/>
        <v>0.14799999999999999</v>
      </c>
      <c r="AO445" s="15" t="s">
        <v>86</v>
      </c>
      <c r="AP445" s="15">
        <v>20.41</v>
      </c>
      <c r="AQ445" s="15" t="s">
        <v>661</v>
      </c>
      <c r="AR445" s="16">
        <v>42</v>
      </c>
      <c r="AS445" s="16">
        <v>6</v>
      </c>
      <c r="AT445" s="16">
        <v>52</v>
      </c>
      <c r="AU445" s="15" t="s">
        <v>661</v>
      </c>
      <c r="AV445" s="16">
        <f t="shared" si="215"/>
        <v>100</v>
      </c>
      <c r="AW445" s="18">
        <v>1.8</v>
      </c>
      <c r="AX445" s="13">
        <f t="shared" si="216"/>
        <v>1.8000000000000002E-2</v>
      </c>
      <c r="AY445" s="8" t="s">
        <v>87</v>
      </c>
      <c r="AZ445" s="16">
        <v>20</v>
      </c>
      <c r="BA445" s="16" t="s">
        <v>55</v>
      </c>
      <c r="BB445" s="16" t="s">
        <v>391</v>
      </c>
      <c r="BC445" s="16" t="s">
        <v>55</v>
      </c>
      <c r="BD445" s="18">
        <v>3.57</v>
      </c>
      <c r="BE445" s="15">
        <f t="shared" si="217"/>
        <v>198.33333333333331</v>
      </c>
      <c r="BF445" s="8">
        <f t="shared" si="208"/>
        <v>2.2973957110088872</v>
      </c>
      <c r="BG445" s="8">
        <f t="shared" si="218"/>
        <v>0.55266821611219319</v>
      </c>
      <c r="BH445" s="13" t="s">
        <v>841</v>
      </c>
      <c r="BI445" s="2"/>
      <c r="BJ445" s="2"/>
      <c r="BK445" s="2"/>
      <c r="BL445" s="2"/>
      <c r="BM445" s="2"/>
      <c r="BN445" s="2"/>
      <c r="BO445" s="2"/>
    </row>
    <row r="446" spans="1:69" s="14" customFormat="1" x14ac:dyDescent="0.3">
      <c r="A446" s="20">
        <v>444</v>
      </c>
      <c r="B446" s="2" t="s">
        <v>690</v>
      </c>
      <c r="C446" s="2">
        <v>2023</v>
      </c>
      <c r="D446" s="2" t="s">
        <v>199</v>
      </c>
      <c r="E446" s="10" t="s">
        <v>803</v>
      </c>
      <c r="F446" s="20" t="s">
        <v>29</v>
      </c>
      <c r="G446" s="2" t="s">
        <v>691</v>
      </c>
      <c r="H446" s="2" t="str">
        <f>'PFAS Properties'!$B$33</f>
        <v>PFOA</v>
      </c>
      <c r="I446" s="2" t="str">
        <f>'PFAS Properties'!$C$33</f>
        <v>PFCA</v>
      </c>
      <c r="J446" s="2" t="str">
        <f>'PFAS Properties'!$D$33</f>
        <v>C8HF15O2</v>
      </c>
      <c r="K446" s="25">
        <f>'PFAS Properties'!$P$33</f>
        <v>413.97359999999998</v>
      </c>
      <c r="L446" s="2">
        <f>'PFAS Properties'!$X$33</f>
        <v>-0.2</v>
      </c>
      <c r="M446" s="2" t="str">
        <f>'PFAS Properties'!$Y$33</f>
        <v>-</v>
      </c>
      <c r="N446" s="33">
        <v>0</v>
      </c>
      <c r="O446" s="33">
        <v>0</v>
      </c>
      <c r="P446" s="33">
        <v>0</v>
      </c>
      <c r="Q446" s="33">
        <f t="shared" si="200"/>
        <v>0.9999992056723962</v>
      </c>
      <c r="R446" s="33">
        <v>0</v>
      </c>
      <c r="S446" s="33">
        <f t="shared" si="201"/>
        <v>7.9432760376743655E-7</v>
      </c>
      <c r="T446" s="8">
        <f t="shared" si="202"/>
        <v>1</v>
      </c>
      <c r="U446" s="33">
        <f t="shared" si="203"/>
        <v>0</v>
      </c>
      <c r="V446" s="33">
        <f t="shared" si="204"/>
        <v>-0.9999992056723962</v>
      </c>
      <c r="W446" s="33">
        <f t="shared" si="205"/>
        <v>412.97360079432758</v>
      </c>
      <c r="X446" s="33">
        <v>96485</v>
      </c>
      <c r="Y446" s="16">
        <f t="shared" si="206"/>
        <v>-233.63460321366483</v>
      </c>
      <c r="Z446" s="16">
        <v>8</v>
      </c>
      <c r="AA446" s="16">
        <v>15</v>
      </c>
      <c r="AB446" s="8">
        <f t="shared" si="207"/>
        <v>0.33684210526315789</v>
      </c>
      <c r="AC446" s="16">
        <f t="shared" si="198"/>
        <v>68.844969824162703</v>
      </c>
      <c r="AD446" s="20">
        <f>'PFAS Properties'!$W$33</f>
        <v>7</v>
      </c>
      <c r="AE446" s="8">
        <f>'PFAS Properties'!$S$33</f>
        <v>2.6821450763738319</v>
      </c>
      <c r="AF446" s="15">
        <f>'PFAS Properties'!$V$33</f>
        <v>4.9000000000000004</v>
      </c>
      <c r="AG446" s="24">
        <v>5.9</v>
      </c>
      <c r="AH446" s="2" t="s">
        <v>701</v>
      </c>
      <c r="AI446" s="15">
        <f t="shared" ref="AI446:AI455" si="219">AJ446*55.845/1000</f>
        <v>10.052100000000001</v>
      </c>
      <c r="AJ446" s="16">
        <v>180</v>
      </c>
      <c r="AK446" s="8">
        <f t="shared" si="210"/>
        <v>1.0052100000000002</v>
      </c>
      <c r="AL446" s="15">
        <f t="shared" ref="AL446:AL454" si="220">AM446*26.982/1000</f>
        <v>1.3491</v>
      </c>
      <c r="AM446" s="16">
        <v>50</v>
      </c>
      <c r="AN446" s="8">
        <f t="shared" si="214"/>
        <v>0.13491</v>
      </c>
      <c r="AO446" s="15" t="s">
        <v>705</v>
      </c>
      <c r="AP446" s="15">
        <v>20</v>
      </c>
      <c r="AQ446" s="15" t="s">
        <v>702</v>
      </c>
      <c r="AR446" s="2">
        <v>4.2</v>
      </c>
      <c r="AS446" s="2">
        <v>53</v>
      </c>
      <c r="AT446" s="2">
        <v>43</v>
      </c>
      <c r="AU446" s="2" t="s">
        <v>703</v>
      </c>
      <c r="AV446" s="16">
        <f t="shared" si="215"/>
        <v>100.2</v>
      </c>
      <c r="AW446" s="18">
        <v>3.1</v>
      </c>
      <c r="AX446" s="13">
        <f t="shared" si="216"/>
        <v>3.1E-2</v>
      </c>
      <c r="AY446" s="8" t="s">
        <v>704</v>
      </c>
      <c r="AZ446" s="16">
        <v>10</v>
      </c>
      <c r="BA446" s="16" t="s">
        <v>55</v>
      </c>
      <c r="BB446" s="16" t="s">
        <v>55</v>
      </c>
      <c r="BC446" s="16" t="s">
        <v>55</v>
      </c>
      <c r="BD446" s="18">
        <f t="shared" ref="BD446:BD454" si="221">10^BG446</f>
        <v>2.8840315031266059</v>
      </c>
      <c r="BE446" s="16">
        <f t="shared" si="217"/>
        <v>93.033274294406638</v>
      </c>
      <c r="BF446" s="16">
        <f t="shared" si="208"/>
        <v>1.9686383061657273</v>
      </c>
      <c r="BG446" s="8">
        <v>0.46</v>
      </c>
      <c r="BH446" s="15" t="s">
        <v>846</v>
      </c>
      <c r="BI446" s="8"/>
      <c r="BJ446" s="13"/>
      <c r="BK446" s="16"/>
      <c r="BL446" s="16"/>
      <c r="BM446" s="16"/>
      <c r="BN446" s="16"/>
      <c r="BO446" s="2"/>
    </row>
    <row r="447" spans="1:69" x14ac:dyDescent="0.3">
      <c r="A447" s="20">
        <v>445</v>
      </c>
      <c r="B447" s="2" t="s">
        <v>690</v>
      </c>
      <c r="C447" s="2">
        <v>2023</v>
      </c>
      <c r="D447" s="2" t="s">
        <v>199</v>
      </c>
      <c r="E447" s="10" t="s">
        <v>803</v>
      </c>
      <c r="F447" s="20" t="s">
        <v>29</v>
      </c>
      <c r="G447" s="2" t="s">
        <v>692</v>
      </c>
      <c r="H447" s="2" t="str">
        <f>'PFAS Properties'!$B$33</f>
        <v>PFOA</v>
      </c>
      <c r="I447" s="2" t="str">
        <f>'PFAS Properties'!$C$33</f>
        <v>PFCA</v>
      </c>
      <c r="J447" s="2" t="str">
        <f>'PFAS Properties'!$D$33</f>
        <v>C8HF15O2</v>
      </c>
      <c r="K447" s="25">
        <f>'PFAS Properties'!$P$33</f>
        <v>413.97359999999998</v>
      </c>
      <c r="L447" s="2">
        <f>'PFAS Properties'!$X$33</f>
        <v>-0.2</v>
      </c>
      <c r="M447" s="2" t="str">
        <f>'PFAS Properties'!$Y$33</f>
        <v>-</v>
      </c>
      <c r="N447" s="33">
        <v>0</v>
      </c>
      <c r="O447" s="33">
        <v>0</v>
      </c>
      <c r="P447" s="33">
        <v>0</v>
      </c>
      <c r="Q447" s="33">
        <f t="shared" si="200"/>
        <v>0.99999800474166611</v>
      </c>
      <c r="R447" s="33">
        <v>0</v>
      </c>
      <c r="S447" s="33">
        <f t="shared" si="201"/>
        <v>1.9952583339051124E-6</v>
      </c>
      <c r="T447" s="8">
        <f t="shared" si="202"/>
        <v>1</v>
      </c>
      <c r="U447" s="33">
        <f t="shared" si="203"/>
        <v>0</v>
      </c>
      <c r="V447" s="33">
        <f t="shared" si="204"/>
        <v>-0.99999800474166611</v>
      </c>
      <c r="W447" s="33">
        <f t="shared" si="205"/>
        <v>412.97360199525832</v>
      </c>
      <c r="X447" s="33">
        <v>96485</v>
      </c>
      <c r="Y447" s="16">
        <f t="shared" si="206"/>
        <v>-233.63432195505678</v>
      </c>
      <c r="Z447" s="16">
        <v>8</v>
      </c>
      <c r="AA447" s="16">
        <v>15</v>
      </c>
      <c r="AB447" s="8">
        <f t="shared" si="207"/>
        <v>0.33684210526315789</v>
      </c>
      <c r="AC447" s="16">
        <f t="shared" si="198"/>
        <v>68.844969824162703</v>
      </c>
      <c r="AD447" s="20">
        <f>'PFAS Properties'!$W$33</f>
        <v>7</v>
      </c>
      <c r="AE447" s="8">
        <f>'PFAS Properties'!$S$33</f>
        <v>2.6821450763738319</v>
      </c>
      <c r="AF447" s="15">
        <f>'PFAS Properties'!$V$33</f>
        <v>4.9000000000000004</v>
      </c>
      <c r="AG447" s="26">
        <v>5.5</v>
      </c>
      <c r="AH447" s="2" t="s">
        <v>701</v>
      </c>
      <c r="AI447" s="15">
        <f t="shared" si="219"/>
        <v>7.2598499999999992</v>
      </c>
      <c r="AJ447" s="16">
        <v>130</v>
      </c>
      <c r="AK447" s="8">
        <f t="shared" si="210"/>
        <v>0.72598499999999988</v>
      </c>
      <c r="AL447" s="15">
        <f t="shared" si="220"/>
        <v>13.491</v>
      </c>
      <c r="AM447" s="16">
        <v>500</v>
      </c>
      <c r="AN447" s="8">
        <f t="shared" si="214"/>
        <v>1.3491</v>
      </c>
      <c r="AO447" s="15" t="s">
        <v>705</v>
      </c>
      <c r="AP447" s="15">
        <v>1</v>
      </c>
      <c r="AQ447" s="15" t="s">
        <v>702</v>
      </c>
      <c r="AR447" s="4">
        <v>54</v>
      </c>
      <c r="AS447" s="4">
        <v>42</v>
      </c>
      <c r="AT447" s="4">
        <v>4</v>
      </c>
      <c r="AU447" s="2" t="s">
        <v>703</v>
      </c>
      <c r="AV447" s="16">
        <f t="shared" si="215"/>
        <v>100</v>
      </c>
      <c r="AW447" s="27">
        <v>2.2000000000000002</v>
      </c>
      <c r="AX447" s="13">
        <f t="shared" si="216"/>
        <v>2.2000000000000002E-2</v>
      </c>
      <c r="AY447" s="8" t="s">
        <v>704</v>
      </c>
      <c r="AZ447" s="16">
        <v>10</v>
      </c>
      <c r="BA447" s="16" t="s">
        <v>55</v>
      </c>
      <c r="BB447" s="16" t="s">
        <v>55</v>
      </c>
      <c r="BC447" s="16" t="s">
        <v>55</v>
      </c>
      <c r="BD447" s="18">
        <f t="shared" si="221"/>
        <v>7.5857757502918375</v>
      </c>
      <c r="BE447" s="16">
        <f t="shared" si="217"/>
        <v>344.80798864962895</v>
      </c>
      <c r="BF447" s="16">
        <f t="shared" si="208"/>
        <v>2.5375773191777937</v>
      </c>
      <c r="BG447" s="8">
        <f>(0.83+0.93)/2</f>
        <v>0.88</v>
      </c>
      <c r="BH447" s="15" t="s">
        <v>847</v>
      </c>
      <c r="BI447" s="1"/>
      <c r="BJ447" s="2"/>
      <c r="BK447" s="1"/>
      <c r="BL447" s="1"/>
      <c r="BM447" s="7"/>
      <c r="BN447" s="7"/>
      <c r="BO447" s="1"/>
      <c r="BP447" s="11"/>
      <c r="BQ447" s="11"/>
    </row>
    <row r="448" spans="1:69" x14ac:dyDescent="0.3">
      <c r="A448" s="20">
        <v>446</v>
      </c>
      <c r="B448" s="2" t="s">
        <v>690</v>
      </c>
      <c r="C448" s="2">
        <v>2023</v>
      </c>
      <c r="D448" s="2" t="s">
        <v>199</v>
      </c>
      <c r="E448" s="10" t="s">
        <v>803</v>
      </c>
      <c r="F448" s="20" t="s">
        <v>29</v>
      </c>
      <c r="G448" s="2" t="s">
        <v>694</v>
      </c>
      <c r="H448" s="2" t="str">
        <f>'PFAS Properties'!$B$33</f>
        <v>PFOA</v>
      </c>
      <c r="I448" s="2" t="str">
        <f>'PFAS Properties'!$C$33</f>
        <v>PFCA</v>
      </c>
      <c r="J448" s="2" t="str">
        <f>'PFAS Properties'!$D$33</f>
        <v>C8HF15O2</v>
      </c>
      <c r="K448" s="25">
        <f>'PFAS Properties'!$P$33</f>
        <v>413.97359999999998</v>
      </c>
      <c r="L448" s="2">
        <f>'PFAS Properties'!$X$33</f>
        <v>-0.2</v>
      </c>
      <c r="M448" s="2" t="str">
        <f>'PFAS Properties'!$Y$33</f>
        <v>-</v>
      </c>
      <c r="N448" s="33">
        <v>0</v>
      </c>
      <c r="O448" s="33">
        <v>0</v>
      </c>
      <c r="P448" s="33">
        <v>0</v>
      </c>
      <c r="Q448" s="33">
        <f t="shared" si="200"/>
        <v>0.99999999601892831</v>
      </c>
      <c r="R448" s="33">
        <v>0</v>
      </c>
      <c r="S448" s="33">
        <f t="shared" si="201"/>
        <v>3.9810716896860486E-9</v>
      </c>
      <c r="T448" s="8">
        <f t="shared" si="202"/>
        <v>1</v>
      </c>
      <c r="U448" s="33">
        <f t="shared" si="203"/>
        <v>0</v>
      </c>
      <c r="V448" s="33">
        <f t="shared" si="204"/>
        <v>-0.99999999601892831</v>
      </c>
      <c r="W448" s="33">
        <f t="shared" si="205"/>
        <v>412.97360000398106</v>
      </c>
      <c r="X448" s="33">
        <v>96485</v>
      </c>
      <c r="Y448" s="16">
        <f t="shared" si="206"/>
        <v>-233.63478831323886</v>
      </c>
      <c r="Z448" s="16">
        <v>8</v>
      </c>
      <c r="AA448" s="16">
        <v>15</v>
      </c>
      <c r="AB448" s="8">
        <f t="shared" si="207"/>
        <v>0.33684210526315789</v>
      </c>
      <c r="AC448" s="16">
        <f t="shared" si="198"/>
        <v>68.844969824162703</v>
      </c>
      <c r="AD448" s="20">
        <f>'PFAS Properties'!$W$33</f>
        <v>7</v>
      </c>
      <c r="AE448" s="8">
        <f>'PFAS Properties'!$S$33</f>
        <v>2.6821450763738319</v>
      </c>
      <c r="AF448" s="15">
        <f>'PFAS Properties'!$V$33</f>
        <v>4.9000000000000004</v>
      </c>
      <c r="AG448" s="26">
        <v>8.1999999999999993</v>
      </c>
      <c r="AH448" s="2" t="s">
        <v>701</v>
      </c>
      <c r="AI448" s="15">
        <f t="shared" si="219"/>
        <v>1.89873</v>
      </c>
      <c r="AJ448" s="16">
        <v>34</v>
      </c>
      <c r="AK448" s="8">
        <f t="shared" si="210"/>
        <v>0.18987300000000001</v>
      </c>
      <c r="AL448" s="15">
        <f t="shared" si="220"/>
        <v>0.75549599999999995</v>
      </c>
      <c r="AM448" s="16">
        <v>28</v>
      </c>
      <c r="AN448" s="8">
        <f t="shared" si="214"/>
        <v>7.5549599999999995E-2</v>
      </c>
      <c r="AO448" s="15" t="s">
        <v>705</v>
      </c>
      <c r="AP448" s="15">
        <v>15</v>
      </c>
      <c r="AQ448" s="15" t="s">
        <v>702</v>
      </c>
      <c r="AR448" s="4">
        <v>27</v>
      </c>
      <c r="AS448" s="4">
        <v>56</v>
      </c>
      <c r="AT448" s="4">
        <v>16</v>
      </c>
      <c r="AU448" s="2" t="s">
        <v>703</v>
      </c>
      <c r="AV448" s="16">
        <f t="shared" si="215"/>
        <v>99</v>
      </c>
      <c r="AW448" s="27">
        <v>1.6</v>
      </c>
      <c r="AX448" s="13">
        <f t="shared" si="216"/>
        <v>1.6E-2</v>
      </c>
      <c r="AY448" s="8" t="s">
        <v>704</v>
      </c>
      <c r="AZ448" s="16">
        <v>10</v>
      </c>
      <c r="BA448" s="16" t="s">
        <v>55</v>
      </c>
      <c r="BB448" s="16" t="s">
        <v>55</v>
      </c>
      <c r="BC448" s="16" t="s">
        <v>55</v>
      </c>
      <c r="BD448" s="18">
        <f t="shared" si="221"/>
        <v>6.0255958607435796</v>
      </c>
      <c r="BE448" s="16">
        <f t="shared" si="217"/>
        <v>376.59974129647372</v>
      </c>
      <c r="BF448" s="16">
        <f t="shared" si="208"/>
        <v>2.5758800173440752</v>
      </c>
      <c r="BG448" s="8">
        <v>0.78</v>
      </c>
      <c r="BH448" s="15" t="s">
        <v>848</v>
      </c>
      <c r="BI448" s="1"/>
      <c r="BJ448" s="2"/>
      <c r="BK448" s="1"/>
      <c r="BL448" s="1"/>
      <c r="BM448" s="7"/>
      <c r="BN448" s="7"/>
      <c r="BO448" s="1"/>
      <c r="BP448" s="11"/>
      <c r="BQ448" s="11"/>
    </row>
    <row r="449" spans="1:69" x14ac:dyDescent="0.3">
      <c r="A449" s="20">
        <v>447</v>
      </c>
      <c r="B449" s="2" t="s">
        <v>690</v>
      </c>
      <c r="C449" s="2">
        <v>2023</v>
      </c>
      <c r="D449" s="2" t="s">
        <v>199</v>
      </c>
      <c r="E449" s="10" t="s">
        <v>803</v>
      </c>
      <c r="F449" s="20" t="s">
        <v>29</v>
      </c>
      <c r="G449" s="2" t="s">
        <v>693</v>
      </c>
      <c r="H449" s="2" t="str">
        <f>'PFAS Properties'!$B$33</f>
        <v>PFOA</v>
      </c>
      <c r="I449" s="2" t="str">
        <f>'PFAS Properties'!$C$33</f>
        <v>PFCA</v>
      </c>
      <c r="J449" s="2" t="str">
        <f>'PFAS Properties'!$D$33</f>
        <v>C8HF15O2</v>
      </c>
      <c r="K449" s="25">
        <f>'PFAS Properties'!$P$33</f>
        <v>413.97359999999998</v>
      </c>
      <c r="L449" s="2">
        <f>'PFAS Properties'!$X$33</f>
        <v>-0.2</v>
      </c>
      <c r="M449" s="2" t="str">
        <f>'PFAS Properties'!$Y$33</f>
        <v>-</v>
      </c>
      <c r="N449" s="33">
        <v>0</v>
      </c>
      <c r="O449" s="33">
        <v>0</v>
      </c>
      <c r="P449" s="33">
        <v>0</v>
      </c>
      <c r="Q449" s="33">
        <f t="shared" si="200"/>
        <v>0.99999800474166611</v>
      </c>
      <c r="R449" s="33">
        <v>0</v>
      </c>
      <c r="S449" s="33">
        <f t="shared" si="201"/>
        <v>1.9952583339051124E-6</v>
      </c>
      <c r="T449" s="8">
        <f t="shared" si="202"/>
        <v>1</v>
      </c>
      <c r="U449" s="33">
        <f t="shared" si="203"/>
        <v>0</v>
      </c>
      <c r="V449" s="33">
        <f t="shared" si="204"/>
        <v>-0.99999800474166611</v>
      </c>
      <c r="W449" s="33">
        <f t="shared" si="205"/>
        <v>412.97360199525832</v>
      </c>
      <c r="X449" s="33">
        <v>96485</v>
      </c>
      <c r="Y449" s="16">
        <f t="shared" si="206"/>
        <v>-233.63432195505678</v>
      </c>
      <c r="Z449" s="16">
        <v>8</v>
      </c>
      <c r="AA449" s="16">
        <v>15</v>
      </c>
      <c r="AB449" s="8">
        <f t="shared" si="207"/>
        <v>0.33684210526315789</v>
      </c>
      <c r="AC449" s="16">
        <f t="shared" si="198"/>
        <v>68.844969824162703</v>
      </c>
      <c r="AD449" s="20">
        <f>'PFAS Properties'!$W$33</f>
        <v>7</v>
      </c>
      <c r="AE449" s="8">
        <f>'PFAS Properties'!$S$33</f>
        <v>2.6821450763738319</v>
      </c>
      <c r="AF449" s="15">
        <f>'PFAS Properties'!$V$33</f>
        <v>4.9000000000000004</v>
      </c>
      <c r="AG449" s="26">
        <v>5.5</v>
      </c>
      <c r="AH449" s="2" t="s">
        <v>701</v>
      </c>
      <c r="AI449" s="15">
        <f t="shared" si="219"/>
        <v>6.1429499999999999</v>
      </c>
      <c r="AJ449" s="16">
        <v>110</v>
      </c>
      <c r="AK449" s="8">
        <f t="shared" si="210"/>
        <v>0.61429500000000004</v>
      </c>
      <c r="AL449" s="15">
        <f t="shared" si="220"/>
        <v>0.83644200000000002</v>
      </c>
      <c r="AM449" s="16">
        <v>31</v>
      </c>
      <c r="AN449" s="8">
        <f t="shared" si="214"/>
        <v>8.3644200000000002E-2</v>
      </c>
      <c r="AO449" s="15" t="s">
        <v>705</v>
      </c>
      <c r="AP449" s="15">
        <v>8.6</v>
      </c>
      <c r="AQ449" s="15" t="s">
        <v>702</v>
      </c>
      <c r="AR449" s="4">
        <v>27</v>
      </c>
      <c r="AS449" s="4">
        <v>44</v>
      </c>
      <c r="AT449" s="4">
        <v>29</v>
      </c>
      <c r="AU449" s="2" t="s">
        <v>703</v>
      </c>
      <c r="AV449" s="16">
        <f t="shared" si="215"/>
        <v>100</v>
      </c>
      <c r="AW449" s="27">
        <v>1.3</v>
      </c>
      <c r="AX449" s="13">
        <f t="shared" si="216"/>
        <v>1.3000000000000001E-2</v>
      </c>
      <c r="AY449" s="8" t="s">
        <v>704</v>
      </c>
      <c r="AZ449" s="16">
        <v>10</v>
      </c>
      <c r="BA449" s="16" t="s">
        <v>55</v>
      </c>
      <c r="BB449" s="16" t="s">
        <v>55</v>
      </c>
      <c r="BC449" s="16" t="s">
        <v>55</v>
      </c>
      <c r="BD449" s="18">
        <f t="shared" si="221"/>
        <v>4.2657951880159271</v>
      </c>
      <c r="BE449" s="16">
        <f t="shared" si="217"/>
        <v>328.13809138584054</v>
      </c>
      <c r="BF449" s="16">
        <f t="shared" si="208"/>
        <v>2.5160566476931634</v>
      </c>
      <c r="BG449" s="8">
        <v>0.63</v>
      </c>
      <c r="BH449" s="15" t="s">
        <v>849</v>
      </c>
      <c r="BI449" s="1"/>
      <c r="BJ449" s="2"/>
      <c r="BK449" s="1"/>
      <c r="BL449" s="1"/>
      <c r="BM449" s="7"/>
      <c r="BN449" s="7"/>
      <c r="BO449" s="1"/>
      <c r="BP449" s="11"/>
      <c r="BQ449" s="11"/>
    </row>
    <row r="450" spans="1:69" x14ac:dyDescent="0.3">
      <c r="A450" s="20">
        <v>448</v>
      </c>
      <c r="B450" s="2" t="s">
        <v>690</v>
      </c>
      <c r="C450" s="2">
        <v>2023</v>
      </c>
      <c r="D450" s="2" t="s">
        <v>199</v>
      </c>
      <c r="E450" s="10" t="s">
        <v>803</v>
      </c>
      <c r="F450" s="20" t="s">
        <v>29</v>
      </c>
      <c r="G450" s="2" t="s">
        <v>695</v>
      </c>
      <c r="H450" s="2" t="str">
        <f>'PFAS Properties'!$B$33</f>
        <v>PFOA</v>
      </c>
      <c r="I450" s="2" t="str">
        <f>'PFAS Properties'!$C$33</f>
        <v>PFCA</v>
      </c>
      <c r="J450" s="2" t="str">
        <f>'PFAS Properties'!$D$33</f>
        <v>C8HF15O2</v>
      </c>
      <c r="K450" s="25">
        <f>'PFAS Properties'!$P$33</f>
        <v>413.97359999999998</v>
      </c>
      <c r="L450" s="2">
        <f>'PFAS Properties'!$X$33</f>
        <v>-0.2</v>
      </c>
      <c r="M450" s="2" t="str">
        <f>'PFAS Properties'!$Y$33</f>
        <v>-</v>
      </c>
      <c r="N450" s="33">
        <v>0</v>
      </c>
      <c r="O450" s="33">
        <v>0</v>
      </c>
      <c r="P450" s="33">
        <v>0</v>
      </c>
      <c r="Q450" s="33">
        <f t="shared" si="200"/>
        <v>0.99999999683772234</v>
      </c>
      <c r="R450" s="33">
        <v>0</v>
      </c>
      <c r="S450" s="33">
        <f t="shared" si="201"/>
        <v>3.162277650168378E-9</v>
      </c>
      <c r="T450" s="8">
        <f t="shared" si="202"/>
        <v>1</v>
      </c>
      <c r="U450" s="33">
        <f t="shared" si="203"/>
        <v>0</v>
      </c>
      <c r="V450" s="33">
        <f t="shared" si="204"/>
        <v>-0.99999999683772234</v>
      </c>
      <c r="W450" s="33">
        <f t="shared" si="205"/>
        <v>412.97360000316223</v>
      </c>
      <c r="X450" s="33">
        <v>96485</v>
      </c>
      <c r="Y450" s="16">
        <f t="shared" si="206"/>
        <v>-233.63478850500087</v>
      </c>
      <c r="Z450" s="16">
        <v>8</v>
      </c>
      <c r="AA450" s="16">
        <v>15</v>
      </c>
      <c r="AB450" s="8">
        <f t="shared" si="207"/>
        <v>0.33684210526315789</v>
      </c>
      <c r="AC450" s="16">
        <f t="shared" si="198"/>
        <v>68.844969824162703</v>
      </c>
      <c r="AD450" s="20">
        <f>'PFAS Properties'!$W$33</f>
        <v>7</v>
      </c>
      <c r="AE450" s="8">
        <f>'PFAS Properties'!$S$33</f>
        <v>2.6821450763738319</v>
      </c>
      <c r="AF450" s="15">
        <f>'PFAS Properties'!$V$33</f>
        <v>4.9000000000000004</v>
      </c>
      <c r="AG450" s="26">
        <v>8.3000000000000007</v>
      </c>
      <c r="AH450" s="2" t="s">
        <v>701</v>
      </c>
      <c r="AI450" s="15">
        <f t="shared" si="219"/>
        <v>2.066265</v>
      </c>
      <c r="AJ450" s="16">
        <v>37</v>
      </c>
      <c r="AK450" s="8">
        <f t="shared" si="210"/>
        <v>0.20662649999999999</v>
      </c>
      <c r="AL450" s="15">
        <f t="shared" si="220"/>
        <v>0.72851399999999999</v>
      </c>
      <c r="AM450" s="16">
        <v>27</v>
      </c>
      <c r="AN450" s="8">
        <f t="shared" si="214"/>
        <v>7.2851399999999997E-2</v>
      </c>
      <c r="AO450" s="15" t="s">
        <v>705</v>
      </c>
      <c r="AP450" s="15">
        <v>14</v>
      </c>
      <c r="AQ450" s="15" t="s">
        <v>702</v>
      </c>
      <c r="AR450" s="4">
        <v>80</v>
      </c>
      <c r="AS450" s="4">
        <v>15</v>
      </c>
      <c r="AT450" s="4">
        <v>4.4000000000000004</v>
      </c>
      <c r="AU450" s="2" t="s">
        <v>703</v>
      </c>
      <c r="AV450" s="16">
        <f t="shared" si="215"/>
        <v>99.4</v>
      </c>
      <c r="AW450" s="27">
        <v>1.2</v>
      </c>
      <c r="AX450" s="13">
        <f t="shared" si="216"/>
        <v>1.2E-2</v>
      </c>
      <c r="AY450" s="8" t="s">
        <v>704</v>
      </c>
      <c r="AZ450" s="16">
        <v>10</v>
      </c>
      <c r="BA450" s="16" t="s">
        <v>55</v>
      </c>
      <c r="BB450" s="16" t="s">
        <v>55</v>
      </c>
      <c r="BC450" s="16" t="s">
        <v>55</v>
      </c>
      <c r="BD450" s="18">
        <f t="shared" si="221"/>
        <v>5.3088444423098844</v>
      </c>
      <c r="BE450" s="16">
        <f t="shared" si="217"/>
        <v>442.40370352582369</v>
      </c>
      <c r="BF450" s="16">
        <f t="shared" si="208"/>
        <v>2.6458187539523754</v>
      </c>
      <c r="BG450" s="8">
        <f>(0.71+0.74)/2</f>
        <v>0.72499999999999998</v>
      </c>
      <c r="BH450" s="15" t="s">
        <v>850</v>
      </c>
      <c r="BI450" s="1"/>
      <c r="BJ450" s="2"/>
      <c r="BK450" s="1"/>
      <c r="BL450" s="1"/>
      <c r="BM450" s="7"/>
      <c r="BN450" s="7"/>
      <c r="BO450" s="1"/>
      <c r="BP450" s="11"/>
      <c r="BQ450" s="11"/>
    </row>
    <row r="451" spans="1:69" x14ac:dyDescent="0.3">
      <c r="A451" s="20">
        <v>449</v>
      </c>
      <c r="B451" s="2" t="s">
        <v>690</v>
      </c>
      <c r="C451" s="2">
        <v>2023</v>
      </c>
      <c r="D451" s="2" t="s">
        <v>199</v>
      </c>
      <c r="E451" s="10" t="s">
        <v>803</v>
      </c>
      <c r="F451" s="20" t="s">
        <v>29</v>
      </c>
      <c r="G451" s="2" t="s">
        <v>696</v>
      </c>
      <c r="H451" s="2" t="str">
        <f>'PFAS Properties'!$B$33</f>
        <v>PFOA</v>
      </c>
      <c r="I451" s="2" t="str">
        <f>'PFAS Properties'!$C$33</f>
        <v>PFCA</v>
      </c>
      <c r="J451" s="2" t="str">
        <f>'PFAS Properties'!$D$33</f>
        <v>C8HF15O2</v>
      </c>
      <c r="K451" s="25">
        <f>'PFAS Properties'!$P$33</f>
        <v>413.97359999999998</v>
      </c>
      <c r="L451" s="2">
        <f>'PFAS Properties'!$X$33</f>
        <v>-0.2</v>
      </c>
      <c r="M451" s="2" t="str">
        <f>'PFAS Properties'!$Y$33</f>
        <v>-</v>
      </c>
      <c r="N451" s="33">
        <v>0</v>
      </c>
      <c r="O451" s="33">
        <v>0</v>
      </c>
      <c r="P451" s="33">
        <v>0</v>
      </c>
      <c r="Q451" s="33">
        <f t="shared" si="200"/>
        <v>0.99999800474166611</v>
      </c>
      <c r="R451" s="33">
        <v>0</v>
      </c>
      <c r="S451" s="33">
        <f t="shared" si="201"/>
        <v>1.9952583339051124E-6</v>
      </c>
      <c r="T451" s="8">
        <f t="shared" si="202"/>
        <v>1</v>
      </c>
      <c r="U451" s="33">
        <f t="shared" si="203"/>
        <v>0</v>
      </c>
      <c r="V451" s="33">
        <f t="shared" si="204"/>
        <v>-0.99999800474166611</v>
      </c>
      <c r="W451" s="33">
        <f t="shared" si="205"/>
        <v>412.97360199525832</v>
      </c>
      <c r="X451" s="33">
        <v>96485</v>
      </c>
      <c r="Y451" s="16">
        <f t="shared" si="206"/>
        <v>-233.63432195505678</v>
      </c>
      <c r="Z451" s="16">
        <v>8</v>
      </c>
      <c r="AA451" s="16">
        <v>15</v>
      </c>
      <c r="AB451" s="8">
        <f t="shared" si="207"/>
        <v>0.33684210526315789</v>
      </c>
      <c r="AC451" s="16">
        <f t="shared" ref="AC451:AC514" si="222">((AA451*19)/K451)*100</f>
        <v>68.844969824162703</v>
      </c>
      <c r="AD451" s="20">
        <f>'PFAS Properties'!$W$33</f>
        <v>7</v>
      </c>
      <c r="AE451" s="8">
        <f>'PFAS Properties'!$S$33</f>
        <v>2.6821450763738319</v>
      </c>
      <c r="AF451" s="15">
        <f>'PFAS Properties'!$V$33</f>
        <v>4.9000000000000004</v>
      </c>
      <c r="AG451" s="26">
        <v>5.5</v>
      </c>
      <c r="AH451" s="2" t="s">
        <v>701</v>
      </c>
      <c r="AI451" s="15">
        <f t="shared" si="219"/>
        <v>1.3402799999999999</v>
      </c>
      <c r="AJ451" s="16">
        <v>24</v>
      </c>
      <c r="AK451" s="8">
        <f t="shared" si="210"/>
        <v>0.13402799999999998</v>
      </c>
      <c r="AL451" s="15">
        <f t="shared" si="220"/>
        <v>0.32378400000000002</v>
      </c>
      <c r="AM451" s="16">
        <v>12</v>
      </c>
      <c r="AN451" s="8">
        <f t="shared" si="214"/>
        <v>3.2378400000000002E-2</v>
      </c>
      <c r="AO451" s="15" t="s">
        <v>705</v>
      </c>
      <c r="AP451" s="15">
        <v>2.6</v>
      </c>
      <c r="AQ451" s="15" t="s">
        <v>702</v>
      </c>
      <c r="AR451" s="4">
        <v>86</v>
      </c>
      <c r="AS451" s="4">
        <v>8</v>
      </c>
      <c r="AT451" s="4">
        <v>6</v>
      </c>
      <c r="AU451" s="2" t="s">
        <v>703</v>
      </c>
      <c r="AV451" s="16">
        <f t="shared" si="215"/>
        <v>100</v>
      </c>
      <c r="AW451" s="27">
        <v>1.2</v>
      </c>
      <c r="AX451" s="13">
        <f t="shared" si="216"/>
        <v>1.2E-2</v>
      </c>
      <c r="AY451" s="8" t="s">
        <v>704</v>
      </c>
      <c r="AZ451" s="16">
        <v>10</v>
      </c>
      <c r="BA451" s="16" t="s">
        <v>55</v>
      </c>
      <c r="BB451" s="16" t="s">
        <v>55</v>
      </c>
      <c r="BC451" s="16" t="s">
        <v>55</v>
      </c>
      <c r="BD451" s="18">
        <f t="shared" si="221"/>
        <v>3.8904514499428067</v>
      </c>
      <c r="BE451" s="16">
        <f t="shared" si="217"/>
        <v>324.20428749523387</v>
      </c>
      <c r="BF451" s="16">
        <f t="shared" si="208"/>
        <v>2.5108187539523752</v>
      </c>
      <c r="BG451" s="8">
        <f>(0.48+0.7)/2</f>
        <v>0.59</v>
      </c>
      <c r="BH451" s="15" t="s">
        <v>851</v>
      </c>
      <c r="BI451" s="1"/>
      <c r="BJ451" s="2"/>
      <c r="BK451" s="1"/>
      <c r="BL451" s="1"/>
      <c r="BM451" s="7"/>
      <c r="BN451" s="7"/>
      <c r="BO451" s="1"/>
      <c r="BP451" s="11"/>
      <c r="BQ451" s="11"/>
    </row>
    <row r="452" spans="1:69" x14ac:dyDescent="0.3">
      <c r="A452" s="20">
        <v>450</v>
      </c>
      <c r="B452" s="2" t="s">
        <v>690</v>
      </c>
      <c r="C452" s="2">
        <v>2023</v>
      </c>
      <c r="D452" s="2" t="s">
        <v>199</v>
      </c>
      <c r="E452" s="10" t="s">
        <v>803</v>
      </c>
      <c r="F452" s="20" t="s">
        <v>29</v>
      </c>
      <c r="G452" s="2" t="s">
        <v>697</v>
      </c>
      <c r="H452" s="2" t="str">
        <f>'PFAS Properties'!$B$33</f>
        <v>PFOA</v>
      </c>
      <c r="I452" s="2" t="str">
        <f>'PFAS Properties'!$C$33</f>
        <v>PFCA</v>
      </c>
      <c r="J452" s="2" t="str">
        <f>'PFAS Properties'!$D$33</f>
        <v>C8HF15O2</v>
      </c>
      <c r="K452" s="25">
        <f>'PFAS Properties'!$P$33</f>
        <v>413.97359999999998</v>
      </c>
      <c r="L452" s="2">
        <f>'PFAS Properties'!$X$33</f>
        <v>-0.2</v>
      </c>
      <c r="M452" s="2" t="str">
        <f>'PFAS Properties'!$Y$33</f>
        <v>-</v>
      </c>
      <c r="N452" s="33">
        <v>0</v>
      </c>
      <c r="O452" s="33">
        <v>0</v>
      </c>
      <c r="P452" s="33">
        <v>0</v>
      </c>
      <c r="Q452" s="33">
        <f t="shared" si="200"/>
        <v>0.99998415131926011</v>
      </c>
      <c r="R452" s="33">
        <v>0</v>
      </c>
      <c r="S452" s="33">
        <f t="shared" si="201"/>
        <v>1.5848680739948987E-5</v>
      </c>
      <c r="T452" s="8">
        <f t="shared" si="202"/>
        <v>1</v>
      </c>
      <c r="U452" s="33">
        <f t="shared" si="203"/>
        <v>0</v>
      </c>
      <c r="V452" s="33">
        <f t="shared" si="204"/>
        <v>-0.99998415131926011</v>
      </c>
      <c r="W452" s="33">
        <f t="shared" si="205"/>
        <v>412.97361584868077</v>
      </c>
      <c r="X452" s="33">
        <v>96485</v>
      </c>
      <c r="Y452" s="16">
        <f t="shared" si="206"/>
        <v>-233.63107747636758</v>
      </c>
      <c r="Z452" s="16">
        <v>8</v>
      </c>
      <c r="AA452" s="16">
        <v>15</v>
      </c>
      <c r="AB452" s="8">
        <f t="shared" si="207"/>
        <v>0.33684210526315789</v>
      </c>
      <c r="AC452" s="16">
        <f t="shared" si="222"/>
        <v>68.844969824162703</v>
      </c>
      <c r="AD452" s="20">
        <f>'PFAS Properties'!$W$33</f>
        <v>7</v>
      </c>
      <c r="AE452" s="8">
        <f>'PFAS Properties'!$S$33</f>
        <v>2.6821450763738319</v>
      </c>
      <c r="AF452" s="15">
        <f>'PFAS Properties'!$V$33</f>
        <v>4.9000000000000004</v>
      </c>
      <c r="AG452" s="26">
        <v>4.5999999999999996</v>
      </c>
      <c r="AH452" s="2" t="s">
        <v>701</v>
      </c>
      <c r="AI452" s="15">
        <f t="shared" si="219"/>
        <v>0.1396125</v>
      </c>
      <c r="AJ452" s="16">
        <v>2.5</v>
      </c>
      <c r="AK452" s="8">
        <f t="shared" si="210"/>
        <v>1.396125E-2</v>
      </c>
      <c r="AL452" s="15">
        <f t="shared" si="220"/>
        <v>5.12658E-2</v>
      </c>
      <c r="AM452" s="16">
        <v>1.9</v>
      </c>
      <c r="AN452" s="8">
        <f t="shared" si="214"/>
        <v>5.1265800000000004E-3</v>
      </c>
      <c r="AO452" s="15" t="s">
        <v>705</v>
      </c>
      <c r="AP452" s="15">
        <v>1.8</v>
      </c>
      <c r="AQ452" s="15" t="s">
        <v>702</v>
      </c>
      <c r="AR452" s="4">
        <v>53</v>
      </c>
      <c r="AS452" s="4">
        <v>40</v>
      </c>
      <c r="AT452" s="4">
        <v>7</v>
      </c>
      <c r="AU452" s="2" t="s">
        <v>703</v>
      </c>
      <c r="AV452" s="16">
        <f t="shared" si="215"/>
        <v>100</v>
      </c>
      <c r="AW452" s="27">
        <v>1.1000000000000001</v>
      </c>
      <c r="AX452" s="13">
        <f t="shared" si="216"/>
        <v>1.1000000000000001E-2</v>
      </c>
      <c r="AY452" s="8" t="s">
        <v>704</v>
      </c>
      <c r="AZ452" s="16">
        <v>10</v>
      </c>
      <c r="BA452" s="16" t="s">
        <v>55</v>
      </c>
      <c r="BB452" s="16" t="s">
        <v>55</v>
      </c>
      <c r="BC452" s="16" t="s">
        <v>55</v>
      </c>
      <c r="BD452" s="18">
        <f t="shared" si="221"/>
        <v>2.2908676527677732</v>
      </c>
      <c r="BE452" s="16">
        <f t="shared" si="217"/>
        <v>208.26069570616119</v>
      </c>
      <c r="BF452" s="16">
        <f t="shared" si="208"/>
        <v>2.318607314841775</v>
      </c>
      <c r="BG452" s="8">
        <v>0.36</v>
      </c>
      <c r="BH452" s="15" t="s">
        <v>849</v>
      </c>
      <c r="BI452" s="1"/>
      <c r="BJ452" s="2"/>
      <c r="BK452" s="1"/>
      <c r="BL452" s="1"/>
      <c r="BM452" s="7"/>
      <c r="BN452" s="7"/>
      <c r="BO452" s="1"/>
      <c r="BP452" s="11"/>
      <c r="BQ452" s="11"/>
    </row>
    <row r="453" spans="1:69" x14ac:dyDescent="0.3">
      <c r="A453" s="20">
        <v>451</v>
      </c>
      <c r="B453" s="2" t="s">
        <v>690</v>
      </c>
      <c r="C453" s="2">
        <v>2023</v>
      </c>
      <c r="D453" s="2" t="s">
        <v>199</v>
      </c>
      <c r="E453" s="10" t="s">
        <v>803</v>
      </c>
      <c r="F453" s="20" t="s">
        <v>29</v>
      </c>
      <c r="G453" s="2" t="s">
        <v>698</v>
      </c>
      <c r="H453" s="2" t="str">
        <f>'PFAS Properties'!$B$33</f>
        <v>PFOA</v>
      </c>
      <c r="I453" s="2" t="str">
        <f>'PFAS Properties'!$C$33</f>
        <v>PFCA</v>
      </c>
      <c r="J453" s="2" t="str">
        <f>'PFAS Properties'!$D$33</f>
        <v>C8HF15O2</v>
      </c>
      <c r="K453" s="25">
        <f>'PFAS Properties'!$P$33</f>
        <v>413.97359999999998</v>
      </c>
      <c r="L453" s="2">
        <f>'PFAS Properties'!$X$33</f>
        <v>-0.2</v>
      </c>
      <c r="M453" s="2" t="str">
        <f>'PFAS Properties'!$Y$33</f>
        <v>-</v>
      </c>
      <c r="N453" s="33">
        <v>0</v>
      </c>
      <c r="O453" s="33">
        <v>0</v>
      </c>
      <c r="P453" s="33">
        <v>0</v>
      </c>
      <c r="Q453" s="33">
        <f t="shared" si="200"/>
        <v>0.99999984151070587</v>
      </c>
      <c r="R453" s="33">
        <v>0</v>
      </c>
      <c r="S453" s="33">
        <f t="shared" si="201"/>
        <v>1.5848929412725089E-7</v>
      </c>
      <c r="T453" s="8">
        <f t="shared" si="202"/>
        <v>1</v>
      </c>
      <c r="U453" s="33">
        <f t="shared" si="203"/>
        <v>0</v>
      </c>
      <c r="V453" s="33">
        <f t="shared" si="204"/>
        <v>-0.99999984151070587</v>
      </c>
      <c r="W453" s="33">
        <f t="shared" si="205"/>
        <v>412.97360015848926</v>
      </c>
      <c r="X453" s="33">
        <v>96485</v>
      </c>
      <c r="Y453" s="16">
        <f t="shared" si="206"/>
        <v>-233.63475212733178</v>
      </c>
      <c r="Z453" s="16">
        <v>8</v>
      </c>
      <c r="AA453" s="16">
        <v>15</v>
      </c>
      <c r="AB453" s="8">
        <f t="shared" si="207"/>
        <v>0.33684210526315789</v>
      </c>
      <c r="AC453" s="16">
        <f t="shared" si="222"/>
        <v>68.844969824162703</v>
      </c>
      <c r="AD453" s="20">
        <f>'PFAS Properties'!$W$33</f>
        <v>7</v>
      </c>
      <c r="AE453" s="8">
        <f>'PFAS Properties'!$S$33</f>
        <v>2.6821450763738319</v>
      </c>
      <c r="AF453" s="15">
        <f>'PFAS Properties'!$V$33</f>
        <v>4.9000000000000004</v>
      </c>
      <c r="AG453" s="26">
        <v>6.6</v>
      </c>
      <c r="AH453" s="2" t="s">
        <v>701</v>
      </c>
      <c r="AI453" s="15">
        <f t="shared" si="219"/>
        <v>11.169</v>
      </c>
      <c r="AJ453" s="16">
        <v>200</v>
      </c>
      <c r="AK453" s="8">
        <f t="shared" si="210"/>
        <v>1.1169</v>
      </c>
      <c r="AL453" s="15">
        <f t="shared" si="220"/>
        <v>1.3760819999999998</v>
      </c>
      <c r="AM453" s="16">
        <v>51</v>
      </c>
      <c r="AN453" s="8">
        <f t="shared" si="214"/>
        <v>0.13760819999999999</v>
      </c>
      <c r="AO453" s="15" t="s">
        <v>705</v>
      </c>
      <c r="AP453" s="15">
        <v>16</v>
      </c>
      <c r="AQ453" s="15" t="s">
        <v>702</v>
      </c>
      <c r="AR453" s="4">
        <v>0.68</v>
      </c>
      <c r="AS453" s="4">
        <v>48</v>
      </c>
      <c r="AT453" s="4">
        <v>52</v>
      </c>
      <c r="AU453" s="2" t="s">
        <v>703</v>
      </c>
      <c r="AV453" s="16">
        <f t="shared" si="215"/>
        <v>100.68</v>
      </c>
      <c r="AW453" s="27">
        <v>0.91</v>
      </c>
      <c r="AX453" s="13">
        <f t="shared" si="216"/>
        <v>9.1000000000000004E-3</v>
      </c>
      <c r="AY453" s="8" t="s">
        <v>704</v>
      </c>
      <c r="AZ453" s="16">
        <v>10</v>
      </c>
      <c r="BA453" s="16" t="s">
        <v>55</v>
      </c>
      <c r="BB453" s="16" t="s">
        <v>55</v>
      </c>
      <c r="BC453" s="16" t="s">
        <v>55</v>
      </c>
      <c r="BD453" s="18">
        <f t="shared" si="221"/>
        <v>0.72443596007499</v>
      </c>
      <c r="BE453" s="16">
        <f t="shared" si="217"/>
        <v>79.608347260987912</v>
      </c>
      <c r="BF453" s="16">
        <f t="shared" si="208"/>
        <v>1.9009586076789065</v>
      </c>
      <c r="BG453" s="8">
        <v>-0.14000000000000001</v>
      </c>
      <c r="BH453" s="15" t="s">
        <v>852</v>
      </c>
      <c r="BI453" s="1"/>
      <c r="BJ453" s="2"/>
      <c r="BK453" s="1"/>
      <c r="BL453" s="1"/>
      <c r="BM453" s="7"/>
      <c r="BN453" s="7"/>
      <c r="BO453" s="1"/>
      <c r="BP453" s="11"/>
      <c r="BQ453" s="11"/>
    </row>
    <row r="454" spans="1:69" x14ac:dyDescent="0.3">
      <c r="A454" s="20">
        <v>452</v>
      </c>
      <c r="B454" s="2" t="s">
        <v>690</v>
      </c>
      <c r="C454" s="2">
        <v>2023</v>
      </c>
      <c r="D454" s="2" t="s">
        <v>199</v>
      </c>
      <c r="E454" s="10" t="s">
        <v>803</v>
      </c>
      <c r="F454" s="20" t="s">
        <v>29</v>
      </c>
      <c r="G454" s="2" t="s">
        <v>699</v>
      </c>
      <c r="H454" s="2" t="str">
        <f>'PFAS Properties'!$B$33</f>
        <v>PFOA</v>
      </c>
      <c r="I454" s="2" t="str">
        <f>'PFAS Properties'!$C$33</f>
        <v>PFCA</v>
      </c>
      <c r="J454" s="2" t="str">
        <f>'PFAS Properties'!$D$33</f>
        <v>C8HF15O2</v>
      </c>
      <c r="K454" s="25">
        <f>'PFAS Properties'!$P$33</f>
        <v>413.97359999999998</v>
      </c>
      <c r="L454" s="2">
        <f>'PFAS Properties'!$X$33</f>
        <v>-0.2</v>
      </c>
      <c r="M454" s="2" t="str">
        <f>'PFAS Properties'!$Y$33</f>
        <v>-</v>
      </c>
      <c r="N454" s="33">
        <v>0</v>
      </c>
      <c r="O454" s="33">
        <v>0</v>
      </c>
      <c r="P454" s="33">
        <v>0</v>
      </c>
      <c r="Q454" s="33">
        <f t="shared" si="200"/>
        <v>0.99999900000099995</v>
      </c>
      <c r="R454" s="33">
        <v>0</v>
      </c>
      <c r="S454" s="33">
        <f t="shared" si="201"/>
        <v>9.9999900000100006E-7</v>
      </c>
      <c r="T454" s="8">
        <f t="shared" si="202"/>
        <v>1</v>
      </c>
      <c r="U454" s="33">
        <f t="shared" si="203"/>
        <v>0</v>
      </c>
      <c r="V454" s="33">
        <f t="shared" si="204"/>
        <v>-0.99999900000099995</v>
      </c>
      <c r="W454" s="33">
        <f t="shared" si="205"/>
        <v>412.97360099999895</v>
      </c>
      <c r="X454" s="33">
        <v>96485</v>
      </c>
      <c r="Y454" s="16">
        <f t="shared" si="206"/>
        <v>-233.63455504531566</v>
      </c>
      <c r="Z454" s="16">
        <v>8</v>
      </c>
      <c r="AA454" s="16">
        <v>15</v>
      </c>
      <c r="AB454" s="8">
        <f t="shared" si="207"/>
        <v>0.33684210526315789</v>
      </c>
      <c r="AC454" s="16">
        <f t="shared" si="222"/>
        <v>68.844969824162703</v>
      </c>
      <c r="AD454" s="20">
        <f>'PFAS Properties'!$W$33</f>
        <v>7</v>
      </c>
      <c r="AE454" s="8">
        <f>'PFAS Properties'!$S$33</f>
        <v>2.6821450763738319</v>
      </c>
      <c r="AF454" s="15">
        <f>'PFAS Properties'!$V$33</f>
        <v>4.9000000000000004</v>
      </c>
      <c r="AG454" s="26">
        <v>5.8</v>
      </c>
      <c r="AH454" s="2" t="s">
        <v>701</v>
      </c>
      <c r="AI454" s="15">
        <f t="shared" si="219"/>
        <v>1.6753499999999999</v>
      </c>
      <c r="AJ454" s="16">
        <v>30</v>
      </c>
      <c r="AK454" s="8">
        <f t="shared" si="210"/>
        <v>0.16753499999999999</v>
      </c>
      <c r="AL454" s="15">
        <f t="shared" si="220"/>
        <v>0.75549599999999995</v>
      </c>
      <c r="AM454" s="16">
        <v>28</v>
      </c>
      <c r="AN454" s="8">
        <f t="shared" si="214"/>
        <v>7.5549599999999995E-2</v>
      </c>
      <c r="AO454" s="15" t="s">
        <v>705</v>
      </c>
      <c r="AP454" s="15">
        <v>0.77</v>
      </c>
      <c r="AQ454" s="15" t="s">
        <v>702</v>
      </c>
      <c r="AR454" s="4">
        <v>89</v>
      </c>
      <c r="AS454" s="4">
        <v>8</v>
      </c>
      <c r="AT454" s="4">
        <v>3</v>
      </c>
      <c r="AU454" s="2" t="s">
        <v>703</v>
      </c>
      <c r="AV454" s="16">
        <f t="shared" si="215"/>
        <v>100</v>
      </c>
      <c r="AW454" s="27">
        <v>0.3</v>
      </c>
      <c r="AX454" s="13">
        <f t="shared" si="216"/>
        <v>3.0000000000000001E-3</v>
      </c>
      <c r="AY454" s="8" t="s">
        <v>704</v>
      </c>
      <c r="AZ454" s="16">
        <v>10</v>
      </c>
      <c r="BA454" s="16" t="s">
        <v>55</v>
      </c>
      <c r="BB454" s="16" t="s">
        <v>55</v>
      </c>
      <c r="BC454" s="16" t="s">
        <v>55</v>
      </c>
      <c r="BD454" s="18">
        <f t="shared" si="221"/>
        <v>4.4668359215096318</v>
      </c>
      <c r="BE454" s="16">
        <f t="shared" si="217"/>
        <v>1488.9453071698772</v>
      </c>
      <c r="BF454" s="16">
        <f t="shared" si="208"/>
        <v>3.1728787452803378</v>
      </c>
      <c r="BG454" s="8">
        <v>0.65</v>
      </c>
      <c r="BH454" s="15" t="s">
        <v>853</v>
      </c>
      <c r="BI454" s="1"/>
      <c r="BJ454" s="2"/>
      <c r="BK454" s="1"/>
      <c r="BL454" s="1"/>
      <c r="BM454" s="7"/>
      <c r="BN454" s="7"/>
      <c r="BO454" s="1"/>
      <c r="BP454" s="11"/>
      <c r="BQ454" s="11"/>
    </row>
    <row r="455" spans="1:69" s="14" customFormat="1" x14ac:dyDescent="0.3">
      <c r="A455" s="20">
        <v>453</v>
      </c>
      <c r="B455" s="2" t="s">
        <v>195</v>
      </c>
      <c r="C455" s="2">
        <v>2018</v>
      </c>
      <c r="D455" s="2" t="s">
        <v>199</v>
      </c>
      <c r="E455" s="10" t="s">
        <v>795</v>
      </c>
      <c r="F455" s="20" t="s">
        <v>29</v>
      </c>
      <c r="G455" s="2" t="s">
        <v>47</v>
      </c>
      <c r="H455" s="2" t="str">
        <f>'PFAS Properties'!$B$33</f>
        <v>PFOA</v>
      </c>
      <c r="I455" s="2" t="str">
        <f>'PFAS Properties'!$C$33</f>
        <v>PFCA</v>
      </c>
      <c r="J455" s="2" t="str">
        <f>'PFAS Properties'!$D$33</f>
        <v>C8HF15O2</v>
      </c>
      <c r="K455" s="25">
        <f>'PFAS Properties'!$P$33</f>
        <v>413.97359999999998</v>
      </c>
      <c r="L455" s="2">
        <f>'PFAS Properties'!$X$33</f>
        <v>-0.2</v>
      </c>
      <c r="M455" s="2" t="str">
        <f>'PFAS Properties'!$Y$33</f>
        <v>-</v>
      </c>
      <c r="N455" s="33">
        <v>0</v>
      </c>
      <c r="O455" s="33">
        <v>0</v>
      </c>
      <c r="P455" s="33">
        <v>0</v>
      </c>
      <c r="Q455" s="33">
        <f t="shared" si="200"/>
        <v>0.99998004777494953</v>
      </c>
      <c r="R455" s="33">
        <v>0</v>
      </c>
      <c r="S455" s="33">
        <f t="shared" si="201"/>
        <v>1.9952225050461341E-5</v>
      </c>
      <c r="T455" s="8">
        <f t="shared" si="202"/>
        <v>1</v>
      </c>
      <c r="U455" s="33">
        <f t="shared" si="203"/>
        <v>0</v>
      </c>
      <c r="V455" s="33">
        <f t="shared" si="204"/>
        <v>-0.99998004777494953</v>
      </c>
      <c r="W455" s="33">
        <f t="shared" si="205"/>
        <v>412.97361995222502</v>
      </c>
      <c r="X455" s="33">
        <v>96485</v>
      </c>
      <c r="Y455" s="16">
        <f t="shared" si="206"/>
        <v>-233.63011642421051</v>
      </c>
      <c r="Z455" s="16">
        <v>8</v>
      </c>
      <c r="AA455" s="16">
        <v>15</v>
      </c>
      <c r="AB455" s="8">
        <f t="shared" si="207"/>
        <v>0.33684210526315789</v>
      </c>
      <c r="AC455" s="16">
        <f t="shared" si="222"/>
        <v>68.844969824162703</v>
      </c>
      <c r="AD455" s="20">
        <f>'PFAS Properties'!$W$33</f>
        <v>7</v>
      </c>
      <c r="AE455" s="8">
        <f>'PFAS Properties'!$S$33</f>
        <v>2.6821450763738319</v>
      </c>
      <c r="AF455" s="15">
        <f>'PFAS Properties'!$V$33</f>
        <v>4.9000000000000004</v>
      </c>
      <c r="AG455" s="24">
        <v>4.5</v>
      </c>
      <c r="AH455" s="2" t="s">
        <v>658</v>
      </c>
      <c r="AI455" s="8">
        <f t="shared" si="219"/>
        <v>5.8637250000000002E-2</v>
      </c>
      <c r="AJ455" s="16">
        <v>1.05</v>
      </c>
      <c r="AK455" s="8">
        <f t="shared" si="210"/>
        <v>5.8637250000000002E-3</v>
      </c>
      <c r="AL455" s="15">
        <f>AM455*26.98/1000</f>
        <v>0.18454320000000002</v>
      </c>
      <c r="AM455" s="16">
        <v>6.84</v>
      </c>
      <c r="AN455" s="8">
        <f t="shared" si="214"/>
        <v>1.8454320000000003E-2</v>
      </c>
      <c r="AO455" s="2" t="s">
        <v>48</v>
      </c>
      <c r="AP455" s="72">
        <v>21.496500000000001</v>
      </c>
      <c r="AQ455" s="70" t="s">
        <v>752</v>
      </c>
      <c r="AR455" s="71">
        <v>41.737499999999997</v>
      </c>
      <c r="AS455" s="71">
        <v>35.036999999999999</v>
      </c>
      <c r="AT455" s="71">
        <v>21.971</v>
      </c>
      <c r="AU455" s="70" t="s">
        <v>752</v>
      </c>
      <c r="AV455" s="16">
        <f t="shared" si="215"/>
        <v>98.745499999999993</v>
      </c>
      <c r="AW455" s="18">
        <v>45</v>
      </c>
      <c r="AX455" s="13">
        <f t="shared" si="216"/>
        <v>0.45</v>
      </c>
      <c r="AY455" s="8" t="s">
        <v>49</v>
      </c>
      <c r="AZ455" s="16">
        <f>0.45/0.04</f>
        <v>11.25</v>
      </c>
      <c r="BA455" s="16" t="s">
        <v>55</v>
      </c>
      <c r="BB455" s="8">
        <v>1.25</v>
      </c>
      <c r="BC455" s="8" t="s">
        <v>55</v>
      </c>
      <c r="BD455" s="18">
        <f>(10^(2.1)*AX455)</f>
        <v>56.651643530737545</v>
      </c>
      <c r="BE455" s="15">
        <f t="shared" si="217"/>
        <v>125.89254117941677</v>
      </c>
      <c r="BF455" s="8">
        <f t="shared" si="208"/>
        <v>2.1</v>
      </c>
      <c r="BG455" s="8">
        <f t="shared" ref="BG455:BG495" si="223">LOG(BD455)</f>
        <v>1.7532125137753438</v>
      </c>
      <c r="BH455" s="2" t="s">
        <v>821</v>
      </c>
      <c r="BI455" s="13"/>
      <c r="BJ455" s="13"/>
      <c r="BK455" s="13"/>
      <c r="BL455" s="13"/>
      <c r="BM455" s="17"/>
      <c r="BN455" s="17"/>
      <c r="BO455" s="2"/>
    </row>
    <row r="456" spans="1:69" s="14" customFormat="1" x14ac:dyDescent="0.3">
      <c r="A456" s="20">
        <v>454</v>
      </c>
      <c r="B456" s="2" t="s">
        <v>202</v>
      </c>
      <c r="C456" s="2">
        <v>2019</v>
      </c>
      <c r="D456" s="2" t="s">
        <v>199</v>
      </c>
      <c r="E456" s="10" t="s">
        <v>791</v>
      </c>
      <c r="F456" s="20" t="s">
        <v>29</v>
      </c>
      <c r="G456" s="2" t="s">
        <v>39</v>
      </c>
      <c r="H456" s="2" t="str">
        <f>'PFAS Properties'!$B$34</f>
        <v>PFNA</v>
      </c>
      <c r="I456" s="2" t="str">
        <f>'PFAS Properties'!$C$34</f>
        <v>PFCA</v>
      </c>
      <c r="J456" s="2" t="str">
        <f>'PFAS Properties'!$D$34</f>
        <v>C9HF17O2</v>
      </c>
      <c r="K456" s="25">
        <f>'PFAS Properties'!$P$34</f>
        <v>463.97039999999998</v>
      </c>
      <c r="L456" s="2">
        <f>'PFAS Properties'!$X$34</f>
        <v>-0.2</v>
      </c>
      <c r="M456" s="2" t="str">
        <f>'PFAS Properties'!$Y$34</f>
        <v>-</v>
      </c>
      <c r="N456" s="33">
        <v>0</v>
      </c>
      <c r="O456" s="33">
        <v>0</v>
      </c>
      <c r="P456" s="33">
        <v>0</v>
      </c>
      <c r="Q456" s="33">
        <f t="shared" si="200"/>
        <v>0.9999964518786969</v>
      </c>
      <c r="R456" s="33">
        <v>0</v>
      </c>
      <c r="S456" s="33">
        <f t="shared" si="201"/>
        <v>3.5481213031263005E-6</v>
      </c>
      <c r="T456" s="8">
        <f t="shared" si="202"/>
        <v>1</v>
      </c>
      <c r="U456" s="33">
        <f t="shared" si="203"/>
        <v>0</v>
      </c>
      <c r="V456" s="33">
        <f t="shared" si="204"/>
        <v>-0.9999964518786969</v>
      </c>
      <c r="W456" s="33">
        <f t="shared" si="205"/>
        <v>462.97040354812128</v>
      </c>
      <c r="X456" s="33">
        <v>96485</v>
      </c>
      <c r="Y456" s="16">
        <f t="shared" si="206"/>
        <v>-208.40351115335915</v>
      </c>
      <c r="Z456" s="16">
        <v>9</v>
      </c>
      <c r="AA456" s="16">
        <v>17</v>
      </c>
      <c r="AB456" s="8">
        <f t="shared" si="207"/>
        <v>0.33436532507739936</v>
      </c>
      <c r="AC456" s="16">
        <f t="shared" si="222"/>
        <v>69.616510018742574</v>
      </c>
      <c r="AD456" s="20">
        <f>'PFAS Properties'!$W$34</f>
        <v>8</v>
      </c>
      <c r="AE456" s="8">
        <f>'PFAS Properties'!$S$34</f>
        <v>1.7965743332104296</v>
      </c>
      <c r="AF456" s="15">
        <f>'PFAS Properties'!$V$34</f>
        <v>5.6</v>
      </c>
      <c r="AG456" s="24">
        <v>5.25</v>
      </c>
      <c r="AH456" s="2" t="s">
        <v>661</v>
      </c>
      <c r="AI456" s="2" t="s">
        <v>661</v>
      </c>
      <c r="AJ456" s="2" t="s">
        <v>661</v>
      </c>
      <c r="AK456" s="2" t="s">
        <v>661</v>
      </c>
      <c r="AL456" s="2" t="s">
        <v>661</v>
      </c>
      <c r="AM456" s="2" t="s">
        <v>661</v>
      </c>
      <c r="AN456" s="2" t="s">
        <v>661</v>
      </c>
      <c r="AO456" s="2" t="s">
        <v>661</v>
      </c>
      <c r="AP456" s="72">
        <v>5.7023166666666656</v>
      </c>
      <c r="AQ456" s="70" t="s">
        <v>752</v>
      </c>
      <c r="AR456" s="16">
        <v>100</v>
      </c>
      <c r="AS456" s="16">
        <v>0</v>
      </c>
      <c r="AT456" s="16">
        <v>0</v>
      </c>
      <c r="AU456" s="2" t="s">
        <v>661</v>
      </c>
      <c r="AV456" s="16">
        <f t="shared" si="215"/>
        <v>100</v>
      </c>
      <c r="AW456" s="20">
        <v>0.4</v>
      </c>
      <c r="AX456" s="13">
        <f t="shared" si="216"/>
        <v>4.0000000000000001E-3</v>
      </c>
      <c r="AY456" s="13" t="s">
        <v>658</v>
      </c>
      <c r="AZ456" s="16">
        <f>2/0.01</f>
        <v>200</v>
      </c>
      <c r="BA456" s="16" t="s">
        <v>55</v>
      </c>
      <c r="BB456" s="16">
        <v>1</v>
      </c>
      <c r="BC456" s="16">
        <v>1000</v>
      </c>
      <c r="BD456" s="18">
        <v>10.3</v>
      </c>
      <c r="BE456" s="15">
        <f t="shared" si="217"/>
        <v>2575</v>
      </c>
      <c r="BF456" s="8">
        <f t="shared" si="208"/>
        <v>3.4107772333772099</v>
      </c>
      <c r="BG456" s="8">
        <f t="shared" si="223"/>
        <v>1.0128372247051722</v>
      </c>
      <c r="BH456" s="13" t="s">
        <v>272</v>
      </c>
      <c r="BI456" s="13"/>
      <c r="BJ456" s="13"/>
      <c r="BK456" s="13"/>
      <c r="BL456" s="13"/>
      <c r="BM456" s="17"/>
      <c r="BN456" s="17"/>
      <c r="BO456" s="2"/>
    </row>
    <row r="457" spans="1:69" s="14" customFormat="1" x14ac:dyDescent="0.3">
      <c r="A457" s="20">
        <v>455</v>
      </c>
      <c r="B457" s="2" t="s">
        <v>202</v>
      </c>
      <c r="C457" s="2">
        <v>2019</v>
      </c>
      <c r="D457" s="2" t="s">
        <v>199</v>
      </c>
      <c r="E457" s="10" t="s">
        <v>791</v>
      </c>
      <c r="F457" s="20" t="s">
        <v>29</v>
      </c>
      <c r="G457" s="2" t="s">
        <v>43</v>
      </c>
      <c r="H457" s="2" t="str">
        <f>'PFAS Properties'!$B$34</f>
        <v>PFNA</v>
      </c>
      <c r="I457" s="2" t="str">
        <f>'PFAS Properties'!$C$34</f>
        <v>PFCA</v>
      </c>
      <c r="J457" s="2" t="str">
        <f>'PFAS Properties'!$D$34</f>
        <v>C9HF17O2</v>
      </c>
      <c r="K457" s="25">
        <f>'PFAS Properties'!$P$34</f>
        <v>463.97039999999998</v>
      </c>
      <c r="L457" s="2">
        <f>'PFAS Properties'!$X$34</f>
        <v>-0.2</v>
      </c>
      <c r="M457" s="2" t="str">
        <f>'PFAS Properties'!$Y$34</f>
        <v>-</v>
      </c>
      <c r="N457" s="33">
        <v>0</v>
      </c>
      <c r="O457" s="33">
        <v>0</v>
      </c>
      <c r="P457" s="33">
        <v>0</v>
      </c>
      <c r="Q457" s="33">
        <f t="shared" si="200"/>
        <v>0.99999865103893715</v>
      </c>
      <c r="R457" s="33">
        <v>0</v>
      </c>
      <c r="S457" s="33">
        <f t="shared" si="201"/>
        <v>1.3489610628932487E-6</v>
      </c>
      <c r="T457" s="8">
        <f t="shared" si="202"/>
        <v>1</v>
      </c>
      <c r="U457" s="33">
        <f t="shared" si="203"/>
        <v>0</v>
      </c>
      <c r="V457" s="33">
        <f t="shared" si="204"/>
        <v>-0.99999865103893715</v>
      </c>
      <c r="W457" s="33">
        <f t="shared" si="205"/>
        <v>462.97040134896105</v>
      </c>
      <c r="X457" s="33">
        <v>96485</v>
      </c>
      <c r="Y457" s="16">
        <f t="shared" si="206"/>
        <v>-208.40397045764269</v>
      </c>
      <c r="Z457" s="16">
        <v>9</v>
      </c>
      <c r="AA457" s="16">
        <v>17</v>
      </c>
      <c r="AB457" s="8">
        <f t="shared" si="207"/>
        <v>0.33436532507739936</v>
      </c>
      <c r="AC457" s="16">
        <f t="shared" si="222"/>
        <v>69.616510018742574</v>
      </c>
      <c r="AD457" s="20">
        <f>'PFAS Properties'!$W$34</f>
        <v>8</v>
      </c>
      <c r="AE457" s="8">
        <f>'PFAS Properties'!$S$34</f>
        <v>1.7965743332104296</v>
      </c>
      <c r="AF457" s="15">
        <f>'PFAS Properties'!$V$34</f>
        <v>5.6</v>
      </c>
      <c r="AG457" s="24">
        <v>5.67</v>
      </c>
      <c r="AH457" s="2" t="s">
        <v>661</v>
      </c>
      <c r="AI457" s="15" t="s">
        <v>661</v>
      </c>
      <c r="AJ457" s="16" t="s">
        <v>661</v>
      </c>
      <c r="AK457" s="2" t="s">
        <v>661</v>
      </c>
      <c r="AL457" s="15" t="s">
        <v>661</v>
      </c>
      <c r="AM457" s="16" t="s">
        <v>661</v>
      </c>
      <c r="AN457" s="2" t="s">
        <v>661</v>
      </c>
      <c r="AO457" s="2" t="s">
        <v>661</v>
      </c>
      <c r="AP457" s="72">
        <v>9.2037666666666649</v>
      </c>
      <c r="AQ457" s="70" t="s">
        <v>752</v>
      </c>
      <c r="AR457" s="16">
        <v>71</v>
      </c>
      <c r="AS457" s="16">
        <v>24</v>
      </c>
      <c r="AT457" s="16">
        <v>5</v>
      </c>
      <c r="AU457" s="2" t="s">
        <v>661</v>
      </c>
      <c r="AV457" s="16">
        <f t="shared" si="215"/>
        <v>100</v>
      </c>
      <c r="AW457" s="20">
        <v>0.93</v>
      </c>
      <c r="AX457" s="13">
        <f t="shared" si="216"/>
        <v>9.300000000000001E-3</v>
      </c>
      <c r="AY457" s="13" t="s">
        <v>658</v>
      </c>
      <c r="AZ457" s="16">
        <f>2/0.01</f>
        <v>200</v>
      </c>
      <c r="BA457" s="16" t="s">
        <v>55</v>
      </c>
      <c r="BB457" s="16">
        <v>1</v>
      </c>
      <c r="BC457" s="16">
        <v>1000</v>
      </c>
      <c r="BD457" s="18">
        <v>3.3</v>
      </c>
      <c r="BE457" s="15">
        <f t="shared" si="217"/>
        <v>354.83870967741927</v>
      </c>
      <c r="BF457" s="8">
        <f t="shared" si="208"/>
        <v>2.5500309913239523</v>
      </c>
      <c r="BG457" s="8">
        <f t="shared" si="223"/>
        <v>0.51851393987788741</v>
      </c>
      <c r="BH457" s="13" t="s">
        <v>272</v>
      </c>
      <c r="BI457" s="13"/>
      <c r="BJ457" s="13"/>
      <c r="BK457" s="13"/>
      <c r="BL457" s="13"/>
      <c r="BM457" s="17"/>
      <c r="BN457" s="17"/>
      <c r="BO457" s="2"/>
    </row>
    <row r="458" spans="1:69" s="14" customFormat="1" x14ac:dyDescent="0.3">
      <c r="A458" s="20">
        <v>456</v>
      </c>
      <c r="B458" s="2" t="s">
        <v>210</v>
      </c>
      <c r="C458" s="2">
        <v>2010</v>
      </c>
      <c r="D458" s="2" t="s">
        <v>209</v>
      </c>
      <c r="E458" s="10" t="s">
        <v>208</v>
      </c>
      <c r="F458" s="20" t="s">
        <v>29</v>
      </c>
      <c r="G458" s="2" t="s">
        <v>52</v>
      </c>
      <c r="H458" s="2" t="str">
        <f>'PFAS Properties'!$B$34</f>
        <v>PFNA</v>
      </c>
      <c r="I458" s="2" t="str">
        <f>'PFAS Properties'!$C$34</f>
        <v>PFCA</v>
      </c>
      <c r="J458" s="2" t="str">
        <f>'PFAS Properties'!$D$34</f>
        <v>C9HF17O2</v>
      </c>
      <c r="K458" s="25">
        <f>'PFAS Properties'!$P$34</f>
        <v>463.97039999999998</v>
      </c>
      <c r="L458" s="2">
        <f>'PFAS Properties'!$X$34</f>
        <v>-0.2</v>
      </c>
      <c r="M458" s="2" t="str">
        <f>'PFAS Properties'!$Y$34</f>
        <v>-</v>
      </c>
      <c r="N458" s="33">
        <v>0</v>
      </c>
      <c r="O458" s="33">
        <v>0</v>
      </c>
      <c r="P458" s="33">
        <v>0</v>
      </c>
      <c r="Q458" s="33">
        <f t="shared" si="200"/>
        <v>0.99999998415106828</v>
      </c>
      <c r="R458" s="33">
        <v>0</v>
      </c>
      <c r="S458" s="33">
        <f t="shared" si="201"/>
        <v>1.5848931673422493E-8</v>
      </c>
      <c r="T458" s="8">
        <f t="shared" si="202"/>
        <v>1</v>
      </c>
      <c r="U458" s="33">
        <f t="shared" si="203"/>
        <v>0</v>
      </c>
      <c r="V458" s="33">
        <f t="shared" si="204"/>
        <v>-0.99999998415106828</v>
      </c>
      <c r="W458" s="33">
        <f t="shared" si="205"/>
        <v>462.9704000158489</v>
      </c>
      <c r="X458" s="33">
        <v>96485</v>
      </c>
      <c r="Y458" s="16">
        <f t="shared" si="206"/>
        <v>-208.40424888397368</v>
      </c>
      <c r="Z458" s="16">
        <v>9</v>
      </c>
      <c r="AA458" s="16">
        <v>17</v>
      </c>
      <c r="AB458" s="8">
        <f t="shared" si="207"/>
        <v>0.33436532507739936</v>
      </c>
      <c r="AC458" s="16">
        <f t="shared" si="222"/>
        <v>69.616510018742574</v>
      </c>
      <c r="AD458" s="20">
        <f>'PFAS Properties'!$W$34</f>
        <v>8</v>
      </c>
      <c r="AE458" s="8">
        <f>'PFAS Properties'!$S$34</f>
        <v>1.7965743332104296</v>
      </c>
      <c r="AF458" s="15">
        <f>'PFAS Properties'!$V$34</f>
        <v>5.6</v>
      </c>
      <c r="AG458" s="24">
        <v>7.6</v>
      </c>
      <c r="AH458" s="2" t="s">
        <v>661</v>
      </c>
      <c r="AI458" s="2">
        <v>8.1199999999999992</v>
      </c>
      <c r="AJ458" s="15">
        <f>AI458*1000/55.845</f>
        <v>145.40245321873041</v>
      </c>
      <c r="AK458" s="8">
        <f>AI458/10</f>
        <v>0.81199999999999994</v>
      </c>
      <c r="AL458" s="2">
        <v>1.294</v>
      </c>
      <c r="AM458" s="15">
        <f>AL458*1000/26.98</f>
        <v>47.961452928094886</v>
      </c>
      <c r="AN458" s="8">
        <f>AL458/10</f>
        <v>0.12940000000000002</v>
      </c>
      <c r="AO458" s="15" t="s">
        <v>41</v>
      </c>
      <c r="AP458" s="72">
        <v>5.6985666666666646</v>
      </c>
      <c r="AQ458" s="70" t="s">
        <v>752</v>
      </c>
      <c r="AR458" s="2">
        <v>41</v>
      </c>
      <c r="AS458" s="2">
        <v>22</v>
      </c>
      <c r="AT458" s="2">
        <v>37</v>
      </c>
      <c r="AU458" s="16" t="s">
        <v>661</v>
      </c>
      <c r="AV458" s="16">
        <f t="shared" si="215"/>
        <v>100</v>
      </c>
      <c r="AW458" s="20">
        <v>0.42</v>
      </c>
      <c r="AX458" s="13">
        <f t="shared" si="216"/>
        <v>4.1999999999999997E-3</v>
      </c>
      <c r="AY458" s="13" t="s">
        <v>53</v>
      </c>
      <c r="AZ458" s="16">
        <f>12/0.025</f>
        <v>480</v>
      </c>
      <c r="BA458" s="16" t="s">
        <v>55</v>
      </c>
      <c r="BB458" s="8">
        <v>0.02</v>
      </c>
      <c r="BC458" s="8">
        <v>1</v>
      </c>
      <c r="BD458" s="18">
        <v>1.5</v>
      </c>
      <c r="BE458" s="15">
        <f t="shared" si="217"/>
        <v>357.14285714285717</v>
      </c>
      <c r="BF458" s="8">
        <f t="shared" si="208"/>
        <v>2.552841968657781</v>
      </c>
      <c r="BG458" s="8">
        <f t="shared" si="223"/>
        <v>0.17609125905568124</v>
      </c>
      <c r="BH458" s="13" t="s">
        <v>837</v>
      </c>
      <c r="BI458" s="13"/>
      <c r="BJ458" s="13"/>
      <c r="BK458" s="13"/>
      <c r="BL458" s="13"/>
      <c r="BM458" s="17"/>
      <c r="BN458" s="17"/>
      <c r="BO458" s="2"/>
    </row>
    <row r="459" spans="1:69" s="14" customFormat="1" x14ac:dyDescent="0.3">
      <c r="A459" s="20">
        <v>457</v>
      </c>
      <c r="B459" s="2" t="s">
        <v>210</v>
      </c>
      <c r="C459" s="2">
        <v>2010</v>
      </c>
      <c r="D459" s="2" t="s">
        <v>209</v>
      </c>
      <c r="E459" s="10" t="s">
        <v>208</v>
      </c>
      <c r="F459" s="20" t="s">
        <v>29</v>
      </c>
      <c r="G459" s="2" t="s">
        <v>54</v>
      </c>
      <c r="H459" s="2" t="str">
        <f>'PFAS Properties'!$B$34</f>
        <v>PFNA</v>
      </c>
      <c r="I459" s="2" t="str">
        <f>'PFAS Properties'!$C$34</f>
        <v>PFCA</v>
      </c>
      <c r="J459" s="2" t="str">
        <f>'PFAS Properties'!$D$34</f>
        <v>C9HF17O2</v>
      </c>
      <c r="K459" s="25">
        <f>'PFAS Properties'!$P$34</f>
        <v>463.97039999999998</v>
      </c>
      <c r="L459" s="2">
        <f>'PFAS Properties'!$X$34</f>
        <v>-0.2</v>
      </c>
      <c r="M459" s="2" t="str">
        <f>'PFAS Properties'!$Y$34</f>
        <v>-</v>
      </c>
      <c r="N459" s="33">
        <v>0</v>
      </c>
      <c r="O459" s="33">
        <v>0</v>
      </c>
      <c r="P459" s="33">
        <v>0</v>
      </c>
      <c r="Q459" s="33">
        <f t="shared" si="200"/>
        <v>0.99999949881301753</v>
      </c>
      <c r="R459" s="33">
        <v>0</v>
      </c>
      <c r="S459" s="33">
        <f t="shared" si="201"/>
        <v>5.0118698243875488E-7</v>
      </c>
      <c r="T459" s="8">
        <f t="shared" si="202"/>
        <v>1</v>
      </c>
      <c r="U459" s="33">
        <f t="shared" si="203"/>
        <v>0</v>
      </c>
      <c r="V459" s="33">
        <f t="shared" si="204"/>
        <v>-0.99999949881301753</v>
      </c>
      <c r="W459" s="33">
        <f t="shared" si="205"/>
        <v>462.97040050118699</v>
      </c>
      <c r="X459" s="33">
        <v>96485</v>
      </c>
      <c r="Y459" s="16">
        <f t="shared" si="206"/>
        <v>-208.40414751898732</v>
      </c>
      <c r="Z459" s="16">
        <v>9</v>
      </c>
      <c r="AA459" s="16">
        <v>17</v>
      </c>
      <c r="AB459" s="8">
        <f t="shared" si="207"/>
        <v>0.33436532507739936</v>
      </c>
      <c r="AC459" s="16">
        <f t="shared" si="222"/>
        <v>69.616510018742574</v>
      </c>
      <c r="AD459" s="20">
        <f>'PFAS Properties'!$W$34</f>
        <v>8</v>
      </c>
      <c r="AE459" s="8">
        <f>'PFAS Properties'!$S$34</f>
        <v>1.7965743332104296</v>
      </c>
      <c r="AF459" s="15">
        <f>'PFAS Properties'!$V$34</f>
        <v>5.6</v>
      </c>
      <c r="AG459" s="24">
        <v>6.1</v>
      </c>
      <c r="AH459" s="2" t="s">
        <v>661</v>
      </c>
      <c r="AI459" s="2">
        <v>2.73</v>
      </c>
      <c r="AJ459" s="15">
        <f>AI459*1000/55.845</f>
        <v>48.885307547676604</v>
      </c>
      <c r="AK459" s="8">
        <f>AI459/10</f>
        <v>0.27300000000000002</v>
      </c>
      <c r="AL459" s="2">
        <v>2.6320000000000001</v>
      </c>
      <c r="AM459" s="15">
        <f>AL459*1000/26.98</f>
        <v>97.553743513713854</v>
      </c>
      <c r="AN459" s="8">
        <f>AL459/10</f>
        <v>0.26319999999999999</v>
      </c>
      <c r="AO459" s="15" t="s">
        <v>41</v>
      </c>
      <c r="AP459" s="72">
        <v>12.81991666666667</v>
      </c>
      <c r="AQ459" s="70" t="s">
        <v>752</v>
      </c>
      <c r="AR459" s="2">
        <v>94</v>
      </c>
      <c r="AS459" s="2">
        <v>1</v>
      </c>
      <c r="AT459" s="2">
        <v>5</v>
      </c>
      <c r="AU459" s="16" t="s">
        <v>661</v>
      </c>
      <c r="AV459" s="16">
        <f t="shared" si="215"/>
        <v>100</v>
      </c>
      <c r="AW459" s="20">
        <v>1</v>
      </c>
      <c r="AX459" s="13">
        <f t="shared" si="216"/>
        <v>0.01</v>
      </c>
      <c r="AY459" s="13" t="s">
        <v>53</v>
      </c>
      <c r="AZ459" s="16">
        <f>12/0.025</f>
        <v>480</v>
      </c>
      <c r="BA459" s="16" t="s">
        <v>55</v>
      </c>
      <c r="BB459" s="8">
        <v>0.02</v>
      </c>
      <c r="BC459" s="8">
        <v>1</v>
      </c>
      <c r="BD459" s="18">
        <v>1.1000000000000001</v>
      </c>
      <c r="BE459" s="15">
        <f t="shared" si="217"/>
        <v>110</v>
      </c>
      <c r="BF459" s="8">
        <f t="shared" si="208"/>
        <v>2.0413926851582249</v>
      </c>
      <c r="BG459" s="8">
        <f t="shared" si="223"/>
        <v>4.1392685158225077E-2</v>
      </c>
      <c r="BH459" s="13" t="s">
        <v>837</v>
      </c>
      <c r="BI459" s="2"/>
      <c r="BJ459" s="2"/>
      <c r="BK459" s="2"/>
      <c r="BL459" s="2"/>
      <c r="BM459" s="2"/>
      <c r="BN459" s="2"/>
      <c r="BO459" s="2"/>
    </row>
    <row r="460" spans="1:69" s="14" customFormat="1" x14ac:dyDescent="0.3">
      <c r="A460" s="20">
        <v>458</v>
      </c>
      <c r="B460" s="2" t="s">
        <v>204</v>
      </c>
      <c r="C460" s="2">
        <v>2013</v>
      </c>
      <c r="D460" s="2" t="s">
        <v>203</v>
      </c>
      <c r="E460" s="10" t="s">
        <v>792</v>
      </c>
      <c r="F460" s="20" t="s">
        <v>29</v>
      </c>
      <c r="G460" s="2" t="s">
        <v>46</v>
      </c>
      <c r="H460" s="2" t="str">
        <f>'PFAS Properties'!$B$34</f>
        <v>PFNA</v>
      </c>
      <c r="I460" s="2" t="str">
        <f>'PFAS Properties'!$C$34</f>
        <v>PFCA</v>
      </c>
      <c r="J460" s="2" t="str">
        <f>'PFAS Properties'!$D$34</f>
        <v>C9HF17O2</v>
      </c>
      <c r="K460" s="25">
        <f>'PFAS Properties'!$P$34</f>
        <v>463.97039999999998</v>
      </c>
      <c r="L460" s="2">
        <f>'PFAS Properties'!$X$34</f>
        <v>-0.2</v>
      </c>
      <c r="M460" s="2" t="str">
        <f>'PFAS Properties'!$Y$34</f>
        <v>-</v>
      </c>
      <c r="N460" s="33">
        <v>0</v>
      </c>
      <c r="O460" s="33">
        <v>0</v>
      </c>
      <c r="P460" s="33">
        <v>0</v>
      </c>
      <c r="Q460" s="33">
        <f t="shared" si="200"/>
        <v>0.99999949881301753</v>
      </c>
      <c r="R460" s="33">
        <v>0</v>
      </c>
      <c r="S460" s="33">
        <f t="shared" si="201"/>
        <v>5.0118698243875488E-7</v>
      </c>
      <c r="T460" s="8">
        <f t="shared" si="202"/>
        <v>1</v>
      </c>
      <c r="U460" s="33">
        <f t="shared" si="203"/>
        <v>0</v>
      </c>
      <c r="V460" s="33">
        <f t="shared" si="204"/>
        <v>-0.99999949881301753</v>
      </c>
      <c r="W460" s="33">
        <f t="shared" si="205"/>
        <v>462.97040050118699</v>
      </c>
      <c r="X460" s="33">
        <v>96485</v>
      </c>
      <c r="Y460" s="16">
        <f t="shared" si="206"/>
        <v>-208.40414751898732</v>
      </c>
      <c r="Z460" s="16">
        <v>9</v>
      </c>
      <c r="AA460" s="16">
        <v>17</v>
      </c>
      <c r="AB460" s="8">
        <f t="shared" si="207"/>
        <v>0.33436532507739936</v>
      </c>
      <c r="AC460" s="16">
        <f t="shared" si="222"/>
        <v>69.616510018742574</v>
      </c>
      <c r="AD460" s="20">
        <f>'PFAS Properties'!$W$34</f>
        <v>8</v>
      </c>
      <c r="AE460" s="8">
        <f>'PFAS Properties'!$S$34</f>
        <v>1.7965743332104296</v>
      </c>
      <c r="AF460" s="15">
        <f>'PFAS Properties'!$V$34</f>
        <v>5.6</v>
      </c>
      <c r="AG460" s="24">
        <v>6.1</v>
      </c>
      <c r="AH460" s="2" t="s">
        <v>661</v>
      </c>
      <c r="AI460" s="15">
        <v>2.21</v>
      </c>
      <c r="AJ460" s="16">
        <f>AI460*1000/55.845</f>
        <v>39.573820395738203</v>
      </c>
      <c r="AK460" s="8">
        <f>AI460/10</f>
        <v>0.221</v>
      </c>
      <c r="AL460" s="15">
        <v>0.93</v>
      </c>
      <c r="AM460" s="16">
        <f>AL460*1000/26.98</f>
        <v>34.469977761304669</v>
      </c>
      <c r="AN460" s="8">
        <f>AL460/10</f>
        <v>9.2999999999999999E-2</v>
      </c>
      <c r="AO460" s="15" t="s">
        <v>41</v>
      </c>
      <c r="AP460" s="72">
        <v>14.27683666666667</v>
      </c>
      <c r="AQ460" s="2" t="s">
        <v>752</v>
      </c>
      <c r="AR460" s="16">
        <v>81</v>
      </c>
      <c r="AS460" s="16">
        <v>1</v>
      </c>
      <c r="AT460" s="16">
        <v>9</v>
      </c>
      <c r="AU460" s="16" t="s">
        <v>661</v>
      </c>
      <c r="AV460" s="16">
        <f t="shared" si="215"/>
        <v>91</v>
      </c>
      <c r="AW460" s="18">
        <v>1.7</v>
      </c>
      <c r="AX460" s="13">
        <f t="shared" si="216"/>
        <v>1.7000000000000001E-2</v>
      </c>
      <c r="AY460" s="13" t="s">
        <v>42</v>
      </c>
      <c r="AZ460" s="16">
        <f>15/0.04</f>
        <v>375</v>
      </c>
      <c r="BA460" s="16" t="s">
        <v>55</v>
      </c>
      <c r="BB460" s="15">
        <v>0.5</v>
      </c>
      <c r="BC460" s="16">
        <v>1000</v>
      </c>
      <c r="BD460" s="18">
        <v>2.0499999999999998</v>
      </c>
      <c r="BE460" s="15">
        <f t="shared" si="217"/>
        <v>120.58823529411762</v>
      </c>
      <c r="BF460" s="8">
        <f t="shared" si="208"/>
        <v>2.0813049396774801</v>
      </c>
      <c r="BG460" s="8">
        <f t="shared" si="223"/>
        <v>0.31175386105575426</v>
      </c>
      <c r="BH460" s="13" t="s">
        <v>844</v>
      </c>
      <c r="BI460" s="13"/>
      <c r="BJ460" s="13"/>
      <c r="BK460" s="8"/>
      <c r="BL460" s="8"/>
      <c r="BM460" s="18"/>
      <c r="BN460" s="8"/>
      <c r="BO460" s="24"/>
    </row>
    <row r="461" spans="1:69" s="14" customFormat="1" x14ac:dyDescent="0.3">
      <c r="A461" s="20">
        <v>459</v>
      </c>
      <c r="B461" s="2" t="s">
        <v>204</v>
      </c>
      <c r="C461" s="2">
        <v>2013</v>
      </c>
      <c r="D461" s="2" t="s">
        <v>203</v>
      </c>
      <c r="E461" s="10" t="s">
        <v>792</v>
      </c>
      <c r="F461" s="20" t="s">
        <v>29</v>
      </c>
      <c r="G461" s="2" t="s">
        <v>50</v>
      </c>
      <c r="H461" s="2" t="str">
        <f>'PFAS Properties'!$B$34</f>
        <v>PFNA</v>
      </c>
      <c r="I461" s="2" t="str">
        <f>'PFAS Properties'!$C$34</f>
        <v>PFCA</v>
      </c>
      <c r="J461" s="2" t="str">
        <f>'PFAS Properties'!$D$34</f>
        <v>C9HF17O2</v>
      </c>
      <c r="K461" s="25">
        <f>'PFAS Properties'!$P$34</f>
        <v>463.97039999999998</v>
      </c>
      <c r="L461" s="2">
        <f>'PFAS Properties'!$X$34</f>
        <v>-0.2</v>
      </c>
      <c r="M461" s="2" t="str">
        <f>'PFAS Properties'!$Y$34</f>
        <v>-</v>
      </c>
      <c r="N461" s="33">
        <v>0</v>
      </c>
      <c r="O461" s="33">
        <v>0</v>
      </c>
      <c r="P461" s="33">
        <v>0</v>
      </c>
      <c r="Q461" s="33">
        <f t="shared" si="200"/>
        <v>0.99999999000000006</v>
      </c>
      <c r="R461" s="33">
        <v>0</v>
      </c>
      <c r="S461" s="33">
        <f t="shared" si="201"/>
        <v>9.9999999000000002E-9</v>
      </c>
      <c r="T461" s="8">
        <f t="shared" si="202"/>
        <v>1</v>
      </c>
      <c r="U461" s="33">
        <f t="shared" si="203"/>
        <v>0</v>
      </c>
      <c r="V461" s="33">
        <f t="shared" si="204"/>
        <v>-0.99999999000000006</v>
      </c>
      <c r="W461" s="33">
        <f t="shared" si="205"/>
        <v>462.97040000999993</v>
      </c>
      <c r="X461" s="33">
        <v>96485</v>
      </c>
      <c r="Y461" s="16">
        <f t="shared" si="206"/>
        <v>-208.40425010554881</v>
      </c>
      <c r="Z461" s="16">
        <v>9</v>
      </c>
      <c r="AA461" s="16">
        <v>17</v>
      </c>
      <c r="AB461" s="8">
        <f t="shared" si="207"/>
        <v>0.33436532507739936</v>
      </c>
      <c r="AC461" s="16">
        <f t="shared" si="222"/>
        <v>69.616510018742574</v>
      </c>
      <c r="AD461" s="20">
        <f>'PFAS Properties'!$W$34</f>
        <v>8</v>
      </c>
      <c r="AE461" s="8">
        <f>'PFAS Properties'!$S$34</f>
        <v>1.7965743332104296</v>
      </c>
      <c r="AF461" s="15">
        <f>'PFAS Properties'!$V$34</f>
        <v>5.6</v>
      </c>
      <c r="AG461" s="24">
        <v>7.8</v>
      </c>
      <c r="AH461" s="2" t="s">
        <v>661</v>
      </c>
      <c r="AI461" s="15">
        <v>6.14</v>
      </c>
      <c r="AJ461" s="16">
        <f>AI461/10</f>
        <v>0.61399999999999999</v>
      </c>
      <c r="AK461" s="8">
        <f>AI461/10</f>
        <v>0.61399999999999999</v>
      </c>
      <c r="AL461" s="15">
        <v>1.67</v>
      </c>
      <c r="AM461" s="15">
        <f>AL461/10</f>
        <v>0.16699999999999998</v>
      </c>
      <c r="AN461" s="8">
        <f>AL461/10</f>
        <v>0.16699999999999998</v>
      </c>
      <c r="AO461" s="15" t="s">
        <v>41</v>
      </c>
      <c r="AP461" s="72">
        <v>6.4956666666666676</v>
      </c>
      <c r="AQ461" s="2" t="s">
        <v>752</v>
      </c>
      <c r="AR461" s="16">
        <v>33</v>
      </c>
      <c r="AS461" s="16">
        <v>42</v>
      </c>
      <c r="AT461" s="16">
        <v>25</v>
      </c>
      <c r="AU461" s="16" t="s">
        <v>661</v>
      </c>
      <c r="AV461" s="16">
        <f t="shared" si="215"/>
        <v>100</v>
      </c>
      <c r="AW461" s="18">
        <v>4.5</v>
      </c>
      <c r="AX461" s="13">
        <f t="shared" si="216"/>
        <v>4.4999999999999998E-2</v>
      </c>
      <c r="AY461" s="13" t="s">
        <v>42</v>
      </c>
      <c r="AZ461" s="16">
        <f>15/0.04</f>
        <v>375</v>
      </c>
      <c r="BA461" s="16" t="s">
        <v>55</v>
      </c>
      <c r="BB461" s="15">
        <v>0.5</v>
      </c>
      <c r="BC461" s="16">
        <v>1000</v>
      </c>
      <c r="BD461" s="18">
        <v>11.06</v>
      </c>
      <c r="BE461" s="15">
        <f t="shared" si="217"/>
        <v>245.7777777777778</v>
      </c>
      <c r="BF461" s="8">
        <f t="shared" si="208"/>
        <v>2.3905426131933356</v>
      </c>
      <c r="BG461" s="8">
        <f t="shared" si="223"/>
        <v>1.0437551269686796</v>
      </c>
      <c r="BH461" s="13" t="s">
        <v>844</v>
      </c>
      <c r="BI461" s="13"/>
      <c r="BJ461" s="13"/>
      <c r="BK461" s="8"/>
      <c r="BL461" s="8"/>
      <c r="BM461" s="18"/>
      <c r="BN461" s="8"/>
      <c r="BO461" s="24"/>
    </row>
    <row r="462" spans="1:69" s="14" customFormat="1" x14ac:dyDescent="0.3">
      <c r="A462" s="20">
        <v>460</v>
      </c>
      <c r="B462" s="2" t="s">
        <v>204</v>
      </c>
      <c r="C462" s="2">
        <v>2013</v>
      </c>
      <c r="D462" s="2" t="s">
        <v>203</v>
      </c>
      <c r="E462" s="10" t="s">
        <v>792</v>
      </c>
      <c r="F462" s="20" t="s">
        <v>29</v>
      </c>
      <c r="G462" s="2" t="s">
        <v>40</v>
      </c>
      <c r="H462" s="2" t="str">
        <f>'PFAS Properties'!$B$34</f>
        <v>PFNA</v>
      </c>
      <c r="I462" s="2" t="str">
        <f>'PFAS Properties'!$C$34</f>
        <v>PFCA</v>
      </c>
      <c r="J462" s="2" t="str">
        <f>'PFAS Properties'!$D$34</f>
        <v>C9HF17O2</v>
      </c>
      <c r="K462" s="25">
        <f>'PFAS Properties'!$P$34</f>
        <v>463.97039999999998</v>
      </c>
      <c r="L462" s="2">
        <f>'PFAS Properties'!$X$34</f>
        <v>-0.2</v>
      </c>
      <c r="M462" s="2" t="str">
        <f>'PFAS Properties'!$Y$34</f>
        <v>-</v>
      </c>
      <c r="N462" s="33">
        <v>0</v>
      </c>
      <c r="O462" s="33">
        <v>0</v>
      </c>
      <c r="P462" s="33">
        <v>0</v>
      </c>
      <c r="Q462" s="33">
        <f t="shared" si="200"/>
        <v>0.99999601894414336</v>
      </c>
      <c r="R462" s="33">
        <v>0</v>
      </c>
      <c r="S462" s="33">
        <f t="shared" si="201"/>
        <v>3.981055856666137E-6</v>
      </c>
      <c r="T462" s="8">
        <f t="shared" si="202"/>
        <v>1</v>
      </c>
      <c r="U462" s="33">
        <f t="shared" si="203"/>
        <v>0</v>
      </c>
      <c r="V462" s="33">
        <f t="shared" si="204"/>
        <v>-0.99999601894414336</v>
      </c>
      <c r="W462" s="33">
        <f t="shared" si="205"/>
        <v>462.97040398105588</v>
      </c>
      <c r="X462" s="33">
        <v>96485</v>
      </c>
      <c r="Y462" s="16">
        <f t="shared" si="206"/>
        <v>-208.40342073307494</v>
      </c>
      <c r="Z462" s="16">
        <v>9</v>
      </c>
      <c r="AA462" s="16">
        <v>17</v>
      </c>
      <c r="AB462" s="8">
        <f t="shared" si="207"/>
        <v>0.33436532507739936</v>
      </c>
      <c r="AC462" s="16">
        <f t="shared" si="222"/>
        <v>69.616510018742574</v>
      </c>
      <c r="AD462" s="20">
        <f>'PFAS Properties'!$W$34</f>
        <v>8</v>
      </c>
      <c r="AE462" s="8">
        <f>'PFAS Properties'!$S$34</f>
        <v>1.7965743332104296</v>
      </c>
      <c r="AF462" s="15">
        <f>'PFAS Properties'!$V$34</f>
        <v>5.6</v>
      </c>
      <c r="AG462" s="24">
        <v>5.2</v>
      </c>
      <c r="AH462" s="2" t="s">
        <v>661</v>
      </c>
      <c r="AI462" s="15">
        <v>24.17</v>
      </c>
      <c r="AJ462" s="16">
        <f>AI462*1000/55.845</f>
        <v>432.80508550452146</v>
      </c>
      <c r="AK462" s="8">
        <f>AI462/10</f>
        <v>2.4170000000000003</v>
      </c>
      <c r="AL462" s="15">
        <v>3.99</v>
      </c>
      <c r="AM462" s="16">
        <f>AL462*1000/26.98</f>
        <v>147.88732394366198</v>
      </c>
      <c r="AN462" s="8">
        <f>AL462/10</f>
        <v>0.39900000000000002</v>
      </c>
      <c r="AO462" s="15" t="s">
        <v>41</v>
      </c>
      <c r="AP462" s="72">
        <v>12.009766666666669</v>
      </c>
      <c r="AQ462" s="2" t="s">
        <v>752</v>
      </c>
      <c r="AR462" s="16">
        <v>47</v>
      </c>
      <c r="AS462" s="16">
        <v>20</v>
      </c>
      <c r="AT462" s="16">
        <v>33</v>
      </c>
      <c r="AU462" s="16" t="s">
        <v>661</v>
      </c>
      <c r="AV462" s="16">
        <f t="shared" si="215"/>
        <v>100</v>
      </c>
      <c r="AW462" s="18">
        <v>0.8</v>
      </c>
      <c r="AX462" s="13">
        <f t="shared" si="216"/>
        <v>8.0000000000000002E-3</v>
      </c>
      <c r="AY462" s="13" t="s">
        <v>42</v>
      </c>
      <c r="AZ462" s="16">
        <f>15/0.04</f>
        <v>375</v>
      </c>
      <c r="BA462" s="16" t="s">
        <v>55</v>
      </c>
      <c r="BB462" s="15">
        <v>0.5</v>
      </c>
      <c r="BC462" s="16">
        <v>1000</v>
      </c>
      <c r="BD462" s="18">
        <v>1.89</v>
      </c>
      <c r="BE462" s="15">
        <f t="shared" si="217"/>
        <v>236.24999999999997</v>
      </c>
      <c r="BF462" s="8">
        <f t="shared" si="208"/>
        <v>2.3733718171813005</v>
      </c>
      <c r="BG462" s="8">
        <f t="shared" si="223"/>
        <v>0.27646180417324412</v>
      </c>
      <c r="BH462" s="13" t="s">
        <v>844</v>
      </c>
      <c r="BI462" s="13"/>
      <c r="BJ462" s="13"/>
      <c r="BK462" s="8"/>
      <c r="BL462" s="8"/>
      <c r="BM462" s="18"/>
      <c r="BN462" s="8"/>
      <c r="BO462" s="24"/>
    </row>
    <row r="463" spans="1:69" s="14" customFormat="1" x14ac:dyDescent="0.3">
      <c r="A463" s="20">
        <v>461</v>
      </c>
      <c r="B463" s="2" t="s">
        <v>211</v>
      </c>
      <c r="C463" s="2">
        <v>2019</v>
      </c>
      <c r="D463" s="2" t="s">
        <v>212</v>
      </c>
      <c r="E463" s="10" t="s">
        <v>213</v>
      </c>
      <c r="F463" s="20" t="s">
        <v>29</v>
      </c>
      <c r="G463" s="2" t="s">
        <v>55</v>
      </c>
      <c r="H463" s="2" t="str">
        <f>'PFAS Properties'!$B$34</f>
        <v>PFNA</v>
      </c>
      <c r="I463" s="2" t="str">
        <f>'PFAS Properties'!$C$34</f>
        <v>PFCA</v>
      </c>
      <c r="J463" s="2" t="str">
        <f>'PFAS Properties'!$D$34</f>
        <v>C9HF17O2</v>
      </c>
      <c r="K463" s="25">
        <f>'PFAS Properties'!$P$34</f>
        <v>463.97039999999998</v>
      </c>
      <c r="L463" s="2">
        <f>'PFAS Properties'!$X$34</f>
        <v>-0.2</v>
      </c>
      <c r="M463" s="2" t="str">
        <f>'PFAS Properties'!$Y$34</f>
        <v>-</v>
      </c>
      <c r="N463" s="33">
        <v>0</v>
      </c>
      <c r="O463" s="33">
        <v>0</v>
      </c>
      <c r="P463" s="33">
        <v>0</v>
      </c>
      <c r="Q463" s="33">
        <f t="shared" si="200"/>
        <v>0.99999993690426958</v>
      </c>
      <c r="R463" s="33">
        <v>0</v>
      </c>
      <c r="S463" s="33">
        <f t="shared" si="201"/>
        <v>6.3095730466947729E-8</v>
      </c>
      <c r="T463" s="8">
        <f t="shared" si="202"/>
        <v>1</v>
      </c>
      <c r="U463" s="33">
        <f t="shared" si="203"/>
        <v>0</v>
      </c>
      <c r="V463" s="33">
        <f t="shared" si="204"/>
        <v>-0.99999993690426958</v>
      </c>
      <c r="W463" s="33">
        <f t="shared" si="205"/>
        <v>462.97040006309572</v>
      </c>
      <c r="X463" s="33">
        <v>96485</v>
      </c>
      <c r="Y463" s="16">
        <f t="shared" si="206"/>
        <v>-208.40423901627199</v>
      </c>
      <c r="Z463" s="16">
        <v>9</v>
      </c>
      <c r="AA463" s="16">
        <v>17</v>
      </c>
      <c r="AB463" s="8">
        <f t="shared" si="207"/>
        <v>0.33436532507739936</v>
      </c>
      <c r="AC463" s="16">
        <f t="shared" si="222"/>
        <v>69.616510018742574</v>
      </c>
      <c r="AD463" s="20">
        <f>'PFAS Properties'!$W$34</f>
        <v>8</v>
      </c>
      <c r="AE463" s="8">
        <f>'PFAS Properties'!$S$34</f>
        <v>1.7965743332104296</v>
      </c>
      <c r="AF463" s="15">
        <f>'PFAS Properties'!$V$34</f>
        <v>5.6</v>
      </c>
      <c r="AG463" s="24">
        <v>7</v>
      </c>
      <c r="AH463" s="2" t="s">
        <v>661</v>
      </c>
      <c r="AI463" s="2" t="s">
        <v>661</v>
      </c>
      <c r="AJ463" s="2" t="s">
        <v>661</v>
      </c>
      <c r="AK463" s="2" t="s">
        <v>661</v>
      </c>
      <c r="AL463" s="2" t="s">
        <v>661</v>
      </c>
      <c r="AM463" s="2" t="s">
        <v>661</v>
      </c>
      <c r="AN463" s="2" t="s">
        <v>661</v>
      </c>
      <c r="AO463" s="2" t="s">
        <v>661</v>
      </c>
      <c r="AP463" s="59">
        <f>(26.31+26.59+27.81)/3</f>
        <v>26.903333333333332</v>
      </c>
      <c r="AQ463" s="16" t="s">
        <v>661</v>
      </c>
      <c r="AR463" s="71">
        <v>31.549399999999999</v>
      </c>
      <c r="AS463" s="71">
        <v>38.265099999999997</v>
      </c>
      <c r="AT463" s="71">
        <v>30.404799999999991</v>
      </c>
      <c r="AU463" s="70" t="s">
        <v>752</v>
      </c>
      <c r="AV463" s="16">
        <f t="shared" si="215"/>
        <v>100.21929999999999</v>
      </c>
      <c r="AW463" s="18">
        <f>(1.55+1.44+1.34)/3</f>
        <v>1.4433333333333334</v>
      </c>
      <c r="AX463" s="13">
        <f t="shared" ref="AX463:AX467" si="224">AW463/100</f>
        <v>1.4433333333333333E-2</v>
      </c>
      <c r="AY463" s="8" t="s">
        <v>829</v>
      </c>
      <c r="AZ463" s="16">
        <f>5/0.01</f>
        <v>500</v>
      </c>
      <c r="BA463" s="16" t="s">
        <v>55</v>
      </c>
      <c r="BB463" s="16">
        <v>10</v>
      </c>
      <c r="BC463" s="16">
        <v>100</v>
      </c>
      <c r="BD463" s="20">
        <v>0.72</v>
      </c>
      <c r="BE463" s="15">
        <f t="shared" si="217"/>
        <v>49.884526558891459</v>
      </c>
      <c r="BF463" s="8">
        <f t="shared" si="208"/>
        <v>1.6979658547975656</v>
      </c>
      <c r="BG463" s="8">
        <f t="shared" si="223"/>
        <v>-0.14266750356873156</v>
      </c>
      <c r="BH463" s="2" t="s">
        <v>837</v>
      </c>
      <c r="BI463" s="13"/>
      <c r="BJ463" s="13"/>
      <c r="BK463" s="13"/>
      <c r="BL463" s="13"/>
      <c r="BM463" s="17"/>
      <c r="BN463" s="17"/>
      <c r="BO463" s="2"/>
    </row>
    <row r="464" spans="1:69" x14ac:dyDescent="0.3">
      <c r="A464" s="20">
        <v>462</v>
      </c>
      <c r="B464" s="1" t="s">
        <v>873</v>
      </c>
      <c r="C464" s="1">
        <v>2007</v>
      </c>
      <c r="D464" s="1" t="s">
        <v>203</v>
      </c>
      <c r="E464" s="10" t="s">
        <v>225</v>
      </c>
      <c r="F464" s="7" t="s">
        <v>63</v>
      </c>
      <c r="G464" s="4">
        <v>1</v>
      </c>
      <c r="H464" s="2" t="str">
        <f>'PFAS Properties'!$B$34</f>
        <v>PFNA</v>
      </c>
      <c r="I464" s="2" t="str">
        <f>'PFAS Properties'!$C$34</f>
        <v>PFCA</v>
      </c>
      <c r="J464" s="2" t="str">
        <f>'PFAS Properties'!$D$34</f>
        <v>C9HF17O2</v>
      </c>
      <c r="K464" s="25">
        <f>'PFAS Properties'!$P$34</f>
        <v>463.97039999999998</v>
      </c>
      <c r="L464" s="2">
        <f>'PFAS Properties'!$X$34</f>
        <v>-0.2</v>
      </c>
      <c r="M464" s="2" t="str">
        <f>'PFAS Properties'!$Y$34</f>
        <v>-</v>
      </c>
      <c r="N464" s="33">
        <v>0</v>
      </c>
      <c r="O464" s="33">
        <v>0</v>
      </c>
      <c r="P464" s="33">
        <v>0</v>
      </c>
      <c r="Q464" s="33">
        <f t="shared" ref="Q464:Q527" si="225">(10^(AG464-L464))/(1+(10^(AG464-L464)))</f>
        <v>0.99999993690426958</v>
      </c>
      <c r="R464" s="33">
        <v>0</v>
      </c>
      <c r="S464" s="33">
        <f t="shared" ref="S464:S527" si="226">(1/(1+(10^(AG464-L464))))</f>
        <v>6.3095730466947729E-8</v>
      </c>
      <c r="T464" s="8">
        <f t="shared" si="202"/>
        <v>1</v>
      </c>
      <c r="U464" s="33">
        <f t="shared" si="203"/>
        <v>0</v>
      </c>
      <c r="V464" s="33">
        <f t="shared" si="204"/>
        <v>-0.99999993690426958</v>
      </c>
      <c r="W464" s="33">
        <f t="shared" si="205"/>
        <v>462.97040006309572</v>
      </c>
      <c r="X464" s="33">
        <v>96485</v>
      </c>
      <c r="Y464" s="16">
        <f t="shared" si="206"/>
        <v>-208.40423901627199</v>
      </c>
      <c r="Z464" s="16">
        <v>9</v>
      </c>
      <c r="AA464" s="16">
        <v>17</v>
      </c>
      <c r="AB464" s="8">
        <f t="shared" si="207"/>
        <v>0.33436532507739936</v>
      </c>
      <c r="AC464" s="16">
        <f t="shared" si="222"/>
        <v>69.616510018742574</v>
      </c>
      <c r="AD464" s="20">
        <f>'PFAS Properties'!$W$34</f>
        <v>8</v>
      </c>
      <c r="AE464" s="8">
        <f>'PFAS Properties'!$S$34</f>
        <v>1.7965743332104296</v>
      </c>
      <c r="AF464" s="15">
        <f>'PFAS Properties'!$V$34</f>
        <v>5.6</v>
      </c>
      <c r="AG464" s="26">
        <v>7</v>
      </c>
      <c r="AH464" s="1" t="s">
        <v>363</v>
      </c>
      <c r="AI464" s="6">
        <f>334*55.85/1000</f>
        <v>18.6539</v>
      </c>
      <c r="AJ464" s="3">
        <f>AI464*1000/55.845</f>
        <v>334.0299041991226</v>
      </c>
      <c r="AK464" s="8">
        <f>AI464/10</f>
        <v>1.8653900000000001</v>
      </c>
      <c r="AL464" s="6">
        <f>41*26.98/1000</f>
        <v>1.1061800000000002</v>
      </c>
      <c r="AM464" s="3">
        <f>AL464*1000/26.98</f>
        <v>41</v>
      </c>
      <c r="AN464" s="8">
        <f>AL464/10</f>
        <v>0.11061800000000002</v>
      </c>
      <c r="AO464" s="3" t="s">
        <v>93</v>
      </c>
      <c r="AP464" s="15">
        <v>38.6</v>
      </c>
      <c r="AQ464" s="1" t="s">
        <v>363</v>
      </c>
      <c r="AR464" s="4">
        <v>11</v>
      </c>
      <c r="AS464" s="4">
        <v>36</v>
      </c>
      <c r="AT464" s="4">
        <v>53</v>
      </c>
      <c r="AU464" s="1" t="s">
        <v>363</v>
      </c>
      <c r="AV464" s="16">
        <f t="shared" si="215"/>
        <v>100</v>
      </c>
      <c r="AW464" s="7">
        <v>2.48</v>
      </c>
      <c r="AX464" s="133">
        <f t="shared" si="224"/>
        <v>2.4799999999999999E-2</v>
      </c>
      <c r="AY464" s="5" t="s">
        <v>87</v>
      </c>
      <c r="AZ464" s="39">
        <f>5/0.05</f>
        <v>100</v>
      </c>
      <c r="BA464" s="30" t="s">
        <v>55</v>
      </c>
      <c r="BB464" s="15">
        <f>1*K464/1000</f>
        <v>0.46397040000000001</v>
      </c>
      <c r="BC464" s="16">
        <f>200*K464/1000</f>
        <v>92.794080000000008</v>
      </c>
      <c r="BD464" s="26">
        <v>7.62</v>
      </c>
      <c r="BE464" s="16">
        <f t="shared" si="217"/>
        <v>307.25806451612902</v>
      </c>
      <c r="BF464" s="8">
        <f t="shared" si="208"/>
        <v>2.4875032905133843</v>
      </c>
      <c r="BG464" s="8">
        <f t="shared" si="223"/>
        <v>0.88195497133960055</v>
      </c>
      <c r="BH464" s="13" t="s">
        <v>844</v>
      </c>
      <c r="BI464" s="5"/>
      <c r="BJ464" s="13"/>
      <c r="BK464" s="5"/>
      <c r="BL464" s="5"/>
      <c r="BM464" s="21"/>
      <c r="BN464" s="21"/>
      <c r="BO464" s="1"/>
      <c r="BP464" s="11"/>
      <c r="BQ464" s="11"/>
    </row>
    <row r="465" spans="1:69" x14ac:dyDescent="0.3">
      <c r="A465" s="20">
        <v>463</v>
      </c>
      <c r="B465" s="1" t="s">
        <v>873</v>
      </c>
      <c r="C465" s="1">
        <v>2007</v>
      </c>
      <c r="D465" s="1" t="s">
        <v>203</v>
      </c>
      <c r="E465" s="10" t="s">
        <v>225</v>
      </c>
      <c r="F465" s="7" t="s">
        <v>63</v>
      </c>
      <c r="G465" s="4">
        <v>3</v>
      </c>
      <c r="H465" s="2" t="str">
        <f>'PFAS Properties'!$B$34</f>
        <v>PFNA</v>
      </c>
      <c r="I465" s="2" t="str">
        <f>'PFAS Properties'!$C$34</f>
        <v>PFCA</v>
      </c>
      <c r="J465" s="2" t="str">
        <f>'PFAS Properties'!$D$34</f>
        <v>C9HF17O2</v>
      </c>
      <c r="K465" s="25">
        <f>'PFAS Properties'!$P$34</f>
        <v>463.97039999999998</v>
      </c>
      <c r="L465" s="2">
        <f>'PFAS Properties'!$X$34</f>
        <v>-0.2</v>
      </c>
      <c r="M465" s="2" t="str">
        <f>'PFAS Properties'!$Y$34</f>
        <v>-</v>
      </c>
      <c r="N465" s="33">
        <v>0</v>
      </c>
      <c r="O465" s="33">
        <v>0</v>
      </c>
      <c r="P465" s="33">
        <v>0</v>
      </c>
      <c r="Q465" s="33">
        <f t="shared" si="225"/>
        <v>0.99999998415106828</v>
      </c>
      <c r="R465" s="33">
        <v>0</v>
      </c>
      <c r="S465" s="33">
        <f t="shared" si="226"/>
        <v>1.5848931673422493E-8</v>
      </c>
      <c r="T465" s="8">
        <f t="shared" si="202"/>
        <v>1</v>
      </c>
      <c r="U465" s="33">
        <f t="shared" si="203"/>
        <v>0</v>
      </c>
      <c r="V465" s="33">
        <f t="shared" si="204"/>
        <v>-0.99999998415106828</v>
      </c>
      <c r="W465" s="33">
        <f t="shared" si="205"/>
        <v>462.9704000158489</v>
      </c>
      <c r="X465" s="33">
        <v>96485</v>
      </c>
      <c r="Y465" s="16">
        <f t="shared" si="206"/>
        <v>-208.40424888397368</v>
      </c>
      <c r="Z465" s="16">
        <v>9</v>
      </c>
      <c r="AA465" s="16">
        <v>17</v>
      </c>
      <c r="AB465" s="8">
        <f t="shared" si="207"/>
        <v>0.33436532507739936</v>
      </c>
      <c r="AC465" s="16">
        <f t="shared" si="222"/>
        <v>69.616510018742574</v>
      </c>
      <c r="AD465" s="20">
        <f>'PFAS Properties'!$W$34</f>
        <v>8</v>
      </c>
      <c r="AE465" s="8">
        <f>'PFAS Properties'!$S$34</f>
        <v>1.7965743332104296</v>
      </c>
      <c r="AF465" s="15">
        <f>'PFAS Properties'!$V$34</f>
        <v>5.6</v>
      </c>
      <c r="AG465" s="26">
        <v>7.6</v>
      </c>
      <c r="AH465" s="1" t="s">
        <v>363</v>
      </c>
      <c r="AI465" s="6">
        <f>121*55.85/1000</f>
        <v>6.7578500000000004</v>
      </c>
      <c r="AJ465" s="3">
        <f>AI465*1000/55.845</f>
        <v>121.01083355716717</v>
      </c>
      <c r="AK465" s="8">
        <f>AI465/10</f>
        <v>0.67578500000000008</v>
      </c>
      <c r="AL465" s="6">
        <f>14*26.98/1000</f>
        <v>0.37772</v>
      </c>
      <c r="AM465" s="3">
        <f>AL465*1000/26.98</f>
        <v>14</v>
      </c>
      <c r="AN465" s="8">
        <f>AL465/10</f>
        <v>3.7772E-2</v>
      </c>
      <c r="AO465" s="3" t="s">
        <v>93</v>
      </c>
      <c r="AP465" s="15">
        <v>32.1</v>
      </c>
      <c r="AQ465" s="1" t="s">
        <v>363</v>
      </c>
      <c r="AR465" s="4">
        <v>31</v>
      </c>
      <c r="AS465" s="4">
        <v>38</v>
      </c>
      <c r="AT465" s="4">
        <v>31</v>
      </c>
      <c r="AU465" s="1" t="s">
        <v>363</v>
      </c>
      <c r="AV465" s="16">
        <f t="shared" si="215"/>
        <v>100</v>
      </c>
      <c r="AW465" s="7">
        <v>4.34</v>
      </c>
      <c r="AX465" s="5">
        <f t="shared" si="224"/>
        <v>4.3400000000000001E-2</v>
      </c>
      <c r="AY465" s="5" t="s">
        <v>87</v>
      </c>
      <c r="AZ465" s="39">
        <f>5/0.05</f>
        <v>100</v>
      </c>
      <c r="BA465" s="30" t="s">
        <v>55</v>
      </c>
      <c r="BB465" s="15">
        <f>1*K465/1000</f>
        <v>0.46397040000000001</v>
      </c>
      <c r="BC465" s="16">
        <f>200*K465/1000</f>
        <v>92.794080000000008</v>
      </c>
      <c r="BD465" s="26">
        <v>7.19</v>
      </c>
      <c r="BE465" s="16">
        <f t="shared" si="217"/>
        <v>165.66820276497697</v>
      </c>
      <c r="BF465" s="8">
        <f t="shared" si="208"/>
        <v>2.2192391608703721</v>
      </c>
      <c r="BG465" s="8">
        <f t="shared" si="223"/>
        <v>0.85672889038288258</v>
      </c>
      <c r="BH465" s="13" t="s">
        <v>844</v>
      </c>
      <c r="BI465" s="5"/>
      <c r="BJ465" s="13"/>
      <c r="BK465" s="5"/>
      <c r="BL465" s="5"/>
      <c r="BM465" s="21"/>
      <c r="BN465" s="21"/>
      <c r="BO465" s="1"/>
      <c r="BP465" s="11"/>
      <c r="BQ465" s="11"/>
    </row>
    <row r="466" spans="1:69" x14ac:dyDescent="0.3">
      <c r="A466" s="20">
        <v>464</v>
      </c>
      <c r="B466" s="1" t="s">
        <v>873</v>
      </c>
      <c r="C466" s="1">
        <v>2007</v>
      </c>
      <c r="D466" s="1" t="s">
        <v>203</v>
      </c>
      <c r="E466" s="10" t="s">
        <v>225</v>
      </c>
      <c r="F466" s="7" t="s">
        <v>63</v>
      </c>
      <c r="G466" s="4">
        <v>5</v>
      </c>
      <c r="H466" s="2" t="str">
        <f>'PFAS Properties'!$B$34</f>
        <v>PFNA</v>
      </c>
      <c r="I466" s="2" t="str">
        <f>'PFAS Properties'!$C$34</f>
        <v>PFCA</v>
      </c>
      <c r="J466" s="2" t="str">
        <f>'PFAS Properties'!$D$34</f>
        <v>C9HF17O2</v>
      </c>
      <c r="K466" s="25">
        <f>'PFAS Properties'!$P$34</f>
        <v>463.97039999999998</v>
      </c>
      <c r="L466" s="2">
        <f>'PFAS Properties'!$X$34</f>
        <v>-0.2</v>
      </c>
      <c r="M466" s="2" t="str">
        <f>'PFAS Properties'!$Y$34</f>
        <v>-</v>
      </c>
      <c r="N466" s="33">
        <v>0</v>
      </c>
      <c r="O466" s="33">
        <v>0</v>
      </c>
      <c r="P466" s="33">
        <v>0</v>
      </c>
      <c r="Q466" s="33">
        <f t="shared" si="225"/>
        <v>0.99999874107617315</v>
      </c>
      <c r="R466" s="33">
        <v>0</v>
      </c>
      <c r="S466" s="33">
        <f t="shared" si="226"/>
        <v>1.2589238269029671E-6</v>
      </c>
      <c r="T466" s="8">
        <f t="shared" si="202"/>
        <v>1</v>
      </c>
      <c r="U466" s="33">
        <f t="shared" si="203"/>
        <v>0</v>
      </c>
      <c r="V466" s="33">
        <f t="shared" si="204"/>
        <v>-0.99999874107617315</v>
      </c>
      <c r="W466" s="33">
        <f t="shared" si="205"/>
        <v>462.9704012589238</v>
      </c>
      <c r="X466" s="33">
        <v>96485</v>
      </c>
      <c r="Y466" s="16">
        <f t="shared" si="206"/>
        <v>-208.40398926231532</v>
      </c>
      <c r="Z466" s="16">
        <v>9</v>
      </c>
      <c r="AA466" s="16">
        <v>17</v>
      </c>
      <c r="AB466" s="8">
        <f t="shared" si="207"/>
        <v>0.33436532507739936</v>
      </c>
      <c r="AC466" s="16">
        <f t="shared" si="222"/>
        <v>69.616510018742574</v>
      </c>
      <c r="AD466" s="20">
        <f>'PFAS Properties'!$W$34</f>
        <v>8</v>
      </c>
      <c r="AE466" s="8">
        <f>'PFAS Properties'!$S$34</f>
        <v>1.7965743332104296</v>
      </c>
      <c r="AF466" s="15">
        <f>'PFAS Properties'!$V$34</f>
        <v>5.6</v>
      </c>
      <c r="AG466" s="26">
        <v>5.7</v>
      </c>
      <c r="AH466" s="1" t="s">
        <v>363</v>
      </c>
      <c r="AI466" s="6">
        <f>268*55.85/1000</f>
        <v>14.9678</v>
      </c>
      <c r="AJ466" s="3">
        <f>AI466*1000/55.845</f>
        <v>268.02399498612232</v>
      </c>
      <c r="AK466" s="8">
        <f>AI466/10</f>
        <v>1.49678</v>
      </c>
      <c r="AL466" s="6">
        <f>90*26.98/1000</f>
        <v>2.4281999999999999</v>
      </c>
      <c r="AM466" s="3">
        <f>AL466*1000/26.98</f>
        <v>89.999999999999986</v>
      </c>
      <c r="AN466" s="8">
        <f>AL466/10</f>
        <v>0.24281999999999998</v>
      </c>
      <c r="AO466" s="3" t="s">
        <v>93</v>
      </c>
      <c r="AP466" s="15">
        <v>22</v>
      </c>
      <c r="AQ466" s="1" t="s">
        <v>363</v>
      </c>
      <c r="AR466" s="4">
        <v>80</v>
      </c>
      <c r="AS466" s="4">
        <v>15</v>
      </c>
      <c r="AT466" s="4">
        <v>5</v>
      </c>
      <c r="AU466" s="1" t="s">
        <v>363</v>
      </c>
      <c r="AV466" s="16">
        <f t="shared" si="215"/>
        <v>100</v>
      </c>
      <c r="AW466" s="7">
        <v>9.66</v>
      </c>
      <c r="AX466" s="5">
        <f t="shared" si="224"/>
        <v>9.6600000000000005E-2</v>
      </c>
      <c r="AY466" s="5" t="s">
        <v>87</v>
      </c>
      <c r="AZ466" s="39">
        <f>5/0.05</f>
        <v>100</v>
      </c>
      <c r="BA466" s="30" t="s">
        <v>55</v>
      </c>
      <c r="BB466" s="15">
        <f>1*K466/1000</f>
        <v>0.46397040000000001</v>
      </c>
      <c r="BC466" s="16">
        <f>200*K466/1000</f>
        <v>92.794080000000008</v>
      </c>
      <c r="BD466" s="26">
        <v>28.66</v>
      </c>
      <c r="BE466" s="16">
        <f t="shared" si="217"/>
        <v>296.68737060041406</v>
      </c>
      <c r="BF466" s="8">
        <f t="shared" si="208"/>
        <v>2.4722990596458323</v>
      </c>
      <c r="BG466" s="8">
        <f t="shared" si="223"/>
        <v>1.4572761860613257</v>
      </c>
      <c r="BH466" s="13" t="s">
        <v>844</v>
      </c>
      <c r="BI466" s="5"/>
      <c r="BJ466" s="13"/>
      <c r="BK466" s="5"/>
      <c r="BL466" s="5"/>
      <c r="BM466" s="21"/>
      <c r="BN466" s="21"/>
      <c r="BO466" s="1"/>
      <c r="BP466" s="11"/>
      <c r="BQ466" s="11"/>
    </row>
    <row r="467" spans="1:69" s="14" customFormat="1" x14ac:dyDescent="0.3">
      <c r="A467" s="20">
        <v>465</v>
      </c>
      <c r="B467" s="2" t="s">
        <v>206</v>
      </c>
      <c r="C467" s="2">
        <v>2020</v>
      </c>
      <c r="D467" s="2" t="s">
        <v>201</v>
      </c>
      <c r="E467" s="10" t="s">
        <v>793</v>
      </c>
      <c r="F467" s="20" t="s">
        <v>29</v>
      </c>
      <c r="G467" s="2" t="s">
        <v>44</v>
      </c>
      <c r="H467" s="2" t="str">
        <f>'PFAS Properties'!$B$34</f>
        <v>PFNA</v>
      </c>
      <c r="I467" s="2" t="str">
        <f>'PFAS Properties'!$C$34</f>
        <v>PFCA</v>
      </c>
      <c r="J467" s="2" t="str">
        <f>'PFAS Properties'!$D$34</f>
        <v>C9HF17O2</v>
      </c>
      <c r="K467" s="25">
        <f>'PFAS Properties'!$P$34</f>
        <v>463.97039999999998</v>
      </c>
      <c r="L467" s="2">
        <f>'PFAS Properties'!$X$34</f>
        <v>-0.2</v>
      </c>
      <c r="M467" s="2" t="str">
        <f>'PFAS Properties'!$Y$34</f>
        <v>-</v>
      </c>
      <c r="N467" s="33">
        <v>0</v>
      </c>
      <c r="O467" s="33">
        <v>0</v>
      </c>
      <c r="P467" s="33">
        <v>0</v>
      </c>
      <c r="Q467" s="33">
        <f t="shared" si="225"/>
        <v>0.99999999000000006</v>
      </c>
      <c r="R467" s="33">
        <v>0</v>
      </c>
      <c r="S467" s="33">
        <f t="shared" si="226"/>
        <v>9.9999999000000002E-9</v>
      </c>
      <c r="T467" s="8">
        <f t="shared" si="202"/>
        <v>1</v>
      </c>
      <c r="U467" s="33">
        <f t="shared" si="203"/>
        <v>0</v>
      </c>
      <c r="V467" s="33">
        <f t="shared" si="204"/>
        <v>-0.99999999000000006</v>
      </c>
      <c r="W467" s="33">
        <f t="shared" si="205"/>
        <v>462.97040000999993</v>
      </c>
      <c r="X467" s="33">
        <v>96485</v>
      </c>
      <c r="Y467" s="16">
        <f t="shared" si="206"/>
        <v>-208.40425010554881</v>
      </c>
      <c r="Z467" s="16">
        <v>9</v>
      </c>
      <c r="AA467" s="16">
        <v>17</v>
      </c>
      <c r="AB467" s="8">
        <f t="shared" si="207"/>
        <v>0.33436532507739936</v>
      </c>
      <c r="AC467" s="16">
        <f t="shared" si="222"/>
        <v>69.616510018742574</v>
      </c>
      <c r="AD467" s="20">
        <f>'PFAS Properties'!$W$34</f>
        <v>8</v>
      </c>
      <c r="AE467" s="8">
        <f>'PFAS Properties'!$S$34</f>
        <v>1.7965743332104296</v>
      </c>
      <c r="AF467" s="15">
        <f>'PFAS Properties'!$V$34</f>
        <v>5.6</v>
      </c>
      <c r="AG467" s="24">
        <v>7.8</v>
      </c>
      <c r="AH467" s="2" t="s">
        <v>661</v>
      </c>
      <c r="AI467" s="2" t="s">
        <v>661</v>
      </c>
      <c r="AJ467" s="2" t="s">
        <v>661</v>
      </c>
      <c r="AK467" s="2" t="s">
        <v>661</v>
      </c>
      <c r="AL467" s="2" t="s">
        <v>661</v>
      </c>
      <c r="AM467" s="2" t="s">
        <v>661</v>
      </c>
      <c r="AN467" s="2" t="s">
        <v>661</v>
      </c>
      <c r="AO467" s="2" t="s">
        <v>661</v>
      </c>
      <c r="AP467" s="72">
        <v>11.17476666666666</v>
      </c>
      <c r="AQ467" s="70" t="s">
        <v>752</v>
      </c>
      <c r="AR467" s="16">
        <v>47</v>
      </c>
      <c r="AS467" s="16">
        <v>38</v>
      </c>
      <c r="AT467" s="16">
        <v>15</v>
      </c>
      <c r="AU467" s="16" t="s">
        <v>661</v>
      </c>
      <c r="AV467" s="16">
        <f t="shared" si="215"/>
        <v>100</v>
      </c>
      <c r="AW467" s="20">
        <v>1.43</v>
      </c>
      <c r="AX467" s="13">
        <f t="shared" si="224"/>
        <v>1.43E-2</v>
      </c>
      <c r="AY467" s="8" t="s">
        <v>45</v>
      </c>
      <c r="AZ467" s="16">
        <f>5/0.025</f>
        <v>200</v>
      </c>
      <c r="BA467" s="16" t="s">
        <v>55</v>
      </c>
      <c r="BB467" s="16">
        <v>10</v>
      </c>
      <c r="BC467" s="16">
        <v>100</v>
      </c>
      <c r="BD467" s="20">
        <v>5.1100000000000003</v>
      </c>
      <c r="BE467" s="15">
        <f t="shared" si="217"/>
        <v>357.34265734265733</v>
      </c>
      <c r="BF467" s="8">
        <f t="shared" si="208"/>
        <v>2.553084862669651</v>
      </c>
      <c r="BG467" s="8">
        <f t="shared" si="223"/>
        <v>0.70842090013471271</v>
      </c>
      <c r="BH467" s="2" t="s">
        <v>843</v>
      </c>
      <c r="BI467" s="8"/>
      <c r="BJ467" s="13"/>
      <c r="BK467" s="15"/>
      <c r="BL467" s="8"/>
      <c r="BM467" s="18"/>
      <c r="BN467" s="8"/>
      <c r="BO467" s="24"/>
    </row>
    <row r="468" spans="1:69" s="14" customFormat="1" x14ac:dyDescent="0.3">
      <c r="A468" s="20">
        <v>466</v>
      </c>
      <c r="B468" s="2" t="s">
        <v>234</v>
      </c>
      <c r="C468" s="2">
        <v>2022</v>
      </c>
      <c r="D468" s="2" t="s">
        <v>205</v>
      </c>
      <c r="E468" s="10" t="s">
        <v>799</v>
      </c>
      <c r="F468" s="20" t="s">
        <v>63</v>
      </c>
      <c r="G468" s="2" t="s">
        <v>63</v>
      </c>
      <c r="H468" s="2" t="str">
        <f>'PFAS Properties'!$B$34</f>
        <v>PFNA</v>
      </c>
      <c r="I468" s="2" t="str">
        <f>'PFAS Properties'!$C$34</f>
        <v>PFCA</v>
      </c>
      <c r="J468" s="2" t="str">
        <f>'PFAS Properties'!$D$34</f>
        <v>C9HF17O2</v>
      </c>
      <c r="K468" s="25">
        <f>'PFAS Properties'!$P$34</f>
        <v>463.97039999999998</v>
      </c>
      <c r="L468" s="2">
        <f>'PFAS Properties'!$X$34</f>
        <v>-0.2</v>
      </c>
      <c r="M468" s="2" t="str">
        <f>'PFAS Properties'!$Y$34</f>
        <v>-</v>
      </c>
      <c r="N468" s="33">
        <v>0</v>
      </c>
      <c r="O468" s="33">
        <v>0</v>
      </c>
      <c r="P468" s="33">
        <v>0</v>
      </c>
      <c r="Q468" s="33">
        <f t="shared" si="225"/>
        <v>0.9999999939744042</v>
      </c>
      <c r="R468" s="33">
        <v>0</v>
      </c>
      <c r="S468" s="33">
        <f t="shared" si="226"/>
        <v>6.0255958244357746E-9</v>
      </c>
      <c r="T468" s="8">
        <f t="shared" si="202"/>
        <v>1</v>
      </c>
      <c r="U468" s="33">
        <f t="shared" si="203"/>
        <v>0</v>
      </c>
      <c r="V468" s="33">
        <f t="shared" si="204"/>
        <v>-0.9999999939744042</v>
      </c>
      <c r="W468" s="33">
        <f t="shared" si="205"/>
        <v>462.97040000602556</v>
      </c>
      <c r="X468" s="33">
        <v>96485</v>
      </c>
      <c r="Y468" s="16">
        <f t="shared" si="206"/>
        <v>-208.40425093562058</v>
      </c>
      <c r="Z468" s="16">
        <v>9</v>
      </c>
      <c r="AA468" s="16">
        <v>17</v>
      </c>
      <c r="AB468" s="8">
        <f t="shared" si="207"/>
        <v>0.33436532507739936</v>
      </c>
      <c r="AC468" s="16">
        <f t="shared" si="222"/>
        <v>69.616510018742574</v>
      </c>
      <c r="AD468" s="20">
        <f>'PFAS Properties'!$W$34</f>
        <v>8</v>
      </c>
      <c r="AE468" s="8">
        <f>'PFAS Properties'!$S$34</f>
        <v>1.7965743332104296</v>
      </c>
      <c r="AF468" s="15">
        <f>'PFAS Properties'!$V$34</f>
        <v>5.6</v>
      </c>
      <c r="AG468" s="24">
        <v>8.02</v>
      </c>
      <c r="AH468" s="2" t="s">
        <v>661</v>
      </c>
      <c r="AI468" s="2" t="s">
        <v>661</v>
      </c>
      <c r="AJ468" s="2" t="s">
        <v>661</v>
      </c>
      <c r="AK468" s="2" t="s">
        <v>661</v>
      </c>
      <c r="AL468" s="2" t="s">
        <v>661</v>
      </c>
      <c r="AM468" s="2" t="s">
        <v>661</v>
      </c>
      <c r="AN468" s="2" t="s">
        <v>661</v>
      </c>
      <c r="AO468" s="2" t="s">
        <v>661</v>
      </c>
      <c r="AP468" s="72">
        <v>11.934691666666669</v>
      </c>
      <c r="AQ468" s="70" t="s">
        <v>752</v>
      </c>
      <c r="AR468" s="16">
        <v>6.34</v>
      </c>
      <c r="AS468" s="16">
        <v>85.56</v>
      </c>
      <c r="AT468" s="16">
        <v>8.08</v>
      </c>
      <c r="AU468" s="2" t="s">
        <v>661</v>
      </c>
      <c r="AV468" s="16">
        <f t="shared" si="215"/>
        <v>99.98</v>
      </c>
      <c r="AW468" s="20">
        <v>0.37</v>
      </c>
      <c r="AX468" s="13">
        <v>3.7000000000000002E-3</v>
      </c>
      <c r="AY468" s="13" t="s">
        <v>392</v>
      </c>
      <c r="AZ468" s="16">
        <f>1/0.02</f>
        <v>50</v>
      </c>
      <c r="BA468" s="16" t="s">
        <v>55</v>
      </c>
      <c r="BB468" s="16">
        <v>10</v>
      </c>
      <c r="BC468" s="16" t="s">
        <v>55</v>
      </c>
      <c r="BD468" s="18">
        <f>BO468</f>
        <v>2.9846761555089598</v>
      </c>
      <c r="BE468" s="15">
        <f t="shared" si="217"/>
        <v>806.66923121863772</v>
      </c>
      <c r="BF468" s="8">
        <f t="shared" si="208"/>
        <v>2.9066954919661399</v>
      </c>
      <c r="BG468" s="8">
        <f t="shared" si="223"/>
        <v>0.47489721603313473</v>
      </c>
      <c r="BH468" s="13" t="s">
        <v>782</v>
      </c>
      <c r="BI468" s="8">
        <v>4.12</v>
      </c>
      <c r="BJ468" s="13" t="s">
        <v>366</v>
      </c>
      <c r="BK468" s="8">
        <v>0.86</v>
      </c>
      <c r="BL468" s="8">
        <f>BI468</f>
        <v>4.12</v>
      </c>
      <c r="BM468" s="25">
        <v>10</v>
      </c>
      <c r="BN468" s="8">
        <f>(BL468*(BM468^BK468))</f>
        <v>29.8467615550896</v>
      </c>
      <c r="BO468" s="24">
        <f>BN468/BM468</f>
        <v>2.9846761555089598</v>
      </c>
    </row>
    <row r="469" spans="1:69" s="14" customFormat="1" x14ac:dyDescent="0.3">
      <c r="A469" s="20">
        <v>467</v>
      </c>
      <c r="B469" s="2" t="s">
        <v>221</v>
      </c>
      <c r="C469" s="2">
        <v>2016</v>
      </c>
      <c r="D469" s="2" t="s">
        <v>199</v>
      </c>
      <c r="E469" s="22" t="s">
        <v>811</v>
      </c>
      <c r="F469" s="20" t="s">
        <v>63</v>
      </c>
      <c r="G469" s="2" t="s">
        <v>64</v>
      </c>
      <c r="H469" s="2" t="str">
        <f>'PFAS Properties'!$B$34</f>
        <v>PFNA</v>
      </c>
      <c r="I469" s="2" t="str">
        <f>'PFAS Properties'!$C$34</f>
        <v>PFCA</v>
      </c>
      <c r="J469" s="2" t="str">
        <f>'PFAS Properties'!$D$34</f>
        <v>C9HF17O2</v>
      </c>
      <c r="K469" s="25">
        <f>'PFAS Properties'!$P$34</f>
        <v>463.97039999999998</v>
      </c>
      <c r="L469" s="2">
        <f>'PFAS Properties'!$X$34</f>
        <v>-0.2</v>
      </c>
      <c r="M469" s="2" t="str">
        <f>'PFAS Properties'!$Y$34</f>
        <v>-</v>
      </c>
      <c r="N469" s="33">
        <v>0</v>
      </c>
      <c r="O469" s="33">
        <v>0</v>
      </c>
      <c r="P469" s="33">
        <v>0</v>
      </c>
      <c r="Q469" s="33">
        <f t="shared" si="225"/>
        <v>0.99999998415106828</v>
      </c>
      <c r="R469" s="33">
        <v>0</v>
      </c>
      <c r="S469" s="33">
        <f t="shared" si="226"/>
        <v>1.5848931673422493E-8</v>
      </c>
      <c r="T469" s="8">
        <f t="shared" si="202"/>
        <v>1</v>
      </c>
      <c r="U469" s="33">
        <f t="shared" si="203"/>
        <v>0</v>
      </c>
      <c r="V469" s="33">
        <f t="shared" si="204"/>
        <v>-0.99999998415106828</v>
      </c>
      <c r="W469" s="33">
        <f t="shared" si="205"/>
        <v>462.9704000158489</v>
      </c>
      <c r="X469" s="33">
        <v>96485</v>
      </c>
      <c r="Y469" s="16">
        <f t="shared" si="206"/>
        <v>-208.40424888397368</v>
      </c>
      <c r="Z469" s="16">
        <v>9</v>
      </c>
      <c r="AA469" s="16">
        <v>17</v>
      </c>
      <c r="AB469" s="8">
        <f t="shared" si="207"/>
        <v>0.33436532507739936</v>
      </c>
      <c r="AC469" s="16">
        <f t="shared" si="222"/>
        <v>69.616510018742574</v>
      </c>
      <c r="AD469" s="20">
        <f>'PFAS Properties'!$W$34</f>
        <v>8</v>
      </c>
      <c r="AE469" s="8">
        <f>'PFAS Properties'!$S$34</f>
        <v>1.7965743332104296</v>
      </c>
      <c r="AF469" s="15">
        <f>'PFAS Properties'!$V$34</f>
        <v>5.6</v>
      </c>
      <c r="AG469" s="24">
        <v>7.6</v>
      </c>
      <c r="AH469" s="2" t="s">
        <v>661</v>
      </c>
      <c r="AI469" s="2">
        <v>2.8492E-2</v>
      </c>
      <c r="AJ469" s="15">
        <f>AI469*1000/55.845</f>
        <v>0.51019786910197873</v>
      </c>
      <c r="AK469" s="8">
        <f>AI469/10</f>
        <v>2.8492000000000001E-3</v>
      </c>
      <c r="AL469" s="12">
        <v>1.2054E-2</v>
      </c>
      <c r="AM469" s="15">
        <f>AL469*1000/26.98</f>
        <v>0.4467753891771683</v>
      </c>
      <c r="AN469" s="8">
        <f>AL469/10</f>
        <v>1.2054000000000001E-3</v>
      </c>
      <c r="AO469" s="2" t="s">
        <v>661</v>
      </c>
      <c r="AP469" s="72">
        <v>15.90036666666667</v>
      </c>
      <c r="AQ469" s="70" t="s">
        <v>752</v>
      </c>
      <c r="AR469" s="2">
        <v>4</v>
      </c>
      <c r="AS469" s="2">
        <v>61</v>
      </c>
      <c r="AT469" s="2">
        <v>35</v>
      </c>
      <c r="AU469" s="2" t="s">
        <v>661</v>
      </c>
      <c r="AV469" s="16">
        <f t="shared" si="215"/>
        <v>100</v>
      </c>
      <c r="AW469" s="20">
        <v>2.52</v>
      </c>
      <c r="AX469" s="13">
        <f>AW469/100</f>
        <v>2.52E-2</v>
      </c>
      <c r="AY469" s="13" t="s">
        <v>65</v>
      </c>
      <c r="AZ469" s="16">
        <f>5/0.04</f>
        <v>125</v>
      </c>
      <c r="BA469" s="16" t="s">
        <v>55</v>
      </c>
      <c r="BB469" s="15">
        <v>0.5</v>
      </c>
      <c r="BC469" s="16">
        <v>100</v>
      </c>
      <c r="BD469" s="18">
        <f>10^1.21</f>
        <v>16.218100973589298</v>
      </c>
      <c r="BE469" s="15">
        <f t="shared" si="217"/>
        <v>643.57543545989279</v>
      </c>
      <c r="BF469" s="8">
        <f t="shared" si="208"/>
        <v>2.8085994592184558</v>
      </c>
      <c r="BG469" s="8">
        <f t="shared" si="223"/>
        <v>1.21</v>
      </c>
      <c r="BH469" s="13" t="s">
        <v>390</v>
      </c>
      <c r="BI469" s="13"/>
      <c r="BJ469" s="13"/>
      <c r="BK469" s="15"/>
      <c r="BL469" s="8"/>
      <c r="BM469" s="18"/>
      <c r="BN469" s="8"/>
      <c r="BO469" s="24"/>
    </row>
    <row r="470" spans="1:69" s="14" customFormat="1" x14ac:dyDescent="0.3">
      <c r="A470" s="20">
        <v>468</v>
      </c>
      <c r="B470" s="2" t="s">
        <v>181</v>
      </c>
      <c r="C470" s="2">
        <v>2020</v>
      </c>
      <c r="D470" s="2" t="s">
        <v>203</v>
      </c>
      <c r="E470" s="10" t="s">
        <v>787</v>
      </c>
      <c r="F470" s="20" t="s">
        <v>29</v>
      </c>
      <c r="G470" s="2" t="s">
        <v>62</v>
      </c>
      <c r="H470" s="2" t="str">
        <f>'PFAS Properties'!$B$34</f>
        <v>PFNA</v>
      </c>
      <c r="I470" s="2" t="str">
        <f>'PFAS Properties'!$C$34</f>
        <v>PFCA</v>
      </c>
      <c r="J470" s="2" t="str">
        <f>'PFAS Properties'!$D$34</f>
        <v>C9HF17O2</v>
      </c>
      <c r="K470" s="25">
        <f>'PFAS Properties'!$P$34</f>
        <v>463.97039999999998</v>
      </c>
      <c r="L470" s="2">
        <f>'PFAS Properties'!$X$34</f>
        <v>-0.2</v>
      </c>
      <c r="M470" s="2" t="str">
        <f>'PFAS Properties'!$Y$34</f>
        <v>-</v>
      </c>
      <c r="N470" s="33">
        <v>0</v>
      </c>
      <c r="O470" s="33">
        <v>0</v>
      </c>
      <c r="P470" s="33">
        <v>0</v>
      </c>
      <c r="Q470" s="33">
        <f t="shared" si="225"/>
        <v>0.99999998004737722</v>
      </c>
      <c r="R470" s="33">
        <v>0</v>
      </c>
      <c r="S470" s="33">
        <f t="shared" si="226"/>
        <v>1.995262275158161E-8</v>
      </c>
      <c r="T470" s="8">
        <f t="shared" si="202"/>
        <v>1</v>
      </c>
      <c r="U470" s="33">
        <f t="shared" si="203"/>
        <v>0</v>
      </c>
      <c r="V470" s="33">
        <f t="shared" si="204"/>
        <v>-0.99999998004737722</v>
      </c>
      <c r="W470" s="33">
        <f t="shared" si="205"/>
        <v>462.97040001995259</v>
      </c>
      <c r="X470" s="33">
        <v>96485</v>
      </c>
      <c r="Y470" s="16">
        <f t="shared" si="206"/>
        <v>-208.40424802689972</v>
      </c>
      <c r="Z470" s="16">
        <v>9</v>
      </c>
      <c r="AA470" s="16">
        <v>17</v>
      </c>
      <c r="AB470" s="8">
        <f t="shared" si="207"/>
        <v>0.33436532507739936</v>
      </c>
      <c r="AC470" s="16">
        <f t="shared" si="222"/>
        <v>69.616510018742574</v>
      </c>
      <c r="AD470" s="20">
        <f>'PFAS Properties'!$W$34</f>
        <v>8</v>
      </c>
      <c r="AE470" s="8">
        <f>'PFAS Properties'!$S$34</f>
        <v>1.7965743332104296</v>
      </c>
      <c r="AF470" s="15">
        <f>'PFAS Properties'!$V$34</f>
        <v>5.6</v>
      </c>
      <c r="AG470" s="24">
        <v>7.5</v>
      </c>
      <c r="AH470" s="2" t="s">
        <v>183</v>
      </c>
      <c r="AI470" s="2" t="s">
        <v>661</v>
      </c>
      <c r="AJ470" s="2" t="s">
        <v>661</v>
      </c>
      <c r="AK470" s="2" t="s">
        <v>661</v>
      </c>
      <c r="AL470" s="2" t="s">
        <v>661</v>
      </c>
      <c r="AM470" s="2" t="s">
        <v>661</v>
      </c>
      <c r="AN470" s="2" t="s">
        <v>661</v>
      </c>
      <c r="AO470" s="2" t="s">
        <v>661</v>
      </c>
      <c r="AP470" s="15">
        <v>41.4</v>
      </c>
      <c r="AQ470" s="2" t="s">
        <v>661</v>
      </c>
      <c r="AR470" s="16">
        <v>16.899999999999999</v>
      </c>
      <c r="AS470" s="16">
        <v>17.5</v>
      </c>
      <c r="AT470" s="16">
        <v>65.599999999999994</v>
      </c>
      <c r="AU470" s="2" t="s">
        <v>661</v>
      </c>
      <c r="AV470" s="16">
        <f t="shared" si="215"/>
        <v>100</v>
      </c>
      <c r="AW470" s="20">
        <v>0.7</v>
      </c>
      <c r="AX470" s="13">
        <v>6.9999999999999993E-3</v>
      </c>
      <c r="AY470" s="13" t="s">
        <v>184</v>
      </c>
      <c r="AZ470" s="16">
        <v>100</v>
      </c>
      <c r="BA470" s="16" t="s">
        <v>55</v>
      </c>
      <c r="BB470" s="16">
        <v>5</v>
      </c>
      <c r="BC470" s="16" t="s">
        <v>55</v>
      </c>
      <c r="BD470" s="18">
        <v>2.35</v>
      </c>
      <c r="BE470" s="15">
        <f t="shared" si="217"/>
        <v>335.71428571428578</v>
      </c>
      <c r="BF470" s="8">
        <f t="shared" si="208"/>
        <v>2.5259698222574793</v>
      </c>
      <c r="BG470" s="8">
        <f t="shared" si="223"/>
        <v>0.37106786227173627</v>
      </c>
      <c r="BH470" s="13" t="s">
        <v>841</v>
      </c>
      <c r="BI470" s="13"/>
      <c r="BJ470" s="13"/>
      <c r="BK470" s="8"/>
      <c r="BL470" s="8"/>
      <c r="BM470" s="18"/>
      <c r="BN470" s="8"/>
      <c r="BO470" s="24"/>
    </row>
    <row r="471" spans="1:69" s="14" customFormat="1" x14ac:dyDescent="0.3">
      <c r="A471" s="20">
        <v>469</v>
      </c>
      <c r="B471" s="2" t="s">
        <v>181</v>
      </c>
      <c r="C471" s="2">
        <v>2020</v>
      </c>
      <c r="D471" s="2" t="s">
        <v>203</v>
      </c>
      <c r="E471" s="10" t="s">
        <v>787</v>
      </c>
      <c r="F471" s="20" t="s">
        <v>29</v>
      </c>
      <c r="G471" s="2" t="s">
        <v>57</v>
      </c>
      <c r="H471" s="2" t="str">
        <f>'PFAS Properties'!$B$34</f>
        <v>PFNA</v>
      </c>
      <c r="I471" s="2" t="str">
        <f>'PFAS Properties'!$C$34</f>
        <v>PFCA</v>
      </c>
      <c r="J471" s="2" t="str">
        <f>'PFAS Properties'!$D$34</f>
        <v>C9HF17O2</v>
      </c>
      <c r="K471" s="25">
        <f>'PFAS Properties'!$P$34</f>
        <v>463.97039999999998</v>
      </c>
      <c r="L471" s="2">
        <f>'PFAS Properties'!$X$34</f>
        <v>-0.2</v>
      </c>
      <c r="M471" s="2" t="str">
        <f>'PFAS Properties'!$Y$34</f>
        <v>-</v>
      </c>
      <c r="N471" s="33">
        <v>0</v>
      </c>
      <c r="O471" s="33">
        <v>0</v>
      </c>
      <c r="P471" s="33">
        <v>0</v>
      </c>
      <c r="Q471" s="33">
        <f t="shared" si="225"/>
        <v>0.99999990000001004</v>
      </c>
      <c r="R471" s="33">
        <v>0</v>
      </c>
      <c r="S471" s="33">
        <f t="shared" si="226"/>
        <v>9.9999990000001005E-8</v>
      </c>
      <c r="T471" s="8">
        <f t="shared" si="202"/>
        <v>1</v>
      </c>
      <c r="U471" s="33">
        <f t="shared" si="203"/>
        <v>0</v>
      </c>
      <c r="V471" s="33">
        <f t="shared" si="204"/>
        <v>-0.99999990000001004</v>
      </c>
      <c r="W471" s="33">
        <f t="shared" si="205"/>
        <v>462.97040010000001</v>
      </c>
      <c r="X471" s="33">
        <v>96485</v>
      </c>
      <c r="Y471" s="16">
        <f t="shared" si="206"/>
        <v>-208.40423130865503</v>
      </c>
      <c r="Z471" s="16">
        <v>9</v>
      </c>
      <c r="AA471" s="16">
        <v>17</v>
      </c>
      <c r="AB471" s="8">
        <f t="shared" si="207"/>
        <v>0.33436532507739936</v>
      </c>
      <c r="AC471" s="16">
        <f t="shared" si="222"/>
        <v>69.616510018742574</v>
      </c>
      <c r="AD471" s="20">
        <f>'PFAS Properties'!$W$34</f>
        <v>8</v>
      </c>
      <c r="AE471" s="8">
        <f>'PFAS Properties'!$S$34</f>
        <v>1.7965743332104296</v>
      </c>
      <c r="AF471" s="15">
        <f>'PFAS Properties'!$V$34</f>
        <v>5.6</v>
      </c>
      <c r="AG471" s="24">
        <v>6.8</v>
      </c>
      <c r="AH471" s="2" t="s">
        <v>183</v>
      </c>
      <c r="AI471" s="2" t="s">
        <v>661</v>
      </c>
      <c r="AJ471" s="2" t="s">
        <v>661</v>
      </c>
      <c r="AK471" s="2" t="s">
        <v>661</v>
      </c>
      <c r="AL471" s="2" t="s">
        <v>661</v>
      </c>
      <c r="AM471" s="2" t="s">
        <v>661</v>
      </c>
      <c r="AN471" s="2" t="s">
        <v>661</v>
      </c>
      <c r="AO471" s="2" t="s">
        <v>661</v>
      </c>
      <c r="AP471" s="15">
        <v>7.1</v>
      </c>
      <c r="AQ471" s="2" t="s">
        <v>661</v>
      </c>
      <c r="AR471" s="16">
        <v>48.9</v>
      </c>
      <c r="AS471" s="16">
        <v>27</v>
      </c>
      <c r="AT471" s="16">
        <v>24.2</v>
      </c>
      <c r="AU471" s="2" t="s">
        <v>661</v>
      </c>
      <c r="AV471" s="16">
        <f t="shared" si="215"/>
        <v>100.10000000000001</v>
      </c>
      <c r="AW471" s="20">
        <v>0.37</v>
      </c>
      <c r="AX471" s="13">
        <v>3.7000000000000002E-3</v>
      </c>
      <c r="AY471" s="13" t="s">
        <v>184</v>
      </c>
      <c r="AZ471" s="16">
        <v>100</v>
      </c>
      <c r="BA471" s="16" t="s">
        <v>55</v>
      </c>
      <c r="BB471" s="16">
        <v>5</v>
      </c>
      <c r="BC471" s="16" t="s">
        <v>55</v>
      </c>
      <c r="BD471" s="18">
        <v>1.57</v>
      </c>
      <c r="BE471" s="15">
        <f t="shared" si="217"/>
        <v>424.32432432432432</v>
      </c>
      <c r="BF471" s="8">
        <f t="shared" si="208"/>
        <v>2.6276979283422386</v>
      </c>
      <c r="BG471" s="8">
        <f t="shared" si="223"/>
        <v>0.19589965240923377</v>
      </c>
      <c r="BH471" s="13" t="s">
        <v>841</v>
      </c>
      <c r="BI471" s="13"/>
      <c r="BJ471" s="13"/>
      <c r="BK471" s="8"/>
      <c r="BL471" s="8"/>
      <c r="BM471" s="18"/>
      <c r="BN471" s="8"/>
      <c r="BO471" s="24"/>
    </row>
    <row r="472" spans="1:69" s="14" customFormat="1" x14ac:dyDescent="0.3">
      <c r="A472" s="20">
        <v>470</v>
      </c>
      <c r="B472" s="2" t="s">
        <v>181</v>
      </c>
      <c r="C472" s="2">
        <v>2020</v>
      </c>
      <c r="D472" s="2" t="s">
        <v>203</v>
      </c>
      <c r="E472" s="10" t="s">
        <v>787</v>
      </c>
      <c r="F472" s="20" t="s">
        <v>29</v>
      </c>
      <c r="G472" s="2" t="s">
        <v>58</v>
      </c>
      <c r="H472" s="2" t="str">
        <f>'PFAS Properties'!$B$34</f>
        <v>PFNA</v>
      </c>
      <c r="I472" s="2" t="str">
        <f>'PFAS Properties'!$C$34</f>
        <v>PFCA</v>
      </c>
      <c r="J472" s="2" t="str">
        <f>'PFAS Properties'!$D$34</f>
        <v>C9HF17O2</v>
      </c>
      <c r="K472" s="25">
        <f>'PFAS Properties'!$P$34</f>
        <v>463.97039999999998</v>
      </c>
      <c r="L472" s="2">
        <f>'PFAS Properties'!$X$34</f>
        <v>-0.2</v>
      </c>
      <c r="M472" s="2" t="str">
        <f>'PFAS Properties'!$Y$34</f>
        <v>-</v>
      </c>
      <c r="N472" s="33">
        <v>0</v>
      </c>
      <c r="O472" s="33">
        <v>0</v>
      </c>
      <c r="P472" s="33">
        <v>0</v>
      </c>
      <c r="Q472" s="33">
        <f t="shared" si="225"/>
        <v>0.99999960189298798</v>
      </c>
      <c r="R472" s="33">
        <v>0</v>
      </c>
      <c r="S472" s="33">
        <f t="shared" si="226"/>
        <v>3.9810701206424001E-7</v>
      </c>
      <c r="T472" s="8">
        <f t="shared" si="202"/>
        <v>1</v>
      </c>
      <c r="U472" s="33">
        <f t="shared" si="203"/>
        <v>0</v>
      </c>
      <c r="V472" s="33">
        <f t="shared" si="204"/>
        <v>-0.99999960189298798</v>
      </c>
      <c r="W472" s="33">
        <f t="shared" si="205"/>
        <v>462.97040039810702</v>
      </c>
      <c r="X472" s="33">
        <v>96485</v>
      </c>
      <c r="Y472" s="16">
        <f t="shared" si="206"/>
        <v>-208.40416904769245</v>
      </c>
      <c r="Z472" s="16">
        <v>9</v>
      </c>
      <c r="AA472" s="16">
        <v>17</v>
      </c>
      <c r="AB472" s="8">
        <f t="shared" si="207"/>
        <v>0.33436532507739936</v>
      </c>
      <c r="AC472" s="16">
        <f t="shared" si="222"/>
        <v>69.616510018742574</v>
      </c>
      <c r="AD472" s="20">
        <f>'PFAS Properties'!$W$34</f>
        <v>8</v>
      </c>
      <c r="AE472" s="8">
        <f>'PFAS Properties'!$S$34</f>
        <v>1.7965743332104296</v>
      </c>
      <c r="AF472" s="15">
        <f>'PFAS Properties'!$V$34</f>
        <v>5.6</v>
      </c>
      <c r="AG472" s="24">
        <v>6.2</v>
      </c>
      <c r="AH472" s="2" t="s">
        <v>183</v>
      </c>
      <c r="AI472" s="2" t="s">
        <v>661</v>
      </c>
      <c r="AJ472" s="2" t="s">
        <v>661</v>
      </c>
      <c r="AK472" s="2" t="s">
        <v>661</v>
      </c>
      <c r="AL472" s="2" t="s">
        <v>661</v>
      </c>
      <c r="AM472" s="2" t="s">
        <v>661</v>
      </c>
      <c r="AN472" s="2" t="s">
        <v>661</v>
      </c>
      <c r="AO472" s="2" t="s">
        <v>661</v>
      </c>
      <c r="AP472" s="15">
        <v>8</v>
      </c>
      <c r="AQ472" s="2" t="s">
        <v>661</v>
      </c>
      <c r="AR472" s="16">
        <v>51.44</v>
      </c>
      <c r="AS472" s="16">
        <v>10.17</v>
      </c>
      <c r="AT472" s="16">
        <v>38.380000000000003</v>
      </c>
      <c r="AU472" s="2" t="s">
        <v>661</v>
      </c>
      <c r="AV472" s="16">
        <f t="shared" si="215"/>
        <v>99.990000000000009</v>
      </c>
      <c r="AW472" s="20">
        <v>0.08</v>
      </c>
      <c r="AX472" s="13">
        <v>8.0000000000000004E-4</v>
      </c>
      <c r="AY472" s="8" t="s">
        <v>184</v>
      </c>
      <c r="AZ472" s="16">
        <v>100</v>
      </c>
      <c r="BA472" s="16" t="s">
        <v>55</v>
      </c>
      <c r="BB472" s="16">
        <v>5</v>
      </c>
      <c r="BC472" s="16" t="s">
        <v>55</v>
      </c>
      <c r="BD472" s="18">
        <v>1.31</v>
      </c>
      <c r="BE472" s="15">
        <f t="shared" si="217"/>
        <v>1637.5</v>
      </c>
      <c r="BF472" s="8">
        <f t="shared" si="208"/>
        <v>3.2141813086638207</v>
      </c>
      <c r="BG472" s="8">
        <f t="shared" si="223"/>
        <v>0.11727129565576427</v>
      </c>
      <c r="BH472" s="13" t="s">
        <v>841</v>
      </c>
      <c r="BI472" s="13"/>
      <c r="BJ472" s="13"/>
      <c r="BK472" s="8"/>
      <c r="BL472" s="8"/>
      <c r="BM472" s="18"/>
      <c r="BN472" s="8"/>
      <c r="BO472" s="24"/>
    </row>
    <row r="473" spans="1:69" s="14" customFormat="1" x14ac:dyDescent="0.3">
      <c r="A473" s="20">
        <v>471</v>
      </c>
      <c r="B473" s="2" t="s">
        <v>181</v>
      </c>
      <c r="C473" s="2">
        <v>2020</v>
      </c>
      <c r="D473" s="2" t="s">
        <v>203</v>
      </c>
      <c r="E473" s="10" t="s">
        <v>787</v>
      </c>
      <c r="F473" s="20" t="s">
        <v>29</v>
      </c>
      <c r="G473" s="2" t="s">
        <v>59</v>
      </c>
      <c r="H473" s="2" t="str">
        <f>'PFAS Properties'!$B$34</f>
        <v>PFNA</v>
      </c>
      <c r="I473" s="2" t="str">
        <f>'PFAS Properties'!$C$34</f>
        <v>PFCA</v>
      </c>
      <c r="J473" s="2" t="str">
        <f>'PFAS Properties'!$D$34</f>
        <v>C9HF17O2</v>
      </c>
      <c r="K473" s="25">
        <f>'PFAS Properties'!$P$34</f>
        <v>463.97039999999998</v>
      </c>
      <c r="L473" s="2">
        <f>'PFAS Properties'!$X$34</f>
        <v>-0.2</v>
      </c>
      <c r="M473" s="2" t="str">
        <f>'PFAS Properties'!$Y$34</f>
        <v>-</v>
      </c>
      <c r="N473" s="33">
        <v>0</v>
      </c>
      <c r="O473" s="33">
        <v>0</v>
      </c>
      <c r="P473" s="33">
        <v>0</v>
      </c>
      <c r="Q473" s="33">
        <f t="shared" si="225"/>
        <v>0.99999998741074603</v>
      </c>
      <c r="R473" s="33">
        <v>0</v>
      </c>
      <c r="S473" s="33">
        <f t="shared" si="226"/>
        <v>1.258925395945232E-8</v>
      </c>
      <c r="T473" s="8">
        <f t="shared" si="202"/>
        <v>1</v>
      </c>
      <c r="U473" s="33">
        <f t="shared" si="203"/>
        <v>0</v>
      </c>
      <c r="V473" s="33">
        <f t="shared" si="204"/>
        <v>-0.99999998741074603</v>
      </c>
      <c r="W473" s="33">
        <f t="shared" si="205"/>
        <v>462.97040001258921</v>
      </c>
      <c r="X473" s="33">
        <v>96485</v>
      </c>
      <c r="Y473" s="16">
        <f t="shared" si="206"/>
        <v>-208.40424956477173</v>
      </c>
      <c r="Z473" s="16">
        <v>9</v>
      </c>
      <c r="AA473" s="16">
        <v>17</v>
      </c>
      <c r="AB473" s="8">
        <f t="shared" si="207"/>
        <v>0.33436532507739936</v>
      </c>
      <c r="AC473" s="16">
        <f t="shared" si="222"/>
        <v>69.616510018742574</v>
      </c>
      <c r="AD473" s="20">
        <f>'PFAS Properties'!$W$34</f>
        <v>8</v>
      </c>
      <c r="AE473" s="8">
        <f>'PFAS Properties'!$S$34</f>
        <v>1.7965743332104296</v>
      </c>
      <c r="AF473" s="15">
        <f>'PFAS Properties'!$V$34</f>
        <v>5.6</v>
      </c>
      <c r="AG473" s="24">
        <v>7.7</v>
      </c>
      <c r="AH473" s="2" t="s">
        <v>183</v>
      </c>
      <c r="AI473" s="2" t="s">
        <v>661</v>
      </c>
      <c r="AJ473" s="2" t="s">
        <v>661</v>
      </c>
      <c r="AK473" s="2" t="s">
        <v>661</v>
      </c>
      <c r="AL473" s="2" t="s">
        <v>661</v>
      </c>
      <c r="AM473" s="2" t="s">
        <v>661</v>
      </c>
      <c r="AN473" s="2" t="s">
        <v>661</v>
      </c>
      <c r="AO473" s="2" t="s">
        <v>661</v>
      </c>
      <c r="AP473" s="15">
        <v>4.8</v>
      </c>
      <c r="AQ473" s="2" t="s">
        <v>661</v>
      </c>
      <c r="AR473" s="16">
        <v>46</v>
      </c>
      <c r="AS473" s="16">
        <v>37</v>
      </c>
      <c r="AT473" s="16">
        <v>17</v>
      </c>
      <c r="AU473" s="2" t="s">
        <v>661</v>
      </c>
      <c r="AV473" s="16">
        <f t="shared" si="215"/>
        <v>100</v>
      </c>
      <c r="AW473" s="20">
        <v>0.25</v>
      </c>
      <c r="AX473" s="13">
        <v>2.5000000000000001E-3</v>
      </c>
      <c r="AY473" s="13" t="s">
        <v>184</v>
      </c>
      <c r="AZ473" s="16">
        <v>100</v>
      </c>
      <c r="BA473" s="16" t="s">
        <v>55</v>
      </c>
      <c r="BB473" s="16">
        <v>5</v>
      </c>
      <c r="BC473" s="16" t="s">
        <v>55</v>
      </c>
      <c r="BD473" s="18">
        <v>2</v>
      </c>
      <c r="BE473" s="15">
        <f t="shared" si="217"/>
        <v>800</v>
      </c>
      <c r="BF473" s="8">
        <f t="shared" si="208"/>
        <v>2.9030899869919438</v>
      </c>
      <c r="BG473" s="8">
        <f t="shared" si="223"/>
        <v>0.3010299956639812</v>
      </c>
      <c r="BH473" s="13" t="s">
        <v>841</v>
      </c>
      <c r="BI473" s="13"/>
      <c r="BJ473" s="13"/>
      <c r="BK473" s="8"/>
      <c r="BL473" s="8"/>
      <c r="BM473" s="18"/>
      <c r="BN473" s="8"/>
      <c r="BO473" s="24"/>
    </row>
    <row r="474" spans="1:69" s="14" customFormat="1" x14ac:dyDescent="0.3">
      <c r="A474" s="20">
        <v>472</v>
      </c>
      <c r="B474" s="2" t="s">
        <v>181</v>
      </c>
      <c r="C474" s="2">
        <v>2020</v>
      </c>
      <c r="D474" s="2" t="s">
        <v>203</v>
      </c>
      <c r="E474" s="10" t="s">
        <v>787</v>
      </c>
      <c r="F474" s="20" t="s">
        <v>29</v>
      </c>
      <c r="G474" s="2" t="s">
        <v>61</v>
      </c>
      <c r="H474" s="2" t="str">
        <f>'PFAS Properties'!$B$34</f>
        <v>PFNA</v>
      </c>
      <c r="I474" s="2" t="str">
        <f>'PFAS Properties'!$C$34</f>
        <v>PFCA</v>
      </c>
      <c r="J474" s="2" t="str">
        <f>'PFAS Properties'!$D$34</f>
        <v>C9HF17O2</v>
      </c>
      <c r="K474" s="25">
        <f>'PFAS Properties'!$P$34</f>
        <v>463.97039999999998</v>
      </c>
      <c r="L474" s="2">
        <f>'PFAS Properties'!$X$34</f>
        <v>-0.2</v>
      </c>
      <c r="M474" s="2" t="str">
        <f>'PFAS Properties'!$Y$34</f>
        <v>-</v>
      </c>
      <c r="N474" s="33">
        <v>0</v>
      </c>
      <c r="O474" s="33">
        <v>0</v>
      </c>
      <c r="P474" s="33">
        <v>0</v>
      </c>
      <c r="Q474" s="33">
        <f t="shared" si="225"/>
        <v>0.99999997488113634</v>
      </c>
      <c r="R474" s="33">
        <v>0</v>
      </c>
      <c r="S474" s="33">
        <f t="shared" si="226"/>
        <v>2.5118863684138424E-8</v>
      </c>
      <c r="T474" s="8">
        <f t="shared" si="202"/>
        <v>1</v>
      </c>
      <c r="U474" s="33">
        <f t="shared" si="203"/>
        <v>0</v>
      </c>
      <c r="V474" s="33">
        <f t="shared" si="204"/>
        <v>-0.99999997488113634</v>
      </c>
      <c r="W474" s="33">
        <f t="shared" si="205"/>
        <v>462.97040002511886</v>
      </c>
      <c r="X474" s="33">
        <v>96485</v>
      </c>
      <c r="Y474" s="16">
        <f t="shared" si="206"/>
        <v>-208.40424694790761</v>
      </c>
      <c r="Z474" s="16">
        <v>9</v>
      </c>
      <c r="AA474" s="16">
        <v>17</v>
      </c>
      <c r="AB474" s="8">
        <f t="shared" si="207"/>
        <v>0.33436532507739936</v>
      </c>
      <c r="AC474" s="16">
        <f t="shared" si="222"/>
        <v>69.616510018742574</v>
      </c>
      <c r="AD474" s="20">
        <f>'PFAS Properties'!$W$34</f>
        <v>8</v>
      </c>
      <c r="AE474" s="8">
        <f>'PFAS Properties'!$S$34</f>
        <v>1.7965743332104296</v>
      </c>
      <c r="AF474" s="15">
        <f>'PFAS Properties'!$V$34</f>
        <v>5.6</v>
      </c>
      <c r="AG474" s="24">
        <v>7.4</v>
      </c>
      <c r="AH474" s="2" t="s">
        <v>183</v>
      </c>
      <c r="AI474" s="2" t="s">
        <v>661</v>
      </c>
      <c r="AJ474" s="2" t="s">
        <v>661</v>
      </c>
      <c r="AK474" s="2" t="s">
        <v>661</v>
      </c>
      <c r="AL474" s="2" t="s">
        <v>661</v>
      </c>
      <c r="AM474" s="2" t="s">
        <v>661</v>
      </c>
      <c r="AN474" s="2" t="s">
        <v>661</v>
      </c>
      <c r="AO474" s="2" t="s">
        <v>661</v>
      </c>
      <c r="AP474" s="15">
        <v>29.6</v>
      </c>
      <c r="AQ474" s="2" t="s">
        <v>661</v>
      </c>
      <c r="AR474" s="16">
        <v>39.799999999999997</v>
      </c>
      <c r="AS474" s="16">
        <v>7.7</v>
      </c>
      <c r="AT474" s="16">
        <v>52.5</v>
      </c>
      <c r="AU474" s="2" t="s">
        <v>661</v>
      </c>
      <c r="AV474" s="16">
        <f t="shared" si="215"/>
        <v>100</v>
      </c>
      <c r="AW474" s="20">
        <v>2.23</v>
      </c>
      <c r="AX474" s="13">
        <v>2.23E-2</v>
      </c>
      <c r="AY474" s="8" t="s">
        <v>184</v>
      </c>
      <c r="AZ474" s="16">
        <v>100</v>
      </c>
      <c r="BA474" s="16" t="s">
        <v>55</v>
      </c>
      <c r="BB474" s="16">
        <v>5</v>
      </c>
      <c r="BC474" s="16" t="s">
        <v>55</v>
      </c>
      <c r="BD474" s="18">
        <v>2.1</v>
      </c>
      <c r="BE474" s="15">
        <f t="shared" si="217"/>
        <v>94.170403587443943</v>
      </c>
      <c r="BF474" s="8">
        <f t="shared" si="208"/>
        <v>1.9739144316857586</v>
      </c>
      <c r="BG474" s="8">
        <f t="shared" si="223"/>
        <v>0.3222192947339193</v>
      </c>
      <c r="BH474" s="13" t="s">
        <v>841</v>
      </c>
      <c r="BI474" s="13"/>
      <c r="BJ474" s="13"/>
      <c r="BK474" s="8"/>
      <c r="BL474" s="8"/>
      <c r="BM474" s="18"/>
      <c r="BN474" s="8"/>
      <c r="BO474" s="24"/>
    </row>
    <row r="475" spans="1:69" s="14" customFormat="1" x14ac:dyDescent="0.3">
      <c r="A475" s="20">
        <v>473</v>
      </c>
      <c r="B475" s="2" t="s">
        <v>181</v>
      </c>
      <c r="C475" s="2">
        <v>2020</v>
      </c>
      <c r="D475" s="2" t="s">
        <v>203</v>
      </c>
      <c r="E475" s="10" t="s">
        <v>787</v>
      </c>
      <c r="F475" s="20" t="s">
        <v>29</v>
      </c>
      <c r="G475" s="2" t="s">
        <v>60</v>
      </c>
      <c r="H475" s="2" t="str">
        <f>'PFAS Properties'!$B$34</f>
        <v>PFNA</v>
      </c>
      <c r="I475" s="2" t="str">
        <f>'PFAS Properties'!$C$34</f>
        <v>PFCA</v>
      </c>
      <c r="J475" s="2" t="str">
        <f>'PFAS Properties'!$D$34</f>
        <v>C9HF17O2</v>
      </c>
      <c r="K475" s="25">
        <f>'PFAS Properties'!$P$34</f>
        <v>463.97039999999998</v>
      </c>
      <c r="L475" s="2">
        <f>'PFAS Properties'!$X$34</f>
        <v>-0.2</v>
      </c>
      <c r="M475" s="2" t="str">
        <f>'PFAS Properties'!$Y$34</f>
        <v>-</v>
      </c>
      <c r="N475" s="33">
        <v>0</v>
      </c>
      <c r="O475" s="33">
        <v>0</v>
      </c>
      <c r="P475" s="33">
        <v>0</v>
      </c>
      <c r="Q475" s="33">
        <f t="shared" si="225"/>
        <v>0.99999998741074603</v>
      </c>
      <c r="R475" s="33">
        <v>0</v>
      </c>
      <c r="S475" s="33">
        <f t="shared" si="226"/>
        <v>1.258925395945232E-8</v>
      </c>
      <c r="T475" s="8">
        <f t="shared" si="202"/>
        <v>1</v>
      </c>
      <c r="U475" s="33">
        <f t="shared" si="203"/>
        <v>0</v>
      </c>
      <c r="V475" s="33">
        <f t="shared" si="204"/>
        <v>-0.99999998741074603</v>
      </c>
      <c r="W475" s="33">
        <f t="shared" si="205"/>
        <v>462.97040001258921</v>
      </c>
      <c r="X475" s="33">
        <v>96485</v>
      </c>
      <c r="Y475" s="16">
        <f t="shared" si="206"/>
        <v>-208.40424956477173</v>
      </c>
      <c r="Z475" s="16">
        <v>9</v>
      </c>
      <c r="AA475" s="16">
        <v>17</v>
      </c>
      <c r="AB475" s="8">
        <f t="shared" si="207"/>
        <v>0.33436532507739936</v>
      </c>
      <c r="AC475" s="16">
        <f t="shared" si="222"/>
        <v>69.616510018742574</v>
      </c>
      <c r="AD475" s="20">
        <f>'PFAS Properties'!$W$34</f>
        <v>8</v>
      </c>
      <c r="AE475" s="8">
        <f>'PFAS Properties'!$S$34</f>
        <v>1.7965743332104296</v>
      </c>
      <c r="AF475" s="15">
        <f>'PFAS Properties'!$V$34</f>
        <v>5.6</v>
      </c>
      <c r="AG475" s="24">
        <v>7.7</v>
      </c>
      <c r="AH475" s="2" t="s">
        <v>183</v>
      </c>
      <c r="AI475" s="2" t="s">
        <v>661</v>
      </c>
      <c r="AJ475" s="2" t="s">
        <v>661</v>
      </c>
      <c r="AK475" s="2" t="s">
        <v>661</v>
      </c>
      <c r="AL475" s="2" t="s">
        <v>661</v>
      </c>
      <c r="AM475" s="2" t="s">
        <v>661</v>
      </c>
      <c r="AN475" s="2" t="s">
        <v>661</v>
      </c>
      <c r="AO475" s="2" t="s">
        <v>661</v>
      </c>
      <c r="AP475" s="15">
        <v>21.63</v>
      </c>
      <c r="AQ475" s="2" t="s">
        <v>661</v>
      </c>
      <c r="AR475" s="16">
        <v>70</v>
      </c>
      <c r="AS475" s="16">
        <v>11</v>
      </c>
      <c r="AT475" s="16">
        <v>19</v>
      </c>
      <c r="AU475" s="2" t="s">
        <v>661</v>
      </c>
      <c r="AV475" s="16">
        <f t="shared" si="215"/>
        <v>100</v>
      </c>
      <c r="AW475" s="20">
        <v>4.9000000000000004</v>
      </c>
      <c r="AX475" s="13">
        <v>4.9000000000000002E-2</v>
      </c>
      <c r="AY475" s="8" t="s">
        <v>184</v>
      </c>
      <c r="AZ475" s="16">
        <v>100</v>
      </c>
      <c r="BA475" s="16" t="s">
        <v>55</v>
      </c>
      <c r="BB475" s="16">
        <v>5</v>
      </c>
      <c r="BC475" s="16" t="s">
        <v>55</v>
      </c>
      <c r="BD475" s="18">
        <v>10.69</v>
      </c>
      <c r="BE475" s="15">
        <f t="shared" si="217"/>
        <v>218.16326530612244</v>
      </c>
      <c r="BF475" s="8">
        <f t="shared" si="208"/>
        <v>2.3387816251802644</v>
      </c>
      <c r="BG475" s="8">
        <f t="shared" si="223"/>
        <v>1.0289777052087781</v>
      </c>
      <c r="BH475" s="13" t="s">
        <v>841</v>
      </c>
      <c r="BI475" s="13"/>
      <c r="BJ475" s="13"/>
      <c r="BK475" s="8"/>
      <c r="BL475" s="8"/>
      <c r="BM475" s="18"/>
      <c r="BN475" s="8"/>
      <c r="BO475" s="24"/>
    </row>
    <row r="476" spans="1:69" s="14" customFormat="1" x14ac:dyDescent="0.3">
      <c r="A476" s="20">
        <v>474</v>
      </c>
      <c r="B476" s="2" t="s">
        <v>181</v>
      </c>
      <c r="C476" s="2">
        <v>2020</v>
      </c>
      <c r="D476" s="2" t="s">
        <v>203</v>
      </c>
      <c r="E476" s="10" t="s">
        <v>787</v>
      </c>
      <c r="F476" s="20" t="s">
        <v>29</v>
      </c>
      <c r="G476" s="2" t="s">
        <v>77</v>
      </c>
      <c r="H476" s="2" t="str">
        <f>'PFAS Properties'!$B$34</f>
        <v>PFNA</v>
      </c>
      <c r="I476" s="2" t="str">
        <f>'PFAS Properties'!$C$34</f>
        <v>PFCA</v>
      </c>
      <c r="J476" s="2" t="str">
        <f>'PFAS Properties'!$D$34</f>
        <v>C9HF17O2</v>
      </c>
      <c r="K476" s="25">
        <f>'PFAS Properties'!$P$34</f>
        <v>463.97039999999998</v>
      </c>
      <c r="L476" s="2">
        <f>'PFAS Properties'!$X$34</f>
        <v>-0.2</v>
      </c>
      <c r="M476" s="2" t="str">
        <f>'PFAS Properties'!$Y$34</f>
        <v>-</v>
      </c>
      <c r="N476" s="33">
        <v>0</v>
      </c>
      <c r="O476" s="33">
        <v>0</v>
      </c>
      <c r="P476" s="33">
        <v>0</v>
      </c>
      <c r="Q476" s="33">
        <f t="shared" si="225"/>
        <v>0.99999998741074603</v>
      </c>
      <c r="R476" s="33">
        <v>0</v>
      </c>
      <c r="S476" s="33">
        <f t="shared" si="226"/>
        <v>1.258925395945232E-8</v>
      </c>
      <c r="T476" s="8">
        <f t="shared" ref="T476:T539" si="227">SUM(N476:S476)</f>
        <v>1</v>
      </c>
      <c r="U476" s="33">
        <f t="shared" ref="U476:U539" si="228">((1*N476)+(1*O476)+(1*P476))</f>
        <v>0</v>
      </c>
      <c r="V476" s="33">
        <f t="shared" ref="V476:V539" si="229">-((1*O476)+(2*P476)+(1*Q476)+(2*R476))</f>
        <v>-0.99999998741074603</v>
      </c>
      <c r="W476" s="33">
        <f t="shared" ref="W476:W539" si="230">(N476*(K476+1))+(O476*K476)+(P476*(K476-1))+(Q476*(K476-1))+(R476*(K476-2))+(S476*K476)</f>
        <v>462.97040001258921</v>
      </c>
      <c r="X476" s="33">
        <v>96485</v>
      </c>
      <c r="Y476" s="16">
        <f t="shared" ref="Y476:Y539" si="231">((V476+U476)/W476)*X476</f>
        <v>-208.40424956477173</v>
      </c>
      <c r="Z476" s="16">
        <v>9</v>
      </c>
      <c r="AA476" s="16">
        <v>17</v>
      </c>
      <c r="AB476" s="8">
        <f t="shared" ref="AB476:AB539" si="232">(Z476/AA476)*(12/19)</f>
        <v>0.33436532507739936</v>
      </c>
      <c r="AC476" s="16">
        <f t="shared" si="222"/>
        <v>69.616510018742574</v>
      </c>
      <c r="AD476" s="20">
        <f>'PFAS Properties'!$W$34</f>
        <v>8</v>
      </c>
      <c r="AE476" s="8">
        <f>'PFAS Properties'!$S$34</f>
        <v>1.7965743332104296</v>
      </c>
      <c r="AF476" s="15">
        <f>'PFAS Properties'!$V$34</f>
        <v>5.6</v>
      </c>
      <c r="AG476" s="24">
        <v>7.7</v>
      </c>
      <c r="AH476" s="2" t="s">
        <v>183</v>
      </c>
      <c r="AI476" s="2" t="s">
        <v>661</v>
      </c>
      <c r="AJ476" s="2" t="s">
        <v>661</v>
      </c>
      <c r="AK476" s="2" t="s">
        <v>661</v>
      </c>
      <c r="AL476" s="2" t="s">
        <v>661</v>
      </c>
      <c r="AM476" s="2" t="s">
        <v>661</v>
      </c>
      <c r="AN476" s="2" t="s">
        <v>661</v>
      </c>
      <c r="AO476" s="2" t="s">
        <v>661</v>
      </c>
      <c r="AP476" s="15">
        <v>7.8</v>
      </c>
      <c r="AQ476" s="2" t="s">
        <v>661</v>
      </c>
      <c r="AR476" s="16">
        <v>48.9</v>
      </c>
      <c r="AS476" s="16">
        <v>32.6</v>
      </c>
      <c r="AT476" s="16">
        <v>18.5</v>
      </c>
      <c r="AU476" s="2" t="s">
        <v>661</v>
      </c>
      <c r="AV476" s="16">
        <f t="shared" si="215"/>
        <v>100</v>
      </c>
      <c r="AW476" s="20">
        <v>0.13</v>
      </c>
      <c r="AX476" s="13">
        <v>1.2999999999999999E-3</v>
      </c>
      <c r="AY476" s="8" t="s">
        <v>184</v>
      </c>
      <c r="AZ476" s="16">
        <v>100</v>
      </c>
      <c r="BA476" s="16" t="s">
        <v>55</v>
      </c>
      <c r="BB476" s="16">
        <v>5</v>
      </c>
      <c r="BC476" s="16" t="s">
        <v>55</v>
      </c>
      <c r="BD476" s="18">
        <v>1.77</v>
      </c>
      <c r="BE476" s="15">
        <f t="shared" si="217"/>
        <v>1361.5384615384617</v>
      </c>
      <c r="BF476" s="8">
        <f t="shared" ref="BF476:BF539" si="233">LOG(BE476)</f>
        <v>3.1340299140549699</v>
      </c>
      <c r="BG476" s="8">
        <f t="shared" si="223"/>
        <v>0.24797326636180664</v>
      </c>
      <c r="BH476" s="13" t="s">
        <v>841</v>
      </c>
      <c r="BI476" s="13"/>
      <c r="BJ476" s="13"/>
      <c r="BK476" s="8"/>
      <c r="BL476" s="8"/>
      <c r="BM476" s="18"/>
      <c r="BN476" s="8"/>
      <c r="BO476" s="24"/>
    </row>
    <row r="477" spans="1:69" s="14" customFormat="1" x14ac:dyDescent="0.3">
      <c r="A477" s="20">
        <v>475</v>
      </c>
      <c r="B477" s="2" t="s">
        <v>181</v>
      </c>
      <c r="C477" s="2">
        <v>2020</v>
      </c>
      <c r="D477" s="2" t="s">
        <v>203</v>
      </c>
      <c r="E477" s="10" t="s">
        <v>787</v>
      </c>
      <c r="F477" s="20" t="s">
        <v>29</v>
      </c>
      <c r="G477" s="2" t="s">
        <v>182</v>
      </c>
      <c r="H477" s="2" t="str">
        <f>'PFAS Properties'!$B$34</f>
        <v>PFNA</v>
      </c>
      <c r="I477" s="2" t="str">
        <f>'PFAS Properties'!$C$34</f>
        <v>PFCA</v>
      </c>
      <c r="J477" s="2" t="str">
        <f>'PFAS Properties'!$D$34</f>
        <v>C9HF17O2</v>
      </c>
      <c r="K477" s="25">
        <f>'PFAS Properties'!$P$34</f>
        <v>463.97039999999998</v>
      </c>
      <c r="L477" s="2">
        <f>'PFAS Properties'!$X$34</f>
        <v>-0.2</v>
      </c>
      <c r="M477" s="2" t="str">
        <f>'PFAS Properties'!$Y$34</f>
        <v>-</v>
      </c>
      <c r="N477" s="33">
        <v>0</v>
      </c>
      <c r="O477" s="33">
        <v>0</v>
      </c>
      <c r="P477" s="33">
        <v>0</v>
      </c>
      <c r="Q477" s="33">
        <f t="shared" si="225"/>
        <v>0.99999998004737722</v>
      </c>
      <c r="R477" s="33">
        <v>0</v>
      </c>
      <c r="S477" s="33">
        <f t="shared" si="226"/>
        <v>1.995262275158161E-8</v>
      </c>
      <c r="T477" s="8">
        <f t="shared" si="227"/>
        <v>1</v>
      </c>
      <c r="U477" s="33">
        <f t="shared" si="228"/>
        <v>0</v>
      </c>
      <c r="V477" s="33">
        <f t="shared" si="229"/>
        <v>-0.99999998004737722</v>
      </c>
      <c r="W477" s="33">
        <f t="shared" si="230"/>
        <v>462.97040001995259</v>
      </c>
      <c r="X477" s="33">
        <v>96485</v>
      </c>
      <c r="Y477" s="16">
        <f t="shared" si="231"/>
        <v>-208.40424802689972</v>
      </c>
      <c r="Z477" s="16">
        <v>9</v>
      </c>
      <c r="AA477" s="16">
        <v>17</v>
      </c>
      <c r="AB477" s="8">
        <f t="shared" si="232"/>
        <v>0.33436532507739936</v>
      </c>
      <c r="AC477" s="16">
        <f t="shared" si="222"/>
        <v>69.616510018742574</v>
      </c>
      <c r="AD477" s="20">
        <f>'PFAS Properties'!$W$34</f>
        <v>8</v>
      </c>
      <c r="AE477" s="8">
        <f>'PFAS Properties'!$S$34</f>
        <v>1.7965743332104296</v>
      </c>
      <c r="AF477" s="15">
        <f>'PFAS Properties'!$V$34</f>
        <v>5.6</v>
      </c>
      <c r="AG477" s="24">
        <v>7.5</v>
      </c>
      <c r="AH477" s="2" t="s">
        <v>183</v>
      </c>
      <c r="AI477" s="2" t="s">
        <v>661</v>
      </c>
      <c r="AJ477" s="2" t="s">
        <v>661</v>
      </c>
      <c r="AK477" s="2" t="s">
        <v>661</v>
      </c>
      <c r="AL477" s="2" t="s">
        <v>661</v>
      </c>
      <c r="AM477" s="2" t="s">
        <v>661</v>
      </c>
      <c r="AN477" s="2" t="s">
        <v>661</v>
      </c>
      <c r="AO477" s="2" t="s">
        <v>661</v>
      </c>
      <c r="AP477" s="15">
        <v>2.2799999999999998</v>
      </c>
      <c r="AQ477" s="2" t="s">
        <v>661</v>
      </c>
      <c r="AR477" s="16">
        <v>93</v>
      </c>
      <c r="AS477" s="16">
        <v>1</v>
      </c>
      <c r="AT477" s="16">
        <v>5</v>
      </c>
      <c r="AU477" s="2" t="s">
        <v>661</v>
      </c>
      <c r="AV477" s="16">
        <f t="shared" si="215"/>
        <v>99</v>
      </c>
      <c r="AW477" s="20">
        <v>0.4</v>
      </c>
      <c r="AX477" s="13">
        <v>4.0000000000000001E-3</v>
      </c>
      <c r="AY477" s="8" t="s">
        <v>184</v>
      </c>
      <c r="AZ477" s="16">
        <v>100</v>
      </c>
      <c r="BA477" s="16" t="s">
        <v>55</v>
      </c>
      <c r="BB477" s="16">
        <v>5</v>
      </c>
      <c r="BC477" s="16" t="s">
        <v>55</v>
      </c>
      <c r="BD477" s="18">
        <v>1.27</v>
      </c>
      <c r="BE477" s="15">
        <f t="shared" si="217"/>
        <v>317.5</v>
      </c>
      <c r="BF477" s="8">
        <f t="shared" si="233"/>
        <v>2.5017437296279943</v>
      </c>
      <c r="BG477" s="8">
        <f t="shared" si="223"/>
        <v>0.10380372095595687</v>
      </c>
      <c r="BH477" s="13" t="s">
        <v>841</v>
      </c>
      <c r="BI477" s="13"/>
      <c r="BJ477" s="13"/>
      <c r="BK477" s="8"/>
      <c r="BL477" s="8"/>
      <c r="BM477" s="18"/>
      <c r="BN477" s="8"/>
      <c r="BO477" s="24"/>
    </row>
    <row r="478" spans="1:69" s="14" customFormat="1" x14ac:dyDescent="0.3">
      <c r="A478" s="20">
        <v>476</v>
      </c>
      <c r="B478" s="2" t="s">
        <v>181</v>
      </c>
      <c r="C478" s="2">
        <v>2020</v>
      </c>
      <c r="D478" s="2" t="s">
        <v>203</v>
      </c>
      <c r="E478" s="10" t="s">
        <v>787</v>
      </c>
      <c r="F478" s="20" t="s">
        <v>29</v>
      </c>
      <c r="G478" s="2" t="s">
        <v>78</v>
      </c>
      <c r="H478" s="2" t="str">
        <f>'PFAS Properties'!$B$34</f>
        <v>PFNA</v>
      </c>
      <c r="I478" s="2" t="str">
        <f>'PFAS Properties'!$C$34</f>
        <v>PFCA</v>
      </c>
      <c r="J478" s="2" t="str">
        <f>'PFAS Properties'!$D$34</f>
        <v>C9HF17O2</v>
      </c>
      <c r="K478" s="25">
        <f>'PFAS Properties'!$P$34</f>
        <v>463.97039999999998</v>
      </c>
      <c r="L478" s="2">
        <f>'PFAS Properties'!$X$34</f>
        <v>-0.2</v>
      </c>
      <c r="M478" s="2" t="str">
        <f>'PFAS Properties'!$Y$34</f>
        <v>-</v>
      </c>
      <c r="N478" s="33">
        <v>0</v>
      </c>
      <c r="O478" s="33">
        <v>0</v>
      </c>
      <c r="P478" s="33">
        <v>0</v>
      </c>
      <c r="Q478" s="33">
        <f t="shared" si="225"/>
        <v>0.99999994988127916</v>
      </c>
      <c r="R478" s="33">
        <v>0</v>
      </c>
      <c r="S478" s="33">
        <f t="shared" si="226"/>
        <v>5.011872085084086E-8</v>
      </c>
      <c r="T478" s="8">
        <f t="shared" si="227"/>
        <v>1</v>
      </c>
      <c r="U478" s="33">
        <f t="shared" si="228"/>
        <v>0</v>
      </c>
      <c r="V478" s="33">
        <f t="shared" si="229"/>
        <v>-0.99999994988127916</v>
      </c>
      <c r="W478" s="33">
        <f t="shared" si="230"/>
        <v>462.97040005011866</v>
      </c>
      <c r="X478" s="33">
        <v>96485</v>
      </c>
      <c r="Y478" s="16">
        <f t="shared" si="231"/>
        <v>-208.40424172657751</v>
      </c>
      <c r="Z478" s="16">
        <v>9</v>
      </c>
      <c r="AA478" s="16">
        <v>17</v>
      </c>
      <c r="AB478" s="8">
        <f t="shared" si="232"/>
        <v>0.33436532507739936</v>
      </c>
      <c r="AC478" s="16">
        <f t="shared" si="222"/>
        <v>69.616510018742574</v>
      </c>
      <c r="AD478" s="20">
        <f>'PFAS Properties'!$W$34</f>
        <v>8</v>
      </c>
      <c r="AE478" s="8">
        <f>'PFAS Properties'!$S$34</f>
        <v>1.7965743332104296</v>
      </c>
      <c r="AF478" s="15">
        <f>'PFAS Properties'!$V$34</f>
        <v>5.6</v>
      </c>
      <c r="AG478" s="24">
        <v>7.1</v>
      </c>
      <c r="AH478" s="2" t="s">
        <v>183</v>
      </c>
      <c r="AI478" s="2" t="s">
        <v>661</v>
      </c>
      <c r="AJ478" s="2" t="s">
        <v>661</v>
      </c>
      <c r="AK478" s="2" t="s">
        <v>661</v>
      </c>
      <c r="AL478" s="2" t="s">
        <v>661</v>
      </c>
      <c r="AM478" s="2" t="s">
        <v>661</v>
      </c>
      <c r="AN478" s="2" t="s">
        <v>661</v>
      </c>
      <c r="AO478" s="2" t="s">
        <v>661</v>
      </c>
      <c r="AP478" s="15">
        <v>17.420000000000002</v>
      </c>
      <c r="AQ478" s="2" t="s">
        <v>661</v>
      </c>
      <c r="AR478" s="16">
        <v>48.86</v>
      </c>
      <c r="AS478" s="16">
        <v>16.05</v>
      </c>
      <c r="AT478" s="16">
        <v>35.090000000000003</v>
      </c>
      <c r="AU478" s="2" t="s">
        <v>661</v>
      </c>
      <c r="AV478" s="16">
        <f t="shared" si="215"/>
        <v>100</v>
      </c>
      <c r="AW478" s="20">
        <v>1.19</v>
      </c>
      <c r="AX478" s="13">
        <v>1.1899999999999999E-2</v>
      </c>
      <c r="AY478" s="8" t="s">
        <v>184</v>
      </c>
      <c r="AZ478" s="16">
        <v>100</v>
      </c>
      <c r="BA478" s="16" t="s">
        <v>55</v>
      </c>
      <c r="BB478" s="16">
        <v>5</v>
      </c>
      <c r="BC478" s="16" t="s">
        <v>55</v>
      </c>
      <c r="BD478" s="18">
        <v>4.29</v>
      </c>
      <c r="BE478" s="15">
        <f t="shared" si="217"/>
        <v>360.50420168067228</v>
      </c>
      <c r="BF478" s="8">
        <f t="shared" si="233"/>
        <v>2.5569103307921934</v>
      </c>
      <c r="BG478" s="8">
        <f t="shared" si="223"/>
        <v>0.63245729218472424</v>
      </c>
      <c r="BH478" s="13" t="s">
        <v>841</v>
      </c>
      <c r="BI478" s="13"/>
      <c r="BJ478" s="13"/>
      <c r="BK478" s="8"/>
      <c r="BL478" s="8"/>
      <c r="BM478" s="18"/>
      <c r="BN478" s="8"/>
      <c r="BO478" s="24"/>
    </row>
    <row r="479" spans="1:69" s="14" customFormat="1" x14ac:dyDescent="0.3">
      <c r="A479" s="20">
        <v>477</v>
      </c>
      <c r="B479" s="2" t="s">
        <v>181</v>
      </c>
      <c r="C479" s="2">
        <v>2020</v>
      </c>
      <c r="D479" s="2" t="s">
        <v>203</v>
      </c>
      <c r="E479" s="10" t="s">
        <v>787</v>
      </c>
      <c r="F479" s="20" t="s">
        <v>29</v>
      </c>
      <c r="G479" s="2" t="s">
        <v>98</v>
      </c>
      <c r="H479" s="2" t="str">
        <f>'PFAS Properties'!$B$34</f>
        <v>PFNA</v>
      </c>
      <c r="I479" s="2" t="str">
        <f>'PFAS Properties'!$C$34</f>
        <v>PFCA</v>
      </c>
      <c r="J479" s="2" t="str">
        <f>'PFAS Properties'!$D$34</f>
        <v>C9HF17O2</v>
      </c>
      <c r="K479" s="25">
        <f>'PFAS Properties'!$P$34</f>
        <v>463.97039999999998</v>
      </c>
      <c r="L479" s="2">
        <f>'PFAS Properties'!$X$34</f>
        <v>-0.2</v>
      </c>
      <c r="M479" s="2" t="str">
        <f>'PFAS Properties'!$Y$34</f>
        <v>-</v>
      </c>
      <c r="N479" s="33">
        <v>0</v>
      </c>
      <c r="O479" s="33">
        <v>0</v>
      </c>
      <c r="P479" s="33">
        <v>0</v>
      </c>
      <c r="Q479" s="33">
        <f t="shared" si="225"/>
        <v>0.99999974881141995</v>
      </c>
      <c r="R479" s="33">
        <v>0</v>
      </c>
      <c r="S479" s="33">
        <f t="shared" si="226"/>
        <v>2.5118858005523878E-7</v>
      </c>
      <c r="T479" s="8">
        <f t="shared" si="227"/>
        <v>1</v>
      </c>
      <c r="U479" s="33">
        <f t="shared" si="228"/>
        <v>0</v>
      </c>
      <c r="V479" s="33">
        <f t="shared" si="229"/>
        <v>-0.99999974881141995</v>
      </c>
      <c r="W479" s="33">
        <f t="shared" si="230"/>
        <v>462.97040025118855</v>
      </c>
      <c r="X479" s="33">
        <v>96485</v>
      </c>
      <c r="Y479" s="16">
        <f t="shared" si="231"/>
        <v>-208.40419973225309</v>
      </c>
      <c r="Z479" s="16">
        <v>9</v>
      </c>
      <c r="AA479" s="16">
        <v>17</v>
      </c>
      <c r="AB479" s="8">
        <f t="shared" si="232"/>
        <v>0.33436532507739936</v>
      </c>
      <c r="AC479" s="16">
        <f t="shared" si="222"/>
        <v>69.616510018742574</v>
      </c>
      <c r="AD479" s="20">
        <f>'PFAS Properties'!$W$34</f>
        <v>8</v>
      </c>
      <c r="AE479" s="8">
        <f>'PFAS Properties'!$S$34</f>
        <v>1.7965743332104296</v>
      </c>
      <c r="AF479" s="15">
        <f>'PFAS Properties'!$V$34</f>
        <v>5.6</v>
      </c>
      <c r="AG479" s="24">
        <v>6.4</v>
      </c>
      <c r="AH479" s="2" t="s">
        <v>183</v>
      </c>
      <c r="AI479" s="2" t="s">
        <v>661</v>
      </c>
      <c r="AJ479" s="2" t="s">
        <v>661</v>
      </c>
      <c r="AK479" s="2" t="s">
        <v>661</v>
      </c>
      <c r="AL479" s="2" t="s">
        <v>661</v>
      </c>
      <c r="AM479" s="2" t="s">
        <v>661</v>
      </c>
      <c r="AN479" s="2" t="s">
        <v>661</v>
      </c>
      <c r="AO479" s="2" t="s">
        <v>661</v>
      </c>
      <c r="AP479" s="15">
        <v>16.54</v>
      </c>
      <c r="AQ479" s="2" t="s">
        <v>661</v>
      </c>
      <c r="AR479" s="16">
        <v>29.38</v>
      </c>
      <c r="AS479" s="16">
        <v>13.9</v>
      </c>
      <c r="AT479" s="16">
        <v>56.71</v>
      </c>
      <c r="AU479" s="2" t="s">
        <v>661</v>
      </c>
      <c r="AV479" s="16">
        <f t="shared" si="215"/>
        <v>99.990000000000009</v>
      </c>
      <c r="AW479" s="20">
        <v>0.17</v>
      </c>
      <c r="AX479" s="13">
        <v>1.7000000000000001E-3</v>
      </c>
      <c r="AY479" s="8" t="s">
        <v>184</v>
      </c>
      <c r="AZ479" s="16">
        <v>100</v>
      </c>
      <c r="BA479" s="16" t="s">
        <v>55</v>
      </c>
      <c r="BB479" s="16">
        <v>5</v>
      </c>
      <c r="BC479" s="16" t="s">
        <v>55</v>
      </c>
      <c r="BD479" s="18">
        <v>2.46</v>
      </c>
      <c r="BE479" s="15">
        <f t="shared" si="217"/>
        <v>1447.0588235294117</v>
      </c>
      <c r="BF479" s="8">
        <f t="shared" si="233"/>
        <v>3.1604861857251052</v>
      </c>
      <c r="BG479" s="8">
        <f t="shared" si="223"/>
        <v>0.39093510710337914</v>
      </c>
      <c r="BH479" s="13" t="s">
        <v>841</v>
      </c>
      <c r="BI479" s="13"/>
      <c r="BJ479" s="13"/>
      <c r="BK479" s="8"/>
      <c r="BL479" s="8"/>
      <c r="BM479" s="18"/>
      <c r="BN479" s="8"/>
      <c r="BO479" s="24"/>
    </row>
    <row r="480" spans="1:69" s="94" customFormat="1" x14ac:dyDescent="0.3">
      <c r="A480" s="83">
        <v>478</v>
      </c>
      <c r="B480" s="84" t="s">
        <v>195</v>
      </c>
      <c r="C480" s="84">
        <v>2018</v>
      </c>
      <c r="D480" s="84" t="s">
        <v>199</v>
      </c>
      <c r="E480" s="85" t="s">
        <v>795</v>
      </c>
      <c r="F480" s="83" t="s">
        <v>29</v>
      </c>
      <c r="G480" s="84" t="s">
        <v>47</v>
      </c>
      <c r="H480" s="84" t="str">
        <f>'PFAS Properties'!$B$34</f>
        <v>PFNA</v>
      </c>
      <c r="I480" s="84" t="str">
        <f>'PFAS Properties'!$C$34</f>
        <v>PFCA</v>
      </c>
      <c r="J480" s="84" t="str">
        <f>'PFAS Properties'!$D$34</f>
        <v>C9HF17O2</v>
      </c>
      <c r="K480" s="99">
        <f>'PFAS Properties'!$P$34</f>
        <v>463.97039999999998</v>
      </c>
      <c r="L480" s="84">
        <f>'PFAS Properties'!$X$34</f>
        <v>-0.2</v>
      </c>
      <c r="M480" s="84" t="str">
        <f>'PFAS Properties'!$Y$34</f>
        <v>-</v>
      </c>
      <c r="N480" s="87">
        <v>0</v>
      </c>
      <c r="O480" s="87">
        <v>0</v>
      </c>
      <c r="P480" s="87">
        <v>0</v>
      </c>
      <c r="Q480" s="87">
        <f t="shared" si="225"/>
        <v>0.99998004777494953</v>
      </c>
      <c r="R480" s="87">
        <v>0</v>
      </c>
      <c r="S480" s="87">
        <f t="shared" si="226"/>
        <v>1.9952225050461341E-5</v>
      </c>
      <c r="T480" s="88">
        <f t="shared" si="227"/>
        <v>1</v>
      </c>
      <c r="U480" s="87">
        <f t="shared" si="228"/>
        <v>0</v>
      </c>
      <c r="V480" s="87">
        <f t="shared" si="229"/>
        <v>-0.99998004777494953</v>
      </c>
      <c r="W480" s="87">
        <f t="shared" si="230"/>
        <v>462.97041995222503</v>
      </c>
      <c r="X480" s="87">
        <v>96485</v>
      </c>
      <c r="Y480" s="89">
        <f t="shared" si="231"/>
        <v>-208.40008508431774</v>
      </c>
      <c r="Z480" s="89">
        <v>9</v>
      </c>
      <c r="AA480" s="89">
        <v>17</v>
      </c>
      <c r="AB480" s="88">
        <f t="shared" si="232"/>
        <v>0.33436532507739936</v>
      </c>
      <c r="AC480" s="89">
        <f t="shared" si="222"/>
        <v>69.616510018742574</v>
      </c>
      <c r="AD480" s="83">
        <f>'PFAS Properties'!$W$34</f>
        <v>8</v>
      </c>
      <c r="AE480" s="88">
        <f>'PFAS Properties'!$S$34</f>
        <v>1.7965743332104296</v>
      </c>
      <c r="AF480" s="90">
        <f>'PFAS Properties'!$V$34</f>
        <v>5.6</v>
      </c>
      <c r="AG480" s="93">
        <v>4.5</v>
      </c>
      <c r="AH480" s="84" t="s">
        <v>658</v>
      </c>
      <c r="AI480" s="88">
        <f>AJ480*55.845/1000</f>
        <v>5.8637250000000002E-2</v>
      </c>
      <c r="AJ480" s="89">
        <v>1.05</v>
      </c>
      <c r="AK480" s="88">
        <f t="shared" ref="AK480:AK511" si="234">AI480/10</f>
        <v>5.8637250000000002E-3</v>
      </c>
      <c r="AL480" s="90">
        <f>AM480*26.98/1000</f>
        <v>0.18454320000000002</v>
      </c>
      <c r="AM480" s="89">
        <v>6.84</v>
      </c>
      <c r="AN480" s="88">
        <f t="shared" ref="AN480:AN511" si="235">AL480/10</f>
        <v>1.8454320000000003E-2</v>
      </c>
      <c r="AO480" s="84" t="s">
        <v>48</v>
      </c>
      <c r="AP480" s="92">
        <v>21.496500000000001</v>
      </c>
      <c r="AQ480" s="84" t="s">
        <v>752</v>
      </c>
      <c r="AR480" s="96">
        <v>41.737499999999997</v>
      </c>
      <c r="AS480" s="96">
        <v>35.036999999999999</v>
      </c>
      <c r="AT480" s="96">
        <v>21.971</v>
      </c>
      <c r="AU480" s="84" t="s">
        <v>752</v>
      </c>
      <c r="AV480" s="89">
        <f t="shared" si="215"/>
        <v>98.745499999999993</v>
      </c>
      <c r="AW480" s="83">
        <v>45</v>
      </c>
      <c r="AX480" s="91">
        <f t="shared" ref="AX480:AX525" si="236">AW480/100</f>
        <v>0.45</v>
      </c>
      <c r="AY480" s="88" t="s">
        <v>49</v>
      </c>
      <c r="AZ480" s="89">
        <f>0.45/0.04</f>
        <v>11.25</v>
      </c>
      <c r="BA480" s="89" t="s">
        <v>55</v>
      </c>
      <c r="BB480" s="88">
        <v>1.25</v>
      </c>
      <c r="BC480" s="88" t="s">
        <v>55</v>
      </c>
      <c r="BD480" s="99">
        <f>(10^(2.9)*AX480)</f>
        <v>357.44770562592697</v>
      </c>
      <c r="BE480" s="90">
        <f t="shared" si="217"/>
        <v>794.32823472428208</v>
      </c>
      <c r="BF480" s="88">
        <f t="shared" si="233"/>
        <v>2.9000000000000004</v>
      </c>
      <c r="BG480" s="88">
        <f t="shared" si="223"/>
        <v>2.5532125137753439</v>
      </c>
      <c r="BH480" s="84" t="s">
        <v>822</v>
      </c>
      <c r="BI480" s="91"/>
      <c r="BJ480" s="91"/>
      <c r="BK480" s="91"/>
      <c r="BL480" s="97"/>
      <c r="BM480" s="97"/>
      <c r="BN480" s="91"/>
      <c r="BO480" s="84"/>
    </row>
    <row r="481" spans="1:67" s="14" customFormat="1" x14ac:dyDescent="0.3">
      <c r="A481" s="20">
        <v>479</v>
      </c>
      <c r="B481" s="2" t="s">
        <v>200</v>
      </c>
      <c r="C481" s="2">
        <v>2021</v>
      </c>
      <c r="D481" s="2" t="s">
        <v>201</v>
      </c>
      <c r="E481" s="10" t="s">
        <v>794</v>
      </c>
      <c r="F481" s="20" t="s">
        <v>29</v>
      </c>
      <c r="G481" s="2" t="s">
        <v>30</v>
      </c>
      <c r="H481" s="2" t="str">
        <f>'PFAS Properties'!$B$34</f>
        <v>PFNA</v>
      </c>
      <c r="I481" s="2" t="str">
        <f>'PFAS Properties'!$C$34</f>
        <v>PFCA</v>
      </c>
      <c r="J481" s="2" t="str">
        <f>'PFAS Properties'!$D$34</f>
        <v>C9HF17O2</v>
      </c>
      <c r="K481" s="25">
        <f>'PFAS Properties'!$P$34</f>
        <v>463.97039999999998</v>
      </c>
      <c r="L481" s="2">
        <f>'PFAS Properties'!$X$34</f>
        <v>-0.2</v>
      </c>
      <c r="M481" s="2" t="str">
        <f>'PFAS Properties'!$Y$34</f>
        <v>-</v>
      </c>
      <c r="N481" s="33">
        <v>0</v>
      </c>
      <c r="O481" s="33">
        <v>0</v>
      </c>
      <c r="P481" s="33">
        <v>0</v>
      </c>
      <c r="Q481" s="33">
        <f t="shared" si="225"/>
        <v>0.99999800474166611</v>
      </c>
      <c r="R481" s="33">
        <v>0</v>
      </c>
      <c r="S481" s="33">
        <f t="shared" si="226"/>
        <v>1.9952583339051124E-6</v>
      </c>
      <c r="T481" s="8">
        <f t="shared" si="227"/>
        <v>1</v>
      </c>
      <c r="U481" s="33">
        <f t="shared" si="228"/>
        <v>0</v>
      </c>
      <c r="V481" s="33">
        <f t="shared" si="229"/>
        <v>-0.99999800474166611</v>
      </c>
      <c r="W481" s="33">
        <f t="shared" si="230"/>
        <v>462.97040199525833</v>
      </c>
      <c r="X481" s="33">
        <v>96485</v>
      </c>
      <c r="Y481" s="16">
        <f t="shared" si="231"/>
        <v>-208.40383547561609</v>
      </c>
      <c r="Z481" s="16">
        <v>9</v>
      </c>
      <c r="AA481" s="16">
        <v>17</v>
      </c>
      <c r="AB481" s="8">
        <f t="shared" si="232"/>
        <v>0.33436532507739936</v>
      </c>
      <c r="AC481" s="16">
        <f t="shared" si="222"/>
        <v>69.616510018742574</v>
      </c>
      <c r="AD481" s="20">
        <f>'PFAS Properties'!$W$34</f>
        <v>8</v>
      </c>
      <c r="AE481" s="8">
        <f>'PFAS Properties'!$S$34</f>
        <v>1.7965743332104296</v>
      </c>
      <c r="AF481" s="15">
        <f>'PFAS Properties'!$V$34</f>
        <v>5.6</v>
      </c>
      <c r="AG481" s="24">
        <v>5.5</v>
      </c>
      <c r="AH481" s="2" t="s">
        <v>834</v>
      </c>
      <c r="AI481" s="15">
        <v>1.0129999999999999</v>
      </c>
      <c r="AJ481" s="16">
        <f t="shared" ref="AJ481:AJ491" si="237">AI481*1000/55.845</f>
        <v>18.13949324021846</v>
      </c>
      <c r="AK481" s="8">
        <f t="shared" si="234"/>
        <v>0.10129999999999999</v>
      </c>
      <c r="AL481" s="15">
        <v>0.40400000000000003</v>
      </c>
      <c r="AM481" s="16">
        <f t="shared" ref="AM481:AM491" si="238">AL481*1000/26.98</f>
        <v>14.974054855448481</v>
      </c>
      <c r="AN481" s="8">
        <f t="shared" si="235"/>
        <v>4.0400000000000005E-2</v>
      </c>
      <c r="AO481" s="15" t="s">
        <v>31</v>
      </c>
      <c r="AP481" s="15">
        <v>23.4</v>
      </c>
      <c r="AQ481" s="16" t="s">
        <v>689</v>
      </c>
      <c r="AR481" s="16">
        <v>54.4</v>
      </c>
      <c r="AS481" s="16">
        <v>35</v>
      </c>
      <c r="AT481" s="16">
        <v>10.6</v>
      </c>
      <c r="AU481" s="16" t="s">
        <v>664</v>
      </c>
      <c r="AV481" s="16">
        <f t="shared" si="215"/>
        <v>100</v>
      </c>
      <c r="AW481" s="20">
        <v>1.6</v>
      </c>
      <c r="AX481" s="13">
        <f t="shared" si="236"/>
        <v>1.6E-2</v>
      </c>
      <c r="AY481" s="8" t="s">
        <v>32</v>
      </c>
      <c r="AZ481" s="16">
        <f t="shared" ref="AZ481:AZ487" si="239">3/0.03</f>
        <v>100</v>
      </c>
      <c r="BA481" s="16" t="s">
        <v>55</v>
      </c>
      <c r="BB481" s="16">
        <v>60</v>
      </c>
      <c r="BC481" s="16" t="s">
        <v>55</v>
      </c>
      <c r="BD481" s="18">
        <v>11</v>
      </c>
      <c r="BE481" s="15">
        <f t="shared" si="217"/>
        <v>687.5</v>
      </c>
      <c r="BF481" s="8">
        <f t="shared" si="233"/>
        <v>2.8372727025023003</v>
      </c>
      <c r="BG481" s="8">
        <f t="shared" si="223"/>
        <v>1.0413926851582251</v>
      </c>
      <c r="BH481" s="2" t="s">
        <v>841</v>
      </c>
      <c r="BI481" s="2"/>
      <c r="BJ481" s="2"/>
      <c r="BK481" s="2"/>
      <c r="BL481" s="2"/>
      <c r="BM481" s="20"/>
      <c r="BN481" s="20"/>
      <c r="BO481" s="2"/>
    </row>
    <row r="482" spans="1:67" s="14" customFormat="1" x14ac:dyDescent="0.3">
      <c r="A482" s="20">
        <v>480</v>
      </c>
      <c r="B482" s="2" t="s">
        <v>200</v>
      </c>
      <c r="C482" s="2">
        <v>2021</v>
      </c>
      <c r="D482" s="2" t="s">
        <v>201</v>
      </c>
      <c r="E482" s="10" t="s">
        <v>794</v>
      </c>
      <c r="F482" s="20" t="s">
        <v>29</v>
      </c>
      <c r="G482" s="2" t="s">
        <v>33</v>
      </c>
      <c r="H482" s="2" t="str">
        <f>'PFAS Properties'!$B$34</f>
        <v>PFNA</v>
      </c>
      <c r="I482" s="2" t="str">
        <f>'PFAS Properties'!$C$34</f>
        <v>PFCA</v>
      </c>
      <c r="J482" s="2" t="str">
        <f>'PFAS Properties'!$D$34</f>
        <v>C9HF17O2</v>
      </c>
      <c r="K482" s="25">
        <f>'PFAS Properties'!$P$34</f>
        <v>463.97039999999998</v>
      </c>
      <c r="L482" s="2">
        <f>'PFAS Properties'!$X$34</f>
        <v>-0.2</v>
      </c>
      <c r="M482" s="2" t="str">
        <f>'PFAS Properties'!$Y$34</f>
        <v>-</v>
      </c>
      <c r="N482" s="33">
        <v>0</v>
      </c>
      <c r="O482" s="33">
        <v>0</v>
      </c>
      <c r="P482" s="33">
        <v>0</v>
      </c>
      <c r="Q482" s="33">
        <f t="shared" si="225"/>
        <v>0.99999999369042658</v>
      </c>
      <c r="R482" s="33">
        <v>0</v>
      </c>
      <c r="S482" s="33">
        <f t="shared" si="226"/>
        <v>6.3095734049912165E-9</v>
      </c>
      <c r="T482" s="8">
        <f t="shared" si="227"/>
        <v>1</v>
      </c>
      <c r="U482" s="33">
        <f t="shared" si="228"/>
        <v>0</v>
      </c>
      <c r="V482" s="33">
        <f t="shared" si="229"/>
        <v>-0.99999999369042658</v>
      </c>
      <c r="W482" s="33">
        <f t="shared" si="230"/>
        <v>462.97040000630955</v>
      </c>
      <c r="X482" s="33">
        <v>96485</v>
      </c>
      <c r="Y482" s="16">
        <f t="shared" si="231"/>
        <v>-208.40425087631061</v>
      </c>
      <c r="Z482" s="16">
        <v>9</v>
      </c>
      <c r="AA482" s="16">
        <v>17</v>
      </c>
      <c r="AB482" s="8">
        <f t="shared" si="232"/>
        <v>0.33436532507739936</v>
      </c>
      <c r="AC482" s="16">
        <f t="shared" si="222"/>
        <v>69.616510018742574</v>
      </c>
      <c r="AD482" s="20">
        <f>'PFAS Properties'!$W$34</f>
        <v>8</v>
      </c>
      <c r="AE482" s="8">
        <f>'PFAS Properties'!$S$34</f>
        <v>1.7965743332104296</v>
      </c>
      <c r="AF482" s="15">
        <f>'PFAS Properties'!$V$34</f>
        <v>5.6</v>
      </c>
      <c r="AG482" s="24">
        <v>8</v>
      </c>
      <c r="AH482" s="2" t="s">
        <v>834</v>
      </c>
      <c r="AI482" s="15">
        <v>2.9660000000000002</v>
      </c>
      <c r="AJ482" s="16">
        <f t="shared" si="237"/>
        <v>53.111290178171728</v>
      </c>
      <c r="AK482" s="8">
        <f t="shared" si="234"/>
        <v>0.29660000000000003</v>
      </c>
      <c r="AL482" s="15">
        <v>0.23</v>
      </c>
      <c r="AM482" s="16">
        <f t="shared" si="238"/>
        <v>8.5248332097850259</v>
      </c>
      <c r="AN482" s="8">
        <f t="shared" si="235"/>
        <v>2.3E-2</v>
      </c>
      <c r="AO482" s="15" t="s">
        <v>31</v>
      </c>
      <c r="AP482" s="15">
        <v>87.3</v>
      </c>
      <c r="AQ482" s="16" t="s">
        <v>689</v>
      </c>
      <c r="AR482" s="16">
        <v>12.2</v>
      </c>
      <c r="AS482" s="16">
        <v>54.3</v>
      </c>
      <c r="AT482" s="16">
        <v>33.5</v>
      </c>
      <c r="AU482" s="16" t="s">
        <v>664</v>
      </c>
      <c r="AV482" s="16">
        <f t="shared" si="215"/>
        <v>100</v>
      </c>
      <c r="AW482" s="20">
        <v>7.7</v>
      </c>
      <c r="AX482" s="13">
        <f t="shared" si="236"/>
        <v>7.6999999999999999E-2</v>
      </c>
      <c r="AY482" s="8" t="s">
        <v>32</v>
      </c>
      <c r="AZ482" s="16">
        <f t="shared" si="239"/>
        <v>100</v>
      </c>
      <c r="BA482" s="16" t="s">
        <v>55</v>
      </c>
      <c r="BB482" s="16">
        <v>170</v>
      </c>
      <c r="BC482" s="16" t="s">
        <v>55</v>
      </c>
      <c r="BD482" s="18">
        <v>35</v>
      </c>
      <c r="BE482" s="15">
        <f t="shared" si="217"/>
        <v>454.54545454545456</v>
      </c>
      <c r="BF482" s="8">
        <f t="shared" si="233"/>
        <v>2.6575773191777938</v>
      </c>
      <c r="BG482" s="8">
        <f t="shared" si="223"/>
        <v>1.5440680443502757</v>
      </c>
      <c r="BH482" s="2" t="s">
        <v>841</v>
      </c>
      <c r="BI482" s="2"/>
      <c r="BJ482" s="2"/>
      <c r="BK482" s="2"/>
      <c r="BL482" s="2"/>
      <c r="BM482" s="20"/>
      <c r="BN482" s="20"/>
      <c r="BO482" s="2"/>
    </row>
    <row r="483" spans="1:67" s="14" customFormat="1" x14ac:dyDescent="0.3">
      <c r="A483" s="20">
        <v>481</v>
      </c>
      <c r="B483" s="2" t="s">
        <v>200</v>
      </c>
      <c r="C483" s="2">
        <v>2021</v>
      </c>
      <c r="D483" s="2" t="s">
        <v>201</v>
      </c>
      <c r="E483" s="10" t="s">
        <v>794</v>
      </c>
      <c r="F483" s="20" t="s">
        <v>29</v>
      </c>
      <c r="G483" s="2" t="s">
        <v>34</v>
      </c>
      <c r="H483" s="2" t="str">
        <f>'PFAS Properties'!$B$34</f>
        <v>PFNA</v>
      </c>
      <c r="I483" s="2" t="str">
        <f>'PFAS Properties'!$C$34</f>
        <v>PFCA</v>
      </c>
      <c r="J483" s="2" t="str">
        <f>'PFAS Properties'!$D$34</f>
        <v>C9HF17O2</v>
      </c>
      <c r="K483" s="25">
        <f>'PFAS Properties'!$P$34</f>
        <v>463.97039999999998</v>
      </c>
      <c r="L483" s="2">
        <f>'PFAS Properties'!$X$34</f>
        <v>-0.2</v>
      </c>
      <c r="M483" s="2" t="str">
        <f>'PFAS Properties'!$Y$34</f>
        <v>-</v>
      </c>
      <c r="N483" s="33">
        <v>0</v>
      </c>
      <c r="O483" s="33">
        <v>0</v>
      </c>
      <c r="P483" s="33">
        <v>0</v>
      </c>
      <c r="Q483" s="33">
        <f t="shared" si="225"/>
        <v>0.99999601894414336</v>
      </c>
      <c r="R483" s="33">
        <v>0</v>
      </c>
      <c r="S483" s="33">
        <f t="shared" si="226"/>
        <v>3.981055856666137E-6</v>
      </c>
      <c r="T483" s="8">
        <f t="shared" si="227"/>
        <v>1</v>
      </c>
      <c r="U483" s="33">
        <f t="shared" si="228"/>
        <v>0</v>
      </c>
      <c r="V483" s="33">
        <f t="shared" si="229"/>
        <v>-0.99999601894414336</v>
      </c>
      <c r="W483" s="33">
        <f t="shared" si="230"/>
        <v>462.97040398105588</v>
      </c>
      <c r="X483" s="33">
        <v>96485</v>
      </c>
      <c r="Y483" s="16">
        <f t="shared" si="231"/>
        <v>-208.40342073307494</v>
      </c>
      <c r="Z483" s="16">
        <v>9</v>
      </c>
      <c r="AA483" s="16">
        <v>17</v>
      </c>
      <c r="AB483" s="8">
        <f t="shared" si="232"/>
        <v>0.33436532507739936</v>
      </c>
      <c r="AC483" s="16">
        <f t="shared" si="222"/>
        <v>69.616510018742574</v>
      </c>
      <c r="AD483" s="20">
        <f>'PFAS Properties'!$W$34</f>
        <v>8</v>
      </c>
      <c r="AE483" s="8">
        <f>'PFAS Properties'!$S$34</f>
        <v>1.7965743332104296</v>
      </c>
      <c r="AF483" s="15">
        <f>'PFAS Properties'!$V$34</f>
        <v>5.6</v>
      </c>
      <c r="AG483" s="24">
        <v>5.2</v>
      </c>
      <c r="AH483" s="2" t="s">
        <v>834</v>
      </c>
      <c r="AI483" s="15">
        <v>4.5149999999999997</v>
      </c>
      <c r="AJ483" s="16">
        <f t="shared" si="237"/>
        <v>80.848777867311313</v>
      </c>
      <c r="AK483" s="8">
        <f t="shared" si="234"/>
        <v>0.45149999999999996</v>
      </c>
      <c r="AL483" s="15">
        <v>0.377</v>
      </c>
      <c r="AM483" s="16">
        <f t="shared" si="238"/>
        <v>13.973313565604151</v>
      </c>
      <c r="AN483" s="8">
        <f t="shared" si="235"/>
        <v>3.7699999999999997E-2</v>
      </c>
      <c r="AO483" s="15" t="s">
        <v>31</v>
      </c>
      <c r="AP483" s="15">
        <v>44.3</v>
      </c>
      <c r="AQ483" s="16" t="s">
        <v>689</v>
      </c>
      <c r="AR483" s="16">
        <v>41.3</v>
      </c>
      <c r="AS483" s="16">
        <v>39.799999999999997</v>
      </c>
      <c r="AT483" s="16">
        <v>18.899999999999999</v>
      </c>
      <c r="AU483" s="16" t="s">
        <v>664</v>
      </c>
      <c r="AV483" s="16">
        <f t="shared" si="215"/>
        <v>100</v>
      </c>
      <c r="AW483" s="20">
        <v>9.4</v>
      </c>
      <c r="AX483" s="13">
        <f t="shared" si="236"/>
        <v>9.4E-2</v>
      </c>
      <c r="AY483" s="8" t="s">
        <v>32</v>
      </c>
      <c r="AZ483" s="16">
        <f t="shared" si="239"/>
        <v>100</v>
      </c>
      <c r="BA483" s="16" t="s">
        <v>55</v>
      </c>
      <c r="BB483" s="16">
        <v>170</v>
      </c>
      <c r="BC483" s="16" t="s">
        <v>55</v>
      </c>
      <c r="BD483" s="18">
        <v>39</v>
      </c>
      <c r="BE483" s="15">
        <f t="shared" si="217"/>
        <v>414.89361702127661</v>
      </c>
      <c r="BF483" s="8">
        <f t="shared" si="233"/>
        <v>2.6179367534268008</v>
      </c>
      <c r="BG483" s="8">
        <f t="shared" si="223"/>
        <v>1.5910646070264991</v>
      </c>
      <c r="BH483" s="2" t="s">
        <v>841</v>
      </c>
      <c r="BI483" s="2"/>
      <c r="BJ483" s="2"/>
      <c r="BK483" s="2"/>
      <c r="BL483" s="2"/>
      <c r="BM483" s="20"/>
      <c r="BN483" s="20"/>
      <c r="BO483" s="2"/>
    </row>
    <row r="484" spans="1:67" s="14" customFormat="1" x14ac:dyDescent="0.3">
      <c r="A484" s="20">
        <v>482</v>
      </c>
      <c r="B484" s="2" t="s">
        <v>200</v>
      </c>
      <c r="C484" s="2">
        <v>2021</v>
      </c>
      <c r="D484" s="2" t="s">
        <v>201</v>
      </c>
      <c r="E484" s="10" t="s">
        <v>794</v>
      </c>
      <c r="F484" s="20" t="s">
        <v>29</v>
      </c>
      <c r="G484" s="2" t="s">
        <v>37</v>
      </c>
      <c r="H484" s="2" t="str">
        <f>'PFAS Properties'!$B$34</f>
        <v>PFNA</v>
      </c>
      <c r="I484" s="2" t="str">
        <f>'PFAS Properties'!$C$34</f>
        <v>PFCA</v>
      </c>
      <c r="J484" s="2" t="str">
        <f>'PFAS Properties'!$D$34</f>
        <v>C9HF17O2</v>
      </c>
      <c r="K484" s="25">
        <f>'PFAS Properties'!$P$34</f>
        <v>463.97039999999998</v>
      </c>
      <c r="L484" s="2">
        <f>'PFAS Properties'!$X$34</f>
        <v>-0.2</v>
      </c>
      <c r="M484" s="2" t="str">
        <f>'PFAS Properties'!$Y$34</f>
        <v>-</v>
      </c>
      <c r="N484" s="33">
        <v>0</v>
      </c>
      <c r="O484" s="33">
        <v>0</v>
      </c>
      <c r="P484" s="33">
        <v>0</v>
      </c>
      <c r="Q484" s="33">
        <f t="shared" si="225"/>
        <v>0.99999900000099995</v>
      </c>
      <c r="R484" s="33">
        <v>0</v>
      </c>
      <c r="S484" s="33">
        <f t="shared" si="226"/>
        <v>9.9999900000100006E-7</v>
      </c>
      <c r="T484" s="8">
        <f t="shared" si="227"/>
        <v>1</v>
      </c>
      <c r="U484" s="33">
        <f t="shared" si="228"/>
        <v>0</v>
      </c>
      <c r="V484" s="33">
        <f t="shared" si="229"/>
        <v>-0.99999900000099995</v>
      </c>
      <c r="W484" s="33">
        <f t="shared" si="230"/>
        <v>462.97040099999896</v>
      </c>
      <c r="X484" s="33">
        <v>96485</v>
      </c>
      <c r="Y484" s="16">
        <f t="shared" si="231"/>
        <v>-208.40404333990392</v>
      </c>
      <c r="Z484" s="16">
        <v>9</v>
      </c>
      <c r="AA484" s="16">
        <v>17</v>
      </c>
      <c r="AB484" s="8">
        <f t="shared" si="232"/>
        <v>0.33436532507739936</v>
      </c>
      <c r="AC484" s="16">
        <f t="shared" si="222"/>
        <v>69.616510018742574</v>
      </c>
      <c r="AD484" s="20">
        <f>'PFAS Properties'!$W$34</f>
        <v>8</v>
      </c>
      <c r="AE484" s="8">
        <f>'PFAS Properties'!$S$34</f>
        <v>1.7965743332104296</v>
      </c>
      <c r="AF484" s="15">
        <f>'PFAS Properties'!$V$34</f>
        <v>5.6</v>
      </c>
      <c r="AG484" s="24">
        <v>5.8</v>
      </c>
      <c r="AH484" s="2" t="s">
        <v>834</v>
      </c>
      <c r="AI484" s="15">
        <v>6.5019999999999998</v>
      </c>
      <c r="AJ484" s="16">
        <f t="shared" si="237"/>
        <v>116.42940281135286</v>
      </c>
      <c r="AK484" s="8">
        <f t="shared" si="234"/>
        <v>0.6502</v>
      </c>
      <c r="AL484" s="15">
        <v>1.732</v>
      </c>
      <c r="AM484" s="16">
        <f t="shared" si="238"/>
        <v>64.195700518902896</v>
      </c>
      <c r="AN484" s="8">
        <f t="shared" si="235"/>
        <v>0.17319999999999999</v>
      </c>
      <c r="AO484" s="15" t="s">
        <v>31</v>
      </c>
      <c r="AP484" s="15">
        <v>90</v>
      </c>
      <c r="AQ484" s="16" t="s">
        <v>689</v>
      </c>
      <c r="AR484" s="16">
        <v>46</v>
      </c>
      <c r="AS484" s="16">
        <v>51</v>
      </c>
      <c r="AT484" s="16">
        <v>3</v>
      </c>
      <c r="AU484" s="16" t="s">
        <v>664</v>
      </c>
      <c r="AV484" s="16">
        <f t="shared" si="215"/>
        <v>100</v>
      </c>
      <c r="AW484" s="20">
        <v>27</v>
      </c>
      <c r="AX484" s="13">
        <f t="shared" si="236"/>
        <v>0.27</v>
      </c>
      <c r="AY484" s="8" t="s">
        <v>32</v>
      </c>
      <c r="AZ484" s="16">
        <f t="shared" si="239"/>
        <v>100</v>
      </c>
      <c r="BA484" s="16" t="s">
        <v>55</v>
      </c>
      <c r="BB484" s="16">
        <v>570</v>
      </c>
      <c r="BC484" s="16" t="s">
        <v>55</v>
      </c>
      <c r="BD484" s="18">
        <v>96</v>
      </c>
      <c r="BE484" s="15">
        <f t="shared" si="217"/>
        <v>355.55555555555554</v>
      </c>
      <c r="BF484" s="8">
        <f t="shared" si="233"/>
        <v>2.5509074688805811</v>
      </c>
      <c r="BG484" s="8">
        <f t="shared" si="223"/>
        <v>1.9822712330395684</v>
      </c>
      <c r="BH484" s="2" t="s">
        <v>841</v>
      </c>
      <c r="BI484" s="2"/>
      <c r="BJ484" s="2"/>
      <c r="BK484" s="2"/>
      <c r="BL484" s="2"/>
      <c r="BM484" s="20"/>
      <c r="BN484" s="20"/>
      <c r="BO484" s="2"/>
    </row>
    <row r="485" spans="1:67" s="14" customFormat="1" x14ac:dyDescent="0.3">
      <c r="A485" s="20">
        <v>483</v>
      </c>
      <c r="B485" s="2" t="s">
        <v>200</v>
      </c>
      <c r="C485" s="2">
        <v>2021</v>
      </c>
      <c r="D485" s="2" t="s">
        <v>201</v>
      </c>
      <c r="E485" s="10" t="s">
        <v>794</v>
      </c>
      <c r="F485" s="20" t="s">
        <v>29</v>
      </c>
      <c r="G485" s="2" t="s">
        <v>35</v>
      </c>
      <c r="H485" s="2" t="str">
        <f>'PFAS Properties'!$B$34</f>
        <v>PFNA</v>
      </c>
      <c r="I485" s="2" t="str">
        <f>'PFAS Properties'!$C$34</f>
        <v>PFCA</v>
      </c>
      <c r="J485" s="2" t="str">
        <f>'PFAS Properties'!$D$34</f>
        <v>C9HF17O2</v>
      </c>
      <c r="K485" s="25">
        <f>'PFAS Properties'!$P$34</f>
        <v>463.97039999999998</v>
      </c>
      <c r="L485" s="2">
        <f>'PFAS Properties'!$X$34</f>
        <v>-0.2</v>
      </c>
      <c r="M485" s="2" t="str">
        <f>'PFAS Properties'!$Y$34</f>
        <v>-</v>
      </c>
      <c r="N485" s="33">
        <v>0</v>
      </c>
      <c r="O485" s="33">
        <v>0</v>
      </c>
      <c r="P485" s="33">
        <v>0</v>
      </c>
      <c r="Q485" s="33">
        <f t="shared" si="225"/>
        <v>0.99999874107617315</v>
      </c>
      <c r="R485" s="33">
        <v>0</v>
      </c>
      <c r="S485" s="33">
        <f t="shared" si="226"/>
        <v>1.2589238269029671E-6</v>
      </c>
      <c r="T485" s="8">
        <f t="shared" si="227"/>
        <v>1</v>
      </c>
      <c r="U485" s="33">
        <f t="shared" si="228"/>
        <v>0</v>
      </c>
      <c r="V485" s="33">
        <f t="shared" si="229"/>
        <v>-0.99999874107617315</v>
      </c>
      <c r="W485" s="33">
        <f t="shared" si="230"/>
        <v>462.9704012589238</v>
      </c>
      <c r="X485" s="33">
        <v>96485</v>
      </c>
      <c r="Y485" s="16">
        <f t="shared" si="231"/>
        <v>-208.40398926231532</v>
      </c>
      <c r="Z485" s="16">
        <v>9</v>
      </c>
      <c r="AA485" s="16">
        <v>17</v>
      </c>
      <c r="AB485" s="8">
        <f t="shared" si="232"/>
        <v>0.33436532507739936</v>
      </c>
      <c r="AC485" s="16">
        <f t="shared" si="222"/>
        <v>69.616510018742574</v>
      </c>
      <c r="AD485" s="20">
        <f>'PFAS Properties'!$W$34</f>
        <v>8</v>
      </c>
      <c r="AE485" s="8">
        <f>'PFAS Properties'!$S$34</f>
        <v>1.7965743332104296</v>
      </c>
      <c r="AF485" s="15">
        <f>'PFAS Properties'!$V$34</f>
        <v>5.6</v>
      </c>
      <c r="AG485" s="24">
        <v>5.7</v>
      </c>
      <c r="AH485" s="2" t="s">
        <v>834</v>
      </c>
      <c r="AI485" s="15">
        <v>12.358000000000001</v>
      </c>
      <c r="AJ485" s="16">
        <f t="shared" si="237"/>
        <v>221.29107350702839</v>
      </c>
      <c r="AK485" s="8">
        <f t="shared" si="234"/>
        <v>1.2358</v>
      </c>
      <c r="AL485" s="15">
        <v>1.0269999999999999</v>
      </c>
      <c r="AM485" s="16">
        <f t="shared" si="238"/>
        <v>38.065233506300963</v>
      </c>
      <c r="AN485" s="8">
        <f t="shared" si="235"/>
        <v>0.10269999999999999</v>
      </c>
      <c r="AO485" s="15" t="s">
        <v>31</v>
      </c>
      <c r="AP485" s="15">
        <v>103</v>
      </c>
      <c r="AQ485" s="16" t="s">
        <v>689</v>
      </c>
      <c r="AR485" s="16">
        <v>35</v>
      </c>
      <c r="AS485" s="16">
        <v>63</v>
      </c>
      <c r="AT485" s="16">
        <v>2</v>
      </c>
      <c r="AU485" s="16" t="s">
        <v>664</v>
      </c>
      <c r="AV485" s="16">
        <f t="shared" si="215"/>
        <v>100</v>
      </c>
      <c r="AW485" s="20">
        <v>32</v>
      </c>
      <c r="AX485" s="13">
        <f t="shared" si="236"/>
        <v>0.32</v>
      </c>
      <c r="AY485" s="8" t="s">
        <v>32</v>
      </c>
      <c r="AZ485" s="16">
        <f t="shared" si="239"/>
        <v>100</v>
      </c>
      <c r="BA485" s="16" t="s">
        <v>55</v>
      </c>
      <c r="BB485" s="16">
        <v>570</v>
      </c>
      <c r="BC485" s="16" t="s">
        <v>55</v>
      </c>
      <c r="BD485" s="18">
        <v>117</v>
      </c>
      <c r="BE485" s="15">
        <f t="shared" si="217"/>
        <v>365.625</v>
      </c>
      <c r="BF485" s="8">
        <f t="shared" si="233"/>
        <v>2.5630358834262559</v>
      </c>
      <c r="BG485" s="8">
        <f t="shared" si="223"/>
        <v>2.0681858617461617</v>
      </c>
      <c r="BH485" s="2" t="s">
        <v>841</v>
      </c>
      <c r="BI485" s="2"/>
      <c r="BJ485" s="2"/>
      <c r="BK485" s="2"/>
      <c r="BL485" s="2"/>
      <c r="BM485" s="20"/>
      <c r="BN485" s="20"/>
      <c r="BO485" s="2"/>
    </row>
    <row r="486" spans="1:67" s="14" customFormat="1" x14ac:dyDescent="0.3">
      <c r="A486" s="20">
        <v>484</v>
      </c>
      <c r="B486" s="2" t="s">
        <v>200</v>
      </c>
      <c r="C486" s="2">
        <v>2021</v>
      </c>
      <c r="D486" s="2" t="s">
        <v>201</v>
      </c>
      <c r="E486" s="10" t="s">
        <v>794</v>
      </c>
      <c r="F486" s="20" t="s">
        <v>29</v>
      </c>
      <c r="G486" s="2" t="s">
        <v>36</v>
      </c>
      <c r="H486" s="2" t="str">
        <f>'PFAS Properties'!$B$34</f>
        <v>PFNA</v>
      </c>
      <c r="I486" s="2" t="str">
        <f>'PFAS Properties'!$C$34</f>
        <v>PFCA</v>
      </c>
      <c r="J486" s="2" t="str">
        <f>'PFAS Properties'!$D$34</f>
        <v>C9HF17O2</v>
      </c>
      <c r="K486" s="25">
        <f>'PFAS Properties'!$P$34</f>
        <v>463.97039999999998</v>
      </c>
      <c r="L486" s="2">
        <f>'PFAS Properties'!$X$34</f>
        <v>-0.2</v>
      </c>
      <c r="M486" s="2" t="str">
        <f>'PFAS Properties'!$Y$34</f>
        <v>-</v>
      </c>
      <c r="N486" s="33">
        <v>0</v>
      </c>
      <c r="O486" s="33">
        <v>0</v>
      </c>
      <c r="P486" s="33">
        <v>0</v>
      </c>
      <c r="Q486" s="33">
        <f t="shared" si="225"/>
        <v>0.99999874107617315</v>
      </c>
      <c r="R486" s="33">
        <v>0</v>
      </c>
      <c r="S486" s="33">
        <f t="shared" si="226"/>
        <v>1.2589238269029671E-6</v>
      </c>
      <c r="T486" s="8">
        <f t="shared" si="227"/>
        <v>1</v>
      </c>
      <c r="U486" s="33">
        <f t="shared" si="228"/>
        <v>0</v>
      </c>
      <c r="V486" s="33">
        <f t="shared" si="229"/>
        <v>-0.99999874107617315</v>
      </c>
      <c r="W486" s="33">
        <f t="shared" si="230"/>
        <v>462.9704012589238</v>
      </c>
      <c r="X486" s="33">
        <v>96485</v>
      </c>
      <c r="Y486" s="16">
        <f t="shared" si="231"/>
        <v>-208.40398926231532</v>
      </c>
      <c r="Z486" s="16">
        <v>9</v>
      </c>
      <c r="AA486" s="16">
        <v>17</v>
      </c>
      <c r="AB486" s="8">
        <f t="shared" si="232"/>
        <v>0.33436532507739936</v>
      </c>
      <c r="AC486" s="16">
        <f t="shared" si="222"/>
        <v>69.616510018742574</v>
      </c>
      <c r="AD486" s="20">
        <f>'PFAS Properties'!$W$34</f>
        <v>8</v>
      </c>
      <c r="AE486" s="8">
        <f>'PFAS Properties'!$S$34</f>
        <v>1.7965743332104296</v>
      </c>
      <c r="AF486" s="15">
        <f>'PFAS Properties'!$V$34</f>
        <v>5.6</v>
      </c>
      <c r="AG486" s="24">
        <v>5.7</v>
      </c>
      <c r="AH486" s="2" t="s">
        <v>834</v>
      </c>
      <c r="AI486" s="15">
        <v>10.64</v>
      </c>
      <c r="AJ486" s="16">
        <f t="shared" si="237"/>
        <v>190.52735249350883</v>
      </c>
      <c r="AK486" s="8">
        <f t="shared" si="234"/>
        <v>1.0640000000000001</v>
      </c>
      <c r="AL486" s="15">
        <v>0.16700000000000001</v>
      </c>
      <c r="AM486" s="16">
        <f t="shared" si="238"/>
        <v>6.1897702001482582</v>
      </c>
      <c r="AN486" s="8">
        <f t="shared" si="235"/>
        <v>1.67E-2</v>
      </c>
      <c r="AO486" s="15" t="s">
        <v>31</v>
      </c>
      <c r="AP486" s="15">
        <v>140</v>
      </c>
      <c r="AQ486" s="16" t="s">
        <v>689</v>
      </c>
      <c r="AR486" s="16">
        <v>20.7</v>
      </c>
      <c r="AS486" s="16">
        <v>78</v>
      </c>
      <c r="AT486" s="16">
        <v>1.3</v>
      </c>
      <c r="AU486" s="16" t="s">
        <v>664</v>
      </c>
      <c r="AV486" s="16">
        <f t="shared" si="215"/>
        <v>100</v>
      </c>
      <c r="AW486" s="20">
        <v>39</v>
      </c>
      <c r="AX486" s="13">
        <f t="shared" si="236"/>
        <v>0.39</v>
      </c>
      <c r="AY486" s="8" t="s">
        <v>32</v>
      </c>
      <c r="AZ486" s="16">
        <f t="shared" si="239"/>
        <v>100</v>
      </c>
      <c r="BA486" s="16" t="s">
        <v>55</v>
      </c>
      <c r="BB486" s="16">
        <v>570</v>
      </c>
      <c r="BC486" s="16" t="s">
        <v>55</v>
      </c>
      <c r="BD486" s="18">
        <v>122</v>
      </c>
      <c r="BE486" s="15">
        <f t="shared" si="217"/>
        <v>312.82051282051282</v>
      </c>
      <c r="BF486" s="8">
        <f t="shared" si="233"/>
        <v>2.4952952236482489</v>
      </c>
      <c r="BG486" s="8">
        <f t="shared" si="223"/>
        <v>2.0863598306747484</v>
      </c>
      <c r="BH486" s="2" t="s">
        <v>841</v>
      </c>
      <c r="BI486" s="2"/>
      <c r="BJ486" s="2"/>
      <c r="BK486" s="2"/>
      <c r="BL486" s="2"/>
      <c r="BM486" s="20"/>
      <c r="BN486" s="20"/>
      <c r="BO486" s="2"/>
    </row>
    <row r="487" spans="1:67" s="14" customFormat="1" x14ac:dyDescent="0.3">
      <c r="A487" s="20">
        <v>485</v>
      </c>
      <c r="B487" s="2" t="s">
        <v>200</v>
      </c>
      <c r="C487" s="2">
        <v>2021</v>
      </c>
      <c r="D487" s="2" t="s">
        <v>201</v>
      </c>
      <c r="E487" s="10" t="s">
        <v>794</v>
      </c>
      <c r="F487" s="20" t="s">
        <v>29</v>
      </c>
      <c r="G487" s="2" t="s">
        <v>38</v>
      </c>
      <c r="H487" s="2" t="str">
        <f>'PFAS Properties'!$B$34</f>
        <v>PFNA</v>
      </c>
      <c r="I487" s="2" t="str">
        <f>'PFAS Properties'!$C$34</f>
        <v>PFCA</v>
      </c>
      <c r="J487" s="2" t="str">
        <f>'PFAS Properties'!$D$34</f>
        <v>C9HF17O2</v>
      </c>
      <c r="K487" s="25">
        <f>'PFAS Properties'!$P$34</f>
        <v>463.97039999999998</v>
      </c>
      <c r="L487" s="2">
        <f>'PFAS Properties'!$X$34</f>
        <v>-0.2</v>
      </c>
      <c r="M487" s="2" t="str">
        <f>'PFAS Properties'!$Y$34</f>
        <v>-</v>
      </c>
      <c r="N487" s="33">
        <v>0</v>
      </c>
      <c r="O487" s="33">
        <v>0</v>
      </c>
      <c r="P487" s="33">
        <v>0</v>
      </c>
      <c r="Q487" s="33">
        <f t="shared" si="225"/>
        <v>0.99999874107617315</v>
      </c>
      <c r="R487" s="33">
        <v>0</v>
      </c>
      <c r="S487" s="33">
        <f t="shared" si="226"/>
        <v>1.2589238269029671E-6</v>
      </c>
      <c r="T487" s="8">
        <f t="shared" si="227"/>
        <v>1</v>
      </c>
      <c r="U487" s="33">
        <f t="shared" si="228"/>
        <v>0</v>
      </c>
      <c r="V487" s="33">
        <f t="shared" si="229"/>
        <v>-0.99999874107617315</v>
      </c>
      <c r="W487" s="33">
        <f t="shared" si="230"/>
        <v>462.9704012589238</v>
      </c>
      <c r="X487" s="33">
        <v>96485</v>
      </c>
      <c r="Y487" s="16">
        <f t="shared" si="231"/>
        <v>-208.40398926231532</v>
      </c>
      <c r="Z487" s="16">
        <v>9</v>
      </c>
      <c r="AA487" s="16">
        <v>17</v>
      </c>
      <c r="AB487" s="8">
        <f t="shared" si="232"/>
        <v>0.33436532507739936</v>
      </c>
      <c r="AC487" s="16">
        <f t="shared" si="222"/>
        <v>69.616510018742574</v>
      </c>
      <c r="AD487" s="20">
        <f>'PFAS Properties'!$W$34</f>
        <v>8</v>
      </c>
      <c r="AE487" s="8">
        <f>'PFAS Properties'!$S$34</f>
        <v>1.7965743332104296</v>
      </c>
      <c r="AF487" s="15">
        <f>'PFAS Properties'!$V$34</f>
        <v>5.6</v>
      </c>
      <c r="AG487" s="24">
        <v>5.7</v>
      </c>
      <c r="AH487" s="2" t="s">
        <v>834</v>
      </c>
      <c r="AI487" s="15">
        <v>19.667999999999999</v>
      </c>
      <c r="AJ487" s="16">
        <f t="shared" si="237"/>
        <v>352.18909481600861</v>
      </c>
      <c r="AK487" s="8">
        <f t="shared" si="234"/>
        <v>1.9667999999999999</v>
      </c>
      <c r="AL487" s="15">
        <v>0.48099999999999998</v>
      </c>
      <c r="AM487" s="16">
        <f t="shared" si="238"/>
        <v>17.828020756115642</v>
      </c>
      <c r="AN487" s="8">
        <f t="shared" si="235"/>
        <v>4.8099999999999997E-2</v>
      </c>
      <c r="AO487" s="15" t="s">
        <v>31</v>
      </c>
      <c r="AP487" s="15">
        <v>114</v>
      </c>
      <c r="AQ487" s="16" t="s">
        <v>689</v>
      </c>
      <c r="AR487" s="16">
        <v>20</v>
      </c>
      <c r="AS487" s="16">
        <v>78.900000000000006</v>
      </c>
      <c r="AT487" s="16">
        <v>1.1000000000000001</v>
      </c>
      <c r="AU487" s="16" t="s">
        <v>664</v>
      </c>
      <c r="AV487" s="16">
        <f t="shared" si="215"/>
        <v>100</v>
      </c>
      <c r="AW487" s="20">
        <v>41</v>
      </c>
      <c r="AX487" s="13">
        <f t="shared" si="236"/>
        <v>0.41</v>
      </c>
      <c r="AY487" s="8" t="s">
        <v>32</v>
      </c>
      <c r="AZ487" s="16">
        <f t="shared" si="239"/>
        <v>100</v>
      </c>
      <c r="BA487" s="16" t="s">
        <v>55</v>
      </c>
      <c r="BB487" s="16">
        <v>570</v>
      </c>
      <c r="BC487" s="16" t="s">
        <v>55</v>
      </c>
      <c r="BD487" s="18">
        <v>128</v>
      </c>
      <c r="BE487" s="15">
        <f t="shared" si="217"/>
        <v>312.19512195121951</v>
      </c>
      <c r="BF487" s="8">
        <f t="shared" si="233"/>
        <v>2.4944261129281329</v>
      </c>
      <c r="BG487" s="8">
        <f t="shared" si="223"/>
        <v>2.1072099696478683</v>
      </c>
      <c r="BH487" s="2" t="s">
        <v>841</v>
      </c>
      <c r="BI487" s="2"/>
      <c r="BJ487" s="2"/>
      <c r="BK487" s="2"/>
      <c r="BL487" s="2"/>
      <c r="BM487" s="20"/>
      <c r="BN487" s="20"/>
      <c r="BO487" s="2"/>
    </row>
    <row r="488" spans="1:67" s="14" customFormat="1" x14ac:dyDescent="0.3">
      <c r="A488" s="20">
        <v>486</v>
      </c>
      <c r="B488" s="2" t="s">
        <v>214</v>
      </c>
      <c r="C488" s="2">
        <v>2022</v>
      </c>
      <c r="D488" s="2" t="s">
        <v>201</v>
      </c>
      <c r="E488" s="22" t="s">
        <v>808</v>
      </c>
      <c r="F488" s="20" t="s">
        <v>29</v>
      </c>
      <c r="G488" s="2" t="s">
        <v>215</v>
      </c>
      <c r="H488" s="2" t="str">
        <f>'PFAS Properties'!$B$34</f>
        <v>PFNA</v>
      </c>
      <c r="I488" s="2" t="str">
        <f>'PFAS Properties'!$C$34</f>
        <v>PFCA</v>
      </c>
      <c r="J488" s="2" t="str">
        <f>'PFAS Properties'!$D$34</f>
        <v>C9HF17O2</v>
      </c>
      <c r="K488" s="25">
        <f>'PFAS Properties'!$P$34</f>
        <v>463.97039999999998</v>
      </c>
      <c r="L488" s="2">
        <f>'PFAS Properties'!$X$34</f>
        <v>-0.2</v>
      </c>
      <c r="M488" s="2" t="str">
        <f>'PFAS Properties'!$Y$34</f>
        <v>-</v>
      </c>
      <c r="N488" s="33">
        <v>0</v>
      </c>
      <c r="O488" s="33">
        <v>0</v>
      </c>
      <c r="P488" s="33">
        <v>0</v>
      </c>
      <c r="Q488" s="33">
        <f t="shared" si="225"/>
        <v>0.99999000009999905</v>
      </c>
      <c r="R488" s="33">
        <v>0</v>
      </c>
      <c r="S488" s="33">
        <f t="shared" si="226"/>
        <v>9.9999000009999908E-6</v>
      </c>
      <c r="T488" s="8">
        <f t="shared" si="227"/>
        <v>1</v>
      </c>
      <c r="U488" s="33">
        <f t="shared" si="228"/>
        <v>0</v>
      </c>
      <c r="V488" s="33">
        <f t="shared" si="229"/>
        <v>-0.99999000009999905</v>
      </c>
      <c r="W488" s="33">
        <f t="shared" si="230"/>
        <v>462.97040999990003</v>
      </c>
      <c r="X488" s="33">
        <v>96485</v>
      </c>
      <c r="Y488" s="16">
        <f t="shared" si="231"/>
        <v>-208.40216367104162</v>
      </c>
      <c r="Z488" s="16">
        <v>9</v>
      </c>
      <c r="AA488" s="16">
        <v>17</v>
      </c>
      <c r="AB488" s="8">
        <f t="shared" si="232"/>
        <v>0.33436532507739936</v>
      </c>
      <c r="AC488" s="16">
        <f t="shared" si="222"/>
        <v>69.616510018742574</v>
      </c>
      <c r="AD488" s="20">
        <f>'PFAS Properties'!$W$34</f>
        <v>8</v>
      </c>
      <c r="AE488" s="8">
        <f>'PFAS Properties'!$S$34</f>
        <v>1.7965743332104296</v>
      </c>
      <c r="AF488" s="15">
        <f>'PFAS Properties'!$V$34</f>
        <v>5.6</v>
      </c>
      <c r="AG488" s="24">
        <v>4.8</v>
      </c>
      <c r="AH488" s="2" t="s">
        <v>216</v>
      </c>
      <c r="AI488" s="2">
        <v>8.3000000000000007</v>
      </c>
      <c r="AJ488" s="15">
        <f t="shared" si="237"/>
        <v>148.62566030978601</v>
      </c>
      <c r="AK488" s="15">
        <f t="shared" si="234"/>
        <v>0.83000000000000007</v>
      </c>
      <c r="AL488" s="15">
        <v>7.85</v>
      </c>
      <c r="AM488" s="15">
        <f t="shared" si="238"/>
        <v>290.95626389918459</v>
      </c>
      <c r="AN488" s="15">
        <f t="shared" si="235"/>
        <v>0.78499999999999992</v>
      </c>
      <c r="AO488" s="15" t="s">
        <v>217</v>
      </c>
      <c r="AP488" s="72">
        <v>15.34083666666667</v>
      </c>
      <c r="AQ488" s="70" t="s">
        <v>752</v>
      </c>
      <c r="AR488" s="16">
        <v>32</v>
      </c>
      <c r="AS488" s="16">
        <v>40</v>
      </c>
      <c r="AT488" s="16">
        <v>28</v>
      </c>
      <c r="AU488" s="2" t="s">
        <v>661</v>
      </c>
      <c r="AV488" s="16">
        <f t="shared" si="215"/>
        <v>100</v>
      </c>
      <c r="AW488" s="20">
        <v>4.9000000000000004</v>
      </c>
      <c r="AX488" s="13">
        <f t="shared" si="236"/>
        <v>4.9000000000000002E-2</v>
      </c>
      <c r="AY488" s="8" t="s">
        <v>218</v>
      </c>
      <c r="AZ488" s="16">
        <f>1.5/0.075</f>
        <v>20</v>
      </c>
      <c r="BA488" s="16" t="s">
        <v>55</v>
      </c>
      <c r="BB488" s="16">
        <v>10</v>
      </c>
      <c r="BC488" s="16" t="s">
        <v>55</v>
      </c>
      <c r="BD488" s="18">
        <v>6</v>
      </c>
      <c r="BE488" s="15">
        <f t="shared" si="217"/>
        <v>122.44897959183673</v>
      </c>
      <c r="BF488" s="8">
        <f t="shared" si="233"/>
        <v>2.08795517035513</v>
      </c>
      <c r="BG488" s="8">
        <f t="shared" si="223"/>
        <v>0.77815125038364363</v>
      </c>
      <c r="BH488" s="13" t="s">
        <v>374</v>
      </c>
      <c r="BI488" s="13"/>
      <c r="BJ488" s="13"/>
      <c r="BK488" s="13"/>
      <c r="BL488" s="13"/>
      <c r="BM488" s="17"/>
      <c r="BN488" s="17"/>
      <c r="BO488" s="2"/>
    </row>
    <row r="489" spans="1:67" s="14" customFormat="1" x14ac:dyDescent="0.3">
      <c r="A489" s="20">
        <v>487</v>
      </c>
      <c r="B489" s="2" t="s">
        <v>214</v>
      </c>
      <c r="C489" s="2">
        <v>2022</v>
      </c>
      <c r="D489" s="2" t="s">
        <v>201</v>
      </c>
      <c r="E489" s="10" t="s">
        <v>808</v>
      </c>
      <c r="F489" s="20" t="s">
        <v>29</v>
      </c>
      <c r="G489" s="2" t="s">
        <v>233</v>
      </c>
      <c r="H489" s="2" t="str">
        <f>'PFAS Properties'!$B$34</f>
        <v>PFNA</v>
      </c>
      <c r="I489" s="2" t="str">
        <f>'PFAS Properties'!$C$34</f>
        <v>PFCA</v>
      </c>
      <c r="J489" s="2" t="str">
        <f>'PFAS Properties'!$D$34</f>
        <v>C9HF17O2</v>
      </c>
      <c r="K489" s="25">
        <f>'PFAS Properties'!$P$34</f>
        <v>463.97039999999998</v>
      </c>
      <c r="L489" s="2">
        <f>'PFAS Properties'!$X$34</f>
        <v>-0.2</v>
      </c>
      <c r="M489" s="2" t="str">
        <f>'PFAS Properties'!$Y$34</f>
        <v>-</v>
      </c>
      <c r="N489" s="33">
        <v>0</v>
      </c>
      <c r="O489" s="33">
        <v>0</v>
      </c>
      <c r="P489" s="33">
        <v>0</v>
      </c>
      <c r="Q489" s="33">
        <f t="shared" si="225"/>
        <v>0.9999992056723962</v>
      </c>
      <c r="R489" s="33">
        <v>0</v>
      </c>
      <c r="S489" s="33">
        <f t="shared" si="226"/>
        <v>7.9432760376743655E-7</v>
      </c>
      <c r="T489" s="8">
        <f t="shared" si="227"/>
        <v>1</v>
      </c>
      <c r="U489" s="33">
        <f t="shared" si="228"/>
        <v>0</v>
      </c>
      <c r="V489" s="33">
        <f t="shared" si="229"/>
        <v>-0.9999992056723962</v>
      </c>
      <c r="W489" s="33">
        <f t="shared" si="230"/>
        <v>462.97040079432759</v>
      </c>
      <c r="X489" s="33">
        <v>96485</v>
      </c>
      <c r="Y489" s="16">
        <f t="shared" si="231"/>
        <v>-208.40408629527943</v>
      </c>
      <c r="Z489" s="16">
        <v>9</v>
      </c>
      <c r="AA489" s="16">
        <v>17</v>
      </c>
      <c r="AB489" s="8">
        <f t="shared" si="232"/>
        <v>0.33436532507739936</v>
      </c>
      <c r="AC489" s="16">
        <f t="shared" si="222"/>
        <v>69.616510018742574</v>
      </c>
      <c r="AD489" s="20">
        <f>'PFAS Properties'!$W$34</f>
        <v>8</v>
      </c>
      <c r="AE489" s="8">
        <f>'PFAS Properties'!$S$34</f>
        <v>1.7965743332104296</v>
      </c>
      <c r="AF489" s="15">
        <f>'PFAS Properties'!$V$34</f>
        <v>5.6</v>
      </c>
      <c r="AG489" s="24">
        <v>5.9</v>
      </c>
      <c r="AH489" s="2" t="s">
        <v>216</v>
      </c>
      <c r="AI489" s="2">
        <v>1.4</v>
      </c>
      <c r="AJ489" s="15">
        <f t="shared" si="237"/>
        <v>25.069388485988004</v>
      </c>
      <c r="AK489" s="15">
        <f t="shared" si="234"/>
        <v>0.13999999999999999</v>
      </c>
      <c r="AL489" s="15">
        <v>0.92</v>
      </c>
      <c r="AM489" s="15">
        <f t="shared" si="238"/>
        <v>34.099332839140104</v>
      </c>
      <c r="AN489" s="15">
        <f t="shared" si="235"/>
        <v>9.1999999999999998E-2</v>
      </c>
      <c r="AO489" s="15" t="s">
        <v>217</v>
      </c>
      <c r="AP489" s="72">
        <v>15.34083666666667</v>
      </c>
      <c r="AQ489" s="70" t="s">
        <v>752</v>
      </c>
      <c r="AR489" s="16">
        <v>37</v>
      </c>
      <c r="AS489" s="16">
        <v>22</v>
      </c>
      <c r="AT489" s="16">
        <v>41</v>
      </c>
      <c r="AU489" s="2" t="s">
        <v>661</v>
      </c>
      <c r="AV489" s="16">
        <f t="shared" si="215"/>
        <v>100</v>
      </c>
      <c r="AW489" s="20">
        <v>2.6</v>
      </c>
      <c r="AX489" s="13">
        <f t="shared" si="236"/>
        <v>2.6000000000000002E-2</v>
      </c>
      <c r="AY489" s="8" t="s">
        <v>218</v>
      </c>
      <c r="AZ489" s="16">
        <f>1.5/0.075</f>
        <v>20</v>
      </c>
      <c r="BA489" s="16" t="s">
        <v>55</v>
      </c>
      <c r="BB489" s="16">
        <v>10</v>
      </c>
      <c r="BC489" s="16" t="s">
        <v>55</v>
      </c>
      <c r="BD489" s="18">
        <v>2.75</v>
      </c>
      <c r="BE489" s="15">
        <f t="shared" si="217"/>
        <v>105.76923076923076</v>
      </c>
      <c r="BF489" s="8">
        <f t="shared" si="233"/>
        <v>2.0243593458594447</v>
      </c>
      <c r="BG489" s="8">
        <f t="shared" si="223"/>
        <v>0.43933269383026263</v>
      </c>
      <c r="BH489" s="13" t="s">
        <v>374</v>
      </c>
      <c r="BI489" s="13"/>
      <c r="BJ489" s="13"/>
      <c r="BK489" s="13"/>
      <c r="BL489" s="13"/>
      <c r="BM489" s="17"/>
      <c r="BN489" s="17"/>
      <c r="BO489" s="2"/>
    </row>
    <row r="490" spans="1:67" s="14" customFormat="1" x14ac:dyDescent="0.3">
      <c r="A490" s="20">
        <v>488</v>
      </c>
      <c r="B490" s="2" t="s">
        <v>210</v>
      </c>
      <c r="C490" s="2">
        <v>2010</v>
      </c>
      <c r="D490" s="2" t="s">
        <v>209</v>
      </c>
      <c r="E490" s="10" t="s">
        <v>208</v>
      </c>
      <c r="F490" s="20" t="s">
        <v>29</v>
      </c>
      <c r="G490" s="2" t="s">
        <v>52</v>
      </c>
      <c r="H490" s="2" t="str">
        <f>'PFAS Properties'!$B$35</f>
        <v>PFDA</v>
      </c>
      <c r="I490" s="2" t="str">
        <f>'PFAS Properties'!$C$35</f>
        <v>PFCA</v>
      </c>
      <c r="J490" s="2" t="str">
        <f>'PFAS Properties'!$D$35</f>
        <v>C10HF19O2</v>
      </c>
      <c r="K490" s="25">
        <f>'PFAS Properties'!$P$35</f>
        <v>513.96719999999993</v>
      </c>
      <c r="L490" s="2">
        <f>'PFAS Properties'!$X$35</f>
        <v>-0.2</v>
      </c>
      <c r="M490" s="2" t="str">
        <f>'PFAS Properties'!$Y$35</f>
        <v>-</v>
      </c>
      <c r="N490" s="33">
        <v>0</v>
      </c>
      <c r="O490" s="33">
        <v>0</v>
      </c>
      <c r="P490" s="33">
        <v>0</v>
      </c>
      <c r="Q490" s="33">
        <f t="shared" si="225"/>
        <v>0.99999998415106828</v>
      </c>
      <c r="R490" s="33">
        <v>0</v>
      </c>
      <c r="S490" s="33">
        <f t="shared" si="226"/>
        <v>1.5848931673422493E-8</v>
      </c>
      <c r="T490" s="8">
        <f t="shared" si="227"/>
        <v>1</v>
      </c>
      <c r="U490" s="33">
        <f t="shared" si="228"/>
        <v>0</v>
      </c>
      <c r="V490" s="33">
        <f t="shared" si="229"/>
        <v>-0.99999998415106828</v>
      </c>
      <c r="W490" s="33">
        <f t="shared" si="230"/>
        <v>512.9672000158489</v>
      </c>
      <c r="X490" s="33">
        <v>96485</v>
      </c>
      <c r="Y490" s="16">
        <f t="shared" si="231"/>
        <v>-188.09194519227501</v>
      </c>
      <c r="Z490" s="16">
        <v>10</v>
      </c>
      <c r="AA490" s="16">
        <v>19</v>
      </c>
      <c r="AB490" s="8">
        <f t="shared" si="232"/>
        <v>0.33240997229916897</v>
      </c>
      <c r="AC490" s="16">
        <f t="shared" si="222"/>
        <v>70.237945145137672</v>
      </c>
      <c r="AD490" s="20">
        <f>'PFAS Properties'!$W$35</f>
        <v>9</v>
      </c>
      <c r="AE490" s="8">
        <f>'PFAS Properties'!$S$35</f>
        <v>0.90308998699194354</v>
      </c>
      <c r="AF490" s="15">
        <f>'PFAS Properties'!$V$35</f>
        <v>6.3</v>
      </c>
      <c r="AG490" s="24">
        <v>7.6</v>
      </c>
      <c r="AH490" s="2" t="s">
        <v>661</v>
      </c>
      <c r="AI490" s="2">
        <v>8.1199999999999992</v>
      </c>
      <c r="AJ490" s="15">
        <f t="shared" si="237"/>
        <v>145.40245321873041</v>
      </c>
      <c r="AK490" s="8">
        <f t="shared" si="234"/>
        <v>0.81199999999999994</v>
      </c>
      <c r="AL490" s="2">
        <v>1.294</v>
      </c>
      <c r="AM490" s="15">
        <f t="shared" si="238"/>
        <v>47.961452928094886</v>
      </c>
      <c r="AN490" s="8">
        <f t="shared" si="235"/>
        <v>0.12940000000000002</v>
      </c>
      <c r="AO490" s="15" t="s">
        <v>41</v>
      </c>
      <c r="AP490" s="72">
        <v>5.6985666666666646</v>
      </c>
      <c r="AQ490" s="70" t="s">
        <v>752</v>
      </c>
      <c r="AR490" s="2">
        <v>41</v>
      </c>
      <c r="AS490" s="2">
        <v>22</v>
      </c>
      <c r="AT490" s="2">
        <v>37</v>
      </c>
      <c r="AU490" s="16" t="s">
        <v>661</v>
      </c>
      <c r="AV490" s="16">
        <f t="shared" si="215"/>
        <v>100</v>
      </c>
      <c r="AW490" s="20">
        <v>0.42</v>
      </c>
      <c r="AX490" s="13">
        <f t="shared" si="236"/>
        <v>4.1999999999999997E-3</v>
      </c>
      <c r="AY490" s="13" t="s">
        <v>53</v>
      </c>
      <c r="AZ490" s="16">
        <f>12/0.025</f>
        <v>480</v>
      </c>
      <c r="BA490" s="16" t="s">
        <v>55</v>
      </c>
      <c r="BB490" s="8">
        <v>0.02</v>
      </c>
      <c r="BC490" s="8">
        <v>1</v>
      </c>
      <c r="BD490" s="18">
        <v>33</v>
      </c>
      <c r="BE490" s="15">
        <f t="shared" si="217"/>
        <v>7857.1428571428578</v>
      </c>
      <c r="BF490" s="8">
        <f t="shared" si="233"/>
        <v>3.8952646494799872</v>
      </c>
      <c r="BG490" s="8">
        <f t="shared" si="223"/>
        <v>1.5185139398778875</v>
      </c>
      <c r="BH490" s="13" t="s">
        <v>837</v>
      </c>
      <c r="BI490" s="13"/>
      <c r="BJ490" s="13"/>
      <c r="BK490" s="13"/>
      <c r="BL490" s="13"/>
      <c r="BM490" s="17"/>
      <c r="BN490" s="17"/>
      <c r="BO490" s="2"/>
    </row>
    <row r="491" spans="1:67" s="14" customFormat="1" x14ac:dyDescent="0.3">
      <c r="A491" s="20">
        <v>489</v>
      </c>
      <c r="B491" s="2" t="s">
        <v>210</v>
      </c>
      <c r="C491" s="2">
        <v>2010</v>
      </c>
      <c r="D491" s="2" t="s">
        <v>209</v>
      </c>
      <c r="E491" s="10" t="s">
        <v>208</v>
      </c>
      <c r="F491" s="20" t="s">
        <v>29</v>
      </c>
      <c r="G491" s="2" t="s">
        <v>54</v>
      </c>
      <c r="H491" s="2" t="str">
        <f>'PFAS Properties'!$B$35</f>
        <v>PFDA</v>
      </c>
      <c r="I491" s="2" t="str">
        <f>'PFAS Properties'!$C$35</f>
        <v>PFCA</v>
      </c>
      <c r="J491" s="2" t="str">
        <f>'PFAS Properties'!$D$35</f>
        <v>C10HF19O2</v>
      </c>
      <c r="K491" s="25">
        <f>'PFAS Properties'!$P$35</f>
        <v>513.96719999999993</v>
      </c>
      <c r="L491" s="2">
        <f>'PFAS Properties'!$X$35</f>
        <v>-0.2</v>
      </c>
      <c r="M491" s="2" t="str">
        <f>'PFAS Properties'!$Y$35</f>
        <v>-</v>
      </c>
      <c r="N491" s="33">
        <v>0</v>
      </c>
      <c r="O491" s="33">
        <v>0</v>
      </c>
      <c r="P491" s="33">
        <v>0</v>
      </c>
      <c r="Q491" s="33">
        <f t="shared" si="225"/>
        <v>0.99999949881301753</v>
      </c>
      <c r="R491" s="33">
        <v>0</v>
      </c>
      <c r="S491" s="33">
        <f t="shared" si="226"/>
        <v>5.0118698243875488E-7</v>
      </c>
      <c r="T491" s="8">
        <f t="shared" si="227"/>
        <v>1</v>
      </c>
      <c r="U491" s="33">
        <f t="shared" si="228"/>
        <v>0</v>
      </c>
      <c r="V491" s="33">
        <f t="shared" si="229"/>
        <v>-0.99999949881301753</v>
      </c>
      <c r="W491" s="33">
        <f t="shared" si="230"/>
        <v>512.96720050118699</v>
      </c>
      <c r="X491" s="33">
        <v>96485</v>
      </c>
      <c r="Y491" s="16">
        <f t="shared" si="231"/>
        <v>-188.09185372613456</v>
      </c>
      <c r="Z491" s="16">
        <v>10</v>
      </c>
      <c r="AA491" s="16">
        <v>19</v>
      </c>
      <c r="AB491" s="8">
        <f t="shared" si="232"/>
        <v>0.33240997229916897</v>
      </c>
      <c r="AC491" s="16">
        <f t="shared" si="222"/>
        <v>70.237945145137672</v>
      </c>
      <c r="AD491" s="20">
        <f>'PFAS Properties'!$W$35</f>
        <v>9</v>
      </c>
      <c r="AE491" s="8">
        <f>'PFAS Properties'!$S$35</f>
        <v>0.90308998699194354</v>
      </c>
      <c r="AF491" s="15">
        <f>'PFAS Properties'!$V$35</f>
        <v>6.3</v>
      </c>
      <c r="AG491" s="24">
        <v>6.1</v>
      </c>
      <c r="AH491" s="2" t="s">
        <v>661</v>
      </c>
      <c r="AI491" s="2">
        <v>2.73</v>
      </c>
      <c r="AJ491" s="15">
        <f t="shared" si="237"/>
        <v>48.885307547676604</v>
      </c>
      <c r="AK491" s="8">
        <f t="shared" si="234"/>
        <v>0.27300000000000002</v>
      </c>
      <c r="AL491" s="2">
        <v>2.6320000000000001</v>
      </c>
      <c r="AM491" s="15">
        <f t="shared" si="238"/>
        <v>97.553743513713854</v>
      </c>
      <c r="AN491" s="8">
        <f t="shared" si="235"/>
        <v>0.26319999999999999</v>
      </c>
      <c r="AO491" s="15" t="s">
        <v>41</v>
      </c>
      <c r="AP491" s="72">
        <v>12.81991666666667</v>
      </c>
      <c r="AQ491" s="70" t="s">
        <v>752</v>
      </c>
      <c r="AR491" s="2">
        <v>94</v>
      </c>
      <c r="AS491" s="2">
        <v>1</v>
      </c>
      <c r="AT491" s="2">
        <v>5</v>
      </c>
      <c r="AU491" s="16" t="s">
        <v>661</v>
      </c>
      <c r="AV491" s="16">
        <f t="shared" si="215"/>
        <v>100</v>
      </c>
      <c r="AW491" s="20">
        <v>1</v>
      </c>
      <c r="AX491" s="13">
        <f t="shared" si="236"/>
        <v>0.01</v>
      </c>
      <c r="AY491" s="13" t="s">
        <v>53</v>
      </c>
      <c r="AZ491" s="16">
        <f>12/0.025</f>
        <v>480</v>
      </c>
      <c r="BA491" s="16" t="s">
        <v>55</v>
      </c>
      <c r="BB491" s="8">
        <v>0.02</v>
      </c>
      <c r="BC491" s="8">
        <v>1</v>
      </c>
      <c r="BD491" s="18">
        <v>30</v>
      </c>
      <c r="BE491" s="15">
        <f t="shared" si="217"/>
        <v>3000</v>
      </c>
      <c r="BF491" s="8">
        <f t="shared" si="233"/>
        <v>3.4771212547196626</v>
      </c>
      <c r="BG491" s="8">
        <f t="shared" si="223"/>
        <v>1.4771212547196624</v>
      </c>
      <c r="BH491" s="13" t="s">
        <v>837</v>
      </c>
      <c r="BI491" s="2"/>
      <c r="BJ491" s="2"/>
      <c r="BK491" s="2"/>
      <c r="BL491" s="2"/>
      <c r="BM491" s="2"/>
      <c r="BN491" s="2"/>
      <c r="BO491" s="2"/>
    </row>
    <row r="492" spans="1:67" s="14" customFormat="1" x14ac:dyDescent="0.3">
      <c r="A492" s="20">
        <v>490</v>
      </c>
      <c r="B492" s="2" t="s">
        <v>204</v>
      </c>
      <c r="C492" s="2">
        <v>2013</v>
      </c>
      <c r="D492" s="2" t="s">
        <v>203</v>
      </c>
      <c r="E492" s="22" t="s">
        <v>792</v>
      </c>
      <c r="F492" s="20" t="s">
        <v>29</v>
      </c>
      <c r="G492" s="2" t="s">
        <v>46</v>
      </c>
      <c r="H492" s="2" t="str">
        <f>'PFAS Properties'!$B$35</f>
        <v>PFDA</v>
      </c>
      <c r="I492" s="2" t="str">
        <f>'PFAS Properties'!$C$35</f>
        <v>PFCA</v>
      </c>
      <c r="J492" s="2" t="str">
        <f>'PFAS Properties'!$D$35</f>
        <v>C10HF19O2</v>
      </c>
      <c r="K492" s="25">
        <f>'PFAS Properties'!$P$35</f>
        <v>513.96719999999993</v>
      </c>
      <c r="L492" s="2">
        <f>'PFAS Properties'!$X$35</f>
        <v>-0.2</v>
      </c>
      <c r="M492" s="2" t="str">
        <f>'PFAS Properties'!$Y$35</f>
        <v>-</v>
      </c>
      <c r="N492" s="33">
        <v>0</v>
      </c>
      <c r="O492" s="33">
        <v>0</v>
      </c>
      <c r="P492" s="33">
        <v>0</v>
      </c>
      <c r="Q492" s="33">
        <f t="shared" si="225"/>
        <v>0.99999949881301753</v>
      </c>
      <c r="R492" s="33">
        <v>0</v>
      </c>
      <c r="S492" s="33">
        <f t="shared" si="226"/>
        <v>5.0118698243875488E-7</v>
      </c>
      <c r="T492" s="8">
        <f t="shared" si="227"/>
        <v>1</v>
      </c>
      <c r="U492" s="33">
        <f t="shared" si="228"/>
        <v>0</v>
      </c>
      <c r="V492" s="33">
        <f t="shared" si="229"/>
        <v>-0.99999949881301753</v>
      </c>
      <c r="W492" s="33">
        <f t="shared" si="230"/>
        <v>512.96720050118699</v>
      </c>
      <c r="X492" s="33">
        <v>96485</v>
      </c>
      <c r="Y492" s="16">
        <f t="shared" si="231"/>
        <v>-188.09185372613456</v>
      </c>
      <c r="Z492" s="16">
        <v>10</v>
      </c>
      <c r="AA492" s="16">
        <v>19</v>
      </c>
      <c r="AB492" s="8">
        <f t="shared" si="232"/>
        <v>0.33240997229916897</v>
      </c>
      <c r="AC492" s="16">
        <f t="shared" si="222"/>
        <v>70.237945145137672</v>
      </c>
      <c r="AD492" s="20">
        <f>'PFAS Properties'!$W$35</f>
        <v>9</v>
      </c>
      <c r="AE492" s="8">
        <f>'PFAS Properties'!$S$35</f>
        <v>0.90308998699194354</v>
      </c>
      <c r="AF492" s="15">
        <f>'PFAS Properties'!$V$35</f>
        <v>6.3</v>
      </c>
      <c r="AG492" s="24">
        <v>6.1</v>
      </c>
      <c r="AH492" s="2" t="s">
        <v>661</v>
      </c>
      <c r="AI492" s="15">
        <v>2.21</v>
      </c>
      <c r="AJ492" s="16">
        <f>AI492*1000/55.845</f>
        <v>39.573820395738203</v>
      </c>
      <c r="AK492" s="8">
        <f>AI492/10</f>
        <v>0.221</v>
      </c>
      <c r="AL492" s="15">
        <v>0.93</v>
      </c>
      <c r="AM492" s="16">
        <f>AL492*1000/26.98</f>
        <v>34.469977761304669</v>
      </c>
      <c r="AN492" s="8">
        <f>AL492/10</f>
        <v>9.2999999999999999E-2</v>
      </c>
      <c r="AO492" s="15" t="s">
        <v>41</v>
      </c>
      <c r="AP492" s="72">
        <v>14.27683666666667</v>
      </c>
      <c r="AQ492" s="2" t="s">
        <v>752</v>
      </c>
      <c r="AR492" s="16">
        <v>81</v>
      </c>
      <c r="AS492" s="16">
        <v>1</v>
      </c>
      <c r="AT492" s="16">
        <v>9</v>
      </c>
      <c r="AU492" s="16" t="s">
        <v>661</v>
      </c>
      <c r="AV492" s="16">
        <f t="shared" ref="AV492:AV494" si="240">SUM(AR492:AT492)</f>
        <v>91</v>
      </c>
      <c r="AW492" s="18">
        <v>1.7</v>
      </c>
      <c r="AX492" s="13">
        <f t="shared" si="236"/>
        <v>1.7000000000000001E-2</v>
      </c>
      <c r="AY492" s="13" t="s">
        <v>42</v>
      </c>
      <c r="AZ492" s="16">
        <f>15/0.04</f>
        <v>375</v>
      </c>
      <c r="BA492" s="16" t="s">
        <v>55</v>
      </c>
      <c r="BB492" s="15">
        <v>0.5</v>
      </c>
      <c r="BC492" s="16">
        <v>1000</v>
      </c>
      <c r="BD492" s="18">
        <v>8.69</v>
      </c>
      <c r="BE492" s="15">
        <f t="shared" si="217"/>
        <v>511.17647058823525</v>
      </c>
      <c r="BF492" s="8">
        <f t="shared" si="233"/>
        <v>2.7085708550703926</v>
      </c>
      <c r="BG492" s="8">
        <f t="shared" si="223"/>
        <v>0.93901977644866641</v>
      </c>
      <c r="BH492" s="13" t="s">
        <v>844</v>
      </c>
      <c r="BI492" s="13"/>
      <c r="BJ492" s="13"/>
      <c r="BK492" s="8"/>
      <c r="BL492" s="8"/>
      <c r="BM492" s="18"/>
      <c r="BN492" s="8"/>
      <c r="BO492" s="24"/>
    </row>
    <row r="493" spans="1:67" s="14" customFormat="1" x14ac:dyDescent="0.3">
      <c r="A493" s="20">
        <v>491</v>
      </c>
      <c r="B493" s="2" t="s">
        <v>204</v>
      </c>
      <c r="C493" s="2">
        <v>2013</v>
      </c>
      <c r="D493" s="2" t="s">
        <v>203</v>
      </c>
      <c r="E493" s="10" t="s">
        <v>792</v>
      </c>
      <c r="F493" s="20" t="s">
        <v>29</v>
      </c>
      <c r="G493" s="2" t="s">
        <v>50</v>
      </c>
      <c r="H493" s="2" t="str">
        <f>'PFAS Properties'!$B$35</f>
        <v>PFDA</v>
      </c>
      <c r="I493" s="2" t="str">
        <f>'PFAS Properties'!$C$35</f>
        <v>PFCA</v>
      </c>
      <c r="J493" s="2" t="str">
        <f>'PFAS Properties'!$D$35</f>
        <v>C10HF19O2</v>
      </c>
      <c r="K493" s="25">
        <f>'PFAS Properties'!$P$35</f>
        <v>513.96719999999993</v>
      </c>
      <c r="L493" s="2">
        <f>'PFAS Properties'!$X$35</f>
        <v>-0.2</v>
      </c>
      <c r="M493" s="2" t="str">
        <f>'PFAS Properties'!$Y$35</f>
        <v>-</v>
      </c>
      <c r="N493" s="33">
        <v>0</v>
      </c>
      <c r="O493" s="33">
        <v>0</v>
      </c>
      <c r="P493" s="33">
        <v>0</v>
      </c>
      <c r="Q493" s="33">
        <f t="shared" si="225"/>
        <v>0.99999999000000006</v>
      </c>
      <c r="R493" s="33">
        <v>0</v>
      </c>
      <c r="S493" s="33">
        <f t="shared" si="226"/>
        <v>9.9999999000000002E-9</v>
      </c>
      <c r="T493" s="8">
        <f t="shared" si="227"/>
        <v>1</v>
      </c>
      <c r="U493" s="33">
        <f t="shared" si="228"/>
        <v>0</v>
      </c>
      <c r="V493" s="33">
        <f t="shared" si="229"/>
        <v>-0.99999999000000006</v>
      </c>
      <c r="W493" s="33">
        <f t="shared" si="230"/>
        <v>512.96720000999994</v>
      </c>
      <c r="X493" s="33">
        <v>96485</v>
      </c>
      <c r="Y493" s="16">
        <f t="shared" si="231"/>
        <v>-188.09194629455664</v>
      </c>
      <c r="Z493" s="16">
        <v>10</v>
      </c>
      <c r="AA493" s="16">
        <v>19</v>
      </c>
      <c r="AB493" s="8">
        <f t="shared" si="232"/>
        <v>0.33240997229916897</v>
      </c>
      <c r="AC493" s="16">
        <f t="shared" si="222"/>
        <v>70.237945145137672</v>
      </c>
      <c r="AD493" s="20">
        <f>'PFAS Properties'!$W$35</f>
        <v>9</v>
      </c>
      <c r="AE493" s="8">
        <f>'PFAS Properties'!$S$35</f>
        <v>0.90308998699194354</v>
      </c>
      <c r="AF493" s="15">
        <f>'PFAS Properties'!$V$35</f>
        <v>6.3</v>
      </c>
      <c r="AG493" s="24">
        <v>7.8</v>
      </c>
      <c r="AH493" s="2" t="s">
        <v>661</v>
      </c>
      <c r="AI493" s="15">
        <v>6.14</v>
      </c>
      <c r="AJ493" s="16">
        <f>AI493/10</f>
        <v>0.61399999999999999</v>
      </c>
      <c r="AK493" s="8">
        <f>AI493/10</f>
        <v>0.61399999999999999</v>
      </c>
      <c r="AL493" s="15">
        <v>1.67</v>
      </c>
      <c r="AM493" s="15">
        <f>AL493/10</f>
        <v>0.16699999999999998</v>
      </c>
      <c r="AN493" s="8">
        <f>AL493/10</f>
        <v>0.16699999999999998</v>
      </c>
      <c r="AO493" s="15" t="s">
        <v>41</v>
      </c>
      <c r="AP493" s="72">
        <v>6.4956666666666676</v>
      </c>
      <c r="AQ493" s="2" t="s">
        <v>752</v>
      </c>
      <c r="AR493" s="16">
        <v>33</v>
      </c>
      <c r="AS493" s="16">
        <v>42</v>
      </c>
      <c r="AT493" s="16">
        <v>25</v>
      </c>
      <c r="AU493" s="16" t="s">
        <v>661</v>
      </c>
      <c r="AV493" s="16">
        <f t="shared" si="240"/>
        <v>100</v>
      </c>
      <c r="AW493" s="18">
        <v>4.5</v>
      </c>
      <c r="AX493" s="13">
        <f t="shared" si="236"/>
        <v>4.4999999999999998E-2</v>
      </c>
      <c r="AY493" s="13" t="s">
        <v>42</v>
      </c>
      <c r="AZ493" s="16">
        <f>15/0.04</f>
        <v>375</v>
      </c>
      <c r="BA493" s="16" t="s">
        <v>55</v>
      </c>
      <c r="BB493" s="15">
        <v>0.5</v>
      </c>
      <c r="BC493" s="16">
        <v>1000</v>
      </c>
      <c r="BD493" s="18">
        <v>58.91</v>
      </c>
      <c r="BE493" s="15">
        <f t="shared" ref="BE493:BE505" si="241">BD493/AX493</f>
        <v>1309.1111111111111</v>
      </c>
      <c r="BF493" s="8">
        <f t="shared" si="233"/>
        <v>3.1169765089606498</v>
      </c>
      <c r="BG493" s="8">
        <f t="shared" si="223"/>
        <v>1.7701890227359933</v>
      </c>
      <c r="BH493" s="13" t="s">
        <v>844</v>
      </c>
      <c r="BI493" s="13"/>
      <c r="BJ493" s="13"/>
      <c r="BK493" s="8"/>
      <c r="BL493" s="8"/>
      <c r="BM493" s="18"/>
      <c r="BN493" s="8"/>
      <c r="BO493" s="24"/>
    </row>
    <row r="494" spans="1:67" s="14" customFormat="1" x14ac:dyDescent="0.3">
      <c r="A494" s="20">
        <v>492</v>
      </c>
      <c r="B494" s="2" t="s">
        <v>204</v>
      </c>
      <c r="C494" s="2">
        <v>2013</v>
      </c>
      <c r="D494" s="2" t="s">
        <v>203</v>
      </c>
      <c r="E494" s="10" t="s">
        <v>792</v>
      </c>
      <c r="F494" s="20" t="s">
        <v>29</v>
      </c>
      <c r="G494" s="2" t="s">
        <v>40</v>
      </c>
      <c r="H494" s="2" t="str">
        <f>'PFAS Properties'!$B$35</f>
        <v>PFDA</v>
      </c>
      <c r="I494" s="2" t="str">
        <f>'PFAS Properties'!$C$35</f>
        <v>PFCA</v>
      </c>
      <c r="J494" s="2" t="str">
        <f>'PFAS Properties'!$D$35</f>
        <v>C10HF19O2</v>
      </c>
      <c r="K494" s="25">
        <f>'PFAS Properties'!$P$35</f>
        <v>513.96719999999993</v>
      </c>
      <c r="L494" s="2">
        <f>'PFAS Properties'!$X$35</f>
        <v>-0.2</v>
      </c>
      <c r="M494" s="2" t="str">
        <f>'PFAS Properties'!$Y$35</f>
        <v>-</v>
      </c>
      <c r="N494" s="33">
        <v>0</v>
      </c>
      <c r="O494" s="33">
        <v>0</v>
      </c>
      <c r="P494" s="33">
        <v>0</v>
      </c>
      <c r="Q494" s="33">
        <f t="shared" si="225"/>
        <v>0.99999601894414336</v>
      </c>
      <c r="R494" s="33">
        <v>0</v>
      </c>
      <c r="S494" s="33">
        <f t="shared" si="226"/>
        <v>3.981055856666137E-6</v>
      </c>
      <c r="T494" s="8">
        <f t="shared" si="227"/>
        <v>1</v>
      </c>
      <c r="U494" s="33">
        <f t="shared" si="228"/>
        <v>0</v>
      </c>
      <c r="V494" s="33">
        <f t="shared" si="229"/>
        <v>-0.99999601894414336</v>
      </c>
      <c r="W494" s="33">
        <f t="shared" si="230"/>
        <v>512.96720398105583</v>
      </c>
      <c r="X494" s="33">
        <v>96485</v>
      </c>
      <c r="Y494" s="16">
        <f t="shared" si="231"/>
        <v>-188.09119791484545</v>
      </c>
      <c r="Z494" s="16">
        <v>10</v>
      </c>
      <c r="AA494" s="16">
        <v>19</v>
      </c>
      <c r="AB494" s="8">
        <f t="shared" si="232"/>
        <v>0.33240997229916897</v>
      </c>
      <c r="AC494" s="16">
        <f t="shared" si="222"/>
        <v>70.237945145137672</v>
      </c>
      <c r="AD494" s="20">
        <f>'PFAS Properties'!$W$35</f>
        <v>9</v>
      </c>
      <c r="AE494" s="8">
        <f>'PFAS Properties'!$S$35</f>
        <v>0.90308998699194354</v>
      </c>
      <c r="AF494" s="15">
        <f>'PFAS Properties'!$V$35</f>
        <v>6.3</v>
      </c>
      <c r="AG494" s="24">
        <v>5.2</v>
      </c>
      <c r="AH494" s="2" t="s">
        <v>661</v>
      </c>
      <c r="AI494" s="15">
        <v>24.17</v>
      </c>
      <c r="AJ494" s="16">
        <f>AI494*1000/55.845</f>
        <v>432.80508550452146</v>
      </c>
      <c r="AK494" s="8">
        <f>AI494/10</f>
        <v>2.4170000000000003</v>
      </c>
      <c r="AL494" s="15">
        <v>3.99</v>
      </c>
      <c r="AM494" s="16">
        <f>AL494*1000/26.98</f>
        <v>147.88732394366198</v>
      </c>
      <c r="AN494" s="8">
        <f>AL494/10</f>
        <v>0.39900000000000002</v>
      </c>
      <c r="AO494" s="15" t="s">
        <v>41</v>
      </c>
      <c r="AP494" s="72">
        <v>12.009766666666669</v>
      </c>
      <c r="AQ494" s="2" t="s">
        <v>752</v>
      </c>
      <c r="AR494" s="16">
        <v>47</v>
      </c>
      <c r="AS494" s="16">
        <v>20</v>
      </c>
      <c r="AT494" s="16">
        <v>33</v>
      </c>
      <c r="AU494" s="16" t="s">
        <v>661</v>
      </c>
      <c r="AV494" s="16">
        <f t="shared" si="240"/>
        <v>100</v>
      </c>
      <c r="AW494" s="18">
        <v>0.8</v>
      </c>
      <c r="AX494" s="13">
        <f t="shared" si="236"/>
        <v>8.0000000000000002E-3</v>
      </c>
      <c r="AY494" s="13" t="s">
        <v>42</v>
      </c>
      <c r="AZ494" s="16">
        <f>15/0.04</f>
        <v>375</v>
      </c>
      <c r="BA494" s="16" t="s">
        <v>55</v>
      </c>
      <c r="BB494" s="15">
        <v>0.5</v>
      </c>
      <c r="BC494" s="16">
        <v>1000</v>
      </c>
      <c r="BD494" s="18">
        <v>5.36</v>
      </c>
      <c r="BE494" s="15">
        <f t="shared" si="241"/>
        <v>670</v>
      </c>
      <c r="BF494" s="8">
        <f t="shared" si="233"/>
        <v>2.8260748027008264</v>
      </c>
      <c r="BG494" s="8">
        <f t="shared" si="223"/>
        <v>0.7291647896927701</v>
      </c>
      <c r="BH494" s="13" t="s">
        <v>844</v>
      </c>
      <c r="BI494" s="13"/>
      <c r="BJ494" s="13"/>
      <c r="BK494" s="8"/>
      <c r="BL494" s="8"/>
      <c r="BM494" s="18"/>
      <c r="BN494" s="8"/>
      <c r="BO494" s="24"/>
    </row>
    <row r="495" spans="1:67" s="94" customFormat="1" x14ac:dyDescent="0.3">
      <c r="A495" s="83">
        <v>493</v>
      </c>
      <c r="B495" s="84" t="s">
        <v>195</v>
      </c>
      <c r="C495" s="84">
        <v>2018</v>
      </c>
      <c r="D495" s="84" t="s">
        <v>199</v>
      </c>
      <c r="E495" s="98" t="s">
        <v>795</v>
      </c>
      <c r="F495" s="83" t="s">
        <v>29</v>
      </c>
      <c r="G495" s="84" t="s">
        <v>47</v>
      </c>
      <c r="H495" s="84" t="str">
        <f>'PFAS Properties'!$B$35</f>
        <v>PFDA</v>
      </c>
      <c r="I495" s="84" t="str">
        <f>'PFAS Properties'!$C$35</f>
        <v>PFCA</v>
      </c>
      <c r="J495" s="84" t="str">
        <f>'PFAS Properties'!$D$35</f>
        <v>C10HF19O2</v>
      </c>
      <c r="K495" s="99">
        <f>'PFAS Properties'!$P$35</f>
        <v>513.96719999999993</v>
      </c>
      <c r="L495" s="84">
        <f>'PFAS Properties'!$X$35</f>
        <v>-0.2</v>
      </c>
      <c r="M495" s="84" t="str">
        <f>'PFAS Properties'!$Y$35</f>
        <v>-</v>
      </c>
      <c r="N495" s="87">
        <v>0</v>
      </c>
      <c r="O495" s="87">
        <v>0</v>
      </c>
      <c r="P495" s="87">
        <v>0</v>
      </c>
      <c r="Q495" s="87">
        <f t="shared" si="225"/>
        <v>0.99998004777494953</v>
      </c>
      <c r="R495" s="87">
        <v>0</v>
      </c>
      <c r="S495" s="87">
        <f t="shared" si="226"/>
        <v>1.9952225050461341E-5</v>
      </c>
      <c r="T495" s="88">
        <f t="shared" si="227"/>
        <v>1</v>
      </c>
      <c r="U495" s="87">
        <f t="shared" si="228"/>
        <v>0</v>
      </c>
      <c r="V495" s="87">
        <f t="shared" si="229"/>
        <v>-0.99998004777494953</v>
      </c>
      <c r="W495" s="87">
        <f t="shared" si="230"/>
        <v>512.96721995222492</v>
      </c>
      <c r="X495" s="87">
        <v>96485</v>
      </c>
      <c r="Y495" s="89">
        <f t="shared" si="231"/>
        <v>-188.08818801043842</v>
      </c>
      <c r="Z495" s="89">
        <v>10</v>
      </c>
      <c r="AA495" s="89">
        <v>19</v>
      </c>
      <c r="AB495" s="88">
        <f t="shared" si="232"/>
        <v>0.33240997229916897</v>
      </c>
      <c r="AC495" s="89">
        <f t="shared" si="222"/>
        <v>70.237945145137672</v>
      </c>
      <c r="AD495" s="83">
        <f>'PFAS Properties'!$W$35</f>
        <v>9</v>
      </c>
      <c r="AE495" s="88">
        <f>'PFAS Properties'!$S$35</f>
        <v>0.90308998699194354</v>
      </c>
      <c r="AF495" s="90">
        <f>'PFAS Properties'!$V$35</f>
        <v>6.3</v>
      </c>
      <c r="AG495" s="93">
        <v>4.5</v>
      </c>
      <c r="AH495" s="84" t="s">
        <v>658</v>
      </c>
      <c r="AI495" s="88">
        <f t="shared" ref="AI495:AI505" si="242">AJ495*55.845/1000</f>
        <v>5.8637250000000002E-2</v>
      </c>
      <c r="AJ495" s="89">
        <v>1.05</v>
      </c>
      <c r="AK495" s="88">
        <f t="shared" si="234"/>
        <v>5.8637250000000002E-3</v>
      </c>
      <c r="AL495" s="90">
        <f>AM495*26.98/1000</f>
        <v>0.18454320000000002</v>
      </c>
      <c r="AM495" s="89">
        <v>6.84</v>
      </c>
      <c r="AN495" s="88">
        <f t="shared" si="235"/>
        <v>1.8454320000000003E-2</v>
      </c>
      <c r="AO495" s="84" t="s">
        <v>48</v>
      </c>
      <c r="AP495" s="92">
        <v>21.496500000000001</v>
      </c>
      <c r="AQ495" s="84" t="s">
        <v>752</v>
      </c>
      <c r="AR495" s="96">
        <v>41.737499999999997</v>
      </c>
      <c r="AS495" s="96">
        <v>35.036999999999999</v>
      </c>
      <c r="AT495" s="96">
        <v>21.971</v>
      </c>
      <c r="AU495" s="84" t="s">
        <v>752</v>
      </c>
      <c r="AV495" s="89">
        <f t="shared" ref="AV495:AV505" si="243">SUM(AR495:AT495)</f>
        <v>98.745499999999993</v>
      </c>
      <c r="AW495" s="83">
        <v>45</v>
      </c>
      <c r="AX495" s="91">
        <f t="shared" si="236"/>
        <v>0.45</v>
      </c>
      <c r="AY495" s="88" t="s">
        <v>49</v>
      </c>
      <c r="AZ495" s="89">
        <f>0.45/0.04</f>
        <v>11.25</v>
      </c>
      <c r="BA495" s="89" t="s">
        <v>55</v>
      </c>
      <c r="BB495" s="89">
        <v>1.25</v>
      </c>
      <c r="BC495" s="89" t="s">
        <v>55</v>
      </c>
      <c r="BD495" s="99">
        <f>(10^(4.4)*AX495)</f>
        <v>11303.488941793137</v>
      </c>
      <c r="BE495" s="89">
        <f t="shared" si="241"/>
        <v>25118.86431509586</v>
      </c>
      <c r="BF495" s="88">
        <f t="shared" si="233"/>
        <v>4.4000000000000012</v>
      </c>
      <c r="BG495" s="88">
        <f t="shared" si="223"/>
        <v>4.0532125137753443</v>
      </c>
      <c r="BH495" s="84" t="s">
        <v>823</v>
      </c>
      <c r="BI495" s="84"/>
      <c r="BJ495" s="84"/>
      <c r="BK495" s="84"/>
      <c r="BL495" s="84"/>
      <c r="BM495" s="83"/>
      <c r="BN495" s="83"/>
      <c r="BO495" s="84"/>
    </row>
    <row r="496" spans="1:67" s="14" customFormat="1" x14ac:dyDescent="0.3">
      <c r="A496" s="20">
        <v>494</v>
      </c>
      <c r="B496" s="2" t="s">
        <v>690</v>
      </c>
      <c r="C496" s="2">
        <v>2023</v>
      </c>
      <c r="D496" s="2" t="s">
        <v>199</v>
      </c>
      <c r="E496" s="10" t="s">
        <v>803</v>
      </c>
      <c r="F496" s="20" t="s">
        <v>29</v>
      </c>
      <c r="G496" s="2" t="s">
        <v>691</v>
      </c>
      <c r="H496" s="2" t="str">
        <f>'PFAS Properties'!$B$35</f>
        <v>PFDA</v>
      </c>
      <c r="I496" s="2" t="str">
        <f>'PFAS Properties'!$C$35</f>
        <v>PFCA</v>
      </c>
      <c r="J496" s="2" t="str">
        <f>'PFAS Properties'!$D$35</f>
        <v>C10HF19O2</v>
      </c>
      <c r="K496" s="25">
        <f>'PFAS Properties'!$P$35</f>
        <v>513.96719999999993</v>
      </c>
      <c r="L496" s="2">
        <f>'PFAS Properties'!$X$35</f>
        <v>-0.2</v>
      </c>
      <c r="M496" s="2" t="str">
        <f>'PFAS Properties'!$Y$35</f>
        <v>-</v>
      </c>
      <c r="N496" s="33">
        <v>0</v>
      </c>
      <c r="O496" s="33">
        <v>0</v>
      </c>
      <c r="P496" s="33">
        <v>0</v>
      </c>
      <c r="Q496" s="33">
        <f t="shared" si="225"/>
        <v>0.9999992056723962</v>
      </c>
      <c r="R496" s="33">
        <v>0</v>
      </c>
      <c r="S496" s="33">
        <f t="shared" si="226"/>
        <v>7.9432760376743655E-7</v>
      </c>
      <c r="T496" s="8">
        <f t="shared" si="227"/>
        <v>1</v>
      </c>
      <c r="U496" s="33">
        <f t="shared" si="228"/>
        <v>0</v>
      </c>
      <c r="V496" s="33">
        <f t="shared" si="229"/>
        <v>-0.9999992056723962</v>
      </c>
      <c r="W496" s="33">
        <f t="shared" si="230"/>
        <v>512.96720079432748</v>
      </c>
      <c r="X496" s="33">
        <v>96485</v>
      </c>
      <c r="Y496" s="16">
        <f t="shared" si="231"/>
        <v>-188.09179848125703</v>
      </c>
      <c r="Z496" s="16">
        <v>10</v>
      </c>
      <c r="AA496" s="16">
        <v>19</v>
      </c>
      <c r="AB496" s="8">
        <f t="shared" si="232"/>
        <v>0.33240997229916897</v>
      </c>
      <c r="AC496" s="16">
        <f t="shared" si="222"/>
        <v>70.237945145137672</v>
      </c>
      <c r="AD496" s="20">
        <f>'PFAS Properties'!$W$35</f>
        <v>9</v>
      </c>
      <c r="AE496" s="8">
        <f>'PFAS Properties'!$S$35</f>
        <v>0.90308998699194354</v>
      </c>
      <c r="AF496" s="15">
        <f>'PFAS Properties'!$V$35</f>
        <v>6.3</v>
      </c>
      <c r="AG496" s="24">
        <v>5.9</v>
      </c>
      <c r="AH496" s="2" t="s">
        <v>701</v>
      </c>
      <c r="AI496" s="15">
        <f t="shared" si="242"/>
        <v>10.052100000000001</v>
      </c>
      <c r="AJ496" s="16">
        <v>180</v>
      </c>
      <c r="AK496" s="8">
        <f t="shared" si="234"/>
        <v>1.0052100000000002</v>
      </c>
      <c r="AL496" s="15">
        <f t="shared" ref="AL496:AL505" si="244">AM496*26.982/1000</f>
        <v>1.3491</v>
      </c>
      <c r="AM496" s="16">
        <v>50</v>
      </c>
      <c r="AN496" s="8">
        <f t="shared" si="235"/>
        <v>0.13491</v>
      </c>
      <c r="AO496" s="15" t="s">
        <v>705</v>
      </c>
      <c r="AP496" s="15">
        <v>20</v>
      </c>
      <c r="AQ496" s="15" t="s">
        <v>702</v>
      </c>
      <c r="AR496" s="2">
        <v>4.2</v>
      </c>
      <c r="AS496" s="2">
        <v>53</v>
      </c>
      <c r="AT496" s="2">
        <v>43</v>
      </c>
      <c r="AU496" s="2" t="s">
        <v>703</v>
      </c>
      <c r="AV496" s="16">
        <f t="shared" si="243"/>
        <v>100.2</v>
      </c>
      <c r="AW496" s="20">
        <v>3.1</v>
      </c>
      <c r="AX496" s="13">
        <f t="shared" si="236"/>
        <v>3.1E-2</v>
      </c>
      <c r="AY496" s="8" t="s">
        <v>704</v>
      </c>
      <c r="AZ496" s="16">
        <v>10</v>
      </c>
      <c r="BA496" s="16" t="s">
        <v>55</v>
      </c>
      <c r="BB496" s="16" t="s">
        <v>55</v>
      </c>
      <c r="BC496" s="16" t="s">
        <v>55</v>
      </c>
      <c r="BD496" s="24">
        <f t="shared" ref="BD496:BD505" si="245">10^BG496</f>
        <v>36.307805477010156</v>
      </c>
      <c r="BE496" s="16">
        <f t="shared" si="241"/>
        <v>1171.2195315164568</v>
      </c>
      <c r="BF496" s="16">
        <f t="shared" si="233"/>
        <v>3.0686383061657274</v>
      </c>
      <c r="BG496" s="8">
        <v>1.56</v>
      </c>
      <c r="BH496" s="15" t="s">
        <v>846</v>
      </c>
      <c r="BI496" s="8"/>
      <c r="BJ496" s="13"/>
      <c r="BK496" s="16"/>
      <c r="BL496" s="16"/>
      <c r="BM496" s="16"/>
      <c r="BN496" s="16"/>
      <c r="BO496" s="2"/>
    </row>
    <row r="497" spans="1:69" x14ac:dyDescent="0.3">
      <c r="A497" s="20">
        <v>495</v>
      </c>
      <c r="B497" s="2" t="s">
        <v>690</v>
      </c>
      <c r="C497" s="2">
        <v>2023</v>
      </c>
      <c r="D497" s="2" t="s">
        <v>199</v>
      </c>
      <c r="E497" s="10" t="s">
        <v>803</v>
      </c>
      <c r="F497" s="20" t="s">
        <v>29</v>
      </c>
      <c r="G497" s="2" t="s">
        <v>692</v>
      </c>
      <c r="H497" s="2" t="str">
        <f>'PFAS Properties'!$B$35</f>
        <v>PFDA</v>
      </c>
      <c r="I497" s="2" t="str">
        <f>'PFAS Properties'!$C$35</f>
        <v>PFCA</v>
      </c>
      <c r="J497" s="2" t="str">
        <f>'PFAS Properties'!$D$35</f>
        <v>C10HF19O2</v>
      </c>
      <c r="K497" s="25">
        <f>'PFAS Properties'!$P$35</f>
        <v>513.96719999999993</v>
      </c>
      <c r="L497" s="2">
        <f>'PFAS Properties'!$X$35</f>
        <v>-0.2</v>
      </c>
      <c r="M497" s="2" t="str">
        <f>'PFAS Properties'!$Y$35</f>
        <v>-</v>
      </c>
      <c r="N497" s="33">
        <v>0</v>
      </c>
      <c r="O497" s="33">
        <v>0</v>
      </c>
      <c r="P497" s="33">
        <v>0</v>
      </c>
      <c r="Q497" s="33">
        <f t="shared" si="225"/>
        <v>0.99999800474166611</v>
      </c>
      <c r="R497" s="33">
        <v>0</v>
      </c>
      <c r="S497" s="33">
        <f t="shared" si="226"/>
        <v>1.9952583339051124E-6</v>
      </c>
      <c r="T497" s="8">
        <f t="shared" si="227"/>
        <v>1</v>
      </c>
      <c r="U497" s="33">
        <f t="shared" si="228"/>
        <v>0</v>
      </c>
      <c r="V497" s="33">
        <f t="shared" si="229"/>
        <v>-0.99999800474166611</v>
      </c>
      <c r="W497" s="33">
        <f t="shared" si="230"/>
        <v>512.96720199525828</v>
      </c>
      <c r="X497" s="33">
        <v>96485</v>
      </c>
      <c r="Y497" s="16">
        <f t="shared" si="231"/>
        <v>-188.09157215550698</v>
      </c>
      <c r="Z497" s="16">
        <v>10</v>
      </c>
      <c r="AA497" s="16">
        <v>19</v>
      </c>
      <c r="AB497" s="8">
        <f t="shared" si="232"/>
        <v>0.33240997229916897</v>
      </c>
      <c r="AC497" s="16">
        <f t="shared" si="222"/>
        <v>70.237945145137672</v>
      </c>
      <c r="AD497" s="20">
        <f>'PFAS Properties'!$W$35</f>
        <v>9</v>
      </c>
      <c r="AE497" s="8">
        <f>'PFAS Properties'!$S$35</f>
        <v>0.90308998699194354</v>
      </c>
      <c r="AF497" s="15">
        <f>'PFAS Properties'!$V$35</f>
        <v>6.3</v>
      </c>
      <c r="AG497" s="26">
        <v>5.5</v>
      </c>
      <c r="AH497" s="2" t="s">
        <v>701</v>
      </c>
      <c r="AI497" s="15">
        <f t="shared" si="242"/>
        <v>7.2598499999999992</v>
      </c>
      <c r="AJ497" s="16">
        <v>130</v>
      </c>
      <c r="AK497" s="8">
        <f t="shared" si="234"/>
        <v>0.72598499999999988</v>
      </c>
      <c r="AL497" s="15">
        <f t="shared" si="244"/>
        <v>13.491</v>
      </c>
      <c r="AM497" s="16">
        <v>500</v>
      </c>
      <c r="AN497" s="8">
        <f t="shared" si="235"/>
        <v>1.3491</v>
      </c>
      <c r="AO497" s="15" t="s">
        <v>705</v>
      </c>
      <c r="AP497" s="15">
        <v>1</v>
      </c>
      <c r="AQ497" s="15" t="s">
        <v>702</v>
      </c>
      <c r="AR497" s="4">
        <v>54</v>
      </c>
      <c r="AS497" s="4">
        <v>42</v>
      </c>
      <c r="AT497" s="4">
        <v>4</v>
      </c>
      <c r="AU497" s="2" t="s">
        <v>703</v>
      </c>
      <c r="AV497" s="16">
        <f t="shared" si="243"/>
        <v>100</v>
      </c>
      <c r="AW497" s="7">
        <v>2.2000000000000002</v>
      </c>
      <c r="AX497" s="13">
        <f t="shared" si="236"/>
        <v>2.2000000000000002E-2</v>
      </c>
      <c r="AY497" s="8" t="s">
        <v>704</v>
      </c>
      <c r="AZ497" s="16">
        <v>10</v>
      </c>
      <c r="BA497" s="16" t="s">
        <v>55</v>
      </c>
      <c r="BB497" s="16" t="s">
        <v>55</v>
      </c>
      <c r="BC497" s="16" t="s">
        <v>55</v>
      </c>
      <c r="BD497" s="24">
        <f t="shared" si="245"/>
        <v>88.104887300801408</v>
      </c>
      <c r="BE497" s="16">
        <f t="shared" si="241"/>
        <v>4004.7676045818816</v>
      </c>
      <c r="BF497" s="16">
        <f t="shared" si="233"/>
        <v>3.6025773191777937</v>
      </c>
      <c r="BG497" s="8">
        <f>(2.11+1.78)/2</f>
        <v>1.9449999999999998</v>
      </c>
      <c r="BH497" s="15" t="s">
        <v>847</v>
      </c>
      <c r="BI497" s="1"/>
      <c r="BJ497" s="2"/>
      <c r="BK497" s="1"/>
      <c r="BL497" s="1"/>
      <c r="BM497" s="7"/>
      <c r="BN497" s="7"/>
      <c r="BO497" s="1"/>
      <c r="BP497" s="11"/>
      <c r="BQ497" s="11"/>
    </row>
    <row r="498" spans="1:69" x14ac:dyDescent="0.3">
      <c r="A498" s="20">
        <v>496</v>
      </c>
      <c r="B498" s="2" t="s">
        <v>690</v>
      </c>
      <c r="C498" s="2">
        <v>2023</v>
      </c>
      <c r="D498" s="2" t="s">
        <v>199</v>
      </c>
      <c r="E498" s="10" t="s">
        <v>803</v>
      </c>
      <c r="F498" s="20" t="s">
        <v>29</v>
      </c>
      <c r="G498" s="2" t="s">
        <v>694</v>
      </c>
      <c r="H498" s="2" t="str">
        <f>'PFAS Properties'!$B$35</f>
        <v>PFDA</v>
      </c>
      <c r="I498" s="2" t="str">
        <f>'PFAS Properties'!$C$35</f>
        <v>PFCA</v>
      </c>
      <c r="J498" s="2" t="str">
        <f>'PFAS Properties'!$D$35</f>
        <v>C10HF19O2</v>
      </c>
      <c r="K498" s="25">
        <f>'PFAS Properties'!$P$35</f>
        <v>513.96719999999993</v>
      </c>
      <c r="L498" s="2">
        <f>'PFAS Properties'!$X$35</f>
        <v>-0.2</v>
      </c>
      <c r="M498" s="2" t="str">
        <f>'PFAS Properties'!$Y$35</f>
        <v>-</v>
      </c>
      <c r="N498" s="33">
        <v>0</v>
      </c>
      <c r="O498" s="33">
        <v>0</v>
      </c>
      <c r="P498" s="33">
        <v>0</v>
      </c>
      <c r="Q498" s="33">
        <f t="shared" si="225"/>
        <v>0.99999999601892831</v>
      </c>
      <c r="R498" s="33">
        <v>0</v>
      </c>
      <c r="S498" s="33">
        <f t="shared" si="226"/>
        <v>3.9810716896860486E-9</v>
      </c>
      <c r="T498" s="8">
        <f t="shared" si="227"/>
        <v>1</v>
      </c>
      <c r="U498" s="33">
        <f t="shared" si="228"/>
        <v>0</v>
      </c>
      <c r="V498" s="33">
        <f t="shared" si="229"/>
        <v>-0.99999999601892831</v>
      </c>
      <c r="W498" s="33">
        <f t="shared" si="230"/>
        <v>512.96720000398102</v>
      </c>
      <c r="X498" s="33">
        <v>96485</v>
      </c>
      <c r="Y498" s="16">
        <f t="shared" si="231"/>
        <v>-188.09194742887559</v>
      </c>
      <c r="Z498" s="16">
        <v>10</v>
      </c>
      <c r="AA498" s="16">
        <v>19</v>
      </c>
      <c r="AB498" s="8">
        <f t="shared" si="232"/>
        <v>0.33240997229916897</v>
      </c>
      <c r="AC498" s="16">
        <f t="shared" si="222"/>
        <v>70.237945145137672</v>
      </c>
      <c r="AD498" s="20">
        <f>'PFAS Properties'!$W$35</f>
        <v>9</v>
      </c>
      <c r="AE498" s="8">
        <f>'PFAS Properties'!$S$35</f>
        <v>0.90308998699194354</v>
      </c>
      <c r="AF498" s="15">
        <f>'PFAS Properties'!$V$35</f>
        <v>6.3</v>
      </c>
      <c r="AG498" s="26">
        <v>8.1999999999999993</v>
      </c>
      <c r="AH498" s="2" t="s">
        <v>701</v>
      </c>
      <c r="AI498" s="15">
        <f t="shared" si="242"/>
        <v>1.89873</v>
      </c>
      <c r="AJ498" s="16">
        <v>34</v>
      </c>
      <c r="AK498" s="8">
        <f t="shared" si="234"/>
        <v>0.18987300000000001</v>
      </c>
      <c r="AL498" s="15">
        <f t="shared" si="244"/>
        <v>0.75549599999999995</v>
      </c>
      <c r="AM498" s="16">
        <v>28</v>
      </c>
      <c r="AN498" s="8">
        <f t="shared" si="235"/>
        <v>7.5549599999999995E-2</v>
      </c>
      <c r="AO498" s="15" t="s">
        <v>705</v>
      </c>
      <c r="AP498" s="15">
        <v>15</v>
      </c>
      <c r="AQ498" s="15" t="s">
        <v>702</v>
      </c>
      <c r="AR498" s="4">
        <v>27</v>
      </c>
      <c r="AS498" s="4">
        <v>56</v>
      </c>
      <c r="AT498" s="4">
        <v>16</v>
      </c>
      <c r="AU498" s="2" t="s">
        <v>703</v>
      </c>
      <c r="AV498" s="16">
        <f t="shared" si="243"/>
        <v>99</v>
      </c>
      <c r="AW498" s="7">
        <v>1.6</v>
      </c>
      <c r="AX498" s="13">
        <f t="shared" si="236"/>
        <v>1.6E-2</v>
      </c>
      <c r="AY498" s="8" t="s">
        <v>704</v>
      </c>
      <c r="AZ498" s="16">
        <v>10</v>
      </c>
      <c r="BA498" s="16" t="s">
        <v>55</v>
      </c>
      <c r="BB498" s="16" t="s">
        <v>55</v>
      </c>
      <c r="BC498" s="16" t="s">
        <v>55</v>
      </c>
      <c r="BD498" s="24">
        <f t="shared" si="245"/>
        <v>7.7624711662869199</v>
      </c>
      <c r="BE498" s="16">
        <f t="shared" si="241"/>
        <v>485.15444789293247</v>
      </c>
      <c r="BF498" s="16">
        <f t="shared" si="233"/>
        <v>2.6858800173440756</v>
      </c>
      <c r="BG498" s="8">
        <v>0.89</v>
      </c>
      <c r="BH498" s="15" t="s">
        <v>848</v>
      </c>
      <c r="BI498" s="1"/>
      <c r="BJ498" s="2"/>
      <c r="BK498" s="1"/>
      <c r="BL498" s="1"/>
      <c r="BM498" s="7"/>
      <c r="BN498" s="7"/>
      <c r="BO498" s="1"/>
      <c r="BP498" s="11"/>
      <c r="BQ498" s="11"/>
    </row>
    <row r="499" spans="1:69" x14ac:dyDescent="0.3">
      <c r="A499" s="20">
        <v>497</v>
      </c>
      <c r="B499" s="2" t="s">
        <v>690</v>
      </c>
      <c r="C499" s="2">
        <v>2023</v>
      </c>
      <c r="D499" s="2" t="s">
        <v>199</v>
      </c>
      <c r="E499" s="10" t="s">
        <v>803</v>
      </c>
      <c r="F499" s="20" t="s">
        <v>29</v>
      </c>
      <c r="G499" s="2" t="s">
        <v>693</v>
      </c>
      <c r="H499" s="2" t="str">
        <f>'PFAS Properties'!$B$35</f>
        <v>PFDA</v>
      </c>
      <c r="I499" s="2" t="str">
        <f>'PFAS Properties'!$C$35</f>
        <v>PFCA</v>
      </c>
      <c r="J499" s="2" t="str">
        <f>'PFAS Properties'!$D$35</f>
        <v>C10HF19O2</v>
      </c>
      <c r="K499" s="25">
        <f>'PFAS Properties'!$P$35</f>
        <v>513.96719999999993</v>
      </c>
      <c r="L499" s="2">
        <f>'PFAS Properties'!$X$35</f>
        <v>-0.2</v>
      </c>
      <c r="M499" s="2" t="str">
        <f>'PFAS Properties'!$Y$35</f>
        <v>-</v>
      </c>
      <c r="N499" s="33">
        <v>0</v>
      </c>
      <c r="O499" s="33">
        <v>0</v>
      </c>
      <c r="P499" s="33">
        <v>0</v>
      </c>
      <c r="Q499" s="33">
        <f t="shared" si="225"/>
        <v>0.99999800474166611</v>
      </c>
      <c r="R499" s="33">
        <v>0</v>
      </c>
      <c r="S499" s="33">
        <f t="shared" si="226"/>
        <v>1.9952583339051124E-6</v>
      </c>
      <c r="T499" s="8">
        <f t="shared" si="227"/>
        <v>1</v>
      </c>
      <c r="U499" s="33">
        <f t="shared" si="228"/>
        <v>0</v>
      </c>
      <c r="V499" s="33">
        <f t="shared" si="229"/>
        <v>-0.99999800474166611</v>
      </c>
      <c r="W499" s="33">
        <f t="shared" si="230"/>
        <v>512.96720199525828</v>
      </c>
      <c r="X499" s="33">
        <v>96485</v>
      </c>
      <c r="Y499" s="16">
        <f t="shared" si="231"/>
        <v>-188.09157215550698</v>
      </c>
      <c r="Z499" s="16">
        <v>10</v>
      </c>
      <c r="AA499" s="16">
        <v>19</v>
      </c>
      <c r="AB499" s="8">
        <f t="shared" si="232"/>
        <v>0.33240997229916897</v>
      </c>
      <c r="AC499" s="16">
        <f t="shared" si="222"/>
        <v>70.237945145137672</v>
      </c>
      <c r="AD499" s="20">
        <f>'PFAS Properties'!$W$35</f>
        <v>9</v>
      </c>
      <c r="AE499" s="8">
        <f>'PFAS Properties'!$S$35</f>
        <v>0.90308998699194354</v>
      </c>
      <c r="AF499" s="15">
        <f>'PFAS Properties'!$V$35</f>
        <v>6.3</v>
      </c>
      <c r="AG499" s="26">
        <v>5.5</v>
      </c>
      <c r="AH499" s="2" t="s">
        <v>701</v>
      </c>
      <c r="AI499" s="15">
        <f t="shared" si="242"/>
        <v>6.1429499999999999</v>
      </c>
      <c r="AJ499" s="16">
        <v>110</v>
      </c>
      <c r="AK499" s="8">
        <f t="shared" si="234"/>
        <v>0.61429500000000004</v>
      </c>
      <c r="AL499" s="15">
        <f t="shared" si="244"/>
        <v>0.83644200000000002</v>
      </c>
      <c r="AM499" s="16">
        <v>31</v>
      </c>
      <c r="AN499" s="8">
        <f t="shared" si="235"/>
        <v>8.3644200000000002E-2</v>
      </c>
      <c r="AO499" s="15" t="s">
        <v>705</v>
      </c>
      <c r="AP499" s="15">
        <v>8.6</v>
      </c>
      <c r="AQ499" s="15" t="s">
        <v>702</v>
      </c>
      <c r="AR499" s="4">
        <v>27</v>
      </c>
      <c r="AS499" s="4">
        <v>44</v>
      </c>
      <c r="AT499" s="4">
        <v>29</v>
      </c>
      <c r="AU499" s="2" t="s">
        <v>703</v>
      </c>
      <c r="AV499" s="16">
        <f t="shared" si="243"/>
        <v>100</v>
      </c>
      <c r="AW499" s="7">
        <v>1.3</v>
      </c>
      <c r="AX499" s="13">
        <f t="shared" si="236"/>
        <v>1.3000000000000001E-2</v>
      </c>
      <c r="AY499" s="8" t="s">
        <v>704</v>
      </c>
      <c r="AZ499" s="16">
        <v>10</v>
      </c>
      <c r="BA499" s="16" t="s">
        <v>55</v>
      </c>
      <c r="BB499" s="16" t="s">
        <v>55</v>
      </c>
      <c r="BC499" s="16" t="s">
        <v>55</v>
      </c>
      <c r="BD499" s="24">
        <f t="shared" si="245"/>
        <v>26.915348039269158</v>
      </c>
      <c r="BE499" s="16">
        <f t="shared" si="241"/>
        <v>2070.4113876360889</v>
      </c>
      <c r="BF499" s="16">
        <f t="shared" si="233"/>
        <v>3.3160566476931632</v>
      </c>
      <c r="BG499" s="8">
        <f>(1.39+1.47)/2</f>
        <v>1.43</v>
      </c>
      <c r="BH499" s="15" t="s">
        <v>849</v>
      </c>
      <c r="BI499" s="1"/>
      <c r="BJ499" s="2"/>
      <c r="BK499" s="1"/>
      <c r="BL499" s="1"/>
      <c r="BM499" s="7"/>
      <c r="BN499" s="7"/>
      <c r="BO499" s="1"/>
      <c r="BP499" s="11"/>
      <c r="BQ499" s="11"/>
    </row>
    <row r="500" spans="1:69" x14ac:dyDescent="0.3">
      <c r="A500" s="20">
        <v>498</v>
      </c>
      <c r="B500" s="2" t="s">
        <v>690</v>
      </c>
      <c r="C500" s="2">
        <v>2023</v>
      </c>
      <c r="D500" s="2" t="s">
        <v>199</v>
      </c>
      <c r="E500" s="10" t="s">
        <v>803</v>
      </c>
      <c r="F500" s="20" t="s">
        <v>29</v>
      </c>
      <c r="G500" s="2" t="s">
        <v>695</v>
      </c>
      <c r="H500" s="2" t="str">
        <f>'PFAS Properties'!$B$35</f>
        <v>PFDA</v>
      </c>
      <c r="I500" s="2" t="str">
        <f>'PFAS Properties'!$C$35</f>
        <v>PFCA</v>
      </c>
      <c r="J500" s="2" t="str">
        <f>'PFAS Properties'!$D$35</f>
        <v>C10HF19O2</v>
      </c>
      <c r="K500" s="25">
        <f>'PFAS Properties'!$P$35</f>
        <v>513.96719999999993</v>
      </c>
      <c r="L500" s="2">
        <f>'PFAS Properties'!$X$35</f>
        <v>-0.2</v>
      </c>
      <c r="M500" s="2" t="str">
        <f>'PFAS Properties'!$Y$35</f>
        <v>-</v>
      </c>
      <c r="N500" s="33">
        <v>0</v>
      </c>
      <c r="O500" s="33">
        <v>0</v>
      </c>
      <c r="P500" s="33">
        <v>0</v>
      </c>
      <c r="Q500" s="33">
        <f t="shared" si="225"/>
        <v>0.99999999683772234</v>
      </c>
      <c r="R500" s="33">
        <v>0</v>
      </c>
      <c r="S500" s="33">
        <f t="shared" si="226"/>
        <v>3.162277650168378E-9</v>
      </c>
      <c r="T500" s="8">
        <f t="shared" si="227"/>
        <v>1</v>
      </c>
      <c r="U500" s="33">
        <f t="shared" si="228"/>
        <v>0</v>
      </c>
      <c r="V500" s="33">
        <f t="shared" si="229"/>
        <v>-0.99999999683772234</v>
      </c>
      <c r="W500" s="33">
        <f t="shared" si="230"/>
        <v>512.96720000316213</v>
      </c>
      <c r="X500" s="33">
        <v>96485</v>
      </c>
      <c r="Y500" s="16">
        <f t="shared" si="231"/>
        <v>-188.09194758318441</v>
      </c>
      <c r="Z500" s="16">
        <v>10</v>
      </c>
      <c r="AA500" s="16">
        <v>19</v>
      </c>
      <c r="AB500" s="8">
        <f t="shared" si="232"/>
        <v>0.33240997229916897</v>
      </c>
      <c r="AC500" s="16">
        <f t="shared" si="222"/>
        <v>70.237945145137672</v>
      </c>
      <c r="AD500" s="20">
        <f>'PFAS Properties'!$W$35</f>
        <v>9</v>
      </c>
      <c r="AE500" s="8">
        <f>'PFAS Properties'!$S$35</f>
        <v>0.90308998699194354</v>
      </c>
      <c r="AF500" s="15">
        <f>'PFAS Properties'!$V$35</f>
        <v>6.3</v>
      </c>
      <c r="AG500" s="26">
        <v>8.3000000000000007</v>
      </c>
      <c r="AH500" s="2" t="s">
        <v>701</v>
      </c>
      <c r="AI500" s="15">
        <f t="shared" si="242"/>
        <v>2.066265</v>
      </c>
      <c r="AJ500" s="16">
        <v>37</v>
      </c>
      <c r="AK500" s="8">
        <f t="shared" si="234"/>
        <v>0.20662649999999999</v>
      </c>
      <c r="AL500" s="15">
        <f t="shared" si="244"/>
        <v>0.72851399999999999</v>
      </c>
      <c r="AM500" s="16">
        <v>27</v>
      </c>
      <c r="AN500" s="8">
        <f t="shared" si="235"/>
        <v>7.2851399999999997E-2</v>
      </c>
      <c r="AO500" s="15" t="s">
        <v>705</v>
      </c>
      <c r="AP500" s="15">
        <v>14</v>
      </c>
      <c r="AQ500" s="15" t="s">
        <v>702</v>
      </c>
      <c r="AR500" s="4">
        <v>80</v>
      </c>
      <c r="AS500" s="4">
        <v>15</v>
      </c>
      <c r="AT500" s="4">
        <v>4.4000000000000004</v>
      </c>
      <c r="AU500" s="2" t="s">
        <v>703</v>
      </c>
      <c r="AV500" s="16">
        <f t="shared" si="243"/>
        <v>99.4</v>
      </c>
      <c r="AW500" s="7">
        <v>1.2</v>
      </c>
      <c r="AX500" s="13">
        <f t="shared" si="236"/>
        <v>1.2E-2</v>
      </c>
      <c r="AY500" s="8" t="s">
        <v>704</v>
      </c>
      <c r="AZ500" s="16">
        <v>10</v>
      </c>
      <c r="BA500" s="16" t="s">
        <v>55</v>
      </c>
      <c r="BB500" s="16" t="s">
        <v>55</v>
      </c>
      <c r="BC500" s="16" t="s">
        <v>55</v>
      </c>
      <c r="BD500" s="24">
        <f t="shared" si="245"/>
        <v>77.624711662869217</v>
      </c>
      <c r="BE500" s="16">
        <f t="shared" si="241"/>
        <v>6468.7259719057683</v>
      </c>
      <c r="BF500" s="16">
        <f t="shared" si="233"/>
        <v>3.8108187539523755</v>
      </c>
      <c r="BG500" s="8">
        <f>(2.02+1.76)/2</f>
        <v>1.8900000000000001</v>
      </c>
      <c r="BH500" s="15" t="s">
        <v>850</v>
      </c>
      <c r="BI500" s="1"/>
      <c r="BJ500" s="2"/>
      <c r="BK500" s="1"/>
      <c r="BL500" s="1"/>
      <c r="BM500" s="7"/>
      <c r="BN500" s="7"/>
      <c r="BO500" s="1"/>
      <c r="BP500" s="11"/>
      <c r="BQ500" s="11"/>
    </row>
    <row r="501" spans="1:69" x14ac:dyDescent="0.3">
      <c r="A501" s="20">
        <v>499</v>
      </c>
      <c r="B501" s="2" t="s">
        <v>690</v>
      </c>
      <c r="C501" s="2">
        <v>2023</v>
      </c>
      <c r="D501" s="2" t="s">
        <v>199</v>
      </c>
      <c r="E501" s="10" t="s">
        <v>803</v>
      </c>
      <c r="F501" s="20" t="s">
        <v>29</v>
      </c>
      <c r="G501" s="2" t="s">
        <v>696</v>
      </c>
      <c r="H501" s="2" t="str">
        <f>'PFAS Properties'!$B$35</f>
        <v>PFDA</v>
      </c>
      <c r="I501" s="2" t="str">
        <f>'PFAS Properties'!$C$35</f>
        <v>PFCA</v>
      </c>
      <c r="J501" s="2" t="str">
        <f>'PFAS Properties'!$D$35</f>
        <v>C10HF19O2</v>
      </c>
      <c r="K501" s="25">
        <f>'PFAS Properties'!$P$35</f>
        <v>513.96719999999993</v>
      </c>
      <c r="L501" s="2">
        <f>'PFAS Properties'!$X$35</f>
        <v>-0.2</v>
      </c>
      <c r="M501" s="2" t="str">
        <f>'PFAS Properties'!$Y$35</f>
        <v>-</v>
      </c>
      <c r="N501" s="33">
        <v>0</v>
      </c>
      <c r="O501" s="33">
        <v>0</v>
      </c>
      <c r="P501" s="33">
        <v>0</v>
      </c>
      <c r="Q501" s="33">
        <f t="shared" si="225"/>
        <v>0.99999800474166611</v>
      </c>
      <c r="R501" s="33">
        <v>0</v>
      </c>
      <c r="S501" s="33">
        <f t="shared" si="226"/>
        <v>1.9952583339051124E-6</v>
      </c>
      <c r="T501" s="8">
        <f t="shared" si="227"/>
        <v>1</v>
      </c>
      <c r="U501" s="33">
        <f t="shared" si="228"/>
        <v>0</v>
      </c>
      <c r="V501" s="33">
        <f t="shared" si="229"/>
        <v>-0.99999800474166611</v>
      </c>
      <c r="W501" s="33">
        <f t="shared" si="230"/>
        <v>512.96720199525828</v>
      </c>
      <c r="X501" s="33">
        <v>96485</v>
      </c>
      <c r="Y501" s="16">
        <f t="shared" si="231"/>
        <v>-188.09157215550698</v>
      </c>
      <c r="Z501" s="16">
        <v>10</v>
      </c>
      <c r="AA501" s="16">
        <v>19</v>
      </c>
      <c r="AB501" s="8">
        <f t="shared" si="232"/>
        <v>0.33240997229916897</v>
      </c>
      <c r="AC501" s="16">
        <f t="shared" si="222"/>
        <v>70.237945145137672</v>
      </c>
      <c r="AD501" s="20">
        <f>'PFAS Properties'!$W$35</f>
        <v>9</v>
      </c>
      <c r="AE501" s="8">
        <f>'PFAS Properties'!$S$35</f>
        <v>0.90308998699194354</v>
      </c>
      <c r="AF501" s="15">
        <f>'PFAS Properties'!$V$35</f>
        <v>6.3</v>
      </c>
      <c r="AG501" s="26">
        <v>5.5</v>
      </c>
      <c r="AH501" s="2" t="s">
        <v>701</v>
      </c>
      <c r="AI501" s="15">
        <f t="shared" si="242"/>
        <v>1.3402799999999999</v>
      </c>
      <c r="AJ501" s="16">
        <v>24</v>
      </c>
      <c r="AK501" s="8">
        <f t="shared" si="234"/>
        <v>0.13402799999999998</v>
      </c>
      <c r="AL501" s="15">
        <f t="shared" si="244"/>
        <v>0.32378400000000002</v>
      </c>
      <c r="AM501" s="16">
        <v>12</v>
      </c>
      <c r="AN501" s="8">
        <f t="shared" si="235"/>
        <v>3.2378400000000002E-2</v>
      </c>
      <c r="AO501" s="15" t="s">
        <v>705</v>
      </c>
      <c r="AP501" s="15">
        <v>2.6</v>
      </c>
      <c r="AQ501" s="15" t="s">
        <v>702</v>
      </c>
      <c r="AR501" s="4">
        <v>86</v>
      </c>
      <c r="AS501" s="4">
        <v>8</v>
      </c>
      <c r="AT501" s="4">
        <v>6</v>
      </c>
      <c r="AU501" s="2" t="s">
        <v>703</v>
      </c>
      <c r="AV501" s="16">
        <f t="shared" si="243"/>
        <v>100</v>
      </c>
      <c r="AW501" s="7">
        <v>1.2</v>
      </c>
      <c r="AX501" s="13">
        <f t="shared" si="236"/>
        <v>1.2E-2</v>
      </c>
      <c r="AY501" s="8" t="s">
        <v>704</v>
      </c>
      <c r="AZ501" s="16">
        <v>10</v>
      </c>
      <c r="BA501" s="16" t="s">
        <v>55</v>
      </c>
      <c r="BB501" s="16" t="s">
        <v>55</v>
      </c>
      <c r="BC501" s="16" t="s">
        <v>55</v>
      </c>
      <c r="BD501" s="24">
        <f t="shared" si="245"/>
        <v>20.183663636815627</v>
      </c>
      <c r="BE501" s="16">
        <f t="shared" si="241"/>
        <v>1681.9719697346356</v>
      </c>
      <c r="BF501" s="16">
        <f t="shared" si="233"/>
        <v>3.2258187539523755</v>
      </c>
      <c r="BG501" s="8">
        <f>(1.33+1.28)/2</f>
        <v>1.3050000000000002</v>
      </c>
      <c r="BH501" s="15" t="s">
        <v>851</v>
      </c>
      <c r="BI501" s="1"/>
      <c r="BJ501" s="2"/>
      <c r="BK501" s="1"/>
      <c r="BL501" s="1"/>
      <c r="BM501" s="7"/>
      <c r="BN501" s="7"/>
      <c r="BO501" s="1"/>
      <c r="BP501" s="11"/>
      <c r="BQ501" s="11"/>
    </row>
    <row r="502" spans="1:69" x14ac:dyDescent="0.3">
      <c r="A502" s="20">
        <v>500</v>
      </c>
      <c r="B502" s="2" t="s">
        <v>690</v>
      </c>
      <c r="C502" s="2">
        <v>2023</v>
      </c>
      <c r="D502" s="2" t="s">
        <v>199</v>
      </c>
      <c r="E502" s="10" t="s">
        <v>803</v>
      </c>
      <c r="F502" s="20" t="s">
        <v>29</v>
      </c>
      <c r="G502" s="2" t="s">
        <v>697</v>
      </c>
      <c r="H502" s="2" t="str">
        <f>'PFAS Properties'!$B$35</f>
        <v>PFDA</v>
      </c>
      <c r="I502" s="2" t="str">
        <f>'PFAS Properties'!$C$35</f>
        <v>PFCA</v>
      </c>
      <c r="J502" s="2" t="str">
        <f>'PFAS Properties'!$D$35</f>
        <v>C10HF19O2</v>
      </c>
      <c r="K502" s="25">
        <f>'PFAS Properties'!$P$35</f>
        <v>513.96719999999993</v>
      </c>
      <c r="L502" s="2">
        <f>'PFAS Properties'!$X$35</f>
        <v>-0.2</v>
      </c>
      <c r="M502" s="2" t="str">
        <f>'PFAS Properties'!$Y$35</f>
        <v>-</v>
      </c>
      <c r="N502" s="33">
        <v>0</v>
      </c>
      <c r="O502" s="33">
        <v>0</v>
      </c>
      <c r="P502" s="33">
        <v>0</v>
      </c>
      <c r="Q502" s="33">
        <f t="shared" si="225"/>
        <v>0.99998415131926011</v>
      </c>
      <c r="R502" s="33">
        <v>0</v>
      </c>
      <c r="S502" s="33">
        <f t="shared" si="226"/>
        <v>1.5848680739948987E-5</v>
      </c>
      <c r="T502" s="8">
        <f t="shared" si="227"/>
        <v>1</v>
      </c>
      <c r="U502" s="33">
        <f t="shared" si="228"/>
        <v>0</v>
      </c>
      <c r="V502" s="33">
        <f t="shared" si="229"/>
        <v>-0.99998415131926011</v>
      </c>
      <c r="W502" s="33">
        <f t="shared" si="230"/>
        <v>512.96721584868078</v>
      </c>
      <c r="X502" s="33">
        <v>96485</v>
      </c>
      <c r="Y502" s="16">
        <f t="shared" si="231"/>
        <v>-188.08896135869293</v>
      </c>
      <c r="Z502" s="16">
        <v>10</v>
      </c>
      <c r="AA502" s="16">
        <v>19</v>
      </c>
      <c r="AB502" s="8">
        <f t="shared" si="232"/>
        <v>0.33240997229916897</v>
      </c>
      <c r="AC502" s="16">
        <f t="shared" si="222"/>
        <v>70.237945145137672</v>
      </c>
      <c r="AD502" s="20">
        <f>'PFAS Properties'!$W$35</f>
        <v>9</v>
      </c>
      <c r="AE502" s="8">
        <f>'PFAS Properties'!$S$35</f>
        <v>0.90308998699194354</v>
      </c>
      <c r="AF502" s="15">
        <f>'PFAS Properties'!$V$35</f>
        <v>6.3</v>
      </c>
      <c r="AG502" s="26">
        <v>4.5999999999999996</v>
      </c>
      <c r="AH502" s="2" t="s">
        <v>701</v>
      </c>
      <c r="AI502" s="15">
        <f t="shared" si="242"/>
        <v>0.1396125</v>
      </c>
      <c r="AJ502" s="16">
        <v>2.5</v>
      </c>
      <c r="AK502" s="8">
        <f t="shared" si="234"/>
        <v>1.396125E-2</v>
      </c>
      <c r="AL502" s="15">
        <f t="shared" si="244"/>
        <v>5.12658E-2</v>
      </c>
      <c r="AM502" s="16">
        <v>1.9</v>
      </c>
      <c r="AN502" s="8">
        <f t="shared" si="235"/>
        <v>5.1265800000000004E-3</v>
      </c>
      <c r="AO502" s="15" t="s">
        <v>705</v>
      </c>
      <c r="AP502" s="15">
        <v>1.8</v>
      </c>
      <c r="AQ502" s="15" t="s">
        <v>702</v>
      </c>
      <c r="AR502" s="4">
        <v>53</v>
      </c>
      <c r="AS502" s="4">
        <v>40</v>
      </c>
      <c r="AT502" s="4">
        <v>7</v>
      </c>
      <c r="AU502" s="2" t="s">
        <v>703</v>
      </c>
      <c r="AV502" s="16">
        <f t="shared" si="243"/>
        <v>100</v>
      </c>
      <c r="AW502" s="7">
        <v>1.1000000000000001</v>
      </c>
      <c r="AX502" s="13">
        <f t="shared" si="236"/>
        <v>1.1000000000000001E-2</v>
      </c>
      <c r="AY502" s="8" t="s">
        <v>704</v>
      </c>
      <c r="AZ502" s="16">
        <v>10</v>
      </c>
      <c r="BA502" s="16" t="s">
        <v>55</v>
      </c>
      <c r="BB502" s="16" t="s">
        <v>55</v>
      </c>
      <c r="BC502" s="16" t="s">
        <v>55</v>
      </c>
      <c r="BD502" s="24">
        <f t="shared" si="245"/>
        <v>5.7543993733715713</v>
      </c>
      <c r="BE502" s="16">
        <f t="shared" si="241"/>
        <v>523.12721576105184</v>
      </c>
      <c r="BF502" s="16">
        <f t="shared" si="233"/>
        <v>2.7186073148417749</v>
      </c>
      <c r="BG502" s="8">
        <v>0.76</v>
      </c>
      <c r="BH502" s="15" t="s">
        <v>849</v>
      </c>
      <c r="BI502" s="1"/>
      <c r="BJ502" s="2"/>
      <c r="BK502" s="1"/>
      <c r="BL502" s="1"/>
      <c r="BM502" s="7"/>
      <c r="BN502" s="7"/>
      <c r="BO502" s="1"/>
      <c r="BP502" s="11"/>
      <c r="BQ502" s="11"/>
    </row>
    <row r="503" spans="1:69" x14ac:dyDescent="0.3">
      <c r="A503" s="20">
        <v>501</v>
      </c>
      <c r="B503" s="2" t="s">
        <v>690</v>
      </c>
      <c r="C503" s="2">
        <v>2023</v>
      </c>
      <c r="D503" s="2" t="s">
        <v>199</v>
      </c>
      <c r="E503" s="10" t="s">
        <v>803</v>
      </c>
      <c r="F503" s="20" t="s">
        <v>29</v>
      </c>
      <c r="G503" s="2" t="s">
        <v>698</v>
      </c>
      <c r="H503" s="2" t="str">
        <f>'PFAS Properties'!$B$35</f>
        <v>PFDA</v>
      </c>
      <c r="I503" s="2" t="str">
        <f>'PFAS Properties'!$C$35</f>
        <v>PFCA</v>
      </c>
      <c r="J503" s="2" t="str">
        <f>'PFAS Properties'!$D$35</f>
        <v>C10HF19O2</v>
      </c>
      <c r="K503" s="25">
        <f>'PFAS Properties'!$P$35</f>
        <v>513.96719999999993</v>
      </c>
      <c r="L503" s="2">
        <f>'PFAS Properties'!$X$35</f>
        <v>-0.2</v>
      </c>
      <c r="M503" s="2" t="str">
        <f>'PFAS Properties'!$Y$35</f>
        <v>-</v>
      </c>
      <c r="N503" s="33">
        <v>0</v>
      </c>
      <c r="O503" s="33">
        <v>0</v>
      </c>
      <c r="P503" s="33">
        <v>0</v>
      </c>
      <c r="Q503" s="33">
        <f t="shared" si="225"/>
        <v>0.99999984151070587</v>
      </c>
      <c r="R503" s="33">
        <v>0</v>
      </c>
      <c r="S503" s="33">
        <f t="shared" si="226"/>
        <v>1.5848929412725089E-7</v>
      </c>
      <c r="T503" s="8">
        <f t="shared" si="227"/>
        <v>1</v>
      </c>
      <c r="U503" s="33">
        <f t="shared" si="228"/>
        <v>0</v>
      </c>
      <c r="V503" s="33">
        <f t="shared" si="229"/>
        <v>-0.99999984151070587</v>
      </c>
      <c r="W503" s="33">
        <f t="shared" si="230"/>
        <v>512.96720015848916</v>
      </c>
      <c r="X503" s="33">
        <v>96485</v>
      </c>
      <c r="Y503" s="16">
        <f t="shared" si="231"/>
        <v>-188.09191831046883</v>
      </c>
      <c r="Z503" s="16">
        <v>10</v>
      </c>
      <c r="AA503" s="16">
        <v>19</v>
      </c>
      <c r="AB503" s="8">
        <f t="shared" si="232"/>
        <v>0.33240997229916897</v>
      </c>
      <c r="AC503" s="16">
        <f t="shared" si="222"/>
        <v>70.237945145137672</v>
      </c>
      <c r="AD503" s="20">
        <f>'PFAS Properties'!$W$35</f>
        <v>9</v>
      </c>
      <c r="AE503" s="8">
        <f>'PFAS Properties'!$S$35</f>
        <v>0.90308998699194354</v>
      </c>
      <c r="AF503" s="15">
        <f>'PFAS Properties'!$V$35</f>
        <v>6.3</v>
      </c>
      <c r="AG503" s="26">
        <v>6.6</v>
      </c>
      <c r="AH503" s="2" t="s">
        <v>701</v>
      </c>
      <c r="AI503" s="15">
        <f t="shared" si="242"/>
        <v>11.169</v>
      </c>
      <c r="AJ503" s="16">
        <v>200</v>
      </c>
      <c r="AK503" s="8">
        <f t="shared" si="234"/>
        <v>1.1169</v>
      </c>
      <c r="AL503" s="15">
        <f t="shared" si="244"/>
        <v>1.3760819999999998</v>
      </c>
      <c r="AM503" s="16">
        <v>51</v>
      </c>
      <c r="AN503" s="8">
        <f t="shared" si="235"/>
        <v>0.13760819999999999</v>
      </c>
      <c r="AO503" s="15" t="s">
        <v>705</v>
      </c>
      <c r="AP503" s="15">
        <v>16</v>
      </c>
      <c r="AQ503" s="15" t="s">
        <v>702</v>
      </c>
      <c r="AR503" s="4">
        <v>0.68</v>
      </c>
      <c r="AS503" s="4">
        <v>48</v>
      </c>
      <c r="AT503" s="4">
        <v>52</v>
      </c>
      <c r="AU503" s="2" t="s">
        <v>703</v>
      </c>
      <c r="AV503" s="16">
        <f t="shared" si="243"/>
        <v>100.68</v>
      </c>
      <c r="AW503" s="7">
        <v>0.91</v>
      </c>
      <c r="AX503" s="13">
        <f t="shared" si="236"/>
        <v>9.1000000000000004E-3</v>
      </c>
      <c r="AY503" s="8" t="s">
        <v>704</v>
      </c>
      <c r="AZ503" s="16">
        <v>10</v>
      </c>
      <c r="BA503" s="16" t="s">
        <v>55</v>
      </c>
      <c r="BB503" s="16" t="s">
        <v>55</v>
      </c>
      <c r="BC503" s="16" t="s">
        <v>55</v>
      </c>
      <c r="BD503" s="24">
        <f t="shared" si="245"/>
        <v>10</v>
      </c>
      <c r="BE503" s="16">
        <f t="shared" si="241"/>
        <v>1098.9010989010987</v>
      </c>
      <c r="BF503" s="16">
        <f t="shared" si="233"/>
        <v>3.0409586076789061</v>
      </c>
      <c r="BG503" s="8">
        <v>1</v>
      </c>
      <c r="BH503" s="15" t="s">
        <v>852</v>
      </c>
      <c r="BI503" s="1"/>
      <c r="BJ503" s="2"/>
      <c r="BK503" s="1"/>
      <c r="BL503" s="1"/>
      <c r="BM503" s="7"/>
      <c r="BN503" s="7"/>
      <c r="BO503" s="1"/>
      <c r="BP503" s="11"/>
      <c r="BQ503" s="11"/>
    </row>
    <row r="504" spans="1:69" x14ac:dyDescent="0.3">
      <c r="A504" s="20">
        <v>502</v>
      </c>
      <c r="B504" s="2" t="s">
        <v>690</v>
      </c>
      <c r="C504" s="2">
        <v>2023</v>
      </c>
      <c r="D504" s="2" t="s">
        <v>199</v>
      </c>
      <c r="E504" s="10" t="s">
        <v>803</v>
      </c>
      <c r="F504" s="20" t="s">
        <v>29</v>
      </c>
      <c r="G504" s="2" t="s">
        <v>699</v>
      </c>
      <c r="H504" s="2" t="str">
        <f>'PFAS Properties'!$B$35</f>
        <v>PFDA</v>
      </c>
      <c r="I504" s="2" t="str">
        <f>'PFAS Properties'!$C$35</f>
        <v>PFCA</v>
      </c>
      <c r="J504" s="2" t="str">
        <f>'PFAS Properties'!$D$35</f>
        <v>C10HF19O2</v>
      </c>
      <c r="K504" s="25">
        <f>'PFAS Properties'!$P$35</f>
        <v>513.96719999999993</v>
      </c>
      <c r="L504" s="2">
        <f>'PFAS Properties'!$X$35</f>
        <v>-0.2</v>
      </c>
      <c r="M504" s="2" t="str">
        <f>'PFAS Properties'!$Y$35</f>
        <v>-</v>
      </c>
      <c r="N504" s="33">
        <v>0</v>
      </c>
      <c r="O504" s="33">
        <v>0</v>
      </c>
      <c r="P504" s="33">
        <v>0</v>
      </c>
      <c r="Q504" s="33">
        <f t="shared" si="225"/>
        <v>0.99999900000099995</v>
      </c>
      <c r="R504" s="33">
        <v>0</v>
      </c>
      <c r="S504" s="33">
        <f t="shared" si="226"/>
        <v>9.9999900000100006E-7</v>
      </c>
      <c r="T504" s="8">
        <f t="shared" si="227"/>
        <v>1</v>
      </c>
      <c r="U504" s="33">
        <f t="shared" si="228"/>
        <v>0</v>
      </c>
      <c r="V504" s="33">
        <f t="shared" si="229"/>
        <v>-0.99999900000099995</v>
      </c>
      <c r="W504" s="33">
        <f t="shared" si="230"/>
        <v>512.96720099999891</v>
      </c>
      <c r="X504" s="33">
        <v>96485</v>
      </c>
      <c r="Y504" s="16">
        <f t="shared" si="231"/>
        <v>-188.09175972070909</v>
      </c>
      <c r="Z504" s="16">
        <v>10</v>
      </c>
      <c r="AA504" s="16">
        <v>19</v>
      </c>
      <c r="AB504" s="8">
        <f t="shared" si="232"/>
        <v>0.33240997229916897</v>
      </c>
      <c r="AC504" s="16">
        <f t="shared" si="222"/>
        <v>70.237945145137672</v>
      </c>
      <c r="AD504" s="20">
        <f>'PFAS Properties'!$W$35</f>
        <v>9</v>
      </c>
      <c r="AE504" s="8">
        <f>'PFAS Properties'!$S$35</f>
        <v>0.90308998699194354</v>
      </c>
      <c r="AF504" s="15">
        <f>'PFAS Properties'!$V$35</f>
        <v>6.3</v>
      </c>
      <c r="AG504" s="26">
        <v>5.8</v>
      </c>
      <c r="AH504" s="2" t="s">
        <v>701</v>
      </c>
      <c r="AI504" s="15">
        <f t="shared" si="242"/>
        <v>1.6753499999999999</v>
      </c>
      <c r="AJ504" s="16">
        <v>30</v>
      </c>
      <c r="AK504" s="8">
        <f t="shared" si="234"/>
        <v>0.16753499999999999</v>
      </c>
      <c r="AL504" s="15">
        <f t="shared" si="244"/>
        <v>0.75549599999999995</v>
      </c>
      <c r="AM504" s="16">
        <v>28</v>
      </c>
      <c r="AN504" s="8">
        <f t="shared" si="235"/>
        <v>7.5549599999999995E-2</v>
      </c>
      <c r="AO504" s="15" t="s">
        <v>705</v>
      </c>
      <c r="AP504" s="15">
        <v>0.77</v>
      </c>
      <c r="AQ504" s="15" t="s">
        <v>702</v>
      </c>
      <c r="AR504" s="4">
        <v>89</v>
      </c>
      <c r="AS504" s="4">
        <v>8</v>
      </c>
      <c r="AT504" s="4">
        <v>3</v>
      </c>
      <c r="AU504" s="2" t="s">
        <v>703</v>
      </c>
      <c r="AV504" s="16">
        <f t="shared" si="243"/>
        <v>100</v>
      </c>
      <c r="AW504" s="7">
        <v>0.3</v>
      </c>
      <c r="AX504" s="13">
        <f t="shared" si="236"/>
        <v>3.0000000000000001E-3</v>
      </c>
      <c r="AY504" s="8" t="s">
        <v>704</v>
      </c>
      <c r="AZ504" s="16">
        <v>10</v>
      </c>
      <c r="BA504" s="16" t="s">
        <v>55</v>
      </c>
      <c r="BB504" s="16" t="s">
        <v>55</v>
      </c>
      <c r="BC504" s="16" t="s">
        <v>55</v>
      </c>
      <c r="BD504" s="24">
        <f t="shared" si="245"/>
        <v>2.3988329190194908</v>
      </c>
      <c r="BE504" s="16">
        <f t="shared" si="241"/>
        <v>799.61097300649692</v>
      </c>
      <c r="BF504" s="16">
        <f t="shared" si="233"/>
        <v>2.9028787452803377</v>
      </c>
      <c r="BG504" s="8">
        <v>0.38</v>
      </c>
      <c r="BH504" s="15" t="s">
        <v>853</v>
      </c>
      <c r="BI504" s="1"/>
      <c r="BJ504" s="2"/>
      <c r="BK504" s="1"/>
      <c r="BL504" s="1"/>
      <c r="BM504" s="7"/>
      <c r="BN504" s="7"/>
      <c r="BO504" s="1"/>
      <c r="BP504" s="11"/>
      <c r="BQ504" s="11"/>
    </row>
    <row r="505" spans="1:69" x14ac:dyDescent="0.3">
      <c r="A505" s="20">
        <v>503</v>
      </c>
      <c r="B505" s="2" t="s">
        <v>690</v>
      </c>
      <c r="C505" s="2">
        <v>2023</v>
      </c>
      <c r="D505" s="2" t="s">
        <v>199</v>
      </c>
      <c r="E505" s="10" t="s">
        <v>803</v>
      </c>
      <c r="F505" s="20" t="s">
        <v>29</v>
      </c>
      <c r="G505" s="2" t="s">
        <v>700</v>
      </c>
      <c r="H505" s="2" t="str">
        <f>'PFAS Properties'!$B$35</f>
        <v>PFDA</v>
      </c>
      <c r="I505" s="2" t="str">
        <f>'PFAS Properties'!$C$35</f>
        <v>PFCA</v>
      </c>
      <c r="J505" s="2" t="str">
        <f>'PFAS Properties'!$D$35</f>
        <v>C10HF19O2</v>
      </c>
      <c r="K505" s="25">
        <f>'PFAS Properties'!$P$35</f>
        <v>513.96719999999993</v>
      </c>
      <c r="L505" s="2">
        <f>'PFAS Properties'!$X$35</f>
        <v>-0.2</v>
      </c>
      <c r="M505" s="2" t="str">
        <f>'PFAS Properties'!$Y$35</f>
        <v>-</v>
      </c>
      <c r="N505" s="33">
        <v>0</v>
      </c>
      <c r="O505" s="33">
        <v>0</v>
      </c>
      <c r="P505" s="33">
        <v>0</v>
      </c>
      <c r="Q505" s="33">
        <f t="shared" si="225"/>
        <v>0.99999683773233983</v>
      </c>
      <c r="R505" s="33">
        <v>0</v>
      </c>
      <c r="S505" s="33">
        <f t="shared" si="226"/>
        <v>3.1622676601999995E-6</v>
      </c>
      <c r="T505" s="8">
        <f t="shared" si="227"/>
        <v>1</v>
      </c>
      <c r="U505" s="33">
        <f t="shared" si="228"/>
        <v>0</v>
      </c>
      <c r="V505" s="33">
        <f t="shared" si="229"/>
        <v>-0.99999683773233983</v>
      </c>
      <c r="W505" s="33">
        <f t="shared" si="230"/>
        <v>512.96720316226754</v>
      </c>
      <c r="X505" s="33">
        <v>96485</v>
      </c>
      <c r="Y505" s="16">
        <f t="shared" si="231"/>
        <v>-188.09135222253903</v>
      </c>
      <c r="Z505" s="16">
        <v>10</v>
      </c>
      <c r="AA505" s="16">
        <v>19</v>
      </c>
      <c r="AB505" s="8">
        <f t="shared" si="232"/>
        <v>0.33240997229916897</v>
      </c>
      <c r="AC505" s="16">
        <f t="shared" si="222"/>
        <v>70.237945145137672</v>
      </c>
      <c r="AD505" s="20">
        <f>'PFAS Properties'!$W$35</f>
        <v>9</v>
      </c>
      <c r="AE505" s="8">
        <f>'PFAS Properties'!$S$35</f>
        <v>0.90308998699194354</v>
      </c>
      <c r="AF505" s="15">
        <f>'PFAS Properties'!$V$35</f>
        <v>6.3</v>
      </c>
      <c r="AG505" s="26">
        <v>5.3</v>
      </c>
      <c r="AH505" s="2" t="s">
        <v>701</v>
      </c>
      <c r="AI505" s="15">
        <f t="shared" si="242"/>
        <v>1.2285899999999998</v>
      </c>
      <c r="AJ505" s="16">
        <v>22</v>
      </c>
      <c r="AK505" s="8">
        <f t="shared" si="234"/>
        <v>0.12285899999999998</v>
      </c>
      <c r="AL505" s="15">
        <f t="shared" si="244"/>
        <v>2.15856</v>
      </c>
      <c r="AM505" s="16">
        <v>80</v>
      </c>
      <c r="AN505" s="8">
        <f t="shared" si="235"/>
        <v>0.21585599999999999</v>
      </c>
      <c r="AO505" s="15" t="s">
        <v>705</v>
      </c>
      <c r="AP505" s="15">
        <v>0.45</v>
      </c>
      <c r="AQ505" s="15" t="s">
        <v>702</v>
      </c>
      <c r="AR505" s="4">
        <v>96</v>
      </c>
      <c r="AS505" s="4">
        <v>3</v>
      </c>
      <c r="AT505" s="4">
        <v>2</v>
      </c>
      <c r="AU505" s="2" t="s">
        <v>703</v>
      </c>
      <c r="AV505" s="16">
        <f t="shared" si="243"/>
        <v>101</v>
      </c>
      <c r="AW505" s="7">
        <v>0.19</v>
      </c>
      <c r="AX505" s="13">
        <f t="shared" si="236"/>
        <v>1.9E-3</v>
      </c>
      <c r="AY505" s="8" t="s">
        <v>704</v>
      </c>
      <c r="AZ505" s="16">
        <v>10</v>
      </c>
      <c r="BA505" s="16" t="s">
        <v>55</v>
      </c>
      <c r="BB505" s="16" t="s">
        <v>55</v>
      </c>
      <c r="BC505" s="16" t="s">
        <v>55</v>
      </c>
      <c r="BD505" s="24">
        <f t="shared" si="245"/>
        <v>10.232929922807543</v>
      </c>
      <c r="BE505" s="16">
        <f t="shared" si="241"/>
        <v>5385.7525909513379</v>
      </c>
      <c r="BF505" s="16">
        <f t="shared" si="233"/>
        <v>3.7312463990471709</v>
      </c>
      <c r="BG505" s="8">
        <v>1.01</v>
      </c>
      <c r="BH505" s="15" t="s">
        <v>846</v>
      </c>
      <c r="BI505" s="1"/>
      <c r="BJ505" s="2"/>
      <c r="BK505" s="1"/>
      <c r="BL505" s="1"/>
      <c r="BM505" s="7"/>
      <c r="BN505" s="7"/>
      <c r="BO505" s="1"/>
      <c r="BP505" s="11"/>
      <c r="BQ505" s="11"/>
    </row>
    <row r="506" spans="1:69" s="2" customFormat="1" x14ac:dyDescent="0.3">
      <c r="A506" s="20">
        <v>504</v>
      </c>
      <c r="B506" s="2" t="s">
        <v>720</v>
      </c>
      <c r="C506" s="2">
        <v>2019</v>
      </c>
      <c r="D506" s="2" t="s">
        <v>201</v>
      </c>
      <c r="E506" s="10" t="s">
        <v>797</v>
      </c>
      <c r="F506" s="20" t="s">
        <v>29</v>
      </c>
      <c r="G506" s="2" t="s">
        <v>713</v>
      </c>
      <c r="H506" s="2" t="str">
        <f>'PFAS Properties'!$B$35</f>
        <v>PFDA</v>
      </c>
      <c r="I506" s="2" t="str">
        <f>'PFAS Properties'!$C$35</f>
        <v>PFCA</v>
      </c>
      <c r="J506" s="2" t="str">
        <f>'PFAS Properties'!$D$35</f>
        <v>C10HF19O2</v>
      </c>
      <c r="K506" s="25">
        <f>'PFAS Properties'!$P$35</f>
        <v>513.96719999999993</v>
      </c>
      <c r="L506" s="2">
        <f>'PFAS Properties'!$X$35</f>
        <v>-0.2</v>
      </c>
      <c r="M506" s="2" t="str">
        <f>'PFAS Properties'!$Y$35</f>
        <v>-</v>
      </c>
      <c r="N506" s="33">
        <v>0</v>
      </c>
      <c r="O506" s="33">
        <v>0</v>
      </c>
      <c r="P506" s="33">
        <v>0</v>
      </c>
      <c r="Q506" s="33">
        <f t="shared" si="225"/>
        <v>0.9999984511857799</v>
      </c>
      <c r="R506" s="33">
        <v>0</v>
      </c>
      <c r="S506" s="33">
        <f t="shared" si="226"/>
        <v>1.5488142200832729E-6</v>
      </c>
      <c r="T506" s="8">
        <f t="shared" si="227"/>
        <v>1</v>
      </c>
      <c r="U506" s="33">
        <f t="shared" si="228"/>
        <v>0</v>
      </c>
      <c r="V506" s="33">
        <f t="shared" si="229"/>
        <v>-0.9999984511857799</v>
      </c>
      <c r="W506" s="33">
        <f t="shared" si="230"/>
        <v>512.96720154881416</v>
      </c>
      <c r="X506" s="33">
        <v>96485</v>
      </c>
      <c r="Y506" s="16">
        <f t="shared" si="231"/>
        <v>-188.09165629174916</v>
      </c>
      <c r="Z506" s="16">
        <v>10</v>
      </c>
      <c r="AA506" s="16">
        <v>19</v>
      </c>
      <c r="AB506" s="8">
        <f t="shared" si="232"/>
        <v>0.33240997229916897</v>
      </c>
      <c r="AC506" s="16">
        <f t="shared" si="222"/>
        <v>70.237945145137672</v>
      </c>
      <c r="AD506" s="20">
        <f>'PFAS Properties'!$W$35</f>
        <v>9</v>
      </c>
      <c r="AE506" s="8">
        <f>'PFAS Properties'!$S$35</f>
        <v>0.90308998699194354</v>
      </c>
      <c r="AF506" s="15">
        <f>'PFAS Properties'!$V$35</f>
        <v>6.3</v>
      </c>
      <c r="AG506" s="24">
        <v>5.61</v>
      </c>
      <c r="AH506" s="2" t="s">
        <v>652</v>
      </c>
      <c r="AI506" s="15">
        <f>9.1*2*55.845/159.69</f>
        <v>6.3647003569415741</v>
      </c>
      <c r="AJ506" s="16">
        <f t="shared" ref="AJ506:AJ511" si="246">AI506*1000/55.845</f>
        <v>113.97081846076773</v>
      </c>
      <c r="AK506" s="15">
        <f t="shared" si="234"/>
        <v>0.63647003569415739</v>
      </c>
      <c r="AL506" s="15">
        <f>22.3*2*26.98/101.96</f>
        <v>11.801765398195371</v>
      </c>
      <c r="AM506" s="16">
        <f>AL506*1000/26.98</f>
        <v>437.42644174185961</v>
      </c>
      <c r="AN506" s="15">
        <f t="shared" si="235"/>
        <v>1.1801765398195372</v>
      </c>
      <c r="AO506" s="15" t="s">
        <v>41</v>
      </c>
      <c r="AP506" s="15">
        <v>11</v>
      </c>
      <c r="AQ506" s="2" t="s">
        <v>652</v>
      </c>
      <c r="AR506" s="2">
        <v>40.700000000000003</v>
      </c>
      <c r="AS506" s="2">
        <v>23.3</v>
      </c>
      <c r="AT506" s="2">
        <v>36</v>
      </c>
      <c r="AU506" s="2" t="s">
        <v>652</v>
      </c>
      <c r="AV506" s="16">
        <f t="shared" ref="AV506:AV511" si="247">SUM(AR506:AT506)</f>
        <v>100</v>
      </c>
      <c r="AW506" s="20">
        <v>3.82</v>
      </c>
      <c r="AX506" s="13">
        <f t="shared" si="236"/>
        <v>3.8199999999999998E-2</v>
      </c>
      <c r="AY506" s="16" t="s">
        <v>750</v>
      </c>
      <c r="AZ506" s="16">
        <f t="shared" ref="AZ506:AZ511" si="248">5/0.04</f>
        <v>125</v>
      </c>
      <c r="BA506" s="16" t="s">
        <v>55</v>
      </c>
      <c r="BB506" s="16">
        <f t="shared" ref="BB506:BB511" si="249">50*K506/1000</f>
        <v>25.698359999999997</v>
      </c>
      <c r="BC506" s="16">
        <f t="shared" ref="BC506:BC511" si="250">1000*K506/1000</f>
        <v>513.96719999999993</v>
      </c>
      <c r="BD506" s="25">
        <f t="shared" ref="BD506:BD511" si="251">BO506</f>
        <v>92.063582231332973</v>
      </c>
      <c r="BE506" s="16">
        <f t="shared" ref="BE506:BE511" si="252">BD506/AX506</f>
        <v>2410.0414196684023</v>
      </c>
      <c r="BF506" s="16">
        <f t="shared" si="233"/>
        <v>3.382024506549496</v>
      </c>
      <c r="BG506" s="8">
        <f t="shared" ref="BG506:BG511" si="253">LOG(BD506)</f>
        <v>1.9640878694612045</v>
      </c>
      <c r="BH506" s="13" t="s">
        <v>782</v>
      </c>
      <c r="BI506" s="16">
        <f>10^2.8636</f>
        <v>730.4659895204112</v>
      </c>
      <c r="BJ506" s="16" t="s">
        <v>329</v>
      </c>
      <c r="BK506" s="8">
        <v>0.30049999999999999</v>
      </c>
      <c r="BL506" s="16">
        <f t="shared" ref="BL506:BL511" si="254">(BI506*K506/1000)/(BI506*(K506^BK506)/1000)</f>
        <v>78.758840790228717</v>
      </c>
      <c r="BM506" s="25">
        <f>'PFAS Properties'!$U$35</f>
        <v>0.8</v>
      </c>
      <c r="BN506" s="16">
        <f t="shared" ref="BN506:BN511" si="255">(BL506*(BM506^BK506))</f>
        <v>73.650865785066387</v>
      </c>
      <c r="BO506" s="24">
        <f t="shared" ref="BO506:BO511" si="256">BN506/BM506</f>
        <v>92.063582231332973</v>
      </c>
    </row>
    <row r="507" spans="1:69" s="14" customFormat="1" x14ac:dyDescent="0.3">
      <c r="A507" s="20">
        <v>505</v>
      </c>
      <c r="B507" s="2" t="s">
        <v>720</v>
      </c>
      <c r="C507" s="2">
        <v>2019</v>
      </c>
      <c r="D507" s="2" t="s">
        <v>201</v>
      </c>
      <c r="E507" s="10" t="s">
        <v>797</v>
      </c>
      <c r="F507" s="20" t="s">
        <v>29</v>
      </c>
      <c r="G507" s="2" t="s">
        <v>714</v>
      </c>
      <c r="H507" s="2" t="str">
        <f>'PFAS Properties'!$B$35</f>
        <v>PFDA</v>
      </c>
      <c r="I507" s="2" t="str">
        <f>'PFAS Properties'!$C$35</f>
        <v>PFCA</v>
      </c>
      <c r="J507" s="2" t="str">
        <f>'PFAS Properties'!$D$35</f>
        <v>C10HF19O2</v>
      </c>
      <c r="K507" s="25">
        <f>'PFAS Properties'!$P$35</f>
        <v>513.96719999999993</v>
      </c>
      <c r="L507" s="2">
        <f>'PFAS Properties'!$X$35</f>
        <v>-0.2</v>
      </c>
      <c r="M507" s="2" t="str">
        <f>'PFAS Properties'!$Y$35</f>
        <v>-</v>
      </c>
      <c r="N507" s="33">
        <v>0</v>
      </c>
      <c r="O507" s="33">
        <v>0</v>
      </c>
      <c r="P507" s="33">
        <v>0</v>
      </c>
      <c r="Q507" s="33">
        <f t="shared" si="225"/>
        <v>0.99997048877867123</v>
      </c>
      <c r="R507" s="33">
        <v>0</v>
      </c>
      <c r="S507" s="33">
        <f t="shared" si="226"/>
        <v>2.9511221328777069E-5</v>
      </c>
      <c r="T507" s="8">
        <f t="shared" si="227"/>
        <v>1</v>
      </c>
      <c r="U507" s="33">
        <f t="shared" si="228"/>
        <v>0</v>
      </c>
      <c r="V507" s="33">
        <f t="shared" si="229"/>
        <v>-0.99997048877867123</v>
      </c>
      <c r="W507" s="33">
        <f t="shared" si="230"/>
        <v>512.96722951122126</v>
      </c>
      <c r="X507" s="33">
        <v>96485</v>
      </c>
      <c r="Y507" s="16">
        <f t="shared" si="231"/>
        <v>-188.08638653534013</v>
      </c>
      <c r="Z507" s="16">
        <v>10</v>
      </c>
      <c r="AA507" s="16">
        <v>19</v>
      </c>
      <c r="AB507" s="8">
        <f t="shared" si="232"/>
        <v>0.33240997229916897</v>
      </c>
      <c r="AC507" s="16">
        <f t="shared" si="222"/>
        <v>70.237945145137672</v>
      </c>
      <c r="AD507" s="20">
        <f>'PFAS Properties'!$W$35</f>
        <v>9</v>
      </c>
      <c r="AE507" s="8">
        <f>'PFAS Properties'!$S$35</f>
        <v>0.90308998699194354</v>
      </c>
      <c r="AF507" s="15">
        <f>'PFAS Properties'!$V$35</f>
        <v>6.3</v>
      </c>
      <c r="AG507" s="24">
        <v>4.33</v>
      </c>
      <c r="AH507" s="2" t="s">
        <v>652</v>
      </c>
      <c r="AI507" s="15">
        <f>4.25*2*55.845/159.69</f>
        <v>2.9725248919782077</v>
      </c>
      <c r="AJ507" s="16">
        <f t="shared" si="246"/>
        <v>53.228129500908004</v>
      </c>
      <c r="AK507" s="15">
        <f t="shared" si="234"/>
        <v>0.29725248919782077</v>
      </c>
      <c r="AL507" s="15">
        <f>4.49*2*26.98/101.96</f>
        <v>2.3762298940761086</v>
      </c>
      <c r="AM507" s="16">
        <f t="shared" ref="AM507:AM511" si="257">AL507*1000/26.98</f>
        <v>88.073754413495507</v>
      </c>
      <c r="AN507" s="15">
        <f t="shared" si="235"/>
        <v>0.23762298940761087</v>
      </c>
      <c r="AO507" s="15" t="s">
        <v>41</v>
      </c>
      <c r="AP507" s="15">
        <v>19</v>
      </c>
      <c r="AQ507" s="2" t="s">
        <v>652</v>
      </c>
      <c r="AR507" s="2">
        <v>46.7</v>
      </c>
      <c r="AS507" s="2">
        <v>50</v>
      </c>
      <c r="AT507" s="2">
        <v>3.3</v>
      </c>
      <c r="AU507" s="2" t="s">
        <v>652</v>
      </c>
      <c r="AV507" s="16">
        <f t="shared" si="247"/>
        <v>100</v>
      </c>
      <c r="AW507" s="20">
        <v>0.52</v>
      </c>
      <c r="AX507" s="13">
        <f t="shared" si="236"/>
        <v>5.1999999999999998E-3</v>
      </c>
      <c r="AY507" s="16" t="s">
        <v>750</v>
      </c>
      <c r="AZ507" s="16">
        <f t="shared" si="248"/>
        <v>125</v>
      </c>
      <c r="BA507" s="16" t="s">
        <v>55</v>
      </c>
      <c r="BB507" s="16">
        <f t="shared" si="249"/>
        <v>25.698359999999997</v>
      </c>
      <c r="BC507" s="16">
        <f t="shared" si="250"/>
        <v>513.96719999999993</v>
      </c>
      <c r="BD507" s="25">
        <f t="shared" si="251"/>
        <v>55.456542401191811</v>
      </c>
      <c r="BE507" s="16">
        <f t="shared" si="252"/>
        <v>10664.719692536888</v>
      </c>
      <c r="BF507" s="16">
        <f t="shared" si="233"/>
        <v>4.0279494451033768</v>
      </c>
      <c r="BG507" s="8">
        <f t="shared" si="253"/>
        <v>1.7439527887381761</v>
      </c>
      <c r="BH507" s="13" t="s">
        <v>782</v>
      </c>
      <c r="BI507" s="16">
        <f>10^2.597</f>
        <v>395.36662006812816</v>
      </c>
      <c r="BJ507" s="16" t="s">
        <v>329</v>
      </c>
      <c r="BK507" s="8">
        <v>0.37890000000000001</v>
      </c>
      <c r="BL507" s="16">
        <f t="shared" si="254"/>
        <v>48.279412835889737</v>
      </c>
      <c r="BM507" s="25">
        <f>'PFAS Properties'!$U$35</f>
        <v>0.8</v>
      </c>
      <c r="BN507" s="16">
        <f t="shared" si="255"/>
        <v>44.36523392095345</v>
      </c>
      <c r="BO507" s="24">
        <f t="shared" si="256"/>
        <v>55.456542401191811</v>
      </c>
    </row>
    <row r="508" spans="1:69" s="14" customFormat="1" x14ac:dyDescent="0.3">
      <c r="A508" s="20">
        <v>506</v>
      </c>
      <c r="B508" s="2" t="s">
        <v>720</v>
      </c>
      <c r="C508" s="2">
        <v>2019</v>
      </c>
      <c r="D508" s="2" t="s">
        <v>201</v>
      </c>
      <c r="E508" s="10" t="s">
        <v>797</v>
      </c>
      <c r="F508" s="20" t="s">
        <v>29</v>
      </c>
      <c r="G508" s="2" t="s">
        <v>715</v>
      </c>
      <c r="H508" s="2" t="str">
        <f>'PFAS Properties'!$B$35</f>
        <v>PFDA</v>
      </c>
      <c r="I508" s="2" t="str">
        <f>'PFAS Properties'!$C$35</f>
        <v>PFCA</v>
      </c>
      <c r="J508" s="2" t="str">
        <f>'PFAS Properties'!$D$35</f>
        <v>C10HF19O2</v>
      </c>
      <c r="K508" s="25">
        <f>'PFAS Properties'!$P$35</f>
        <v>513.96719999999993</v>
      </c>
      <c r="L508" s="2">
        <f>'PFAS Properties'!$X$35</f>
        <v>-0.2</v>
      </c>
      <c r="M508" s="2" t="str">
        <f>'PFAS Properties'!$Y$35</f>
        <v>-</v>
      </c>
      <c r="N508" s="33">
        <v>0</v>
      </c>
      <c r="O508" s="33">
        <v>0</v>
      </c>
      <c r="P508" s="33">
        <v>0</v>
      </c>
      <c r="Q508" s="33">
        <f t="shared" si="225"/>
        <v>0.99986512190629506</v>
      </c>
      <c r="R508" s="33">
        <v>0</v>
      </c>
      <c r="S508" s="33">
        <f t="shared" si="226"/>
        <v>1.3487809370495705E-4</v>
      </c>
      <c r="T508" s="8">
        <f t="shared" si="227"/>
        <v>1</v>
      </c>
      <c r="U508" s="33">
        <f t="shared" si="228"/>
        <v>0</v>
      </c>
      <c r="V508" s="33">
        <f t="shared" si="229"/>
        <v>-0.99986512190629506</v>
      </c>
      <c r="W508" s="33">
        <f t="shared" si="230"/>
        <v>512.96733487809365</v>
      </c>
      <c r="X508" s="33">
        <v>96485</v>
      </c>
      <c r="Y508" s="16">
        <f t="shared" si="231"/>
        <v>-188.06652924606863</v>
      </c>
      <c r="Z508" s="16">
        <v>10</v>
      </c>
      <c r="AA508" s="16">
        <v>19</v>
      </c>
      <c r="AB508" s="8">
        <f t="shared" si="232"/>
        <v>0.33240997229916897</v>
      </c>
      <c r="AC508" s="16">
        <f t="shared" si="222"/>
        <v>70.237945145137672</v>
      </c>
      <c r="AD508" s="20">
        <f>'PFAS Properties'!$W$35</f>
        <v>9</v>
      </c>
      <c r="AE508" s="8">
        <f>'PFAS Properties'!$S$35</f>
        <v>0.90308998699194354</v>
      </c>
      <c r="AF508" s="15">
        <f>'PFAS Properties'!$V$35</f>
        <v>6.3</v>
      </c>
      <c r="AG508" s="24">
        <v>3.67</v>
      </c>
      <c r="AH508" s="2" t="s">
        <v>652</v>
      </c>
      <c r="AI508" s="15">
        <f>1.51*2*55.845/159.69</f>
        <v>1.056120608679316</v>
      </c>
      <c r="AJ508" s="16">
        <f t="shared" si="246"/>
        <v>18.911641305028493</v>
      </c>
      <c r="AK508" s="15">
        <f t="shared" si="234"/>
        <v>0.1056120608679316</v>
      </c>
      <c r="AL508" s="15">
        <f>1.01*2*26.98/101.96</f>
        <v>0.53451941938014913</v>
      </c>
      <c r="AM508" s="16">
        <f t="shared" si="257"/>
        <v>19.811690859160453</v>
      </c>
      <c r="AN508" s="15">
        <f t="shared" si="235"/>
        <v>5.3451941938014912E-2</v>
      </c>
      <c r="AO508" s="15" t="s">
        <v>41</v>
      </c>
      <c r="AP508" s="15">
        <v>6.57</v>
      </c>
      <c r="AQ508" s="2" t="s">
        <v>652</v>
      </c>
      <c r="AR508" s="2">
        <v>59.3</v>
      </c>
      <c r="AS508" s="2">
        <v>21.3</v>
      </c>
      <c r="AT508" s="2">
        <v>19.399999999999999</v>
      </c>
      <c r="AU508" s="2" t="s">
        <v>652</v>
      </c>
      <c r="AV508" s="16">
        <f t="shared" si="247"/>
        <v>100</v>
      </c>
      <c r="AW508" s="20">
        <v>0.25800000000000001</v>
      </c>
      <c r="AX508" s="13">
        <f t="shared" si="236"/>
        <v>2.5800000000000003E-3</v>
      </c>
      <c r="AY508" s="16" t="s">
        <v>750</v>
      </c>
      <c r="AZ508" s="16">
        <f t="shared" si="248"/>
        <v>125</v>
      </c>
      <c r="BA508" s="16" t="s">
        <v>55</v>
      </c>
      <c r="BB508" s="16">
        <f t="shared" si="249"/>
        <v>25.698359999999997</v>
      </c>
      <c r="BC508" s="16">
        <f t="shared" si="250"/>
        <v>513.96719999999993</v>
      </c>
      <c r="BD508" s="25">
        <f t="shared" si="251"/>
        <v>42.132706546744231</v>
      </c>
      <c r="BE508" s="16">
        <f t="shared" si="252"/>
        <v>16330.506413466754</v>
      </c>
      <c r="BF508" s="16">
        <f t="shared" si="233"/>
        <v>4.2129996525360589</v>
      </c>
      <c r="BG508" s="8">
        <f t="shared" si="253"/>
        <v>1.6246193584992892</v>
      </c>
      <c r="BH508" s="13" t="s">
        <v>782</v>
      </c>
      <c r="BI508" s="16">
        <f>10^2.5006</f>
        <v>316.66495274920908</v>
      </c>
      <c r="BJ508" s="16" t="s">
        <v>329</v>
      </c>
      <c r="BK508" s="8">
        <v>0.4214</v>
      </c>
      <c r="BL508" s="16">
        <f t="shared" si="254"/>
        <v>37.029446885320908</v>
      </c>
      <c r="BM508" s="25">
        <f>'PFAS Properties'!$U$35</f>
        <v>0.8</v>
      </c>
      <c r="BN508" s="16">
        <f t="shared" si="255"/>
        <v>33.706165237395389</v>
      </c>
      <c r="BO508" s="24">
        <f t="shared" si="256"/>
        <v>42.132706546744231</v>
      </c>
    </row>
    <row r="509" spans="1:69" s="14" customFormat="1" x14ac:dyDescent="0.3">
      <c r="A509" s="20">
        <v>507</v>
      </c>
      <c r="B509" s="2" t="s">
        <v>720</v>
      </c>
      <c r="C509" s="2">
        <v>2019</v>
      </c>
      <c r="D509" s="2" t="s">
        <v>201</v>
      </c>
      <c r="E509" s="10" t="s">
        <v>797</v>
      </c>
      <c r="F509" s="20" t="s">
        <v>29</v>
      </c>
      <c r="G509" s="2" t="s">
        <v>716</v>
      </c>
      <c r="H509" s="2" t="str">
        <f>'PFAS Properties'!$B$35</f>
        <v>PFDA</v>
      </c>
      <c r="I509" s="2" t="str">
        <f>'PFAS Properties'!$C$35</f>
        <v>PFCA</v>
      </c>
      <c r="J509" s="2" t="str">
        <f>'PFAS Properties'!$D$35</f>
        <v>C10HF19O2</v>
      </c>
      <c r="K509" s="25">
        <f>'PFAS Properties'!$P$35</f>
        <v>513.96719999999993</v>
      </c>
      <c r="L509" s="2">
        <f>'PFAS Properties'!$X$35</f>
        <v>-0.2</v>
      </c>
      <c r="M509" s="2" t="str">
        <f>'PFAS Properties'!$Y$35</f>
        <v>-</v>
      </c>
      <c r="N509" s="33">
        <v>0</v>
      </c>
      <c r="O509" s="33">
        <v>0</v>
      </c>
      <c r="P509" s="33">
        <v>0</v>
      </c>
      <c r="Q509" s="33">
        <f t="shared" si="225"/>
        <v>0.99998554581121912</v>
      </c>
      <c r="R509" s="33">
        <v>0</v>
      </c>
      <c r="S509" s="33">
        <f t="shared" si="226"/>
        <v>1.4454188780866098E-5</v>
      </c>
      <c r="T509" s="8">
        <f t="shared" si="227"/>
        <v>1</v>
      </c>
      <c r="U509" s="33">
        <f t="shared" si="228"/>
        <v>0</v>
      </c>
      <c r="V509" s="33">
        <f t="shared" si="229"/>
        <v>-0.99998554581121912</v>
      </c>
      <c r="W509" s="33">
        <f t="shared" si="230"/>
        <v>512.96721445418871</v>
      </c>
      <c r="X509" s="33">
        <v>96485</v>
      </c>
      <c r="Y509" s="16">
        <f t="shared" si="231"/>
        <v>-188.08922416271128</v>
      </c>
      <c r="Z509" s="16">
        <v>10</v>
      </c>
      <c r="AA509" s="16">
        <v>19</v>
      </c>
      <c r="AB509" s="8">
        <f t="shared" si="232"/>
        <v>0.33240997229916897</v>
      </c>
      <c r="AC509" s="16">
        <f t="shared" si="222"/>
        <v>70.237945145137672</v>
      </c>
      <c r="AD509" s="20">
        <f>'PFAS Properties'!$W$35</f>
        <v>9</v>
      </c>
      <c r="AE509" s="8">
        <f>'PFAS Properties'!$S$35</f>
        <v>0.90308998699194354</v>
      </c>
      <c r="AF509" s="15">
        <f>'PFAS Properties'!$V$35</f>
        <v>6.3</v>
      </c>
      <c r="AG509" s="24">
        <v>4.6399999999999997</v>
      </c>
      <c r="AH509" s="2" t="s">
        <v>652</v>
      </c>
      <c r="AI509" s="15">
        <f>6.69*2*55.845/159.69</f>
        <v>4.6791038887845202</v>
      </c>
      <c r="AJ509" s="16">
        <f t="shared" si="246"/>
        <v>83.787337967311657</v>
      </c>
      <c r="AK509" s="15">
        <f t="shared" si="234"/>
        <v>0.46791038887845204</v>
      </c>
      <c r="AL509" s="15">
        <f>14.7*2*26.98/101.96</f>
        <v>7.7796390741467247</v>
      </c>
      <c r="AM509" s="16">
        <f t="shared" si="257"/>
        <v>288.34837191055317</v>
      </c>
      <c r="AN509" s="15">
        <f t="shared" si="235"/>
        <v>0.77796390741467247</v>
      </c>
      <c r="AO509" s="15" t="s">
        <v>41</v>
      </c>
      <c r="AP509" s="15">
        <v>19.600000000000001</v>
      </c>
      <c r="AQ509" s="2" t="s">
        <v>652</v>
      </c>
      <c r="AR509" s="2">
        <v>42</v>
      </c>
      <c r="AS509" s="2">
        <v>36.700000000000003</v>
      </c>
      <c r="AT509" s="2">
        <v>21.3</v>
      </c>
      <c r="AU509" s="2" t="s">
        <v>652</v>
      </c>
      <c r="AV509" s="16">
        <f t="shared" si="247"/>
        <v>100</v>
      </c>
      <c r="AW509" s="20">
        <v>0.92800000000000005</v>
      </c>
      <c r="AX509" s="13">
        <f t="shared" si="236"/>
        <v>9.2800000000000001E-3</v>
      </c>
      <c r="AY509" s="16" t="s">
        <v>750</v>
      </c>
      <c r="AZ509" s="16">
        <f t="shared" si="248"/>
        <v>125</v>
      </c>
      <c r="BA509" s="16" t="s">
        <v>55</v>
      </c>
      <c r="BB509" s="16">
        <f t="shared" si="249"/>
        <v>25.698359999999997</v>
      </c>
      <c r="BC509" s="16">
        <f t="shared" si="250"/>
        <v>513.96719999999993</v>
      </c>
      <c r="BD509" s="25">
        <f t="shared" si="251"/>
        <v>64.932812890225378</v>
      </c>
      <c r="BE509" s="16">
        <f t="shared" si="252"/>
        <v>6997.0703545501483</v>
      </c>
      <c r="BF509" s="16">
        <f t="shared" si="233"/>
        <v>3.844916240703522</v>
      </c>
      <c r="BG509" s="8">
        <f t="shared" si="253"/>
        <v>1.8124642169223839</v>
      </c>
      <c r="BH509" s="13" t="s">
        <v>782</v>
      </c>
      <c r="BI509" s="16">
        <f>10^2.7444</f>
        <v>555.13677743521168</v>
      </c>
      <c r="BJ509" s="16" t="s">
        <v>329</v>
      </c>
      <c r="BK509" s="8">
        <v>0.35449999999999998</v>
      </c>
      <c r="BL509" s="16">
        <f t="shared" si="254"/>
        <v>56.222325285860663</v>
      </c>
      <c r="BM509" s="25">
        <f>'PFAS Properties'!$U$35</f>
        <v>0.8</v>
      </c>
      <c r="BN509" s="16">
        <f t="shared" si="255"/>
        <v>51.946250312180304</v>
      </c>
      <c r="BO509" s="24">
        <f t="shared" si="256"/>
        <v>64.932812890225378</v>
      </c>
    </row>
    <row r="510" spans="1:69" s="14" customFormat="1" x14ac:dyDescent="0.3">
      <c r="A510" s="20">
        <v>508</v>
      </c>
      <c r="B510" s="2" t="s">
        <v>720</v>
      </c>
      <c r="C510" s="2">
        <v>2019</v>
      </c>
      <c r="D510" s="2" t="s">
        <v>201</v>
      </c>
      <c r="E510" s="10" t="s">
        <v>797</v>
      </c>
      <c r="F510" s="20" t="s">
        <v>29</v>
      </c>
      <c r="G510" s="2" t="s">
        <v>717</v>
      </c>
      <c r="H510" s="2" t="str">
        <f>'PFAS Properties'!$B$35</f>
        <v>PFDA</v>
      </c>
      <c r="I510" s="2" t="str">
        <f>'PFAS Properties'!$C$35</f>
        <v>PFCA</v>
      </c>
      <c r="J510" s="2" t="str">
        <f>'PFAS Properties'!$D$35</f>
        <v>C10HF19O2</v>
      </c>
      <c r="K510" s="25">
        <f>'PFAS Properties'!$P$35</f>
        <v>513.96719999999993</v>
      </c>
      <c r="L510" s="2">
        <f>'PFAS Properties'!$X$35</f>
        <v>-0.2</v>
      </c>
      <c r="M510" s="2" t="str">
        <f>'PFAS Properties'!$Y$35</f>
        <v>-</v>
      </c>
      <c r="N510" s="33">
        <v>0</v>
      </c>
      <c r="O510" s="33">
        <v>0</v>
      </c>
      <c r="P510" s="33">
        <v>0</v>
      </c>
      <c r="Q510" s="33">
        <f t="shared" si="225"/>
        <v>0.99995533363595812</v>
      </c>
      <c r="R510" s="33">
        <v>0</v>
      </c>
      <c r="S510" s="33">
        <f t="shared" si="226"/>
        <v>4.4666364041902332E-5</v>
      </c>
      <c r="T510" s="8">
        <f t="shared" si="227"/>
        <v>1</v>
      </c>
      <c r="U510" s="33">
        <f t="shared" si="228"/>
        <v>0</v>
      </c>
      <c r="V510" s="33">
        <f t="shared" si="229"/>
        <v>-0.99995533363595812</v>
      </c>
      <c r="W510" s="33">
        <f t="shared" si="230"/>
        <v>512.96724466636397</v>
      </c>
      <c r="X510" s="33">
        <v>96485</v>
      </c>
      <c r="Y510" s="16">
        <f t="shared" si="231"/>
        <v>-188.08353041843219</v>
      </c>
      <c r="Z510" s="16">
        <v>10</v>
      </c>
      <c r="AA510" s="16">
        <v>19</v>
      </c>
      <c r="AB510" s="8">
        <f t="shared" si="232"/>
        <v>0.33240997229916897</v>
      </c>
      <c r="AC510" s="16">
        <f t="shared" si="222"/>
        <v>70.237945145137672</v>
      </c>
      <c r="AD510" s="20">
        <f>'PFAS Properties'!$W$35</f>
        <v>9</v>
      </c>
      <c r="AE510" s="8">
        <f>'PFAS Properties'!$S$35</f>
        <v>0.90308998699194354</v>
      </c>
      <c r="AF510" s="15">
        <f>'PFAS Properties'!$V$35</f>
        <v>6.3</v>
      </c>
      <c r="AG510" s="24">
        <v>4.1500000000000004</v>
      </c>
      <c r="AH510" s="2" t="s">
        <v>652</v>
      </c>
      <c r="AI510" s="15">
        <f>5.68*2*55.845/159.69</f>
        <v>3.9726920909261692</v>
      </c>
      <c r="AJ510" s="16">
        <f t="shared" si="246"/>
        <v>71.137829544742928</v>
      </c>
      <c r="AK510" s="15">
        <f t="shared" si="234"/>
        <v>0.39726920909261693</v>
      </c>
      <c r="AL510" s="15">
        <f>9.78*2*26.98/101.96</f>
        <v>5.1758415064731267</v>
      </c>
      <c r="AM510" s="16">
        <f t="shared" si="257"/>
        <v>191.83993723028641</v>
      </c>
      <c r="AN510" s="15">
        <f t="shared" si="235"/>
        <v>0.51758415064731267</v>
      </c>
      <c r="AO510" s="15" t="s">
        <v>41</v>
      </c>
      <c r="AP510" s="15">
        <v>9.76</v>
      </c>
      <c r="AQ510" s="2" t="s">
        <v>652</v>
      </c>
      <c r="AR510" s="2">
        <v>49.3</v>
      </c>
      <c r="AS510" s="2">
        <v>39.4</v>
      </c>
      <c r="AT510" s="2">
        <v>11.3</v>
      </c>
      <c r="AU510" s="2" t="s">
        <v>652</v>
      </c>
      <c r="AV510" s="16">
        <f t="shared" si="247"/>
        <v>99.999999999999986</v>
      </c>
      <c r="AW510" s="20">
        <v>2.48</v>
      </c>
      <c r="AX510" s="13">
        <f t="shared" si="236"/>
        <v>2.4799999999999999E-2</v>
      </c>
      <c r="AY510" s="16" t="s">
        <v>750</v>
      </c>
      <c r="AZ510" s="16">
        <f t="shared" si="248"/>
        <v>125</v>
      </c>
      <c r="BA510" s="16" t="s">
        <v>55</v>
      </c>
      <c r="BB510" s="16">
        <f t="shared" si="249"/>
        <v>25.698359999999997</v>
      </c>
      <c r="BC510" s="16">
        <f t="shared" si="250"/>
        <v>513.96719999999993</v>
      </c>
      <c r="BD510" s="25">
        <f t="shared" si="251"/>
        <v>34.325008919980988</v>
      </c>
      <c r="BE510" s="16">
        <f t="shared" si="252"/>
        <v>1384.072940321814</v>
      </c>
      <c r="BF510" s="16">
        <f t="shared" si="233"/>
        <v>3.1411589779419504</v>
      </c>
      <c r="BG510" s="8">
        <f t="shared" si="253"/>
        <v>1.5356106587681668</v>
      </c>
      <c r="BH510" s="13" t="s">
        <v>782</v>
      </c>
      <c r="BI510" s="16">
        <f>10^2.6396</f>
        <v>436.11397139306519</v>
      </c>
      <c r="BJ510" s="16" t="s">
        <v>329</v>
      </c>
      <c r="BK510" s="8">
        <v>0.4531</v>
      </c>
      <c r="BL510" s="16">
        <f t="shared" si="254"/>
        <v>30.381595178440914</v>
      </c>
      <c r="BM510" s="25">
        <f>'PFAS Properties'!$U$35</f>
        <v>0.8</v>
      </c>
      <c r="BN510" s="16">
        <f t="shared" si="255"/>
        <v>27.460007135984792</v>
      </c>
      <c r="BO510" s="24">
        <f t="shared" si="256"/>
        <v>34.325008919980988</v>
      </c>
    </row>
    <row r="511" spans="1:69" s="14" customFormat="1" x14ac:dyDescent="0.3">
      <c r="A511" s="20">
        <v>509</v>
      </c>
      <c r="B511" s="2" t="s">
        <v>720</v>
      </c>
      <c r="C511" s="2">
        <v>2019</v>
      </c>
      <c r="D511" s="2" t="s">
        <v>201</v>
      </c>
      <c r="E511" s="10" t="s">
        <v>797</v>
      </c>
      <c r="F511" s="20" t="s">
        <v>29</v>
      </c>
      <c r="G511" s="2" t="s">
        <v>718</v>
      </c>
      <c r="H511" s="2" t="str">
        <f>'PFAS Properties'!$B$35</f>
        <v>PFDA</v>
      </c>
      <c r="I511" s="2" t="str">
        <f>'PFAS Properties'!$C$35</f>
        <v>PFCA</v>
      </c>
      <c r="J511" s="2" t="str">
        <f>'PFAS Properties'!$D$35</f>
        <v>C10HF19O2</v>
      </c>
      <c r="K511" s="25">
        <f>'PFAS Properties'!$P$35</f>
        <v>513.96719999999993</v>
      </c>
      <c r="L511" s="2">
        <f>'PFAS Properties'!$X$35</f>
        <v>-0.2</v>
      </c>
      <c r="M511" s="2" t="str">
        <f>'PFAS Properties'!$Y$35</f>
        <v>-</v>
      </c>
      <c r="N511" s="33">
        <v>0</v>
      </c>
      <c r="O511" s="33">
        <v>0</v>
      </c>
      <c r="P511" s="33">
        <v>0</v>
      </c>
      <c r="Q511" s="33">
        <f t="shared" si="225"/>
        <v>0.99991872355478106</v>
      </c>
      <c r="R511" s="33">
        <v>0</v>
      </c>
      <c r="S511" s="33">
        <f t="shared" si="226"/>
        <v>8.1276445218917993E-5</v>
      </c>
      <c r="T511" s="8">
        <f t="shared" si="227"/>
        <v>1</v>
      </c>
      <c r="U511" s="33">
        <f t="shared" si="228"/>
        <v>0</v>
      </c>
      <c r="V511" s="33">
        <f t="shared" si="229"/>
        <v>-0.99991872355478106</v>
      </c>
      <c r="W511" s="33">
        <f t="shared" si="230"/>
        <v>512.96728127644519</v>
      </c>
      <c r="X511" s="33">
        <v>96485</v>
      </c>
      <c r="Y511" s="16">
        <f t="shared" si="231"/>
        <v>-188.07663093465442</v>
      </c>
      <c r="Z511" s="16">
        <v>10</v>
      </c>
      <c r="AA511" s="16">
        <v>19</v>
      </c>
      <c r="AB511" s="8">
        <f t="shared" si="232"/>
        <v>0.33240997229916897</v>
      </c>
      <c r="AC511" s="16">
        <f t="shared" si="222"/>
        <v>70.237945145137672</v>
      </c>
      <c r="AD511" s="20">
        <f>'PFAS Properties'!$W$35</f>
        <v>9</v>
      </c>
      <c r="AE511" s="8">
        <f>'PFAS Properties'!$S$35</f>
        <v>0.90308998699194354</v>
      </c>
      <c r="AF511" s="15">
        <f>'PFAS Properties'!$V$35</f>
        <v>6.3</v>
      </c>
      <c r="AG511" s="24">
        <v>3.89</v>
      </c>
      <c r="AH511" s="2" t="s">
        <v>652</v>
      </c>
      <c r="AI511" s="15">
        <f>2.95*2*55.845/159.69</f>
        <v>2.0632819838436971</v>
      </c>
      <c r="AJ511" s="16">
        <f t="shared" si="246"/>
        <v>36.946584006512616</v>
      </c>
      <c r="AK511" s="15">
        <f t="shared" si="234"/>
        <v>0.20632819838436972</v>
      </c>
      <c r="AL511" s="15">
        <f>0.634*2*26.98/101.96</f>
        <v>0.33553001176932129</v>
      </c>
      <c r="AM511" s="16">
        <f t="shared" si="257"/>
        <v>12.436249509611612</v>
      </c>
      <c r="AN511" s="15">
        <f t="shared" si="235"/>
        <v>3.3553001176932128E-2</v>
      </c>
      <c r="AO511" s="15" t="s">
        <v>41</v>
      </c>
      <c r="AP511" s="15">
        <v>2.89</v>
      </c>
      <c r="AQ511" s="2" t="s">
        <v>652</v>
      </c>
      <c r="AR511" s="2">
        <v>60</v>
      </c>
      <c r="AS511" s="2">
        <v>16</v>
      </c>
      <c r="AT511" s="2">
        <v>24</v>
      </c>
      <c r="AU511" s="2" t="s">
        <v>652</v>
      </c>
      <c r="AV511" s="16">
        <f t="shared" si="247"/>
        <v>100</v>
      </c>
      <c r="AW511" s="20">
        <v>0.99299999999999999</v>
      </c>
      <c r="AX511" s="13">
        <f t="shared" si="236"/>
        <v>9.9299999999999996E-3</v>
      </c>
      <c r="AY511" s="16" t="s">
        <v>750</v>
      </c>
      <c r="AZ511" s="16">
        <f t="shared" si="248"/>
        <v>125</v>
      </c>
      <c r="BA511" s="16" t="s">
        <v>55</v>
      </c>
      <c r="BB511" s="16">
        <f t="shared" si="249"/>
        <v>25.698359999999997</v>
      </c>
      <c r="BC511" s="16">
        <f t="shared" si="250"/>
        <v>513.96719999999993</v>
      </c>
      <c r="BD511" s="25">
        <f t="shared" si="251"/>
        <v>30.142062490297587</v>
      </c>
      <c r="BE511" s="16">
        <f t="shared" si="252"/>
        <v>3035.4544300400389</v>
      </c>
      <c r="BF511" s="16">
        <f t="shared" si="233"/>
        <v>3.4822237173833357</v>
      </c>
      <c r="BG511" s="8">
        <f t="shared" si="253"/>
        <v>1.4791729658787169</v>
      </c>
      <c r="BH511" s="13" t="s">
        <v>782</v>
      </c>
      <c r="BI511" s="16">
        <f>10^2.3075</f>
        <v>203.00185198596861</v>
      </c>
      <c r="BJ511" s="16" t="s">
        <v>329</v>
      </c>
      <c r="BK511" s="8">
        <v>0.47320000000000001</v>
      </c>
      <c r="BL511" s="16">
        <f t="shared" si="254"/>
        <v>26.799134664562601</v>
      </c>
      <c r="BM511" s="25">
        <f>'PFAS Properties'!$U$35</f>
        <v>0.8</v>
      </c>
      <c r="BN511" s="16">
        <f t="shared" si="255"/>
        <v>24.11364999223807</v>
      </c>
      <c r="BO511" s="24">
        <f t="shared" si="256"/>
        <v>30.142062490297587</v>
      </c>
    </row>
    <row r="512" spans="1:69" x14ac:dyDescent="0.3">
      <c r="A512" s="20">
        <v>510</v>
      </c>
      <c r="B512" s="1" t="s">
        <v>873</v>
      </c>
      <c r="C512" s="1">
        <v>2007</v>
      </c>
      <c r="D512" s="1" t="s">
        <v>203</v>
      </c>
      <c r="E512" s="10" t="s">
        <v>225</v>
      </c>
      <c r="F512" s="7" t="s">
        <v>63</v>
      </c>
      <c r="G512" s="4">
        <v>1</v>
      </c>
      <c r="H512" s="2" t="str">
        <f>'PFAS Properties'!$B$35</f>
        <v>PFDA</v>
      </c>
      <c r="I512" s="2" t="str">
        <f>'PFAS Properties'!$C$35</f>
        <v>PFCA</v>
      </c>
      <c r="J512" s="2" t="str">
        <f>'PFAS Properties'!$D$35</f>
        <v>C10HF19O2</v>
      </c>
      <c r="K512" s="25">
        <f>'PFAS Properties'!$P$35</f>
        <v>513.96719999999993</v>
      </c>
      <c r="L512" s="2">
        <f>'PFAS Properties'!$X$35</f>
        <v>-0.2</v>
      </c>
      <c r="M512" s="2" t="str">
        <f>'PFAS Properties'!$Y$35</f>
        <v>-</v>
      </c>
      <c r="N512" s="33">
        <v>0</v>
      </c>
      <c r="O512" s="33">
        <v>0</v>
      </c>
      <c r="P512" s="33">
        <v>0</v>
      </c>
      <c r="Q512" s="33">
        <f t="shared" si="225"/>
        <v>0.99999993690426958</v>
      </c>
      <c r="R512" s="33">
        <v>0</v>
      </c>
      <c r="S512" s="33">
        <f t="shared" si="226"/>
        <v>6.3095730466947729E-8</v>
      </c>
      <c r="T512" s="8">
        <f t="shared" si="227"/>
        <v>1</v>
      </c>
      <c r="U512" s="33">
        <f t="shared" si="228"/>
        <v>0</v>
      </c>
      <c r="V512" s="33">
        <f t="shared" si="229"/>
        <v>-0.99999993690426958</v>
      </c>
      <c r="W512" s="33">
        <f t="shared" si="230"/>
        <v>512.96720006309567</v>
      </c>
      <c r="X512" s="33">
        <v>96485</v>
      </c>
      <c r="Y512" s="16">
        <f t="shared" si="231"/>
        <v>-188.09193628820842</v>
      </c>
      <c r="Z512" s="16">
        <v>10</v>
      </c>
      <c r="AA512" s="16">
        <v>19</v>
      </c>
      <c r="AB512" s="8">
        <f t="shared" si="232"/>
        <v>0.33240997229916897</v>
      </c>
      <c r="AC512" s="16">
        <f t="shared" si="222"/>
        <v>70.237945145137672</v>
      </c>
      <c r="AD512" s="20">
        <f>'PFAS Properties'!$W$35</f>
        <v>9</v>
      </c>
      <c r="AE512" s="8">
        <f>'PFAS Properties'!$S$35</f>
        <v>0.90308998699194354</v>
      </c>
      <c r="AF512" s="15">
        <f>'PFAS Properties'!$V$35</f>
        <v>6.3</v>
      </c>
      <c r="AG512" s="26">
        <v>7</v>
      </c>
      <c r="AH512" s="1" t="s">
        <v>363</v>
      </c>
      <c r="AI512" s="6">
        <f>334*55.85/1000</f>
        <v>18.6539</v>
      </c>
      <c r="AJ512" s="3">
        <f t="shared" ref="AJ512:AJ517" si="258">AI512*1000/55.845</f>
        <v>334.0299041991226</v>
      </c>
      <c r="AK512" s="8">
        <f t="shared" ref="AK512:AK517" si="259">AI512/10</f>
        <v>1.8653900000000001</v>
      </c>
      <c r="AL512" s="6">
        <f>41*26.98/1000</f>
        <v>1.1061800000000002</v>
      </c>
      <c r="AM512" s="3">
        <f t="shared" ref="AM512:AM517" si="260">AL512*1000/26.98</f>
        <v>41</v>
      </c>
      <c r="AN512" s="8">
        <f t="shared" ref="AN512:AN517" si="261">AL512/10</f>
        <v>0.11061800000000002</v>
      </c>
      <c r="AO512" s="3" t="s">
        <v>93</v>
      </c>
      <c r="AP512" s="15">
        <v>38.6</v>
      </c>
      <c r="AQ512" s="1" t="s">
        <v>363</v>
      </c>
      <c r="AR512" s="4">
        <v>11</v>
      </c>
      <c r="AS512" s="4">
        <v>36</v>
      </c>
      <c r="AT512" s="4">
        <v>53</v>
      </c>
      <c r="AU512" s="1" t="s">
        <v>363</v>
      </c>
      <c r="AV512" s="16">
        <f t="shared" ref="AV512:AV557" si="262">SUM(AR512:AT512)</f>
        <v>100</v>
      </c>
      <c r="AW512" s="7">
        <v>2.48</v>
      </c>
      <c r="AX512" s="133">
        <f t="shared" si="236"/>
        <v>2.4799999999999999E-2</v>
      </c>
      <c r="AY512" s="5" t="s">
        <v>87</v>
      </c>
      <c r="AZ512" s="39">
        <f>5/0.05</f>
        <v>100</v>
      </c>
      <c r="BA512" s="30" t="s">
        <v>55</v>
      </c>
      <c r="BB512" s="15">
        <f>1*K512/1000</f>
        <v>0.51396719999999996</v>
      </c>
      <c r="BC512" s="16">
        <f>200*K512/1000</f>
        <v>102.79343999999999</v>
      </c>
      <c r="BD512" s="26">
        <v>27.35</v>
      </c>
      <c r="BE512" s="16">
        <f t="shared" ref="BE512:BE543" si="263">BD512/AX512</f>
        <v>1102.8225806451615</v>
      </c>
      <c r="BF512" s="8">
        <f t="shared" si="233"/>
        <v>3.0425056498432332</v>
      </c>
      <c r="BG512" s="8">
        <f t="shared" ref="BG512:BG540" si="264">LOG(BD512)</f>
        <v>1.4369573306694496</v>
      </c>
      <c r="BH512" s="13" t="s">
        <v>844</v>
      </c>
      <c r="BI512" s="13"/>
      <c r="BJ512" s="13"/>
      <c r="BK512" s="8"/>
      <c r="BL512" s="8"/>
      <c r="BM512" s="18"/>
      <c r="BN512" s="8"/>
      <c r="BO512" s="24"/>
      <c r="BP512" s="11"/>
      <c r="BQ512" s="11"/>
    </row>
    <row r="513" spans="1:69" x14ac:dyDescent="0.3">
      <c r="A513" s="20">
        <v>511</v>
      </c>
      <c r="B513" s="1" t="s">
        <v>873</v>
      </c>
      <c r="C513" s="1">
        <v>2007</v>
      </c>
      <c r="D513" s="1" t="s">
        <v>203</v>
      </c>
      <c r="E513" s="10" t="s">
        <v>225</v>
      </c>
      <c r="F513" s="7" t="s">
        <v>63</v>
      </c>
      <c r="G513" s="4">
        <v>2</v>
      </c>
      <c r="H513" s="2" t="str">
        <f>'PFAS Properties'!$B$35</f>
        <v>PFDA</v>
      </c>
      <c r="I513" s="2" t="str">
        <f>'PFAS Properties'!$C$35</f>
        <v>PFCA</v>
      </c>
      <c r="J513" s="2" t="str">
        <f>'PFAS Properties'!$D$35</f>
        <v>C10HF19O2</v>
      </c>
      <c r="K513" s="25">
        <f>'PFAS Properties'!$P$35</f>
        <v>513.96719999999993</v>
      </c>
      <c r="L513" s="2">
        <f>'PFAS Properties'!$X$35</f>
        <v>-0.2</v>
      </c>
      <c r="M513" s="2" t="str">
        <f>'PFAS Properties'!$Y$35</f>
        <v>-</v>
      </c>
      <c r="N513" s="33">
        <v>0</v>
      </c>
      <c r="O513" s="33">
        <v>0</v>
      </c>
      <c r="P513" s="33">
        <v>0</v>
      </c>
      <c r="Q513" s="33">
        <f t="shared" si="225"/>
        <v>0.99999998004737722</v>
      </c>
      <c r="R513" s="33">
        <v>0</v>
      </c>
      <c r="S513" s="33">
        <f t="shared" si="226"/>
        <v>1.995262275158161E-8</v>
      </c>
      <c r="T513" s="8">
        <f t="shared" si="227"/>
        <v>1</v>
      </c>
      <c r="U513" s="33">
        <f t="shared" si="228"/>
        <v>0</v>
      </c>
      <c r="V513" s="33">
        <f t="shared" si="229"/>
        <v>-0.99999998004737722</v>
      </c>
      <c r="W513" s="33">
        <f t="shared" si="230"/>
        <v>512.96720001995254</v>
      </c>
      <c r="X513" s="33">
        <v>96485</v>
      </c>
      <c r="Y513" s="16">
        <f t="shared" si="231"/>
        <v>-188.09194441889906</v>
      </c>
      <c r="Z513" s="16">
        <v>10</v>
      </c>
      <c r="AA513" s="16">
        <v>19</v>
      </c>
      <c r="AB513" s="8">
        <f t="shared" si="232"/>
        <v>0.33240997229916897</v>
      </c>
      <c r="AC513" s="16">
        <f t="shared" si="222"/>
        <v>70.237945145137672</v>
      </c>
      <c r="AD513" s="20">
        <f>'PFAS Properties'!$W$35</f>
        <v>9</v>
      </c>
      <c r="AE513" s="8">
        <f>'PFAS Properties'!$S$35</f>
        <v>0.90308998699194354</v>
      </c>
      <c r="AF513" s="15">
        <f>'PFAS Properties'!$V$35</f>
        <v>6.3</v>
      </c>
      <c r="AG513" s="26">
        <v>7.5</v>
      </c>
      <c r="AH513" s="1" t="s">
        <v>363</v>
      </c>
      <c r="AI513" s="6">
        <f>116*55.845/1000</f>
        <v>6.4780199999999999</v>
      </c>
      <c r="AJ513" s="3">
        <f t="shared" si="258"/>
        <v>116</v>
      </c>
      <c r="AK513" s="8">
        <f t="shared" si="259"/>
        <v>0.64780199999999999</v>
      </c>
      <c r="AL513" s="6">
        <f>7*26.98/1000</f>
        <v>0.18886</v>
      </c>
      <c r="AM513" s="3">
        <f t="shared" si="260"/>
        <v>7</v>
      </c>
      <c r="AN513" s="8">
        <f t="shared" si="261"/>
        <v>1.8886E-2</v>
      </c>
      <c r="AO513" s="3" t="s">
        <v>93</v>
      </c>
      <c r="AP513" s="15">
        <v>30</v>
      </c>
      <c r="AQ513" s="1" t="s">
        <v>363</v>
      </c>
      <c r="AR513" s="4">
        <v>49</v>
      </c>
      <c r="AS513" s="4">
        <v>25</v>
      </c>
      <c r="AT513" s="4">
        <v>26</v>
      </c>
      <c r="AU513" s="1" t="s">
        <v>363</v>
      </c>
      <c r="AV513" s="16">
        <f t="shared" si="262"/>
        <v>100</v>
      </c>
      <c r="AW513" s="7">
        <v>1.02</v>
      </c>
      <c r="AX513" s="5">
        <f t="shared" si="236"/>
        <v>1.0200000000000001E-2</v>
      </c>
      <c r="AY513" s="5" t="s">
        <v>87</v>
      </c>
      <c r="AZ513" s="39">
        <f>5/0.05</f>
        <v>100</v>
      </c>
      <c r="BA513" s="30" t="s">
        <v>55</v>
      </c>
      <c r="BB513" s="15">
        <f>1*K513/1000</f>
        <v>0.51396719999999996</v>
      </c>
      <c r="BC513" s="16">
        <f>200*K513/1000</f>
        <v>102.79343999999999</v>
      </c>
      <c r="BD513" s="26">
        <v>3.81</v>
      </c>
      <c r="BE513" s="16">
        <f t="shared" si="263"/>
        <v>373.52941176470586</v>
      </c>
      <c r="BF513" s="8">
        <f t="shared" si="233"/>
        <v>2.5723248039137019</v>
      </c>
      <c r="BG513" s="8">
        <f t="shared" si="264"/>
        <v>0.58092497567561929</v>
      </c>
      <c r="BH513" s="13" t="s">
        <v>844</v>
      </c>
      <c r="BI513" s="13"/>
      <c r="BJ513" s="13"/>
      <c r="BK513" s="8"/>
      <c r="BL513" s="8"/>
      <c r="BM513" s="18"/>
      <c r="BN513" s="8"/>
      <c r="BO513" s="24"/>
      <c r="BP513" s="11"/>
      <c r="BQ513" s="11"/>
    </row>
    <row r="514" spans="1:69" x14ac:dyDescent="0.3">
      <c r="A514" s="20">
        <v>512</v>
      </c>
      <c r="B514" s="1" t="s">
        <v>873</v>
      </c>
      <c r="C514" s="1">
        <v>2007</v>
      </c>
      <c r="D514" s="1" t="s">
        <v>203</v>
      </c>
      <c r="E514" s="10" t="s">
        <v>225</v>
      </c>
      <c r="F514" s="7" t="s">
        <v>63</v>
      </c>
      <c r="G514" s="4">
        <v>3</v>
      </c>
      <c r="H514" s="2" t="str">
        <f>'PFAS Properties'!$B$35</f>
        <v>PFDA</v>
      </c>
      <c r="I514" s="2" t="str">
        <f>'PFAS Properties'!$C$35</f>
        <v>PFCA</v>
      </c>
      <c r="J514" s="2" t="str">
        <f>'PFAS Properties'!$D$35</f>
        <v>C10HF19O2</v>
      </c>
      <c r="K514" s="25">
        <f>'PFAS Properties'!$P$35</f>
        <v>513.96719999999993</v>
      </c>
      <c r="L514" s="2">
        <f>'PFAS Properties'!$X$35</f>
        <v>-0.2</v>
      </c>
      <c r="M514" s="2" t="str">
        <f>'PFAS Properties'!$Y$35</f>
        <v>-</v>
      </c>
      <c r="N514" s="33">
        <v>0</v>
      </c>
      <c r="O514" s="33">
        <v>0</v>
      </c>
      <c r="P514" s="33">
        <v>0</v>
      </c>
      <c r="Q514" s="33">
        <f t="shared" si="225"/>
        <v>0.99999998415106828</v>
      </c>
      <c r="R514" s="33">
        <v>0</v>
      </c>
      <c r="S514" s="33">
        <f t="shared" si="226"/>
        <v>1.5848931673422493E-8</v>
      </c>
      <c r="T514" s="8">
        <f t="shared" si="227"/>
        <v>1</v>
      </c>
      <c r="U514" s="33">
        <f t="shared" si="228"/>
        <v>0</v>
      </c>
      <c r="V514" s="33">
        <f t="shared" si="229"/>
        <v>-0.99999998415106828</v>
      </c>
      <c r="W514" s="33">
        <f t="shared" si="230"/>
        <v>512.9672000158489</v>
      </c>
      <c r="X514" s="33">
        <v>96485</v>
      </c>
      <c r="Y514" s="16">
        <f t="shared" si="231"/>
        <v>-188.09194519227501</v>
      </c>
      <c r="Z514" s="16">
        <v>10</v>
      </c>
      <c r="AA514" s="16">
        <v>19</v>
      </c>
      <c r="AB514" s="8">
        <f t="shared" si="232"/>
        <v>0.33240997229916897</v>
      </c>
      <c r="AC514" s="16">
        <f t="shared" si="222"/>
        <v>70.237945145137672</v>
      </c>
      <c r="AD514" s="20">
        <f>'PFAS Properties'!$W$35</f>
        <v>9</v>
      </c>
      <c r="AE514" s="8">
        <f>'PFAS Properties'!$S$35</f>
        <v>0.90308998699194354</v>
      </c>
      <c r="AF514" s="15">
        <f>'PFAS Properties'!$V$35</f>
        <v>6.3</v>
      </c>
      <c r="AG514" s="26">
        <v>7.6</v>
      </c>
      <c r="AH514" s="1" t="s">
        <v>363</v>
      </c>
      <c r="AI514" s="6">
        <f>121*55.85/1000</f>
        <v>6.7578500000000004</v>
      </c>
      <c r="AJ514" s="3">
        <f t="shared" si="258"/>
        <v>121.01083355716717</v>
      </c>
      <c r="AK514" s="8">
        <f t="shared" si="259"/>
        <v>0.67578500000000008</v>
      </c>
      <c r="AL514" s="6">
        <f>14*26.98/1000</f>
        <v>0.37772</v>
      </c>
      <c r="AM514" s="3">
        <f t="shared" si="260"/>
        <v>14</v>
      </c>
      <c r="AN514" s="8">
        <f t="shared" si="261"/>
        <v>3.7772E-2</v>
      </c>
      <c r="AO514" s="3" t="s">
        <v>93</v>
      </c>
      <c r="AP514" s="15">
        <v>32.1</v>
      </c>
      <c r="AQ514" s="1" t="s">
        <v>363</v>
      </c>
      <c r="AR514" s="4">
        <v>31</v>
      </c>
      <c r="AS514" s="4">
        <v>38</v>
      </c>
      <c r="AT514" s="4">
        <v>31</v>
      </c>
      <c r="AU514" s="1" t="s">
        <v>363</v>
      </c>
      <c r="AV514" s="16">
        <f t="shared" si="262"/>
        <v>100</v>
      </c>
      <c r="AW514" s="7">
        <v>4.34</v>
      </c>
      <c r="AX514" s="5">
        <f t="shared" si="236"/>
        <v>4.3400000000000001E-2</v>
      </c>
      <c r="AY514" s="5" t="s">
        <v>87</v>
      </c>
      <c r="AZ514" s="39">
        <f>5/0.05</f>
        <v>100</v>
      </c>
      <c r="BA514" s="30" t="s">
        <v>55</v>
      </c>
      <c r="BB514" s="15">
        <f>1*K514/1000</f>
        <v>0.51396719999999996</v>
      </c>
      <c r="BC514" s="16">
        <f>200*K514/1000</f>
        <v>102.79343999999999</v>
      </c>
      <c r="BD514" s="26">
        <v>29.05</v>
      </c>
      <c r="BE514" s="16">
        <f t="shared" si="263"/>
        <v>669.35483870967744</v>
      </c>
      <c r="BF514" s="8">
        <f t="shared" si="233"/>
        <v>2.825656407213839</v>
      </c>
      <c r="BG514" s="8">
        <f t="shared" si="264"/>
        <v>1.4631461367263496</v>
      </c>
      <c r="BH514" s="13" t="s">
        <v>844</v>
      </c>
      <c r="BI514" s="13"/>
      <c r="BJ514" s="13"/>
      <c r="BK514" s="8"/>
      <c r="BL514" s="8"/>
      <c r="BM514" s="18"/>
      <c r="BN514" s="8"/>
      <c r="BO514" s="24"/>
      <c r="BP514" s="11"/>
      <c r="BQ514" s="11"/>
    </row>
    <row r="515" spans="1:69" x14ac:dyDescent="0.3">
      <c r="A515" s="20">
        <v>513</v>
      </c>
      <c r="B515" s="1" t="s">
        <v>873</v>
      </c>
      <c r="C515" s="1">
        <v>2007</v>
      </c>
      <c r="D515" s="1" t="s">
        <v>203</v>
      </c>
      <c r="E515" s="10" t="s">
        <v>225</v>
      </c>
      <c r="F515" s="7" t="s">
        <v>63</v>
      </c>
      <c r="G515" s="4">
        <v>4</v>
      </c>
      <c r="H515" s="2" t="str">
        <f>'PFAS Properties'!$B$35</f>
        <v>PFDA</v>
      </c>
      <c r="I515" s="2" t="str">
        <f>'PFAS Properties'!$C$35</f>
        <v>PFCA</v>
      </c>
      <c r="J515" s="2" t="str">
        <f>'PFAS Properties'!$D$35</f>
        <v>C10HF19O2</v>
      </c>
      <c r="K515" s="25">
        <f>'PFAS Properties'!$P$35</f>
        <v>513.96719999999993</v>
      </c>
      <c r="L515" s="2">
        <f>'PFAS Properties'!$X$35</f>
        <v>-0.2</v>
      </c>
      <c r="M515" s="2" t="str">
        <f>'PFAS Properties'!$Y$35</f>
        <v>-</v>
      </c>
      <c r="N515" s="33">
        <v>0</v>
      </c>
      <c r="O515" s="33">
        <v>0</v>
      </c>
      <c r="P515" s="33">
        <v>0</v>
      </c>
      <c r="Q515" s="33">
        <f t="shared" si="225"/>
        <v>0.99999974881141995</v>
      </c>
      <c r="R515" s="33">
        <v>0</v>
      </c>
      <c r="S515" s="33">
        <f t="shared" si="226"/>
        <v>2.5118858005523878E-7</v>
      </c>
      <c r="T515" s="8">
        <f t="shared" si="227"/>
        <v>1</v>
      </c>
      <c r="U515" s="33">
        <f t="shared" si="228"/>
        <v>0</v>
      </c>
      <c r="V515" s="33">
        <f t="shared" si="229"/>
        <v>-0.99999974881141995</v>
      </c>
      <c r="W515" s="33">
        <f t="shared" si="230"/>
        <v>512.9672002511885</v>
      </c>
      <c r="X515" s="33">
        <v>96485</v>
      </c>
      <c r="Y515" s="16">
        <f t="shared" si="231"/>
        <v>-188.09190084048907</v>
      </c>
      <c r="Z515" s="16">
        <v>10</v>
      </c>
      <c r="AA515" s="16">
        <v>19</v>
      </c>
      <c r="AB515" s="8">
        <f t="shared" si="232"/>
        <v>0.33240997229916897</v>
      </c>
      <c r="AC515" s="16">
        <f t="shared" ref="AC515:AC578" si="265">((AA515*19)/K515)*100</f>
        <v>70.237945145137672</v>
      </c>
      <c r="AD515" s="20">
        <f>'PFAS Properties'!$W$35</f>
        <v>9</v>
      </c>
      <c r="AE515" s="8">
        <f>'PFAS Properties'!$S$35</f>
        <v>0.90308998699194354</v>
      </c>
      <c r="AF515" s="15">
        <f>'PFAS Properties'!$V$35</f>
        <v>6.3</v>
      </c>
      <c r="AG515" s="26">
        <v>6.4</v>
      </c>
      <c r="AH515" s="1" t="s">
        <v>363</v>
      </c>
      <c r="AI515" s="6">
        <f>1025*55.874/1000</f>
        <v>57.270850000000003</v>
      </c>
      <c r="AJ515" s="3">
        <f t="shared" si="258"/>
        <v>1025.5322768376759</v>
      </c>
      <c r="AK515" s="8">
        <f t="shared" si="259"/>
        <v>5.7270850000000006</v>
      </c>
      <c r="AL515" s="6">
        <f>171*26.98/1000</f>
        <v>4.6135799999999998</v>
      </c>
      <c r="AM515" s="3">
        <f t="shared" si="260"/>
        <v>171</v>
      </c>
      <c r="AN515" s="8">
        <f t="shared" si="261"/>
        <v>0.46135799999999999</v>
      </c>
      <c r="AO515" s="3" t="s">
        <v>93</v>
      </c>
      <c r="AP515" s="15">
        <v>32.1</v>
      </c>
      <c r="AQ515" s="1" t="s">
        <v>363</v>
      </c>
      <c r="AR515" s="4">
        <v>65</v>
      </c>
      <c r="AS515" s="4">
        <v>22</v>
      </c>
      <c r="AT515" s="4">
        <v>13</v>
      </c>
      <c r="AU515" s="1" t="s">
        <v>363</v>
      </c>
      <c r="AV515" s="16">
        <f t="shared" si="262"/>
        <v>100</v>
      </c>
      <c r="AW515" s="7">
        <v>0.56000000000000005</v>
      </c>
      <c r="AX515" s="5">
        <f t="shared" si="236"/>
        <v>5.6000000000000008E-3</v>
      </c>
      <c r="AY515" s="5" t="s">
        <v>87</v>
      </c>
      <c r="AZ515" s="39">
        <f>5/0.05</f>
        <v>100</v>
      </c>
      <c r="BA515" s="30" t="s">
        <v>55</v>
      </c>
      <c r="BB515" s="15">
        <f>1*K515/1000</f>
        <v>0.51396719999999996</v>
      </c>
      <c r="BC515" s="16">
        <f>200*K515/1000</f>
        <v>102.79343999999999</v>
      </c>
      <c r="BD515" s="26">
        <v>1.5</v>
      </c>
      <c r="BE515" s="16">
        <f t="shared" si="263"/>
        <v>267.85714285714283</v>
      </c>
      <c r="BF515" s="8">
        <f t="shared" si="233"/>
        <v>2.4279032320494807</v>
      </c>
      <c r="BG515" s="8">
        <f t="shared" si="264"/>
        <v>0.17609125905568124</v>
      </c>
      <c r="BH515" s="13" t="s">
        <v>844</v>
      </c>
      <c r="BI515" s="13"/>
      <c r="BJ515" s="13"/>
      <c r="BK515" s="8"/>
      <c r="BL515" s="8"/>
      <c r="BM515" s="18"/>
      <c r="BN515" s="8"/>
      <c r="BO515" s="24"/>
      <c r="BP515" s="11"/>
      <c r="BQ515" s="11"/>
    </row>
    <row r="516" spans="1:69" x14ac:dyDescent="0.3">
      <c r="A516" s="20">
        <v>514</v>
      </c>
      <c r="B516" s="1" t="s">
        <v>873</v>
      </c>
      <c r="C516" s="1">
        <v>2007</v>
      </c>
      <c r="D516" s="1" t="s">
        <v>203</v>
      </c>
      <c r="E516" s="10" t="s">
        <v>225</v>
      </c>
      <c r="F516" s="7" t="s">
        <v>63</v>
      </c>
      <c r="G516" s="4">
        <v>5</v>
      </c>
      <c r="H516" s="2" t="str">
        <f>'PFAS Properties'!$B$35</f>
        <v>PFDA</v>
      </c>
      <c r="I516" s="2" t="str">
        <f>'PFAS Properties'!$C$35</f>
        <v>PFCA</v>
      </c>
      <c r="J516" s="2" t="str">
        <f>'PFAS Properties'!$D$35</f>
        <v>C10HF19O2</v>
      </c>
      <c r="K516" s="25">
        <f>'PFAS Properties'!$P$35</f>
        <v>513.96719999999993</v>
      </c>
      <c r="L516" s="2">
        <f>'PFAS Properties'!$X$35</f>
        <v>-0.2</v>
      </c>
      <c r="M516" s="2" t="str">
        <f>'PFAS Properties'!$Y$35</f>
        <v>-</v>
      </c>
      <c r="N516" s="33">
        <v>0</v>
      </c>
      <c r="O516" s="33">
        <v>0</v>
      </c>
      <c r="P516" s="33">
        <v>0</v>
      </c>
      <c r="Q516" s="33">
        <f t="shared" si="225"/>
        <v>0.99999874107617315</v>
      </c>
      <c r="R516" s="33">
        <v>0</v>
      </c>
      <c r="S516" s="33">
        <f t="shared" si="226"/>
        <v>1.2589238269029671E-6</v>
      </c>
      <c r="T516" s="8">
        <f t="shared" si="227"/>
        <v>1</v>
      </c>
      <c r="U516" s="33">
        <f t="shared" si="228"/>
        <v>0</v>
      </c>
      <c r="V516" s="33">
        <f t="shared" si="229"/>
        <v>-0.99999874107617315</v>
      </c>
      <c r="W516" s="33">
        <f t="shared" si="230"/>
        <v>512.96720125892375</v>
      </c>
      <c r="X516" s="33">
        <v>96485</v>
      </c>
      <c r="Y516" s="16">
        <f t="shared" si="231"/>
        <v>-188.09171092409309</v>
      </c>
      <c r="Z516" s="16">
        <v>10</v>
      </c>
      <c r="AA516" s="16">
        <v>19</v>
      </c>
      <c r="AB516" s="8">
        <f t="shared" si="232"/>
        <v>0.33240997229916897</v>
      </c>
      <c r="AC516" s="16">
        <f t="shared" si="265"/>
        <v>70.237945145137672</v>
      </c>
      <c r="AD516" s="20">
        <f>'PFAS Properties'!$W$35</f>
        <v>9</v>
      </c>
      <c r="AE516" s="8">
        <f>'PFAS Properties'!$S$35</f>
        <v>0.90308998699194354</v>
      </c>
      <c r="AF516" s="15">
        <f>'PFAS Properties'!$V$35</f>
        <v>6.3</v>
      </c>
      <c r="AG516" s="26">
        <v>5.7</v>
      </c>
      <c r="AH516" s="1" t="s">
        <v>363</v>
      </c>
      <c r="AI516" s="6">
        <f>268*55.85/1000</f>
        <v>14.9678</v>
      </c>
      <c r="AJ516" s="3">
        <f t="shared" si="258"/>
        <v>268.02399498612232</v>
      </c>
      <c r="AK516" s="8">
        <f t="shared" si="259"/>
        <v>1.49678</v>
      </c>
      <c r="AL516" s="6">
        <f>90*26.98/1000</f>
        <v>2.4281999999999999</v>
      </c>
      <c r="AM516" s="3">
        <f t="shared" si="260"/>
        <v>89.999999999999986</v>
      </c>
      <c r="AN516" s="8">
        <f t="shared" si="261"/>
        <v>0.24281999999999998</v>
      </c>
      <c r="AO516" s="3" t="s">
        <v>93</v>
      </c>
      <c r="AP516" s="15">
        <v>22</v>
      </c>
      <c r="AQ516" s="1" t="s">
        <v>363</v>
      </c>
      <c r="AR516" s="4">
        <v>80</v>
      </c>
      <c r="AS516" s="4">
        <v>15</v>
      </c>
      <c r="AT516" s="4">
        <v>5</v>
      </c>
      <c r="AU516" s="1" t="s">
        <v>363</v>
      </c>
      <c r="AV516" s="16">
        <f t="shared" si="262"/>
        <v>100</v>
      </c>
      <c r="AW516" s="7">
        <v>9.66</v>
      </c>
      <c r="AX516" s="5">
        <f t="shared" si="236"/>
        <v>9.6600000000000005E-2</v>
      </c>
      <c r="AY516" s="5" t="s">
        <v>87</v>
      </c>
      <c r="AZ516" s="39">
        <f>5/0.05</f>
        <v>100</v>
      </c>
      <c r="BA516" s="30" t="s">
        <v>55</v>
      </c>
      <c r="BB516" s="15">
        <f>1*K516/1000</f>
        <v>0.51396719999999996</v>
      </c>
      <c r="BC516" s="16">
        <f>200*K516/1000</f>
        <v>102.79343999999999</v>
      </c>
      <c r="BD516" s="26">
        <v>78.62</v>
      </c>
      <c r="BE516" s="16">
        <f t="shared" si="263"/>
        <v>813.87163561076602</v>
      </c>
      <c r="BF516" s="8">
        <f t="shared" si="233"/>
        <v>2.9105559130685772</v>
      </c>
      <c r="BG516" s="8">
        <f t="shared" si="264"/>
        <v>1.8955330394840704</v>
      </c>
      <c r="BH516" s="13" t="s">
        <v>844</v>
      </c>
      <c r="BI516" s="16"/>
      <c r="BJ516" s="13"/>
      <c r="BK516" s="8"/>
      <c r="BL516" s="8"/>
      <c r="BM516" s="18"/>
      <c r="BN516" s="8"/>
      <c r="BO516" s="24"/>
      <c r="BP516" s="11"/>
      <c r="BQ516" s="11"/>
    </row>
    <row r="517" spans="1:69" s="14" customFormat="1" x14ac:dyDescent="0.3">
      <c r="A517" s="20">
        <v>515</v>
      </c>
      <c r="B517" s="2" t="s">
        <v>221</v>
      </c>
      <c r="C517" s="2">
        <v>2016</v>
      </c>
      <c r="D517" s="2" t="s">
        <v>199</v>
      </c>
      <c r="E517" s="22" t="s">
        <v>811</v>
      </c>
      <c r="F517" s="20" t="s">
        <v>63</v>
      </c>
      <c r="G517" s="2" t="s">
        <v>64</v>
      </c>
      <c r="H517" s="2" t="str">
        <f>'PFAS Properties'!$B$35</f>
        <v>PFDA</v>
      </c>
      <c r="I517" s="2" t="str">
        <f>'PFAS Properties'!$C$35</f>
        <v>PFCA</v>
      </c>
      <c r="J517" s="2" t="str">
        <f>'PFAS Properties'!$D$35</f>
        <v>C10HF19O2</v>
      </c>
      <c r="K517" s="25">
        <f>'PFAS Properties'!$P$35</f>
        <v>513.96719999999993</v>
      </c>
      <c r="L517" s="2">
        <f>'PFAS Properties'!$X$35</f>
        <v>-0.2</v>
      </c>
      <c r="M517" s="2" t="str">
        <f>'PFAS Properties'!$Y$35</f>
        <v>-</v>
      </c>
      <c r="N517" s="33">
        <v>0</v>
      </c>
      <c r="O517" s="33">
        <v>0</v>
      </c>
      <c r="P517" s="33">
        <v>0</v>
      </c>
      <c r="Q517" s="33">
        <f t="shared" si="225"/>
        <v>0.99999998415106828</v>
      </c>
      <c r="R517" s="33">
        <v>0</v>
      </c>
      <c r="S517" s="33">
        <f t="shared" si="226"/>
        <v>1.5848931673422493E-8</v>
      </c>
      <c r="T517" s="8">
        <f t="shared" si="227"/>
        <v>1</v>
      </c>
      <c r="U517" s="33">
        <f t="shared" si="228"/>
        <v>0</v>
      </c>
      <c r="V517" s="33">
        <f t="shared" si="229"/>
        <v>-0.99999998415106828</v>
      </c>
      <c r="W517" s="33">
        <f t="shared" si="230"/>
        <v>512.9672000158489</v>
      </c>
      <c r="X517" s="33">
        <v>96485</v>
      </c>
      <c r="Y517" s="16">
        <f t="shared" si="231"/>
        <v>-188.09194519227501</v>
      </c>
      <c r="Z517" s="16">
        <v>10</v>
      </c>
      <c r="AA517" s="16">
        <v>19</v>
      </c>
      <c r="AB517" s="8">
        <f t="shared" si="232"/>
        <v>0.33240997229916897</v>
      </c>
      <c r="AC517" s="16">
        <f t="shared" si="265"/>
        <v>70.237945145137672</v>
      </c>
      <c r="AD517" s="20">
        <f>'PFAS Properties'!$W$35</f>
        <v>9</v>
      </c>
      <c r="AE517" s="8">
        <f>'PFAS Properties'!$S$35</f>
        <v>0.90308998699194354</v>
      </c>
      <c r="AF517" s="15">
        <f>'PFAS Properties'!$V$35</f>
        <v>6.3</v>
      </c>
      <c r="AG517" s="24">
        <v>7.6</v>
      </c>
      <c r="AH517" s="2" t="s">
        <v>661</v>
      </c>
      <c r="AI517" s="2">
        <v>2.8492E-2</v>
      </c>
      <c r="AJ517" s="15">
        <f t="shared" si="258"/>
        <v>0.51019786910197873</v>
      </c>
      <c r="AK517" s="8">
        <f t="shared" si="259"/>
        <v>2.8492000000000001E-3</v>
      </c>
      <c r="AL517" s="12">
        <v>1.2054E-2</v>
      </c>
      <c r="AM517" s="15">
        <f t="shared" si="260"/>
        <v>0.4467753891771683</v>
      </c>
      <c r="AN517" s="8">
        <f t="shared" si="261"/>
        <v>1.2054000000000001E-3</v>
      </c>
      <c r="AO517" s="2" t="s">
        <v>661</v>
      </c>
      <c r="AP517" s="72">
        <v>15.90036666666667</v>
      </c>
      <c r="AQ517" s="70" t="s">
        <v>752</v>
      </c>
      <c r="AR517" s="2">
        <v>4</v>
      </c>
      <c r="AS517" s="2">
        <v>61</v>
      </c>
      <c r="AT517" s="2">
        <v>35</v>
      </c>
      <c r="AU517" s="2" t="s">
        <v>661</v>
      </c>
      <c r="AV517" s="16">
        <f t="shared" si="262"/>
        <v>100</v>
      </c>
      <c r="AW517" s="20">
        <v>2.52</v>
      </c>
      <c r="AX517" s="13">
        <f t="shared" si="236"/>
        <v>2.52E-2</v>
      </c>
      <c r="AY517" s="13" t="s">
        <v>65</v>
      </c>
      <c r="AZ517" s="16">
        <f>5/0.04</f>
        <v>125</v>
      </c>
      <c r="BA517" s="16" t="s">
        <v>55</v>
      </c>
      <c r="BB517" s="15">
        <v>0.5</v>
      </c>
      <c r="BC517" s="16">
        <v>100</v>
      </c>
      <c r="BD517" s="18">
        <v>95.499258602143655</v>
      </c>
      <c r="BE517" s="15">
        <f t="shared" si="263"/>
        <v>3789.6531191326849</v>
      </c>
      <c r="BF517" s="8">
        <f t="shared" si="233"/>
        <v>3.5785994592184562</v>
      </c>
      <c r="BG517" s="8">
        <f t="shared" si="264"/>
        <v>1.9800000000000002</v>
      </c>
      <c r="BH517" s="13" t="s">
        <v>390</v>
      </c>
      <c r="BI517" s="13"/>
      <c r="BJ517" s="13"/>
      <c r="BK517" s="15"/>
      <c r="BL517" s="8"/>
      <c r="BM517" s="18"/>
      <c r="BN517" s="8"/>
      <c r="BO517" s="24"/>
    </row>
    <row r="518" spans="1:69" s="14" customFormat="1" x14ac:dyDescent="0.3">
      <c r="A518" s="20">
        <v>516</v>
      </c>
      <c r="B518" s="2" t="s">
        <v>202</v>
      </c>
      <c r="C518" s="2">
        <v>2019</v>
      </c>
      <c r="D518" s="2" t="s">
        <v>199</v>
      </c>
      <c r="E518" s="10" t="s">
        <v>791</v>
      </c>
      <c r="F518" s="20" t="s">
        <v>29</v>
      </c>
      <c r="G518" s="2" t="s">
        <v>39</v>
      </c>
      <c r="H518" s="2" t="str">
        <f>'PFAS Properties'!$B$35</f>
        <v>PFDA</v>
      </c>
      <c r="I518" s="2" t="str">
        <f>'PFAS Properties'!$C$35</f>
        <v>PFCA</v>
      </c>
      <c r="J518" s="2" t="str">
        <f>'PFAS Properties'!$D$35</f>
        <v>C10HF19O2</v>
      </c>
      <c r="K518" s="25">
        <f>'PFAS Properties'!$P$35</f>
        <v>513.96719999999993</v>
      </c>
      <c r="L518" s="2">
        <f>'PFAS Properties'!$X$35</f>
        <v>-0.2</v>
      </c>
      <c r="M518" s="2" t="str">
        <f>'PFAS Properties'!$Y$35</f>
        <v>-</v>
      </c>
      <c r="N518" s="33">
        <v>0</v>
      </c>
      <c r="O518" s="33">
        <v>0</v>
      </c>
      <c r="P518" s="33">
        <v>0</v>
      </c>
      <c r="Q518" s="33">
        <f t="shared" si="225"/>
        <v>0.9999964518786969</v>
      </c>
      <c r="R518" s="33">
        <v>0</v>
      </c>
      <c r="S518" s="33">
        <f t="shared" si="226"/>
        <v>3.5481213031263005E-6</v>
      </c>
      <c r="T518" s="8">
        <f t="shared" si="227"/>
        <v>1</v>
      </c>
      <c r="U518" s="33">
        <f t="shared" si="228"/>
        <v>0</v>
      </c>
      <c r="V518" s="33">
        <f t="shared" si="229"/>
        <v>-0.9999964518786969</v>
      </c>
      <c r="W518" s="33">
        <f t="shared" si="230"/>
        <v>512.96720354812135</v>
      </c>
      <c r="X518" s="33">
        <v>96485</v>
      </c>
      <c r="Y518" s="16">
        <f t="shared" si="231"/>
        <v>-188.09127950509387</v>
      </c>
      <c r="Z518" s="16">
        <v>10</v>
      </c>
      <c r="AA518" s="16">
        <v>19</v>
      </c>
      <c r="AB518" s="8">
        <f t="shared" si="232"/>
        <v>0.33240997229916897</v>
      </c>
      <c r="AC518" s="16">
        <f t="shared" si="265"/>
        <v>70.237945145137672</v>
      </c>
      <c r="AD518" s="20">
        <f>'PFAS Properties'!$W$35</f>
        <v>9</v>
      </c>
      <c r="AE518" s="8">
        <f>'PFAS Properties'!$S$35</f>
        <v>0.90308998699194354</v>
      </c>
      <c r="AF518" s="15">
        <f>'PFAS Properties'!$V$35</f>
        <v>6.3</v>
      </c>
      <c r="AG518" s="24">
        <v>5.25</v>
      </c>
      <c r="AH518" s="2" t="s">
        <v>661</v>
      </c>
      <c r="AI518" s="2" t="s">
        <v>661</v>
      </c>
      <c r="AJ518" s="2" t="s">
        <v>661</v>
      </c>
      <c r="AK518" s="2" t="s">
        <v>661</v>
      </c>
      <c r="AL518" s="2" t="s">
        <v>661</v>
      </c>
      <c r="AM518" s="2" t="s">
        <v>661</v>
      </c>
      <c r="AN518" s="2" t="s">
        <v>661</v>
      </c>
      <c r="AO518" s="2" t="s">
        <v>661</v>
      </c>
      <c r="AP518" s="72">
        <v>5.7023166666666656</v>
      </c>
      <c r="AQ518" s="70" t="s">
        <v>752</v>
      </c>
      <c r="AR518" s="16">
        <v>100</v>
      </c>
      <c r="AS518" s="16">
        <v>0</v>
      </c>
      <c r="AT518" s="16">
        <v>0</v>
      </c>
      <c r="AU518" s="2" t="s">
        <v>661</v>
      </c>
      <c r="AV518" s="16">
        <f t="shared" si="262"/>
        <v>100</v>
      </c>
      <c r="AW518" s="20">
        <v>0.4</v>
      </c>
      <c r="AX518" s="13">
        <f t="shared" si="236"/>
        <v>4.0000000000000001E-3</v>
      </c>
      <c r="AY518" s="13" t="s">
        <v>658</v>
      </c>
      <c r="AZ518" s="16">
        <f>2/0.01</f>
        <v>200</v>
      </c>
      <c r="BA518" s="16" t="s">
        <v>55</v>
      </c>
      <c r="BB518" s="16">
        <v>1</v>
      </c>
      <c r="BC518" s="16">
        <v>1000</v>
      </c>
      <c r="BD518" s="18">
        <v>16.600000000000001</v>
      </c>
      <c r="BE518" s="15">
        <f t="shared" si="263"/>
        <v>4150</v>
      </c>
      <c r="BF518" s="8">
        <f t="shared" si="233"/>
        <v>3.6180480967120925</v>
      </c>
      <c r="BG518" s="8">
        <f t="shared" si="264"/>
        <v>1.2201080880400552</v>
      </c>
      <c r="BH518" s="13" t="s">
        <v>272</v>
      </c>
      <c r="BI518" s="13"/>
      <c r="BJ518" s="13"/>
      <c r="BK518" s="13"/>
      <c r="BL518" s="13"/>
      <c r="BM518" s="17"/>
      <c r="BN518" s="17"/>
      <c r="BO518" s="2"/>
    </row>
    <row r="519" spans="1:69" s="14" customFormat="1" x14ac:dyDescent="0.3">
      <c r="A519" s="20">
        <v>517</v>
      </c>
      <c r="B519" s="2" t="s">
        <v>202</v>
      </c>
      <c r="C519" s="2">
        <v>2019</v>
      </c>
      <c r="D519" s="2" t="s">
        <v>199</v>
      </c>
      <c r="E519" s="10" t="s">
        <v>791</v>
      </c>
      <c r="F519" s="20" t="s">
        <v>29</v>
      </c>
      <c r="G519" s="2" t="s">
        <v>43</v>
      </c>
      <c r="H519" s="2" t="str">
        <f>'PFAS Properties'!$B$35</f>
        <v>PFDA</v>
      </c>
      <c r="I519" s="2" t="str">
        <f>'PFAS Properties'!$C$35</f>
        <v>PFCA</v>
      </c>
      <c r="J519" s="2" t="str">
        <f>'PFAS Properties'!$D$35</f>
        <v>C10HF19O2</v>
      </c>
      <c r="K519" s="25">
        <f>'PFAS Properties'!$P$35</f>
        <v>513.96719999999993</v>
      </c>
      <c r="L519" s="2">
        <f>'PFAS Properties'!$X$35</f>
        <v>-0.2</v>
      </c>
      <c r="M519" s="2" t="str">
        <f>'PFAS Properties'!$Y$35</f>
        <v>-</v>
      </c>
      <c r="N519" s="33">
        <v>0</v>
      </c>
      <c r="O519" s="33">
        <v>0</v>
      </c>
      <c r="P519" s="33">
        <v>0</v>
      </c>
      <c r="Q519" s="33">
        <f t="shared" si="225"/>
        <v>0.99999865103893715</v>
      </c>
      <c r="R519" s="33">
        <v>0</v>
      </c>
      <c r="S519" s="33">
        <f t="shared" si="226"/>
        <v>1.3489610628932487E-6</v>
      </c>
      <c r="T519" s="8">
        <f t="shared" si="227"/>
        <v>1</v>
      </c>
      <c r="U519" s="33">
        <f t="shared" si="228"/>
        <v>0</v>
      </c>
      <c r="V519" s="33">
        <f t="shared" si="229"/>
        <v>-0.99999865103893715</v>
      </c>
      <c r="W519" s="33">
        <f t="shared" si="230"/>
        <v>512.967201348961</v>
      </c>
      <c r="X519" s="33">
        <v>96485</v>
      </c>
      <c r="Y519" s="16">
        <f t="shared" si="231"/>
        <v>-188.09169395579968</v>
      </c>
      <c r="Z519" s="16">
        <v>10</v>
      </c>
      <c r="AA519" s="16">
        <v>19</v>
      </c>
      <c r="AB519" s="8">
        <f t="shared" si="232"/>
        <v>0.33240997229916897</v>
      </c>
      <c r="AC519" s="16">
        <f t="shared" si="265"/>
        <v>70.237945145137672</v>
      </c>
      <c r="AD519" s="20">
        <f>'PFAS Properties'!$W$35</f>
        <v>9</v>
      </c>
      <c r="AE519" s="8">
        <f>'PFAS Properties'!$S$35</f>
        <v>0.90308998699194354</v>
      </c>
      <c r="AF519" s="15">
        <f>'PFAS Properties'!$V$35</f>
        <v>6.3</v>
      </c>
      <c r="AG519" s="24">
        <v>5.67</v>
      </c>
      <c r="AH519" s="2" t="s">
        <v>661</v>
      </c>
      <c r="AI519" s="15" t="s">
        <v>661</v>
      </c>
      <c r="AJ519" s="16" t="s">
        <v>661</v>
      </c>
      <c r="AK519" s="2" t="s">
        <v>661</v>
      </c>
      <c r="AL519" s="15" t="s">
        <v>661</v>
      </c>
      <c r="AM519" s="16" t="s">
        <v>661</v>
      </c>
      <c r="AN519" s="2" t="s">
        <v>661</v>
      </c>
      <c r="AO519" s="2" t="s">
        <v>661</v>
      </c>
      <c r="AP519" s="72">
        <v>9.2037666666666649</v>
      </c>
      <c r="AQ519" s="70" t="s">
        <v>752</v>
      </c>
      <c r="AR519" s="16">
        <v>71</v>
      </c>
      <c r="AS519" s="16">
        <v>24</v>
      </c>
      <c r="AT519" s="16">
        <v>5</v>
      </c>
      <c r="AU519" s="2" t="s">
        <v>661</v>
      </c>
      <c r="AV519" s="16">
        <f t="shared" si="262"/>
        <v>100</v>
      </c>
      <c r="AW519" s="20">
        <v>0.93</v>
      </c>
      <c r="AX519" s="13">
        <f t="shared" si="236"/>
        <v>9.300000000000001E-3</v>
      </c>
      <c r="AY519" s="13" t="s">
        <v>658</v>
      </c>
      <c r="AZ519" s="16">
        <f>2/0.01</f>
        <v>200</v>
      </c>
      <c r="BA519" s="16" t="s">
        <v>55</v>
      </c>
      <c r="BB519" s="16">
        <v>1</v>
      </c>
      <c r="BC519" s="16">
        <v>1000</v>
      </c>
      <c r="BD519" s="18">
        <v>50</v>
      </c>
      <c r="BE519" s="15">
        <f t="shared" si="263"/>
        <v>5376.3440860215051</v>
      </c>
      <c r="BF519" s="8">
        <f t="shared" si="233"/>
        <v>3.7304870557820835</v>
      </c>
      <c r="BG519" s="8">
        <f t="shared" si="264"/>
        <v>1.6989700043360187</v>
      </c>
      <c r="BH519" s="13" t="s">
        <v>272</v>
      </c>
      <c r="BI519" s="13"/>
      <c r="BJ519" s="13"/>
      <c r="BK519" s="13"/>
      <c r="BL519" s="13"/>
      <c r="BM519" s="17"/>
      <c r="BN519" s="17"/>
      <c r="BO519" s="2"/>
    </row>
    <row r="520" spans="1:69" s="14" customFormat="1" x14ac:dyDescent="0.3">
      <c r="A520" s="20">
        <v>518</v>
      </c>
      <c r="B520" s="2" t="s">
        <v>206</v>
      </c>
      <c r="C520" s="2">
        <v>2020</v>
      </c>
      <c r="D520" s="2" t="s">
        <v>201</v>
      </c>
      <c r="E520" s="22" t="s">
        <v>793</v>
      </c>
      <c r="F520" s="20" t="s">
        <v>29</v>
      </c>
      <c r="G520" s="2" t="s">
        <v>44</v>
      </c>
      <c r="H520" s="2" t="str">
        <f>'PFAS Properties'!$B$35</f>
        <v>PFDA</v>
      </c>
      <c r="I520" s="2" t="str">
        <f>'PFAS Properties'!$C$35</f>
        <v>PFCA</v>
      </c>
      <c r="J520" s="2" t="str">
        <f>'PFAS Properties'!$D$35</f>
        <v>C10HF19O2</v>
      </c>
      <c r="K520" s="25">
        <f>'PFAS Properties'!$P$35</f>
        <v>513.96719999999993</v>
      </c>
      <c r="L520" s="2">
        <f>'PFAS Properties'!$X$35</f>
        <v>-0.2</v>
      </c>
      <c r="M520" s="2" t="str">
        <f>'PFAS Properties'!$Y$35</f>
        <v>-</v>
      </c>
      <c r="N520" s="33">
        <v>0</v>
      </c>
      <c r="O520" s="33">
        <v>0</v>
      </c>
      <c r="P520" s="33">
        <v>0</v>
      </c>
      <c r="Q520" s="33">
        <f t="shared" si="225"/>
        <v>0.99999999000000006</v>
      </c>
      <c r="R520" s="33">
        <v>0</v>
      </c>
      <c r="S520" s="33">
        <f t="shared" si="226"/>
        <v>9.9999999000000002E-9</v>
      </c>
      <c r="T520" s="8">
        <f t="shared" si="227"/>
        <v>1</v>
      </c>
      <c r="U520" s="33">
        <f t="shared" si="228"/>
        <v>0</v>
      </c>
      <c r="V520" s="33">
        <f t="shared" si="229"/>
        <v>-0.99999999000000006</v>
      </c>
      <c r="W520" s="33">
        <f t="shared" si="230"/>
        <v>512.96720000999994</v>
      </c>
      <c r="X520" s="33">
        <v>96485</v>
      </c>
      <c r="Y520" s="16">
        <f t="shared" si="231"/>
        <v>-188.09194629455664</v>
      </c>
      <c r="Z520" s="16">
        <v>10</v>
      </c>
      <c r="AA520" s="16">
        <v>19</v>
      </c>
      <c r="AB520" s="8">
        <f t="shared" si="232"/>
        <v>0.33240997229916897</v>
      </c>
      <c r="AC520" s="16">
        <f t="shared" si="265"/>
        <v>70.237945145137672</v>
      </c>
      <c r="AD520" s="20">
        <f>'PFAS Properties'!$W$35</f>
        <v>9</v>
      </c>
      <c r="AE520" s="8">
        <f>'PFAS Properties'!$S$35</f>
        <v>0.90308998699194354</v>
      </c>
      <c r="AF520" s="15">
        <f>'PFAS Properties'!$V$35</f>
        <v>6.3</v>
      </c>
      <c r="AG520" s="24">
        <v>7.8</v>
      </c>
      <c r="AH520" s="2" t="s">
        <v>661</v>
      </c>
      <c r="AI520" s="2" t="s">
        <v>661</v>
      </c>
      <c r="AJ520" s="2" t="s">
        <v>661</v>
      </c>
      <c r="AK520" s="2" t="s">
        <v>661</v>
      </c>
      <c r="AL520" s="2" t="s">
        <v>661</v>
      </c>
      <c r="AM520" s="2" t="s">
        <v>661</v>
      </c>
      <c r="AN520" s="2" t="s">
        <v>661</v>
      </c>
      <c r="AO520" s="2" t="s">
        <v>661</v>
      </c>
      <c r="AP520" s="72">
        <v>11.17476666666666</v>
      </c>
      <c r="AQ520" s="70" t="s">
        <v>752</v>
      </c>
      <c r="AR520" s="16">
        <v>47</v>
      </c>
      <c r="AS520" s="16">
        <v>38</v>
      </c>
      <c r="AT520" s="16">
        <v>15</v>
      </c>
      <c r="AU520" s="16" t="s">
        <v>661</v>
      </c>
      <c r="AV520" s="16">
        <f t="shared" si="262"/>
        <v>100</v>
      </c>
      <c r="AW520" s="20">
        <v>1.43</v>
      </c>
      <c r="AX520" s="13">
        <f t="shared" si="236"/>
        <v>1.43E-2</v>
      </c>
      <c r="AY520" s="8" t="s">
        <v>45</v>
      </c>
      <c r="AZ520" s="16">
        <f>5/0.025</f>
        <v>200</v>
      </c>
      <c r="BA520" s="16" t="s">
        <v>55</v>
      </c>
      <c r="BB520" s="16">
        <v>10</v>
      </c>
      <c r="BC520" s="16">
        <v>100</v>
      </c>
      <c r="BD520" s="20">
        <v>40.090000000000003</v>
      </c>
      <c r="BE520" s="15">
        <f t="shared" si="263"/>
        <v>2803.4965034965039</v>
      </c>
      <c r="BF520" s="8">
        <f t="shared" si="233"/>
        <v>3.4477000187854601</v>
      </c>
      <c r="BG520" s="8">
        <f t="shared" si="264"/>
        <v>1.6030360562505217</v>
      </c>
      <c r="BH520" s="2" t="s">
        <v>837</v>
      </c>
      <c r="BI520" s="8"/>
      <c r="BJ520" s="13"/>
      <c r="BK520" s="15"/>
      <c r="BL520" s="8"/>
      <c r="BM520" s="18"/>
      <c r="BN520" s="8"/>
      <c r="BO520" s="24"/>
    </row>
    <row r="521" spans="1:69" s="14" customFormat="1" x14ac:dyDescent="0.3">
      <c r="A521" s="20">
        <v>519</v>
      </c>
      <c r="B521" s="2" t="s">
        <v>775</v>
      </c>
      <c r="C521" s="2">
        <v>2021</v>
      </c>
      <c r="D521" s="2" t="s">
        <v>203</v>
      </c>
      <c r="E521" s="10" t="s">
        <v>786</v>
      </c>
      <c r="F521" s="20" t="s">
        <v>29</v>
      </c>
      <c r="G521" s="2" t="s">
        <v>116</v>
      </c>
      <c r="H521" s="2" t="str">
        <f>'PFAS Properties'!$B$35</f>
        <v>PFDA</v>
      </c>
      <c r="I521" s="2" t="str">
        <f>'PFAS Properties'!$C$35</f>
        <v>PFCA</v>
      </c>
      <c r="J521" s="2" t="str">
        <f>'PFAS Properties'!$D$35</f>
        <v>C10HF19O2</v>
      </c>
      <c r="K521" s="25">
        <f>'PFAS Properties'!$P$35</f>
        <v>513.96719999999993</v>
      </c>
      <c r="L521" s="2">
        <f>'PFAS Properties'!$X$35</f>
        <v>-0.2</v>
      </c>
      <c r="M521" s="2" t="str">
        <f>'PFAS Properties'!$Y$35</f>
        <v>-</v>
      </c>
      <c r="N521" s="33">
        <v>0</v>
      </c>
      <c r="O521" s="33">
        <v>0</v>
      </c>
      <c r="P521" s="33">
        <v>0</v>
      </c>
      <c r="Q521" s="33">
        <f t="shared" si="225"/>
        <v>0.99999998221720621</v>
      </c>
      <c r="R521" s="33">
        <v>0</v>
      </c>
      <c r="S521" s="33">
        <f t="shared" si="226"/>
        <v>1.7782793784161458E-8</v>
      </c>
      <c r="T521" s="8">
        <f t="shared" si="227"/>
        <v>1</v>
      </c>
      <c r="U521" s="33">
        <f t="shared" si="228"/>
        <v>0</v>
      </c>
      <c r="V521" s="33">
        <f t="shared" si="229"/>
        <v>-0.99999998221720621</v>
      </c>
      <c r="W521" s="33">
        <f t="shared" si="230"/>
        <v>512.96720001778272</v>
      </c>
      <c r="X521" s="33">
        <v>96485</v>
      </c>
      <c r="Y521" s="16">
        <f t="shared" si="231"/>
        <v>-188.09194482782203</v>
      </c>
      <c r="Z521" s="16">
        <v>10</v>
      </c>
      <c r="AA521" s="16">
        <v>19</v>
      </c>
      <c r="AB521" s="8">
        <f t="shared" si="232"/>
        <v>0.33240997229916897</v>
      </c>
      <c r="AC521" s="16">
        <f t="shared" si="265"/>
        <v>70.237945145137672</v>
      </c>
      <c r="AD521" s="20">
        <f>'PFAS Properties'!$W$35</f>
        <v>9</v>
      </c>
      <c r="AE521" s="8">
        <f>'PFAS Properties'!$S$35</f>
        <v>0.90308998699194354</v>
      </c>
      <c r="AF521" s="15">
        <f>'PFAS Properties'!$V$35</f>
        <v>6.3</v>
      </c>
      <c r="AG521" s="24">
        <v>7.55</v>
      </c>
      <c r="AH521" s="15" t="s">
        <v>830</v>
      </c>
      <c r="AI521" s="2" t="s">
        <v>661</v>
      </c>
      <c r="AJ521" s="2" t="s">
        <v>661</v>
      </c>
      <c r="AK521" s="2" t="s">
        <v>661</v>
      </c>
      <c r="AL521" s="2" t="s">
        <v>661</v>
      </c>
      <c r="AM521" s="2" t="s">
        <v>661</v>
      </c>
      <c r="AN521" s="2" t="s">
        <v>661</v>
      </c>
      <c r="AO521" s="2" t="s">
        <v>661</v>
      </c>
      <c r="AP521" s="15">
        <v>2.52</v>
      </c>
      <c r="AQ521" s="16" t="s">
        <v>689</v>
      </c>
      <c r="AR521" s="16">
        <v>45.3</v>
      </c>
      <c r="AS521" s="16">
        <v>30</v>
      </c>
      <c r="AT521" s="16">
        <v>24.7</v>
      </c>
      <c r="AU521" s="16" t="s">
        <v>664</v>
      </c>
      <c r="AV521" s="16">
        <f t="shared" si="262"/>
        <v>100</v>
      </c>
      <c r="AW521" s="20">
        <v>3.4</v>
      </c>
      <c r="AX521" s="13">
        <f t="shared" si="236"/>
        <v>3.4000000000000002E-2</v>
      </c>
      <c r="AY521" s="8" t="s">
        <v>342</v>
      </c>
      <c r="AZ521" s="16">
        <f>1/0.01</f>
        <v>100</v>
      </c>
      <c r="BA521" s="16" t="s">
        <v>55</v>
      </c>
      <c r="BB521" s="15">
        <f>5*K521/1000</f>
        <v>2.5698359999999996</v>
      </c>
      <c r="BC521" s="16">
        <f>5000*K521/1000</f>
        <v>2569.8359999999993</v>
      </c>
      <c r="BD521" s="24">
        <f>308.2*AX521</f>
        <v>10.4788</v>
      </c>
      <c r="BE521" s="15">
        <f t="shared" si="263"/>
        <v>308.2</v>
      </c>
      <c r="BF521" s="8">
        <f t="shared" si="233"/>
        <v>2.4888326343824003</v>
      </c>
      <c r="BG521" s="8">
        <f t="shared" si="264"/>
        <v>1.0203115514246557</v>
      </c>
      <c r="BH521" s="13" t="s">
        <v>343</v>
      </c>
      <c r="BI521" s="8"/>
      <c r="BJ521" s="13"/>
      <c r="BK521" s="15"/>
      <c r="BL521" s="15"/>
      <c r="BM521" s="18"/>
      <c r="BN521" s="8"/>
      <c r="BO521" s="24"/>
    </row>
    <row r="522" spans="1:69" s="14" customFormat="1" x14ac:dyDescent="0.3">
      <c r="A522" s="20">
        <v>520</v>
      </c>
      <c r="B522" s="2" t="s">
        <v>775</v>
      </c>
      <c r="C522" s="2">
        <v>2021</v>
      </c>
      <c r="D522" s="2" t="s">
        <v>203</v>
      </c>
      <c r="E522" s="10" t="s">
        <v>786</v>
      </c>
      <c r="F522" s="20" t="s">
        <v>29</v>
      </c>
      <c r="G522" s="2" t="s">
        <v>117</v>
      </c>
      <c r="H522" s="2" t="str">
        <f>'PFAS Properties'!$B$35</f>
        <v>PFDA</v>
      </c>
      <c r="I522" s="2" t="str">
        <f>'PFAS Properties'!$C$35</f>
        <v>PFCA</v>
      </c>
      <c r="J522" s="2" t="str">
        <f>'PFAS Properties'!$D$35</f>
        <v>C10HF19O2</v>
      </c>
      <c r="K522" s="25">
        <f>'PFAS Properties'!$P$35</f>
        <v>513.96719999999993</v>
      </c>
      <c r="L522" s="2">
        <f>'PFAS Properties'!$X$35</f>
        <v>-0.2</v>
      </c>
      <c r="M522" s="2" t="str">
        <f>'PFAS Properties'!$Y$35</f>
        <v>-</v>
      </c>
      <c r="N522" s="33">
        <v>0</v>
      </c>
      <c r="O522" s="33">
        <v>0</v>
      </c>
      <c r="P522" s="33">
        <v>0</v>
      </c>
      <c r="Q522" s="33">
        <f t="shared" si="225"/>
        <v>0.99999999610954859</v>
      </c>
      <c r="R522" s="33">
        <v>0</v>
      </c>
      <c r="S522" s="33">
        <f t="shared" si="226"/>
        <v>3.8904514348071882E-9</v>
      </c>
      <c r="T522" s="8">
        <f t="shared" si="227"/>
        <v>1</v>
      </c>
      <c r="U522" s="33">
        <f t="shared" si="228"/>
        <v>0</v>
      </c>
      <c r="V522" s="33">
        <f t="shared" si="229"/>
        <v>-0.99999999610954859</v>
      </c>
      <c r="W522" s="33">
        <f t="shared" si="230"/>
        <v>512.96720000389041</v>
      </c>
      <c r="X522" s="33">
        <v>96485</v>
      </c>
      <c r="Y522" s="16">
        <f t="shared" si="231"/>
        <v>-188.09194744595374</v>
      </c>
      <c r="Z522" s="16">
        <v>10</v>
      </c>
      <c r="AA522" s="16">
        <v>19</v>
      </c>
      <c r="AB522" s="8">
        <f t="shared" si="232"/>
        <v>0.33240997229916897</v>
      </c>
      <c r="AC522" s="16">
        <f t="shared" si="265"/>
        <v>70.237945145137672</v>
      </c>
      <c r="AD522" s="20">
        <f>'PFAS Properties'!$W$35</f>
        <v>9</v>
      </c>
      <c r="AE522" s="8">
        <f>'PFAS Properties'!$S$35</f>
        <v>0.90308998699194354</v>
      </c>
      <c r="AF522" s="15">
        <f>'PFAS Properties'!$V$35</f>
        <v>6.3</v>
      </c>
      <c r="AG522" s="24">
        <v>8.2100000000000009</v>
      </c>
      <c r="AH522" s="15" t="s">
        <v>830</v>
      </c>
      <c r="AI522" s="2" t="s">
        <v>661</v>
      </c>
      <c r="AJ522" s="2" t="s">
        <v>661</v>
      </c>
      <c r="AK522" s="2" t="s">
        <v>661</v>
      </c>
      <c r="AL522" s="2" t="s">
        <v>661</v>
      </c>
      <c r="AM522" s="2" t="s">
        <v>661</v>
      </c>
      <c r="AN522" s="2" t="s">
        <v>661</v>
      </c>
      <c r="AO522" s="2" t="s">
        <v>661</v>
      </c>
      <c r="AP522" s="15">
        <v>11.4</v>
      </c>
      <c r="AQ522" s="16" t="s">
        <v>689</v>
      </c>
      <c r="AR522" s="16">
        <v>28.7</v>
      </c>
      <c r="AS522" s="16">
        <v>40</v>
      </c>
      <c r="AT522" s="16">
        <v>31.3</v>
      </c>
      <c r="AU522" s="16" t="s">
        <v>664</v>
      </c>
      <c r="AV522" s="16">
        <f t="shared" si="262"/>
        <v>100</v>
      </c>
      <c r="AW522" s="20">
        <v>1.7</v>
      </c>
      <c r="AX522" s="13">
        <f t="shared" si="236"/>
        <v>1.7000000000000001E-2</v>
      </c>
      <c r="AY522" s="8" t="s">
        <v>342</v>
      </c>
      <c r="AZ522" s="16">
        <f>1/0.01</f>
        <v>100</v>
      </c>
      <c r="BA522" s="16" t="s">
        <v>55</v>
      </c>
      <c r="BB522" s="15">
        <f>5*K522/1000</f>
        <v>2.5698359999999996</v>
      </c>
      <c r="BC522" s="16">
        <f>5000*K522/1000</f>
        <v>2569.8359999999993</v>
      </c>
      <c r="BD522" s="24">
        <f>211.8*AX522</f>
        <v>3.6006000000000005</v>
      </c>
      <c r="BE522" s="15">
        <f t="shared" si="263"/>
        <v>211.8</v>
      </c>
      <c r="BF522" s="8">
        <f t="shared" si="233"/>
        <v>2.3259259557714662</v>
      </c>
      <c r="BG522" s="8">
        <f t="shared" si="264"/>
        <v>0.55637487714974021</v>
      </c>
      <c r="BH522" s="13" t="s">
        <v>343</v>
      </c>
      <c r="BI522" s="16"/>
      <c r="BJ522" s="13"/>
      <c r="BK522" s="15"/>
      <c r="BL522" s="16"/>
      <c r="BM522" s="18"/>
      <c r="BN522" s="8"/>
      <c r="BO522" s="24"/>
    </row>
    <row r="523" spans="1:69" s="14" customFormat="1" x14ac:dyDescent="0.3">
      <c r="A523" s="20">
        <v>521</v>
      </c>
      <c r="B523" s="2" t="s">
        <v>775</v>
      </c>
      <c r="C523" s="2">
        <v>2021</v>
      </c>
      <c r="D523" s="2" t="s">
        <v>203</v>
      </c>
      <c r="E523" s="10" t="s">
        <v>786</v>
      </c>
      <c r="F523" s="20" t="s">
        <v>29</v>
      </c>
      <c r="G523" s="2" t="s">
        <v>118</v>
      </c>
      <c r="H523" s="2" t="str">
        <f>'PFAS Properties'!$B$35</f>
        <v>PFDA</v>
      </c>
      <c r="I523" s="2" t="str">
        <f>'PFAS Properties'!$C$35</f>
        <v>PFCA</v>
      </c>
      <c r="J523" s="2" t="str">
        <f>'PFAS Properties'!$D$35</f>
        <v>C10HF19O2</v>
      </c>
      <c r="K523" s="25">
        <f>'PFAS Properties'!$P$35</f>
        <v>513.96719999999993</v>
      </c>
      <c r="L523" s="2">
        <f>'PFAS Properties'!$X$35</f>
        <v>-0.2</v>
      </c>
      <c r="M523" s="2" t="str">
        <f>'PFAS Properties'!$Y$35</f>
        <v>-</v>
      </c>
      <c r="N523" s="33">
        <v>0</v>
      </c>
      <c r="O523" s="33">
        <v>0</v>
      </c>
      <c r="P523" s="33">
        <v>0</v>
      </c>
      <c r="Q523" s="33">
        <f t="shared" si="225"/>
        <v>0.99999983017566363</v>
      </c>
      <c r="R523" s="33">
        <v>0</v>
      </c>
      <c r="S523" s="33">
        <f t="shared" si="226"/>
        <v>1.698243364058638E-7</v>
      </c>
      <c r="T523" s="8">
        <f t="shared" si="227"/>
        <v>1</v>
      </c>
      <c r="U523" s="33">
        <f t="shared" si="228"/>
        <v>0</v>
      </c>
      <c r="V523" s="33">
        <f t="shared" si="229"/>
        <v>-0.99999983017566363</v>
      </c>
      <c r="W523" s="33">
        <f t="shared" si="230"/>
        <v>512.96720016982431</v>
      </c>
      <c r="X523" s="33">
        <v>96485</v>
      </c>
      <c r="Y523" s="16">
        <f t="shared" si="231"/>
        <v>-188.09191617428235</v>
      </c>
      <c r="Z523" s="16">
        <v>10</v>
      </c>
      <c r="AA523" s="16">
        <v>19</v>
      </c>
      <c r="AB523" s="8">
        <f t="shared" si="232"/>
        <v>0.33240997229916897</v>
      </c>
      <c r="AC523" s="16">
        <f t="shared" si="265"/>
        <v>70.237945145137672</v>
      </c>
      <c r="AD523" s="20">
        <f>'PFAS Properties'!$W$35</f>
        <v>9</v>
      </c>
      <c r="AE523" s="8">
        <f>'PFAS Properties'!$S$35</f>
        <v>0.90308998699194354</v>
      </c>
      <c r="AF523" s="15">
        <f>'PFAS Properties'!$V$35</f>
        <v>6.3</v>
      </c>
      <c r="AG523" s="24">
        <v>6.57</v>
      </c>
      <c r="AH523" s="15" t="s">
        <v>830</v>
      </c>
      <c r="AI523" s="2" t="s">
        <v>661</v>
      </c>
      <c r="AJ523" s="2" t="s">
        <v>661</v>
      </c>
      <c r="AK523" s="2" t="s">
        <v>661</v>
      </c>
      <c r="AL523" s="2" t="s">
        <v>661</v>
      </c>
      <c r="AM523" s="2" t="s">
        <v>661</v>
      </c>
      <c r="AN523" s="2" t="s">
        <v>661</v>
      </c>
      <c r="AO523" s="2" t="s">
        <v>661</v>
      </c>
      <c r="AP523" s="15">
        <v>9.93</v>
      </c>
      <c r="AQ523" s="16" t="s">
        <v>689</v>
      </c>
      <c r="AR523" s="16">
        <v>20</v>
      </c>
      <c r="AS523" s="16">
        <v>50</v>
      </c>
      <c r="AT523" s="16">
        <v>30</v>
      </c>
      <c r="AU523" s="16" t="s">
        <v>664</v>
      </c>
      <c r="AV523" s="16">
        <f t="shared" si="262"/>
        <v>100</v>
      </c>
      <c r="AW523" s="20">
        <v>2.9</v>
      </c>
      <c r="AX523" s="13">
        <f t="shared" si="236"/>
        <v>2.8999999999999998E-2</v>
      </c>
      <c r="AY523" s="8" t="s">
        <v>342</v>
      </c>
      <c r="AZ523" s="16">
        <f>1/0.01</f>
        <v>100</v>
      </c>
      <c r="BA523" s="16" t="s">
        <v>55</v>
      </c>
      <c r="BB523" s="15">
        <f>5*K523/1000</f>
        <v>2.5698359999999996</v>
      </c>
      <c r="BC523" s="16">
        <f>5000*K523/1000</f>
        <v>2569.8359999999993</v>
      </c>
      <c r="BD523" s="24">
        <f>571.6*AX523</f>
        <v>16.5764</v>
      </c>
      <c r="BE523" s="15">
        <f t="shared" si="263"/>
        <v>571.6</v>
      </c>
      <c r="BF523" s="8">
        <f t="shared" si="233"/>
        <v>2.7570922201189325</v>
      </c>
      <c r="BG523" s="8">
        <f t="shared" si="264"/>
        <v>1.2194902180178886</v>
      </c>
      <c r="BH523" s="13" t="s">
        <v>343</v>
      </c>
      <c r="BI523" s="15"/>
      <c r="BJ523" s="13"/>
      <c r="BK523" s="15"/>
      <c r="BL523" s="15"/>
      <c r="BM523" s="18"/>
      <c r="BN523" s="8"/>
      <c r="BO523" s="24"/>
    </row>
    <row r="524" spans="1:69" s="14" customFormat="1" x14ac:dyDescent="0.3">
      <c r="A524" s="20">
        <v>522</v>
      </c>
      <c r="B524" s="2" t="s">
        <v>775</v>
      </c>
      <c r="C524" s="2">
        <v>2021</v>
      </c>
      <c r="D524" s="2" t="s">
        <v>203</v>
      </c>
      <c r="E524" s="10" t="s">
        <v>786</v>
      </c>
      <c r="F524" s="20" t="s">
        <v>29</v>
      </c>
      <c r="G524" s="2" t="s">
        <v>119</v>
      </c>
      <c r="H524" s="2" t="str">
        <f>'PFAS Properties'!$B$35</f>
        <v>PFDA</v>
      </c>
      <c r="I524" s="2" t="str">
        <f>'PFAS Properties'!$C$35</f>
        <v>PFCA</v>
      </c>
      <c r="J524" s="2" t="str">
        <f>'PFAS Properties'!$D$35</f>
        <v>C10HF19O2</v>
      </c>
      <c r="K524" s="25">
        <f>'PFAS Properties'!$P$35</f>
        <v>513.96719999999993</v>
      </c>
      <c r="L524" s="2">
        <f>'PFAS Properties'!$X$35</f>
        <v>-0.2</v>
      </c>
      <c r="M524" s="2" t="str">
        <f>'PFAS Properties'!$Y$35</f>
        <v>-</v>
      </c>
      <c r="N524" s="33">
        <v>0</v>
      </c>
      <c r="O524" s="33">
        <v>0</v>
      </c>
      <c r="P524" s="33">
        <v>0</v>
      </c>
      <c r="Q524" s="33">
        <f t="shared" si="225"/>
        <v>0.99998004777494953</v>
      </c>
      <c r="R524" s="33">
        <v>0</v>
      </c>
      <c r="S524" s="33">
        <f t="shared" si="226"/>
        <v>1.9952225050461341E-5</v>
      </c>
      <c r="T524" s="8">
        <f t="shared" si="227"/>
        <v>1</v>
      </c>
      <c r="U524" s="33">
        <f t="shared" si="228"/>
        <v>0</v>
      </c>
      <c r="V524" s="33">
        <f t="shared" si="229"/>
        <v>-0.99998004777494953</v>
      </c>
      <c r="W524" s="33">
        <f t="shared" si="230"/>
        <v>512.96721995222492</v>
      </c>
      <c r="X524" s="33">
        <v>96485</v>
      </c>
      <c r="Y524" s="16">
        <f t="shared" si="231"/>
        <v>-188.08818801043842</v>
      </c>
      <c r="Z524" s="16">
        <v>10</v>
      </c>
      <c r="AA524" s="16">
        <v>19</v>
      </c>
      <c r="AB524" s="8">
        <f t="shared" si="232"/>
        <v>0.33240997229916897</v>
      </c>
      <c r="AC524" s="16">
        <f t="shared" si="265"/>
        <v>70.237945145137672</v>
      </c>
      <c r="AD524" s="20">
        <f>'PFAS Properties'!$W$35</f>
        <v>9</v>
      </c>
      <c r="AE524" s="8">
        <f>'PFAS Properties'!$S$35</f>
        <v>0.90308998699194354</v>
      </c>
      <c r="AF524" s="15">
        <f>'PFAS Properties'!$V$35</f>
        <v>6.3</v>
      </c>
      <c r="AG524" s="24">
        <v>4.5</v>
      </c>
      <c r="AH524" s="15" t="s">
        <v>830</v>
      </c>
      <c r="AI524" s="2" t="s">
        <v>661</v>
      </c>
      <c r="AJ524" s="2" t="s">
        <v>661</v>
      </c>
      <c r="AK524" s="2" t="s">
        <v>661</v>
      </c>
      <c r="AL524" s="2" t="s">
        <v>661</v>
      </c>
      <c r="AM524" s="2" t="s">
        <v>661</v>
      </c>
      <c r="AN524" s="2" t="s">
        <v>661</v>
      </c>
      <c r="AO524" s="2" t="s">
        <v>661</v>
      </c>
      <c r="AP524" s="72">
        <v>11.497016666666671</v>
      </c>
      <c r="AQ524" s="70" t="s">
        <v>752</v>
      </c>
      <c r="AR524" s="16">
        <v>51.2</v>
      </c>
      <c r="AS524" s="16">
        <v>36.200000000000003</v>
      </c>
      <c r="AT524" s="16">
        <v>12.6</v>
      </c>
      <c r="AU524" s="16" t="s">
        <v>664</v>
      </c>
      <c r="AV524" s="16">
        <f t="shared" si="262"/>
        <v>100</v>
      </c>
      <c r="AW524" s="20">
        <v>7.3</v>
      </c>
      <c r="AX524" s="13">
        <f t="shared" si="236"/>
        <v>7.2999999999999995E-2</v>
      </c>
      <c r="AY524" s="8" t="s">
        <v>342</v>
      </c>
      <c r="AZ524" s="16">
        <f>1/0.01</f>
        <v>100</v>
      </c>
      <c r="BA524" s="16" t="s">
        <v>55</v>
      </c>
      <c r="BB524" s="15">
        <f>5*K524/1000</f>
        <v>2.5698359999999996</v>
      </c>
      <c r="BC524" s="16">
        <f>5000*K524/1000</f>
        <v>2569.8359999999993</v>
      </c>
      <c r="BD524" s="24">
        <f>697.1*AX524</f>
        <v>50.888300000000001</v>
      </c>
      <c r="BE524" s="15">
        <f t="shared" si="263"/>
        <v>697.1</v>
      </c>
      <c r="BF524" s="8">
        <f t="shared" si="233"/>
        <v>2.8432950827365073</v>
      </c>
      <c r="BG524" s="8">
        <f t="shared" si="264"/>
        <v>1.706617942856963</v>
      </c>
      <c r="BH524" s="13" t="s">
        <v>343</v>
      </c>
      <c r="BI524" s="15"/>
      <c r="BJ524" s="13"/>
      <c r="BK524" s="15"/>
      <c r="BL524" s="15"/>
      <c r="BM524" s="18"/>
      <c r="BN524" s="8"/>
      <c r="BO524" s="24"/>
    </row>
    <row r="525" spans="1:69" s="14" customFormat="1" x14ac:dyDescent="0.3">
      <c r="A525" s="20">
        <v>523</v>
      </c>
      <c r="B525" s="2" t="s">
        <v>775</v>
      </c>
      <c r="C525" s="2">
        <v>2021</v>
      </c>
      <c r="D525" s="2" t="s">
        <v>203</v>
      </c>
      <c r="E525" s="10" t="s">
        <v>786</v>
      </c>
      <c r="F525" s="20" t="s">
        <v>29</v>
      </c>
      <c r="G525" s="2" t="s">
        <v>120</v>
      </c>
      <c r="H525" s="2" t="str">
        <f>'PFAS Properties'!$B$35</f>
        <v>PFDA</v>
      </c>
      <c r="I525" s="2" t="str">
        <f>'PFAS Properties'!$C$35</f>
        <v>PFCA</v>
      </c>
      <c r="J525" s="2" t="str">
        <f>'PFAS Properties'!$D$35</f>
        <v>C10HF19O2</v>
      </c>
      <c r="K525" s="25">
        <f>'PFAS Properties'!$P$35</f>
        <v>513.96719999999993</v>
      </c>
      <c r="L525" s="2">
        <f>'PFAS Properties'!$X$35</f>
        <v>-0.2</v>
      </c>
      <c r="M525" s="2" t="str">
        <f>'PFAS Properties'!$Y$35</f>
        <v>-</v>
      </c>
      <c r="N525" s="33">
        <v>0</v>
      </c>
      <c r="O525" s="33">
        <v>0</v>
      </c>
      <c r="P525" s="33">
        <v>0</v>
      </c>
      <c r="Q525" s="33">
        <f t="shared" si="225"/>
        <v>0.999995533184031</v>
      </c>
      <c r="R525" s="33">
        <v>0</v>
      </c>
      <c r="S525" s="33">
        <f t="shared" si="226"/>
        <v>4.4668159689755961E-6</v>
      </c>
      <c r="T525" s="8">
        <f t="shared" si="227"/>
        <v>1</v>
      </c>
      <c r="U525" s="33">
        <f t="shared" si="228"/>
        <v>0</v>
      </c>
      <c r="V525" s="33">
        <f t="shared" si="229"/>
        <v>-0.999995533184031</v>
      </c>
      <c r="W525" s="33">
        <f t="shared" si="230"/>
        <v>512.96720446681593</v>
      </c>
      <c r="X525" s="33">
        <v>96485</v>
      </c>
      <c r="Y525" s="16">
        <f t="shared" si="231"/>
        <v>-188.09110636916529</v>
      </c>
      <c r="Z525" s="16">
        <v>10</v>
      </c>
      <c r="AA525" s="16">
        <v>19</v>
      </c>
      <c r="AB525" s="8">
        <f t="shared" si="232"/>
        <v>0.33240997229916897</v>
      </c>
      <c r="AC525" s="16">
        <f t="shared" si="265"/>
        <v>70.237945145137672</v>
      </c>
      <c r="AD525" s="20">
        <f>'PFAS Properties'!$W$35</f>
        <v>9</v>
      </c>
      <c r="AE525" s="8">
        <f>'PFAS Properties'!$S$35</f>
        <v>0.90308998699194354</v>
      </c>
      <c r="AF525" s="15">
        <f>'PFAS Properties'!$V$35</f>
        <v>6.3</v>
      </c>
      <c r="AG525" s="24">
        <v>5.15</v>
      </c>
      <c r="AH525" s="2" t="s">
        <v>830</v>
      </c>
      <c r="AI525" s="2" t="s">
        <v>661</v>
      </c>
      <c r="AJ525" s="2" t="s">
        <v>661</v>
      </c>
      <c r="AK525" s="2" t="s">
        <v>661</v>
      </c>
      <c r="AL525" s="2" t="s">
        <v>661</v>
      </c>
      <c r="AM525" s="2" t="s">
        <v>661</v>
      </c>
      <c r="AN525" s="2" t="s">
        <v>661</v>
      </c>
      <c r="AO525" s="2" t="s">
        <v>661</v>
      </c>
      <c r="AP525" s="15">
        <v>0.57999999999999996</v>
      </c>
      <c r="AQ525" s="16" t="s">
        <v>689</v>
      </c>
      <c r="AR525" s="16">
        <v>59.2</v>
      </c>
      <c r="AS525" s="16">
        <v>32.200000000000003</v>
      </c>
      <c r="AT525" s="16">
        <v>8.6</v>
      </c>
      <c r="AU525" s="16" t="s">
        <v>664</v>
      </c>
      <c r="AV525" s="16">
        <f t="shared" si="262"/>
        <v>100</v>
      </c>
      <c r="AW525" s="20">
        <v>1.8</v>
      </c>
      <c r="AX525" s="13">
        <f t="shared" si="236"/>
        <v>1.8000000000000002E-2</v>
      </c>
      <c r="AY525" s="13" t="s">
        <v>342</v>
      </c>
      <c r="AZ525" s="16">
        <f>1/0.01</f>
        <v>100</v>
      </c>
      <c r="BA525" s="16" t="s">
        <v>55</v>
      </c>
      <c r="BB525" s="15">
        <f>5*K525/1000</f>
        <v>2.5698359999999996</v>
      </c>
      <c r="BC525" s="16">
        <f>5000*K525/1000</f>
        <v>2569.8359999999993</v>
      </c>
      <c r="BD525" s="24">
        <f>506.1*AX525</f>
        <v>9.1098000000000017</v>
      </c>
      <c r="BE525" s="15">
        <f t="shared" si="263"/>
        <v>506.1</v>
      </c>
      <c r="BF525" s="8">
        <f t="shared" si="233"/>
        <v>2.7042363373087879</v>
      </c>
      <c r="BG525" s="8">
        <f t="shared" si="264"/>
        <v>0.95950884241209378</v>
      </c>
      <c r="BH525" s="13" t="s">
        <v>343</v>
      </c>
      <c r="BI525" s="15"/>
      <c r="BJ525" s="13"/>
      <c r="BK525" s="15"/>
      <c r="BL525" s="16"/>
      <c r="BM525" s="18"/>
      <c r="BN525" s="8"/>
      <c r="BO525" s="24"/>
    </row>
    <row r="526" spans="1:69" s="14" customFormat="1" x14ac:dyDescent="0.3">
      <c r="A526" s="20">
        <v>524</v>
      </c>
      <c r="B526" s="2" t="s">
        <v>234</v>
      </c>
      <c r="C526" s="2">
        <v>2022</v>
      </c>
      <c r="D526" s="2" t="s">
        <v>205</v>
      </c>
      <c r="E526" s="10" t="s">
        <v>799</v>
      </c>
      <c r="F526" s="20" t="s">
        <v>63</v>
      </c>
      <c r="G526" s="2" t="s">
        <v>63</v>
      </c>
      <c r="H526" s="2" t="str">
        <f>'PFAS Properties'!$B$35</f>
        <v>PFDA</v>
      </c>
      <c r="I526" s="2" t="str">
        <f>'PFAS Properties'!$C$35</f>
        <v>PFCA</v>
      </c>
      <c r="J526" s="2" t="str">
        <f>'PFAS Properties'!$D$35</f>
        <v>C10HF19O2</v>
      </c>
      <c r="K526" s="25">
        <f>'PFAS Properties'!$P$35</f>
        <v>513.96719999999993</v>
      </c>
      <c r="L526" s="2">
        <f>'PFAS Properties'!$X$35</f>
        <v>-0.2</v>
      </c>
      <c r="M526" s="2" t="str">
        <f>'PFAS Properties'!$Y$35</f>
        <v>-</v>
      </c>
      <c r="N526" s="33">
        <v>0</v>
      </c>
      <c r="O526" s="33">
        <v>0</v>
      </c>
      <c r="P526" s="33">
        <v>0</v>
      </c>
      <c r="Q526" s="33">
        <f t="shared" si="225"/>
        <v>0.9999999939744042</v>
      </c>
      <c r="R526" s="33">
        <v>0</v>
      </c>
      <c r="S526" s="33">
        <f t="shared" si="226"/>
        <v>6.0255958244357746E-9</v>
      </c>
      <c r="T526" s="8">
        <f t="shared" si="227"/>
        <v>1</v>
      </c>
      <c r="U526" s="33">
        <f t="shared" si="228"/>
        <v>0</v>
      </c>
      <c r="V526" s="33">
        <f t="shared" si="229"/>
        <v>-0.9999999939744042</v>
      </c>
      <c r="W526" s="33">
        <f t="shared" si="230"/>
        <v>512.96720000602556</v>
      </c>
      <c r="X526" s="33">
        <v>96485</v>
      </c>
      <c r="Y526" s="16">
        <f t="shared" si="231"/>
        <v>-188.09194704356736</v>
      </c>
      <c r="Z526" s="16">
        <v>10</v>
      </c>
      <c r="AA526" s="16">
        <v>19</v>
      </c>
      <c r="AB526" s="8">
        <f t="shared" si="232"/>
        <v>0.33240997229916897</v>
      </c>
      <c r="AC526" s="16">
        <f t="shared" si="265"/>
        <v>70.237945145137672</v>
      </c>
      <c r="AD526" s="20">
        <f>'PFAS Properties'!$W$35</f>
        <v>9</v>
      </c>
      <c r="AE526" s="8">
        <f>'PFAS Properties'!$S$35</f>
        <v>0.90308998699194354</v>
      </c>
      <c r="AF526" s="15">
        <f>'PFAS Properties'!$V$35</f>
        <v>6.3</v>
      </c>
      <c r="AG526" s="24">
        <v>8.02</v>
      </c>
      <c r="AH526" s="2" t="s">
        <v>661</v>
      </c>
      <c r="AI526" s="2" t="s">
        <v>661</v>
      </c>
      <c r="AJ526" s="2" t="s">
        <v>661</v>
      </c>
      <c r="AK526" s="2" t="s">
        <v>661</v>
      </c>
      <c r="AL526" s="2" t="s">
        <v>661</v>
      </c>
      <c r="AM526" s="2" t="s">
        <v>661</v>
      </c>
      <c r="AN526" s="2" t="s">
        <v>661</v>
      </c>
      <c r="AO526" s="2" t="s">
        <v>661</v>
      </c>
      <c r="AP526" s="72">
        <v>11.934691666666669</v>
      </c>
      <c r="AQ526" s="70" t="s">
        <v>752</v>
      </c>
      <c r="AR526" s="16">
        <v>6.34</v>
      </c>
      <c r="AS526" s="16">
        <v>85.56</v>
      </c>
      <c r="AT526" s="16">
        <v>8.08</v>
      </c>
      <c r="AU526" s="2" t="s">
        <v>661</v>
      </c>
      <c r="AV526" s="16">
        <f t="shared" si="262"/>
        <v>99.98</v>
      </c>
      <c r="AW526" s="20">
        <v>0.37</v>
      </c>
      <c r="AX526" s="13">
        <v>3.7000000000000002E-3</v>
      </c>
      <c r="AY526" s="13" t="s">
        <v>392</v>
      </c>
      <c r="AZ526" s="16">
        <f>1/0.02</f>
        <v>50</v>
      </c>
      <c r="BA526" s="16" t="s">
        <v>55</v>
      </c>
      <c r="BB526" s="16">
        <v>10</v>
      </c>
      <c r="BC526" s="16" t="s">
        <v>55</v>
      </c>
      <c r="BD526" s="18">
        <f>BO526</f>
        <v>15.992105138697276</v>
      </c>
      <c r="BE526" s="15">
        <f t="shared" si="263"/>
        <v>4322.1905780262905</v>
      </c>
      <c r="BF526" s="8">
        <f t="shared" si="233"/>
        <v>3.6357039122835584</v>
      </c>
      <c r="BG526" s="8">
        <f t="shared" si="264"/>
        <v>1.2039056363505536</v>
      </c>
      <c r="BH526" s="13" t="s">
        <v>782</v>
      </c>
      <c r="BI526" s="8">
        <v>15.26</v>
      </c>
      <c r="BJ526" s="13" t="s">
        <v>366</v>
      </c>
      <c r="BK526" s="8">
        <v>0.79</v>
      </c>
      <c r="BL526" s="8">
        <f>BI526</f>
        <v>15.26</v>
      </c>
      <c r="BM526" s="18">
        <f>'PFAS Properties'!$U$35</f>
        <v>0.8</v>
      </c>
      <c r="BN526" s="8">
        <f>(BL526*(BM526^BK526))</f>
        <v>12.793684110957821</v>
      </c>
      <c r="BO526" s="24">
        <f>BN526/BM526</f>
        <v>15.992105138697276</v>
      </c>
    </row>
    <row r="527" spans="1:69" x14ac:dyDescent="0.3">
      <c r="A527" s="20">
        <v>525</v>
      </c>
      <c r="B527" s="1" t="s">
        <v>706</v>
      </c>
      <c r="C527" s="1">
        <v>2022</v>
      </c>
      <c r="D527" s="2" t="s">
        <v>199</v>
      </c>
      <c r="E527" s="10" t="s">
        <v>796</v>
      </c>
      <c r="F527" s="20" t="s">
        <v>29</v>
      </c>
      <c r="G527" s="1" t="s">
        <v>707</v>
      </c>
      <c r="H527" s="2" t="str">
        <f>'PFAS Properties'!$B$35</f>
        <v>PFDA</v>
      </c>
      <c r="I527" s="2" t="str">
        <f>'PFAS Properties'!$C$35</f>
        <v>PFCA</v>
      </c>
      <c r="J527" s="2" t="str">
        <f>'PFAS Properties'!$D$35</f>
        <v>C10HF19O2</v>
      </c>
      <c r="K527" s="25">
        <f>'PFAS Properties'!$P$35</f>
        <v>513.96719999999993</v>
      </c>
      <c r="L527" s="2">
        <f>'PFAS Properties'!$X$35</f>
        <v>-0.2</v>
      </c>
      <c r="M527" s="2" t="str">
        <f>'PFAS Properties'!$Y$35</f>
        <v>-</v>
      </c>
      <c r="N527" s="33">
        <v>0</v>
      </c>
      <c r="O527" s="33">
        <v>0</v>
      </c>
      <c r="P527" s="33">
        <v>0</v>
      </c>
      <c r="Q527" s="33">
        <f t="shared" si="225"/>
        <v>0.99999849893552062</v>
      </c>
      <c r="R527" s="33">
        <v>0</v>
      </c>
      <c r="S527" s="33">
        <f t="shared" si="226"/>
        <v>1.50106447937241E-6</v>
      </c>
      <c r="T527" s="8">
        <f t="shared" si="227"/>
        <v>1</v>
      </c>
      <c r="U527" s="33">
        <f t="shared" si="228"/>
        <v>0</v>
      </c>
      <c r="V527" s="33">
        <f t="shared" si="229"/>
        <v>-0.99999849893552062</v>
      </c>
      <c r="W527" s="33">
        <f t="shared" si="230"/>
        <v>512.96720150106444</v>
      </c>
      <c r="X527" s="33">
        <v>96485</v>
      </c>
      <c r="Y527" s="16">
        <f t="shared" si="231"/>
        <v>-188.09166529059948</v>
      </c>
      <c r="Z527" s="16">
        <v>10</v>
      </c>
      <c r="AA527" s="16">
        <v>19</v>
      </c>
      <c r="AB527" s="8">
        <f t="shared" si="232"/>
        <v>0.33240997229916897</v>
      </c>
      <c r="AC527" s="16">
        <f t="shared" si="265"/>
        <v>70.237945145137672</v>
      </c>
      <c r="AD527" s="20">
        <f>'PFAS Properties'!$W$35</f>
        <v>9</v>
      </c>
      <c r="AE527" s="8">
        <f>'PFAS Properties'!$S$35</f>
        <v>0.90308998699194354</v>
      </c>
      <c r="AF527" s="15">
        <f>'PFAS Properties'!$V$35</f>
        <v>6.3</v>
      </c>
      <c r="AG527" s="124">
        <v>5.6236000000000006</v>
      </c>
      <c r="AH527" s="70" t="s">
        <v>752</v>
      </c>
      <c r="AI527" s="1" t="s">
        <v>661</v>
      </c>
      <c r="AJ527" s="1" t="s">
        <v>661</v>
      </c>
      <c r="AK527" s="1" t="s">
        <v>661</v>
      </c>
      <c r="AL527" s="1" t="s">
        <v>661</v>
      </c>
      <c r="AM527" s="1" t="s">
        <v>661</v>
      </c>
      <c r="AN527" s="1" t="s">
        <v>661</v>
      </c>
      <c r="AO527" s="1" t="s">
        <v>661</v>
      </c>
      <c r="AP527" s="73">
        <v>17.2</v>
      </c>
      <c r="AQ527" s="1" t="s">
        <v>661</v>
      </c>
      <c r="AR527" s="4">
        <v>44.8</v>
      </c>
      <c r="AS527" s="4">
        <v>27</v>
      </c>
      <c r="AT527" s="4">
        <v>28.2</v>
      </c>
      <c r="AU527" s="1" t="s">
        <v>661</v>
      </c>
      <c r="AV527" s="16">
        <f t="shared" si="262"/>
        <v>100</v>
      </c>
      <c r="AW527" s="7">
        <v>4</v>
      </c>
      <c r="AX527" s="5">
        <f>AW527/100</f>
        <v>0.04</v>
      </c>
      <c r="AY527" s="1" t="s">
        <v>184</v>
      </c>
      <c r="AZ527" s="1">
        <f>0.25/0.01</f>
        <v>25</v>
      </c>
      <c r="BA527" s="16" t="s">
        <v>55</v>
      </c>
      <c r="BB527" s="1">
        <v>0</v>
      </c>
      <c r="BC527" s="1">
        <v>100</v>
      </c>
      <c r="BD527" s="24">
        <v>61.6</v>
      </c>
      <c r="BE527" s="16">
        <f t="shared" si="263"/>
        <v>1540</v>
      </c>
      <c r="BF527" s="16">
        <f t="shared" si="233"/>
        <v>3.1875207208364631</v>
      </c>
      <c r="BG527" s="8">
        <f t="shared" si="264"/>
        <v>1.7895807121644254</v>
      </c>
      <c r="BH527" s="1" t="s">
        <v>819</v>
      </c>
      <c r="BI527" s="1"/>
      <c r="BJ527" s="2"/>
      <c r="BK527" s="1"/>
      <c r="BL527" s="1"/>
      <c r="BM527" s="7"/>
      <c r="BN527" s="7"/>
      <c r="BO527" s="1"/>
      <c r="BP527" s="11"/>
      <c r="BQ527" s="11"/>
    </row>
    <row r="528" spans="1:69" x14ac:dyDescent="0.3">
      <c r="A528" s="20">
        <v>526</v>
      </c>
      <c r="B528" s="1" t="s">
        <v>706</v>
      </c>
      <c r="C528" s="1">
        <v>2022</v>
      </c>
      <c r="D528" s="2" t="s">
        <v>199</v>
      </c>
      <c r="E528" s="10" t="s">
        <v>796</v>
      </c>
      <c r="F528" s="20" t="s">
        <v>29</v>
      </c>
      <c r="G528" s="1" t="s">
        <v>708</v>
      </c>
      <c r="H528" s="2" t="str">
        <f>'PFAS Properties'!$B$35</f>
        <v>PFDA</v>
      </c>
      <c r="I528" s="2" t="str">
        <f>'PFAS Properties'!$C$35</f>
        <v>PFCA</v>
      </c>
      <c r="J528" s="2" t="str">
        <f>'PFAS Properties'!$D$35</f>
        <v>C10HF19O2</v>
      </c>
      <c r="K528" s="25">
        <f>'PFAS Properties'!$P$35</f>
        <v>513.96719999999993</v>
      </c>
      <c r="L528" s="2">
        <f>'PFAS Properties'!$X$35</f>
        <v>-0.2</v>
      </c>
      <c r="M528" s="2" t="str">
        <f>'PFAS Properties'!$Y$35</f>
        <v>-</v>
      </c>
      <c r="N528" s="33">
        <v>0</v>
      </c>
      <c r="O528" s="33">
        <v>0</v>
      </c>
      <c r="P528" s="33">
        <v>0</v>
      </c>
      <c r="Q528" s="33">
        <f t="shared" ref="Q528:Q591" si="266">(10^(AG528-L528))/(1+(10^(AG528-L528)))</f>
        <v>0.9999982333959051</v>
      </c>
      <c r="R528" s="33">
        <v>0</v>
      </c>
      <c r="S528" s="33">
        <f t="shared" ref="S528:S591" si="267">(1/(1+(10^(AG528-L528))))</f>
        <v>1.7666040948916728E-6</v>
      </c>
      <c r="T528" s="8">
        <f t="shared" si="227"/>
        <v>1</v>
      </c>
      <c r="U528" s="33">
        <f t="shared" si="228"/>
        <v>0</v>
      </c>
      <c r="V528" s="33">
        <f t="shared" si="229"/>
        <v>-0.9999982333959051</v>
      </c>
      <c r="W528" s="33">
        <f t="shared" si="230"/>
        <v>512.96720176660403</v>
      </c>
      <c r="X528" s="33">
        <v>96485</v>
      </c>
      <c r="Y528" s="16">
        <f t="shared" si="231"/>
        <v>-188.09161524736962</v>
      </c>
      <c r="Z528" s="16">
        <v>10</v>
      </c>
      <c r="AA528" s="16">
        <v>19</v>
      </c>
      <c r="AB528" s="8">
        <f t="shared" si="232"/>
        <v>0.33240997229916897</v>
      </c>
      <c r="AC528" s="16">
        <f t="shared" si="265"/>
        <v>70.237945145137672</v>
      </c>
      <c r="AD528" s="20">
        <f>'PFAS Properties'!$W$35</f>
        <v>9</v>
      </c>
      <c r="AE528" s="8">
        <f>'PFAS Properties'!$S$35</f>
        <v>0.90308998699194354</v>
      </c>
      <c r="AF528" s="15">
        <f>'PFAS Properties'!$V$35</f>
        <v>6.3</v>
      </c>
      <c r="AG528" s="124">
        <v>5.5528600000000008</v>
      </c>
      <c r="AH528" s="70" t="s">
        <v>752</v>
      </c>
      <c r="AI528" s="1" t="s">
        <v>661</v>
      </c>
      <c r="AJ528" s="1" t="s">
        <v>661</v>
      </c>
      <c r="AK528" s="1" t="s">
        <v>661</v>
      </c>
      <c r="AL528" s="1" t="s">
        <v>661</v>
      </c>
      <c r="AM528" s="1" t="s">
        <v>661</v>
      </c>
      <c r="AN528" s="1" t="s">
        <v>661</v>
      </c>
      <c r="AO528" s="1" t="s">
        <v>661</v>
      </c>
      <c r="AP528" s="73">
        <v>12.2</v>
      </c>
      <c r="AQ528" s="1" t="s">
        <v>661</v>
      </c>
      <c r="AR528" s="4">
        <v>41.8</v>
      </c>
      <c r="AS528" s="4">
        <v>30</v>
      </c>
      <c r="AT528" s="4">
        <v>28.2</v>
      </c>
      <c r="AU528" s="1" t="s">
        <v>661</v>
      </c>
      <c r="AV528" s="16">
        <f t="shared" si="262"/>
        <v>100</v>
      </c>
      <c r="AW528" s="7">
        <v>2</v>
      </c>
      <c r="AX528" s="5">
        <f>AW528/100</f>
        <v>0.02</v>
      </c>
      <c r="AY528" s="1" t="s">
        <v>184</v>
      </c>
      <c r="AZ528" s="1">
        <f>0.25/0.01</f>
        <v>25</v>
      </c>
      <c r="BA528" s="16" t="s">
        <v>55</v>
      </c>
      <c r="BB528" s="1">
        <v>0</v>
      </c>
      <c r="BC528" s="1">
        <v>100</v>
      </c>
      <c r="BD528" s="24">
        <v>44.7</v>
      </c>
      <c r="BE528" s="16">
        <f t="shared" si="263"/>
        <v>2235</v>
      </c>
      <c r="BF528" s="16">
        <f t="shared" si="233"/>
        <v>3.3492775274679554</v>
      </c>
      <c r="BG528" s="8">
        <f t="shared" si="264"/>
        <v>1.6503075231319364</v>
      </c>
      <c r="BH528" s="1" t="s">
        <v>819</v>
      </c>
      <c r="BI528" s="1"/>
      <c r="BJ528" s="2"/>
      <c r="BK528" s="1"/>
      <c r="BL528" s="1"/>
      <c r="BM528" s="7"/>
      <c r="BN528" s="7"/>
      <c r="BO528" s="1"/>
      <c r="BP528" s="11"/>
      <c r="BQ528" s="11"/>
    </row>
    <row r="529" spans="1:69" x14ac:dyDescent="0.3">
      <c r="A529" s="20">
        <v>527</v>
      </c>
      <c r="B529" s="1" t="s">
        <v>706</v>
      </c>
      <c r="C529" s="1">
        <v>2022</v>
      </c>
      <c r="D529" s="2" t="s">
        <v>199</v>
      </c>
      <c r="E529" s="10" t="s">
        <v>796</v>
      </c>
      <c r="F529" s="20" t="s">
        <v>29</v>
      </c>
      <c r="G529" s="1" t="s">
        <v>709</v>
      </c>
      <c r="H529" s="2" t="str">
        <f>'PFAS Properties'!$B$35</f>
        <v>PFDA</v>
      </c>
      <c r="I529" s="2" t="str">
        <f>'PFAS Properties'!$C$35</f>
        <v>PFCA</v>
      </c>
      <c r="J529" s="2" t="str">
        <f>'PFAS Properties'!$D$35</f>
        <v>C10HF19O2</v>
      </c>
      <c r="K529" s="25">
        <f>'PFAS Properties'!$P$35</f>
        <v>513.96719999999993</v>
      </c>
      <c r="L529" s="2">
        <f>'PFAS Properties'!$X$35</f>
        <v>-0.2</v>
      </c>
      <c r="M529" s="2" t="str">
        <f>'PFAS Properties'!$Y$35</f>
        <v>-</v>
      </c>
      <c r="N529" s="33">
        <v>0</v>
      </c>
      <c r="O529" s="33">
        <v>0</v>
      </c>
      <c r="P529" s="33">
        <v>0</v>
      </c>
      <c r="Q529" s="33">
        <f t="shared" si="266"/>
        <v>0.99999774680374132</v>
      </c>
      <c r="R529" s="33">
        <v>0</v>
      </c>
      <c r="S529" s="33">
        <f t="shared" si="267"/>
        <v>2.2531962587246622E-6</v>
      </c>
      <c r="T529" s="8">
        <f t="shared" si="227"/>
        <v>1</v>
      </c>
      <c r="U529" s="33">
        <f t="shared" si="228"/>
        <v>0</v>
      </c>
      <c r="V529" s="33">
        <f t="shared" si="229"/>
        <v>-0.99999774680374132</v>
      </c>
      <c r="W529" s="33">
        <f t="shared" si="230"/>
        <v>512.96720225319621</v>
      </c>
      <c r="X529" s="33">
        <v>96485</v>
      </c>
      <c r="Y529" s="16">
        <f t="shared" si="231"/>
        <v>-188.09152354488137</v>
      </c>
      <c r="Z529" s="16">
        <v>10</v>
      </c>
      <c r="AA529" s="16">
        <v>19</v>
      </c>
      <c r="AB529" s="8">
        <f t="shared" si="232"/>
        <v>0.33240997229916897</v>
      </c>
      <c r="AC529" s="16">
        <f t="shared" si="265"/>
        <v>70.237945145137672</v>
      </c>
      <c r="AD529" s="20">
        <f>'PFAS Properties'!$W$35</f>
        <v>9</v>
      </c>
      <c r="AE529" s="8">
        <f>'PFAS Properties'!$S$35</f>
        <v>0.90308998699194354</v>
      </c>
      <c r="AF529" s="15">
        <f>'PFAS Properties'!$V$35</f>
        <v>6.3</v>
      </c>
      <c r="AG529" s="124">
        <v>5.4471999999999996</v>
      </c>
      <c r="AH529" s="70" t="s">
        <v>752</v>
      </c>
      <c r="AI529" s="1" t="s">
        <v>661</v>
      </c>
      <c r="AJ529" s="1" t="s">
        <v>661</v>
      </c>
      <c r="AK529" s="1" t="s">
        <v>661</v>
      </c>
      <c r="AL529" s="1" t="s">
        <v>661</v>
      </c>
      <c r="AM529" s="1" t="s">
        <v>661</v>
      </c>
      <c r="AN529" s="1" t="s">
        <v>661</v>
      </c>
      <c r="AO529" s="1" t="s">
        <v>661</v>
      </c>
      <c r="AP529" s="73">
        <v>7.3</v>
      </c>
      <c r="AQ529" s="1" t="s">
        <v>661</v>
      </c>
      <c r="AR529" s="4">
        <v>48.9</v>
      </c>
      <c r="AS529" s="4">
        <v>26.9</v>
      </c>
      <c r="AT529" s="4">
        <v>24.2</v>
      </c>
      <c r="AU529" s="1" t="s">
        <v>661</v>
      </c>
      <c r="AV529" s="16">
        <f t="shared" si="262"/>
        <v>100</v>
      </c>
      <c r="AW529" s="7">
        <v>2.2000000000000002</v>
      </c>
      <c r="AX529" s="5">
        <f>AW529/100</f>
        <v>2.2000000000000002E-2</v>
      </c>
      <c r="AY529" s="1" t="s">
        <v>184</v>
      </c>
      <c r="AZ529" s="1">
        <f>0.25/0.01</f>
        <v>25</v>
      </c>
      <c r="BA529" s="16" t="s">
        <v>55</v>
      </c>
      <c r="BB529" s="1">
        <v>0</v>
      </c>
      <c r="BC529" s="1">
        <v>100</v>
      </c>
      <c r="BD529" s="24">
        <v>37.799999999999997</v>
      </c>
      <c r="BE529" s="16">
        <f t="shared" si="263"/>
        <v>1718.1818181818178</v>
      </c>
      <c r="BF529" s="16">
        <f t="shared" si="233"/>
        <v>3.2350691190150189</v>
      </c>
      <c r="BG529" s="8">
        <f t="shared" si="264"/>
        <v>1.5774917998372253</v>
      </c>
      <c r="BH529" s="1" t="s">
        <v>819</v>
      </c>
      <c r="BI529" s="1"/>
      <c r="BJ529" s="2"/>
      <c r="BK529" s="1"/>
      <c r="BL529" s="1"/>
      <c r="BM529" s="7"/>
      <c r="BN529" s="7"/>
      <c r="BO529" s="1"/>
      <c r="BP529" s="11"/>
      <c r="BQ529" s="11"/>
    </row>
    <row r="530" spans="1:69" s="46" customFormat="1" x14ac:dyDescent="0.3">
      <c r="A530" s="20">
        <v>528</v>
      </c>
      <c r="B530" s="2" t="s">
        <v>181</v>
      </c>
      <c r="C530" s="2">
        <v>2020</v>
      </c>
      <c r="D530" s="2" t="s">
        <v>203</v>
      </c>
      <c r="E530" s="10" t="s">
        <v>787</v>
      </c>
      <c r="F530" s="20" t="s">
        <v>29</v>
      </c>
      <c r="G530" s="2" t="s">
        <v>62</v>
      </c>
      <c r="H530" s="2" t="str">
        <f>'PFAS Properties'!$B$35</f>
        <v>PFDA</v>
      </c>
      <c r="I530" s="2" t="str">
        <f>'PFAS Properties'!$C$35</f>
        <v>PFCA</v>
      </c>
      <c r="J530" s="2" t="str">
        <f>'PFAS Properties'!$D$35</f>
        <v>C10HF19O2</v>
      </c>
      <c r="K530" s="25">
        <f>'PFAS Properties'!$P$35</f>
        <v>513.96719999999993</v>
      </c>
      <c r="L530" s="2">
        <f>'PFAS Properties'!$X$35</f>
        <v>-0.2</v>
      </c>
      <c r="M530" s="2" t="str">
        <f>'PFAS Properties'!$Y$35</f>
        <v>-</v>
      </c>
      <c r="N530" s="33">
        <v>0</v>
      </c>
      <c r="O530" s="33">
        <v>0</v>
      </c>
      <c r="P530" s="33">
        <v>0</v>
      </c>
      <c r="Q530" s="33">
        <f t="shared" si="266"/>
        <v>0.99999998004737722</v>
      </c>
      <c r="R530" s="33">
        <v>0</v>
      </c>
      <c r="S530" s="33">
        <f t="shared" si="267"/>
        <v>1.995262275158161E-8</v>
      </c>
      <c r="T530" s="8">
        <f t="shared" si="227"/>
        <v>1</v>
      </c>
      <c r="U530" s="33">
        <f t="shared" si="228"/>
        <v>0</v>
      </c>
      <c r="V530" s="33">
        <f t="shared" si="229"/>
        <v>-0.99999998004737722</v>
      </c>
      <c r="W530" s="33">
        <f t="shared" si="230"/>
        <v>512.96720001995254</v>
      </c>
      <c r="X530" s="33">
        <v>96485</v>
      </c>
      <c r="Y530" s="16">
        <f t="shared" si="231"/>
        <v>-188.09194441889906</v>
      </c>
      <c r="Z530" s="16">
        <v>10</v>
      </c>
      <c r="AA530" s="16">
        <v>19</v>
      </c>
      <c r="AB530" s="8">
        <f t="shared" si="232"/>
        <v>0.33240997229916897</v>
      </c>
      <c r="AC530" s="16">
        <f t="shared" si="265"/>
        <v>70.237945145137672</v>
      </c>
      <c r="AD530" s="20">
        <f>'PFAS Properties'!$W$35</f>
        <v>9</v>
      </c>
      <c r="AE530" s="8">
        <f>'PFAS Properties'!$S$35</f>
        <v>0.90308998699194354</v>
      </c>
      <c r="AF530" s="15">
        <f>'PFAS Properties'!$V$35</f>
        <v>6.3</v>
      </c>
      <c r="AG530" s="24">
        <v>7.5</v>
      </c>
      <c r="AH530" s="2" t="s">
        <v>183</v>
      </c>
      <c r="AI530" s="2" t="s">
        <v>661</v>
      </c>
      <c r="AJ530" s="2" t="s">
        <v>661</v>
      </c>
      <c r="AK530" s="2" t="s">
        <v>661</v>
      </c>
      <c r="AL530" s="2" t="s">
        <v>661</v>
      </c>
      <c r="AM530" s="2" t="s">
        <v>661</v>
      </c>
      <c r="AN530" s="2" t="s">
        <v>661</v>
      </c>
      <c r="AO530" s="2" t="s">
        <v>661</v>
      </c>
      <c r="AP530" s="15">
        <v>41.4</v>
      </c>
      <c r="AQ530" s="2" t="s">
        <v>661</v>
      </c>
      <c r="AR530" s="16">
        <v>16.899999999999999</v>
      </c>
      <c r="AS530" s="16">
        <v>17.5</v>
      </c>
      <c r="AT530" s="16">
        <v>65.599999999999994</v>
      </c>
      <c r="AU530" s="2" t="s">
        <v>661</v>
      </c>
      <c r="AV530" s="16">
        <f t="shared" si="262"/>
        <v>100</v>
      </c>
      <c r="AW530" s="20">
        <v>0.7</v>
      </c>
      <c r="AX530" s="13">
        <v>6.9999999999999993E-3</v>
      </c>
      <c r="AY530" s="13" t="s">
        <v>184</v>
      </c>
      <c r="AZ530" s="16">
        <v>100</v>
      </c>
      <c r="BA530" s="16" t="s">
        <v>55</v>
      </c>
      <c r="BB530" s="16">
        <v>5</v>
      </c>
      <c r="BC530" s="16" t="s">
        <v>55</v>
      </c>
      <c r="BD530" s="18">
        <v>9.5299999999999994</v>
      </c>
      <c r="BE530" s="15">
        <f t="shared" si="263"/>
        <v>1361.4285714285716</v>
      </c>
      <c r="BF530" s="8">
        <f t="shared" si="233"/>
        <v>3.1339948606240697</v>
      </c>
      <c r="BG530" s="8">
        <f t="shared" si="264"/>
        <v>0.97909290063832632</v>
      </c>
      <c r="BH530" s="13" t="s">
        <v>841</v>
      </c>
      <c r="BI530" s="9"/>
      <c r="BJ530" s="13"/>
      <c r="BK530" s="9"/>
      <c r="BL530" s="9"/>
      <c r="BM530" s="19"/>
      <c r="BN530" s="19"/>
      <c r="BO530" s="129"/>
    </row>
    <row r="531" spans="1:69" s="46" customFormat="1" x14ac:dyDescent="0.3">
      <c r="A531" s="20">
        <v>529</v>
      </c>
      <c r="B531" s="2" t="s">
        <v>181</v>
      </c>
      <c r="C531" s="2">
        <v>2020</v>
      </c>
      <c r="D531" s="2" t="s">
        <v>203</v>
      </c>
      <c r="E531" s="10" t="s">
        <v>787</v>
      </c>
      <c r="F531" s="20" t="s">
        <v>29</v>
      </c>
      <c r="G531" s="2" t="s">
        <v>57</v>
      </c>
      <c r="H531" s="2" t="str">
        <f>'PFAS Properties'!$B$35</f>
        <v>PFDA</v>
      </c>
      <c r="I531" s="2" t="str">
        <f>'PFAS Properties'!$C$35</f>
        <v>PFCA</v>
      </c>
      <c r="J531" s="2" t="str">
        <f>'PFAS Properties'!$D$35</f>
        <v>C10HF19O2</v>
      </c>
      <c r="K531" s="25">
        <f>'PFAS Properties'!$P$35</f>
        <v>513.96719999999993</v>
      </c>
      <c r="L531" s="2">
        <f>'PFAS Properties'!$X$35</f>
        <v>-0.2</v>
      </c>
      <c r="M531" s="2" t="str">
        <f>'PFAS Properties'!$Y$35</f>
        <v>-</v>
      </c>
      <c r="N531" s="33">
        <v>0</v>
      </c>
      <c r="O531" s="33">
        <v>0</v>
      </c>
      <c r="P531" s="33">
        <v>0</v>
      </c>
      <c r="Q531" s="33">
        <f t="shared" si="266"/>
        <v>0.99999990000001004</v>
      </c>
      <c r="R531" s="33">
        <v>0</v>
      </c>
      <c r="S531" s="33">
        <f t="shared" si="267"/>
        <v>9.9999990000001005E-8</v>
      </c>
      <c r="T531" s="8">
        <f t="shared" si="227"/>
        <v>1</v>
      </c>
      <c r="U531" s="33">
        <f t="shared" si="228"/>
        <v>0</v>
      </c>
      <c r="V531" s="33">
        <f t="shared" si="229"/>
        <v>-0.99999990000001004</v>
      </c>
      <c r="W531" s="33">
        <f t="shared" si="230"/>
        <v>512.9672000999999</v>
      </c>
      <c r="X531" s="33">
        <v>96485</v>
      </c>
      <c r="Y531" s="16">
        <f t="shared" si="231"/>
        <v>-188.09192933328251</v>
      </c>
      <c r="Z531" s="16">
        <v>10</v>
      </c>
      <c r="AA531" s="16">
        <v>19</v>
      </c>
      <c r="AB531" s="8">
        <f t="shared" si="232"/>
        <v>0.33240997229916897</v>
      </c>
      <c r="AC531" s="16">
        <f t="shared" si="265"/>
        <v>70.237945145137672</v>
      </c>
      <c r="AD531" s="20">
        <f>'PFAS Properties'!$W$35</f>
        <v>9</v>
      </c>
      <c r="AE531" s="8">
        <f>'PFAS Properties'!$S$35</f>
        <v>0.90308998699194354</v>
      </c>
      <c r="AF531" s="15">
        <f>'PFAS Properties'!$V$35</f>
        <v>6.3</v>
      </c>
      <c r="AG531" s="24">
        <v>6.8</v>
      </c>
      <c r="AH531" s="2" t="s">
        <v>183</v>
      </c>
      <c r="AI531" s="2" t="s">
        <v>661</v>
      </c>
      <c r="AJ531" s="2" t="s">
        <v>661</v>
      </c>
      <c r="AK531" s="2" t="s">
        <v>661</v>
      </c>
      <c r="AL531" s="2" t="s">
        <v>661</v>
      </c>
      <c r="AM531" s="2" t="s">
        <v>661</v>
      </c>
      <c r="AN531" s="2" t="s">
        <v>661</v>
      </c>
      <c r="AO531" s="2" t="s">
        <v>661</v>
      </c>
      <c r="AP531" s="15">
        <v>7.1</v>
      </c>
      <c r="AQ531" s="2" t="s">
        <v>661</v>
      </c>
      <c r="AR531" s="16">
        <v>48.9</v>
      </c>
      <c r="AS531" s="16">
        <v>27</v>
      </c>
      <c r="AT531" s="16">
        <v>24.2</v>
      </c>
      <c r="AU531" s="2" t="s">
        <v>661</v>
      </c>
      <c r="AV531" s="16">
        <f t="shared" si="262"/>
        <v>100.10000000000001</v>
      </c>
      <c r="AW531" s="20">
        <v>0.37</v>
      </c>
      <c r="AX531" s="13">
        <v>3.7000000000000002E-3</v>
      </c>
      <c r="AY531" s="13" t="s">
        <v>184</v>
      </c>
      <c r="AZ531" s="16">
        <v>100</v>
      </c>
      <c r="BA531" s="16" t="s">
        <v>55</v>
      </c>
      <c r="BB531" s="16">
        <v>5</v>
      </c>
      <c r="BC531" s="16" t="s">
        <v>55</v>
      </c>
      <c r="BD531" s="20">
        <v>0.86</v>
      </c>
      <c r="BE531" s="15">
        <f t="shared" si="263"/>
        <v>232.43243243243242</v>
      </c>
      <c r="BF531" s="8">
        <f t="shared" si="233"/>
        <v>2.3662967271765729</v>
      </c>
      <c r="BG531" s="8">
        <f t="shared" si="264"/>
        <v>-6.5501548756432285E-2</v>
      </c>
      <c r="BH531" s="13" t="s">
        <v>841</v>
      </c>
      <c r="BI531" s="9"/>
      <c r="BJ531" s="13"/>
      <c r="BK531" s="9"/>
      <c r="BL531" s="9"/>
      <c r="BM531" s="19"/>
      <c r="BN531" s="19"/>
      <c r="BO531" s="129"/>
    </row>
    <row r="532" spans="1:69" s="46" customFormat="1" x14ac:dyDescent="0.3">
      <c r="A532" s="20">
        <v>530</v>
      </c>
      <c r="B532" s="2" t="s">
        <v>181</v>
      </c>
      <c r="C532" s="2">
        <v>2020</v>
      </c>
      <c r="D532" s="2" t="s">
        <v>203</v>
      </c>
      <c r="E532" s="10" t="s">
        <v>787</v>
      </c>
      <c r="F532" s="20" t="s">
        <v>29</v>
      </c>
      <c r="G532" s="2" t="s">
        <v>58</v>
      </c>
      <c r="H532" s="2" t="str">
        <f>'PFAS Properties'!$B$35</f>
        <v>PFDA</v>
      </c>
      <c r="I532" s="2" t="str">
        <f>'PFAS Properties'!$C$35</f>
        <v>PFCA</v>
      </c>
      <c r="J532" s="2" t="str">
        <f>'PFAS Properties'!$D$35</f>
        <v>C10HF19O2</v>
      </c>
      <c r="K532" s="25">
        <f>'PFAS Properties'!$P$35</f>
        <v>513.96719999999993</v>
      </c>
      <c r="L532" s="2">
        <f>'PFAS Properties'!$X$35</f>
        <v>-0.2</v>
      </c>
      <c r="M532" s="2" t="str">
        <f>'PFAS Properties'!$Y$35</f>
        <v>-</v>
      </c>
      <c r="N532" s="33">
        <v>0</v>
      </c>
      <c r="O532" s="33">
        <v>0</v>
      </c>
      <c r="P532" s="33">
        <v>0</v>
      </c>
      <c r="Q532" s="33">
        <f t="shared" si="266"/>
        <v>0.99999960189298798</v>
      </c>
      <c r="R532" s="33">
        <v>0</v>
      </c>
      <c r="S532" s="33">
        <f t="shared" si="267"/>
        <v>3.9810701206424001E-7</v>
      </c>
      <c r="T532" s="8">
        <f t="shared" si="227"/>
        <v>1</v>
      </c>
      <c r="U532" s="33">
        <f t="shared" si="228"/>
        <v>0</v>
      </c>
      <c r="V532" s="33">
        <f t="shared" si="229"/>
        <v>-0.99999960189298798</v>
      </c>
      <c r="W532" s="33">
        <f t="shared" si="230"/>
        <v>512.96720039810691</v>
      </c>
      <c r="X532" s="33">
        <v>96485</v>
      </c>
      <c r="Y532" s="16">
        <f t="shared" si="231"/>
        <v>-188.09187315244381</v>
      </c>
      <c r="Z532" s="16">
        <v>10</v>
      </c>
      <c r="AA532" s="16">
        <v>19</v>
      </c>
      <c r="AB532" s="8">
        <f t="shared" si="232"/>
        <v>0.33240997229916897</v>
      </c>
      <c r="AC532" s="16">
        <f t="shared" si="265"/>
        <v>70.237945145137672</v>
      </c>
      <c r="AD532" s="20">
        <f>'PFAS Properties'!$W$35</f>
        <v>9</v>
      </c>
      <c r="AE532" s="8">
        <f>'PFAS Properties'!$S$35</f>
        <v>0.90308998699194354</v>
      </c>
      <c r="AF532" s="15">
        <f>'PFAS Properties'!$V$35</f>
        <v>6.3</v>
      </c>
      <c r="AG532" s="24">
        <v>6.2</v>
      </c>
      <c r="AH532" s="2" t="s">
        <v>183</v>
      </c>
      <c r="AI532" s="2" t="s">
        <v>661</v>
      </c>
      <c r="AJ532" s="2" t="s">
        <v>661</v>
      </c>
      <c r="AK532" s="2" t="s">
        <v>661</v>
      </c>
      <c r="AL532" s="2" t="s">
        <v>661</v>
      </c>
      <c r="AM532" s="2" t="s">
        <v>661</v>
      </c>
      <c r="AN532" s="2" t="s">
        <v>661</v>
      </c>
      <c r="AO532" s="2" t="s">
        <v>661</v>
      </c>
      <c r="AP532" s="15">
        <v>8</v>
      </c>
      <c r="AQ532" s="2" t="s">
        <v>661</v>
      </c>
      <c r="AR532" s="16">
        <v>51.44</v>
      </c>
      <c r="AS532" s="16">
        <v>10.17</v>
      </c>
      <c r="AT532" s="16">
        <v>38.380000000000003</v>
      </c>
      <c r="AU532" s="2" t="s">
        <v>661</v>
      </c>
      <c r="AV532" s="16">
        <f t="shared" si="262"/>
        <v>99.990000000000009</v>
      </c>
      <c r="AW532" s="20">
        <v>0.08</v>
      </c>
      <c r="AX532" s="13">
        <v>8.0000000000000004E-4</v>
      </c>
      <c r="AY532" s="8" t="s">
        <v>184</v>
      </c>
      <c r="AZ532" s="16">
        <v>100</v>
      </c>
      <c r="BA532" s="16" t="s">
        <v>55</v>
      </c>
      <c r="BB532" s="16">
        <v>5</v>
      </c>
      <c r="BC532" s="16" t="s">
        <v>55</v>
      </c>
      <c r="BD532" s="20">
        <v>16.87</v>
      </c>
      <c r="BE532" s="15">
        <f t="shared" si="263"/>
        <v>21087.5</v>
      </c>
      <c r="BF532" s="8">
        <f t="shared" si="233"/>
        <v>4.3240250955971815</v>
      </c>
      <c r="BG532" s="8">
        <f t="shared" si="264"/>
        <v>1.2271150825891253</v>
      </c>
      <c r="BH532" s="13" t="s">
        <v>841</v>
      </c>
      <c r="BI532" s="9"/>
      <c r="BJ532" s="13"/>
      <c r="BK532" s="9"/>
      <c r="BL532" s="9"/>
      <c r="BM532" s="19"/>
      <c r="BN532" s="19"/>
      <c r="BO532" s="129"/>
    </row>
    <row r="533" spans="1:69" s="46" customFormat="1" x14ac:dyDescent="0.3">
      <c r="A533" s="20">
        <v>531</v>
      </c>
      <c r="B533" s="2" t="s">
        <v>181</v>
      </c>
      <c r="C533" s="2">
        <v>2020</v>
      </c>
      <c r="D533" s="2" t="s">
        <v>203</v>
      </c>
      <c r="E533" s="10" t="s">
        <v>787</v>
      </c>
      <c r="F533" s="20" t="s">
        <v>29</v>
      </c>
      <c r="G533" s="2" t="s">
        <v>59</v>
      </c>
      <c r="H533" s="2" t="str">
        <f>'PFAS Properties'!$B$35</f>
        <v>PFDA</v>
      </c>
      <c r="I533" s="2" t="str">
        <f>'PFAS Properties'!$C$35</f>
        <v>PFCA</v>
      </c>
      <c r="J533" s="2" t="str">
        <f>'PFAS Properties'!$D$35</f>
        <v>C10HF19O2</v>
      </c>
      <c r="K533" s="25">
        <f>'PFAS Properties'!$P$35</f>
        <v>513.96719999999993</v>
      </c>
      <c r="L533" s="2">
        <f>'PFAS Properties'!$X$35</f>
        <v>-0.2</v>
      </c>
      <c r="M533" s="2" t="str">
        <f>'PFAS Properties'!$Y$35</f>
        <v>-</v>
      </c>
      <c r="N533" s="33">
        <v>0</v>
      </c>
      <c r="O533" s="33">
        <v>0</v>
      </c>
      <c r="P533" s="33">
        <v>0</v>
      </c>
      <c r="Q533" s="33">
        <f t="shared" si="266"/>
        <v>0.99999998741074603</v>
      </c>
      <c r="R533" s="33">
        <v>0</v>
      </c>
      <c r="S533" s="33">
        <f t="shared" si="267"/>
        <v>1.258925395945232E-8</v>
      </c>
      <c r="T533" s="8">
        <f t="shared" si="227"/>
        <v>1</v>
      </c>
      <c r="U533" s="33">
        <f t="shared" si="228"/>
        <v>0</v>
      </c>
      <c r="V533" s="33">
        <f t="shared" si="229"/>
        <v>-0.99999998741074603</v>
      </c>
      <c r="W533" s="33">
        <f t="shared" si="230"/>
        <v>512.96720001258916</v>
      </c>
      <c r="X533" s="33">
        <v>96485</v>
      </c>
      <c r="Y533" s="16">
        <f t="shared" si="231"/>
        <v>-188.09194580658942</v>
      </c>
      <c r="Z533" s="16">
        <v>10</v>
      </c>
      <c r="AA533" s="16">
        <v>19</v>
      </c>
      <c r="AB533" s="8">
        <f t="shared" si="232"/>
        <v>0.33240997229916897</v>
      </c>
      <c r="AC533" s="16">
        <f t="shared" si="265"/>
        <v>70.237945145137672</v>
      </c>
      <c r="AD533" s="20">
        <f>'PFAS Properties'!$W$35</f>
        <v>9</v>
      </c>
      <c r="AE533" s="8">
        <f>'PFAS Properties'!$S$35</f>
        <v>0.90308998699194354</v>
      </c>
      <c r="AF533" s="15">
        <f>'PFAS Properties'!$V$35</f>
        <v>6.3</v>
      </c>
      <c r="AG533" s="24">
        <v>7.7</v>
      </c>
      <c r="AH533" s="2" t="s">
        <v>183</v>
      </c>
      <c r="AI533" s="2" t="s">
        <v>661</v>
      </c>
      <c r="AJ533" s="2" t="s">
        <v>661</v>
      </c>
      <c r="AK533" s="2" t="s">
        <v>661</v>
      </c>
      <c r="AL533" s="2" t="s">
        <v>661</v>
      </c>
      <c r="AM533" s="2" t="s">
        <v>661</v>
      </c>
      <c r="AN533" s="2" t="s">
        <v>661</v>
      </c>
      <c r="AO533" s="2" t="s">
        <v>661</v>
      </c>
      <c r="AP533" s="15">
        <v>4.8</v>
      </c>
      <c r="AQ533" s="2" t="s">
        <v>661</v>
      </c>
      <c r="AR533" s="16">
        <v>46</v>
      </c>
      <c r="AS533" s="16">
        <v>37</v>
      </c>
      <c r="AT533" s="16">
        <v>17</v>
      </c>
      <c r="AU533" s="2" t="s">
        <v>661</v>
      </c>
      <c r="AV533" s="16">
        <f t="shared" si="262"/>
        <v>100</v>
      </c>
      <c r="AW533" s="20">
        <v>0.25</v>
      </c>
      <c r="AX533" s="13">
        <v>2.5000000000000001E-3</v>
      </c>
      <c r="AY533" s="13" t="s">
        <v>184</v>
      </c>
      <c r="AZ533" s="16">
        <v>100</v>
      </c>
      <c r="BA533" s="16" t="s">
        <v>55</v>
      </c>
      <c r="BB533" s="16">
        <v>5</v>
      </c>
      <c r="BC533" s="16" t="s">
        <v>55</v>
      </c>
      <c r="BD533" s="18">
        <v>12.3</v>
      </c>
      <c r="BE533" s="15">
        <f t="shared" si="263"/>
        <v>4920</v>
      </c>
      <c r="BF533" s="8">
        <f t="shared" si="233"/>
        <v>3.6919651027673601</v>
      </c>
      <c r="BG533" s="8">
        <f t="shared" si="264"/>
        <v>1.0899051114393981</v>
      </c>
      <c r="BH533" s="13" t="s">
        <v>841</v>
      </c>
      <c r="BI533" s="9"/>
      <c r="BJ533" s="13"/>
      <c r="BK533" s="9"/>
      <c r="BL533" s="9"/>
      <c r="BM533" s="19"/>
      <c r="BN533" s="19"/>
      <c r="BO533" s="129"/>
    </row>
    <row r="534" spans="1:69" s="46" customFormat="1" x14ac:dyDescent="0.3">
      <c r="A534" s="20">
        <v>532</v>
      </c>
      <c r="B534" s="2" t="s">
        <v>181</v>
      </c>
      <c r="C534" s="2">
        <v>2020</v>
      </c>
      <c r="D534" s="2" t="s">
        <v>203</v>
      </c>
      <c r="E534" s="10" t="s">
        <v>787</v>
      </c>
      <c r="F534" s="20" t="s">
        <v>29</v>
      </c>
      <c r="G534" s="2" t="s">
        <v>61</v>
      </c>
      <c r="H534" s="2" t="str">
        <f>'PFAS Properties'!$B$35</f>
        <v>PFDA</v>
      </c>
      <c r="I534" s="2" t="str">
        <f>'PFAS Properties'!$C$35</f>
        <v>PFCA</v>
      </c>
      <c r="J534" s="2" t="str">
        <f>'PFAS Properties'!$D$35</f>
        <v>C10HF19O2</v>
      </c>
      <c r="K534" s="25">
        <f>'PFAS Properties'!$P$35</f>
        <v>513.96719999999993</v>
      </c>
      <c r="L534" s="2">
        <f>'PFAS Properties'!$X$35</f>
        <v>-0.2</v>
      </c>
      <c r="M534" s="2" t="str">
        <f>'PFAS Properties'!$Y$35</f>
        <v>-</v>
      </c>
      <c r="N534" s="33">
        <v>0</v>
      </c>
      <c r="O534" s="33">
        <v>0</v>
      </c>
      <c r="P534" s="33">
        <v>0</v>
      </c>
      <c r="Q534" s="33">
        <f t="shared" si="266"/>
        <v>0.99999997488113634</v>
      </c>
      <c r="R534" s="33">
        <v>0</v>
      </c>
      <c r="S534" s="33">
        <f t="shared" si="267"/>
        <v>2.5118863684138424E-8</v>
      </c>
      <c r="T534" s="8">
        <f t="shared" si="227"/>
        <v>1</v>
      </c>
      <c r="U534" s="33">
        <f t="shared" si="228"/>
        <v>0</v>
      </c>
      <c r="V534" s="33">
        <f t="shared" si="229"/>
        <v>-0.99999997488113634</v>
      </c>
      <c r="W534" s="33">
        <f t="shared" si="230"/>
        <v>512.96720002511881</v>
      </c>
      <c r="X534" s="33">
        <v>96485</v>
      </c>
      <c r="Y534" s="16">
        <f t="shared" si="231"/>
        <v>-188.0919434452764</v>
      </c>
      <c r="Z534" s="16">
        <v>10</v>
      </c>
      <c r="AA534" s="16">
        <v>19</v>
      </c>
      <c r="AB534" s="8">
        <f t="shared" si="232"/>
        <v>0.33240997229916897</v>
      </c>
      <c r="AC534" s="16">
        <f t="shared" si="265"/>
        <v>70.237945145137672</v>
      </c>
      <c r="AD534" s="20">
        <f>'PFAS Properties'!$W$35</f>
        <v>9</v>
      </c>
      <c r="AE534" s="8">
        <f>'PFAS Properties'!$S$35</f>
        <v>0.90308998699194354</v>
      </c>
      <c r="AF534" s="15">
        <f>'PFAS Properties'!$V$35</f>
        <v>6.3</v>
      </c>
      <c r="AG534" s="24">
        <v>7.4</v>
      </c>
      <c r="AH534" s="2" t="s">
        <v>183</v>
      </c>
      <c r="AI534" s="2" t="s">
        <v>661</v>
      </c>
      <c r="AJ534" s="2" t="s">
        <v>661</v>
      </c>
      <c r="AK534" s="2" t="s">
        <v>661</v>
      </c>
      <c r="AL534" s="2" t="s">
        <v>661</v>
      </c>
      <c r="AM534" s="2" t="s">
        <v>661</v>
      </c>
      <c r="AN534" s="2" t="s">
        <v>661</v>
      </c>
      <c r="AO534" s="2" t="s">
        <v>661</v>
      </c>
      <c r="AP534" s="15">
        <v>29.6</v>
      </c>
      <c r="AQ534" s="2" t="s">
        <v>661</v>
      </c>
      <c r="AR534" s="16">
        <v>39.799999999999997</v>
      </c>
      <c r="AS534" s="16">
        <v>7.7</v>
      </c>
      <c r="AT534" s="16">
        <v>52.5</v>
      </c>
      <c r="AU534" s="2" t="s">
        <v>661</v>
      </c>
      <c r="AV534" s="16">
        <f t="shared" si="262"/>
        <v>100</v>
      </c>
      <c r="AW534" s="20">
        <v>2.23</v>
      </c>
      <c r="AX534" s="13">
        <v>2.23E-2</v>
      </c>
      <c r="AY534" s="8" t="s">
        <v>184</v>
      </c>
      <c r="AZ534" s="16">
        <v>100</v>
      </c>
      <c r="BA534" s="16" t="s">
        <v>55</v>
      </c>
      <c r="BB534" s="16">
        <v>5</v>
      </c>
      <c r="BC534" s="16" t="s">
        <v>55</v>
      </c>
      <c r="BD534" s="20">
        <v>8.52</v>
      </c>
      <c r="BE534" s="15">
        <f t="shared" si="263"/>
        <v>382.06278026905829</v>
      </c>
      <c r="BF534" s="8">
        <f t="shared" si="233"/>
        <v>2.5821347317185395</v>
      </c>
      <c r="BG534" s="8">
        <f t="shared" si="264"/>
        <v>0.93043959476670013</v>
      </c>
      <c r="BH534" s="13" t="s">
        <v>841</v>
      </c>
      <c r="BI534" s="9"/>
      <c r="BJ534" s="13"/>
      <c r="BK534" s="9"/>
      <c r="BL534" s="9"/>
      <c r="BM534" s="19"/>
      <c r="BN534" s="19"/>
      <c r="BO534" s="129"/>
    </row>
    <row r="535" spans="1:69" s="46" customFormat="1" x14ac:dyDescent="0.3">
      <c r="A535" s="20">
        <v>533</v>
      </c>
      <c r="B535" s="2" t="s">
        <v>181</v>
      </c>
      <c r="C535" s="2">
        <v>2020</v>
      </c>
      <c r="D535" s="2" t="s">
        <v>203</v>
      </c>
      <c r="E535" s="10" t="s">
        <v>787</v>
      </c>
      <c r="F535" s="20" t="s">
        <v>29</v>
      </c>
      <c r="G535" s="2" t="s">
        <v>60</v>
      </c>
      <c r="H535" s="2" t="str">
        <f>'PFAS Properties'!$B$35</f>
        <v>PFDA</v>
      </c>
      <c r="I535" s="2" t="str">
        <f>'PFAS Properties'!$C$35</f>
        <v>PFCA</v>
      </c>
      <c r="J535" s="2" t="str">
        <f>'PFAS Properties'!$D$35</f>
        <v>C10HF19O2</v>
      </c>
      <c r="K535" s="25">
        <f>'PFAS Properties'!$P$35</f>
        <v>513.96719999999993</v>
      </c>
      <c r="L535" s="2">
        <f>'PFAS Properties'!$X$35</f>
        <v>-0.2</v>
      </c>
      <c r="M535" s="2" t="str">
        <f>'PFAS Properties'!$Y$35</f>
        <v>-</v>
      </c>
      <c r="N535" s="33">
        <v>0</v>
      </c>
      <c r="O535" s="33">
        <v>0</v>
      </c>
      <c r="P535" s="33">
        <v>0</v>
      </c>
      <c r="Q535" s="33">
        <f t="shared" si="266"/>
        <v>0.99999998741074603</v>
      </c>
      <c r="R535" s="33">
        <v>0</v>
      </c>
      <c r="S535" s="33">
        <f t="shared" si="267"/>
        <v>1.258925395945232E-8</v>
      </c>
      <c r="T535" s="8">
        <f t="shared" si="227"/>
        <v>1</v>
      </c>
      <c r="U535" s="33">
        <f t="shared" si="228"/>
        <v>0</v>
      </c>
      <c r="V535" s="33">
        <f t="shared" si="229"/>
        <v>-0.99999998741074603</v>
      </c>
      <c r="W535" s="33">
        <f t="shared" si="230"/>
        <v>512.96720001258916</v>
      </c>
      <c r="X535" s="33">
        <v>96485</v>
      </c>
      <c r="Y535" s="16">
        <f t="shared" si="231"/>
        <v>-188.09194580658942</v>
      </c>
      <c r="Z535" s="16">
        <v>10</v>
      </c>
      <c r="AA535" s="16">
        <v>19</v>
      </c>
      <c r="AB535" s="8">
        <f t="shared" si="232"/>
        <v>0.33240997229916897</v>
      </c>
      <c r="AC535" s="16">
        <f t="shared" si="265"/>
        <v>70.237945145137672</v>
      </c>
      <c r="AD535" s="20">
        <f>'PFAS Properties'!$W$35</f>
        <v>9</v>
      </c>
      <c r="AE535" s="8">
        <f>'PFAS Properties'!$S$35</f>
        <v>0.90308998699194354</v>
      </c>
      <c r="AF535" s="15">
        <f>'PFAS Properties'!$V$35</f>
        <v>6.3</v>
      </c>
      <c r="AG535" s="24">
        <v>7.7</v>
      </c>
      <c r="AH535" s="2" t="s">
        <v>183</v>
      </c>
      <c r="AI535" s="2" t="s">
        <v>661</v>
      </c>
      <c r="AJ535" s="2" t="s">
        <v>661</v>
      </c>
      <c r="AK535" s="2" t="s">
        <v>661</v>
      </c>
      <c r="AL535" s="2" t="s">
        <v>661</v>
      </c>
      <c r="AM535" s="2" t="s">
        <v>661</v>
      </c>
      <c r="AN535" s="2" t="s">
        <v>661</v>
      </c>
      <c r="AO535" s="2" t="s">
        <v>661</v>
      </c>
      <c r="AP535" s="15">
        <v>21.63</v>
      </c>
      <c r="AQ535" s="2" t="s">
        <v>661</v>
      </c>
      <c r="AR535" s="16">
        <v>70</v>
      </c>
      <c r="AS535" s="16">
        <v>11</v>
      </c>
      <c r="AT535" s="16">
        <v>19</v>
      </c>
      <c r="AU535" s="2" t="s">
        <v>661</v>
      </c>
      <c r="AV535" s="16">
        <f t="shared" si="262"/>
        <v>100</v>
      </c>
      <c r="AW535" s="20">
        <v>4.9000000000000004</v>
      </c>
      <c r="AX535" s="13">
        <v>4.9000000000000002E-2</v>
      </c>
      <c r="AY535" s="8" t="s">
        <v>184</v>
      </c>
      <c r="AZ535" s="16">
        <v>100</v>
      </c>
      <c r="BA535" s="16" t="s">
        <v>55</v>
      </c>
      <c r="BB535" s="16">
        <v>5</v>
      </c>
      <c r="BC535" s="16" t="s">
        <v>55</v>
      </c>
      <c r="BD535" s="20">
        <v>45.75</v>
      </c>
      <c r="BE535" s="15">
        <f t="shared" si="263"/>
        <v>933.67346938775506</v>
      </c>
      <c r="BF535" s="8">
        <f t="shared" si="233"/>
        <v>2.9701950183739534</v>
      </c>
      <c r="BG535" s="8">
        <f t="shared" si="264"/>
        <v>1.660391098402467</v>
      </c>
      <c r="BH535" s="13" t="s">
        <v>841</v>
      </c>
      <c r="BI535" s="9"/>
      <c r="BJ535" s="13"/>
      <c r="BK535" s="9"/>
      <c r="BL535" s="9"/>
      <c r="BM535" s="19"/>
      <c r="BN535" s="19"/>
      <c r="BO535" s="129"/>
    </row>
    <row r="536" spans="1:69" s="46" customFormat="1" x14ac:dyDescent="0.3">
      <c r="A536" s="20">
        <v>534</v>
      </c>
      <c r="B536" s="2" t="s">
        <v>181</v>
      </c>
      <c r="C536" s="2">
        <v>2020</v>
      </c>
      <c r="D536" s="2" t="s">
        <v>203</v>
      </c>
      <c r="E536" s="10" t="s">
        <v>787</v>
      </c>
      <c r="F536" s="20" t="s">
        <v>29</v>
      </c>
      <c r="G536" s="2" t="s">
        <v>77</v>
      </c>
      <c r="H536" s="2" t="str">
        <f>'PFAS Properties'!$B$35</f>
        <v>PFDA</v>
      </c>
      <c r="I536" s="2" t="str">
        <f>'PFAS Properties'!$C$35</f>
        <v>PFCA</v>
      </c>
      <c r="J536" s="2" t="str">
        <f>'PFAS Properties'!$D$35</f>
        <v>C10HF19O2</v>
      </c>
      <c r="K536" s="25">
        <f>'PFAS Properties'!$P$35</f>
        <v>513.96719999999993</v>
      </c>
      <c r="L536" s="2">
        <f>'PFAS Properties'!$X$35</f>
        <v>-0.2</v>
      </c>
      <c r="M536" s="2" t="str">
        <f>'PFAS Properties'!$Y$35</f>
        <v>-</v>
      </c>
      <c r="N536" s="33">
        <v>0</v>
      </c>
      <c r="O536" s="33">
        <v>0</v>
      </c>
      <c r="P536" s="33">
        <v>0</v>
      </c>
      <c r="Q536" s="33">
        <f t="shared" si="266"/>
        <v>0.99999998741074603</v>
      </c>
      <c r="R536" s="33">
        <v>0</v>
      </c>
      <c r="S536" s="33">
        <f t="shared" si="267"/>
        <v>1.258925395945232E-8</v>
      </c>
      <c r="T536" s="8">
        <f t="shared" si="227"/>
        <v>1</v>
      </c>
      <c r="U536" s="33">
        <f t="shared" si="228"/>
        <v>0</v>
      </c>
      <c r="V536" s="33">
        <f t="shared" si="229"/>
        <v>-0.99999998741074603</v>
      </c>
      <c r="W536" s="33">
        <f t="shared" si="230"/>
        <v>512.96720001258916</v>
      </c>
      <c r="X536" s="33">
        <v>96485</v>
      </c>
      <c r="Y536" s="16">
        <f t="shared" si="231"/>
        <v>-188.09194580658942</v>
      </c>
      <c r="Z536" s="16">
        <v>10</v>
      </c>
      <c r="AA536" s="16">
        <v>19</v>
      </c>
      <c r="AB536" s="8">
        <f t="shared" si="232"/>
        <v>0.33240997229916897</v>
      </c>
      <c r="AC536" s="16">
        <f t="shared" si="265"/>
        <v>70.237945145137672</v>
      </c>
      <c r="AD536" s="20">
        <f>'PFAS Properties'!$W$35</f>
        <v>9</v>
      </c>
      <c r="AE536" s="8">
        <f>'PFAS Properties'!$S$35</f>
        <v>0.90308998699194354</v>
      </c>
      <c r="AF536" s="15">
        <f>'PFAS Properties'!$V$35</f>
        <v>6.3</v>
      </c>
      <c r="AG536" s="24">
        <v>7.7</v>
      </c>
      <c r="AH536" s="2" t="s">
        <v>183</v>
      </c>
      <c r="AI536" s="2" t="s">
        <v>661</v>
      </c>
      <c r="AJ536" s="2" t="s">
        <v>661</v>
      </c>
      <c r="AK536" s="2" t="s">
        <v>661</v>
      </c>
      <c r="AL536" s="2" t="s">
        <v>661</v>
      </c>
      <c r="AM536" s="2" t="s">
        <v>661</v>
      </c>
      <c r="AN536" s="2" t="s">
        <v>661</v>
      </c>
      <c r="AO536" s="2" t="s">
        <v>661</v>
      </c>
      <c r="AP536" s="15">
        <v>7.8</v>
      </c>
      <c r="AQ536" s="2" t="s">
        <v>661</v>
      </c>
      <c r="AR536" s="16">
        <v>48.9</v>
      </c>
      <c r="AS536" s="16">
        <v>32.6</v>
      </c>
      <c r="AT536" s="16">
        <v>18.5</v>
      </c>
      <c r="AU536" s="2" t="s">
        <v>661</v>
      </c>
      <c r="AV536" s="16">
        <f t="shared" si="262"/>
        <v>100</v>
      </c>
      <c r="AW536" s="20">
        <v>0.13</v>
      </c>
      <c r="AX536" s="13">
        <v>1.2999999999999999E-3</v>
      </c>
      <c r="AY536" s="8" t="s">
        <v>184</v>
      </c>
      <c r="AZ536" s="16">
        <v>100</v>
      </c>
      <c r="BA536" s="16" t="s">
        <v>55</v>
      </c>
      <c r="BB536" s="16">
        <v>5</v>
      </c>
      <c r="BC536" s="16" t="s">
        <v>55</v>
      </c>
      <c r="BD536" s="20">
        <v>7.96</v>
      </c>
      <c r="BE536" s="15">
        <f t="shared" si="263"/>
        <v>6123.0769230769238</v>
      </c>
      <c r="BF536" s="8">
        <f t="shared" si="233"/>
        <v>3.7869697154308324</v>
      </c>
      <c r="BG536" s="8">
        <f t="shared" si="264"/>
        <v>0.90091306773766899</v>
      </c>
      <c r="BH536" s="13" t="s">
        <v>841</v>
      </c>
      <c r="BI536" s="9"/>
      <c r="BJ536" s="13"/>
      <c r="BK536" s="9"/>
      <c r="BL536" s="9"/>
      <c r="BM536" s="19"/>
      <c r="BN536" s="19"/>
      <c r="BO536" s="129"/>
    </row>
    <row r="537" spans="1:69" s="46" customFormat="1" x14ac:dyDescent="0.3">
      <c r="A537" s="20">
        <v>535</v>
      </c>
      <c r="B537" s="2" t="s">
        <v>181</v>
      </c>
      <c r="C537" s="2">
        <v>2020</v>
      </c>
      <c r="D537" s="2" t="s">
        <v>203</v>
      </c>
      <c r="E537" s="10" t="s">
        <v>787</v>
      </c>
      <c r="F537" s="20" t="s">
        <v>29</v>
      </c>
      <c r="G537" s="2" t="s">
        <v>182</v>
      </c>
      <c r="H537" s="2" t="str">
        <f>'PFAS Properties'!$B$35</f>
        <v>PFDA</v>
      </c>
      <c r="I537" s="2" t="str">
        <f>'PFAS Properties'!$C$35</f>
        <v>PFCA</v>
      </c>
      <c r="J537" s="2" t="str">
        <f>'PFAS Properties'!$D$35</f>
        <v>C10HF19O2</v>
      </c>
      <c r="K537" s="25">
        <f>'PFAS Properties'!$P$35</f>
        <v>513.96719999999993</v>
      </c>
      <c r="L537" s="2">
        <f>'PFAS Properties'!$X$35</f>
        <v>-0.2</v>
      </c>
      <c r="M537" s="2" t="str">
        <f>'PFAS Properties'!$Y$35</f>
        <v>-</v>
      </c>
      <c r="N537" s="33">
        <v>0</v>
      </c>
      <c r="O537" s="33">
        <v>0</v>
      </c>
      <c r="P537" s="33">
        <v>0</v>
      </c>
      <c r="Q537" s="33">
        <f t="shared" si="266"/>
        <v>0.99999998004737722</v>
      </c>
      <c r="R537" s="33">
        <v>0</v>
      </c>
      <c r="S537" s="33">
        <f t="shared" si="267"/>
        <v>1.995262275158161E-8</v>
      </c>
      <c r="T537" s="8">
        <f t="shared" si="227"/>
        <v>1</v>
      </c>
      <c r="U537" s="33">
        <f t="shared" si="228"/>
        <v>0</v>
      </c>
      <c r="V537" s="33">
        <f t="shared" si="229"/>
        <v>-0.99999998004737722</v>
      </c>
      <c r="W537" s="33">
        <f t="shared" si="230"/>
        <v>512.96720001995254</v>
      </c>
      <c r="X537" s="33">
        <v>96485</v>
      </c>
      <c r="Y537" s="16">
        <f t="shared" si="231"/>
        <v>-188.09194441889906</v>
      </c>
      <c r="Z537" s="16">
        <v>10</v>
      </c>
      <c r="AA537" s="16">
        <v>19</v>
      </c>
      <c r="AB537" s="8">
        <f t="shared" si="232"/>
        <v>0.33240997229916897</v>
      </c>
      <c r="AC537" s="16">
        <f t="shared" si="265"/>
        <v>70.237945145137672</v>
      </c>
      <c r="AD537" s="20">
        <f>'PFAS Properties'!$W$35</f>
        <v>9</v>
      </c>
      <c r="AE537" s="8">
        <f>'PFAS Properties'!$S$35</f>
        <v>0.90308998699194354</v>
      </c>
      <c r="AF537" s="15">
        <f>'PFAS Properties'!$V$35</f>
        <v>6.3</v>
      </c>
      <c r="AG537" s="24">
        <v>7.5</v>
      </c>
      <c r="AH537" s="2" t="s">
        <v>183</v>
      </c>
      <c r="AI537" s="2" t="s">
        <v>661</v>
      </c>
      <c r="AJ537" s="2" t="s">
        <v>661</v>
      </c>
      <c r="AK537" s="2" t="s">
        <v>661</v>
      </c>
      <c r="AL537" s="2" t="s">
        <v>661</v>
      </c>
      <c r="AM537" s="2" t="s">
        <v>661</v>
      </c>
      <c r="AN537" s="2" t="s">
        <v>661</v>
      </c>
      <c r="AO537" s="2" t="s">
        <v>661</v>
      </c>
      <c r="AP537" s="15">
        <v>2.2799999999999998</v>
      </c>
      <c r="AQ537" s="2" t="s">
        <v>661</v>
      </c>
      <c r="AR537" s="16">
        <v>93</v>
      </c>
      <c r="AS537" s="16">
        <v>1</v>
      </c>
      <c r="AT537" s="16">
        <v>5</v>
      </c>
      <c r="AU537" s="2" t="s">
        <v>661</v>
      </c>
      <c r="AV537" s="16">
        <f t="shared" si="262"/>
        <v>99</v>
      </c>
      <c r="AW537" s="20">
        <v>0.4</v>
      </c>
      <c r="AX537" s="13">
        <v>4.0000000000000001E-3</v>
      </c>
      <c r="AY537" s="8" t="s">
        <v>184</v>
      </c>
      <c r="AZ537" s="16">
        <v>100</v>
      </c>
      <c r="BA537" s="16" t="s">
        <v>55</v>
      </c>
      <c r="BB537" s="16">
        <v>5</v>
      </c>
      <c r="BC537" s="16" t="s">
        <v>55</v>
      </c>
      <c r="BD537" s="20">
        <v>7.53</v>
      </c>
      <c r="BE537" s="15">
        <f t="shared" si="263"/>
        <v>1882.5</v>
      </c>
      <c r="BF537" s="8">
        <f t="shared" si="233"/>
        <v>3.2747349848727381</v>
      </c>
      <c r="BG537" s="8">
        <f t="shared" si="264"/>
        <v>0.87679497620070057</v>
      </c>
      <c r="BH537" s="13" t="s">
        <v>841</v>
      </c>
      <c r="BI537" s="9"/>
      <c r="BJ537" s="13"/>
      <c r="BK537" s="9"/>
      <c r="BL537" s="9"/>
      <c r="BM537" s="19"/>
      <c r="BN537" s="19"/>
      <c r="BO537" s="129"/>
    </row>
    <row r="538" spans="1:69" s="46" customFormat="1" x14ac:dyDescent="0.3">
      <c r="A538" s="20">
        <v>536</v>
      </c>
      <c r="B538" s="2" t="s">
        <v>181</v>
      </c>
      <c r="C538" s="2">
        <v>2020</v>
      </c>
      <c r="D538" s="2" t="s">
        <v>203</v>
      </c>
      <c r="E538" s="10" t="s">
        <v>787</v>
      </c>
      <c r="F538" s="20" t="s">
        <v>29</v>
      </c>
      <c r="G538" s="2" t="s">
        <v>78</v>
      </c>
      <c r="H538" s="2" t="str">
        <f>'PFAS Properties'!$B$35</f>
        <v>PFDA</v>
      </c>
      <c r="I538" s="2" t="str">
        <f>'PFAS Properties'!$C$35</f>
        <v>PFCA</v>
      </c>
      <c r="J538" s="2" t="str">
        <f>'PFAS Properties'!$D$35</f>
        <v>C10HF19O2</v>
      </c>
      <c r="K538" s="25">
        <f>'PFAS Properties'!$P$35</f>
        <v>513.96719999999993</v>
      </c>
      <c r="L538" s="2">
        <f>'PFAS Properties'!$X$35</f>
        <v>-0.2</v>
      </c>
      <c r="M538" s="2" t="str">
        <f>'PFAS Properties'!$Y$35</f>
        <v>-</v>
      </c>
      <c r="N538" s="33">
        <v>0</v>
      </c>
      <c r="O538" s="33">
        <v>0</v>
      </c>
      <c r="P538" s="33">
        <v>0</v>
      </c>
      <c r="Q538" s="33">
        <f t="shared" si="266"/>
        <v>0.99999994988127916</v>
      </c>
      <c r="R538" s="33">
        <v>0</v>
      </c>
      <c r="S538" s="33">
        <f t="shared" si="267"/>
        <v>5.011872085084086E-8</v>
      </c>
      <c r="T538" s="8">
        <f t="shared" si="227"/>
        <v>1</v>
      </c>
      <c r="U538" s="33">
        <f t="shared" si="228"/>
        <v>0</v>
      </c>
      <c r="V538" s="33">
        <f t="shared" si="229"/>
        <v>-0.99999994988127916</v>
      </c>
      <c r="W538" s="33">
        <f t="shared" si="230"/>
        <v>512.96720005011866</v>
      </c>
      <c r="X538" s="33">
        <v>96485</v>
      </c>
      <c r="Y538" s="16">
        <f t="shared" si="231"/>
        <v>-188.09193873383776</v>
      </c>
      <c r="Z538" s="16">
        <v>10</v>
      </c>
      <c r="AA538" s="16">
        <v>19</v>
      </c>
      <c r="AB538" s="8">
        <f t="shared" si="232"/>
        <v>0.33240997229916897</v>
      </c>
      <c r="AC538" s="16">
        <f t="shared" si="265"/>
        <v>70.237945145137672</v>
      </c>
      <c r="AD538" s="20">
        <f>'PFAS Properties'!$W$35</f>
        <v>9</v>
      </c>
      <c r="AE538" s="8">
        <f>'PFAS Properties'!$S$35</f>
        <v>0.90308998699194354</v>
      </c>
      <c r="AF538" s="15">
        <f>'PFAS Properties'!$V$35</f>
        <v>6.3</v>
      </c>
      <c r="AG538" s="24">
        <v>7.1</v>
      </c>
      <c r="AH538" s="2" t="s">
        <v>183</v>
      </c>
      <c r="AI538" s="2" t="s">
        <v>661</v>
      </c>
      <c r="AJ538" s="2" t="s">
        <v>661</v>
      </c>
      <c r="AK538" s="2" t="s">
        <v>661</v>
      </c>
      <c r="AL538" s="2" t="s">
        <v>661</v>
      </c>
      <c r="AM538" s="2" t="s">
        <v>661</v>
      </c>
      <c r="AN538" s="2" t="s">
        <v>661</v>
      </c>
      <c r="AO538" s="2" t="s">
        <v>661</v>
      </c>
      <c r="AP538" s="15">
        <v>17.420000000000002</v>
      </c>
      <c r="AQ538" s="2" t="s">
        <v>661</v>
      </c>
      <c r="AR538" s="16">
        <v>48.86</v>
      </c>
      <c r="AS538" s="16">
        <v>16.05</v>
      </c>
      <c r="AT538" s="16">
        <v>35.090000000000003</v>
      </c>
      <c r="AU538" s="2" t="s">
        <v>661</v>
      </c>
      <c r="AV538" s="16">
        <f t="shared" si="262"/>
        <v>100</v>
      </c>
      <c r="AW538" s="20">
        <v>1.19</v>
      </c>
      <c r="AX538" s="13">
        <v>1.1899999999999999E-2</v>
      </c>
      <c r="AY538" s="8" t="s">
        <v>184</v>
      </c>
      <c r="AZ538" s="16">
        <v>100</v>
      </c>
      <c r="BA538" s="16" t="s">
        <v>55</v>
      </c>
      <c r="BB538" s="16">
        <v>5</v>
      </c>
      <c r="BC538" s="16" t="s">
        <v>55</v>
      </c>
      <c r="BD538" s="20">
        <v>25.34</v>
      </c>
      <c r="BE538" s="15">
        <f t="shared" si="263"/>
        <v>2129.4117647058824</v>
      </c>
      <c r="BF538" s="8">
        <f t="shared" si="233"/>
        <v>3.3282596491548917</v>
      </c>
      <c r="BG538" s="8">
        <f t="shared" si="264"/>
        <v>1.4038066105474225</v>
      </c>
      <c r="BH538" s="13" t="s">
        <v>841</v>
      </c>
      <c r="BI538" s="9"/>
      <c r="BJ538" s="13"/>
      <c r="BK538" s="9"/>
      <c r="BL538" s="9"/>
      <c r="BM538" s="19"/>
      <c r="BN538" s="19"/>
      <c r="BO538" s="129"/>
    </row>
    <row r="539" spans="1:69" s="46" customFormat="1" x14ac:dyDescent="0.3">
      <c r="A539" s="20">
        <v>537</v>
      </c>
      <c r="B539" s="2" t="s">
        <v>181</v>
      </c>
      <c r="C539" s="2">
        <v>2020</v>
      </c>
      <c r="D539" s="2" t="s">
        <v>203</v>
      </c>
      <c r="E539" s="10" t="s">
        <v>787</v>
      </c>
      <c r="F539" s="20" t="s">
        <v>29</v>
      </c>
      <c r="G539" s="2" t="s">
        <v>98</v>
      </c>
      <c r="H539" s="2" t="str">
        <f>'PFAS Properties'!$B$35</f>
        <v>PFDA</v>
      </c>
      <c r="I539" s="2" t="str">
        <f>'PFAS Properties'!$C$35</f>
        <v>PFCA</v>
      </c>
      <c r="J539" s="2" t="str">
        <f>'PFAS Properties'!$D$35</f>
        <v>C10HF19O2</v>
      </c>
      <c r="K539" s="25">
        <f>'PFAS Properties'!$P$35</f>
        <v>513.96719999999993</v>
      </c>
      <c r="L539" s="2">
        <f>'PFAS Properties'!$X$35</f>
        <v>-0.2</v>
      </c>
      <c r="M539" s="2" t="str">
        <f>'PFAS Properties'!$Y$35</f>
        <v>-</v>
      </c>
      <c r="N539" s="33">
        <v>0</v>
      </c>
      <c r="O539" s="33">
        <v>0</v>
      </c>
      <c r="P539" s="33">
        <v>0</v>
      </c>
      <c r="Q539" s="33">
        <f t="shared" si="266"/>
        <v>0.99999974881141995</v>
      </c>
      <c r="R539" s="33">
        <v>0</v>
      </c>
      <c r="S539" s="33">
        <f t="shared" si="267"/>
        <v>2.5118858005523878E-7</v>
      </c>
      <c r="T539" s="8">
        <f t="shared" si="227"/>
        <v>1</v>
      </c>
      <c r="U539" s="33">
        <f t="shared" si="228"/>
        <v>0</v>
      </c>
      <c r="V539" s="33">
        <f t="shared" si="229"/>
        <v>-0.99999974881141995</v>
      </c>
      <c r="W539" s="33">
        <f t="shared" si="230"/>
        <v>512.9672002511885</v>
      </c>
      <c r="X539" s="33">
        <v>96485</v>
      </c>
      <c r="Y539" s="16">
        <f t="shared" si="231"/>
        <v>-188.09190084048907</v>
      </c>
      <c r="Z539" s="16">
        <v>10</v>
      </c>
      <c r="AA539" s="16">
        <v>19</v>
      </c>
      <c r="AB539" s="8">
        <f t="shared" si="232"/>
        <v>0.33240997229916897</v>
      </c>
      <c r="AC539" s="16">
        <f t="shared" si="265"/>
        <v>70.237945145137672</v>
      </c>
      <c r="AD539" s="20">
        <f>'PFAS Properties'!$W$35</f>
        <v>9</v>
      </c>
      <c r="AE539" s="8">
        <f>'PFAS Properties'!$S$35</f>
        <v>0.90308998699194354</v>
      </c>
      <c r="AF539" s="15">
        <f>'PFAS Properties'!$V$35</f>
        <v>6.3</v>
      </c>
      <c r="AG539" s="24">
        <v>6.4</v>
      </c>
      <c r="AH539" s="2" t="s">
        <v>183</v>
      </c>
      <c r="AI539" s="2" t="s">
        <v>661</v>
      </c>
      <c r="AJ539" s="2" t="s">
        <v>661</v>
      </c>
      <c r="AK539" s="2" t="s">
        <v>661</v>
      </c>
      <c r="AL539" s="2" t="s">
        <v>661</v>
      </c>
      <c r="AM539" s="2" t="s">
        <v>661</v>
      </c>
      <c r="AN539" s="2" t="s">
        <v>661</v>
      </c>
      <c r="AO539" s="2" t="s">
        <v>661</v>
      </c>
      <c r="AP539" s="15">
        <v>16.54</v>
      </c>
      <c r="AQ539" s="2" t="s">
        <v>661</v>
      </c>
      <c r="AR539" s="16">
        <v>29.38</v>
      </c>
      <c r="AS539" s="16">
        <v>13.9</v>
      </c>
      <c r="AT539" s="16">
        <v>56.71</v>
      </c>
      <c r="AU539" s="2" t="s">
        <v>661</v>
      </c>
      <c r="AV539" s="16">
        <f t="shared" si="262"/>
        <v>99.990000000000009</v>
      </c>
      <c r="AW539" s="20">
        <v>0.17</v>
      </c>
      <c r="AX539" s="13">
        <v>1.7000000000000001E-3</v>
      </c>
      <c r="AY539" s="8" t="s">
        <v>184</v>
      </c>
      <c r="AZ539" s="16">
        <v>100</v>
      </c>
      <c r="BA539" s="16" t="s">
        <v>55</v>
      </c>
      <c r="BB539" s="16">
        <v>5</v>
      </c>
      <c r="BC539" s="16" t="s">
        <v>55</v>
      </c>
      <c r="BD539" s="20">
        <v>11.46</v>
      </c>
      <c r="BE539" s="15">
        <f t="shared" si="263"/>
        <v>6741.1764705882351</v>
      </c>
      <c r="BF539" s="8">
        <f t="shared" si="233"/>
        <v>3.8287356962530974</v>
      </c>
      <c r="BG539" s="8">
        <f t="shared" si="264"/>
        <v>1.0591846176313713</v>
      </c>
      <c r="BH539" s="13" t="s">
        <v>841</v>
      </c>
      <c r="BI539" s="9"/>
      <c r="BJ539" s="13"/>
      <c r="BK539" s="9"/>
      <c r="BL539" s="9"/>
      <c r="BM539" s="19"/>
      <c r="BN539" s="19"/>
      <c r="BO539" s="129"/>
    </row>
    <row r="540" spans="1:69" s="14" customFormat="1" x14ac:dyDescent="0.3">
      <c r="A540" s="20">
        <v>538</v>
      </c>
      <c r="B540" s="2" t="s">
        <v>204</v>
      </c>
      <c r="C540" s="2">
        <v>2013</v>
      </c>
      <c r="D540" s="2" t="s">
        <v>203</v>
      </c>
      <c r="E540" s="22" t="s">
        <v>792</v>
      </c>
      <c r="F540" s="20" t="s">
        <v>29</v>
      </c>
      <c r="G540" s="2" t="s">
        <v>46</v>
      </c>
      <c r="H540" s="2" t="str">
        <f>'PFAS Properties'!$B$36</f>
        <v>PFUnA</v>
      </c>
      <c r="I540" s="2" t="str">
        <f>'PFAS Properties'!$C$36</f>
        <v>PFCA</v>
      </c>
      <c r="J540" s="2" t="str">
        <f>'PFAS Properties'!$D$36</f>
        <v>C11HF21O2</v>
      </c>
      <c r="K540" s="25">
        <f>'PFAS Properties'!$P$36</f>
        <v>563.96399999999994</v>
      </c>
      <c r="L540" s="2">
        <f>'PFAS Properties'!$X$36</f>
        <v>-0.2</v>
      </c>
      <c r="M540" s="2" t="str">
        <f>'PFAS Properties'!$Y$36</f>
        <v>-</v>
      </c>
      <c r="N540" s="33">
        <v>0</v>
      </c>
      <c r="O540" s="33">
        <v>0</v>
      </c>
      <c r="P540" s="33">
        <v>0</v>
      </c>
      <c r="Q540" s="33">
        <f t="shared" si="266"/>
        <v>0.99999999000000006</v>
      </c>
      <c r="R540" s="33">
        <v>0</v>
      </c>
      <c r="S540" s="33">
        <f t="shared" si="267"/>
        <v>9.9999999000000002E-9</v>
      </c>
      <c r="T540" s="8">
        <f t="shared" ref="T540:T603" si="268">SUM(N540:S540)</f>
        <v>1</v>
      </c>
      <c r="U540" s="33">
        <f t="shared" ref="U540:U603" si="269">((1*N540)+(1*O540)+(1*P540))</f>
        <v>0</v>
      </c>
      <c r="V540" s="33">
        <f t="shared" ref="V540:V603" si="270">-((1*O540)+(2*P540)+(1*Q540)+(2*R540))</f>
        <v>-0.99999999000000006</v>
      </c>
      <c r="W540" s="33">
        <f t="shared" ref="W540:W603" si="271">(N540*(K540+1))+(O540*K540)+(P540*(K540-1))+(Q540*(K540-1))+(R540*(K540-2))+(S540*K540)</f>
        <v>562.96400000999995</v>
      </c>
      <c r="X540" s="33">
        <v>96485</v>
      </c>
      <c r="Y540" s="16">
        <f t="shared" ref="Y540:Y603" si="272">((V540+U540)/W540)*X540</f>
        <v>-171.38751151660878</v>
      </c>
      <c r="Z540" s="16">
        <v>11</v>
      </c>
      <c r="AA540" s="16">
        <v>21</v>
      </c>
      <c r="AB540" s="8">
        <f t="shared" ref="AB540:AB603" si="273">(Z540/AA540)*(12/19)</f>
        <v>0.33082706766917291</v>
      </c>
      <c r="AC540" s="16">
        <f t="shared" si="265"/>
        <v>70.749196757239829</v>
      </c>
      <c r="AD540" s="20">
        <f>'PFAS Properties'!$W$36</f>
        <v>10</v>
      </c>
      <c r="AE540" s="8">
        <f>'PFAS Properties'!$S$36</f>
        <v>8.6001717619175692E-3</v>
      </c>
      <c r="AF540" s="15">
        <f>'PFAS Properties'!$V$36</f>
        <v>6.9</v>
      </c>
      <c r="AG540" s="24">
        <v>7.8</v>
      </c>
      <c r="AH540" s="2" t="s">
        <v>661</v>
      </c>
      <c r="AI540" s="15">
        <v>6.14</v>
      </c>
      <c r="AJ540" s="16">
        <f>AI540/10</f>
        <v>0.61399999999999999</v>
      </c>
      <c r="AK540" s="8">
        <f t="shared" ref="AK540:AK555" si="274">AI540/10</f>
        <v>0.61399999999999999</v>
      </c>
      <c r="AL540" s="15">
        <v>1.67</v>
      </c>
      <c r="AM540" s="16">
        <f>AL540/10</f>
        <v>0.16699999999999998</v>
      </c>
      <c r="AN540" s="8">
        <f t="shared" ref="AN540:AN555" si="275">AL540/10</f>
        <v>0.16699999999999998</v>
      </c>
      <c r="AO540" s="15" t="s">
        <v>41</v>
      </c>
      <c r="AP540" s="72">
        <v>6.4956666666666676</v>
      </c>
      <c r="AQ540" s="70" t="s">
        <v>752</v>
      </c>
      <c r="AR540" s="16">
        <v>33</v>
      </c>
      <c r="AS540" s="16">
        <v>42</v>
      </c>
      <c r="AT540" s="16">
        <v>25</v>
      </c>
      <c r="AU540" s="16" t="s">
        <v>661</v>
      </c>
      <c r="AV540" s="16">
        <f t="shared" si="262"/>
        <v>100</v>
      </c>
      <c r="AW540" s="18">
        <v>1.7</v>
      </c>
      <c r="AX540" s="13">
        <f t="shared" ref="AX540:AX560" si="276">AW540/100</f>
        <v>1.7000000000000001E-2</v>
      </c>
      <c r="AY540" s="13" t="s">
        <v>42</v>
      </c>
      <c r="AZ540" s="16">
        <f>15/0.04</f>
        <v>375</v>
      </c>
      <c r="BA540" s="16" t="s">
        <v>55</v>
      </c>
      <c r="BB540" s="15">
        <v>0.5</v>
      </c>
      <c r="BC540" s="16">
        <v>1000</v>
      </c>
      <c r="BD540" s="18">
        <v>36.409999999999997</v>
      </c>
      <c r="BE540" s="15">
        <f t="shared" si="263"/>
        <v>2141.7647058823527</v>
      </c>
      <c r="BF540" s="8">
        <f t="shared" ref="BF540:BF603" si="277">LOG(BE540)</f>
        <v>3.3307717575556697</v>
      </c>
      <c r="BG540" s="8">
        <f t="shared" si="264"/>
        <v>1.5612206789339438</v>
      </c>
      <c r="BH540" s="5" t="s">
        <v>844</v>
      </c>
      <c r="BI540" s="13"/>
      <c r="BJ540" s="13"/>
      <c r="BK540" s="8"/>
      <c r="BL540" s="8"/>
      <c r="BM540" s="18"/>
      <c r="BN540" s="8"/>
      <c r="BO540" s="24"/>
    </row>
    <row r="541" spans="1:69" s="14" customFormat="1" x14ac:dyDescent="0.3">
      <c r="A541" s="20">
        <v>539</v>
      </c>
      <c r="B541" s="2" t="s">
        <v>690</v>
      </c>
      <c r="C541" s="2">
        <v>2023</v>
      </c>
      <c r="D541" s="2" t="s">
        <v>199</v>
      </c>
      <c r="E541" s="10" t="s">
        <v>803</v>
      </c>
      <c r="F541" s="20" t="s">
        <v>29</v>
      </c>
      <c r="G541" s="2" t="s">
        <v>691</v>
      </c>
      <c r="H541" s="2" t="str">
        <f>'PFAS Properties'!$B$36</f>
        <v>PFUnA</v>
      </c>
      <c r="I541" s="2" t="str">
        <f>'PFAS Properties'!$C$36</f>
        <v>PFCA</v>
      </c>
      <c r="J541" s="2" t="str">
        <f>'PFAS Properties'!$D$36</f>
        <v>C11HF21O2</v>
      </c>
      <c r="K541" s="25">
        <f>'PFAS Properties'!$P$36</f>
        <v>563.96399999999994</v>
      </c>
      <c r="L541" s="2">
        <f>'PFAS Properties'!$X$36</f>
        <v>-0.2</v>
      </c>
      <c r="M541" s="2" t="str">
        <f>'PFAS Properties'!$Y$36</f>
        <v>-</v>
      </c>
      <c r="N541" s="33">
        <v>0</v>
      </c>
      <c r="O541" s="33">
        <v>0</v>
      </c>
      <c r="P541" s="33">
        <v>0</v>
      </c>
      <c r="Q541" s="33">
        <f t="shared" si="266"/>
        <v>0.9999992056723962</v>
      </c>
      <c r="R541" s="33">
        <v>0</v>
      </c>
      <c r="S541" s="33">
        <f t="shared" si="267"/>
        <v>7.9432760376743655E-7</v>
      </c>
      <c r="T541" s="8">
        <f t="shared" si="268"/>
        <v>1</v>
      </c>
      <c r="U541" s="33">
        <f t="shared" si="269"/>
        <v>0</v>
      </c>
      <c r="V541" s="33">
        <f t="shared" si="270"/>
        <v>-0.9999992056723962</v>
      </c>
      <c r="W541" s="33">
        <f t="shared" si="271"/>
        <v>562.9640007943276</v>
      </c>
      <c r="X541" s="33">
        <v>96485</v>
      </c>
      <c r="Y541" s="16">
        <f t="shared" si="272"/>
        <v>-171.38737685387238</v>
      </c>
      <c r="Z541" s="16">
        <v>11</v>
      </c>
      <c r="AA541" s="16">
        <v>21</v>
      </c>
      <c r="AB541" s="8">
        <f t="shared" si="273"/>
        <v>0.33082706766917291</v>
      </c>
      <c r="AC541" s="16">
        <f t="shared" si="265"/>
        <v>70.749196757239829</v>
      </c>
      <c r="AD541" s="20">
        <f>'PFAS Properties'!$W$36</f>
        <v>10</v>
      </c>
      <c r="AE541" s="8">
        <f>'PFAS Properties'!$S$36</f>
        <v>8.6001717619175692E-3</v>
      </c>
      <c r="AF541" s="15">
        <f>'PFAS Properties'!$V$36</f>
        <v>6.9</v>
      </c>
      <c r="AG541" s="24">
        <v>5.9</v>
      </c>
      <c r="AH541" s="2" t="s">
        <v>701</v>
      </c>
      <c r="AI541" s="15">
        <f t="shared" ref="AI541:AI550" si="278">AJ541*55.845/1000</f>
        <v>10.052100000000001</v>
      </c>
      <c r="AJ541" s="16">
        <v>180</v>
      </c>
      <c r="AK541" s="8">
        <f t="shared" si="274"/>
        <v>1.0052100000000002</v>
      </c>
      <c r="AL541" s="15">
        <f t="shared" ref="AL541:AL550" si="279">AM541*26.982/1000</f>
        <v>1.3491</v>
      </c>
      <c r="AM541" s="16">
        <v>50</v>
      </c>
      <c r="AN541" s="8">
        <f t="shared" si="275"/>
        <v>0.13491</v>
      </c>
      <c r="AO541" s="15" t="s">
        <v>705</v>
      </c>
      <c r="AP541" s="15">
        <v>20</v>
      </c>
      <c r="AQ541" s="15" t="s">
        <v>702</v>
      </c>
      <c r="AR541" s="2">
        <v>4.2</v>
      </c>
      <c r="AS541" s="2">
        <v>53</v>
      </c>
      <c r="AT541" s="2">
        <v>43</v>
      </c>
      <c r="AU541" s="2" t="s">
        <v>703</v>
      </c>
      <c r="AV541" s="16">
        <f t="shared" si="262"/>
        <v>100.2</v>
      </c>
      <c r="AW541" s="18">
        <v>3.1</v>
      </c>
      <c r="AX541" s="13">
        <f t="shared" si="276"/>
        <v>3.1E-2</v>
      </c>
      <c r="AY541" s="8" t="s">
        <v>704</v>
      </c>
      <c r="AZ541" s="16">
        <v>10</v>
      </c>
      <c r="BA541" s="16" t="s">
        <v>55</v>
      </c>
      <c r="BB541" s="16" t="s">
        <v>55</v>
      </c>
      <c r="BC541" s="16" t="s">
        <v>55</v>
      </c>
      <c r="BD541" s="24">
        <f t="shared" ref="BD541:BD550" si="280">10^BG541</f>
        <v>125.89254117941677</v>
      </c>
      <c r="BE541" s="16">
        <f t="shared" si="263"/>
        <v>4061.049715465057</v>
      </c>
      <c r="BF541" s="16">
        <f t="shared" si="277"/>
        <v>3.6086383061657274</v>
      </c>
      <c r="BG541" s="8">
        <v>2.1</v>
      </c>
      <c r="BH541" s="15" t="s">
        <v>846</v>
      </c>
      <c r="BI541" s="8"/>
      <c r="BJ541" s="13"/>
      <c r="BK541" s="16"/>
      <c r="BL541" s="16"/>
      <c r="BM541" s="16"/>
      <c r="BN541" s="16"/>
      <c r="BO541" s="2"/>
    </row>
    <row r="542" spans="1:69" x14ac:dyDescent="0.3">
      <c r="A542" s="20">
        <v>540</v>
      </c>
      <c r="B542" s="2" t="s">
        <v>690</v>
      </c>
      <c r="C542" s="2">
        <v>2023</v>
      </c>
      <c r="D542" s="2" t="s">
        <v>199</v>
      </c>
      <c r="E542" s="10" t="s">
        <v>803</v>
      </c>
      <c r="F542" s="20" t="s">
        <v>29</v>
      </c>
      <c r="G542" s="2" t="s">
        <v>692</v>
      </c>
      <c r="H542" s="2" t="str">
        <f>'PFAS Properties'!$B$36</f>
        <v>PFUnA</v>
      </c>
      <c r="I542" s="2" t="str">
        <f>'PFAS Properties'!$C$36</f>
        <v>PFCA</v>
      </c>
      <c r="J542" s="2" t="str">
        <f>'PFAS Properties'!$D$36</f>
        <v>C11HF21O2</v>
      </c>
      <c r="K542" s="25">
        <f>'PFAS Properties'!$P$36</f>
        <v>563.96399999999994</v>
      </c>
      <c r="L542" s="2">
        <f>'PFAS Properties'!$X$36</f>
        <v>-0.2</v>
      </c>
      <c r="M542" s="2" t="str">
        <f>'PFAS Properties'!$Y$36</f>
        <v>-</v>
      </c>
      <c r="N542" s="33">
        <v>0</v>
      </c>
      <c r="O542" s="33">
        <v>0</v>
      </c>
      <c r="P542" s="33">
        <v>0</v>
      </c>
      <c r="Q542" s="33">
        <f t="shared" si="266"/>
        <v>0.99999800474166611</v>
      </c>
      <c r="R542" s="33">
        <v>0</v>
      </c>
      <c r="S542" s="33">
        <f t="shared" si="267"/>
        <v>1.9952583339051124E-6</v>
      </c>
      <c r="T542" s="8">
        <f t="shared" si="268"/>
        <v>1</v>
      </c>
      <c r="U542" s="33">
        <f t="shared" si="269"/>
        <v>0</v>
      </c>
      <c r="V542" s="33">
        <f t="shared" si="270"/>
        <v>-0.99999800474166611</v>
      </c>
      <c r="W542" s="33">
        <f t="shared" si="271"/>
        <v>562.96400199525829</v>
      </c>
      <c r="X542" s="33">
        <v>96485</v>
      </c>
      <c r="Y542" s="16">
        <f t="shared" si="272"/>
        <v>-171.38717066373337</v>
      </c>
      <c r="Z542" s="16">
        <v>11</v>
      </c>
      <c r="AA542" s="16">
        <v>21</v>
      </c>
      <c r="AB542" s="8">
        <f t="shared" si="273"/>
        <v>0.33082706766917291</v>
      </c>
      <c r="AC542" s="16">
        <f t="shared" si="265"/>
        <v>70.749196757239829</v>
      </c>
      <c r="AD542" s="20">
        <f>'PFAS Properties'!$W$36</f>
        <v>10</v>
      </c>
      <c r="AE542" s="8">
        <f>'PFAS Properties'!$S$36</f>
        <v>8.6001717619175692E-3</v>
      </c>
      <c r="AF542" s="15">
        <f>'PFAS Properties'!$V$36</f>
        <v>6.9</v>
      </c>
      <c r="AG542" s="26">
        <v>5.5</v>
      </c>
      <c r="AH542" s="2" t="s">
        <v>701</v>
      </c>
      <c r="AI542" s="15">
        <f t="shared" si="278"/>
        <v>7.2598499999999992</v>
      </c>
      <c r="AJ542" s="16">
        <v>130</v>
      </c>
      <c r="AK542" s="8">
        <f t="shared" si="274"/>
        <v>0.72598499999999988</v>
      </c>
      <c r="AL542" s="15">
        <f t="shared" si="279"/>
        <v>13.491</v>
      </c>
      <c r="AM542" s="16">
        <v>500</v>
      </c>
      <c r="AN542" s="8">
        <f t="shared" si="275"/>
        <v>1.3491</v>
      </c>
      <c r="AO542" s="15" t="s">
        <v>705</v>
      </c>
      <c r="AP542" s="15">
        <v>1</v>
      </c>
      <c r="AQ542" s="15" t="s">
        <v>702</v>
      </c>
      <c r="AR542" s="4">
        <v>54</v>
      </c>
      <c r="AS542" s="4">
        <v>42</v>
      </c>
      <c r="AT542" s="4">
        <v>4</v>
      </c>
      <c r="AU542" s="2" t="s">
        <v>703</v>
      </c>
      <c r="AV542" s="16">
        <f t="shared" si="262"/>
        <v>100</v>
      </c>
      <c r="AW542" s="27">
        <v>2.2000000000000002</v>
      </c>
      <c r="AX542" s="13">
        <f t="shared" si="276"/>
        <v>2.2000000000000002E-2</v>
      </c>
      <c r="AY542" s="8" t="s">
        <v>704</v>
      </c>
      <c r="AZ542" s="16">
        <v>10</v>
      </c>
      <c r="BA542" s="16" t="s">
        <v>55</v>
      </c>
      <c r="BB542" s="16" t="s">
        <v>55</v>
      </c>
      <c r="BC542" s="16" t="s">
        <v>55</v>
      </c>
      <c r="BD542" s="24">
        <f t="shared" si="280"/>
        <v>134.89628825916537</v>
      </c>
      <c r="BE542" s="16">
        <f t="shared" si="263"/>
        <v>6131.6494663256981</v>
      </c>
      <c r="BF542" s="16">
        <f t="shared" si="277"/>
        <v>3.7875773191777937</v>
      </c>
      <c r="BG542" s="8">
        <f>(2.53+1.73)/2</f>
        <v>2.13</v>
      </c>
      <c r="BH542" s="15" t="s">
        <v>847</v>
      </c>
      <c r="BI542" s="1"/>
      <c r="BJ542" s="2"/>
      <c r="BK542" s="1"/>
      <c r="BL542" s="1"/>
      <c r="BM542" s="7"/>
      <c r="BN542" s="7"/>
      <c r="BO542" s="1"/>
      <c r="BP542" s="11"/>
      <c r="BQ542" s="11"/>
    </row>
    <row r="543" spans="1:69" x14ac:dyDescent="0.3">
      <c r="A543" s="20">
        <v>541</v>
      </c>
      <c r="B543" s="2" t="s">
        <v>690</v>
      </c>
      <c r="C543" s="2">
        <v>2023</v>
      </c>
      <c r="D543" s="2" t="s">
        <v>199</v>
      </c>
      <c r="E543" s="10" t="s">
        <v>803</v>
      </c>
      <c r="F543" s="20" t="s">
        <v>29</v>
      </c>
      <c r="G543" s="2" t="s">
        <v>694</v>
      </c>
      <c r="H543" s="2" t="str">
        <f>'PFAS Properties'!$B$36</f>
        <v>PFUnA</v>
      </c>
      <c r="I543" s="2" t="str">
        <f>'PFAS Properties'!$C$36</f>
        <v>PFCA</v>
      </c>
      <c r="J543" s="2" t="str">
        <f>'PFAS Properties'!$D$36</f>
        <v>C11HF21O2</v>
      </c>
      <c r="K543" s="25">
        <f>'PFAS Properties'!$P$36</f>
        <v>563.96399999999994</v>
      </c>
      <c r="L543" s="2">
        <f>'PFAS Properties'!$X$36</f>
        <v>-0.2</v>
      </c>
      <c r="M543" s="2" t="str">
        <f>'PFAS Properties'!$Y$36</f>
        <v>-</v>
      </c>
      <c r="N543" s="33">
        <v>0</v>
      </c>
      <c r="O543" s="33">
        <v>0</v>
      </c>
      <c r="P543" s="33">
        <v>0</v>
      </c>
      <c r="Q543" s="33">
        <f t="shared" si="266"/>
        <v>0.99999999601892831</v>
      </c>
      <c r="R543" s="33">
        <v>0</v>
      </c>
      <c r="S543" s="33">
        <f t="shared" si="267"/>
        <v>3.9810716896860486E-9</v>
      </c>
      <c r="T543" s="8">
        <f t="shared" si="268"/>
        <v>1</v>
      </c>
      <c r="U543" s="33">
        <f t="shared" si="269"/>
        <v>0</v>
      </c>
      <c r="V543" s="33">
        <f t="shared" si="270"/>
        <v>-0.99999999601892831</v>
      </c>
      <c r="W543" s="33">
        <f t="shared" si="271"/>
        <v>562.96400000398103</v>
      </c>
      <c r="X543" s="33">
        <v>96485</v>
      </c>
      <c r="Y543" s="16">
        <f t="shared" si="272"/>
        <v>-171.38751255001029</v>
      </c>
      <c r="Z543" s="16">
        <v>11</v>
      </c>
      <c r="AA543" s="16">
        <v>21</v>
      </c>
      <c r="AB543" s="8">
        <f t="shared" si="273"/>
        <v>0.33082706766917291</v>
      </c>
      <c r="AC543" s="16">
        <f t="shared" si="265"/>
        <v>70.749196757239829</v>
      </c>
      <c r="AD543" s="20">
        <f>'PFAS Properties'!$W$36</f>
        <v>10</v>
      </c>
      <c r="AE543" s="8">
        <f>'PFAS Properties'!$S$36</f>
        <v>8.6001717619175692E-3</v>
      </c>
      <c r="AF543" s="15">
        <f>'PFAS Properties'!$V$36</f>
        <v>6.9</v>
      </c>
      <c r="AG543" s="26">
        <v>8.1999999999999993</v>
      </c>
      <c r="AH543" s="2" t="s">
        <v>701</v>
      </c>
      <c r="AI543" s="15">
        <f t="shared" si="278"/>
        <v>1.89873</v>
      </c>
      <c r="AJ543" s="16">
        <v>34</v>
      </c>
      <c r="AK543" s="8">
        <f t="shared" si="274"/>
        <v>0.18987300000000001</v>
      </c>
      <c r="AL543" s="15">
        <f t="shared" si="279"/>
        <v>0.75549599999999995</v>
      </c>
      <c r="AM543" s="16">
        <v>28</v>
      </c>
      <c r="AN543" s="8">
        <f t="shared" si="275"/>
        <v>7.5549599999999995E-2</v>
      </c>
      <c r="AO543" s="15" t="s">
        <v>705</v>
      </c>
      <c r="AP543" s="15">
        <v>15</v>
      </c>
      <c r="AQ543" s="15" t="s">
        <v>702</v>
      </c>
      <c r="AR543" s="4">
        <v>27</v>
      </c>
      <c r="AS543" s="4">
        <v>56</v>
      </c>
      <c r="AT543" s="4">
        <v>16</v>
      </c>
      <c r="AU543" s="2" t="s">
        <v>703</v>
      </c>
      <c r="AV543" s="16">
        <f t="shared" si="262"/>
        <v>99</v>
      </c>
      <c r="AW543" s="27">
        <v>1.6</v>
      </c>
      <c r="AX543" s="13">
        <f t="shared" si="276"/>
        <v>1.6E-2</v>
      </c>
      <c r="AY543" s="8" t="s">
        <v>704</v>
      </c>
      <c r="AZ543" s="16">
        <v>10</v>
      </c>
      <c r="BA543" s="16" t="s">
        <v>55</v>
      </c>
      <c r="BB543" s="16" t="s">
        <v>55</v>
      </c>
      <c r="BC543" s="16" t="s">
        <v>55</v>
      </c>
      <c r="BD543" s="24">
        <f t="shared" si="280"/>
        <v>28.183829312644548</v>
      </c>
      <c r="BE543" s="16">
        <f t="shared" si="263"/>
        <v>1761.4893320402841</v>
      </c>
      <c r="BF543" s="16">
        <f t="shared" si="277"/>
        <v>3.2458800173440752</v>
      </c>
      <c r="BG543" s="8">
        <v>1.45</v>
      </c>
      <c r="BH543" s="15" t="s">
        <v>848</v>
      </c>
      <c r="BI543" s="1"/>
      <c r="BJ543" s="2"/>
      <c r="BK543" s="1"/>
      <c r="BL543" s="1"/>
      <c r="BM543" s="7"/>
      <c r="BN543" s="7"/>
      <c r="BO543" s="1"/>
      <c r="BP543" s="11"/>
      <c r="BQ543" s="11"/>
    </row>
    <row r="544" spans="1:69" x14ac:dyDescent="0.3">
      <c r="A544" s="20">
        <v>542</v>
      </c>
      <c r="B544" s="2" t="s">
        <v>690</v>
      </c>
      <c r="C544" s="2">
        <v>2023</v>
      </c>
      <c r="D544" s="2" t="s">
        <v>199</v>
      </c>
      <c r="E544" s="10" t="s">
        <v>803</v>
      </c>
      <c r="F544" s="20" t="s">
        <v>29</v>
      </c>
      <c r="G544" s="2" t="s">
        <v>693</v>
      </c>
      <c r="H544" s="2" t="str">
        <f>'PFAS Properties'!$B$36</f>
        <v>PFUnA</v>
      </c>
      <c r="I544" s="2" t="str">
        <f>'PFAS Properties'!$C$36</f>
        <v>PFCA</v>
      </c>
      <c r="J544" s="2" t="str">
        <f>'PFAS Properties'!$D$36</f>
        <v>C11HF21O2</v>
      </c>
      <c r="K544" s="25">
        <f>'PFAS Properties'!$P$36</f>
        <v>563.96399999999994</v>
      </c>
      <c r="L544" s="2">
        <f>'PFAS Properties'!$X$36</f>
        <v>-0.2</v>
      </c>
      <c r="M544" s="2" t="str">
        <f>'PFAS Properties'!$Y$36</f>
        <v>-</v>
      </c>
      <c r="N544" s="33">
        <v>0</v>
      </c>
      <c r="O544" s="33">
        <v>0</v>
      </c>
      <c r="P544" s="33">
        <v>0</v>
      </c>
      <c r="Q544" s="33">
        <f t="shared" si="266"/>
        <v>0.99999800474166611</v>
      </c>
      <c r="R544" s="33">
        <v>0</v>
      </c>
      <c r="S544" s="33">
        <f t="shared" si="267"/>
        <v>1.9952583339051124E-6</v>
      </c>
      <c r="T544" s="8">
        <f t="shared" si="268"/>
        <v>1</v>
      </c>
      <c r="U544" s="33">
        <f t="shared" si="269"/>
        <v>0</v>
      </c>
      <c r="V544" s="33">
        <f t="shared" si="270"/>
        <v>-0.99999800474166611</v>
      </c>
      <c r="W544" s="33">
        <f t="shared" si="271"/>
        <v>562.96400199525829</v>
      </c>
      <c r="X544" s="33">
        <v>96485</v>
      </c>
      <c r="Y544" s="16">
        <f t="shared" si="272"/>
        <v>-171.38717066373337</v>
      </c>
      <c r="Z544" s="16">
        <v>11</v>
      </c>
      <c r="AA544" s="16">
        <v>21</v>
      </c>
      <c r="AB544" s="8">
        <f t="shared" si="273"/>
        <v>0.33082706766917291</v>
      </c>
      <c r="AC544" s="16">
        <f t="shared" si="265"/>
        <v>70.749196757239829</v>
      </c>
      <c r="AD544" s="20">
        <f>'PFAS Properties'!$W$36</f>
        <v>10</v>
      </c>
      <c r="AE544" s="8">
        <f>'PFAS Properties'!$S$36</f>
        <v>8.6001717619175692E-3</v>
      </c>
      <c r="AF544" s="15">
        <f>'PFAS Properties'!$V$36</f>
        <v>6.9</v>
      </c>
      <c r="AG544" s="26">
        <v>5.5</v>
      </c>
      <c r="AH544" s="2" t="s">
        <v>701</v>
      </c>
      <c r="AI544" s="15">
        <f t="shared" si="278"/>
        <v>6.1429499999999999</v>
      </c>
      <c r="AJ544" s="16">
        <v>110</v>
      </c>
      <c r="AK544" s="8">
        <f t="shared" si="274"/>
        <v>0.61429500000000004</v>
      </c>
      <c r="AL544" s="15">
        <f t="shared" si="279"/>
        <v>0.83644200000000002</v>
      </c>
      <c r="AM544" s="16">
        <v>31</v>
      </c>
      <c r="AN544" s="8">
        <f t="shared" si="275"/>
        <v>8.3644200000000002E-2</v>
      </c>
      <c r="AO544" s="15" t="s">
        <v>705</v>
      </c>
      <c r="AP544" s="15">
        <v>8.6</v>
      </c>
      <c r="AQ544" s="15" t="s">
        <v>702</v>
      </c>
      <c r="AR544" s="4">
        <v>27</v>
      </c>
      <c r="AS544" s="4">
        <v>44</v>
      </c>
      <c r="AT544" s="4">
        <v>29</v>
      </c>
      <c r="AU544" s="2" t="s">
        <v>703</v>
      </c>
      <c r="AV544" s="16">
        <f t="shared" si="262"/>
        <v>100</v>
      </c>
      <c r="AW544" s="27">
        <v>1.3</v>
      </c>
      <c r="AX544" s="13">
        <f t="shared" si="276"/>
        <v>1.3000000000000001E-2</v>
      </c>
      <c r="AY544" s="8" t="s">
        <v>704</v>
      </c>
      <c r="AZ544" s="16">
        <v>10</v>
      </c>
      <c r="BA544" s="16" t="s">
        <v>55</v>
      </c>
      <c r="BB544" s="16" t="s">
        <v>55</v>
      </c>
      <c r="BC544" s="16" t="s">
        <v>55</v>
      </c>
      <c r="BD544" s="24">
        <f t="shared" si="280"/>
        <v>71.614341021290201</v>
      </c>
      <c r="BE544" s="16">
        <f t="shared" ref="BE544:BE575" si="281">BD544/AX544</f>
        <v>5508.7954631761686</v>
      </c>
      <c r="BF544" s="16">
        <f t="shared" si="277"/>
        <v>3.741056647693163</v>
      </c>
      <c r="BG544" s="8">
        <f>(1.84+1.87)/2</f>
        <v>1.855</v>
      </c>
      <c r="BH544" s="15" t="s">
        <v>849</v>
      </c>
      <c r="BI544" s="1"/>
      <c r="BJ544" s="2"/>
      <c r="BK544" s="1"/>
      <c r="BL544" s="1"/>
      <c r="BM544" s="7"/>
      <c r="BN544" s="7"/>
      <c r="BO544" s="1"/>
      <c r="BP544" s="11"/>
      <c r="BQ544" s="11"/>
    </row>
    <row r="545" spans="1:69" x14ac:dyDescent="0.3">
      <c r="A545" s="20">
        <v>543</v>
      </c>
      <c r="B545" s="2" t="s">
        <v>690</v>
      </c>
      <c r="C545" s="2">
        <v>2023</v>
      </c>
      <c r="D545" s="2" t="s">
        <v>199</v>
      </c>
      <c r="E545" s="10" t="s">
        <v>803</v>
      </c>
      <c r="F545" s="20" t="s">
        <v>29</v>
      </c>
      <c r="G545" s="2" t="s">
        <v>695</v>
      </c>
      <c r="H545" s="2" t="str">
        <f>'PFAS Properties'!$B$36</f>
        <v>PFUnA</v>
      </c>
      <c r="I545" s="2" t="str">
        <f>'PFAS Properties'!$C$36</f>
        <v>PFCA</v>
      </c>
      <c r="J545" s="2" t="str">
        <f>'PFAS Properties'!$D$36</f>
        <v>C11HF21O2</v>
      </c>
      <c r="K545" s="25">
        <f>'PFAS Properties'!$P$36</f>
        <v>563.96399999999994</v>
      </c>
      <c r="L545" s="2">
        <f>'PFAS Properties'!$X$36</f>
        <v>-0.2</v>
      </c>
      <c r="M545" s="2" t="str">
        <f>'PFAS Properties'!$Y$36</f>
        <v>-</v>
      </c>
      <c r="N545" s="33">
        <v>0</v>
      </c>
      <c r="O545" s="33">
        <v>0</v>
      </c>
      <c r="P545" s="33">
        <v>0</v>
      </c>
      <c r="Q545" s="33">
        <f t="shared" si="266"/>
        <v>0.99999999683772234</v>
      </c>
      <c r="R545" s="33">
        <v>0</v>
      </c>
      <c r="S545" s="33">
        <f t="shared" si="267"/>
        <v>3.162277650168378E-9</v>
      </c>
      <c r="T545" s="8">
        <f t="shared" si="268"/>
        <v>1</v>
      </c>
      <c r="U545" s="33">
        <f t="shared" si="269"/>
        <v>0</v>
      </c>
      <c r="V545" s="33">
        <f t="shared" si="270"/>
        <v>-0.99999999683772234</v>
      </c>
      <c r="W545" s="33">
        <f t="shared" si="271"/>
        <v>562.96400000316225</v>
      </c>
      <c r="X545" s="33">
        <v>96485</v>
      </c>
      <c r="Y545" s="16">
        <f t="shared" si="272"/>
        <v>-171.38751269059065</v>
      </c>
      <c r="Z545" s="16">
        <v>11</v>
      </c>
      <c r="AA545" s="16">
        <v>21</v>
      </c>
      <c r="AB545" s="8">
        <f t="shared" si="273"/>
        <v>0.33082706766917291</v>
      </c>
      <c r="AC545" s="16">
        <f t="shared" si="265"/>
        <v>70.749196757239829</v>
      </c>
      <c r="AD545" s="20">
        <f>'PFAS Properties'!$W$36</f>
        <v>10</v>
      </c>
      <c r="AE545" s="8">
        <f>'PFAS Properties'!$S$36</f>
        <v>8.6001717619175692E-3</v>
      </c>
      <c r="AF545" s="15">
        <f>'PFAS Properties'!$V$36</f>
        <v>6.9</v>
      </c>
      <c r="AG545" s="26">
        <v>8.3000000000000007</v>
      </c>
      <c r="AH545" s="2" t="s">
        <v>701</v>
      </c>
      <c r="AI545" s="15">
        <f t="shared" si="278"/>
        <v>2.066265</v>
      </c>
      <c r="AJ545" s="16">
        <v>37</v>
      </c>
      <c r="AK545" s="8">
        <f t="shared" si="274"/>
        <v>0.20662649999999999</v>
      </c>
      <c r="AL545" s="15">
        <f t="shared" si="279"/>
        <v>0.72851399999999999</v>
      </c>
      <c r="AM545" s="16">
        <v>27</v>
      </c>
      <c r="AN545" s="8">
        <f t="shared" si="275"/>
        <v>7.2851399999999997E-2</v>
      </c>
      <c r="AO545" s="15" t="s">
        <v>705</v>
      </c>
      <c r="AP545" s="15">
        <v>14</v>
      </c>
      <c r="AQ545" s="15" t="s">
        <v>702</v>
      </c>
      <c r="AR545" s="4">
        <v>80</v>
      </c>
      <c r="AS545" s="4">
        <v>15</v>
      </c>
      <c r="AT545" s="4">
        <v>4.4000000000000004</v>
      </c>
      <c r="AU545" s="2" t="s">
        <v>703</v>
      </c>
      <c r="AV545" s="16">
        <f t="shared" si="262"/>
        <v>99.4</v>
      </c>
      <c r="AW545" s="27">
        <v>1.2</v>
      </c>
      <c r="AX545" s="13">
        <f t="shared" si="276"/>
        <v>1.2E-2</v>
      </c>
      <c r="AY545" s="8" t="s">
        <v>704</v>
      </c>
      <c r="AZ545" s="16">
        <v>10</v>
      </c>
      <c r="BA545" s="16" t="s">
        <v>55</v>
      </c>
      <c r="BB545" s="16" t="s">
        <v>55</v>
      </c>
      <c r="BC545" s="16" t="s">
        <v>55</v>
      </c>
      <c r="BD545" s="24">
        <f t="shared" si="280"/>
        <v>213.79620895022339</v>
      </c>
      <c r="BE545" s="16">
        <f t="shared" si="281"/>
        <v>17816.350745851949</v>
      </c>
      <c r="BF545" s="16">
        <f t="shared" si="277"/>
        <v>4.2508187539523759</v>
      </c>
      <c r="BG545" s="8">
        <f>(2.38+2.28)/2</f>
        <v>2.33</v>
      </c>
      <c r="BH545" s="15" t="s">
        <v>850</v>
      </c>
      <c r="BI545" s="1"/>
      <c r="BJ545" s="2"/>
      <c r="BK545" s="1"/>
      <c r="BL545" s="1"/>
      <c r="BM545" s="7"/>
      <c r="BN545" s="7"/>
      <c r="BO545" s="1"/>
      <c r="BP545" s="11"/>
      <c r="BQ545" s="11"/>
    </row>
    <row r="546" spans="1:69" x14ac:dyDescent="0.3">
      <c r="A546" s="20">
        <v>544</v>
      </c>
      <c r="B546" s="2" t="s">
        <v>690</v>
      </c>
      <c r="C546" s="2">
        <v>2023</v>
      </c>
      <c r="D546" s="2" t="s">
        <v>199</v>
      </c>
      <c r="E546" s="10" t="s">
        <v>803</v>
      </c>
      <c r="F546" s="20" t="s">
        <v>29</v>
      </c>
      <c r="G546" s="2" t="s">
        <v>696</v>
      </c>
      <c r="H546" s="2" t="str">
        <f>'PFAS Properties'!$B$36</f>
        <v>PFUnA</v>
      </c>
      <c r="I546" s="2" t="str">
        <f>'PFAS Properties'!$C$36</f>
        <v>PFCA</v>
      </c>
      <c r="J546" s="2" t="str">
        <f>'PFAS Properties'!$D$36</f>
        <v>C11HF21O2</v>
      </c>
      <c r="K546" s="25">
        <f>'PFAS Properties'!$P$36</f>
        <v>563.96399999999994</v>
      </c>
      <c r="L546" s="2">
        <f>'PFAS Properties'!$X$36</f>
        <v>-0.2</v>
      </c>
      <c r="M546" s="2" t="str">
        <f>'PFAS Properties'!$Y$36</f>
        <v>-</v>
      </c>
      <c r="N546" s="33">
        <v>0</v>
      </c>
      <c r="O546" s="33">
        <v>0</v>
      </c>
      <c r="P546" s="33">
        <v>0</v>
      </c>
      <c r="Q546" s="33">
        <f t="shared" si="266"/>
        <v>0.99999800474166611</v>
      </c>
      <c r="R546" s="33">
        <v>0</v>
      </c>
      <c r="S546" s="33">
        <f t="shared" si="267"/>
        <v>1.9952583339051124E-6</v>
      </c>
      <c r="T546" s="8">
        <f t="shared" si="268"/>
        <v>1</v>
      </c>
      <c r="U546" s="33">
        <f t="shared" si="269"/>
        <v>0</v>
      </c>
      <c r="V546" s="33">
        <f t="shared" si="270"/>
        <v>-0.99999800474166611</v>
      </c>
      <c r="W546" s="33">
        <f t="shared" si="271"/>
        <v>562.96400199525829</v>
      </c>
      <c r="X546" s="33">
        <v>96485</v>
      </c>
      <c r="Y546" s="16">
        <f t="shared" si="272"/>
        <v>-171.38717066373337</v>
      </c>
      <c r="Z546" s="16">
        <v>11</v>
      </c>
      <c r="AA546" s="16">
        <v>21</v>
      </c>
      <c r="AB546" s="8">
        <f t="shared" si="273"/>
        <v>0.33082706766917291</v>
      </c>
      <c r="AC546" s="16">
        <f t="shared" si="265"/>
        <v>70.749196757239829</v>
      </c>
      <c r="AD546" s="20">
        <f>'PFAS Properties'!$W$36</f>
        <v>10</v>
      </c>
      <c r="AE546" s="8">
        <f>'PFAS Properties'!$S$36</f>
        <v>8.6001717619175692E-3</v>
      </c>
      <c r="AF546" s="15">
        <f>'PFAS Properties'!$V$36</f>
        <v>6.9</v>
      </c>
      <c r="AG546" s="26">
        <v>5.5</v>
      </c>
      <c r="AH546" s="2" t="s">
        <v>701</v>
      </c>
      <c r="AI546" s="15">
        <f t="shared" si="278"/>
        <v>1.3402799999999999</v>
      </c>
      <c r="AJ546" s="16">
        <v>24</v>
      </c>
      <c r="AK546" s="8">
        <f t="shared" si="274"/>
        <v>0.13402799999999998</v>
      </c>
      <c r="AL546" s="15">
        <f t="shared" si="279"/>
        <v>0.32378400000000002</v>
      </c>
      <c r="AM546" s="16">
        <v>12</v>
      </c>
      <c r="AN546" s="8">
        <f t="shared" si="275"/>
        <v>3.2378400000000002E-2</v>
      </c>
      <c r="AO546" s="15" t="s">
        <v>705</v>
      </c>
      <c r="AP546" s="15">
        <v>2.6</v>
      </c>
      <c r="AQ546" s="15" t="s">
        <v>702</v>
      </c>
      <c r="AR546" s="4">
        <v>86</v>
      </c>
      <c r="AS546" s="4">
        <v>8</v>
      </c>
      <c r="AT546" s="4">
        <v>6</v>
      </c>
      <c r="AU546" s="2" t="s">
        <v>703</v>
      </c>
      <c r="AV546" s="16">
        <f t="shared" si="262"/>
        <v>100</v>
      </c>
      <c r="AW546" s="27">
        <v>1.2</v>
      </c>
      <c r="AX546" s="13">
        <f t="shared" si="276"/>
        <v>1.2E-2</v>
      </c>
      <c r="AY546" s="8" t="s">
        <v>704</v>
      </c>
      <c r="AZ546" s="16">
        <v>10</v>
      </c>
      <c r="BA546" s="16" t="s">
        <v>55</v>
      </c>
      <c r="BB546" s="16" t="s">
        <v>55</v>
      </c>
      <c r="BC546" s="16" t="s">
        <v>55</v>
      </c>
      <c r="BD546" s="24">
        <f t="shared" si="280"/>
        <v>43.651583224016612</v>
      </c>
      <c r="BE546" s="16">
        <f t="shared" si="281"/>
        <v>3637.6319353347176</v>
      </c>
      <c r="BF546" s="16">
        <f t="shared" si="277"/>
        <v>3.5608187539523755</v>
      </c>
      <c r="BG546" s="8">
        <v>1.64</v>
      </c>
      <c r="BH546" s="15" t="s">
        <v>851</v>
      </c>
      <c r="BI546" s="1"/>
      <c r="BJ546" s="2"/>
      <c r="BK546" s="1"/>
      <c r="BL546" s="1"/>
      <c r="BM546" s="7"/>
      <c r="BN546" s="7"/>
      <c r="BO546" s="1"/>
      <c r="BP546" s="11"/>
      <c r="BQ546" s="11"/>
    </row>
    <row r="547" spans="1:69" x14ac:dyDescent="0.3">
      <c r="A547" s="20">
        <v>545</v>
      </c>
      <c r="B547" s="2" t="s">
        <v>690</v>
      </c>
      <c r="C547" s="2">
        <v>2023</v>
      </c>
      <c r="D547" s="2" t="s">
        <v>199</v>
      </c>
      <c r="E547" s="10" t="s">
        <v>803</v>
      </c>
      <c r="F547" s="20" t="s">
        <v>29</v>
      </c>
      <c r="G547" s="2" t="s">
        <v>697</v>
      </c>
      <c r="H547" s="2" t="str">
        <f>'PFAS Properties'!$B$36</f>
        <v>PFUnA</v>
      </c>
      <c r="I547" s="2" t="str">
        <f>'PFAS Properties'!$C$36</f>
        <v>PFCA</v>
      </c>
      <c r="J547" s="2" t="str">
        <f>'PFAS Properties'!$D$36</f>
        <v>C11HF21O2</v>
      </c>
      <c r="K547" s="25">
        <f>'PFAS Properties'!$P$36</f>
        <v>563.96399999999994</v>
      </c>
      <c r="L547" s="2">
        <f>'PFAS Properties'!$X$36</f>
        <v>-0.2</v>
      </c>
      <c r="M547" s="2" t="str">
        <f>'PFAS Properties'!$Y$36</f>
        <v>-</v>
      </c>
      <c r="N547" s="33">
        <v>0</v>
      </c>
      <c r="O547" s="33">
        <v>0</v>
      </c>
      <c r="P547" s="33">
        <v>0</v>
      </c>
      <c r="Q547" s="33">
        <f t="shared" si="266"/>
        <v>0.99998415131926011</v>
      </c>
      <c r="R547" s="33">
        <v>0</v>
      </c>
      <c r="S547" s="33">
        <f t="shared" si="267"/>
        <v>1.5848680739948987E-5</v>
      </c>
      <c r="T547" s="8">
        <f t="shared" si="268"/>
        <v>1</v>
      </c>
      <c r="U547" s="33">
        <f t="shared" si="269"/>
        <v>0</v>
      </c>
      <c r="V547" s="33">
        <f t="shared" si="270"/>
        <v>-0.99998415131926011</v>
      </c>
      <c r="W547" s="33">
        <f t="shared" si="271"/>
        <v>562.96401584868067</v>
      </c>
      <c r="X547" s="33">
        <v>96485</v>
      </c>
      <c r="Y547" s="16">
        <f t="shared" si="272"/>
        <v>-171.38479214268759</v>
      </c>
      <c r="Z547" s="16">
        <v>11</v>
      </c>
      <c r="AA547" s="16">
        <v>21</v>
      </c>
      <c r="AB547" s="8">
        <f t="shared" si="273"/>
        <v>0.33082706766917291</v>
      </c>
      <c r="AC547" s="16">
        <f t="shared" si="265"/>
        <v>70.749196757239829</v>
      </c>
      <c r="AD547" s="20">
        <f>'PFAS Properties'!$W$36</f>
        <v>10</v>
      </c>
      <c r="AE547" s="8">
        <f>'PFAS Properties'!$S$36</f>
        <v>8.6001717619175692E-3</v>
      </c>
      <c r="AF547" s="15">
        <f>'PFAS Properties'!$V$36</f>
        <v>6.9</v>
      </c>
      <c r="AG547" s="26">
        <v>4.5999999999999996</v>
      </c>
      <c r="AH547" s="2" t="s">
        <v>701</v>
      </c>
      <c r="AI547" s="15">
        <f t="shared" si="278"/>
        <v>0.1396125</v>
      </c>
      <c r="AJ547" s="16">
        <v>2.5</v>
      </c>
      <c r="AK547" s="8">
        <f t="shared" si="274"/>
        <v>1.396125E-2</v>
      </c>
      <c r="AL547" s="15">
        <f t="shared" si="279"/>
        <v>5.12658E-2</v>
      </c>
      <c r="AM547" s="16">
        <v>1.9</v>
      </c>
      <c r="AN547" s="8">
        <f t="shared" si="275"/>
        <v>5.1265800000000004E-3</v>
      </c>
      <c r="AO547" s="15" t="s">
        <v>705</v>
      </c>
      <c r="AP547" s="15">
        <v>1.8</v>
      </c>
      <c r="AQ547" s="15" t="s">
        <v>702</v>
      </c>
      <c r="AR547" s="4">
        <v>53</v>
      </c>
      <c r="AS547" s="4">
        <v>40</v>
      </c>
      <c r="AT547" s="4">
        <v>7</v>
      </c>
      <c r="AU547" s="2" t="s">
        <v>703</v>
      </c>
      <c r="AV547" s="16">
        <f t="shared" si="262"/>
        <v>100</v>
      </c>
      <c r="AW547" s="27">
        <v>1.1000000000000001</v>
      </c>
      <c r="AX547" s="13">
        <f t="shared" si="276"/>
        <v>1.1000000000000001E-2</v>
      </c>
      <c r="AY547" s="8" t="s">
        <v>704</v>
      </c>
      <c r="AZ547" s="16">
        <v>10</v>
      </c>
      <c r="BA547" s="16" t="s">
        <v>55</v>
      </c>
      <c r="BB547" s="16" t="s">
        <v>55</v>
      </c>
      <c r="BC547" s="16" t="s">
        <v>55</v>
      </c>
      <c r="BD547" s="24">
        <f t="shared" si="280"/>
        <v>21.877616239495538</v>
      </c>
      <c r="BE547" s="16">
        <f t="shared" si="281"/>
        <v>1988.8742035905032</v>
      </c>
      <c r="BF547" s="16">
        <f t="shared" si="277"/>
        <v>3.2986073148417749</v>
      </c>
      <c r="BG547" s="8">
        <v>1.34</v>
      </c>
      <c r="BH547" s="15" t="s">
        <v>849</v>
      </c>
      <c r="BI547" s="1"/>
      <c r="BJ547" s="2"/>
      <c r="BK547" s="1"/>
      <c r="BL547" s="1"/>
      <c r="BM547" s="7"/>
      <c r="BN547" s="7"/>
      <c r="BO547" s="1"/>
      <c r="BP547" s="11"/>
      <c r="BQ547" s="11"/>
    </row>
    <row r="548" spans="1:69" x14ac:dyDescent="0.3">
      <c r="A548" s="20">
        <v>546</v>
      </c>
      <c r="B548" s="2" t="s">
        <v>690</v>
      </c>
      <c r="C548" s="2">
        <v>2023</v>
      </c>
      <c r="D548" s="2" t="s">
        <v>199</v>
      </c>
      <c r="E548" s="10" t="s">
        <v>803</v>
      </c>
      <c r="F548" s="20" t="s">
        <v>29</v>
      </c>
      <c r="G548" s="2" t="s">
        <v>698</v>
      </c>
      <c r="H548" s="2" t="str">
        <f>'PFAS Properties'!$B$36</f>
        <v>PFUnA</v>
      </c>
      <c r="I548" s="2" t="str">
        <f>'PFAS Properties'!$C$36</f>
        <v>PFCA</v>
      </c>
      <c r="J548" s="2" t="str">
        <f>'PFAS Properties'!$D$36</f>
        <v>C11HF21O2</v>
      </c>
      <c r="K548" s="25">
        <f>'PFAS Properties'!$P$36</f>
        <v>563.96399999999994</v>
      </c>
      <c r="L548" s="2">
        <f>'PFAS Properties'!$X$36</f>
        <v>-0.2</v>
      </c>
      <c r="M548" s="2" t="str">
        <f>'PFAS Properties'!$Y$36</f>
        <v>-</v>
      </c>
      <c r="N548" s="33">
        <v>0</v>
      </c>
      <c r="O548" s="33">
        <v>0</v>
      </c>
      <c r="P548" s="33">
        <v>0</v>
      </c>
      <c r="Q548" s="33">
        <f t="shared" si="266"/>
        <v>0.99999984151070587</v>
      </c>
      <c r="R548" s="33">
        <v>0</v>
      </c>
      <c r="S548" s="33">
        <f t="shared" si="267"/>
        <v>1.5848929412725089E-7</v>
      </c>
      <c r="T548" s="8">
        <f t="shared" si="268"/>
        <v>1</v>
      </c>
      <c r="U548" s="33">
        <f t="shared" si="269"/>
        <v>0</v>
      </c>
      <c r="V548" s="33">
        <f t="shared" si="270"/>
        <v>-0.99999984151070587</v>
      </c>
      <c r="W548" s="33">
        <f t="shared" si="271"/>
        <v>562.96400015848928</v>
      </c>
      <c r="X548" s="33">
        <v>96485</v>
      </c>
      <c r="Y548" s="16">
        <f t="shared" si="272"/>
        <v>-171.38748602219215</v>
      </c>
      <c r="Z548" s="16">
        <v>11</v>
      </c>
      <c r="AA548" s="16">
        <v>21</v>
      </c>
      <c r="AB548" s="8">
        <f t="shared" si="273"/>
        <v>0.33082706766917291</v>
      </c>
      <c r="AC548" s="16">
        <f t="shared" si="265"/>
        <v>70.749196757239829</v>
      </c>
      <c r="AD548" s="20">
        <f>'PFAS Properties'!$W$36</f>
        <v>10</v>
      </c>
      <c r="AE548" s="8">
        <f>'PFAS Properties'!$S$36</f>
        <v>8.6001717619175692E-3</v>
      </c>
      <c r="AF548" s="15">
        <f>'PFAS Properties'!$V$36</f>
        <v>6.9</v>
      </c>
      <c r="AG548" s="26">
        <v>6.6</v>
      </c>
      <c r="AH548" s="2" t="s">
        <v>701</v>
      </c>
      <c r="AI548" s="15">
        <f t="shared" si="278"/>
        <v>11.169</v>
      </c>
      <c r="AJ548" s="16">
        <v>200</v>
      </c>
      <c r="AK548" s="8">
        <f t="shared" si="274"/>
        <v>1.1169</v>
      </c>
      <c r="AL548" s="15">
        <f t="shared" si="279"/>
        <v>1.3760819999999998</v>
      </c>
      <c r="AM548" s="16">
        <v>51</v>
      </c>
      <c r="AN548" s="8">
        <f t="shared" si="275"/>
        <v>0.13760819999999999</v>
      </c>
      <c r="AO548" s="15" t="s">
        <v>705</v>
      </c>
      <c r="AP548" s="15">
        <v>16</v>
      </c>
      <c r="AQ548" s="15" t="s">
        <v>702</v>
      </c>
      <c r="AR548" s="4">
        <v>0.68</v>
      </c>
      <c r="AS548" s="4">
        <v>48</v>
      </c>
      <c r="AT548" s="4">
        <v>52</v>
      </c>
      <c r="AU548" s="2" t="s">
        <v>703</v>
      </c>
      <c r="AV548" s="16">
        <f t="shared" si="262"/>
        <v>100.68</v>
      </c>
      <c r="AW548" s="27">
        <v>0.91</v>
      </c>
      <c r="AX548" s="13">
        <f t="shared" si="276"/>
        <v>9.1000000000000004E-3</v>
      </c>
      <c r="AY548" s="8" t="s">
        <v>704</v>
      </c>
      <c r="AZ548" s="16">
        <v>10</v>
      </c>
      <c r="BA548" s="16" t="s">
        <v>55</v>
      </c>
      <c r="BB548" s="16" t="s">
        <v>55</v>
      </c>
      <c r="BC548" s="16" t="s">
        <v>55</v>
      </c>
      <c r="BD548" s="24">
        <f t="shared" si="280"/>
        <v>25.118864315095799</v>
      </c>
      <c r="BE548" s="16">
        <f t="shared" si="281"/>
        <v>2760.314759900637</v>
      </c>
      <c r="BF548" s="16">
        <f t="shared" si="277"/>
        <v>3.4409586076789065</v>
      </c>
      <c r="BG548" s="8">
        <f>(1.37+1.43)/2</f>
        <v>1.4</v>
      </c>
      <c r="BH548" s="15" t="s">
        <v>852</v>
      </c>
      <c r="BI548" s="1"/>
      <c r="BJ548" s="2"/>
      <c r="BK548" s="1"/>
      <c r="BL548" s="1"/>
      <c r="BM548" s="7"/>
      <c r="BN548" s="7"/>
      <c r="BO548" s="1"/>
      <c r="BP548" s="11"/>
      <c r="BQ548" s="11"/>
    </row>
    <row r="549" spans="1:69" x14ac:dyDescent="0.3">
      <c r="A549" s="20">
        <v>547</v>
      </c>
      <c r="B549" s="2" t="s">
        <v>690</v>
      </c>
      <c r="C549" s="2">
        <v>2023</v>
      </c>
      <c r="D549" s="2" t="s">
        <v>199</v>
      </c>
      <c r="E549" s="10" t="s">
        <v>803</v>
      </c>
      <c r="F549" s="20" t="s">
        <v>29</v>
      </c>
      <c r="G549" s="2" t="s">
        <v>699</v>
      </c>
      <c r="H549" s="2" t="str">
        <f>'PFAS Properties'!$B$36</f>
        <v>PFUnA</v>
      </c>
      <c r="I549" s="2" t="str">
        <f>'PFAS Properties'!$C$36</f>
        <v>PFCA</v>
      </c>
      <c r="J549" s="2" t="str">
        <f>'PFAS Properties'!$D$36</f>
        <v>C11HF21O2</v>
      </c>
      <c r="K549" s="25">
        <f>'PFAS Properties'!$P$36</f>
        <v>563.96399999999994</v>
      </c>
      <c r="L549" s="2">
        <f>'PFAS Properties'!$X$36</f>
        <v>-0.2</v>
      </c>
      <c r="M549" s="2" t="str">
        <f>'PFAS Properties'!$Y$36</f>
        <v>-</v>
      </c>
      <c r="N549" s="33">
        <v>0</v>
      </c>
      <c r="O549" s="33">
        <v>0</v>
      </c>
      <c r="P549" s="33">
        <v>0</v>
      </c>
      <c r="Q549" s="33">
        <f t="shared" si="266"/>
        <v>0.99999900000099995</v>
      </c>
      <c r="R549" s="33">
        <v>0</v>
      </c>
      <c r="S549" s="33">
        <f t="shared" si="267"/>
        <v>9.9999900000100006E-7</v>
      </c>
      <c r="T549" s="8">
        <f t="shared" si="268"/>
        <v>1</v>
      </c>
      <c r="U549" s="33">
        <f t="shared" si="269"/>
        <v>0</v>
      </c>
      <c r="V549" s="33">
        <f t="shared" si="270"/>
        <v>-0.99999900000099995</v>
      </c>
      <c r="W549" s="33">
        <f t="shared" si="271"/>
        <v>562.96400099999892</v>
      </c>
      <c r="X549" s="33">
        <v>96485</v>
      </c>
      <c r="Y549" s="16">
        <f t="shared" si="272"/>
        <v>-171.38734154174927</v>
      </c>
      <c r="Z549" s="16">
        <v>11</v>
      </c>
      <c r="AA549" s="16">
        <v>21</v>
      </c>
      <c r="AB549" s="8">
        <f t="shared" si="273"/>
        <v>0.33082706766917291</v>
      </c>
      <c r="AC549" s="16">
        <f t="shared" si="265"/>
        <v>70.749196757239829</v>
      </c>
      <c r="AD549" s="20">
        <f>'PFAS Properties'!$W$36</f>
        <v>10</v>
      </c>
      <c r="AE549" s="8">
        <f>'PFAS Properties'!$S$36</f>
        <v>8.6001717619175692E-3</v>
      </c>
      <c r="AF549" s="15">
        <f>'PFAS Properties'!$V$36</f>
        <v>6.9</v>
      </c>
      <c r="AG549" s="26">
        <v>5.8</v>
      </c>
      <c r="AH549" s="2" t="s">
        <v>701</v>
      </c>
      <c r="AI549" s="15">
        <f t="shared" si="278"/>
        <v>1.6753499999999999</v>
      </c>
      <c r="AJ549" s="16">
        <v>30</v>
      </c>
      <c r="AK549" s="8">
        <f t="shared" si="274"/>
        <v>0.16753499999999999</v>
      </c>
      <c r="AL549" s="15">
        <f t="shared" si="279"/>
        <v>0.75549599999999995</v>
      </c>
      <c r="AM549" s="16">
        <v>28</v>
      </c>
      <c r="AN549" s="8">
        <f t="shared" si="275"/>
        <v>7.5549599999999995E-2</v>
      </c>
      <c r="AO549" s="15" t="s">
        <v>705</v>
      </c>
      <c r="AP549" s="15">
        <v>0.77</v>
      </c>
      <c r="AQ549" s="15" t="s">
        <v>702</v>
      </c>
      <c r="AR549" s="4">
        <v>89</v>
      </c>
      <c r="AS549" s="4">
        <v>8</v>
      </c>
      <c r="AT549" s="4">
        <v>3</v>
      </c>
      <c r="AU549" s="2" t="s">
        <v>703</v>
      </c>
      <c r="AV549" s="16">
        <f t="shared" si="262"/>
        <v>100</v>
      </c>
      <c r="AW549" s="27">
        <v>0.3</v>
      </c>
      <c r="AX549" s="13">
        <f t="shared" si="276"/>
        <v>3.0000000000000001E-3</v>
      </c>
      <c r="AY549" s="8" t="s">
        <v>704</v>
      </c>
      <c r="AZ549" s="16">
        <v>10</v>
      </c>
      <c r="BA549" s="16" t="s">
        <v>55</v>
      </c>
      <c r="BB549" s="16" t="s">
        <v>55</v>
      </c>
      <c r="BC549" s="16" t="s">
        <v>55</v>
      </c>
      <c r="BD549" s="24">
        <f t="shared" si="280"/>
        <v>16.982436524617448</v>
      </c>
      <c r="BE549" s="16">
        <f t="shared" si="281"/>
        <v>5660.8121748724825</v>
      </c>
      <c r="BF549" s="16">
        <f t="shared" si="277"/>
        <v>3.7528787452803378</v>
      </c>
      <c r="BG549" s="8">
        <v>1.23</v>
      </c>
      <c r="BH549" s="15" t="s">
        <v>853</v>
      </c>
      <c r="BI549" s="1"/>
      <c r="BJ549" s="2"/>
      <c r="BK549" s="1"/>
      <c r="BL549" s="1"/>
      <c r="BM549" s="7"/>
      <c r="BN549" s="7"/>
      <c r="BO549" s="1"/>
      <c r="BP549" s="11"/>
      <c r="BQ549" s="11"/>
    </row>
    <row r="550" spans="1:69" x14ac:dyDescent="0.3">
      <c r="A550" s="20">
        <v>548</v>
      </c>
      <c r="B550" s="2" t="s">
        <v>690</v>
      </c>
      <c r="C550" s="2">
        <v>2023</v>
      </c>
      <c r="D550" s="2" t="s">
        <v>199</v>
      </c>
      <c r="E550" s="10" t="s">
        <v>803</v>
      </c>
      <c r="F550" s="20" t="s">
        <v>29</v>
      </c>
      <c r="G550" s="2" t="s">
        <v>700</v>
      </c>
      <c r="H550" s="2" t="str">
        <f>'PFAS Properties'!$B$36</f>
        <v>PFUnA</v>
      </c>
      <c r="I550" s="2" t="str">
        <f>'PFAS Properties'!$C$36</f>
        <v>PFCA</v>
      </c>
      <c r="J550" s="2" t="str">
        <f>'PFAS Properties'!$D$36</f>
        <v>C11HF21O2</v>
      </c>
      <c r="K550" s="25">
        <f>'PFAS Properties'!$P$36</f>
        <v>563.96399999999994</v>
      </c>
      <c r="L550" s="2">
        <f>'PFAS Properties'!$X$36</f>
        <v>-0.2</v>
      </c>
      <c r="M550" s="2" t="str">
        <f>'PFAS Properties'!$Y$36</f>
        <v>-</v>
      </c>
      <c r="N550" s="33">
        <v>0</v>
      </c>
      <c r="O550" s="33">
        <v>0</v>
      </c>
      <c r="P550" s="33">
        <v>0</v>
      </c>
      <c r="Q550" s="33">
        <f t="shared" si="266"/>
        <v>0.99999683773233983</v>
      </c>
      <c r="R550" s="33">
        <v>0</v>
      </c>
      <c r="S550" s="33">
        <f t="shared" si="267"/>
        <v>3.1622676601999995E-6</v>
      </c>
      <c r="T550" s="8">
        <f t="shared" si="268"/>
        <v>1</v>
      </c>
      <c r="U550" s="33">
        <f t="shared" si="269"/>
        <v>0</v>
      </c>
      <c r="V550" s="33">
        <f t="shared" si="270"/>
        <v>-0.99999683773233983</v>
      </c>
      <c r="W550" s="33">
        <f t="shared" si="271"/>
        <v>562.96400316226766</v>
      </c>
      <c r="X550" s="33">
        <v>96485</v>
      </c>
      <c r="Y550" s="16">
        <f t="shared" si="272"/>
        <v>-171.3869702976271</v>
      </c>
      <c r="Z550" s="16">
        <v>11</v>
      </c>
      <c r="AA550" s="16">
        <v>21</v>
      </c>
      <c r="AB550" s="8">
        <f t="shared" si="273"/>
        <v>0.33082706766917291</v>
      </c>
      <c r="AC550" s="16">
        <f t="shared" si="265"/>
        <v>70.749196757239829</v>
      </c>
      <c r="AD550" s="20">
        <f>'PFAS Properties'!$W$36</f>
        <v>10</v>
      </c>
      <c r="AE550" s="8">
        <f>'PFAS Properties'!$S$36</f>
        <v>8.6001717619175692E-3</v>
      </c>
      <c r="AF550" s="15">
        <f>'PFAS Properties'!$V$36</f>
        <v>6.9</v>
      </c>
      <c r="AG550" s="26">
        <v>5.3</v>
      </c>
      <c r="AH550" s="2" t="s">
        <v>701</v>
      </c>
      <c r="AI550" s="15">
        <f t="shared" si="278"/>
        <v>1.2285899999999998</v>
      </c>
      <c r="AJ550" s="16">
        <v>22</v>
      </c>
      <c r="AK550" s="8">
        <f t="shared" si="274"/>
        <v>0.12285899999999998</v>
      </c>
      <c r="AL550" s="15">
        <f t="shared" si="279"/>
        <v>2.15856</v>
      </c>
      <c r="AM550" s="16">
        <v>80</v>
      </c>
      <c r="AN550" s="8">
        <f t="shared" si="275"/>
        <v>0.21585599999999999</v>
      </c>
      <c r="AO550" s="15" t="s">
        <v>705</v>
      </c>
      <c r="AP550" s="15">
        <v>0.45</v>
      </c>
      <c r="AQ550" s="15" t="s">
        <v>702</v>
      </c>
      <c r="AR550" s="4">
        <v>96</v>
      </c>
      <c r="AS550" s="4">
        <v>3</v>
      </c>
      <c r="AT550" s="4">
        <v>2</v>
      </c>
      <c r="AU550" s="2" t="s">
        <v>703</v>
      </c>
      <c r="AV550" s="16">
        <f t="shared" si="262"/>
        <v>101</v>
      </c>
      <c r="AW550" s="27">
        <v>0.19</v>
      </c>
      <c r="AX550" s="13">
        <f t="shared" si="276"/>
        <v>1.9E-3</v>
      </c>
      <c r="AY550" s="8" t="s">
        <v>704</v>
      </c>
      <c r="AZ550" s="16">
        <v>10</v>
      </c>
      <c r="BA550" s="16" t="s">
        <v>55</v>
      </c>
      <c r="BB550" s="16" t="s">
        <v>55</v>
      </c>
      <c r="BC550" s="16" t="s">
        <v>55</v>
      </c>
      <c r="BD550" s="24">
        <f t="shared" si="280"/>
        <v>66.069344800759623</v>
      </c>
      <c r="BE550" s="16">
        <f t="shared" si="281"/>
        <v>34773.339368820853</v>
      </c>
      <c r="BF550" s="16">
        <f t="shared" si="277"/>
        <v>4.5412463990471714</v>
      </c>
      <c r="BG550" s="8">
        <v>1.82</v>
      </c>
      <c r="BH550" s="15" t="s">
        <v>846</v>
      </c>
      <c r="BI550" s="1"/>
      <c r="BJ550" s="2"/>
      <c r="BK550" s="1"/>
      <c r="BL550" s="1"/>
      <c r="BM550" s="7"/>
      <c r="BN550" s="7"/>
      <c r="BO550" s="1"/>
      <c r="BP550" s="11"/>
      <c r="BQ550" s="11"/>
    </row>
    <row r="551" spans="1:69" x14ac:dyDescent="0.3">
      <c r="A551" s="20">
        <v>549</v>
      </c>
      <c r="B551" s="1" t="s">
        <v>873</v>
      </c>
      <c r="C551" s="1">
        <v>2007</v>
      </c>
      <c r="D551" s="1" t="s">
        <v>203</v>
      </c>
      <c r="E551" s="10" t="s">
        <v>225</v>
      </c>
      <c r="F551" s="7" t="s">
        <v>63</v>
      </c>
      <c r="G551" s="4">
        <v>1</v>
      </c>
      <c r="H551" s="2" t="str">
        <f>'PFAS Properties'!$B$36</f>
        <v>PFUnA</v>
      </c>
      <c r="I551" s="2" t="str">
        <f>'PFAS Properties'!$C$36</f>
        <v>PFCA</v>
      </c>
      <c r="J551" s="2" t="str">
        <f>'PFAS Properties'!$D$36</f>
        <v>C11HF21O2</v>
      </c>
      <c r="K551" s="25">
        <f>'PFAS Properties'!$P$36</f>
        <v>563.96399999999994</v>
      </c>
      <c r="L551" s="2">
        <f>'PFAS Properties'!$X$36</f>
        <v>-0.2</v>
      </c>
      <c r="M551" s="2" t="str">
        <f>'PFAS Properties'!$Y$36</f>
        <v>-</v>
      </c>
      <c r="N551" s="33">
        <v>0</v>
      </c>
      <c r="O551" s="33">
        <v>0</v>
      </c>
      <c r="P551" s="33">
        <v>0</v>
      </c>
      <c r="Q551" s="33">
        <f t="shared" si="266"/>
        <v>0.99999993690426958</v>
      </c>
      <c r="R551" s="33">
        <v>0</v>
      </c>
      <c r="S551" s="33">
        <f t="shared" si="267"/>
        <v>6.3095730466947729E-8</v>
      </c>
      <c r="T551" s="8">
        <f t="shared" si="268"/>
        <v>1</v>
      </c>
      <c r="U551" s="33">
        <f t="shared" si="269"/>
        <v>0</v>
      </c>
      <c r="V551" s="33">
        <f t="shared" si="270"/>
        <v>-0.99999993690426958</v>
      </c>
      <c r="W551" s="33">
        <f t="shared" si="271"/>
        <v>562.96400006309568</v>
      </c>
      <c r="X551" s="33">
        <v>96485</v>
      </c>
      <c r="Y551" s="16">
        <f t="shared" si="272"/>
        <v>-171.38750240049922</v>
      </c>
      <c r="Z551" s="16">
        <v>11</v>
      </c>
      <c r="AA551" s="16">
        <v>21</v>
      </c>
      <c r="AB551" s="8">
        <f t="shared" si="273"/>
        <v>0.33082706766917291</v>
      </c>
      <c r="AC551" s="16">
        <f t="shared" si="265"/>
        <v>70.749196757239829</v>
      </c>
      <c r="AD551" s="20">
        <f>'PFAS Properties'!$W$36</f>
        <v>10</v>
      </c>
      <c r="AE551" s="8">
        <f>'PFAS Properties'!$S$36</f>
        <v>8.6001717619175692E-3</v>
      </c>
      <c r="AF551" s="15">
        <f>'PFAS Properties'!$V$36</f>
        <v>6.9</v>
      </c>
      <c r="AG551" s="26">
        <v>7</v>
      </c>
      <c r="AH551" s="1" t="s">
        <v>363</v>
      </c>
      <c r="AI551" s="6">
        <f>334*55.85/1000</f>
        <v>18.6539</v>
      </c>
      <c r="AJ551" s="3">
        <f>AI551*1000/55.845</f>
        <v>334.0299041991226</v>
      </c>
      <c r="AK551" s="8">
        <f t="shared" si="274"/>
        <v>1.8653900000000001</v>
      </c>
      <c r="AL551" s="6">
        <f>41*26.98/1000</f>
        <v>1.1061800000000002</v>
      </c>
      <c r="AM551" s="3">
        <f>AL551*1000/26.98</f>
        <v>41</v>
      </c>
      <c r="AN551" s="8">
        <f t="shared" si="275"/>
        <v>0.11061800000000002</v>
      </c>
      <c r="AO551" s="3" t="s">
        <v>93</v>
      </c>
      <c r="AP551" s="15">
        <v>38.6</v>
      </c>
      <c r="AQ551" s="1" t="s">
        <v>363</v>
      </c>
      <c r="AR551" s="4">
        <v>11</v>
      </c>
      <c r="AS551" s="4">
        <v>36</v>
      </c>
      <c r="AT551" s="4">
        <v>53</v>
      </c>
      <c r="AU551" s="1" t="s">
        <v>363</v>
      </c>
      <c r="AV551" s="16">
        <f t="shared" si="262"/>
        <v>100</v>
      </c>
      <c r="AW551" s="27">
        <v>2.48</v>
      </c>
      <c r="AX551" s="133">
        <f t="shared" si="276"/>
        <v>2.4799999999999999E-2</v>
      </c>
      <c r="AY551" s="5" t="s">
        <v>87</v>
      </c>
      <c r="AZ551" s="39">
        <f>5/0.05</f>
        <v>100</v>
      </c>
      <c r="BA551" s="30" t="s">
        <v>55</v>
      </c>
      <c r="BB551" s="15">
        <f>1*K551/1000</f>
        <v>0.56396399999999991</v>
      </c>
      <c r="BC551" s="16">
        <f>200*K551/1000</f>
        <v>112.79279999999999</v>
      </c>
      <c r="BD551" s="26">
        <v>91.36</v>
      </c>
      <c r="BE551" s="16">
        <f t="shared" si="281"/>
        <v>3683.8709677419356</v>
      </c>
      <c r="BF551" s="8">
        <f t="shared" si="277"/>
        <v>3.5663044100755568</v>
      </c>
      <c r="BG551" s="8">
        <f t="shared" ref="BG551:BG582" si="282">LOG(BD551)</f>
        <v>1.9607560909017727</v>
      </c>
      <c r="BH551" s="13" t="s">
        <v>844</v>
      </c>
      <c r="BI551" s="13"/>
      <c r="BJ551" s="13"/>
      <c r="BK551" s="8"/>
      <c r="BL551" s="8"/>
      <c r="BM551" s="18"/>
      <c r="BN551" s="8"/>
      <c r="BO551" s="24"/>
      <c r="BP551" s="11"/>
      <c r="BQ551" s="11"/>
    </row>
    <row r="552" spans="1:69" x14ac:dyDescent="0.3">
      <c r="A552" s="20">
        <v>550</v>
      </c>
      <c r="B552" s="1" t="s">
        <v>873</v>
      </c>
      <c r="C552" s="1">
        <v>2007</v>
      </c>
      <c r="D552" s="1" t="s">
        <v>203</v>
      </c>
      <c r="E552" s="10" t="s">
        <v>225</v>
      </c>
      <c r="F552" s="7" t="s">
        <v>63</v>
      </c>
      <c r="G552" s="4">
        <v>2</v>
      </c>
      <c r="H552" s="2" t="str">
        <f>'PFAS Properties'!$B$36</f>
        <v>PFUnA</v>
      </c>
      <c r="I552" s="2" t="str">
        <f>'PFAS Properties'!$C$36</f>
        <v>PFCA</v>
      </c>
      <c r="J552" s="2" t="str">
        <f>'PFAS Properties'!$D$36</f>
        <v>C11HF21O2</v>
      </c>
      <c r="K552" s="25">
        <f>'PFAS Properties'!$P$36</f>
        <v>563.96399999999994</v>
      </c>
      <c r="L552" s="2">
        <f>'PFAS Properties'!$X$36</f>
        <v>-0.2</v>
      </c>
      <c r="M552" s="2" t="str">
        <f>'PFAS Properties'!$Y$36</f>
        <v>-</v>
      </c>
      <c r="N552" s="33">
        <v>0</v>
      </c>
      <c r="O552" s="33">
        <v>0</v>
      </c>
      <c r="P552" s="33">
        <v>0</v>
      </c>
      <c r="Q552" s="33">
        <f t="shared" si="266"/>
        <v>0.99999998004737722</v>
      </c>
      <c r="R552" s="33">
        <v>0</v>
      </c>
      <c r="S552" s="33">
        <f t="shared" si="267"/>
        <v>1.995262275158161E-8</v>
      </c>
      <c r="T552" s="8">
        <f t="shared" si="268"/>
        <v>1</v>
      </c>
      <c r="U552" s="33">
        <f t="shared" si="269"/>
        <v>0</v>
      </c>
      <c r="V552" s="33">
        <f t="shared" si="270"/>
        <v>-0.99999998004737722</v>
      </c>
      <c r="W552" s="33">
        <f t="shared" si="271"/>
        <v>562.96400001995255</v>
      </c>
      <c r="X552" s="33">
        <v>96485</v>
      </c>
      <c r="Y552" s="16">
        <f t="shared" si="272"/>
        <v>-171.38750980782356</v>
      </c>
      <c r="Z552" s="16">
        <v>11</v>
      </c>
      <c r="AA552" s="16">
        <v>21</v>
      </c>
      <c r="AB552" s="8">
        <f t="shared" si="273"/>
        <v>0.33082706766917291</v>
      </c>
      <c r="AC552" s="16">
        <f t="shared" si="265"/>
        <v>70.749196757239829</v>
      </c>
      <c r="AD552" s="20">
        <f>'PFAS Properties'!$W$36</f>
        <v>10</v>
      </c>
      <c r="AE552" s="8">
        <f>'PFAS Properties'!$S$36</f>
        <v>8.6001717619175692E-3</v>
      </c>
      <c r="AF552" s="15">
        <f>'PFAS Properties'!$V$36</f>
        <v>6.9</v>
      </c>
      <c r="AG552" s="26">
        <v>7.5</v>
      </c>
      <c r="AH552" s="1" t="s">
        <v>363</v>
      </c>
      <c r="AI552" s="6">
        <f>116*55.845/1000</f>
        <v>6.4780199999999999</v>
      </c>
      <c r="AJ552" s="3">
        <f>AI552*1000/55.845</f>
        <v>116</v>
      </c>
      <c r="AK552" s="8">
        <f t="shared" si="274"/>
        <v>0.64780199999999999</v>
      </c>
      <c r="AL552" s="6">
        <f>7*26.98/1000</f>
        <v>0.18886</v>
      </c>
      <c r="AM552" s="3">
        <f>AL552*1000/26.98</f>
        <v>7</v>
      </c>
      <c r="AN552" s="8">
        <f t="shared" si="275"/>
        <v>1.8886E-2</v>
      </c>
      <c r="AO552" s="3" t="s">
        <v>93</v>
      </c>
      <c r="AP552" s="15">
        <v>30</v>
      </c>
      <c r="AQ552" s="1" t="s">
        <v>363</v>
      </c>
      <c r="AR552" s="4">
        <v>49</v>
      </c>
      <c r="AS552" s="4">
        <v>25</v>
      </c>
      <c r="AT552" s="4">
        <v>26</v>
      </c>
      <c r="AU552" s="1" t="s">
        <v>363</v>
      </c>
      <c r="AV552" s="16">
        <f t="shared" si="262"/>
        <v>100</v>
      </c>
      <c r="AW552" s="27">
        <v>1.02</v>
      </c>
      <c r="AX552" s="5">
        <f t="shared" si="276"/>
        <v>1.0200000000000001E-2</v>
      </c>
      <c r="AY552" s="5" t="s">
        <v>87</v>
      </c>
      <c r="AZ552" s="39">
        <f>5/0.05</f>
        <v>100</v>
      </c>
      <c r="BA552" s="30" t="s">
        <v>55</v>
      </c>
      <c r="BB552" s="15">
        <f>1*K552/1000</f>
        <v>0.56396399999999991</v>
      </c>
      <c r="BC552" s="16">
        <f>200*K552/1000</f>
        <v>112.79279999999999</v>
      </c>
      <c r="BD552" s="26">
        <v>13.31</v>
      </c>
      <c r="BE552" s="16">
        <f t="shared" si="281"/>
        <v>1304.9019607843136</v>
      </c>
      <c r="BF552" s="8">
        <f t="shared" si="277"/>
        <v>3.1155778837127577</v>
      </c>
      <c r="BG552" s="8">
        <f t="shared" si="282"/>
        <v>1.1241780554746752</v>
      </c>
      <c r="BH552" s="13" t="s">
        <v>844</v>
      </c>
      <c r="BI552" s="13"/>
      <c r="BJ552" s="13"/>
      <c r="BK552" s="8"/>
      <c r="BL552" s="8"/>
      <c r="BM552" s="18"/>
      <c r="BN552" s="8"/>
      <c r="BO552" s="24"/>
      <c r="BP552" s="11"/>
      <c r="BQ552" s="11"/>
    </row>
    <row r="553" spans="1:69" x14ac:dyDescent="0.3">
      <c r="A553" s="20">
        <v>551</v>
      </c>
      <c r="B553" s="1" t="s">
        <v>873</v>
      </c>
      <c r="C553" s="1">
        <v>2007</v>
      </c>
      <c r="D553" s="1" t="s">
        <v>203</v>
      </c>
      <c r="E553" s="10" t="s">
        <v>225</v>
      </c>
      <c r="F553" s="7" t="s">
        <v>63</v>
      </c>
      <c r="G553" s="4">
        <v>3</v>
      </c>
      <c r="H553" s="2" t="str">
        <f>'PFAS Properties'!$B$36</f>
        <v>PFUnA</v>
      </c>
      <c r="I553" s="2" t="str">
        <f>'PFAS Properties'!$C$36</f>
        <v>PFCA</v>
      </c>
      <c r="J553" s="2" t="str">
        <f>'PFAS Properties'!$D$36</f>
        <v>C11HF21O2</v>
      </c>
      <c r="K553" s="25">
        <f>'PFAS Properties'!$P$36</f>
        <v>563.96399999999994</v>
      </c>
      <c r="L553" s="2">
        <f>'PFAS Properties'!$X$36</f>
        <v>-0.2</v>
      </c>
      <c r="M553" s="2" t="str">
        <f>'PFAS Properties'!$Y$36</f>
        <v>-</v>
      </c>
      <c r="N553" s="33">
        <v>0</v>
      </c>
      <c r="O553" s="33">
        <v>0</v>
      </c>
      <c r="P553" s="33">
        <v>0</v>
      </c>
      <c r="Q553" s="33">
        <f t="shared" si="266"/>
        <v>0.99999998415106828</v>
      </c>
      <c r="R553" s="33">
        <v>0</v>
      </c>
      <c r="S553" s="33">
        <f t="shared" si="267"/>
        <v>1.5848931673422493E-8</v>
      </c>
      <c r="T553" s="8">
        <f t="shared" si="268"/>
        <v>1</v>
      </c>
      <c r="U553" s="33">
        <f t="shared" si="269"/>
        <v>0</v>
      </c>
      <c r="V553" s="33">
        <f t="shared" si="270"/>
        <v>-0.99999998415106828</v>
      </c>
      <c r="W553" s="33">
        <f t="shared" si="271"/>
        <v>562.9640000158488</v>
      </c>
      <c r="X553" s="33">
        <v>96485</v>
      </c>
      <c r="Y553" s="16">
        <f t="shared" si="272"/>
        <v>-171.3875105123943</v>
      </c>
      <c r="Z553" s="16">
        <v>11</v>
      </c>
      <c r="AA553" s="16">
        <v>21</v>
      </c>
      <c r="AB553" s="8">
        <f t="shared" si="273"/>
        <v>0.33082706766917291</v>
      </c>
      <c r="AC553" s="16">
        <f t="shared" si="265"/>
        <v>70.749196757239829</v>
      </c>
      <c r="AD553" s="20">
        <f>'PFAS Properties'!$W$36</f>
        <v>10</v>
      </c>
      <c r="AE553" s="8">
        <f>'PFAS Properties'!$S$36</f>
        <v>8.6001717619175692E-3</v>
      </c>
      <c r="AF553" s="15">
        <f>'PFAS Properties'!$V$36</f>
        <v>6.9</v>
      </c>
      <c r="AG553" s="26">
        <v>7.6</v>
      </c>
      <c r="AH553" s="1" t="s">
        <v>363</v>
      </c>
      <c r="AI553" s="6">
        <f>121*55.85/1000</f>
        <v>6.7578500000000004</v>
      </c>
      <c r="AJ553" s="3">
        <f>AI553*1000/55.845</f>
        <v>121.01083355716717</v>
      </c>
      <c r="AK553" s="8">
        <f t="shared" si="274"/>
        <v>0.67578500000000008</v>
      </c>
      <c r="AL553" s="6">
        <f>14*26.98/1000</f>
        <v>0.37772</v>
      </c>
      <c r="AM553" s="3">
        <f>AL553*1000/26.98</f>
        <v>14</v>
      </c>
      <c r="AN553" s="8">
        <f t="shared" si="275"/>
        <v>3.7772E-2</v>
      </c>
      <c r="AO553" s="3" t="s">
        <v>93</v>
      </c>
      <c r="AP553" s="15">
        <v>32.1</v>
      </c>
      <c r="AQ553" s="1" t="s">
        <v>363</v>
      </c>
      <c r="AR553" s="4">
        <v>31</v>
      </c>
      <c r="AS553" s="4">
        <v>38</v>
      </c>
      <c r="AT553" s="4">
        <v>31</v>
      </c>
      <c r="AU553" s="1" t="s">
        <v>363</v>
      </c>
      <c r="AV553" s="16">
        <f t="shared" si="262"/>
        <v>100</v>
      </c>
      <c r="AW553" s="27">
        <v>4.34</v>
      </c>
      <c r="AX553" s="5">
        <f t="shared" si="276"/>
        <v>4.3400000000000001E-2</v>
      </c>
      <c r="AY553" s="5" t="s">
        <v>87</v>
      </c>
      <c r="AZ553" s="39">
        <f>5/0.05</f>
        <v>100</v>
      </c>
      <c r="BA553" s="30" t="s">
        <v>55</v>
      </c>
      <c r="BB553" s="15">
        <f>1*K553/1000</f>
        <v>0.56396399999999991</v>
      </c>
      <c r="BC553" s="16">
        <f>200*K553/1000</f>
        <v>112.79279999999999</v>
      </c>
      <c r="BD553" s="26">
        <v>101.59</v>
      </c>
      <c r="BE553" s="16">
        <f t="shared" si="281"/>
        <v>2340.7834101382487</v>
      </c>
      <c r="BF553" s="8">
        <f t="shared" si="277"/>
        <v>3.3693612308117613</v>
      </c>
      <c r="BG553" s="8">
        <f t="shared" si="282"/>
        <v>2.0068509603242721</v>
      </c>
      <c r="BH553" s="13" t="s">
        <v>844</v>
      </c>
      <c r="BI553" s="13"/>
      <c r="BJ553" s="13"/>
      <c r="BK553" s="8"/>
      <c r="BL553" s="8"/>
      <c r="BM553" s="18"/>
      <c r="BN553" s="8"/>
      <c r="BO553" s="24"/>
      <c r="BP553" s="11"/>
      <c r="BQ553" s="11"/>
    </row>
    <row r="554" spans="1:69" x14ac:dyDescent="0.3">
      <c r="A554" s="20">
        <v>552</v>
      </c>
      <c r="B554" s="1" t="s">
        <v>873</v>
      </c>
      <c r="C554" s="1">
        <v>2007</v>
      </c>
      <c r="D554" s="1" t="s">
        <v>203</v>
      </c>
      <c r="E554" s="10" t="s">
        <v>225</v>
      </c>
      <c r="F554" s="7" t="s">
        <v>63</v>
      </c>
      <c r="G554" s="4">
        <v>4</v>
      </c>
      <c r="H554" s="2" t="str">
        <f>'PFAS Properties'!$B$36</f>
        <v>PFUnA</v>
      </c>
      <c r="I554" s="2" t="str">
        <f>'PFAS Properties'!$C$36</f>
        <v>PFCA</v>
      </c>
      <c r="J554" s="2" t="str">
        <f>'PFAS Properties'!$D$36</f>
        <v>C11HF21O2</v>
      </c>
      <c r="K554" s="25">
        <f>'PFAS Properties'!$P$36</f>
        <v>563.96399999999994</v>
      </c>
      <c r="L554" s="2">
        <f>'PFAS Properties'!$X$36</f>
        <v>-0.2</v>
      </c>
      <c r="M554" s="2" t="str">
        <f>'PFAS Properties'!$Y$36</f>
        <v>-</v>
      </c>
      <c r="N554" s="33">
        <v>0</v>
      </c>
      <c r="O554" s="33">
        <v>0</v>
      </c>
      <c r="P554" s="33">
        <v>0</v>
      </c>
      <c r="Q554" s="33">
        <f t="shared" si="266"/>
        <v>0.99999974881141995</v>
      </c>
      <c r="R554" s="33">
        <v>0</v>
      </c>
      <c r="S554" s="33">
        <f t="shared" si="267"/>
        <v>2.5118858005523878E-7</v>
      </c>
      <c r="T554" s="8">
        <f t="shared" si="268"/>
        <v>1</v>
      </c>
      <c r="U554" s="33">
        <f t="shared" si="269"/>
        <v>0</v>
      </c>
      <c r="V554" s="33">
        <f t="shared" si="270"/>
        <v>-0.99999974881141995</v>
      </c>
      <c r="W554" s="33">
        <f t="shared" si="271"/>
        <v>562.96400025118851</v>
      </c>
      <c r="X554" s="33">
        <v>96485</v>
      </c>
      <c r="Y554" s="16">
        <f t="shared" si="272"/>
        <v>-171.38747010647091</v>
      </c>
      <c r="Z554" s="16">
        <v>11</v>
      </c>
      <c r="AA554" s="16">
        <v>21</v>
      </c>
      <c r="AB554" s="8">
        <f t="shared" si="273"/>
        <v>0.33082706766917291</v>
      </c>
      <c r="AC554" s="16">
        <f t="shared" si="265"/>
        <v>70.749196757239829</v>
      </c>
      <c r="AD554" s="20">
        <f>'PFAS Properties'!$W$36</f>
        <v>10</v>
      </c>
      <c r="AE554" s="8">
        <f>'PFAS Properties'!$S$36</f>
        <v>8.6001717619175692E-3</v>
      </c>
      <c r="AF554" s="15">
        <f>'PFAS Properties'!$V$36</f>
        <v>6.9</v>
      </c>
      <c r="AG554" s="26">
        <v>6.4</v>
      </c>
      <c r="AH554" s="1" t="s">
        <v>363</v>
      </c>
      <c r="AI554" s="6">
        <f>1025*55.874/1000</f>
        <v>57.270850000000003</v>
      </c>
      <c r="AJ554" s="3">
        <f>AI554*1000/55.845</f>
        <v>1025.5322768376759</v>
      </c>
      <c r="AK554" s="8">
        <f t="shared" si="274"/>
        <v>5.7270850000000006</v>
      </c>
      <c r="AL554" s="6">
        <f>171*26.98/1000</f>
        <v>4.6135799999999998</v>
      </c>
      <c r="AM554" s="3">
        <f>AL554*1000/26.98</f>
        <v>171</v>
      </c>
      <c r="AN554" s="8">
        <f t="shared" si="275"/>
        <v>0.46135799999999999</v>
      </c>
      <c r="AO554" s="3" t="s">
        <v>93</v>
      </c>
      <c r="AP554" s="15">
        <v>32.1</v>
      </c>
      <c r="AQ554" s="1" t="s">
        <v>363</v>
      </c>
      <c r="AR554" s="4">
        <v>65</v>
      </c>
      <c r="AS554" s="4">
        <v>22</v>
      </c>
      <c r="AT554" s="4">
        <v>13</v>
      </c>
      <c r="AU554" s="1" t="s">
        <v>363</v>
      </c>
      <c r="AV554" s="16">
        <f t="shared" si="262"/>
        <v>100</v>
      </c>
      <c r="AW554" s="27">
        <v>0.56000000000000005</v>
      </c>
      <c r="AX554" s="5">
        <f t="shared" si="276"/>
        <v>5.6000000000000008E-3</v>
      </c>
      <c r="AY554" s="5" t="s">
        <v>87</v>
      </c>
      <c r="AZ554" s="39">
        <f>5/0.05</f>
        <v>100</v>
      </c>
      <c r="BA554" s="30" t="s">
        <v>55</v>
      </c>
      <c r="BB554" s="15">
        <f>1*K554/1000</f>
        <v>0.56396399999999991</v>
      </c>
      <c r="BC554" s="16">
        <f>200*K554/1000</f>
        <v>112.79279999999999</v>
      </c>
      <c r="BD554" s="26">
        <v>5.47</v>
      </c>
      <c r="BE554" s="16">
        <f t="shared" si="281"/>
        <v>976.78571428571411</v>
      </c>
      <c r="BF554" s="8">
        <f t="shared" si="277"/>
        <v>2.9897992993272302</v>
      </c>
      <c r="BG554" s="8">
        <f t="shared" si="282"/>
        <v>0.73798732633343078</v>
      </c>
      <c r="BH554" s="13" t="s">
        <v>844</v>
      </c>
      <c r="BI554" s="13"/>
      <c r="BJ554" s="13"/>
      <c r="BK554" s="8"/>
      <c r="BL554" s="8"/>
      <c r="BM554" s="18"/>
      <c r="BN554" s="8"/>
      <c r="BO554" s="24"/>
      <c r="BP554" s="11"/>
      <c r="BQ554" s="11"/>
    </row>
    <row r="555" spans="1:69" x14ac:dyDescent="0.3">
      <c r="A555" s="20">
        <v>553</v>
      </c>
      <c r="B555" s="1" t="s">
        <v>873</v>
      </c>
      <c r="C555" s="1">
        <v>2007</v>
      </c>
      <c r="D555" s="1" t="s">
        <v>203</v>
      </c>
      <c r="E555" s="10" t="s">
        <v>225</v>
      </c>
      <c r="F555" s="7" t="s">
        <v>63</v>
      </c>
      <c r="G555" s="4">
        <v>5</v>
      </c>
      <c r="H555" s="2" t="str">
        <f>'PFAS Properties'!$B$36</f>
        <v>PFUnA</v>
      </c>
      <c r="I555" s="2" t="str">
        <f>'PFAS Properties'!$C$36</f>
        <v>PFCA</v>
      </c>
      <c r="J555" s="2" t="str">
        <f>'PFAS Properties'!$D$36</f>
        <v>C11HF21O2</v>
      </c>
      <c r="K555" s="25">
        <f>'PFAS Properties'!$P$36</f>
        <v>563.96399999999994</v>
      </c>
      <c r="L555" s="2">
        <f>'PFAS Properties'!$X$36</f>
        <v>-0.2</v>
      </c>
      <c r="M555" s="2" t="str">
        <f>'PFAS Properties'!$Y$36</f>
        <v>-</v>
      </c>
      <c r="N555" s="33">
        <v>0</v>
      </c>
      <c r="O555" s="33">
        <v>0</v>
      </c>
      <c r="P555" s="33">
        <v>0</v>
      </c>
      <c r="Q555" s="33">
        <f t="shared" si="266"/>
        <v>0.99999874107617315</v>
      </c>
      <c r="R555" s="33">
        <v>0</v>
      </c>
      <c r="S555" s="33">
        <f t="shared" si="267"/>
        <v>1.2589238269029671E-6</v>
      </c>
      <c r="T555" s="8">
        <f t="shared" si="268"/>
        <v>1</v>
      </c>
      <c r="U555" s="33">
        <f t="shared" si="269"/>
        <v>0</v>
      </c>
      <c r="V555" s="33">
        <f t="shared" si="270"/>
        <v>-0.99999874107617315</v>
      </c>
      <c r="W555" s="33">
        <f t="shared" si="271"/>
        <v>562.96400125892376</v>
      </c>
      <c r="X555" s="33">
        <v>96485</v>
      </c>
      <c r="Y555" s="16">
        <f t="shared" si="272"/>
        <v>-171.38729708644075</v>
      </c>
      <c r="Z555" s="16">
        <v>11</v>
      </c>
      <c r="AA555" s="16">
        <v>21</v>
      </c>
      <c r="AB555" s="8">
        <f t="shared" si="273"/>
        <v>0.33082706766917291</v>
      </c>
      <c r="AC555" s="16">
        <f t="shared" si="265"/>
        <v>70.749196757239829</v>
      </c>
      <c r="AD555" s="20">
        <f>'PFAS Properties'!$W$36</f>
        <v>10</v>
      </c>
      <c r="AE555" s="8">
        <f>'PFAS Properties'!$S$36</f>
        <v>8.6001717619175692E-3</v>
      </c>
      <c r="AF555" s="15">
        <f>'PFAS Properties'!$V$36</f>
        <v>6.9</v>
      </c>
      <c r="AG555" s="26">
        <v>5.7</v>
      </c>
      <c r="AH555" s="1" t="s">
        <v>363</v>
      </c>
      <c r="AI555" s="6">
        <f>268*55.85/1000</f>
        <v>14.9678</v>
      </c>
      <c r="AJ555" s="3">
        <f>AI555*1000/55.845</f>
        <v>268.02399498612232</v>
      </c>
      <c r="AK555" s="8">
        <f t="shared" si="274"/>
        <v>1.49678</v>
      </c>
      <c r="AL555" s="6">
        <f>90*26.98/1000</f>
        <v>2.4281999999999999</v>
      </c>
      <c r="AM555" s="3">
        <f>AL555*1000/26.98</f>
        <v>89.999999999999986</v>
      </c>
      <c r="AN555" s="8">
        <f t="shared" si="275"/>
        <v>0.24281999999999998</v>
      </c>
      <c r="AO555" s="3" t="s">
        <v>93</v>
      </c>
      <c r="AP555" s="15">
        <v>22</v>
      </c>
      <c r="AQ555" s="1" t="s">
        <v>363</v>
      </c>
      <c r="AR555" s="4">
        <v>80</v>
      </c>
      <c r="AS555" s="4">
        <v>15</v>
      </c>
      <c r="AT555" s="4">
        <v>5</v>
      </c>
      <c r="AU555" s="1" t="s">
        <v>363</v>
      </c>
      <c r="AV555" s="16">
        <f t="shared" si="262"/>
        <v>100</v>
      </c>
      <c r="AW555" s="27">
        <v>9.66</v>
      </c>
      <c r="AX555" s="5">
        <f t="shared" si="276"/>
        <v>9.6600000000000005E-2</v>
      </c>
      <c r="AY555" s="5" t="s">
        <v>87</v>
      </c>
      <c r="AZ555" s="39">
        <f>5/0.05</f>
        <v>100</v>
      </c>
      <c r="BA555" s="30" t="s">
        <v>55</v>
      </c>
      <c r="BB555" s="15">
        <f>1*K555/1000</f>
        <v>0.56396399999999991</v>
      </c>
      <c r="BC555" s="16">
        <f>200*K555/1000</f>
        <v>112.79279999999999</v>
      </c>
      <c r="BD555" s="26">
        <v>276.89</v>
      </c>
      <c r="BE555" s="16">
        <f t="shared" si="281"/>
        <v>2866.3561076604551</v>
      </c>
      <c r="BF555" s="8">
        <f t="shared" si="277"/>
        <v>3.4573301448835601</v>
      </c>
      <c r="BG555" s="8">
        <f t="shared" si="282"/>
        <v>2.442307271299053</v>
      </c>
      <c r="BH555" s="13" t="s">
        <v>844</v>
      </c>
      <c r="BI555" s="16"/>
      <c r="BJ555" s="13"/>
      <c r="BK555" s="8"/>
      <c r="BL555" s="8"/>
      <c r="BM555" s="18"/>
      <c r="BN555" s="8"/>
      <c r="BO555" s="24"/>
      <c r="BP555" s="11"/>
      <c r="BQ555" s="11"/>
    </row>
    <row r="556" spans="1:69" s="14" customFormat="1" x14ac:dyDescent="0.3">
      <c r="A556" s="20">
        <v>554</v>
      </c>
      <c r="B556" s="2" t="s">
        <v>202</v>
      </c>
      <c r="C556" s="2">
        <v>2019</v>
      </c>
      <c r="D556" s="2" t="s">
        <v>199</v>
      </c>
      <c r="E556" s="10" t="s">
        <v>791</v>
      </c>
      <c r="F556" s="20" t="s">
        <v>29</v>
      </c>
      <c r="G556" s="2" t="s">
        <v>39</v>
      </c>
      <c r="H556" s="2" t="str">
        <f>'PFAS Properties'!$B$36</f>
        <v>PFUnA</v>
      </c>
      <c r="I556" s="2" t="str">
        <f>'PFAS Properties'!$C$36</f>
        <v>PFCA</v>
      </c>
      <c r="J556" s="2" t="str">
        <f>'PFAS Properties'!$D$36</f>
        <v>C11HF21O2</v>
      </c>
      <c r="K556" s="25">
        <f>'PFAS Properties'!$P$36</f>
        <v>563.96399999999994</v>
      </c>
      <c r="L556" s="2">
        <f>'PFAS Properties'!$X$36</f>
        <v>-0.2</v>
      </c>
      <c r="M556" s="2" t="str">
        <f>'PFAS Properties'!$Y$36</f>
        <v>-</v>
      </c>
      <c r="N556" s="33">
        <v>0</v>
      </c>
      <c r="O556" s="33">
        <v>0</v>
      </c>
      <c r="P556" s="33">
        <v>0</v>
      </c>
      <c r="Q556" s="33">
        <f t="shared" si="266"/>
        <v>0.9999964518786969</v>
      </c>
      <c r="R556" s="33">
        <v>0</v>
      </c>
      <c r="S556" s="33">
        <f t="shared" si="267"/>
        <v>3.5481213031263005E-6</v>
      </c>
      <c r="T556" s="8">
        <f t="shared" si="268"/>
        <v>1</v>
      </c>
      <c r="U556" s="33">
        <f t="shared" si="269"/>
        <v>0</v>
      </c>
      <c r="V556" s="33">
        <f t="shared" si="270"/>
        <v>-0.9999964518786969</v>
      </c>
      <c r="W556" s="33">
        <f t="shared" si="271"/>
        <v>562.96400354812124</v>
      </c>
      <c r="X556" s="33">
        <v>96485</v>
      </c>
      <c r="Y556" s="16">
        <f t="shared" si="272"/>
        <v>-171.38690404966312</v>
      </c>
      <c r="Z556" s="16">
        <v>11</v>
      </c>
      <c r="AA556" s="16">
        <v>21</v>
      </c>
      <c r="AB556" s="8">
        <f t="shared" si="273"/>
        <v>0.33082706766917291</v>
      </c>
      <c r="AC556" s="16">
        <f t="shared" si="265"/>
        <v>70.749196757239829</v>
      </c>
      <c r="AD556" s="20">
        <f>'PFAS Properties'!$W$36</f>
        <v>10</v>
      </c>
      <c r="AE556" s="8">
        <f>'PFAS Properties'!$S$36</f>
        <v>8.6001717619175692E-3</v>
      </c>
      <c r="AF556" s="15">
        <f>'PFAS Properties'!$V$36</f>
        <v>6.9</v>
      </c>
      <c r="AG556" s="24">
        <v>5.25</v>
      </c>
      <c r="AH556" s="2" t="s">
        <v>661</v>
      </c>
      <c r="AI556" s="2" t="s">
        <v>661</v>
      </c>
      <c r="AJ556" s="2" t="s">
        <v>661</v>
      </c>
      <c r="AK556" s="2" t="s">
        <v>661</v>
      </c>
      <c r="AL556" s="2" t="s">
        <v>661</v>
      </c>
      <c r="AM556" s="2" t="s">
        <v>661</v>
      </c>
      <c r="AN556" s="2" t="s">
        <v>661</v>
      </c>
      <c r="AO556" s="2" t="s">
        <v>661</v>
      </c>
      <c r="AP556" s="72">
        <v>5.7023166666666656</v>
      </c>
      <c r="AQ556" s="70" t="s">
        <v>752</v>
      </c>
      <c r="AR556" s="16">
        <v>100</v>
      </c>
      <c r="AS556" s="16">
        <v>0</v>
      </c>
      <c r="AT556" s="16">
        <v>0</v>
      </c>
      <c r="AU556" s="2" t="s">
        <v>661</v>
      </c>
      <c r="AV556" s="16">
        <f t="shared" si="262"/>
        <v>100</v>
      </c>
      <c r="AW556" s="18">
        <v>0.4</v>
      </c>
      <c r="AX556" s="13">
        <f t="shared" si="276"/>
        <v>4.0000000000000001E-3</v>
      </c>
      <c r="AY556" s="13" t="s">
        <v>658</v>
      </c>
      <c r="AZ556" s="16">
        <f>2/0.01</f>
        <v>200</v>
      </c>
      <c r="BA556" s="16" t="s">
        <v>55</v>
      </c>
      <c r="BB556" s="16">
        <v>1</v>
      </c>
      <c r="BC556" s="16">
        <v>1000</v>
      </c>
      <c r="BD556" s="18">
        <v>84</v>
      </c>
      <c r="BE556" s="15">
        <f t="shared" si="281"/>
        <v>21000</v>
      </c>
      <c r="BF556" s="8">
        <f t="shared" si="277"/>
        <v>4.3222192947339195</v>
      </c>
      <c r="BG556" s="8">
        <f t="shared" si="282"/>
        <v>1.9242792860618816</v>
      </c>
      <c r="BH556" s="13" t="s">
        <v>272</v>
      </c>
      <c r="BI556" s="13"/>
      <c r="BJ556" s="13"/>
      <c r="BK556" s="13"/>
      <c r="BL556" s="13"/>
      <c r="BM556" s="17"/>
      <c r="BN556" s="17"/>
      <c r="BO556" s="2"/>
    </row>
    <row r="557" spans="1:69" s="14" customFormat="1" x14ac:dyDescent="0.3">
      <c r="A557" s="20">
        <v>555</v>
      </c>
      <c r="B557" s="2" t="s">
        <v>202</v>
      </c>
      <c r="C557" s="2">
        <v>2019</v>
      </c>
      <c r="D557" s="2" t="s">
        <v>199</v>
      </c>
      <c r="E557" s="10" t="s">
        <v>791</v>
      </c>
      <c r="F557" s="20" t="s">
        <v>29</v>
      </c>
      <c r="G557" s="2" t="s">
        <v>43</v>
      </c>
      <c r="H557" s="2" t="str">
        <f>'PFAS Properties'!$B$36</f>
        <v>PFUnA</v>
      </c>
      <c r="I557" s="2" t="str">
        <f>'PFAS Properties'!$C$36</f>
        <v>PFCA</v>
      </c>
      <c r="J557" s="2" t="str">
        <f>'PFAS Properties'!$D$36</f>
        <v>C11HF21O2</v>
      </c>
      <c r="K557" s="25">
        <f>'PFAS Properties'!$P$36</f>
        <v>563.96399999999994</v>
      </c>
      <c r="L557" s="2">
        <f>'PFAS Properties'!$X$36</f>
        <v>-0.2</v>
      </c>
      <c r="M557" s="2" t="str">
        <f>'PFAS Properties'!$Y$36</f>
        <v>-</v>
      </c>
      <c r="N557" s="33">
        <v>0</v>
      </c>
      <c r="O557" s="33">
        <v>0</v>
      </c>
      <c r="P557" s="33">
        <v>0</v>
      </c>
      <c r="Q557" s="33">
        <f t="shared" si="266"/>
        <v>0.99999865103893715</v>
      </c>
      <c r="R557" s="33">
        <v>0</v>
      </c>
      <c r="S557" s="33">
        <f t="shared" si="267"/>
        <v>1.3489610628932487E-6</v>
      </c>
      <c r="T557" s="8">
        <f t="shared" si="268"/>
        <v>1</v>
      </c>
      <c r="U557" s="33">
        <f t="shared" si="269"/>
        <v>0</v>
      </c>
      <c r="V557" s="33">
        <f t="shared" si="270"/>
        <v>-0.99999865103893715</v>
      </c>
      <c r="W557" s="33">
        <f t="shared" si="271"/>
        <v>562.96400134896112</v>
      </c>
      <c r="X557" s="33">
        <v>96485</v>
      </c>
      <c r="Y557" s="16">
        <f t="shared" si="272"/>
        <v>-171.38728162777207</v>
      </c>
      <c r="Z557" s="16">
        <v>11</v>
      </c>
      <c r="AA557" s="16">
        <v>21</v>
      </c>
      <c r="AB557" s="8">
        <f t="shared" si="273"/>
        <v>0.33082706766917291</v>
      </c>
      <c r="AC557" s="16">
        <f t="shared" si="265"/>
        <v>70.749196757239829</v>
      </c>
      <c r="AD557" s="20">
        <f>'PFAS Properties'!$W$36</f>
        <v>10</v>
      </c>
      <c r="AE557" s="8">
        <f>'PFAS Properties'!$S$36</f>
        <v>8.6001717619175692E-3</v>
      </c>
      <c r="AF557" s="15">
        <f>'PFAS Properties'!$V$36</f>
        <v>6.9</v>
      </c>
      <c r="AG557" s="24">
        <v>5.67</v>
      </c>
      <c r="AH557" s="2" t="s">
        <v>661</v>
      </c>
      <c r="AI557" s="15" t="s">
        <v>661</v>
      </c>
      <c r="AJ557" s="16" t="s">
        <v>661</v>
      </c>
      <c r="AK557" s="2" t="s">
        <v>661</v>
      </c>
      <c r="AL557" s="15" t="s">
        <v>661</v>
      </c>
      <c r="AM557" s="16" t="s">
        <v>661</v>
      </c>
      <c r="AN557" s="2" t="s">
        <v>661</v>
      </c>
      <c r="AO557" s="2" t="s">
        <v>661</v>
      </c>
      <c r="AP557" s="72">
        <v>9.2037666666666649</v>
      </c>
      <c r="AQ557" s="70" t="s">
        <v>752</v>
      </c>
      <c r="AR557" s="16">
        <v>71</v>
      </c>
      <c r="AS557" s="16">
        <v>24</v>
      </c>
      <c r="AT557" s="16">
        <v>5</v>
      </c>
      <c r="AU557" s="2" t="s">
        <v>661</v>
      </c>
      <c r="AV557" s="16">
        <f t="shared" si="262"/>
        <v>100</v>
      </c>
      <c r="AW557" s="18">
        <v>0.93</v>
      </c>
      <c r="AX557" s="13">
        <f t="shared" si="276"/>
        <v>9.300000000000001E-3</v>
      </c>
      <c r="AY557" s="13" t="s">
        <v>658</v>
      </c>
      <c r="AZ557" s="16">
        <f>2/0.01</f>
        <v>200</v>
      </c>
      <c r="BA557" s="16" t="s">
        <v>55</v>
      </c>
      <c r="BB557" s="16">
        <v>1</v>
      </c>
      <c r="BC557" s="16">
        <v>1000</v>
      </c>
      <c r="BD557" s="18">
        <v>109</v>
      </c>
      <c r="BE557" s="15">
        <f t="shared" si="281"/>
        <v>11720.430107526881</v>
      </c>
      <c r="BF557" s="8">
        <f t="shared" si="277"/>
        <v>4.0689435493866881</v>
      </c>
      <c r="BG557" s="8">
        <f t="shared" si="282"/>
        <v>2.0374264979406238</v>
      </c>
      <c r="BH557" s="13" t="s">
        <v>272</v>
      </c>
      <c r="BI557" s="13"/>
      <c r="BJ557" s="13"/>
      <c r="BK557" s="13"/>
      <c r="BL557" s="13"/>
      <c r="BM557" s="17"/>
      <c r="BN557" s="17"/>
      <c r="BO557" s="2"/>
    </row>
    <row r="558" spans="1:69" s="14" customFormat="1" x14ac:dyDescent="0.3">
      <c r="A558" s="20">
        <v>556</v>
      </c>
      <c r="B558" s="2" t="s">
        <v>195</v>
      </c>
      <c r="C558" s="2">
        <v>2022</v>
      </c>
      <c r="D558" s="2" t="s">
        <v>199</v>
      </c>
      <c r="E558" s="10" t="s">
        <v>798</v>
      </c>
      <c r="F558" s="20" t="s">
        <v>29</v>
      </c>
      <c r="G558" s="2" t="s">
        <v>237</v>
      </c>
      <c r="H558" s="2" t="str">
        <f>'PFAS Properties'!$B$36</f>
        <v>PFUnA</v>
      </c>
      <c r="I558" s="2" t="str">
        <f>'PFAS Properties'!$C$36</f>
        <v>PFCA</v>
      </c>
      <c r="J558" s="2" t="str">
        <f>'PFAS Properties'!$D$36</f>
        <v>C11HF21O2</v>
      </c>
      <c r="K558" s="25">
        <f>'PFAS Properties'!$P$36</f>
        <v>563.96399999999994</v>
      </c>
      <c r="L558" s="2">
        <f>'PFAS Properties'!$X$36</f>
        <v>-0.2</v>
      </c>
      <c r="M558" s="2" t="str">
        <f>'PFAS Properties'!$Y$36</f>
        <v>-</v>
      </c>
      <c r="N558" s="33">
        <v>0</v>
      </c>
      <c r="O558" s="33">
        <v>0</v>
      </c>
      <c r="P558" s="33">
        <v>0</v>
      </c>
      <c r="Q558" s="33">
        <f t="shared" si="266"/>
        <v>0.99984153579563773</v>
      </c>
      <c r="R558" s="33">
        <v>0</v>
      </c>
      <c r="S558" s="33">
        <f t="shared" si="267"/>
        <v>1.5846420436223696E-4</v>
      </c>
      <c r="T558" s="8">
        <f t="shared" si="268"/>
        <v>1</v>
      </c>
      <c r="U558" s="33">
        <f t="shared" si="269"/>
        <v>0</v>
      </c>
      <c r="V558" s="33">
        <f t="shared" si="270"/>
        <v>-0.99984153579563773</v>
      </c>
      <c r="W558" s="33">
        <f t="shared" si="271"/>
        <v>562.96415846420427</v>
      </c>
      <c r="X558" s="33">
        <v>96485</v>
      </c>
      <c r="Y558" s="16">
        <f t="shared" si="272"/>
        <v>-171.360306212773</v>
      </c>
      <c r="Z558" s="16">
        <v>11</v>
      </c>
      <c r="AA558" s="16">
        <v>21</v>
      </c>
      <c r="AB558" s="8">
        <f t="shared" si="273"/>
        <v>0.33082706766917291</v>
      </c>
      <c r="AC558" s="16">
        <f t="shared" si="265"/>
        <v>70.749196757239829</v>
      </c>
      <c r="AD558" s="20">
        <f>'PFAS Properties'!$W$36</f>
        <v>10</v>
      </c>
      <c r="AE558" s="8">
        <f>'PFAS Properties'!$S$36</f>
        <v>8.6001717619175692E-3</v>
      </c>
      <c r="AF558" s="15">
        <f>'PFAS Properties'!$V$36</f>
        <v>6.9</v>
      </c>
      <c r="AG558" s="24">
        <v>3.6</v>
      </c>
      <c r="AH558" s="2" t="s">
        <v>832</v>
      </c>
      <c r="AI558" s="8">
        <f>(6.8*55.845)/1000</f>
        <v>0.37974599999999997</v>
      </c>
      <c r="AJ558" s="15">
        <f>AI558*1000/55.845</f>
        <v>6.8</v>
      </c>
      <c r="AK558" s="8">
        <f>AI558/10</f>
        <v>3.7974599999999997E-2</v>
      </c>
      <c r="AL558" s="8">
        <f>(4*26.982)/1000</f>
        <v>0.107928</v>
      </c>
      <c r="AM558" s="15">
        <f>AL558*1000/55.845</f>
        <v>1.932634971796938</v>
      </c>
      <c r="AN558" s="8">
        <f>AL558/10</f>
        <v>1.07928E-2</v>
      </c>
      <c r="AO558" s="2" t="s">
        <v>86</v>
      </c>
      <c r="AP558" s="72">
        <v>14.768748</v>
      </c>
      <c r="AQ558" s="70" t="s">
        <v>752</v>
      </c>
      <c r="AR558" s="71">
        <v>37.396533331999997</v>
      </c>
      <c r="AS558" s="71">
        <v>37.430266667999987</v>
      </c>
      <c r="AT558" s="71">
        <v>24.989000000000001</v>
      </c>
      <c r="AU558" s="70" t="s">
        <v>752</v>
      </c>
      <c r="AV558" s="16">
        <f t="shared" ref="AV558:AV560" si="283">SUM(AR558:AT558)</f>
        <v>99.815799999999996</v>
      </c>
      <c r="AW558" s="18">
        <v>44.9</v>
      </c>
      <c r="AX558" s="13">
        <f t="shared" si="276"/>
        <v>0.44900000000000001</v>
      </c>
      <c r="AY558" s="8" t="s">
        <v>240</v>
      </c>
      <c r="AZ558" s="16">
        <f t="shared" ref="AZ558:AZ560" si="284">0.75/0.03</f>
        <v>25</v>
      </c>
      <c r="BA558" s="16" t="s">
        <v>55</v>
      </c>
      <c r="BB558" s="16">
        <f>12*K558/1000</f>
        <v>6.7675679999999989</v>
      </c>
      <c r="BC558" s="16" t="s">
        <v>55</v>
      </c>
      <c r="BD558" s="25">
        <f>(10^(3.4)*AX558)</f>
        <v>1127.8370077478019</v>
      </c>
      <c r="BE558" s="16">
        <f t="shared" si="281"/>
        <v>2511.8864315095811</v>
      </c>
      <c r="BF558" s="8">
        <f t="shared" si="277"/>
        <v>3.4000000000000004</v>
      </c>
      <c r="BG558" s="8">
        <f t="shared" si="282"/>
        <v>3.0522463410033231</v>
      </c>
      <c r="BH558" s="2" t="s">
        <v>824</v>
      </c>
      <c r="BI558" s="16"/>
      <c r="BJ558" s="13"/>
      <c r="BK558" s="13"/>
      <c r="BL558" s="8"/>
      <c r="BM558" s="18"/>
      <c r="BN558" s="8"/>
      <c r="BO558" s="24"/>
    </row>
    <row r="559" spans="1:69" s="94" customFormat="1" x14ac:dyDescent="0.3">
      <c r="A559" s="83">
        <v>557</v>
      </c>
      <c r="B559" s="84" t="s">
        <v>195</v>
      </c>
      <c r="C559" s="84">
        <v>2022</v>
      </c>
      <c r="D559" s="84" t="s">
        <v>199</v>
      </c>
      <c r="E559" s="98" t="s">
        <v>798</v>
      </c>
      <c r="F559" s="83" t="s">
        <v>29</v>
      </c>
      <c r="G559" s="84" t="s">
        <v>238</v>
      </c>
      <c r="H559" s="84" t="str">
        <f>'PFAS Properties'!$B$36</f>
        <v>PFUnA</v>
      </c>
      <c r="I559" s="84" t="str">
        <f>'PFAS Properties'!$C$36</f>
        <v>PFCA</v>
      </c>
      <c r="J559" s="84" t="str">
        <f>'PFAS Properties'!$D$36</f>
        <v>C11HF21O2</v>
      </c>
      <c r="K559" s="99">
        <f>'PFAS Properties'!$P$36</f>
        <v>563.96399999999994</v>
      </c>
      <c r="L559" s="84">
        <f>'PFAS Properties'!$X$36</f>
        <v>-0.2</v>
      </c>
      <c r="M559" s="84" t="str">
        <f>'PFAS Properties'!$Y$36</f>
        <v>-</v>
      </c>
      <c r="N559" s="87">
        <v>0</v>
      </c>
      <c r="O559" s="87">
        <v>0</v>
      </c>
      <c r="P559" s="87">
        <v>0</v>
      </c>
      <c r="Q559" s="87">
        <f t="shared" si="266"/>
        <v>0.99994988378839778</v>
      </c>
      <c r="R559" s="87">
        <v>0</v>
      </c>
      <c r="S559" s="87">
        <f t="shared" si="267"/>
        <v>5.0116211602181963E-5</v>
      </c>
      <c r="T559" s="88">
        <f t="shared" si="268"/>
        <v>1</v>
      </c>
      <c r="U559" s="87">
        <f t="shared" si="269"/>
        <v>0</v>
      </c>
      <c r="V559" s="87">
        <f t="shared" si="270"/>
        <v>-0.99994988378839778</v>
      </c>
      <c r="W559" s="87">
        <f t="shared" si="271"/>
        <v>562.96405011621152</v>
      </c>
      <c r="X559" s="87">
        <v>96485</v>
      </c>
      <c r="Y559" s="89">
        <f t="shared" si="272"/>
        <v>-171.37890868414664</v>
      </c>
      <c r="Z559" s="89">
        <v>11</v>
      </c>
      <c r="AA559" s="89">
        <v>21</v>
      </c>
      <c r="AB559" s="88">
        <f t="shared" si="273"/>
        <v>0.33082706766917291</v>
      </c>
      <c r="AC559" s="89">
        <f t="shared" si="265"/>
        <v>70.749196757239829</v>
      </c>
      <c r="AD559" s="83">
        <f>'PFAS Properties'!$W$36</f>
        <v>10</v>
      </c>
      <c r="AE559" s="88">
        <f>'PFAS Properties'!$S$36</f>
        <v>8.6001717619175692E-3</v>
      </c>
      <c r="AF559" s="90">
        <f>'PFAS Properties'!$V$36</f>
        <v>6.9</v>
      </c>
      <c r="AG559" s="93">
        <v>4.0999999999999996</v>
      </c>
      <c r="AH559" s="84" t="s">
        <v>832</v>
      </c>
      <c r="AI559" s="88">
        <f>(28*55.845)/1000</f>
        <v>1.5636599999999998</v>
      </c>
      <c r="AJ559" s="90">
        <f>AI559*1000/55.845</f>
        <v>27.999999999999996</v>
      </c>
      <c r="AK559" s="88">
        <f>AI559/10</f>
        <v>0.15636599999999998</v>
      </c>
      <c r="AL559" s="88">
        <f>(17*26.982)/1000</f>
        <v>0.45869399999999994</v>
      </c>
      <c r="AM559" s="90">
        <f>AL559*1000/55.845</f>
        <v>8.2136986301369852</v>
      </c>
      <c r="AN559" s="88">
        <f>AL559/10</f>
        <v>4.5869399999999991E-2</v>
      </c>
      <c r="AO559" s="84" t="s">
        <v>86</v>
      </c>
      <c r="AP559" s="92">
        <v>14.715147999999999</v>
      </c>
      <c r="AQ559" s="84" t="s">
        <v>752</v>
      </c>
      <c r="AR559" s="96">
        <v>37.490533331999998</v>
      </c>
      <c r="AS559" s="96">
        <v>37.393866668000001</v>
      </c>
      <c r="AT559" s="96">
        <v>24.9392</v>
      </c>
      <c r="AU559" s="84" t="s">
        <v>752</v>
      </c>
      <c r="AV559" s="89">
        <f t="shared" si="283"/>
        <v>99.823599999999999</v>
      </c>
      <c r="AW559" s="86">
        <v>46.6</v>
      </c>
      <c r="AX559" s="91">
        <f t="shared" si="276"/>
        <v>0.46600000000000003</v>
      </c>
      <c r="AY559" s="88" t="s">
        <v>240</v>
      </c>
      <c r="AZ559" s="89">
        <f t="shared" si="284"/>
        <v>25</v>
      </c>
      <c r="BA559" s="89" t="s">
        <v>55</v>
      </c>
      <c r="BB559" s="89">
        <f>12*K559/1000</f>
        <v>6.7675679999999989</v>
      </c>
      <c r="BC559" s="89" t="s">
        <v>55</v>
      </c>
      <c r="BD559" s="99">
        <f>(10^(2.93)*AX559)</f>
        <v>396.63032580230799</v>
      </c>
      <c r="BE559" s="89">
        <f t="shared" si="281"/>
        <v>851.13803820237763</v>
      </c>
      <c r="BF559" s="88">
        <f t="shared" si="277"/>
        <v>2.9300000000000006</v>
      </c>
      <c r="BG559" s="88">
        <f t="shared" si="282"/>
        <v>2.5983859166900007</v>
      </c>
      <c r="BH559" s="84" t="s">
        <v>824</v>
      </c>
      <c r="BI559" s="84"/>
      <c r="BJ559" s="84"/>
      <c r="BK559" s="84"/>
      <c r="BL559" s="84"/>
      <c r="BM559" s="83"/>
      <c r="BN559" s="83"/>
      <c r="BO559" s="84"/>
    </row>
    <row r="560" spans="1:69" s="94" customFormat="1" x14ac:dyDescent="0.3">
      <c r="A560" s="83">
        <v>558</v>
      </c>
      <c r="B560" s="84" t="s">
        <v>195</v>
      </c>
      <c r="C560" s="84">
        <v>2022</v>
      </c>
      <c r="D560" s="84" t="s">
        <v>199</v>
      </c>
      <c r="E560" s="85" t="s">
        <v>798</v>
      </c>
      <c r="F560" s="83" t="s">
        <v>29</v>
      </c>
      <c r="G560" s="84" t="s">
        <v>239</v>
      </c>
      <c r="H560" s="84" t="str">
        <f>'PFAS Properties'!$B$36</f>
        <v>PFUnA</v>
      </c>
      <c r="I560" s="84" t="str">
        <f>'PFAS Properties'!$C$36</f>
        <v>PFCA</v>
      </c>
      <c r="J560" s="84" t="str">
        <f>'PFAS Properties'!$D$36</f>
        <v>C11HF21O2</v>
      </c>
      <c r="K560" s="99">
        <f>'PFAS Properties'!$P$36</f>
        <v>563.96399999999994</v>
      </c>
      <c r="L560" s="84">
        <f>'PFAS Properties'!$X$36</f>
        <v>-0.2</v>
      </c>
      <c r="M560" s="84" t="str">
        <f>'PFAS Properties'!$Y$36</f>
        <v>-</v>
      </c>
      <c r="N560" s="87">
        <v>0</v>
      </c>
      <c r="O560" s="87">
        <v>0</v>
      </c>
      <c r="P560" s="87">
        <v>0</v>
      </c>
      <c r="Q560" s="87">
        <f t="shared" si="266"/>
        <v>0.99993690824637249</v>
      </c>
      <c r="R560" s="87">
        <v>0</v>
      </c>
      <c r="S560" s="87">
        <f t="shared" si="267"/>
        <v>6.3091753627486543E-5</v>
      </c>
      <c r="T560" s="88">
        <f t="shared" si="268"/>
        <v>1</v>
      </c>
      <c r="U560" s="87">
        <f t="shared" si="269"/>
        <v>0</v>
      </c>
      <c r="V560" s="87">
        <f t="shared" si="270"/>
        <v>-0.99993690824637249</v>
      </c>
      <c r="W560" s="87">
        <f t="shared" si="271"/>
        <v>562.96406309175359</v>
      </c>
      <c r="X560" s="87">
        <v>96485</v>
      </c>
      <c r="Y560" s="89">
        <f t="shared" si="272"/>
        <v>-171.37668088846877</v>
      </c>
      <c r="Z560" s="89">
        <v>11</v>
      </c>
      <c r="AA560" s="89">
        <v>21</v>
      </c>
      <c r="AB560" s="88">
        <f t="shared" si="273"/>
        <v>0.33082706766917291</v>
      </c>
      <c r="AC560" s="89">
        <f t="shared" si="265"/>
        <v>70.749196757239829</v>
      </c>
      <c r="AD560" s="83">
        <f>'PFAS Properties'!$W$36</f>
        <v>10</v>
      </c>
      <c r="AE560" s="88">
        <f>'PFAS Properties'!$S$36</f>
        <v>8.6001717619175692E-3</v>
      </c>
      <c r="AF560" s="90">
        <f>'PFAS Properties'!$V$36</f>
        <v>6.9</v>
      </c>
      <c r="AG560" s="93">
        <v>4</v>
      </c>
      <c r="AH560" s="84" t="s">
        <v>832</v>
      </c>
      <c r="AI560" s="88">
        <f>(5*55.845)/1000</f>
        <v>0.279225</v>
      </c>
      <c r="AJ560" s="90">
        <f>AI560*1000/55.845</f>
        <v>5.0000000000000009</v>
      </c>
      <c r="AK560" s="88">
        <f>AI560/10</f>
        <v>2.7922499999999999E-2</v>
      </c>
      <c r="AL560" s="88">
        <f>(15*26.982)/1000</f>
        <v>0.40473000000000003</v>
      </c>
      <c r="AM560" s="90">
        <f>AL560*1000/55.845</f>
        <v>7.2473811442385179</v>
      </c>
      <c r="AN560" s="88">
        <f>AL560/10</f>
        <v>4.0473000000000002E-2</v>
      </c>
      <c r="AO560" s="84" t="s">
        <v>86</v>
      </c>
      <c r="AP560" s="92">
        <v>14.763688</v>
      </c>
      <c r="AQ560" s="84" t="s">
        <v>752</v>
      </c>
      <c r="AR560" s="96">
        <v>37.414333332000012</v>
      </c>
      <c r="AS560" s="96">
        <v>37.430866668</v>
      </c>
      <c r="AT560" s="96">
        <v>24.970400000000001</v>
      </c>
      <c r="AU560" s="84" t="s">
        <v>752</v>
      </c>
      <c r="AV560" s="89">
        <f t="shared" si="283"/>
        <v>99.815600000000003</v>
      </c>
      <c r="AW560" s="86">
        <v>53.6</v>
      </c>
      <c r="AX560" s="91">
        <f t="shared" si="276"/>
        <v>0.53600000000000003</v>
      </c>
      <c r="AY560" s="88" t="s">
        <v>240</v>
      </c>
      <c r="AZ560" s="89">
        <f t="shared" si="284"/>
        <v>25</v>
      </c>
      <c r="BA560" s="89" t="s">
        <v>55</v>
      </c>
      <c r="BB560" s="89">
        <f>12*K560/1000</f>
        <v>6.7675679999999989</v>
      </c>
      <c r="BC560" s="89" t="s">
        <v>55</v>
      </c>
      <c r="BD560" s="99">
        <f>(10^(2.4)*AX560)</f>
        <v>134.63711272891354</v>
      </c>
      <c r="BE560" s="89">
        <f t="shared" si="281"/>
        <v>251.18864315095809</v>
      </c>
      <c r="BF560" s="88">
        <f t="shared" si="277"/>
        <v>2.4</v>
      </c>
      <c r="BG560" s="88">
        <f t="shared" si="282"/>
        <v>2.1291647896927701</v>
      </c>
      <c r="BH560" s="84" t="s">
        <v>824</v>
      </c>
      <c r="BI560" s="89"/>
      <c r="BJ560" s="91"/>
      <c r="BK560" s="91"/>
      <c r="BL560" s="88"/>
      <c r="BM560" s="86"/>
      <c r="BN560" s="88"/>
      <c r="BO560" s="99"/>
    </row>
    <row r="561" spans="1:69" s="14" customFormat="1" x14ac:dyDescent="0.3">
      <c r="A561" s="20">
        <v>559</v>
      </c>
      <c r="B561" s="2" t="s">
        <v>234</v>
      </c>
      <c r="C561" s="2">
        <v>2022</v>
      </c>
      <c r="D561" s="2" t="s">
        <v>205</v>
      </c>
      <c r="E561" s="10" t="s">
        <v>799</v>
      </c>
      <c r="F561" s="20" t="s">
        <v>63</v>
      </c>
      <c r="G561" s="2" t="s">
        <v>63</v>
      </c>
      <c r="H561" s="2" t="str">
        <f>'PFAS Properties'!$B$36</f>
        <v>PFUnA</v>
      </c>
      <c r="I561" s="2" t="str">
        <f>'PFAS Properties'!$C$36</f>
        <v>PFCA</v>
      </c>
      <c r="J561" s="2" t="str">
        <f>'PFAS Properties'!$D$36</f>
        <v>C11HF21O2</v>
      </c>
      <c r="K561" s="25">
        <f>'PFAS Properties'!$P$36</f>
        <v>563.96399999999994</v>
      </c>
      <c r="L561" s="2">
        <f>'PFAS Properties'!$X$36</f>
        <v>-0.2</v>
      </c>
      <c r="M561" s="2" t="str">
        <f>'PFAS Properties'!$Y$36</f>
        <v>-</v>
      </c>
      <c r="N561" s="33">
        <v>0</v>
      </c>
      <c r="O561" s="33">
        <v>0</v>
      </c>
      <c r="P561" s="33">
        <v>0</v>
      </c>
      <c r="Q561" s="33">
        <f t="shared" si="266"/>
        <v>0.9999999939744042</v>
      </c>
      <c r="R561" s="33">
        <v>0</v>
      </c>
      <c r="S561" s="33">
        <f t="shared" si="267"/>
        <v>6.0255958244357746E-9</v>
      </c>
      <c r="T561" s="8">
        <f t="shared" si="268"/>
        <v>1</v>
      </c>
      <c r="U561" s="33">
        <f t="shared" si="269"/>
        <v>0</v>
      </c>
      <c r="V561" s="33">
        <f t="shared" si="270"/>
        <v>-0.9999999939744042</v>
      </c>
      <c r="W561" s="33">
        <f t="shared" si="271"/>
        <v>562.96400000602557</v>
      </c>
      <c r="X561" s="33">
        <v>96485</v>
      </c>
      <c r="Y561" s="16">
        <f t="shared" si="272"/>
        <v>-171.38751219898197</v>
      </c>
      <c r="Z561" s="16">
        <v>11</v>
      </c>
      <c r="AA561" s="16">
        <v>21</v>
      </c>
      <c r="AB561" s="8">
        <f t="shared" si="273"/>
        <v>0.33082706766917291</v>
      </c>
      <c r="AC561" s="16">
        <f t="shared" si="265"/>
        <v>70.749196757239829</v>
      </c>
      <c r="AD561" s="20">
        <f>'PFAS Properties'!$W$36</f>
        <v>10</v>
      </c>
      <c r="AE561" s="8">
        <f>'PFAS Properties'!$S$36</f>
        <v>8.6001717619175692E-3</v>
      </c>
      <c r="AF561" s="15">
        <f>'PFAS Properties'!$V$36</f>
        <v>6.9</v>
      </c>
      <c r="AG561" s="24">
        <v>8.02</v>
      </c>
      <c r="AH561" s="2" t="s">
        <v>661</v>
      </c>
      <c r="AI561" s="2" t="s">
        <v>661</v>
      </c>
      <c r="AJ561" s="2" t="s">
        <v>661</v>
      </c>
      <c r="AK561" s="2" t="s">
        <v>661</v>
      </c>
      <c r="AL561" s="2" t="s">
        <v>661</v>
      </c>
      <c r="AM561" s="2" t="s">
        <v>661</v>
      </c>
      <c r="AN561" s="2" t="s">
        <v>661</v>
      </c>
      <c r="AO561" s="2" t="s">
        <v>661</v>
      </c>
      <c r="AP561" s="72">
        <v>11.934691666666669</v>
      </c>
      <c r="AQ561" s="70" t="s">
        <v>752</v>
      </c>
      <c r="AR561" s="16">
        <v>6.34</v>
      </c>
      <c r="AS561" s="16">
        <v>85.56</v>
      </c>
      <c r="AT561" s="16">
        <v>8.08</v>
      </c>
      <c r="AU561" s="2" t="s">
        <v>661</v>
      </c>
      <c r="AV561" s="16">
        <f t="shared" ref="AV561:AV581" si="285">SUM(AR561:AT561)</f>
        <v>99.98</v>
      </c>
      <c r="AW561" s="18">
        <v>0.37</v>
      </c>
      <c r="AX561" s="13">
        <v>3.7000000000000002E-3</v>
      </c>
      <c r="AY561" s="13" t="s">
        <v>392</v>
      </c>
      <c r="AZ561" s="16">
        <f>1/0.02</f>
        <v>50</v>
      </c>
      <c r="BA561" s="16" t="s">
        <v>55</v>
      </c>
      <c r="BB561" s="16">
        <v>10</v>
      </c>
      <c r="BC561" s="16" t="s">
        <v>55</v>
      </c>
      <c r="BD561" s="18">
        <f>BO561</f>
        <v>91.557961004249648</v>
      </c>
      <c r="BE561" s="15">
        <f t="shared" si="281"/>
        <v>24745.394866013416</v>
      </c>
      <c r="BF561" s="8">
        <f t="shared" si="277"/>
        <v>4.393494388305287</v>
      </c>
      <c r="BG561" s="8">
        <f t="shared" si="282"/>
        <v>1.961696112372282</v>
      </c>
      <c r="BH561" s="13" t="s">
        <v>782</v>
      </c>
      <c r="BI561" s="8">
        <v>55.41</v>
      </c>
      <c r="BJ561" s="13" t="s">
        <v>366</v>
      </c>
      <c r="BK561" s="8">
        <v>0.78</v>
      </c>
      <c r="BL561" s="8">
        <f>BI561</f>
        <v>55.41</v>
      </c>
      <c r="BM561" s="18">
        <f>'PFAS Properties'!$U$36</f>
        <v>0.10200000000000001</v>
      </c>
      <c r="BN561" s="8">
        <f>(BL561*(BM561^BK561))</f>
        <v>9.3389120224334654</v>
      </c>
      <c r="BO561" s="24">
        <f>BN561/BM561</f>
        <v>91.557961004249648</v>
      </c>
    </row>
    <row r="562" spans="1:69" x14ac:dyDescent="0.3">
      <c r="A562" s="20">
        <v>560</v>
      </c>
      <c r="B562" s="2" t="s">
        <v>181</v>
      </c>
      <c r="C562" s="2">
        <v>2020</v>
      </c>
      <c r="D562" s="2" t="s">
        <v>203</v>
      </c>
      <c r="E562" s="10" t="s">
        <v>787</v>
      </c>
      <c r="F562" s="20" t="s">
        <v>29</v>
      </c>
      <c r="G562" s="2" t="s">
        <v>62</v>
      </c>
      <c r="H562" s="2" t="str">
        <f>'PFAS Properties'!$B$36</f>
        <v>PFUnA</v>
      </c>
      <c r="I562" s="2" t="str">
        <f>'PFAS Properties'!$C$36</f>
        <v>PFCA</v>
      </c>
      <c r="J562" s="2" t="str">
        <f>'PFAS Properties'!$D$36</f>
        <v>C11HF21O2</v>
      </c>
      <c r="K562" s="25">
        <f>'PFAS Properties'!$P$36</f>
        <v>563.96399999999994</v>
      </c>
      <c r="L562" s="2">
        <f>'PFAS Properties'!$X$36</f>
        <v>-0.2</v>
      </c>
      <c r="M562" s="2" t="str">
        <f>'PFAS Properties'!$Y$36</f>
        <v>-</v>
      </c>
      <c r="N562" s="33">
        <v>0</v>
      </c>
      <c r="O562" s="33">
        <v>0</v>
      </c>
      <c r="P562" s="33">
        <v>0</v>
      </c>
      <c r="Q562" s="33">
        <f t="shared" si="266"/>
        <v>0.99999998004737722</v>
      </c>
      <c r="R562" s="33">
        <v>0</v>
      </c>
      <c r="S562" s="33">
        <f t="shared" si="267"/>
        <v>1.995262275158161E-8</v>
      </c>
      <c r="T562" s="8">
        <f t="shared" si="268"/>
        <v>1</v>
      </c>
      <c r="U562" s="33">
        <f t="shared" si="269"/>
        <v>0</v>
      </c>
      <c r="V562" s="33">
        <f t="shared" si="270"/>
        <v>-0.99999998004737722</v>
      </c>
      <c r="W562" s="33">
        <f t="shared" si="271"/>
        <v>562.96400001995255</v>
      </c>
      <c r="X562" s="33">
        <v>96485</v>
      </c>
      <c r="Y562" s="16">
        <f t="shared" si="272"/>
        <v>-171.38750980782356</v>
      </c>
      <c r="Z562" s="16">
        <v>11</v>
      </c>
      <c r="AA562" s="16">
        <v>21</v>
      </c>
      <c r="AB562" s="8">
        <f t="shared" si="273"/>
        <v>0.33082706766917291</v>
      </c>
      <c r="AC562" s="16">
        <f t="shared" si="265"/>
        <v>70.749196757239829</v>
      </c>
      <c r="AD562" s="20">
        <f>'PFAS Properties'!$W$36</f>
        <v>10</v>
      </c>
      <c r="AE562" s="8">
        <f>'PFAS Properties'!$S$36</f>
        <v>8.6001717619175692E-3</v>
      </c>
      <c r="AF562" s="15">
        <f>'PFAS Properties'!$V$36</f>
        <v>6.9</v>
      </c>
      <c r="AG562" s="24">
        <v>7.5</v>
      </c>
      <c r="AH562" s="2" t="s">
        <v>183</v>
      </c>
      <c r="AI562" s="2" t="s">
        <v>661</v>
      </c>
      <c r="AJ562" s="2" t="s">
        <v>661</v>
      </c>
      <c r="AK562" s="2" t="s">
        <v>661</v>
      </c>
      <c r="AL562" s="2" t="s">
        <v>661</v>
      </c>
      <c r="AM562" s="2" t="s">
        <v>661</v>
      </c>
      <c r="AN562" s="2" t="s">
        <v>661</v>
      </c>
      <c r="AO562" s="2" t="s">
        <v>661</v>
      </c>
      <c r="AP562" s="15">
        <v>41.4</v>
      </c>
      <c r="AQ562" s="2" t="s">
        <v>661</v>
      </c>
      <c r="AR562" s="16">
        <v>16.899999999999999</v>
      </c>
      <c r="AS562" s="16">
        <v>17.5</v>
      </c>
      <c r="AT562" s="16">
        <v>65.599999999999994</v>
      </c>
      <c r="AU562" s="2" t="s">
        <v>661</v>
      </c>
      <c r="AV562" s="16">
        <f t="shared" si="285"/>
        <v>100</v>
      </c>
      <c r="AW562" s="18">
        <v>0.7</v>
      </c>
      <c r="AX562" s="13">
        <v>6.9999999999999993E-3</v>
      </c>
      <c r="AY562" s="13" t="s">
        <v>184</v>
      </c>
      <c r="AZ562" s="16">
        <v>100</v>
      </c>
      <c r="BA562" s="16" t="s">
        <v>55</v>
      </c>
      <c r="BB562" s="16">
        <v>5</v>
      </c>
      <c r="BC562" s="16" t="s">
        <v>55</v>
      </c>
      <c r="BD562" s="27">
        <v>19.059999999999999</v>
      </c>
      <c r="BE562" s="15">
        <f t="shared" si="281"/>
        <v>2722.8571428571431</v>
      </c>
      <c r="BF562" s="8">
        <f t="shared" si="277"/>
        <v>3.435024856288051</v>
      </c>
      <c r="BG562" s="8">
        <f t="shared" si="282"/>
        <v>1.2801228963023075</v>
      </c>
      <c r="BH562" s="5" t="s">
        <v>841</v>
      </c>
      <c r="BI562" s="5"/>
      <c r="BJ562" s="13"/>
      <c r="BK562" s="5"/>
      <c r="BL562" s="5"/>
      <c r="BM562" s="21"/>
      <c r="BN562" s="21"/>
      <c r="BO562" s="1"/>
      <c r="BP562" s="11"/>
      <c r="BQ562" s="11"/>
    </row>
    <row r="563" spans="1:69" x14ac:dyDescent="0.3">
      <c r="A563" s="20">
        <v>561</v>
      </c>
      <c r="B563" s="2" t="s">
        <v>181</v>
      </c>
      <c r="C563" s="2">
        <v>2020</v>
      </c>
      <c r="D563" s="2" t="s">
        <v>203</v>
      </c>
      <c r="E563" s="10" t="s">
        <v>787</v>
      </c>
      <c r="F563" s="20" t="s">
        <v>29</v>
      </c>
      <c r="G563" s="2" t="s">
        <v>57</v>
      </c>
      <c r="H563" s="2" t="str">
        <f>'PFAS Properties'!$B$36</f>
        <v>PFUnA</v>
      </c>
      <c r="I563" s="2" t="str">
        <f>'PFAS Properties'!$C$36</f>
        <v>PFCA</v>
      </c>
      <c r="J563" s="2" t="str">
        <f>'PFAS Properties'!$D$36</f>
        <v>C11HF21O2</v>
      </c>
      <c r="K563" s="25">
        <f>'PFAS Properties'!$P$36</f>
        <v>563.96399999999994</v>
      </c>
      <c r="L563" s="2">
        <f>'PFAS Properties'!$X$36</f>
        <v>-0.2</v>
      </c>
      <c r="M563" s="2" t="str">
        <f>'PFAS Properties'!$Y$36</f>
        <v>-</v>
      </c>
      <c r="N563" s="33">
        <v>0</v>
      </c>
      <c r="O563" s="33">
        <v>0</v>
      </c>
      <c r="P563" s="33">
        <v>0</v>
      </c>
      <c r="Q563" s="33">
        <f t="shared" si="266"/>
        <v>0.99999990000001004</v>
      </c>
      <c r="R563" s="33">
        <v>0</v>
      </c>
      <c r="S563" s="33">
        <f t="shared" si="267"/>
        <v>9.9999990000001005E-8</v>
      </c>
      <c r="T563" s="8">
        <f t="shared" si="268"/>
        <v>1</v>
      </c>
      <c r="U563" s="33">
        <f t="shared" si="269"/>
        <v>0</v>
      </c>
      <c r="V563" s="33">
        <f t="shared" si="270"/>
        <v>-0.99999990000001004</v>
      </c>
      <c r="W563" s="33">
        <f t="shared" si="271"/>
        <v>562.96400010000002</v>
      </c>
      <c r="X563" s="33">
        <v>96485</v>
      </c>
      <c r="Y563" s="16">
        <f t="shared" si="272"/>
        <v>-171.38749606433487</v>
      </c>
      <c r="Z563" s="16">
        <v>11</v>
      </c>
      <c r="AA563" s="16">
        <v>21</v>
      </c>
      <c r="AB563" s="8">
        <f t="shared" si="273"/>
        <v>0.33082706766917291</v>
      </c>
      <c r="AC563" s="16">
        <f t="shared" si="265"/>
        <v>70.749196757239829</v>
      </c>
      <c r="AD563" s="20">
        <f>'PFAS Properties'!$W$36</f>
        <v>10</v>
      </c>
      <c r="AE563" s="8">
        <f>'PFAS Properties'!$S$36</f>
        <v>8.6001717619175692E-3</v>
      </c>
      <c r="AF563" s="15">
        <f>'PFAS Properties'!$V$36</f>
        <v>6.9</v>
      </c>
      <c r="AG563" s="24">
        <v>6.8</v>
      </c>
      <c r="AH563" s="2" t="s">
        <v>183</v>
      </c>
      <c r="AI563" s="2" t="s">
        <v>661</v>
      </c>
      <c r="AJ563" s="2" t="s">
        <v>661</v>
      </c>
      <c r="AK563" s="2" t="s">
        <v>661</v>
      </c>
      <c r="AL563" s="2" t="s">
        <v>661</v>
      </c>
      <c r="AM563" s="2" t="s">
        <v>661</v>
      </c>
      <c r="AN563" s="2" t="s">
        <v>661</v>
      </c>
      <c r="AO563" s="2" t="s">
        <v>661</v>
      </c>
      <c r="AP563" s="15">
        <v>7.1</v>
      </c>
      <c r="AQ563" s="2" t="s">
        <v>661</v>
      </c>
      <c r="AR563" s="16">
        <v>48.9</v>
      </c>
      <c r="AS563" s="16">
        <v>27</v>
      </c>
      <c r="AT563" s="16">
        <v>24.2</v>
      </c>
      <c r="AU563" s="2" t="s">
        <v>661</v>
      </c>
      <c r="AV563" s="16">
        <f t="shared" si="285"/>
        <v>100.10000000000001</v>
      </c>
      <c r="AW563" s="18">
        <v>0.37</v>
      </c>
      <c r="AX563" s="13">
        <v>3.7000000000000002E-3</v>
      </c>
      <c r="AY563" s="13" t="s">
        <v>184</v>
      </c>
      <c r="AZ563" s="16">
        <v>100</v>
      </c>
      <c r="BA563" s="16" t="s">
        <v>55</v>
      </c>
      <c r="BB563" s="16">
        <v>5</v>
      </c>
      <c r="BC563" s="16" t="s">
        <v>55</v>
      </c>
      <c r="BD563" s="7">
        <v>32.619999999999997</v>
      </c>
      <c r="BE563" s="15">
        <f t="shared" si="281"/>
        <v>8816.2162162162149</v>
      </c>
      <c r="BF563" s="8">
        <f t="shared" si="277"/>
        <v>3.9452822326372621</v>
      </c>
      <c r="BG563" s="8">
        <f t="shared" si="282"/>
        <v>1.5134839567042571</v>
      </c>
      <c r="BH563" s="5" t="s">
        <v>841</v>
      </c>
      <c r="BI563" s="5"/>
      <c r="BJ563" s="13"/>
      <c r="BK563" s="5"/>
      <c r="BL563" s="5"/>
      <c r="BM563" s="21"/>
      <c r="BN563" s="21"/>
      <c r="BO563" s="1"/>
      <c r="BP563" s="11"/>
      <c r="BQ563" s="11"/>
    </row>
    <row r="564" spans="1:69" x14ac:dyDescent="0.3">
      <c r="A564" s="20">
        <v>562</v>
      </c>
      <c r="B564" s="2" t="s">
        <v>181</v>
      </c>
      <c r="C564" s="2">
        <v>2020</v>
      </c>
      <c r="D564" s="2" t="s">
        <v>203</v>
      </c>
      <c r="E564" s="10" t="s">
        <v>787</v>
      </c>
      <c r="F564" s="20" t="s">
        <v>29</v>
      </c>
      <c r="G564" s="2" t="s">
        <v>58</v>
      </c>
      <c r="H564" s="2" t="str">
        <f>'PFAS Properties'!$B$36</f>
        <v>PFUnA</v>
      </c>
      <c r="I564" s="2" t="str">
        <f>'PFAS Properties'!$C$36</f>
        <v>PFCA</v>
      </c>
      <c r="J564" s="2" t="str">
        <f>'PFAS Properties'!$D$36</f>
        <v>C11HF21O2</v>
      </c>
      <c r="K564" s="25">
        <f>'PFAS Properties'!$P$36</f>
        <v>563.96399999999994</v>
      </c>
      <c r="L564" s="2">
        <f>'PFAS Properties'!$X$36</f>
        <v>-0.2</v>
      </c>
      <c r="M564" s="2" t="str">
        <f>'PFAS Properties'!$Y$36</f>
        <v>-</v>
      </c>
      <c r="N564" s="33">
        <v>0</v>
      </c>
      <c r="O564" s="33">
        <v>0</v>
      </c>
      <c r="P564" s="33">
        <v>0</v>
      </c>
      <c r="Q564" s="33">
        <f t="shared" si="266"/>
        <v>0.99999960189298798</v>
      </c>
      <c r="R564" s="33">
        <v>0</v>
      </c>
      <c r="S564" s="33">
        <f t="shared" si="267"/>
        <v>3.9810701206424001E-7</v>
      </c>
      <c r="T564" s="8">
        <f t="shared" si="268"/>
        <v>1</v>
      </c>
      <c r="U564" s="33">
        <f t="shared" si="269"/>
        <v>0</v>
      </c>
      <c r="V564" s="33">
        <f t="shared" si="270"/>
        <v>-0.99999960189298798</v>
      </c>
      <c r="W564" s="33">
        <f t="shared" si="271"/>
        <v>562.96400039810692</v>
      </c>
      <c r="X564" s="33">
        <v>96485</v>
      </c>
      <c r="Y564" s="16">
        <f t="shared" si="272"/>
        <v>-171.38744488175871</v>
      </c>
      <c r="Z564" s="16">
        <v>11</v>
      </c>
      <c r="AA564" s="16">
        <v>21</v>
      </c>
      <c r="AB564" s="8">
        <f t="shared" si="273"/>
        <v>0.33082706766917291</v>
      </c>
      <c r="AC564" s="16">
        <f t="shared" si="265"/>
        <v>70.749196757239829</v>
      </c>
      <c r="AD564" s="20">
        <f>'PFAS Properties'!$W$36</f>
        <v>10</v>
      </c>
      <c r="AE564" s="8">
        <f>'PFAS Properties'!$S$36</f>
        <v>8.6001717619175692E-3</v>
      </c>
      <c r="AF564" s="15">
        <f>'PFAS Properties'!$V$36</f>
        <v>6.9</v>
      </c>
      <c r="AG564" s="24">
        <v>6.2</v>
      </c>
      <c r="AH564" s="2" t="s">
        <v>183</v>
      </c>
      <c r="AI564" s="2" t="s">
        <v>661</v>
      </c>
      <c r="AJ564" s="2" t="s">
        <v>661</v>
      </c>
      <c r="AK564" s="2" t="s">
        <v>661</v>
      </c>
      <c r="AL564" s="2" t="s">
        <v>661</v>
      </c>
      <c r="AM564" s="2" t="s">
        <v>661</v>
      </c>
      <c r="AN564" s="2" t="s">
        <v>661</v>
      </c>
      <c r="AO564" s="2" t="s">
        <v>661</v>
      </c>
      <c r="AP564" s="15">
        <v>8</v>
      </c>
      <c r="AQ564" s="2" t="s">
        <v>661</v>
      </c>
      <c r="AR564" s="16">
        <v>51.44</v>
      </c>
      <c r="AS564" s="16">
        <v>10.17</v>
      </c>
      <c r="AT564" s="16">
        <v>38.380000000000003</v>
      </c>
      <c r="AU564" s="2" t="s">
        <v>661</v>
      </c>
      <c r="AV564" s="16">
        <f t="shared" si="285"/>
        <v>99.990000000000009</v>
      </c>
      <c r="AW564" s="18">
        <v>0.08</v>
      </c>
      <c r="AX564" s="13">
        <v>8.0000000000000004E-4</v>
      </c>
      <c r="AY564" s="8" t="s">
        <v>184</v>
      </c>
      <c r="AZ564" s="16">
        <v>100</v>
      </c>
      <c r="BA564" s="16" t="s">
        <v>55</v>
      </c>
      <c r="BB564" s="16">
        <v>5</v>
      </c>
      <c r="BC564" s="16" t="s">
        <v>55</v>
      </c>
      <c r="BD564" s="7">
        <v>24.15</v>
      </c>
      <c r="BE564" s="15">
        <f t="shared" si="281"/>
        <v>30187.499999999996</v>
      </c>
      <c r="BF564" s="8">
        <f t="shared" si="277"/>
        <v>4.4798271480955876</v>
      </c>
      <c r="BG564" s="8">
        <f t="shared" si="282"/>
        <v>1.3829171350875309</v>
      </c>
      <c r="BH564" s="5" t="s">
        <v>841</v>
      </c>
      <c r="BI564" s="5"/>
      <c r="BJ564" s="13"/>
      <c r="BK564" s="5"/>
      <c r="BL564" s="5"/>
      <c r="BM564" s="21"/>
      <c r="BN564" s="21"/>
      <c r="BO564" s="1"/>
      <c r="BP564" s="11"/>
      <c r="BQ564" s="11"/>
    </row>
    <row r="565" spans="1:69" x14ac:dyDescent="0.3">
      <c r="A565" s="20">
        <v>563</v>
      </c>
      <c r="B565" s="2" t="s">
        <v>181</v>
      </c>
      <c r="C565" s="2">
        <v>2020</v>
      </c>
      <c r="D565" s="2" t="s">
        <v>203</v>
      </c>
      <c r="E565" s="10" t="s">
        <v>787</v>
      </c>
      <c r="F565" s="20" t="s">
        <v>29</v>
      </c>
      <c r="G565" s="2" t="s">
        <v>59</v>
      </c>
      <c r="H565" s="2" t="str">
        <f>'PFAS Properties'!$B$36</f>
        <v>PFUnA</v>
      </c>
      <c r="I565" s="2" t="str">
        <f>'PFAS Properties'!$C$36</f>
        <v>PFCA</v>
      </c>
      <c r="J565" s="2" t="str">
        <f>'PFAS Properties'!$D$36</f>
        <v>C11HF21O2</v>
      </c>
      <c r="K565" s="25">
        <f>'PFAS Properties'!$P$36</f>
        <v>563.96399999999994</v>
      </c>
      <c r="L565" s="2">
        <f>'PFAS Properties'!$X$36</f>
        <v>-0.2</v>
      </c>
      <c r="M565" s="2" t="str">
        <f>'PFAS Properties'!$Y$36</f>
        <v>-</v>
      </c>
      <c r="N565" s="33">
        <v>0</v>
      </c>
      <c r="O565" s="33">
        <v>0</v>
      </c>
      <c r="P565" s="33">
        <v>0</v>
      </c>
      <c r="Q565" s="33">
        <f t="shared" si="266"/>
        <v>0.99999998741074603</v>
      </c>
      <c r="R565" s="33">
        <v>0</v>
      </c>
      <c r="S565" s="33">
        <f t="shared" si="267"/>
        <v>1.258925395945232E-8</v>
      </c>
      <c r="T565" s="8">
        <f t="shared" si="268"/>
        <v>1</v>
      </c>
      <c r="U565" s="33">
        <f t="shared" si="269"/>
        <v>0</v>
      </c>
      <c r="V565" s="33">
        <f t="shared" si="270"/>
        <v>-0.99999998741074603</v>
      </c>
      <c r="W565" s="33">
        <f t="shared" si="271"/>
        <v>562.96400001258917</v>
      </c>
      <c r="X565" s="33">
        <v>96485</v>
      </c>
      <c r="Y565" s="16">
        <f t="shared" si="272"/>
        <v>-171.38751107205471</v>
      </c>
      <c r="Z565" s="16">
        <v>11</v>
      </c>
      <c r="AA565" s="16">
        <v>21</v>
      </c>
      <c r="AB565" s="8">
        <f t="shared" si="273"/>
        <v>0.33082706766917291</v>
      </c>
      <c r="AC565" s="16">
        <f t="shared" si="265"/>
        <v>70.749196757239829</v>
      </c>
      <c r="AD565" s="20">
        <f>'PFAS Properties'!$W$36</f>
        <v>10</v>
      </c>
      <c r="AE565" s="8">
        <f>'PFAS Properties'!$S$36</f>
        <v>8.6001717619175692E-3</v>
      </c>
      <c r="AF565" s="15">
        <f>'PFAS Properties'!$V$36</f>
        <v>6.9</v>
      </c>
      <c r="AG565" s="24">
        <v>7.7</v>
      </c>
      <c r="AH565" s="2" t="s">
        <v>183</v>
      </c>
      <c r="AI565" s="2" t="s">
        <v>661</v>
      </c>
      <c r="AJ565" s="2" t="s">
        <v>661</v>
      </c>
      <c r="AK565" s="2" t="s">
        <v>661</v>
      </c>
      <c r="AL565" s="2" t="s">
        <v>661</v>
      </c>
      <c r="AM565" s="2" t="s">
        <v>661</v>
      </c>
      <c r="AN565" s="2" t="s">
        <v>661</v>
      </c>
      <c r="AO565" s="2" t="s">
        <v>661</v>
      </c>
      <c r="AP565" s="15">
        <v>4.8</v>
      </c>
      <c r="AQ565" s="2" t="s">
        <v>661</v>
      </c>
      <c r="AR565" s="16">
        <v>46</v>
      </c>
      <c r="AS565" s="16">
        <v>37</v>
      </c>
      <c r="AT565" s="16">
        <v>17</v>
      </c>
      <c r="AU565" s="2" t="s">
        <v>661</v>
      </c>
      <c r="AV565" s="16">
        <f t="shared" si="285"/>
        <v>100</v>
      </c>
      <c r="AW565" s="18">
        <v>0.25</v>
      </c>
      <c r="AX565" s="13">
        <v>2.5000000000000001E-3</v>
      </c>
      <c r="AY565" s="13" t="s">
        <v>184</v>
      </c>
      <c r="AZ565" s="16">
        <v>100</v>
      </c>
      <c r="BA565" s="16" t="s">
        <v>55</v>
      </c>
      <c r="BB565" s="16">
        <v>5</v>
      </c>
      <c r="BC565" s="16" t="s">
        <v>55</v>
      </c>
      <c r="BD565" s="27">
        <v>31.01</v>
      </c>
      <c r="BE565" s="15">
        <f t="shared" si="281"/>
        <v>12404</v>
      </c>
      <c r="BF565" s="8">
        <f t="shared" si="277"/>
        <v>4.0935617575652889</v>
      </c>
      <c r="BG565" s="8">
        <f t="shared" si="282"/>
        <v>1.4915017662373264</v>
      </c>
      <c r="BH565" s="5" t="s">
        <v>841</v>
      </c>
      <c r="BI565" s="5"/>
      <c r="BJ565" s="13"/>
      <c r="BK565" s="5"/>
      <c r="BL565" s="5"/>
      <c r="BM565" s="21"/>
      <c r="BN565" s="21"/>
      <c r="BO565" s="1"/>
      <c r="BP565" s="11"/>
      <c r="BQ565" s="11"/>
    </row>
    <row r="566" spans="1:69" x14ac:dyDescent="0.3">
      <c r="A566" s="20">
        <v>564</v>
      </c>
      <c r="B566" s="2" t="s">
        <v>181</v>
      </c>
      <c r="C566" s="2">
        <v>2020</v>
      </c>
      <c r="D566" s="2" t="s">
        <v>203</v>
      </c>
      <c r="E566" s="10" t="s">
        <v>787</v>
      </c>
      <c r="F566" s="20" t="s">
        <v>29</v>
      </c>
      <c r="G566" s="2" t="s">
        <v>61</v>
      </c>
      <c r="H566" s="2" t="str">
        <f>'PFAS Properties'!$B$36</f>
        <v>PFUnA</v>
      </c>
      <c r="I566" s="2" t="str">
        <f>'PFAS Properties'!$C$36</f>
        <v>PFCA</v>
      </c>
      <c r="J566" s="2" t="str">
        <f>'PFAS Properties'!$D$36</f>
        <v>C11HF21O2</v>
      </c>
      <c r="K566" s="25">
        <f>'PFAS Properties'!$P$36</f>
        <v>563.96399999999994</v>
      </c>
      <c r="L566" s="2">
        <f>'PFAS Properties'!$X$36</f>
        <v>-0.2</v>
      </c>
      <c r="M566" s="2" t="str">
        <f>'PFAS Properties'!$Y$36</f>
        <v>-</v>
      </c>
      <c r="N566" s="33">
        <v>0</v>
      </c>
      <c r="O566" s="33">
        <v>0</v>
      </c>
      <c r="P566" s="33">
        <v>0</v>
      </c>
      <c r="Q566" s="33">
        <f t="shared" si="266"/>
        <v>0.99999997488113634</v>
      </c>
      <c r="R566" s="33">
        <v>0</v>
      </c>
      <c r="S566" s="33">
        <f t="shared" si="267"/>
        <v>2.5118863684138424E-8</v>
      </c>
      <c r="T566" s="8">
        <f t="shared" si="268"/>
        <v>1</v>
      </c>
      <c r="U566" s="33">
        <f t="shared" si="269"/>
        <v>0</v>
      </c>
      <c r="V566" s="33">
        <f t="shared" si="270"/>
        <v>-0.99999997488113634</v>
      </c>
      <c r="W566" s="33">
        <f t="shared" si="271"/>
        <v>562.96400002511882</v>
      </c>
      <c r="X566" s="33">
        <v>96485</v>
      </c>
      <c r="Y566" s="16">
        <f t="shared" si="272"/>
        <v>-171.38750892082155</v>
      </c>
      <c r="Z566" s="16">
        <v>11</v>
      </c>
      <c r="AA566" s="16">
        <v>21</v>
      </c>
      <c r="AB566" s="8">
        <f t="shared" si="273"/>
        <v>0.33082706766917291</v>
      </c>
      <c r="AC566" s="16">
        <f t="shared" si="265"/>
        <v>70.749196757239829</v>
      </c>
      <c r="AD566" s="20">
        <f>'PFAS Properties'!$W$36</f>
        <v>10</v>
      </c>
      <c r="AE566" s="8">
        <f>'PFAS Properties'!$S$36</f>
        <v>8.6001717619175692E-3</v>
      </c>
      <c r="AF566" s="15">
        <f>'PFAS Properties'!$V$36</f>
        <v>6.9</v>
      </c>
      <c r="AG566" s="24">
        <v>7.4</v>
      </c>
      <c r="AH566" s="2" t="s">
        <v>183</v>
      </c>
      <c r="AI566" s="2" t="s">
        <v>661</v>
      </c>
      <c r="AJ566" s="2" t="s">
        <v>661</v>
      </c>
      <c r="AK566" s="2" t="s">
        <v>661</v>
      </c>
      <c r="AL566" s="2" t="s">
        <v>661</v>
      </c>
      <c r="AM566" s="2" t="s">
        <v>661</v>
      </c>
      <c r="AN566" s="2" t="s">
        <v>661</v>
      </c>
      <c r="AO566" s="2" t="s">
        <v>661</v>
      </c>
      <c r="AP566" s="15">
        <v>29.6</v>
      </c>
      <c r="AQ566" s="2" t="s">
        <v>661</v>
      </c>
      <c r="AR566" s="16">
        <v>39.799999999999997</v>
      </c>
      <c r="AS566" s="16">
        <v>7.7</v>
      </c>
      <c r="AT566" s="16">
        <v>52.5</v>
      </c>
      <c r="AU566" s="2" t="s">
        <v>661</v>
      </c>
      <c r="AV566" s="16">
        <f t="shared" si="285"/>
        <v>100</v>
      </c>
      <c r="AW566" s="18">
        <v>2.23</v>
      </c>
      <c r="AX566" s="13">
        <v>2.23E-2</v>
      </c>
      <c r="AY566" s="8" t="s">
        <v>184</v>
      </c>
      <c r="AZ566" s="16">
        <v>100</v>
      </c>
      <c r="BA566" s="16" t="s">
        <v>55</v>
      </c>
      <c r="BB566" s="16">
        <v>5</v>
      </c>
      <c r="BC566" s="16" t="s">
        <v>55</v>
      </c>
      <c r="BD566" s="7">
        <v>20.71</v>
      </c>
      <c r="BE566" s="15">
        <f t="shared" si="281"/>
        <v>928.69955156950675</v>
      </c>
      <c r="BF566" s="8">
        <f t="shared" si="277"/>
        <v>2.967875235845292</v>
      </c>
      <c r="BG566" s="8">
        <f t="shared" si="282"/>
        <v>1.3161800988934527</v>
      </c>
      <c r="BH566" s="5" t="s">
        <v>841</v>
      </c>
      <c r="BI566" s="5"/>
      <c r="BJ566" s="13"/>
      <c r="BK566" s="5"/>
      <c r="BL566" s="5"/>
      <c r="BM566" s="21"/>
      <c r="BN566" s="21"/>
      <c r="BO566" s="1"/>
      <c r="BP566" s="11"/>
      <c r="BQ566" s="11"/>
    </row>
    <row r="567" spans="1:69" x14ac:dyDescent="0.3">
      <c r="A567" s="20">
        <v>565</v>
      </c>
      <c r="B567" s="2" t="s">
        <v>181</v>
      </c>
      <c r="C567" s="2">
        <v>2020</v>
      </c>
      <c r="D567" s="2" t="s">
        <v>203</v>
      </c>
      <c r="E567" s="10" t="s">
        <v>787</v>
      </c>
      <c r="F567" s="20" t="s">
        <v>29</v>
      </c>
      <c r="G567" s="2" t="s">
        <v>60</v>
      </c>
      <c r="H567" s="2" t="str">
        <f>'PFAS Properties'!$B$36</f>
        <v>PFUnA</v>
      </c>
      <c r="I567" s="2" t="str">
        <f>'PFAS Properties'!$C$36</f>
        <v>PFCA</v>
      </c>
      <c r="J567" s="2" t="str">
        <f>'PFAS Properties'!$D$36</f>
        <v>C11HF21O2</v>
      </c>
      <c r="K567" s="25">
        <f>'PFAS Properties'!$P$36</f>
        <v>563.96399999999994</v>
      </c>
      <c r="L567" s="2">
        <f>'PFAS Properties'!$X$36</f>
        <v>-0.2</v>
      </c>
      <c r="M567" s="2" t="str">
        <f>'PFAS Properties'!$Y$36</f>
        <v>-</v>
      </c>
      <c r="N567" s="33">
        <v>0</v>
      </c>
      <c r="O567" s="33">
        <v>0</v>
      </c>
      <c r="P567" s="33">
        <v>0</v>
      </c>
      <c r="Q567" s="33">
        <f t="shared" si="266"/>
        <v>0.99999998741074603</v>
      </c>
      <c r="R567" s="33">
        <v>0</v>
      </c>
      <c r="S567" s="33">
        <f t="shared" si="267"/>
        <v>1.258925395945232E-8</v>
      </c>
      <c r="T567" s="8">
        <f t="shared" si="268"/>
        <v>1</v>
      </c>
      <c r="U567" s="33">
        <f t="shared" si="269"/>
        <v>0</v>
      </c>
      <c r="V567" s="33">
        <f t="shared" si="270"/>
        <v>-0.99999998741074603</v>
      </c>
      <c r="W567" s="33">
        <f t="shared" si="271"/>
        <v>562.96400001258917</v>
      </c>
      <c r="X567" s="33">
        <v>96485</v>
      </c>
      <c r="Y567" s="16">
        <f t="shared" si="272"/>
        <v>-171.38751107205471</v>
      </c>
      <c r="Z567" s="16">
        <v>11</v>
      </c>
      <c r="AA567" s="16">
        <v>21</v>
      </c>
      <c r="AB567" s="8">
        <f t="shared" si="273"/>
        <v>0.33082706766917291</v>
      </c>
      <c r="AC567" s="16">
        <f t="shared" si="265"/>
        <v>70.749196757239829</v>
      </c>
      <c r="AD567" s="20">
        <f>'PFAS Properties'!$W$36</f>
        <v>10</v>
      </c>
      <c r="AE567" s="8">
        <f>'PFAS Properties'!$S$36</f>
        <v>8.6001717619175692E-3</v>
      </c>
      <c r="AF567" s="15">
        <f>'PFAS Properties'!$V$36</f>
        <v>6.9</v>
      </c>
      <c r="AG567" s="24">
        <v>7.7</v>
      </c>
      <c r="AH567" s="2" t="s">
        <v>183</v>
      </c>
      <c r="AI567" s="2" t="s">
        <v>661</v>
      </c>
      <c r="AJ567" s="2" t="s">
        <v>661</v>
      </c>
      <c r="AK567" s="2" t="s">
        <v>661</v>
      </c>
      <c r="AL567" s="2" t="s">
        <v>661</v>
      </c>
      <c r="AM567" s="2" t="s">
        <v>661</v>
      </c>
      <c r="AN567" s="2" t="s">
        <v>661</v>
      </c>
      <c r="AO567" s="2" t="s">
        <v>661</v>
      </c>
      <c r="AP567" s="15">
        <v>21.63</v>
      </c>
      <c r="AQ567" s="2" t="s">
        <v>661</v>
      </c>
      <c r="AR567" s="16">
        <v>70</v>
      </c>
      <c r="AS567" s="16">
        <v>11</v>
      </c>
      <c r="AT567" s="16">
        <v>19</v>
      </c>
      <c r="AU567" s="2" t="s">
        <v>661</v>
      </c>
      <c r="AV567" s="16">
        <f t="shared" si="285"/>
        <v>100</v>
      </c>
      <c r="AW567" s="18">
        <v>4.9000000000000004</v>
      </c>
      <c r="AX567" s="13">
        <v>4.9000000000000002E-2</v>
      </c>
      <c r="AY567" s="8" t="s">
        <v>184</v>
      </c>
      <c r="AZ567" s="16">
        <v>100</v>
      </c>
      <c r="BA567" s="16" t="s">
        <v>55</v>
      </c>
      <c r="BB567" s="16">
        <v>5</v>
      </c>
      <c r="BC567" s="16" t="s">
        <v>55</v>
      </c>
      <c r="BD567" s="7">
        <v>131.33000000000001</v>
      </c>
      <c r="BE567" s="15">
        <f t="shared" si="281"/>
        <v>2680.204081632653</v>
      </c>
      <c r="BF567" s="8">
        <f t="shared" si="277"/>
        <v>3.4281678642349274</v>
      </c>
      <c r="BG567" s="8">
        <f t="shared" si="282"/>
        <v>2.1183639442634408</v>
      </c>
      <c r="BH567" s="5" t="s">
        <v>841</v>
      </c>
      <c r="BI567" s="5"/>
      <c r="BJ567" s="13"/>
      <c r="BK567" s="5"/>
      <c r="BL567" s="5"/>
      <c r="BM567" s="21"/>
      <c r="BN567" s="21"/>
      <c r="BO567" s="1"/>
      <c r="BP567" s="11"/>
      <c r="BQ567" s="11"/>
    </row>
    <row r="568" spans="1:69" x14ac:dyDescent="0.3">
      <c r="A568" s="20">
        <v>566</v>
      </c>
      <c r="B568" s="2" t="s">
        <v>181</v>
      </c>
      <c r="C568" s="2">
        <v>2020</v>
      </c>
      <c r="D568" s="2" t="s">
        <v>203</v>
      </c>
      <c r="E568" s="10" t="s">
        <v>787</v>
      </c>
      <c r="F568" s="20" t="s">
        <v>29</v>
      </c>
      <c r="G568" s="2" t="s">
        <v>77</v>
      </c>
      <c r="H568" s="2" t="str">
        <f>'PFAS Properties'!$B$36</f>
        <v>PFUnA</v>
      </c>
      <c r="I568" s="2" t="str">
        <f>'PFAS Properties'!$C$36</f>
        <v>PFCA</v>
      </c>
      <c r="J568" s="2" t="str">
        <f>'PFAS Properties'!$D$36</f>
        <v>C11HF21O2</v>
      </c>
      <c r="K568" s="25">
        <f>'PFAS Properties'!$P$36</f>
        <v>563.96399999999994</v>
      </c>
      <c r="L568" s="2">
        <f>'PFAS Properties'!$X$36</f>
        <v>-0.2</v>
      </c>
      <c r="M568" s="2" t="str">
        <f>'PFAS Properties'!$Y$36</f>
        <v>-</v>
      </c>
      <c r="N568" s="33">
        <v>0</v>
      </c>
      <c r="O568" s="33">
        <v>0</v>
      </c>
      <c r="P568" s="33">
        <v>0</v>
      </c>
      <c r="Q568" s="33">
        <f t="shared" si="266"/>
        <v>0.99999998741074603</v>
      </c>
      <c r="R568" s="33">
        <v>0</v>
      </c>
      <c r="S568" s="33">
        <f t="shared" si="267"/>
        <v>1.258925395945232E-8</v>
      </c>
      <c r="T568" s="8">
        <f t="shared" si="268"/>
        <v>1</v>
      </c>
      <c r="U568" s="33">
        <f t="shared" si="269"/>
        <v>0</v>
      </c>
      <c r="V568" s="33">
        <f t="shared" si="270"/>
        <v>-0.99999998741074603</v>
      </c>
      <c r="W568" s="33">
        <f t="shared" si="271"/>
        <v>562.96400001258917</v>
      </c>
      <c r="X568" s="33">
        <v>96485</v>
      </c>
      <c r="Y568" s="16">
        <f t="shared" si="272"/>
        <v>-171.38751107205471</v>
      </c>
      <c r="Z568" s="16">
        <v>11</v>
      </c>
      <c r="AA568" s="16">
        <v>21</v>
      </c>
      <c r="AB568" s="8">
        <f t="shared" si="273"/>
        <v>0.33082706766917291</v>
      </c>
      <c r="AC568" s="16">
        <f t="shared" si="265"/>
        <v>70.749196757239829</v>
      </c>
      <c r="AD568" s="20">
        <f>'PFAS Properties'!$W$36</f>
        <v>10</v>
      </c>
      <c r="AE568" s="8">
        <f>'PFAS Properties'!$S$36</f>
        <v>8.6001717619175692E-3</v>
      </c>
      <c r="AF568" s="15">
        <f>'PFAS Properties'!$V$36</f>
        <v>6.9</v>
      </c>
      <c r="AG568" s="24">
        <v>7.7</v>
      </c>
      <c r="AH568" s="2" t="s">
        <v>183</v>
      </c>
      <c r="AI568" s="2" t="s">
        <v>661</v>
      </c>
      <c r="AJ568" s="2" t="s">
        <v>661</v>
      </c>
      <c r="AK568" s="2" t="s">
        <v>661</v>
      </c>
      <c r="AL568" s="2" t="s">
        <v>661</v>
      </c>
      <c r="AM568" s="2" t="s">
        <v>661</v>
      </c>
      <c r="AN568" s="2" t="s">
        <v>661</v>
      </c>
      <c r="AO568" s="2" t="s">
        <v>661</v>
      </c>
      <c r="AP568" s="15">
        <v>7.8</v>
      </c>
      <c r="AQ568" s="2" t="s">
        <v>661</v>
      </c>
      <c r="AR568" s="16">
        <v>48.9</v>
      </c>
      <c r="AS568" s="16">
        <v>32.6</v>
      </c>
      <c r="AT568" s="16">
        <v>18.5</v>
      </c>
      <c r="AU568" s="2" t="s">
        <v>661</v>
      </c>
      <c r="AV568" s="16">
        <f t="shared" si="285"/>
        <v>100</v>
      </c>
      <c r="AW568" s="18">
        <v>0.13</v>
      </c>
      <c r="AX568" s="13">
        <v>1.2999999999999999E-3</v>
      </c>
      <c r="AY568" s="8" t="s">
        <v>184</v>
      </c>
      <c r="AZ568" s="16">
        <v>100</v>
      </c>
      <c r="BA568" s="16" t="s">
        <v>55</v>
      </c>
      <c r="BB568" s="16">
        <v>5</v>
      </c>
      <c r="BC568" s="16" t="s">
        <v>55</v>
      </c>
      <c r="BD568" s="7">
        <v>23.32</v>
      </c>
      <c r="BE568" s="15">
        <f t="shared" si="281"/>
        <v>17938.461538461539</v>
      </c>
      <c r="BF568" s="8">
        <f t="shared" si="277"/>
        <v>4.2537851937801401</v>
      </c>
      <c r="BG568" s="8">
        <f t="shared" si="282"/>
        <v>1.3677285460869766</v>
      </c>
      <c r="BH568" s="5" t="s">
        <v>841</v>
      </c>
      <c r="BI568" s="5"/>
      <c r="BJ568" s="13"/>
      <c r="BK568" s="5"/>
      <c r="BL568" s="5"/>
      <c r="BM568" s="21"/>
      <c r="BN568" s="21"/>
      <c r="BO568" s="1"/>
      <c r="BP568" s="11"/>
      <c r="BQ568" s="11"/>
    </row>
    <row r="569" spans="1:69" x14ac:dyDescent="0.3">
      <c r="A569" s="20">
        <v>567</v>
      </c>
      <c r="B569" s="2" t="s">
        <v>181</v>
      </c>
      <c r="C569" s="2">
        <v>2020</v>
      </c>
      <c r="D569" s="2" t="s">
        <v>203</v>
      </c>
      <c r="E569" s="10" t="s">
        <v>787</v>
      </c>
      <c r="F569" s="20" t="s">
        <v>29</v>
      </c>
      <c r="G569" s="2" t="s">
        <v>182</v>
      </c>
      <c r="H569" s="2" t="str">
        <f>'PFAS Properties'!$B$36</f>
        <v>PFUnA</v>
      </c>
      <c r="I569" s="2" t="str">
        <f>'PFAS Properties'!$C$36</f>
        <v>PFCA</v>
      </c>
      <c r="J569" s="2" t="str">
        <f>'PFAS Properties'!$D$36</f>
        <v>C11HF21O2</v>
      </c>
      <c r="K569" s="25">
        <f>'PFAS Properties'!$P$36</f>
        <v>563.96399999999994</v>
      </c>
      <c r="L569" s="2">
        <f>'PFAS Properties'!$X$36</f>
        <v>-0.2</v>
      </c>
      <c r="M569" s="2" t="str">
        <f>'PFAS Properties'!$Y$36</f>
        <v>-</v>
      </c>
      <c r="N569" s="33">
        <v>0</v>
      </c>
      <c r="O569" s="33">
        <v>0</v>
      </c>
      <c r="P569" s="33">
        <v>0</v>
      </c>
      <c r="Q569" s="33">
        <f t="shared" si="266"/>
        <v>0.99999998004737722</v>
      </c>
      <c r="R569" s="33">
        <v>0</v>
      </c>
      <c r="S569" s="33">
        <f t="shared" si="267"/>
        <v>1.995262275158161E-8</v>
      </c>
      <c r="T569" s="8">
        <f t="shared" si="268"/>
        <v>1</v>
      </c>
      <c r="U569" s="33">
        <f t="shared" si="269"/>
        <v>0</v>
      </c>
      <c r="V569" s="33">
        <f t="shared" si="270"/>
        <v>-0.99999998004737722</v>
      </c>
      <c r="W569" s="33">
        <f t="shared" si="271"/>
        <v>562.96400001995255</v>
      </c>
      <c r="X569" s="33">
        <v>96485</v>
      </c>
      <c r="Y569" s="16">
        <f t="shared" si="272"/>
        <v>-171.38750980782356</v>
      </c>
      <c r="Z569" s="16">
        <v>11</v>
      </c>
      <c r="AA569" s="16">
        <v>21</v>
      </c>
      <c r="AB569" s="8">
        <f t="shared" si="273"/>
        <v>0.33082706766917291</v>
      </c>
      <c r="AC569" s="16">
        <f t="shared" si="265"/>
        <v>70.749196757239829</v>
      </c>
      <c r="AD569" s="20">
        <f>'PFAS Properties'!$W$36</f>
        <v>10</v>
      </c>
      <c r="AE569" s="8">
        <f>'PFAS Properties'!$S$36</f>
        <v>8.6001717619175692E-3</v>
      </c>
      <c r="AF569" s="15">
        <f>'PFAS Properties'!$V$36</f>
        <v>6.9</v>
      </c>
      <c r="AG569" s="24">
        <v>7.5</v>
      </c>
      <c r="AH569" s="2" t="s">
        <v>183</v>
      </c>
      <c r="AI569" s="2" t="s">
        <v>661</v>
      </c>
      <c r="AJ569" s="2" t="s">
        <v>661</v>
      </c>
      <c r="AK569" s="2" t="s">
        <v>661</v>
      </c>
      <c r="AL569" s="2" t="s">
        <v>661</v>
      </c>
      <c r="AM569" s="2" t="s">
        <v>661</v>
      </c>
      <c r="AN569" s="2" t="s">
        <v>661</v>
      </c>
      <c r="AO569" s="2" t="s">
        <v>661</v>
      </c>
      <c r="AP569" s="15">
        <v>2.2799999999999998</v>
      </c>
      <c r="AQ569" s="2" t="s">
        <v>661</v>
      </c>
      <c r="AR569" s="16">
        <v>93</v>
      </c>
      <c r="AS569" s="16">
        <v>1</v>
      </c>
      <c r="AT569" s="16">
        <v>5</v>
      </c>
      <c r="AU569" s="2" t="s">
        <v>661</v>
      </c>
      <c r="AV569" s="16">
        <f t="shared" si="285"/>
        <v>99</v>
      </c>
      <c r="AW569" s="18">
        <v>0.4</v>
      </c>
      <c r="AX569" s="13">
        <v>4.0000000000000001E-3</v>
      </c>
      <c r="AY569" s="8" t="s">
        <v>184</v>
      </c>
      <c r="AZ569" s="16">
        <v>100</v>
      </c>
      <c r="BA569" s="16" t="s">
        <v>55</v>
      </c>
      <c r="BB569" s="16">
        <v>5</v>
      </c>
      <c r="BC569" s="16" t="s">
        <v>55</v>
      </c>
      <c r="BD569" s="7">
        <v>11.73</v>
      </c>
      <c r="BE569" s="15">
        <f t="shared" si="281"/>
        <v>2932.5</v>
      </c>
      <c r="BF569" s="8">
        <f t="shared" si="277"/>
        <v>3.4672380207875668</v>
      </c>
      <c r="BG569" s="8">
        <f t="shared" si="282"/>
        <v>1.0692980121155293</v>
      </c>
      <c r="BH569" s="5" t="s">
        <v>841</v>
      </c>
      <c r="BI569" s="5"/>
      <c r="BJ569" s="13"/>
      <c r="BK569" s="5"/>
      <c r="BL569" s="5"/>
      <c r="BM569" s="21"/>
      <c r="BN569" s="21"/>
      <c r="BO569" s="1"/>
      <c r="BP569" s="11"/>
      <c r="BQ569" s="11"/>
    </row>
    <row r="570" spans="1:69" x14ac:dyDescent="0.3">
      <c r="A570" s="20">
        <v>568</v>
      </c>
      <c r="B570" s="2" t="s">
        <v>181</v>
      </c>
      <c r="C570" s="2">
        <v>2020</v>
      </c>
      <c r="D570" s="2" t="s">
        <v>203</v>
      </c>
      <c r="E570" s="10" t="s">
        <v>787</v>
      </c>
      <c r="F570" s="20" t="s">
        <v>29</v>
      </c>
      <c r="G570" s="2" t="s">
        <v>78</v>
      </c>
      <c r="H570" s="2" t="str">
        <f>'PFAS Properties'!$B$36</f>
        <v>PFUnA</v>
      </c>
      <c r="I570" s="2" t="str">
        <f>'PFAS Properties'!$C$36</f>
        <v>PFCA</v>
      </c>
      <c r="J570" s="2" t="str">
        <f>'PFAS Properties'!$D$36</f>
        <v>C11HF21O2</v>
      </c>
      <c r="K570" s="25">
        <f>'PFAS Properties'!$P$36</f>
        <v>563.96399999999994</v>
      </c>
      <c r="L570" s="2">
        <f>'PFAS Properties'!$X$36</f>
        <v>-0.2</v>
      </c>
      <c r="M570" s="2" t="str">
        <f>'PFAS Properties'!$Y$36</f>
        <v>-</v>
      </c>
      <c r="N570" s="33">
        <v>0</v>
      </c>
      <c r="O570" s="33">
        <v>0</v>
      </c>
      <c r="P570" s="33">
        <v>0</v>
      </c>
      <c r="Q570" s="33">
        <f t="shared" si="266"/>
        <v>0.99999994988127916</v>
      </c>
      <c r="R570" s="33">
        <v>0</v>
      </c>
      <c r="S570" s="33">
        <f t="shared" si="267"/>
        <v>5.011872085084086E-8</v>
      </c>
      <c r="T570" s="8">
        <f t="shared" si="268"/>
        <v>1</v>
      </c>
      <c r="U570" s="33">
        <f t="shared" si="269"/>
        <v>0</v>
      </c>
      <c r="V570" s="33">
        <f t="shared" si="270"/>
        <v>-0.99999994988127916</v>
      </c>
      <c r="W570" s="33">
        <f t="shared" si="271"/>
        <v>562.96400005011867</v>
      </c>
      <c r="X570" s="33">
        <v>96485</v>
      </c>
      <c r="Y570" s="16">
        <f t="shared" si="272"/>
        <v>-171.3875046285473</v>
      </c>
      <c r="Z570" s="16">
        <v>11</v>
      </c>
      <c r="AA570" s="16">
        <v>21</v>
      </c>
      <c r="AB570" s="8">
        <f t="shared" si="273"/>
        <v>0.33082706766917291</v>
      </c>
      <c r="AC570" s="16">
        <f t="shared" si="265"/>
        <v>70.749196757239829</v>
      </c>
      <c r="AD570" s="20">
        <f>'PFAS Properties'!$W$36</f>
        <v>10</v>
      </c>
      <c r="AE570" s="8">
        <f>'PFAS Properties'!$S$36</f>
        <v>8.6001717619175692E-3</v>
      </c>
      <c r="AF570" s="15">
        <f>'PFAS Properties'!$V$36</f>
        <v>6.9</v>
      </c>
      <c r="AG570" s="24">
        <v>7.1</v>
      </c>
      <c r="AH570" s="2" t="s">
        <v>183</v>
      </c>
      <c r="AI570" s="2" t="s">
        <v>661</v>
      </c>
      <c r="AJ570" s="2" t="s">
        <v>661</v>
      </c>
      <c r="AK570" s="2" t="s">
        <v>661</v>
      </c>
      <c r="AL570" s="2" t="s">
        <v>661</v>
      </c>
      <c r="AM570" s="2" t="s">
        <v>661</v>
      </c>
      <c r="AN570" s="2" t="s">
        <v>661</v>
      </c>
      <c r="AO570" s="2" t="s">
        <v>661</v>
      </c>
      <c r="AP570" s="15">
        <v>17.420000000000002</v>
      </c>
      <c r="AQ570" s="2" t="s">
        <v>661</v>
      </c>
      <c r="AR570" s="16">
        <v>48.86</v>
      </c>
      <c r="AS570" s="16">
        <v>16.05</v>
      </c>
      <c r="AT570" s="16">
        <v>35.090000000000003</v>
      </c>
      <c r="AU570" s="2" t="s">
        <v>661</v>
      </c>
      <c r="AV570" s="16">
        <f t="shared" si="285"/>
        <v>100</v>
      </c>
      <c r="AW570" s="18">
        <v>1.19</v>
      </c>
      <c r="AX570" s="13">
        <v>1.1899999999999999E-2</v>
      </c>
      <c r="AY570" s="8" t="s">
        <v>184</v>
      </c>
      <c r="AZ570" s="16">
        <v>100</v>
      </c>
      <c r="BA570" s="16" t="s">
        <v>55</v>
      </c>
      <c r="BB570" s="16">
        <v>5</v>
      </c>
      <c r="BC570" s="16" t="s">
        <v>55</v>
      </c>
      <c r="BD570" s="7">
        <v>68.03</v>
      </c>
      <c r="BE570" s="15">
        <f t="shared" si="281"/>
        <v>5716.8067226890762</v>
      </c>
      <c r="BF570" s="8">
        <f t="shared" si="277"/>
        <v>3.7571535095680368</v>
      </c>
      <c r="BG570" s="8">
        <f t="shared" si="282"/>
        <v>1.8327004709605674</v>
      </c>
      <c r="BH570" s="5" t="s">
        <v>841</v>
      </c>
      <c r="BI570" s="5"/>
      <c r="BJ570" s="13"/>
      <c r="BK570" s="5"/>
      <c r="BL570" s="5"/>
      <c r="BM570" s="21"/>
      <c r="BN570" s="21"/>
      <c r="BO570" s="1"/>
      <c r="BP570" s="11"/>
      <c r="BQ570" s="11"/>
    </row>
    <row r="571" spans="1:69" x14ac:dyDescent="0.3">
      <c r="A571" s="20">
        <v>569</v>
      </c>
      <c r="B571" s="2" t="s">
        <v>181</v>
      </c>
      <c r="C571" s="2">
        <v>2020</v>
      </c>
      <c r="D571" s="2" t="s">
        <v>203</v>
      </c>
      <c r="E571" s="10" t="s">
        <v>787</v>
      </c>
      <c r="F571" s="20" t="s">
        <v>29</v>
      </c>
      <c r="G571" s="2" t="s">
        <v>98</v>
      </c>
      <c r="H571" s="2" t="str">
        <f>'PFAS Properties'!$B$36</f>
        <v>PFUnA</v>
      </c>
      <c r="I571" s="2" t="str">
        <f>'PFAS Properties'!$C$36</f>
        <v>PFCA</v>
      </c>
      <c r="J571" s="2" t="str">
        <f>'PFAS Properties'!$D$36</f>
        <v>C11HF21O2</v>
      </c>
      <c r="K571" s="25">
        <f>'PFAS Properties'!$P$36</f>
        <v>563.96399999999994</v>
      </c>
      <c r="L571" s="2">
        <f>'PFAS Properties'!$X$36</f>
        <v>-0.2</v>
      </c>
      <c r="M571" s="2" t="str">
        <f>'PFAS Properties'!$Y$36</f>
        <v>-</v>
      </c>
      <c r="N571" s="33">
        <v>0</v>
      </c>
      <c r="O571" s="33">
        <v>0</v>
      </c>
      <c r="P571" s="33">
        <v>0</v>
      </c>
      <c r="Q571" s="33">
        <f t="shared" si="266"/>
        <v>0.99999974881141995</v>
      </c>
      <c r="R571" s="33">
        <v>0</v>
      </c>
      <c r="S571" s="33">
        <f t="shared" si="267"/>
        <v>2.5118858005523878E-7</v>
      </c>
      <c r="T571" s="8">
        <f t="shared" si="268"/>
        <v>1</v>
      </c>
      <c r="U571" s="33">
        <f t="shared" si="269"/>
        <v>0</v>
      </c>
      <c r="V571" s="33">
        <f t="shared" si="270"/>
        <v>-0.99999974881141995</v>
      </c>
      <c r="W571" s="33">
        <f t="shared" si="271"/>
        <v>562.96400025118851</v>
      </c>
      <c r="X571" s="33">
        <v>96485</v>
      </c>
      <c r="Y571" s="16">
        <f t="shared" si="272"/>
        <v>-171.38747010647091</v>
      </c>
      <c r="Z571" s="16">
        <v>11</v>
      </c>
      <c r="AA571" s="16">
        <v>21</v>
      </c>
      <c r="AB571" s="8">
        <f t="shared" si="273"/>
        <v>0.33082706766917291</v>
      </c>
      <c r="AC571" s="16">
        <f t="shared" si="265"/>
        <v>70.749196757239829</v>
      </c>
      <c r="AD571" s="20">
        <f>'PFAS Properties'!$W$36</f>
        <v>10</v>
      </c>
      <c r="AE571" s="8">
        <f>'PFAS Properties'!$S$36</f>
        <v>8.6001717619175692E-3</v>
      </c>
      <c r="AF571" s="15">
        <f>'PFAS Properties'!$V$36</f>
        <v>6.9</v>
      </c>
      <c r="AG571" s="24">
        <v>6.4</v>
      </c>
      <c r="AH571" s="2" t="s">
        <v>183</v>
      </c>
      <c r="AI571" s="2" t="s">
        <v>661</v>
      </c>
      <c r="AJ571" s="2" t="s">
        <v>661</v>
      </c>
      <c r="AK571" s="2" t="s">
        <v>661</v>
      </c>
      <c r="AL571" s="2" t="s">
        <v>661</v>
      </c>
      <c r="AM571" s="2" t="s">
        <v>661</v>
      </c>
      <c r="AN571" s="2" t="s">
        <v>661</v>
      </c>
      <c r="AO571" s="2" t="s">
        <v>661</v>
      </c>
      <c r="AP571" s="15">
        <v>16.54</v>
      </c>
      <c r="AQ571" s="2" t="s">
        <v>661</v>
      </c>
      <c r="AR571" s="16">
        <v>29.38</v>
      </c>
      <c r="AS571" s="16">
        <v>13.9</v>
      </c>
      <c r="AT571" s="16">
        <v>56.71</v>
      </c>
      <c r="AU571" s="2" t="s">
        <v>661</v>
      </c>
      <c r="AV571" s="16">
        <f t="shared" si="285"/>
        <v>99.990000000000009</v>
      </c>
      <c r="AW571" s="18">
        <v>0.17</v>
      </c>
      <c r="AX571" s="13">
        <v>1.7000000000000001E-3</v>
      </c>
      <c r="AY571" s="8" t="s">
        <v>184</v>
      </c>
      <c r="AZ571" s="16">
        <v>100</v>
      </c>
      <c r="BA571" s="16" t="s">
        <v>55</v>
      </c>
      <c r="BB571" s="16">
        <v>5</v>
      </c>
      <c r="BC571" s="16" t="s">
        <v>55</v>
      </c>
      <c r="BD571" s="7">
        <v>45.09</v>
      </c>
      <c r="BE571" s="15">
        <f t="shared" si="281"/>
        <v>26523.529411764706</v>
      </c>
      <c r="BF571" s="8">
        <f t="shared" si="277"/>
        <v>4.423631313928297</v>
      </c>
      <c r="BG571" s="8">
        <f t="shared" si="282"/>
        <v>1.6540802353065707</v>
      </c>
      <c r="BH571" s="5" t="s">
        <v>841</v>
      </c>
      <c r="BI571" s="5"/>
      <c r="BJ571" s="13"/>
      <c r="BK571" s="5"/>
      <c r="BL571" s="5"/>
      <c r="BM571" s="21"/>
      <c r="BN571" s="21"/>
      <c r="BO571" s="1"/>
      <c r="BP571" s="11"/>
      <c r="BQ571" s="11"/>
    </row>
    <row r="572" spans="1:69" s="14" customFormat="1" x14ac:dyDescent="0.3">
      <c r="A572" s="20">
        <v>570</v>
      </c>
      <c r="B572" s="2" t="s">
        <v>202</v>
      </c>
      <c r="C572" s="2">
        <v>2019</v>
      </c>
      <c r="D572" s="2" t="s">
        <v>199</v>
      </c>
      <c r="E572" s="10" t="s">
        <v>791</v>
      </c>
      <c r="F572" s="20" t="s">
        <v>29</v>
      </c>
      <c r="G572" s="2" t="s">
        <v>39</v>
      </c>
      <c r="H572" s="2" t="str">
        <f>'PFAS Properties'!$B$37</f>
        <v>PFDoA</v>
      </c>
      <c r="I572" s="2" t="str">
        <f>'PFAS Properties'!$C$37</f>
        <v>PFCA</v>
      </c>
      <c r="J572" s="2" t="str">
        <f>'PFAS Properties'!$D$37</f>
        <v>C12HF23O2</v>
      </c>
      <c r="K572" s="25">
        <f>'PFAS Properties'!$P$37</f>
        <v>613.96079999999995</v>
      </c>
      <c r="L572" s="2">
        <f>'PFAS Properties'!$X$37</f>
        <v>-0.2</v>
      </c>
      <c r="M572" s="2" t="str">
        <f>'PFAS Properties'!$Y$37</f>
        <v>-</v>
      </c>
      <c r="N572" s="33">
        <v>0</v>
      </c>
      <c r="O572" s="33">
        <v>0</v>
      </c>
      <c r="P572" s="33">
        <v>0</v>
      </c>
      <c r="Q572" s="33">
        <f t="shared" si="266"/>
        <v>0.9999964518786969</v>
      </c>
      <c r="R572" s="33">
        <v>0</v>
      </c>
      <c r="S572" s="33">
        <f t="shared" si="267"/>
        <v>3.5481213031263005E-6</v>
      </c>
      <c r="T572" s="8">
        <f t="shared" si="268"/>
        <v>1</v>
      </c>
      <c r="U572" s="33">
        <f t="shared" si="269"/>
        <v>0</v>
      </c>
      <c r="V572" s="33">
        <f t="shared" si="270"/>
        <v>-0.9999964518786969</v>
      </c>
      <c r="W572" s="33">
        <f t="shared" si="271"/>
        <v>612.96080354812125</v>
      </c>
      <c r="X572" s="33">
        <v>96485</v>
      </c>
      <c r="Y572" s="16">
        <f t="shared" si="272"/>
        <v>-157.40754890200972</v>
      </c>
      <c r="Z572" s="16">
        <v>12</v>
      </c>
      <c r="AA572" s="16">
        <v>23</v>
      </c>
      <c r="AB572" s="8">
        <f t="shared" si="273"/>
        <v>0.32951945080091533</v>
      </c>
      <c r="AC572" s="16">
        <f t="shared" si="265"/>
        <v>71.177182647491506</v>
      </c>
      <c r="AD572" s="20">
        <f>'PFAS Properties'!$W$37</f>
        <v>11</v>
      </c>
      <c r="AE572" s="8">
        <f>'PFAS Properties'!$S$37</f>
        <v>-0.88605664769316317</v>
      </c>
      <c r="AF572" s="15">
        <f>'PFAS Properties'!$V$37</f>
        <v>7.6</v>
      </c>
      <c r="AG572" s="24">
        <v>5.25</v>
      </c>
      <c r="AH572" s="2" t="s">
        <v>661</v>
      </c>
      <c r="AI572" s="2" t="s">
        <v>661</v>
      </c>
      <c r="AJ572" s="2" t="s">
        <v>661</v>
      </c>
      <c r="AK572" s="2" t="s">
        <v>661</v>
      </c>
      <c r="AL572" s="2" t="s">
        <v>661</v>
      </c>
      <c r="AM572" s="2" t="s">
        <v>661</v>
      </c>
      <c r="AN572" s="2" t="s">
        <v>661</v>
      </c>
      <c r="AO572" s="2" t="s">
        <v>661</v>
      </c>
      <c r="AP572" s="72">
        <v>5.7023166666666656</v>
      </c>
      <c r="AQ572" s="70" t="s">
        <v>752</v>
      </c>
      <c r="AR572" s="16">
        <v>100</v>
      </c>
      <c r="AS572" s="16">
        <v>0</v>
      </c>
      <c r="AT572" s="16">
        <v>0</v>
      </c>
      <c r="AU572" s="2" t="s">
        <v>661</v>
      </c>
      <c r="AV572" s="16">
        <f t="shared" si="285"/>
        <v>100</v>
      </c>
      <c r="AW572" s="18">
        <v>0.4</v>
      </c>
      <c r="AX572" s="13">
        <f t="shared" ref="AX572:AX587" si="286">AW572/100</f>
        <v>4.0000000000000001E-3</v>
      </c>
      <c r="AY572" s="13" t="s">
        <v>658</v>
      </c>
      <c r="AZ572" s="16">
        <f>2/0.01</f>
        <v>200</v>
      </c>
      <c r="BA572" s="16" t="s">
        <v>55</v>
      </c>
      <c r="BB572" s="16">
        <v>1</v>
      </c>
      <c r="BC572" s="16">
        <v>1000</v>
      </c>
      <c r="BD572" s="25">
        <v>466</v>
      </c>
      <c r="BE572" s="16">
        <f t="shared" si="281"/>
        <v>116500</v>
      </c>
      <c r="BF572" s="8">
        <f t="shared" si="277"/>
        <v>5.0663259253620376</v>
      </c>
      <c r="BG572" s="8">
        <f t="shared" si="282"/>
        <v>2.6683859166900001</v>
      </c>
      <c r="BH572" s="13" t="s">
        <v>272</v>
      </c>
      <c r="BI572" s="13"/>
      <c r="BJ572" s="13"/>
      <c r="BK572" s="13"/>
      <c r="BL572" s="13"/>
      <c r="BM572" s="17"/>
      <c r="BN572" s="17"/>
      <c r="BO572" s="2"/>
    </row>
    <row r="573" spans="1:69" s="14" customFormat="1" x14ac:dyDescent="0.3">
      <c r="A573" s="20">
        <v>571</v>
      </c>
      <c r="B573" s="2" t="s">
        <v>202</v>
      </c>
      <c r="C573" s="2">
        <v>2019</v>
      </c>
      <c r="D573" s="2" t="s">
        <v>199</v>
      </c>
      <c r="E573" s="10" t="s">
        <v>791</v>
      </c>
      <c r="F573" s="20" t="s">
        <v>29</v>
      </c>
      <c r="G573" s="2" t="s">
        <v>43</v>
      </c>
      <c r="H573" s="2" t="str">
        <f>'PFAS Properties'!$B$37</f>
        <v>PFDoA</v>
      </c>
      <c r="I573" s="2" t="str">
        <f>'PFAS Properties'!$C$37</f>
        <v>PFCA</v>
      </c>
      <c r="J573" s="2" t="str">
        <f>'PFAS Properties'!$D$37</f>
        <v>C12HF23O2</v>
      </c>
      <c r="K573" s="25">
        <f>'PFAS Properties'!$P$37</f>
        <v>613.96079999999995</v>
      </c>
      <c r="L573" s="2">
        <f>'PFAS Properties'!$X$37</f>
        <v>-0.2</v>
      </c>
      <c r="M573" s="2" t="str">
        <f>'PFAS Properties'!$Y$37</f>
        <v>-</v>
      </c>
      <c r="N573" s="33">
        <v>0</v>
      </c>
      <c r="O573" s="33">
        <v>0</v>
      </c>
      <c r="P573" s="33">
        <v>0</v>
      </c>
      <c r="Q573" s="33">
        <f t="shared" si="266"/>
        <v>0.99999865103893715</v>
      </c>
      <c r="R573" s="33">
        <v>0</v>
      </c>
      <c r="S573" s="33">
        <f t="shared" si="267"/>
        <v>1.3489610628932487E-6</v>
      </c>
      <c r="T573" s="8">
        <f t="shared" si="268"/>
        <v>1</v>
      </c>
      <c r="U573" s="33">
        <f t="shared" si="269"/>
        <v>0</v>
      </c>
      <c r="V573" s="33">
        <f t="shared" si="270"/>
        <v>-0.99999865103893715</v>
      </c>
      <c r="W573" s="33">
        <f t="shared" si="271"/>
        <v>612.96080134896101</v>
      </c>
      <c r="X573" s="33">
        <v>96485</v>
      </c>
      <c r="Y573" s="16">
        <f t="shared" si="272"/>
        <v>-157.40789563240381</v>
      </c>
      <c r="Z573" s="16">
        <v>12</v>
      </c>
      <c r="AA573" s="16">
        <v>23</v>
      </c>
      <c r="AB573" s="8">
        <f t="shared" si="273"/>
        <v>0.32951945080091533</v>
      </c>
      <c r="AC573" s="16">
        <f t="shared" si="265"/>
        <v>71.177182647491506</v>
      </c>
      <c r="AD573" s="20">
        <f>'PFAS Properties'!$W$37</f>
        <v>11</v>
      </c>
      <c r="AE573" s="8">
        <f>'PFAS Properties'!$S$37</f>
        <v>-0.88605664769316317</v>
      </c>
      <c r="AF573" s="15">
        <f>'PFAS Properties'!$V$37</f>
        <v>7.6</v>
      </c>
      <c r="AG573" s="24">
        <v>5.67</v>
      </c>
      <c r="AH573" s="2" t="s">
        <v>661</v>
      </c>
      <c r="AI573" s="15" t="s">
        <v>661</v>
      </c>
      <c r="AJ573" s="16" t="s">
        <v>661</v>
      </c>
      <c r="AK573" s="2" t="s">
        <v>661</v>
      </c>
      <c r="AL573" s="15" t="s">
        <v>661</v>
      </c>
      <c r="AM573" s="16" t="s">
        <v>661</v>
      </c>
      <c r="AN573" s="2" t="s">
        <v>661</v>
      </c>
      <c r="AO573" s="2" t="s">
        <v>661</v>
      </c>
      <c r="AP573" s="72">
        <v>9.2037666666666649</v>
      </c>
      <c r="AQ573" s="70" t="s">
        <v>752</v>
      </c>
      <c r="AR573" s="16">
        <v>71</v>
      </c>
      <c r="AS573" s="16">
        <v>24</v>
      </c>
      <c r="AT573" s="16">
        <v>5</v>
      </c>
      <c r="AU573" s="2" t="s">
        <v>661</v>
      </c>
      <c r="AV573" s="16">
        <f t="shared" si="285"/>
        <v>100</v>
      </c>
      <c r="AW573" s="18">
        <v>0.93</v>
      </c>
      <c r="AX573" s="13">
        <f t="shared" si="286"/>
        <v>9.300000000000001E-3</v>
      </c>
      <c r="AY573" s="13" t="s">
        <v>658</v>
      </c>
      <c r="AZ573" s="16">
        <f>2/0.01</f>
        <v>200</v>
      </c>
      <c r="BA573" s="16" t="s">
        <v>55</v>
      </c>
      <c r="BB573" s="16">
        <v>1</v>
      </c>
      <c r="BC573" s="16">
        <v>1000</v>
      </c>
      <c r="BD573" s="25">
        <v>156</v>
      </c>
      <c r="BE573" s="16">
        <f t="shared" si="281"/>
        <v>16774.193548387095</v>
      </c>
      <c r="BF573" s="8">
        <f t="shared" si="277"/>
        <v>4.2246416498005264</v>
      </c>
      <c r="BG573" s="8">
        <f t="shared" si="282"/>
        <v>2.1931245983544616</v>
      </c>
      <c r="BH573" s="13" t="s">
        <v>272</v>
      </c>
      <c r="BI573" s="13"/>
      <c r="BJ573" s="13"/>
      <c r="BK573" s="13"/>
      <c r="BL573" s="13"/>
      <c r="BM573" s="17"/>
      <c r="BN573" s="17"/>
      <c r="BO573" s="2"/>
    </row>
    <row r="574" spans="1:69" x14ac:dyDescent="0.3">
      <c r="A574" s="20">
        <v>572</v>
      </c>
      <c r="B574" s="2" t="s">
        <v>200</v>
      </c>
      <c r="C574" s="2">
        <v>2021</v>
      </c>
      <c r="D574" s="2" t="s">
        <v>201</v>
      </c>
      <c r="E574" s="10" t="s">
        <v>794</v>
      </c>
      <c r="F574" s="20" t="s">
        <v>29</v>
      </c>
      <c r="G574" s="2" t="s">
        <v>30</v>
      </c>
      <c r="H574" s="2" t="str">
        <f>'PFAS Properties'!$B$37</f>
        <v>PFDoA</v>
      </c>
      <c r="I574" s="2" t="str">
        <f>'PFAS Properties'!$C$37</f>
        <v>PFCA</v>
      </c>
      <c r="J574" s="2" t="str">
        <f>'PFAS Properties'!$D$37</f>
        <v>C12HF23O2</v>
      </c>
      <c r="K574" s="25">
        <f>'PFAS Properties'!$P$37</f>
        <v>613.96079999999995</v>
      </c>
      <c r="L574" s="2">
        <f>'PFAS Properties'!$X$37</f>
        <v>-0.2</v>
      </c>
      <c r="M574" s="2" t="str">
        <f>'PFAS Properties'!$Y$37</f>
        <v>-</v>
      </c>
      <c r="N574" s="33">
        <v>0</v>
      </c>
      <c r="O574" s="33">
        <v>0</v>
      </c>
      <c r="P574" s="33">
        <v>0</v>
      </c>
      <c r="Q574" s="33">
        <f t="shared" si="266"/>
        <v>0.99999800474166611</v>
      </c>
      <c r="R574" s="33">
        <v>0</v>
      </c>
      <c r="S574" s="33">
        <f t="shared" si="267"/>
        <v>1.9952583339051124E-6</v>
      </c>
      <c r="T574" s="8">
        <f t="shared" si="268"/>
        <v>1</v>
      </c>
      <c r="U574" s="33">
        <f t="shared" si="269"/>
        <v>0</v>
      </c>
      <c r="V574" s="33">
        <f t="shared" si="270"/>
        <v>-0.99999800474166611</v>
      </c>
      <c r="W574" s="33">
        <f t="shared" si="271"/>
        <v>612.96080199525829</v>
      </c>
      <c r="X574" s="33">
        <v>96485</v>
      </c>
      <c r="Y574" s="16">
        <f t="shared" si="272"/>
        <v>-157.4077937340046</v>
      </c>
      <c r="Z574" s="16">
        <v>12</v>
      </c>
      <c r="AA574" s="16">
        <v>23</v>
      </c>
      <c r="AB574" s="8">
        <f t="shared" si="273"/>
        <v>0.32951945080091533</v>
      </c>
      <c r="AC574" s="16">
        <f t="shared" si="265"/>
        <v>71.177182647491506</v>
      </c>
      <c r="AD574" s="20">
        <f>'PFAS Properties'!$W$37</f>
        <v>11</v>
      </c>
      <c r="AE574" s="8">
        <f>'PFAS Properties'!$S$37</f>
        <v>-0.88605664769316317</v>
      </c>
      <c r="AF574" s="15">
        <f>'PFAS Properties'!$V$37</f>
        <v>7.6</v>
      </c>
      <c r="AG574" s="24">
        <v>5.5</v>
      </c>
      <c r="AH574" s="2" t="s">
        <v>834</v>
      </c>
      <c r="AI574" s="15">
        <v>1.0129999999999999</v>
      </c>
      <c r="AJ574" s="16">
        <f t="shared" ref="AJ574:AJ580" si="287">AI574*1000/55.845</f>
        <v>18.13949324021846</v>
      </c>
      <c r="AK574" s="8">
        <f t="shared" ref="AK574:AK582" si="288">AI574/10</f>
        <v>0.10129999999999999</v>
      </c>
      <c r="AL574" s="15">
        <v>0.40400000000000003</v>
      </c>
      <c r="AM574" s="16">
        <f t="shared" ref="AM574:AM580" si="289">AL574*1000/26.98</f>
        <v>14.974054855448481</v>
      </c>
      <c r="AN574" s="8">
        <f t="shared" ref="AN574:AN582" si="290">AL574/10</f>
        <v>4.0400000000000005E-2</v>
      </c>
      <c r="AO574" s="15" t="s">
        <v>31</v>
      </c>
      <c r="AP574" s="15">
        <v>23.4</v>
      </c>
      <c r="AQ574" s="16" t="s">
        <v>689</v>
      </c>
      <c r="AR574" s="16">
        <v>54.4</v>
      </c>
      <c r="AS574" s="16">
        <v>35</v>
      </c>
      <c r="AT574" s="16">
        <v>10.6</v>
      </c>
      <c r="AU574" s="16" t="s">
        <v>664</v>
      </c>
      <c r="AV574" s="16">
        <f t="shared" si="285"/>
        <v>100</v>
      </c>
      <c r="AW574" s="18">
        <v>1.6</v>
      </c>
      <c r="AX574" s="13">
        <f t="shared" si="286"/>
        <v>1.6E-2</v>
      </c>
      <c r="AY574" s="8" t="s">
        <v>32</v>
      </c>
      <c r="AZ574" s="16">
        <f t="shared" ref="AZ574:AZ580" si="291">3/0.03</f>
        <v>100</v>
      </c>
      <c r="BA574" s="16" t="s">
        <v>55</v>
      </c>
      <c r="BB574" s="16">
        <v>170</v>
      </c>
      <c r="BC574" s="16" t="s">
        <v>55</v>
      </c>
      <c r="BD574" s="28">
        <v>422.10343778209977</v>
      </c>
      <c r="BE574" s="16">
        <f t="shared" si="281"/>
        <v>26381.464861381235</v>
      </c>
      <c r="BF574" s="8">
        <f t="shared" si="277"/>
        <v>4.4212989065838091</v>
      </c>
      <c r="BG574" s="8">
        <f t="shared" si="282"/>
        <v>2.6254188892397341</v>
      </c>
      <c r="BH574" s="1" t="s">
        <v>841</v>
      </c>
      <c r="BI574" s="1"/>
      <c r="BJ574" s="2"/>
      <c r="BK574" s="1"/>
      <c r="BL574" s="1"/>
      <c r="BM574" s="7"/>
      <c r="BN574" s="7"/>
      <c r="BO574" s="1"/>
      <c r="BP574" s="11"/>
      <c r="BQ574" s="11"/>
    </row>
    <row r="575" spans="1:69" x14ac:dyDescent="0.3">
      <c r="A575" s="20">
        <v>573</v>
      </c>
      <c r="B575" s="2" t="s">
        <v>200</v>
      </c>
      <c r="C575" s="2">
        <v>2021</v>
      </c>
      <c r="D575" s="2" t="s">
        <v>201</v>
      </c>
      <c r="E575" s="10" t="s">
        <v>794</v>
      </c>
      <c r="F575" s="20" t="s">
        <v>29</v>
      </c>
      <c r="G575" s="2" t="s">
        <v>33</v>
      </c>
      <c r="H575" s="2" t="str">
        <f>'PFAS Properties'!$B$37</f>
        <v>PFDoA</v>
      </c>
      <c r="I575" s="2" t="str">
        <f>'PFAS Properties'!$C$37</f>
        <v>PFCA</v>
      </c>
      <c r="J575" s="2" t="str">
        <f>'PFAS Properties'!$D$37</f>
        <v>C12HF23O2</v>
      </c>
      <c r="K575" s="25">
        <f>'PFAS Properties'!$P$37</f>
        <v>613.96079999999995</v>
      </c>
      <c r="L575" s="2">
        <f>'PFAS Properties'!$X$37</f>
        <v>-0.2</v>
      </c>
      <c r="M575" s="2" t="str">
        <f>'PFAS Properties'!$Y$37</f>
        <v>-</v>
      </c>
      <c r="N575" s="33">
        <v>0</v>
      </c>
      <c r="O575" s="33">
        <v>0</v>
      </c>
      <c r="P575" s="33">
        <v>0</v>
      </c>
      <c r="Q575" s="33">
        <f t="shared" si="266"/>
        <v>0.99999999369042658</v>
      </c>
      <c r="R575" s="33">
        <v>0</v>
      </c>
      <c r="S575" s="33">
        <f t="shared" si="267"/>
        <v>6.3095734049912165E-9</v>
      </c>
      <c r="T575" s="8">
        <f t="shared" si="268"/>
        <v>1</v>
      </c>
      <c r="U575" s="33">
        <f t="shared" si="269"/>
        <v>0</v>
      </c>
      <c r="V575" s="33">
        <f t="shared" si="270"/>
        <v>-0.99999999369042658</v>
      </c>
      <c r="W575" s="33">
        <f t="shared" si="271"/>
        <v>612.96080000630957</v>
      </c>
      <c r="X575" s="33">
        <v>96485</v>
      </c>
      <c r="Y575" s="16">
        <f t="shared" si="272"/>
        <v>-157.4081073214268</v>
      </c>
      <c r="Z575" s="16">
        <v>12</v>
      </c>
      <c r="AA575" s="16">
        <v>23</v>
      </c>
      <c r="AB575" s="8">
        <f t="shared" si="273"/>
        <v>0.32951945080091533</v>
      </c>
      <c r="AC575" s="16">
        <f t="shared" si="265"/>
        <v>71.177182647491506</v>
      </c>
      <c r="AD575" s="20">
        <f>'PFAS Properties'!$W$37</f>
        <v>11</v>
      </c>
      <c r="AE575" s="8">
        <f>'PFAS Properties'!$S$37</f>
        <v>-0.88605664769316317</v>
      </c>
      <c r="AF575" s="15">
        <f>'PFAS Properties'!$V$37</f>
        <v>7.6</v>
      </c>
      <c r="AG575" s="24">
        <v>8</v>
      </c>
      <c r="AH575" s="2" t="s">
        <v>834</v>
      </c>
      <c r="AI575" s="15">
        <v>2.9660000000000002</v>
      </c>
      <c r="AJ575" s="16">
        <f t="shared" si="287"/>
        <v>53.111290178171728</v>
      </c>
      <c r="AK575" s="8">
        <f t="shared" si="288"/>
        <v>0.29660000000000003</v>
      </c>
      <c r="AL575" s="15">
        <v>0.23</v>
      </c>
      <c r="AM575" s="16">
        <f t="shared" si="289"/>
        <v>8.5248332097850259</v>
      </c>
      <c r="AN575" s="8">
        <f t="shared" si="290"/>
        <v>2.3E-2</v>
      </c>
      <c r="AO575" s="15" t="s">
        <v>31</v>
      </c>
      <c r="AP575" s="15">
        <v>87.3</v>
      </c>
      <c r="AQ575" s="16" t="s">
        <v>689</v>
      </c>
      <c r="AR575" s="16">
        <v>12.2</v>
      </c>
      <c r="AS575" s="16">
        <v>54.3</v>
      </c>
      <c r="AT575" s="16">
        <v>33.5</v>
      </c>
      <c r="AU575" s="16" t="s">
        <v>664</v>
      </c>
      <c r="AV575" s="16">
        <f t="shared" si="285"/>
        <v>100</v>
      </c>
      <c r="AW575" s="18">
        <v>7.7</v>
      </c>
      <c r="AX575" s="13">
        <f t="shared" si="286"/>
        <v>7.6999999999999999E-2</v>
      </c>
      <c r="AY575" s="8" t="s">
        <v>32</v>
      </c>
      <c r="AZ575" s="16">
        <f t="shared" si="291"/>
        <v>100</v>
      </c>
      <c r="BA575" s="16" t="s">
        <v>55</v>
      </c>
      <c r="BB575" s="16">
        <v>170</v>
      </c>
      <c r="BC575" s="16" t="s">
        <v>55</v>
      </c>
      <c r="BD575" s="28">
        <v>623.39706536121787</v>
      </c>
      <c r="BE575" s="16">
        <f t="shared" si="281"/>
        <v>8096.0657839119203</v>
      </c>
      <c r="BF575" s="8">
        <f t="shared" si="277"/>
        <v>3.9082740283339001</v>
      </c>
      <c r="BG575" s="8">
        <f t="shared" si="282"/>
        <v>2.794764753506382</v>
      </c>
      <c r="BH575" s="1" t="s">
        <v>841</v>
      </c>
      <c r="BI575" s="1"/>
      <c r="BJ575" s="2"/>
      <c r="BK575" s="1"/>
      <c r="BL575" s="1"/>
      <c r="BM575" s="7"/>
      <c r="BN575" s="7"/>
      <c r="BO575" s="1"/>
      <c r="BP575" s="11"/>
      <c r="BQ575" s="11"/>
    </row>
    <row r="576" spans="1:69" x14ac:dyDescent="0.3">
      <c r="A576" s="20">
        <v>574</v>
      </c>
      <c r="B576" s="2" t="s">
        <v>200</v>
      </c>
      <c r="C576" s="2">
        <v>2021</v>
      </c>
      <c r="D576" s="2" t="s">
        <v>201</v>
      </c>
      <c r="E576" s="10" t="s">
        <v>794</v>
      </c>
      <c r="F576" s="20" t="s">
        <v>29</v>
      </c>
      <c r="G576" s="2" t="s">
        <v>34</v>
      </c>
      <c r="H576" s="2" t="str">
        <f>'PFAS Properties'!$B$37</f>
        <v>PFDoA</v>
      </c>
      <c r="I576" s="2" t="str">
        <f>'PFAS Properties'!$C$37</f>
        <v>PFCA</v>
      </c>
      <c r="J576" s="2" t="str">
        <f>'PFAS Properties'!$D$37</f>
        <v>C12HF23O2</v>
      </c>
      <c r="K576" s="25">
        <f>'PFAS Properties'!$P$37</f>
        <v>613.96079999999995</v>
      </c>
      <c r="L576" s="2">
        <f>'PFAS Properties'!$X$37</f>
        <v>-0.2</v>
      </c>
      <c r="M576" s="2" t="str">
        <f>'PFAS Properties'!$Y$37</f>
        <v>-</v>
      </c>
      <c r="N576" s="33">
        <v>0</v>
      </c>
      <c r="O576" s="33">
        <v>0</v>
      </c>
      <c r="P576" s="33">
        <v>0</v>
      </c>
      <c r="Q576" s="33">
        <f t="shared" si="266"/>
        <v>0.99999601894414336</v>
      </c>
      <c r="R576" s="33">
        <v>0</v>
      </c>
      <c r="S576" s="33">
        <f t="shared" si="267"/>
        <v>3.981055856666137E-6</v>
      </c>
      <c r="T576" s="8">
        <f t="shared" si="268"/>
        <v>1</v>
      </c>
      <c r="U576" s="33">
        <f t="shared" si="269"/>
        <v>0</v>
      </c>
      <c r="V576" s="33">
        <f t="shared" si="270"/>
        <v>-0.99999601894414336</v>
      </c>
      <c r="W576" s="33">
        <f t="shared" si="271"/>
        <v>612.96080398105585</v>
      </c>
      <c r="X576" s="33">
        <v>96485</v>
      </c>
      <c r="Y576" s="16">
        <f t="shared" si="272"/>
        <v>-157.40748064342401</v>
      </c>
      <c r="Z576" s="16">
        <v>12</v>
      </c>
      <c r="AA576" s="16">
        <v>23</v>
      </c>
      <c r="AB576" s="8">
        <f t="shared" si="273"/>
        <v>0.32951945080091533</v>
      </c>
      <c r="AC576" s="16">
        <f t="shared" si="265"/>
        <v>71.177182647491506</v>
      </c>
      <c r="AD576" s="20">
        <f>'PFAS Properties'!$W$37</f>
        <v>11</v>
      </c>
      <c r="AE576" s="8">
        <f>'PFAS Properties'!$S$37</f>
        <v>-0.88605664769316317</v>
      </c>
      <c r="AF576" s="15">
        <f>'PFAS Properties'!$V$37</f>
        <v>7.6</v>
      </c>
      <c r="AG576" s="24">
        <v>5.2</v>
      </c>
      <c r="AH576" s="2" t="s">
        <v>834</v>
      </c>
      <c r="AI576" s="15">
        <v>4.5149999999999997</v>
      </c>
      <c r="AJ576" s="16">
        <f t="shared" si="287"/>
        <v>80.848777867311313</v>
      </c>
      <c r="AK576" s="8">
        <f t="shared" si="288"/>
        <v>0.45149999999999996</v>
      </c>
      <c r="AL576" s="15">
        <v>0.377</v>
      </c>
      <c r="AM576" s="16">
        <f t="shared" si="289"/>
        <v>13.973313565604151</v>
      </c>
      <c r="AN576" s="8">
        <f t="shared" si="290"/>
        <v>3.7699999999999997E-2</v>
      </c>
      <c r="AO576" s="15" t="s">
        <v>31</v>
      </c>
      <c r="AP576" s="15">
        <v>44.3</v>
      </c>
      <c r="AQ576" s="16" t="s">
        <v>689</v>
      </c>
      <c r="AR576" s="16">
        <v>41.3</v>
      </c>
      <c r="AS576" s="16">
        <v>39.799999999999997</v>
      </c>
      <c r="AT576" s="16">
        <v>18.899999999999999</v>
      </c>
      <c r="AU576" s="16" t="s">
        <v>664</v>
      </c>
      <c r="AV576" s="16">
        <f t="shared" si="285"/>
        <v>100</v>
      </c>
      <c r="AW576" s="18">
        <v>9.4</v>
      </c>
      <c r="AX576" s="13">
        <f t="shared" si="286"/>
        <v>9.4E-2</v>
      </c>
      <c r="AY576" s="8" t="s">
        <v>32</v>
      </c>
      <c r="AZ576" s="16">
        <f t="shared" si="291"/>
        <v>100</v>
      </c>
      <c r="BA576" s="16" t="s">
        <v>55</v>
      </c>
      <c r="BB576" s="16">
        <v>170</v>
      </c>
      <c r="BC576" s="16" t="s">
        <v>55</v>
      </c>
      <c r="BD576" s="28">
        <v>737.76328416656997</v>
      </c>
      <c r="BE576" s="16">
        <f t="shared" ref="BE576:BE626" si="292">BD576/AX576</f>
        <v>7848.5455762401061</v>
      </c>
      <c r="BF576" s="8">
        <f t="shared" si="277"/>
        <v>3.8947891845496585</v>
      </c>
      <c r="BG576" s="8">
        <f t="shared" si="282"/>
        <v>2.8679170381493568</v>
      </c>
      <c r="BH576" s="1" t="s">
        <v>841</v>
      </c>
      <c r="BI576" s="1"/>
      <c r="BJ576" s="2"/>
      <c r="BK576" s="1"/>
      <c r="BL576" s="1"/>
      <c r="BM576" s="7"/>
      <c r="BN576" s="7"/>
      <c r="BO576" s="1"/>
      <c r="BP576" s="11"/>
      <c r="BQ576" s="11"/>
    </row>
    <row r="577" spans="1:69" x14ac:dyDescent="0.3">
      <c r="A577" s="20">
        <v>575</v>
      </c>
      <c r="B577" s="2" t="s">
        <v>200</v>
      </c>
      <c r="C577" s="2">
        <v>2021</v>
      </c>
      <c r="D577" s="2" t="s">
        <v>201</v>
      </c>
      <c r="E577" s="10" t="s">
        <v>794</v>
      </c>
      <c r="F577" s="20" t="s">
        <v>29</v>
      </c>
      <c r="G577" s="2" t="s">
        <v>37</v>
      </c>
      <c r="H577" s="2" t="str">
        <f>'PFAS Properties'!$B$37</f>
        <v>PFDoA</v>
      </c>
      <c r="I577" s="2" t="str">
        <f>'PFAS Properties'!$C$37</f>
        <v>PFCA</v>
      </c>
      <c r="J577" s="2" t="str">
        <f>'PFAS Properties'!$D$37</f>
        <v>C12HF23O2</v>
      </c>
      <c r="K577" s="25">
        <f>'PFAS Properties'!$P$37</f>
        <v>613.96079999999995</v>
      </c>
      <c r="L577" s="2">
        <f>'PFAS Properties'!$X$37</f>
        <v>-0.2</v>
      </c>
      <c r="M577" s="2" t="str">
        <f>'PFAS Properties'!$Y$37</f>
        <v>-</v>
      </c>
      <c r="N577" s="33">
        <v>0</v>
      </c>
      <c r="O577" s="33">
        <v>0</v>
      </c>
      <c r="P577" s="33">
        <v>0</v>
      </c>
      <c r="Q577" s="33">
        <f t="shared" si="266"/>
        <v>0.99999900000099995</v>
      </c>
      <c r="R577" s="33">
        <v>0</v>
      </c>
      <c r="S577" s="33">
        <f t="shared" si="267"/>
        <v>9.9999900000100006E-7</v>
      </c>
      <c r="T577" s="8">
        <f t="shared" si="268"/>
        <v>1</v>
      </c>
      <c r="U577" s="33">
        <f t="shared" si="269"/>
        <v>0</v>
      </c>
      <c r="V577" s="33">
        <f t="shared" si="270"/>
        <v>-0.99999900000099995</v>
      </c>
      <c r="W577" s="33">
        <f t="shared" si="271"/>
        <v>612.96080099999892</v>
      </c>
      <c r="X577" s="33">
        <v>96485</v>
      </c>
      <c r="Y577" s="16">
        <f t="shared" si="272"/>
        <v>-157.40795065147509</v>
      </c>
      <c r="Z577" s="16">
        <v>12</v>
      </c>
      <c r="AA577" s="16">
        <v>23</v>
      </c>
      <c r="AB577" s="8">
        <f t="shared" si="273"/>
        <v>0.32951945080091533</v>
      </c>
      <c r="AC577" s="16">
        <f t="shared" si="265"/>
        <v>71.177182647491506</v>
      </c>
      <c r="AD577" s="20">
        <f>'PFAS Properties'!$W$37</f>
        <v>11</v>
      </c>
      <c r="AE577" s="8">
        <f>'PFAS Properties'!$S$37</f>
        <v>-0.88605664769316317</v>
      </c>
      <c r="AF577" s="15">
        <f>'PFAS Properties'!$V$37</f>
        <v>7.6</v>
      </c>
      <c r="AG577" s="24">
        <v>5.8</v>
      </c>
      <c r="AH577" s="2" t="s">
        <v>834</v>
      </c>
      <c r="AI577" s="15">
        <v>6.5019999999999998</v>
      </c>
      <c r="AJ577" s="16">
        <f t="shared" si="287"/>
        <v>116.42940281135286</v>
      </c>
      <c r="AK577" s="8">
        <f t="shared" si="288"/>
        <v>0.6502</v>
      </c>
      <c r="AL577" s="15">
        <v>1.732</v>
      </c>
      <c r="AM577" s="16">
        <f t="shared" si="289"/>
        <v>64.195700518902896</v>
      </c>
      <c r="AN577" s="8">
        <f t="shared" si="290"/>
        <v>0.17319999999999999</v>
      </c>
      <c r="AO577" s="15" t="s">
        <v>31</v>
      </c>
      <c r="AP577" s="15">
        <v>90</v>
      </c>
      <c r="AQ577" s="16" t="s">
        <v>689</v>
      </c>
      <c r="AR577" s="16">
        <v>46</v>
      </c>
      <c r="AS577" s="16">
        <v>51</v>
      </c>
      <c r="AT577" s="16">
        <v>3</v>
      </c>
      <c r="AU577" s="16" t="s">
        <v>664</v>
      </c>
      <c r="AV577" s="16">
        <f t="shared" si="285"/>
        <v>100</v>
      </c>
      <c r="AW577" s="18">
        <v>27</v>
      </c>
      <c r="AX577" s="13">
        <f t="shared" si="286"/>
        <v>0.27</v>
      </c>
      <c r="AY577" s="8" t="s">
        <v>32</v>
      </c>
      <c r="AZ577" s="16">
        <f t="shared" si="291"/>
        <v>100</v>
      </c>
      <c r="BA577" s="16" t="s">
        <v>55</v>
      </c>
      <c r="BB577" s="16">
        <v>670</v>
      </c>
      <c r="BC577" s="16" t="s">
        <v>55</v>
      </c>
      <c r="BD577" s="28">
        <v>1300.245176010332</v>
      </c>
      <c r="BE577" s="16">
        <f t="shared" si="292"/>
        <v>4815.7228741123408</v>
      </c>
      <c r="BF577" s="8">
        <f t="shared" si="277"/>
        <v>3.6826614870316008</v>
      </c>
      <c r="BG577" s="8">
        <f t="shared" si="282"/>
        <v>3.1140252511905882</v>
      </c>
      <c r="BH577" s="1" t="s">
        <v>841</v>
      </c>
      <c r="BI577" s="1"/>
      <c r="BJ577" s="2"/>
      <c r="BK577" s="1"/>
      <c r="BL577" s="1"/>
      <c r="BM577" s="7"/>
      <c r="BN577" s="7"/>
      <c r="BO577" s="1"/>
      <c r="BP577" s="11"/>
      <c r="BQ577" s="11"/>
    </row>
    <row r="578" spans="1:69" x14ac:dyDescent="0.3">
      <c r="A578" s="20">
        <v>576</v>
      </c>
      <c r="B578" s="2" t="s">
        <v>200</v>
      </c>
      <c r="C578" s="2">
        <v>2021</v>
      </c>
      <c r="D578" s="2" t="s">
        <v>201</v>
      </c>
      <c r="E578" s="10" t="s">
        <v>794</v>
      </c>
      <c r="F578" s="20" t="s">
        <v>29</v>
      </c>
      <c r="G578" s="2" t="s">
        <v>35</v>
      </c>
      <c r="H578" s="2" t="str">
        <f>'PFAS Properties'!$B$37</f>
        <v>PFDoA</v>
      </c>
      <c r="I578" s="2" t="str">
        <f>'PFAS Properties'!$C$37</f>
        <v>PFCA</v>
      </c>
      <c r="J578" s="2" t="str">
        <f>'PFAS Properties'!$D$37</f>
        <v>C12HF23O2</v>
      </c>
      <c r="K578" s="25">
        <f>'PFAS Properties'!$P$37</f>
        <v>613.96079999999995</v>
      </c>
      <c r="L578" s="2">
        <f>'PFAS Properties'!$X$37</f>
        <v>-0.2</v>
      </c>
      <c r="M578" s="2" t="str">
        <f>'PFAS Properties'!$Y$37</f>
        <v>-</v>
      </c>
      <c r="N578" s="33">
        <v>0</v>
      </c>
      <c r="O578" s="33">
        <v>0</v>
      </c>
      <c r="P578" s="33">
        <v>0</v>
      </c>
      <c r="Q578" s="33">
        <f t="shared" si="266"/>
        <v>0.99999874107617315</v>
      </c>
      <c r="R578" s="33">
        <v>0</v>
      </c>
      <c r="S578" s="33">
        <f t="shared" si="267"/>
        <v>1.2589238269029671E-6</v>
      </c>
      <c r="T578" s="8">
        <f t="shared" si="268"/>
        <v>1</v>
      </c>
      <c r="U578" s="33">
        <f t="shared" si="269"/>
        <v>0</v>
      </c>
      <c r="V578" s="33">
        <f t="shared" si="270"/>
        <v>-0.99999874107617315</v>
      </c>
      <c r="W578" s="33">
        <f t="shared" si="271"/>
        <v>612.96080125892377</v>
      </c>
      <c r="X578" s="33">
        <v>96485</v>
      </c>
      <c r="Y578" s="16">
        <f t="shared" si="272"/>
        <v>-157.40790982811626</v>
      </c>
      <c r="Z578" s="16">
        <v>12</v>
      </c>
      <c r="AA578" s="16">
        <v>23</v>
      </c>
      <c r="AB578" s="8">
        <f t="shared" si="273"/>
        <v>0.32951945080091533</v>
      </c>
      <c r="AC578" s="16">
        <f t="shared" si="265"/>
        <v>71.177182647491506</v>
      </c>
      <c r="AD578" s="20">
        <f>'PFAS Properties'!$W$37</f>
        <v>11</v>
      </c>
      <c r="AE578" s="8">
        <f>'PFAS Properties'!$S$37</f>
        <v>-0.88605664769316317</v>
      </c>
      <c r="AF578" s="15">
        <f>'PFAS Properties'!$V$37</f>
        <v>7.6</v>
      </c>
      <c r="AG578" s="24">
        <v>5.7</v>
      </c>
      <c r="AH578" s="2" t="s">
        <v>834</v>
      </c>
      <c r="AI578" s="15">
        <v>12.358000000000001</v>
      </c>
      <c r="AJ578" s="16">
        <f t="shared" si="287"/>
        <v>221.29107350702839</v>
      </c>
      <c r="AK578" s="8">
        <f t="shared" si="288"/>
        <v>1.2358</v>
      </c>
      <c r="AL578" s="15">
        <v>1.0269999999999999</v>
      </c>
      <c r="AM578" s="16">
        <f t="shared" si="289"/>
        <v>38.065233506300963</v>
      </c>
      <c r="AN578" s="8">
        <f t="shared" si="290"/>
        <v>0.10269999999999999</v>
      </c>
      <c r="AO578" s="15" t="s">
        <v>31</v>
      </c>
      <c r="AP578" s="15">
        <v>103</v>
      </c>
      <c r="AQ578" s="16" t="s">
        <v>689</v>
      </c>
      <c r="AR578" s="16">
        <v>35</v>
      </c>
      <c r="AS578" s="16">
        <v>63</v>
      </c>
      <c r="AT578" s="16">
        <v>2</v>
      </c>
      <c r="AU578" s="16" t="s">
        <v>664</v>
      </c>
      <c r="AV578" s="16">
        <f t="shared" si="285"/>
        <v>100</v>
      </c>
      <c r="AW578" s="18">
        <v>32</v>
      </c>
      <c r="AX578" s="13">
        <f t="shared" si="286"/>
        <v>0.32</v>
      </c>
      <c r="AY578" s="8" t="s">
        <v>32</v>
      </c>
      <c r="AZ578" s="16">
        <f t="shared" si="291"/>
        <v>100</v>
      </c>
      <c r="BA578" s="16" t="s">
        <v>55</v>
      </c>
      <c r="BB578" s="16">
        <v>670</v>
      </c>
      <c r="BC578" s="16" t="s">
        <v>55</v>
      </c>
      <c r="BD578" s="28">
        <v>2034.1110558530734</v>
      </c>
      <c r="BE578" s="16">
        <f t="shared" si="292"/>
        <v>6356.5970495408537</v>
      </c>
      <c r="BF578" s="8">
        <f t="shared" si="277"/>
        <v>3.8032246819814324</v>
      </c>
      <c r="BG578" s="8">
        <f t="shared" si="282"/>
        <v>3.3083746603013386</v>
      </c>
      <c r="BH578" s="1" t="s">
        <v>841</v>
      </c>
      <c r="BI578" s="1"/>
      <c r="BJ578" s="2"/>
      <c r="BK578" s="1"/>
      <c r="BL578" s="1"/>
      <c r="BM578" s="7"/>
      <c r="BN578" s="7"/>
      <c r="BO578" s="1"/>
      <c r="BP578" s="11"/>
      <c r="BQ578" s="11"/>
    </row>
    <row r="579" spans="1:69" x14ac:dyDescent="0.3">
      <c r="A579" s="20">
        <v>577</v>
      </c>
      <c r="B579" s="2" t="s">
        <v>200</v>
      </c>
      <c r="C579" s="2">
        <v>2021</v>
      </c>
      <c r="D579" s="2" t="s">
        <v>201</v>
      </c>
      <c r="E579" s="10" t="s">
        <v>794</v>
      </c>
      <c r="F579" s="20" t="s">
        <v>29</v>
      </c>
      <c r="G579" s="2" t="s">
        <v>36</v>
      </c>
      <c r="H579" s="2" t="str">
        <f>'PFAS Properties'!$B$37</f>
        <v>PFDoA</v>
      </c>
      <c r="I579" s="2" t="str">
        <f>'PFAS Properties'!$C$37</f>
        <v>PFCA</v>
      </c>
      <c r="J579" s="2" t="str">
        <f>'PFAS Properties'!$D$37</f>
        <v>C12HF23O2</v>
      </c>
      <c r="K579" s="25">
        <f>'PFAS Properties'!$P$37</f>
        <v>613.96079999999995</v>
      </c>
      <c r="L579" s="2">
        <f>'PFAS Properties'!$X$37</f>
        <v>-0.2</v>
      </c>
      <c r="M579" s="2" t="str">
        <f>'PFAS Properties'!$Y$37</f>
        <v>-</v>
      </c>
      <c r="N579" s="33">
        <v>0</v>
      </c>
      <c r="O579" s="33">
        <v>0</v>
      </c>
      <c r="P579" s="33">
        <v>0</v>
      </c>
      <c r="Q579" s="33">
        <f t="shared" si="266"/>
        <v>0.99999874107617315</v>
      </c>
      <c r="R579" s="33">
        <v>0</v>
      </c>
      <c r="S579" s="33">
        <f t="shared" si="267"/>
        <v>1.2589238269029671E-6</v>
      </c>
      <c r="T579" s="8">
        <f t="shared" si="268"/>
        <v>1</v>
      </c>
      <c r="U579" s="33">
        <f t="shared" si="269"/>
        <v>0</v>
      </c>
      <c r="V579" s="33">
        <f t="shared" si="270"/>
        <v>-0.99999874107617315</v>
      </c>
      <c r="W579" s="33">
        <f t="shared" si="271"/>
        <v>612.96080125892377</v>
      </c>
      <c r="X579" s="33">
        <v>96485</v>
      </c>
      <c r="Y579" s="16">
        <f t="shared" si="272"/>
        <v>-157.40790982811626</v>
      </c>
      <c r="Z579" s="16">
        <v>12</v>
      </c>
      <c r="AA579" s="16">
        <v>23</v>
      </c>
      <c r="AB579" s="8">
        <f t="shared" si="273"/>
        <v>0.32951945080091533</v>
      </c>
      <c r="AC579" s="16">
        <f t="shared" ref="AC579:AC642" si="293">((AA579*19)/K579)*100</f>
        <v>71.177182647491506</v>
      </c>
      <c r="AD579" s="20">
        <f>'PFAS Properties'!$W$37</f>
        <v>11</v>
      </c>
      <c r="AE579" s="8">
        <f>'PFAS Properties'!$S$37</f>
        <v>-0.88605664769316317</v>
      </c>
      <c r="AF579" s="15">
        <f>'PFAS Properties'!$V$37</f>
        <v>7.6</v>
      </c>
      <c r="AG579" s="24">
        <v>5.7</v>
      </c>
      <c r="AH579" s="2" t="s">
        <v>834</v>
      </c>
      <c r="AI579" s="15">
        <v>10.64</v>
      </c>
      <c r="AJ579" s="16">
        <f t="shared" si="287"/>
        <v>190.52735249350883</v>
      </c>
      <c r="AK579" s="8">
        <f t="shared" si="288"/>
        <v>1.0640000000000001</v>
      </c>
      <c r="AL579" s="15">
        <v>0.16700000000000001</v>
      </c>
      <c r="AM579" s="16">
        <f t="shared" si="289"/>
        <v>6.1897702001482582</v>
      </c>
      <c r="AN579" s="8">
        <f t="shared" si="290"/>
        <v>1.67E-2</v>
      </c>
      <c r="AO579" s="15" t="s">
        <v>31</v>
      </c>
      <c r="AP579" s="15">
        <v>140</v>
      </c>
      <c r="AQ579" s="16" t="s">
        <v>689</v>
      </c>
      <c r="AR579" s="16">
        <v>20.7</v>
      </c>
      <c r="AS579" s="16">
        <v>78</v>
      </c>
      <c r="AT579" s="16">
        <v>1.3</v>
      </c>
      <c r="AU579" s="16" t="s">
        <v>664</v>
      </c>
      <c r="AV579" s="16">
        <f t="shared" si="285"/>
        <v>100</v>
      </c>
      <c r="AW579" s="18">
        <v>39</v>
      </c>
      <c r="AX579" s="13">
        <f t="shared" si="286"/>
        <v>0.39</v>
      </c>
      <c r="AY579" s="8" t="s">
        <v>32</v>
      </c>
      <c r="AZ579" s="16">
        <f t="shared" si="291"/>
        <v>100</v>
      </c>
      <c r="BA579" s="16" t="s">
        <v>55</v>
      </c>
      <c r="BB579" s="16">
        <v>670</v>
      </c>
      <c r="BC579" s="16" t="s">
        <v>55</v>
      </c>
      <c r="BD579" s="28">
        <v>1836.7021804336111</v>
      </c>
      <c r="BE579" s="16">
        <f t="shared" si="292"/>
        <v>4709.4927703425928</v>
      </c>
      <c r="BF579" s="8">
        <f t="shared" si="277"/>
        <v>3.6729741345378759</v>
      </c>
      <c r="BG579" s="8">
        <f t="shared" si="282"/>
        <v>3.264038741564375</v>
      </c>
      <c r="BH579" s="1" t="s">
        <v>841</v>
      </c>
      <c r="BI579" s="1"/>
      <c r="BJ579" s="2"/>
      <c r="BK579" s="1"/>
      <c r="BL579" s="1"/>
      <c r="BM579" s="7"/>
      <c r="BN579" s="7"/>
      <c r="BO579" s="1"/>
      <c r="BP579" s="11"/>
      <c r="BQ579" s="11"/>
    </row>
    <row r="580" spans="1:69" x14ac:dyDescent="0.3">
      <c r="A580" s="20">
        <v>578</v>
      </c>
      <c r="B580" s="2" t="s">
        <v>200</v>
      </c>
      <c r="C580" s="2">
        <v>2021</v>
      </c>
      <c r="D580" s="2" t="s">
        <v>201</v>
      </c>
      <c r="E580" s="10" t="s">
        <v>794</v>
      </c>
      <c r="F580" s="20" t="s">
        <v>29</v>
      </c>
      <c r="G580" s="2" t="s">
        <v>38</v>
      </c>
      <c r="H580" s="2" t="str">
        <f>'PFAS Properties'!$B$37</f>
        <v>PFDoA</v>
      </c>
      <c r="I580" s="2" t="str">
        <f>'PFAS Properties'!$C$37</f>
        <v>PFCA</v>
      </c>
      <c r="J580" s="2" t="str">
        <f>'PFAS Properties'!$D$37</f>
        <v>C12HF23O2</v>
      </c>
      <c r="K580" s="25">
        <f>'PFAS Properties'!$P$37</f>
        <v>613.96079999999995</v>
      </c>
      <c r="L580" s="2">
        <f>'PFAS Properties'!$X$37</f>
        <v>-0.2</v>
      </c>
      <c r="M580" s="2" t="str">
        <f>'PFAS Properties'!$Y$37</f>
        <v>-</v>
      </c>
      <c r="N580" s="33">
        <v>0</v>
      </c>
      <c r="O580" s="33">
        <v>0</v>
      </c>
      <c r="P580" s="33">
        <v>0</v>
      </c>
      <c r="Q580" s="33">
        <f t="shared" si="266"/>
        <v>0.99999874107617315</v>
      </c>
      <c r="R580" s="33">
        <v>0</v>
      </c>
      <c r="S580" s="33">
        <f t="shared" si="267"/>
        <v>1.2589238269029671E-6</v>
      </c>
      <c r="T580" s="8">
        <f t="shared" si="268"/>
        <v>1</v>
      </c>
      <c r="U580" s="33">
        <f t="shared" si="269"/>
        <v>0</v>
      </c>
      <c r="V580" s="33">
        <f t="shared" si="270"/>
        <v>-0.99999874107617315</v>
      </c>
      <c r="W580" s="33">
        <f t="shared" si="271"/>
        <v>612.96080125892377</v>
      </c>
      <c r="X580" s="33">
        <v>96485</v>
      </c>
      <c r="Y580" s="16">
        <f t="shared" si="272"/>
        <v>-157.40790982811626</v>
      </c>
      <c r="Z580" s="16">
        <v>12</v>
      </c>
      <c r="AA580" s="16">
        <v>23</v>
      </c>
      <c r="AB580" s="8">
        <f t="shared" si="273"/>
        <v>0.32951945080091533</v>
      </c>
      <c r="AC580" s="16">
        <f t="shared" si="293"/>
        <v>71.177182647491506</v>
      </c>
      <c r="AD580" s="20">
        <f>'PFAS Properties'!$W$37</f>
        <v>11</v>
      </c>
      <c r="AE580" s="8">
        <f>'PFAS Properties'!$S$37</f>
        <v>-0.88605664769316317</v>
      </c>
      <c r="AF580" s="15">
        <f>'PFAS Properties'!$V$37</f>
        <v>7.6</v>
      </c>
      <c r="AG580" s="24">
        <v>5.7</v>
      </c>
      <c r="AH580" s="2" t="s">
        <v>834</v>
      </c>
      <c r="AI580" s="15">
        <v>19.667999999999999</v>
      </c>
      <c r="AJ580" s="16">
        <f t="shared" si="287"/>
        <v>352.18909481600861</v>
      </c>
      <c r="AK580" s="8">
        <f t="shared" si="288"/>
        <v>1.9667999999999999</v>
      </c>
      <c r="AL580" s="15">
        <v>0.48099999999999998</v>
      </c>
      <c r="AM580" s="16">
        <f t="shared" si="289"/>
        <v>17.828020756115642</v>
      </c>
      <c r="AN580" s="8">
        <f t="shared" si="290"/>
        <v>4.8099999999999997E-2</v>
      </c>
      <c r="AO580" s="15" t="s">
        <v>31</v>
      </c>
      <c r="AP580" s="15">
        <v>114</v>
      </c>
      <c r="AQ580" s="16" t="s">
        <v>689</v>
      </c>
      <c r="AR580" s="16">
        <v>20</v>
      </c>
      <c r="AS580" s="16">
        <v>78.900000000000006</v>
      </c>
      <c r="AT580" s="16">
        <v>1.1000000000000001</v>
      </c>
      <c r="AU580" s="16" t="s">
        <v>664</v>
      </c>
      <c r="AV580" s="16">
        <f t="shared" si="285"/>
        <v>100</v>
      </c>
      <c r="AW580" s="18">
        <v>41</v>
      </c>
      <c r="AX580" s="13">
        <f t="shared" si="286"/>
        <v>0.41</v>
      </c>
      <c r="AY580" s="8" t="s">
        <v>32</v>
      </c>
      <c r="AZ580" s="16">
        <f t="shared" si="291"/>
        <v>100</v>
      </c>
      <c r="BA580" s="16" t="s">
        <v>55</v>
      </c>
      <c r="BB580" s="16">
        <v>670</v>
      </c>
      <c r="BC580" s="16" t="s">
        <v>55</v>
      </c>
      <c r="BD580" s="28">
        <v>3081.7894994592593</v>
      </c>
      <c r="BE580" s="16">
        <f t="shared" si="292"/>
        <v>7516.559754778682</v>
      </c>
      <c r="BF580" s="8">
        <f t="shared" si="277"/>
        <v>3.8760191143448881</v>
      </c>
      <c r="BG580" s="8">
        <f t="shared" si="282"/>
        <v>3.4888029710646236</v>
      </c>
      <c r="BH580" s="1" t="s">
        <v>841</v>
      </c>
      <c r="BI580" s="1"/>
      <c r="BJ580" s="2"/>
      <c r="BK580" s="1"/>
      <c r="BL580" s="1"/>
      <c r="BM580" s="7"/>
      <c r="BN580" s="7"/>
      <c r="BO580" s="1"/>
      <c r="BP580" s="11"/>
      <c r="BQ580" s="11"/>
    </row>
    <row r="581" spans="1:69" s="14" customFormat="1" x14ac:dyDescent="0.3">
      <c r="A581" s="20">
        <v>579</v>
      </c>
      <c r="B581" s="2" t="s">
        <v>195</v>
      </c>
      <c r="C581" s="2">
        <v>2018</v>
      </c>
      <c r="D581" s="2" t="s">
        <v>199</v>
      </c>
      <c r="E581" s="22" t="s">
        <v>795</v>
      </c>
      <c r="F581" s="20" t="s">
        <v>29</v>
      </c>
      <c r="G581" s="2" t="s">
        <v>47</v>
      </c>
      <c r="H581" s="2" t="str">
        <f>'PFAS Properties'!$B$37</f>
        <v>PFDoA</v>
      </c>
      <c r="I581" s="2" t="str">
        <f>'PFAS Properties'!$C$37</f>
        <v>PFCA</v>
      </c>
      <c r="J581" s="2" t="str">
        <f>'PFAS Properties'!$D$37</f>
        <v>C12HF23O2</v>
      </c>
      <c r="K581" s="25">
        <f>'PFAS Properties'!$P$37</f>
        <v>613.96079999999995</v>
      </c>
      <c r="L581" s="2">
        <f>'PFAS Properties'!$X$37</f>
        <v>-0.2</v>
      </c>
      <c r="M581" s="2" t="str">
        <f>'PFAS Properties'!$Y$37</f>
        <v>-</v>
      </c>
      <c r="N581" s="33">
        <v>0</v>
      </c>
      <c r="O581" s="33">
        <v>0</v>
      </c>
      <c r="P581" s="33">
        <v>0</v>
      </c>
      <c r="Q581" s="33">
        <f t="shared" si="266"/>
        <v>0.99998004777494953</v>
      </c>
      <c r="R581" s="33">
        <v>0</v>
      </c>
      <c r="S581" s="33">
        <f t="shared" si="267"/>
        <v>1.9952225050461341E-5</v>
      </c>
      <c r="T581" s="8">
        <f t="shared" si="268"/>
        <v>1</v>
      </c>
      <c r="U581" s="33">
        <f t="shared" si="269"/>
        <v>0</v>
      </c>
      <c r="V581" s="33">
        <f t="shared" si="270"/>
        <v>-0.99998004777494953</v>
      </c>
      <c r="W581" s="33">
        <f t="shared" si="271"/>
        <v>612.96081995222494</v>
      </c>
      <c r="X581" s="33">
        <v>96485</v>
      </c>
      <c r="Y581" s="16">
        <f t="shared" si="272"/>
        <v>-157.4049625506016</v>
      </c>
      <c r="Z581" s="16">
        <v>12</v>
      </c>
      <c r="AA581" s="16">
        <v>23</v>
      </c>
      <c r="AB581" s="8">
        <f t="shared" si="273"/>
        <v>0.32951945080091533</v>
      </c>
      <c r="AC581" s="16">
        <f t="shared" si="293"/>
        <v>71.177182647491506</v>
      </c>
      <c r="AD581" s="20">
        <f>'PFAS Properties'!$W$37</f>
        <v>11</v>
      </c>
      <c r="AE581" s="8">
        <f>'PFAS Properties'!$S$37</f>
        <v>-0.88605664769316317</v>
      </c>
      <c r="AF581" s="15">
        <f>'PFAS Properties'!$V$37</f>
        <v>7.6</v>
      </c>
      <c r="AG581" s="24">
        <v>4.5</v>
      </c>
      <c r="AH581" s="2" t="s">
        <v>658</v>
      </c>
      <c r="AI581" s="8">
        <f>AJ581*55.845/1000</f>
        <v>5.8637250000000002E-2</v>
      </c>
      <c r="AJ581" s="16">
        <v>1.05</v>
      </c>
      <c r="AK581" s="8">
        <f t="shared" si="288"/>
        <v>5.8637250000000002E-3</v>
      </c>
      <c r="AL581" s="15">
        <f>AM581*26.98/1000</f>
        <v>0.18454320000000002</v>
      </c>
      <c r="AM581" s="16">
        <v>6.84</v>
      </c>
      <c r="AN581" s="8">
        <f t="shared" si="290"/>
        <v>1.8454320000000003E-2</v>
      </c>
      <c r="AO581" s="2" t="s">
        <v>48</v>
      </c>
      <c r="AP581" s="72">
        <v>21.496500000000001</v>
      </c>
      <c r="AQ581" s="70" t="s">
        <v>752</v>
      </c>
      <c r="AR581" s="71">
        <v>41.737499999999997</v>
      </c>
      <c r="AS581" s="71">
        <v>35.036999999999999</v>
      </c>
      <c r="AT581" s="71">
        <v>21.971</v>
      </c>
      <c r="AU581" s="70" t="s">
        <v>752</v>
      </c>
      <c r="AV581" s="16">
        <f t="shared" si="285"/>
        <v>98.745499999999993</v>
      </c>
      <c r="AW581" s="18">
        <v>45</v>
      </c>
      <c r="AX581" s="13">
        <f t="shared" si="286"/>
        <v>0.45</v>
      </c>
      <c r="AY581" s="8" t="s">
        <v>49</v>
      </c>
      <c r="AZ581" s="16">
        <f>0.45/0.04</f>
        <v>11.25</v>
      </c>
      <c r="BA581" s="16" t="s">
        <v>55</v>
      </c>
      <c r="BB581" s="16">
        <v>1.25</v>
      </c>
      <c r="BC581" s="16" t="s">
        <v>55</v>
      </c>
      <c r="BD581" s="25">
        <f>(10^(4.1)*AX581)</f>
        <v>5665.164353073752</v>
      </c>
      <c r="BE581" s="16">
        <f t="shared" si="292"/>
        <v>12589.254117941671</v>
      </c>
      <c r="BF581" s="8">
        <f t="shared" si="277"/>
        <v>4.0999999999999996</v>
      </c>
      <c r="BG581" s="8">
        <f t="shared" si="282"/>
        <v>3.7532125137753436</v>
      </c>
      <c r="BH581" s="2" t="s">
        <v>823</v>
      </c>
      <c r="BI581" s="2"/>
      <c r="BJ581" s="2"/>
      <c r="BK581" s="2"/>
      <c r="BL581" s="2"/>
      <c r="BM581" s="20"/>
      <c r="BN581" s="20"/>
      <c r="BO581" s="2"/>
    </row>
    <row r="582" spans="1:69" s="14" customFormat="1" x14ac:dyDescent="0.3">
      <c r="A582" s="20">
        <v>580</v>
      </c>
      <c r="B582" s="2" t="s">
        <v>195</v>
      </c>
      <c r="C582" s="2">
        <v>2022</v>
      </c>
      <c r="D582" s="2" t="s">
        <v>199</v>
      </c>
      <c r="E582" s="22" t="s">
        <v>798</v>
      </c>
      <c r="F582" s="20" t="s">
        <v>29</v>
      </c>
      <c r="G582" s="2" t="s">
        <v>237</v>
      </c>
      <c r="H582" s="2" t="str">
        <f>'PFAS Properties'!$B$37</f>
        <v>PFDoA</v>
      </c>
      <c r="I582" s="2" t="str">
        <f>'PFAS Properties'!$C$37</f>
        <v>PFCA</v>
      </c>
      <c r="J582" s="2" t="str">
        <f>'PFAS Properties'!$D$37</f>
        <v>C12HF23O2</v>
      </c>
      <c r="K582" s="25">
        <f>'PFAS Properties'!$P$37</f>
        <v>613.96079999999995</v>
      </c>
      <c r="L582" s="2">
        <f>'PFAS Properties'!$X$37</f>
        <v>-0.2</v>
      </c>
      <c r="M582" s="2" t="str">
        <f>'PFAS Properties'!$Y$37</f>
        <v>-</v>
      </c>
      <c r="N582" s="33">
        <v>0</v>
      </c>
      <c r="O582" s="33">
        <v>0</v>
      </c>
      <c r="P582" s="33">
        <v>0</v>
      </c>
      <c r="Q582" s="33">
        <f t="shared" si="266"/>
        <v>0.99984153579563773</v>
      </c>
      <c r="R582" s="33">
        <v>0</v>
      </c>
      <c r="S582" s="33">
        <f t="shared" si="267"/>
        <v>1.5846420436223696E-4</v>
      </c>
      <c r="T582" s="8">
        <f t="shared" si="268"/>
        <v>1</v>
      </c>
      <c r="U582" s="33">
        <f t="shared" si="269"/>
        <v>0</v>
      </c>
      <c r="V582" s="33">
        <f t="shared" si="270"/>
        <v>-0.99984153579563773</v>
      </c>
      <c r="W582" s="33">
        <f t="shared" si="271"/>
        <v>612.96095846420428</v>
      </c>
      <c r="X582" s="33">
        <v>96485</v>
      </c>
      <c r="Y582" s="16">
        <f t="shared" si="272"/>
        <v>-157.38312407849014</v>
      </c>
      <c r="Z582" s="16">
        <v>12</v>
      </c>
      <c r="AA582" s="16">
        <v>23</v>
      </c>
      <c r="AB582" s="8">
        <f t="shared" si="273"/>
        <v>0.32951945080091533</v>
      </c>
      <c r="AC582" s="16">
        <f t="shared" si="293"/>
        <v>71.177182647491506</v>
      </c>
      <c r="AD582" s="20">
        <f>'PFAS Properties'!$W$37</f>
        <v>11</v>
      </c>
      <c r="AE582" s="8">
        <f>'PFAS Properties'!$S$37</f>
        <v>-0.88605664769316317</v>
      </c>
      <c r="AF582" s="15">
        <f>'PFAS Properties'!$V$37</f>
        <v>7.6</v>
      </c>
      <c r="AG582" s="24">
        <v>3.6</v>
      </c>
      <c r="AH582" s="2" t="s">
        <v>832</v>
      </c>
      <c r="AI582" s="8">
        <f>(6.8*55.845)/1000</f>
        <v>0.37974599999999997</v>
      </c>
      <c r="AJ582" s="15">
        <f>AI582*1000/55.845</f>
        <v>6.8</v>
      </c>
      <c r="AK582" s="8">
        <f t="shared" si="288"/>
        <v>3.7974599999999997E-2</v>
      </c>
      <c r="AL582" s="8">
        <f>(4*26.982)/1000</f>
        <v>0.107928</v>
      </c>
      <c r="AM582" s="15">
        <f>AL582*1000/55.845</f>
        <v>1.932634971796938</v>
      </c>
      <c r="AN582" s="8">
        <f t="shared" si="290"/>
        <v>1.07928E-2</v>
      </c>
      <c r="AO582" s="2" t="s">
        <v>86</v>
      </c>
      <c r="AP582" s="72">
        <v>14.768748</v>
      </c>
      <c r="AQ582" s="70" t="s">
        <v>752</v>
      </c>
      <c r="AR582" s="71">
        <v>37.396533331999997</v>
      </c>
      <c r="AS582" s="71">
        <v>37.430266667999987</v>
      </c>
      <c r="AT582" s="71">
        <v>24.989000000000001</v>
      </c>
      <c r="AU582" s="70" t="s">
        <v>752</v>
      </c>
      <c r="AV582" s="16">
        <f t="shared" ref="AV582" si="294">SUM(AR582:AT582)</f>
        <v>99.815799999999996</v>
      </c>
      <c r="AW582" s="18">
        <v>44.9</v>
      </c>
      <c r="AX582" s="13">
        <f t="shared" si="286"/>
        <v>0.44900000000000001</v>
      </c>
      <c r="AY582" s="8" t="s">
        <v>240</v>
      </c>
      <c r="AZ582" s="16">
        <f t="shared" ref="AZ582" si="295">0.75/0.03</f>
        <v>25</v>
      </c>
      <c r="BA582" s="16" t="s">
        <v>55</v>
      </c>
      <c r="BB582" s="16">
        <f>8*K582/1000</f>
        <v>4.9116863999999998</v>
      </c>
      <c r="BC582" s="16" t="s">
        <v>55</v>
      </c>
      <c r="BD582" s="25">
        <f>(10^(3.61)*AX582)</f>
        <v>1829.1374473404683</v>
      </c>
      <c r="BE582" s="16">
        <f t="shared" si="292"/>
        <v>4073.8027780411321</v>
      </c>
      <c r="BF582" s="8">
        <f t="shared" si="277"/>
        <v>3.6100000000000003</v>
      </c>
      <c r="BG582" s="8">
        <f t="shared" si="282"/>
        <v>3.2622463410033236</v>
      </c>
      <c r="BH582" s="2" t="s">
        <v>824</v>
      </c>
      <c r="BI582" s="16"/>
      <c r="BJ582" s="13"/>
      <c r="BK582" s="13"/>
      <c r="BL582" s="8"/>
      <c r="BM582" s="18"/>
      <c r="BN582" s="8"/>
      <c r="BO582" s="24"/>
    </row>
    <row r="583" spans="1:69" x14ac:dyDescent="0.3">
      <c r="A583" s="20">
        <v>581</v>
      </c>
      <c r="B583" s="1" t="s">
        <v>706</v>
      </c>
      <c r="C583" s="1">
        <v>2022</v>
      </c>
      <c r="D583" s="2" t="s">
        <v>199</v>
      </c>
      <c r="E583" s="10" t="s">
        <v>796</v>
      </c>
      <c r="F583" s="20" t="s">
        <v>29</v>
      </c>
      <c r="G583" s="1" t="s">
        <v>707</v>
      </c>
      <c r="H583" s="2" t="str">
        <f>'PFAS Properties'!$B$37</f>
        <v>PFDoA</v>
      </c>
      <c r="I583" s="2" t="str">
        <f>'PFAS Properties'!$C$37</f>
        <v>PFCA</v>
      </c>
      <c r="J583" s="2" t="str">
        <f>'PFAS Properties'!$D$37</f>
        <v>C12HF23O2</v>
      </c>
      <c r="K583" s="25">
        <f>'PFAS Properties'!$P$37</f>
        <v>613.96079999999995</v>
      </c>
      <c r="L583" s="2">
        <f>'PFAS Properties'!$X$37</f>
        <v>-0.2</v>
      </c>
      <c r="M583" s="2" t="str">
        <f>'PFAS Properties'!$Y$37</f>
        <v>-</v>
      </c>
      <c r="N583" s="33">
        <v>0</v>
      </c>
      <c r="O583" s="33">
        <v>0</v>
      </c>
      <c r="P583" s="33">
        <v>0</v>
      </c>
      <c r="Q583" s="33">
        <f t="shared" si="266"/>
        <v>0.99999849893552062</v>
      </c>
      <c r="R583" s="33">
        <v>0</v>
      </c>
      <c r="S583" s="33">
        <f t="shared" si="267"/>
        <v>1.50106447937241E-6</v>
      </c>
      <c r="T583" s="8">
        <f t="shared" si="268"/>
        <v>1</v>
      </c>
      <c r="U583" s="33">
        <f t="shared" si="269"/>
        <v>0</v>
      </c>
      <c r="V583" s="33">
        <f t="shared" si="270"/>
        <v>-0.99999849893552062</v>
      </c>
      <c r="W583" s="33">
        <f t="shared" si="271"/>
        <v>612.96080150106445</v>
      </c>
      <c r="X583" s="33">
        <v>96485</v>
      </c>
      <c r="Y583" s="16">
        <f t="shared" si="272"/>
        <v>-157.40787165103274</v>
      </c>
      <c r="Z583" s="16">
        <v>12</v>
      </c>
      <c r="AA583" s="16">
        <v>23</v>
      </c>
      <c r="AB583" s="8">
        <f t="shared" si="273"/>
        <v>0.32951945080091533</v>
      </c>
      <c r="AC583" s="16">
        <f t="shared" si="293"/>
        <v>71.177182647491506</v>
      </c>
      <c r="AD583" s="20">
        <f>'PFAS Properties'!$W$37</f>
        <v>11</v>
      </c>
      <c r="AE583" s="8">
        <f>'PFAS Properties'!$S$37</f>
        <v>-0.88605664769316317</v>
      </c>
      <c r="AF583" s="15">
        <f>'PFAS Properties'!$V$37</f>
        <v>7.6</v>
      </c>
      <c r="AG583" s="124">
        <v>5.6236000000000006</v>
      </c>
      <c r="AH583" s="70" t="s">
        <v>752</v>
      </c>
      <c r="AI583" s="1" t="s">
        <v>661</v>
      </c>
      <c r="AJ583" s="1" t="s">
        <v>661</v>
      </c>
      <c r="AK583" s="1" t="s">
        <v>661</v>
      </c>
      <c r="AL583" s="1" t="s">
        <v>661</v>
      </c>
      <c r="AM583" s="1" t="s">
        <v>661</v>
      </c>
      <c r="AN583" s="1" t="s">
        <v>661</v>
      </c>
      <c r="AO583" s="1" t="s">
        <v>661</v>
      </c>
      <c r="AP583" s="73">
        <v>17.2</v>
      </c>
      <c r="AQ583" s="1" t="s">
        <v>661</v>
      </c>
      <c r="AR583" s="4">
        <v>44.8</v>
      </c>
      <c r="AS583" s="4">
        <v>27</v>
      </c>
      <c r="AT583" s="4">
        <v>28.2</v>
      </c>
      <c r="AU583" s="1" t="s">
        <v>661</v>
      </c>
      <c r="AV583" s="16">
        <f>SUM(AR583:AT583)</f>
        <v>100</v>
      </c>
      <c r="AW583" s="27">
        <v>4</v>
      </c>
      <c r="AX583" s="5">
        <f t="shared" si="286"/>
        <v>0.04</v>
      </c>
      <c r="AY583" s="1" t="s">
        <v>184</v>
      </c>
      <c r="AZ583" s="1">
        <f>0.25/0.01</f>
        <v>25</v>
      </c>
      <c r="BA583" s="16" t="s">
        <v>55</v>
      </c>
      <c r="BB583" s="1">
        <v>0</v>
      </c>
      <c r="BC583" s="1">
        <v>100</v>
      </c>
      <c r="BD583" s="24">
        <v>102.8</v>
      </c>
      <c r="BE583" s="16">
        <f t="shared" si="292"/>
        <v>2570</v>
      </c>
      <c r="BF583" s="16">
        <f t="shared" si="277"/>
        <v>3.4099331233312946</v>
      </c>
      <c r="BG583" s="8">
        <f t="shared" ref="BG583:BG632" si="296">LOG(BD583)</f>
        <v>2.0119931146592571</v>
      </c>
      <c r="BH583" s="1" t="s">
        <v>819</v>
      </c>
      <c r="BI583" s="1"/>
      <c r="BJ583" s="2"/>
      <c r="BK583" s="1"/>
      <c r="BL583" s="1"/>
      <c r="BM583" s="7"/>
      <c r="BN583" s="7"/>
      <c r="BO583" s="1"/>
      <c r="BP583" s="11"/>
      <c r="BQ583" s="11"/>
    </row>
    <row r="584" spans="1:69" x14ac:dyDescent="0.3">
      <c r="A584" s="20">
        <v>582</v>
      </c>
      <c r="B584" s="1" t="s">
        <v>706</v>
      </c>
      <c r="C584" s="1">
        <v>2022</v>
      </c>
      <c r="D584" s="2" t="s">
        <v>199</v>
      </c>
      <c r="E584" s="10" t="s">
        <v>796</v>
      </c>
      <c r="F584" s="20" t="s">
        <v>29</v>
      </c>
      <c r="G584" s="1" t="s">
        <v>708</v>
      </c>
      <c r="H584" s="2" t="str">
        <f>'PFAS Properties'!$B$37</f>
        <v>PFDoA</v>
      </c>
      <c r="I584" s="2" t="str">
        <f>'PFAS Properties'!$C$37</f>
        <v>PFCA</v>
      </c>
      <c r="J584" s="2" t="str">
        <f>'PFAS Properties'!$D$37</f>
        <v>C12HF23O2</v>
      </c>
      <c r="K584" s="25">
        <f>'PFAS Properties'!$P$37</f>
        <v>613.96079999999995</v>
      </c>
      <c r="L584" s="2">
        <f>'PFAS Properties'!$X$37</f>
        <v>-0.2</v>
      </c>
      <c r="M584" s="2" t="str">
        <f>'PFAS Properties'!$Y$37</f>
        <v>-</v>
      </c>
      <c r="N584" s="33">
        <v>0</v>
      </c>
      <c r="O584" s="33">
        <v>0</v>
      </c>
      <c r="P584" s="33">
        <v>0</v>
      </c>
      <c r="Q584" s="33">
        <f t="shared" si="266"/>
        <v>0.9999982333959051</v>
      </c>
      <c r="R584" s="33">
        <v>0</v>
      </c>
      <c r="S584" s="33">
        <f t="shared" si="267"/>
        <v>1.7666040948916728E-6</v>
      </c>
      <c r="T584" s="8">
        <f t="shared" si="268"/>
        <v>1</v>
      </c>
      <c r="U584" s="33">
        <f t="shared" si="269"/>
        <v>0</v>
      </c>
      <c r="V584" s="33">
        <f t="shared" si="270"/>
        <v>-0.9999982333959051</v>
      </c>
      <c r="W584" s="33">
        <f t="shared" si="271"/>
        <v>612.96080176660405</v>
      </c>
      <c r="X584" s="33">
        <v>96485</v>
      </c>
      <c r="Y584" s="16">
        <f t="shared" si="272"/>
        <v>-157.40782978475391</v>
      </c>
      <c r="Z584" s="16">
        <v>12</v>
      </c>
      <c r="AA584" s="16">
        <v>23</v>
      </c>
      <c r="AB584" s="8">
        <f t="shared" si="273"/>
        <v>0.32951945080091533</v>
      </c>
      <c r="AC584" s="16">
        <f t="shared" si="293"/>
        <v>71.177182647491506</v>
      </c>
      <c r="AD584" s="20">
        <f>'PFAS Properties'!$W$37</f>
        <v>11</v>
      </c>
      <c r="AE584" s="8">
        <f>'PFAS Properties'!$S$37</f>
        <v>-0.88605664769316317</v>
      </c>
      <c r="AF584" s="15">
        <f>'PFAS Properties'!$V$37</f>
        <v>7.6</v>
      </c>
      <c r="AG584" s="124">
        <v>5.5528600000000008</v>
      </c>
      <c r="AH584" s="70" t="s">
        <v>752</v>
      </c>
      <c r="AI584" s="1" t="s">
        <v>661</v>
      </c>
      <c r="AJ584" s="1" t="s">
        <v>661</v>
      </c>
      <c r="AK584" s="1" t="s">
        <v>661</v>
      </c>
      <c r="AL584" s="1" t="s">
        <v>661</v>
      </c>
      <c r="AM584" s="1" t="s">
        <v>661</v>
      </c>
      <c r="AN584" s="1" t="s">
        <v>661</v>
      </c>
      <c r="AO584" s="1" t="s">
        <v>661</v>
      </c>
      <c r="AP584" s="73">
        <v>12.2</v>
      </c>
      <c r="AQ584" s="1" t="s">
        <v>661</v>
      </c>
      <c r="AR584" s="4">
        <v>41.8</v>
      </c>
      <c r="AS584" s="4">
        <v>30</v>
      </c>
      <c r="AT584" s="4">
        <v>28.2</v>
      </c>
      <c r="AU584" s="1" t="s">
        <v>661</v>
      </c>
      <c r="AV584" s="16">
        <f>SUM(AR584:AT584)</f>
        <v>100</v>
      </c>
      <c r="AW584" s="27">
        <v>2</v>
      </c>
      <c r="AX584" s="5">
        <f t="shared" si="286"/>
        <v>0.02</v>
      </c>
      <c r="AY584" s="1" t="s">
        <v>184</v>
      </c>
      <c r="AZ584" s="1">
        <f>0.25/0.01</f>
        <v>25</v>
      </c>
      <c r="BA584" s="16" t="s">
        <v>55</v>
      </c>
      <c r="BB584" s="1">
        <v>0</v>
      </c>
      <c r="BC584" s="1">
        <v>100</v>
      </c>
      <c r="BD584" s="24">
        <v>63.2</v>
      </c>
      <c r="BE584" s="16">
        <f t="shared" si="292"/>
        <v>3160</v>
      </c>
      <c r="BF584" s="16">
        <f t="shared" si="277"/>
        <v>3.4996870826184039</v>
      </c>
      <c r="BG584" s="8">
        <f t="shared" si="296"/>
        <v>1.8007170782823851</v>
      </c>
      <c r="BH584" s="1" t="s">
        <v>819</v>
      </c>
      <c r="BI584" s="1"/>
      <c r="BJ584" s="2"/>
      <c r="BK584" s="1"/>
      <c r="BL584" s="1"/>
      <c r="BM584" s="7"/>
      <c r="BN584" s="7"/>
      <c r="BO584" s="1"/>
      <c r="BP584" s="11"/>
      <c r="BQ584" s="11"/>
    </row>
    <row r="585" spans="1:69" x14ac:dyDescent="0.3">
      <c r="A585" s="20">
        <v>583</v>
      </c>
      <c r="B585" s="1" t="s">
        <v>706</v>
      </c>
      <c r="C585" s="1">
        <v>2022</v>
      </c>
      <c r="D585" s="2" t="s">
        <v>199</v>
      </c>
      <c r="E585" s="10" t="s">
        <v>796</v>
      </c>
      <c r="F585" s="20" t="s">
        <v>29</v>
      </c>
      <c r="G585" s="1" t="s">
        <v>709</v>
      </c>
      <c r="H585" s="2" t="str">
        <f>'PFAS Properties'!$B$37</f>
        <v>PFDoA</v>
      </c>
      <c r="I585" s="2" t="str">
        <f>'PFAS Properties'!$C$37</f>
        <v>PFCA</v>
      </c>
      <c r="J585" s="2" t="str">
        <f>'PFAS Properties'!$D$37</f>
        <v>C12HF23O2</v>
      </c>
      <c r="K585" s="25">
        <f>'PFAS Properties'!$P$37</f>
        <v>613.96079999999995</v>
      </c>
      <c r="L585" s="2">
        <f>'PFAS Properties'!$X$37</f>
        <v>-0.2</v>
      </c>
      <c r="M585" s="2" t="str">
        <f>'PFAS Properties'!$Y$37</f>
        <v>-</v>
      </c>
      <c r="N585" s="33">
        <v>0</v>
      </c>
      <c r="O585" s="33">
        <v>0</v>
      </c>
      <c r="P585" s="33">
        <v>0</v>
      </c>
      <c r="Q585" s="33">
        <f t="shared" si="266"/>
        <v>0.99999774680374132</v>
      </c>
      <c r="R585" s="33">
        <v>0</v>
      </c>
      <c r="S585" s="33">
        <f t="shared" si="267"/>
        <v>2.2531962587246622E-6</v>
      </c>
      <c r="T585" s="8">
        <f t="shared" si="268"/>
        <v>1</v>
      </c>
      <c r="U585" s="33">
        <f t="shared" si="269"/>
        <v>0</v>
      </c>
      <c r="V585" s="33">
        <f t="shared" si="270"/>
        <v>-0.99999774680374132</v>
      </c>
      <c r="W585" s="33">
        <f t="shared" si="271"/>
        <v>612.96080225319622</v>
      </c>
      <c r="X585" s="33">
        <v>96485</v>
      </c>
      <c r="Y585" s="16">
        <f t="shared" si="272"/>
        <v>-157.40775306624573</v>
      </c>
      <c r="Z585" s="16">
        <v>12</v>
      </c>
      <c r="AA585" s="16">
        <v>23</v>
      </c>
      <c r="AB585" s="8">
        <f t="shared" si="273"/>
        <v>0.32951945080091533</v>
      </c>
      <c r="AC585" s="16">
        <f t="shared" si="293"/>
        <v>71.177182647491506</v>
      </c>
      <c r="AD585" s="20">
        <f>'PFAS Properties'!$W$37</f>
        <v>11</v>
      </c>
      <c r="AE585" s="8">
        <f>'PFAS Properties'!$S$37</f>
        <v>-0.88605664769316317</v>
      </c>
      <c r="AF585" s="15">
        <f>'PFAS Properties'!$V$37</f>
        <v>7.6</v>
      </c>
      <c r="AG585" s="124">
        <v>5.4471999999999996</v>
      </c>
      <c r="AH585" s="70" t="s">
        <v>752</v>
      </c>
      <c r="AI585" s="1" t="s">
        <v>661</v>
      </c>
      <c r="AJ585" s="1" t="s">
        <v>661</v>
      </c>
      <c r="AK585" s="1" t="s">
        <v>661</v>
      </c>
      <c r="AL585" s="1" t="s">
        <v>661</v>
      </c>
      <c r="AM585" s="1" t="s">
        <v>661</v>
      </c>
      <c r="AN585" s="1" t="s">
        <v>661</v>
      </c>
      <c r="AO585" s="1" t="s">
        <v>661</v>
      </c>
      <c r="AP585" s="73">
        <v>7.3</v>
      </c>
      <c r="AQ585" s="1" t="s">
        <v>661</v>
      </c>
      <c r="AR585" s="4">
        <v>48.9</v>
      </c>
      <c r="AS585" s="4">
        <v>26.9</v>
      </c>
      <c r="AT585" s="4">
        <v>24.2</v>
      </c>
      <c r="AU585" s="1" t="s">
        <v>661</v>
      </c>
      <c r="AV585" s="16">
        <f>SUM(AR585:AT585)</f>
        <v>100</v>
      </c>
      <c r="AW585" s="27">
        <v>2.2000000000000002</v>
      </c>
      <c r="AX585" s="5">
        <f t="shared" si="286"/>
        <v>2.2000000000000002E-2</v>
      </c>
      <c r="AY585" s="1" t="s">
        <v>184</v>
      </c>
      <c r="AZ585" s="1">
        <f>0.25/0.01</f>
        <v>25</v>
      </c>
      <c r="BA585" s="16" t="s">
        <v>55</v>
      </c>
      <c r="BB585" s="1">
        <v>0</v>
      </c>
      <c r="BC585" s="1">
        <v>100</v>
      </c>
      <c r="BD585" s="24">
        <v>77.5</v>
      </c>
      <c r="BE585" s="16">
        <f t="shared" si="292"/>
        <v>3522.7272727272725</v>
      </c>
      <c r="BF585" s="16">
        <f t="shared" si="277"/>
        <v>3.546879021684104</v>
      </c>
      <c r="BG585" s="8">
        <f t="shared" si="296"/>
        <v>1.8893017025063104</v>
      </c>
      <c r="BH585" s="1" t="s">
        <v>819</v>
      </c>
      <c r="BI585" s="1"/>
      <c r="BJ585" s="2"/>
      <c r="BK585" s="1"/>
      <c r="BL585" s="1"/>
      <c r="BM585" s="7"/>
      <c r="BN585" s="7"/>
      <c r="BO585" s="1"/>
      <c r="BP585" s="11"/>
      <c r="BQ585" s="11"/>
    </row>
    <row r="586" spans="1:69" s="94" customFormat="1" x14ac:dyDescent="0.3">
      <c r="A586" s="83">
        <v>584</v>
      </c>
      <c r="B586" s="84" t="s">
        <v>195</v>
      </c>
      <c r="C586" s="84">
        <v>2022</v>
      </c>
      <c r="D586" s="84" t="s">
        <v>199</v>
      </c>
      <c r="E586" s="98" t="s">
        <v>798</v>
      </c>
      <c r="F586" s="83" t="s">
        <v>29</v>
      </c>
      <c r="G586" s="84" t="s">
        <v>238</v>
      </c>
      <c r="H586" s="84" t="str">
        <f>'PFAS Properties'!$B$37</f>
        <v>PFDoA</v>
      </c>
      <c r="I586" s="84" t="str">
        <f>'PFAS Properties'!$C$37</f>
        <v>PFCA</v>
      </c>
      <c r="J586" s="84" t="str">
        <f>'PFAS Properties'!$D$37</f>
        <v>C12HF23O2</v>
      </c>
      <c r="K586" s="99">
        <f>'PFAS Properties'!$P$37</f>
        <v>613.96079999999995</v>
      </c>
      <c r="L586" s="84">
        <f>'PFAS Properties'!$X$37</f>
        <v>-0.2</v>
      </c>
      <c r="M586" s="84" t="str">
        <f>'PFAS Properties'!$Y$37</f>
        <v>-</v>
      </c>
      <c r="N586" s="87">
        <v>0</v>
      </c>
      <c r="O586" s="87">
        <v>0</v>
      </c>
      <c r="P586" s="87">
        <v>0</v>
      </c>
      <c r="Q586" s="87">
        <f t="shared" si="266"/>
        <v>0.99994988378839778</v>
      </c>
      <c r="R586" s="87">
        <v>0</v>
      </c>
      <c r="S586" s="87">
        <f t="shared" si="267"/>
        <v>5.0116211602181963E-5</v>
      </c>
      <c r="T586" s="88">
        <f t="shared" si="268"/>
        <v>1</v>
      </c>
      <c r="U586" s="87">
        <f t="shared" si="269"/>
        <v>0</v>
      </c>
      <c r="V586" s="87">
        <f t="shared" si="270"/>
        <v>-0.99994988378839778</v>
      </c>
      <c r="W586" s="87">
        <f t="shared" si="271"/>
        <v>612.96085011621153</v>
      </c>
      <c r="X586" s="87">
        <v>96485</v>
      </c>
      <c r="Y586" s="89">
        <f t="shared" si="272"/>
        <v>-157.40020674898216</v>
      </c>
      <c r="Z586" s="89">
        <v>12</v>
      </c>
      <c r="AA586" s="89">
        <v>23</v>
      </c>
      <c r="AB586" s="88">
        <f t="shared" si="273"/>
        <v>0.32951945080091533</v>
      </c>
      <c r="AC586" s="89">
        <f t="shared" si="293"/>
        <v>71.177182647491506</v>
      </c>
      <c r="AD586" s="83">
        <f>'PFAS Properties'!$W$37</f>
        <v>11</v>
      </c>
      <c r="AE586" s="88">
        <f>'PFAS Properties'!$S$37</f>
        <v>-0.88605664769316317</v>
      </c>
      <c r="AF586" s="90">
        <f>'PFAS Properties'!$V$37</f>
        <v>7.6</v>
      </c>
      <c r="AG586" s="93">
        <v>4.0999999999999996</v>
      </c>
      <c r="AH586" s="84" t="s">
        <v>832</v>
      </c>
      <c r="AI586" s="88">
        <f>(28*55.845)/1000</f>
        <v>1.5636599999999998</v>
      </c>
      <c r="AJ586" s="90">
        <f>AI586*1000/55.845</f>
        <v>27.999999999999996</v>
      </c>
      <c r="AK586" s="88">
        <f>AI586/10</f>
        <v>0.15636599999999998</v>
      </c>
      <c r="AL586" s="88">
        <f>(17*26.982)/1000</f>
        <v>0.45869399999999994</v>
      </c>
      <c r="AM586" s="90">
        <f>AL586*1000/55.845</f>
        <v>8.2136986301369852</v>
      </c>
      <c r="AN586" s="88">
        <f>AL586/10</f>
        <v>4.5869399999999991E-2</v>
      </c>
      <c r="AO586" s="84" t="s">
        <v>86</v>
      </c>
      <c r="AP586" s="92">
        <v>14.715147999999999</v>
      </c>
      <c r="AQ586" s="84" t="s">
        <v>752</v>
      </c>
      <c r="AR586" s="96">
        <v>37.490533331999998</v>
      </c>
      <c r="AS586" s="96">
        <v>37.393866668000001</v>
      </c>
      <c r="AT586" s="96">
        <v>24.9392</v>
      </c>
      <c r="AU586" s="84" t="s">
        <v>752</v>
      </c>
      <c r="AV586" s="89">
        <f t="shared" ref="AV586:AV587" si="297">SUM(AR586:AT586)</f>
        <v>99.823599999999999</v>
      </c>
      <c r="AW586" s="86">
        <v>46.6</v>
      </c>
      <c r="AX586" s="91">
        <f t="shared" si="286"/>
        <v>0.46600000000000003</v>
      </c>
      <c r="AY586" s="88" t="s">
        <v>240</v>
      </c>
      <c r="AZ586" s="89">
        <f t="shared" ref="AZ586:AZ587" si="298">0.75/0.03</f>
        <v>25</v>
      </c>
      <c r="BA586" s="89" t="s">
        <v>55</v>
      </c>
      <c r="BB586" s="89">
        <f>8*K586/1000</f>
        <v>4.9116863999999998</v>
      </c>
      <c r="BC586" s="89" t="s">
        <v>55</v>
      </c>
      <c r="BD586" s="99">
        <f>(10^(2.81)*AX586)</f>
        <v>300.87487073014967</v>
      </c>
      <c r="BE586" s="89">
        <f t="shared" si="292"/>
        <v>645.65422903465594</v>
      </c>
      <c r="BF586" s="88">
        <f t="shared" si="277"/>
        <v>2.8100000000000005</v>
      </c>
      <c r="BG586" s="88">
        <f t="shared" si="296"/>
        <v>2.4783859166900006</v>
      </c>
      <c r="BH586" s="84" t="s">
        <v>824</v>
      </c>
      <c r="BI586" s="84"/>
      <c r="BJ586" s="84"/>
      <c r="BK586" s="84"/>
      <c r="BL586" s="84"/>
      <c r="BM586" s="83"/>
      <c r="BN586" s="83"/>
      <c r="BO586" s="84"/>
    </row>
    <row r="587" spans="1:69" s="94" customFormat="1" x14ac:dyDescent="0.3">
      <c r="A587" s="83">
        <v>585</v>
      </c>
      <c r="B587" s="84" t="s">
        <v>195</v>
      </c>
      <c r="C587" s="84">
        <v>2022</v>
      </c>
      <c r="D587" s="84" t="s">
        <v>199</v>
      </c>
      <c r="E587" s="85" t="s">
        <v>798</v>
      </c>
      <c r="F587" s="83" t="s">
        <v>29</v>
      </c>
      <c r="G587" s="84" t="s">
        <v>239</v>
      </c>
      <c r="H587" s="84" t="str">
        <f>'PFAS Properties'!$B$37</f>
        <v>PFDoA</v>
      </c>
      <c r="I587" s="84" t="str">
        <f>'PFAS Properties'!$C$37</f>
        <v>PFCA</v>
      </c>
      <c r="J587" s="84" t="str">
        <f>'PFAS Properties'!$D$37</f>
        <v>C12HF23O2</v>
      </c>
      <c r="K587" s="99">
        <f>'PFAS Properties'!$P$37</f>
        <v>613.96079999999995</v>
      </c>
      <c r="L587" s="84">
        <f>'PFAS Properties'!$X$37</f>
        <v>-0.2</v>
      </c>
      <c r="M587" s="84" t="str">
        <f>'PFAS Properties'!$Y$37</f>
        <v>-</v>
      </c>
      <c r="N587" s="87">
        <v>0</v>
      </c>
      <c r="O587" s="87">
        <v>0</v>
      </c>
      <c r="P587" s="87">
        <v>0</v>
      </c>
      <c r="Q587" s="87">
        <f t="shared" si="266"/>
        <v>0.99993690824637249</v>
      </c>
      <c r="R587" s="87">
        <v>0</v>
      </c>
      <c r="S587" s="87">
        <f t="shared" si="267"/>
        <v>6.3091753627486543E-5</v>
      </c>
      <c r="T587" s="88">
        <f t="shared" si="268"/>
        <v>1</v>
      </c>
      <c r="U587" s="87">
        <f t="shared" si="269"/>
        <v>0</v>
      </c>
      <c r="V587" s="87">
        <f t="shared" si="270"/>
        <v>-0.99993690824637249</v>
      </c>
      <c r="W587" s="87">
        <f t="shared" si="271"/>
        <v>612.96086309175359</v>
      </c>
      <c r="X587" s="87">
        <v>96485</v>
      </c>
      <c r="Y587" s="89">
        <f t="shared" si="272"/>
        <v>-157.39816096172098</v>
      </c>
      <c r="Z587" s="89">
        <v>12</v>
      </c>
      <c r="AA587" s="89">
        <v>23</v>
      </c>
      <c r="AB587" s="88">
        <f t="shared" si="273"/>
        <v>0.32951945080091533</v>
      </c>
      <c r="AC587" s="89">
        <f t="shared" si="293"/>
        <v>71.177182647491506</v>
      </c>
      <c r="AD587" s="83">
        <f>'PFAS Properties'!$W$37</f>
        <v>11</v>
      </c>
      <c r="AE587" s="88">
        <f>'PFAS Properties'!$S$37</f>
        <v>-0.88605664769316317</v>
      </c>
      <c r="AF587" s="90">
        <f>'PFAS Properties'!$V$37</f>
        <v>7.6</v>
      </c>
      <c r="AG587" s="93">
        <v>4</v>
      </c>
      <c r="AH587" s="84" t="s">
        <v>832</v>
      </c>
      <c r="AI587" s="88">
        <f>(5*55.845)/1000</f>
        <v>0.279225</v>
      </c>
      <c r="AJ587" s="90">
        <f>AI587*1000/55.845</f>
        <v>5.0000000000000009</v>
      </c>
      <c r="AK587" s="88">
        <f>AI587/10</f>
        <v>2.7922499999999999E-2</v>
      </c>
      <c r="AL587" s="88">
        <f>(15*26.982)/1000</f>
        <v>0.40473000000000003</v>
      </c>
      <c r="AM587" s="90">
        <f>AL587*1000/55.845</f>
        <v>7.2473811442385179</v>
      </c>
      <c r="AN587" s="88">
        <f>AL587/10</f>
        <v>4.0473000000000002E-2</v>
      </c>
      <c r="AO587" s="84" t="s">
        <v>86</v>
      </c>
      <c r="AP587" s="92">
        <v>14.763688</v>
      </c>
      <c r="AQ587" s="84" t="s">
        <v>752</v>
      </c>
      <c r="AR587" s="96">
        <v>37.414333332000012</v>
      </c>
      <c r="AS587" s="96">
        <v>37.430866668</v>
      </c>
      <c r="AT587" s="96">
        <v>24.970400000000001</v>
      </c>
      <c r="AU587" s="84" t="s">
        <v>752</v>
      </c>
      <c r="AV587" s="89">
        <f t="shared" si="297"/>
        <v>99.815600000000003</v>
      </c>
      <c r="AW587" s="86">
        <v>53.6</v>
      </c>
      <c r="AX587" s="91">
        <f t="shared" si="286"/>
        <v>0.53600000000000003</v>
      </c>
      <c r="AY587" s="88" t="s">
        <v>240</v>
      </c>
      <c r="AZ587" s="89">
        <f t="shared" si="298"/>
        <v>25</v>
      </c>
      <c r="BA587" s="89" t="s">
        <v>55</v>
      </c>
      <c r="BB587" s="89">
        <f>8*K587/1000</f>
        <v>4.9116863999999998</v>
      </c>
      <c r="BC587" s="89" t="s">
        <v>55</v>
      </c>
      <c r="BD587" s="99">
        <f>(10^(2.42)*AX587)</f>
        <v>140.98236436559247</v>
      </c>
      <c r="BE587" s="89">
        <f t="shared" si="292"/>
        <v>263.02679918953817</v>
      </c>
      <c r="BF587" s="88">
        <f t="shared" si="277"/>
        <v>2.42</v>
      </c>
      <c r="BG587" s="88">
        <f t="shared" si="296"/>
        <v>2.1491647896927701</v>
      </c>
      <c r="BH587" s="84" t="s">
        <v>824</v>
      </c>
      <c r="BI587" s="89"/>
      <c r="BJ587" s="91"/>
      <c r="BK587" s="91"/>
      <c r="BL587" s="88"/>
      <c r="BM587" s="86"/>
      <c r="BN587" s="88"/>
      <c r="BO587" s="99"/>
    </row>
    <row r="588" spans="1:69" x14ac:dyDescent="0.3">
      <c r="A588" s="20">
        <v>586</v>
      </c>
      <c r="B588" s="2" t="s">
        <v>181</v>
      </c>
      <c r="C588" s="2">
        <v>2020</v>
      </c>
      <c r="D588" s="2" t="s">
        <v>203</v>
      </c>
      <c r="E588" s="10" t="s">
        <v>787</v>
      </c>
      <c r="F588" s="20" t="s">
        <v>29</v>
      </c>
      <c r="G588" s="2" t="s">
        <v>62</v>
      </c>
      <c r="H588" s="2" t="str">
        <f>'PFAS Properties'!$B$37</f>
        <v>PFDoA</v>
      </c>
      <c r="I588" s="2" t="str">
        <f>'PFAS Properties'!$C$37</f>
        <v>PFCA</v>
      </c>
      <c r="J588" s="2" t="str">
        <f>'PFAS Properties'!$D$37</f>
        <v>C12HF23O2</v>
      </c>
      <c r="K588" s="25">
        <f>'PFAS Properties'!$P$37</f>
        <v>613.96079999999995</v>
      </c>
      <c r="L588" s="2">
        <f>'PFAS Properties'!$X$37</f>
        <v>-0.2</v>
      </c>
      <c r="M588" s="2" t="str">
        <f>'PFAS Properties'!$Y$37</f>
        <v>-</v>
      </c>
      <c r="N588" s="33">
        <v>0</v>
      </c>
      <c r="O588" s="33">
        <v>0</v>
      </c>
      <c r="P588" s="33">
        <v>0</v>
      </c>
      <c r="Q588" s="33">
        <f t="shared" si="266"/>
        <v>0.99999998004737722</v>
      </c>
      <c r="R588" s="33">
        <v>0</v>
      </c>
      <c r="S588" s="33">
        <f t="shared" si="267"/>
        <v>1.995262275158161E-8</v>
      </c>
      <c r="T588" s="8">
        <f t="shared" si="268"/>
        <v>1</v>
      </c>
      <c r="U588" s="33">
        <f t="shared" si="269"/>
        <v>0</v>
      </c>
      <c r="V588" s="33">
        <f t="shared" si="270"/>
        <v>-0.99999998004737722</v>
      </c>
      <c r="W588" s="33">
        <f t="shared" si="271"/>
        <v>612.96080001995256</v>
      </c>
      <c r="X588" s="33">
        <v>96485</v>
      </c>
      <c r="Y588" s="16">
        <f t="shared" si="272"/>
        <v>-157.40810517039668</v>
      </c>
      <c r="Z588" s="16">
        <v>12</v>
      </c>
      <c r="AA588" s="16">
        <v>23</v>
      </c>
      <c r="AB588" s="8">
        <f t="shared" si="273"/>
        <v>0.32951945080091533</v>
      </c>
      <c r="AC588" s="16">
        <f t="shared" si="293"/>
        <v>71.177182647491506</v>
      </c>
      <c r="AD588" s="20">
        <f>'PFAS Properties'!$W$37</f>
        <v>11</v>
      </c>
      <c r="AE588" s="8">
        <f>'PFAS Properties'!$S$37</f>
        <v>-0.88605664769316317</v>
      </c>
      <c r="AF588" s="15">
        <f>'PFAS Properties'!$V$37</f>
        <v>7.6</v>
      </c>
      <c r="AG588" s="24">
        <v>7.5</v>
      </c>
      <c r="AH588" s="2" t="s">
        <v>183</v>
      </c>
      <c r="AI588" s="2" t="s">
        <v>661</v>
      </c>
      <c r="AJ588" s="2" t="s">
        <v>661</v>
      </c>
      <c r="AK588" s="2" t="s">
        <v>661</v>
      </c>
      <c r="AL588" s="2" t="s">
        <v>661</v>
      </c>
      <c r="AM588" s="2" t="s">
        <v>661</v>
      </c>
      <c r="AN588" s="2" t="s">
        <v>661</v>
      </c>
      <c r="AO588" s="2" t="s">
        <v>661</v>
      </c>
      <c r="AP588" s="15">
        <v>41.4</v>
      </c>
      <c r="AQ588" s="2" t="s">
        <v>661</v>
      </c>
      <c r="AR588" s="16">
        <v>16.899999999999999</v>
      </c>
      <c r="AS588" s="16">
        <v>17.5</v>
      </c>
      <c r="AT588" s="16">
        <v>65.599999999999994</v>
      </c>
      <c r="AU588" s="2" t="s">
        <v>661</v>
      </c>
      <c r="AV588" s="16">
        <f t="shared" ref="AV588:AV600" si="299">SUM(AR588:AT588)</f>
        <v>100</v>
      </c>
      <c r="AW588" s="18">
        <v>0.7</v>
      </c>
      <c r="AX588" s="13">
        <v>6.9999999999999993E-3</v>
      </c>
      <c r="AY588" s="13" t="s">
        <v>184</v>
      </c>
      <c r="AZ588" s="16">
        <v>100</v>
      </c>
      <c r="BA588" s="16" t="s">
        <v>55</v>
      </c>
      <c r="BB588" s="16">
        <v>5</v>
      </c>
      <c r="BC588" s="16" t="s">
        <v>55</v>
      </c>
      <c r="BD588" s="28">
        <v>820.29</v>
      </c>
      <c r="BE588" s="16">
        <f t="shared" si="292"/>
        <v>117184.28571428572</v>
      </c>
      <c r="BF588" s="8">
        <f t="shared" si="277"/>
        <v>5.0688693771672266</v>
      </c>
      <c r="BG588" s="8">
        <f t="shared" si="296"/>
        <v>2.9139674171814831</v>
      </c>
      <c r="BH588" s="5" t="s">
        <v>841</v>
      </c>
      <c r="BI588" s="5"/>
      <c r="BJ588" s="13"/>
      <c r="BK588" s="5"/>
      <c r="BL588" s="5"/>
      <c r="BM588" s="21"/>
      <c r="BN588" s="21"/>
      <c r="BO588" s="1"/>
      <c r="BP588" s="11"/>
      <c r="BQ588" s="11"/>
    </row>
    <row r="589" spans="1:69" x14ac:dyDescent="0.3">
      <c r="A589" s="20">
        <v>587</v>
      </c>
      <c r="B589" s="2" t="s">
        <v>181</v>
      </c>
      <c r="C589" s="2">
        <v>2020</v>
      </c>
      <c r="D589" s="2" t="s">
        <v>203</v>
      </c>
      <c r="E589" s="10" t="s">
        <v>787</v>
      </c>
      <c r="F589" s="20" t="s">
        <v>29</v>
      </c>
      <c r="G589" s="2" t="s">
        <v>57</v>
      </c>
      <c r="H589" s="2" t="str">
        <f>'PFAS Properties'!$B$37</f>
        <v>PFDoA</v>
      </c>
      <c r="I589" s="2" t="str">
        <f>'PFAS Properties'!$C$37</f>
        <v>PFCA</v>
      </c>
      <c r="J589" s="2" t="str">
        <f>'PFAS Properties'!$D$37</f>
        <v>C12HF23O2</v>
      </c>
      <c r="K589" s="25">
        <f>'PFAS Properties'!$P$37</f>
        <v>613.96079999999995</v>
      </c>
      <c r="L589" s="2">
        <f>'PFAS Properties'!$X$37</f>
        <v>-0.2</v>
      </c>
      <c r="M589" s="2" t="str">
        <f>'PFAS Properties'!$Y$37</f>
        <v>-</v>
      </c>
      <c r="N589" s="33">
        <v>0</v>
      </c>
      <c r="O589" s="33">
        <v>0</v>
      </c>
      <c r="P589" s="33">
        <v>0</v>
      </c>
      <c r="Q589" s="33">
        <f t="shared" si="266"/>
        <v>0.99999990000001004</v>
      </c>
      <c r="R589" s="33">
        <v>0</v>
      </c>
      <c r="S589" s="33">
        <f t="shared" si="267"/>
        <v>9.9999990000001005E-8</v>
      </c>
      <c r="T589" s="8">
        <f t="shared" si="268"/>
        <v>1</v>
      </c>
      <c r="U589" s="33">
        <f t="shared" si="269"/>
        <v>0</v>
      </c>
      <c r="V589" s="33">
        <f t="shared" si="270"/>
        <v>-0.99999990000001004</v>
      </c>
      <c r="W589" s="33">
        <f t="shared" si="271"/>
        <v>612.96080010000003</v>
      </c>
      <c r="X589" s="33">
        <v>96485</v>
      </c>
      <c r="Y589" s="16">
        <f t="shared" si="272"/>
        <v>-157.4080925497359</v>
      </c>
      <c r="Z589" s="16">
        <v>12</v>
      </c>
      <c r="AA589" s="16">
        <v>23</v>
      </c>
      <c r="AB589" s="8">
        <f t="shared" si="273"/>
        <v>0.32951945080091533</v>
      </c>
      <c r="AC589" s="16">
        <f t="shared" si="293"/>
        <v>71.177182647491506</v>
      </c>
      <c r="AD589" s="20">
        <f>'PFAS Properties'!$W$37</f>
        <v>11</v>
      </c>
      <c r="AE589" s="8">
        <f>'PFAS Properties'!$S$37</f>
        <v>-0.88605664769316317</v>
      </c>
      <c r="AF589" s="15">
        <f>'PFAS Properties'!$V$37</f>
        <v>7.6</v>
      </c>
      <c r="AG589" s="24">
        <v>6.8</v>
      </c>
      <c r="AH589" s="2" t="s">
        <v>183</v>
      </c>
      <c r="AI589" s="2" t="s">
        <v>661</v>
      </c>
      <c r="AJ589" s="2" t="s">
        <v>661</v>
      </c>
      <c r="AK589" s="2" t="s">
        <v>661</v>
      </c>
      <c r="AL589" s="2" t="s">
        <v>661</v>
      </c>
      <c r="AM589" s="2" t="s">
        <v>661</v>
      </c>
      <c r="AN589" s="2" t="s">
        <v>661</v>
      </c>
      <c r="AO589" s="2" t="s">
        <v>661</v>
      </c>
      <c r="AP589" s="15">
        <v>7.1</v>
      </c>
      <c r="AQ589" s="2" t="s">
        <v>661</v>
      </c>
      <c r="AR589" s="16">
        <v>48.9</v>
      </c>
      <c r="AS589" s="16">
        <v>27</v>
      </c>
      <c r="AT589" s="16">
        <v>24.2</v>
      </c>
      <c r="AU589" s="2" t="s">
        <v>661</v>
      </c>
      <c r="AV589" s="16">
        <f t="shared" si="299"/>
        <v>100.10000000000001</v>
      </c>
      <c r="AW589" s="18">
        <v>0.37</v>
      </c>
      <c r="AX589" s="13">
        <v>3.7000000000000002E-3</v>
      </c>
      <c r="AY589" s="13" t="s">
        <v>184</v>
      </c>
      <c r="AZ589" s="16">
        <v>100</v>
      </c>
      <c r="BA589" s="16" t="s">
        <v>55</v>
      </c>
      <c r="BB589" s="16">
        <v>5</v>
      </c>
      <c r="BC589" s="16" t="s">
        <v>55</v>
      </c>
      <c r="BD589" s="28">
        <v>293.56</v>
      </c>
      <c r="BE589" s="16">
        <f t="shared" si="292"/>
        <v>79340.540540540533</v>
      </c>
      <c r="BF589" s="8">
        <f t="shared" si="277"/>
        <v>4.8994951549605963</v>
      </c>
      <c r="BG589" s="8">
        <f t="shared" si="296"/>
        <v>2.4676968790275913</v>
      </c>
      <c r="BH589" s="5" t="s">
        <v>841</v>
      </c>
      <c r="BI589" s="5"/>
      <c r="BJ589" s="13"/>
      <c r="BK589" s="5"/>
      <c r="BL589" s="5"/>
      <c r="BM589" s="21"/>
      <c r="BN589" s="21"/>
      <c r="BO589" s="1"/>
      <c r="BP589" s="11"/>
      <c r="BQ589" s="11"/>
    </row>
    <row r="590" spans="1:69" x14ac:dyDescent="0.3">
      <c r="A590" s="20">
        <v>588</v>
      </c>
      <c r="B590" s="2" t="s">
        <v>181</v>
      </c>
      <c r="C590" s="2">
        <v>2020</v>
      </c>
      <c r="D590" s="2" t="s">
        <v>203</v>
      </c>
      <c r="E590" s="10" t="s">
        <v>787</v>
      </c>
      <c r="F590" s="20" t="s">
        <v>29</v>
      </c>
      <c r="G590" s="2" t="s">
        <v>58</v>
      </c>
      <c r="H590" s="2" t="str">
        <f>'PFAS Properties'!$B$37</f>
        <v>PFDoA</v>
      </c>
      <c r="I590" s="2" t="str">
        <f>'PFAS Properties'!$C$37</f>
        <v>PFCA</v>
      </c>
      <c r="J590" s="2" t="str">
        <f>'PFAS Properties'!$D$37</f>
        <v>C12HF23O2</v>
      </c>
      <c r="K590" s="25">
        <f>'PFAS Properties'!$P$37</f>
        <v>613.96079999999995</v>
      </c>
      <c r="L590" s="2">
        <f>'PFAS Properties'!$X$37</f>
        <v>-0.2</v>
      </c>
      <c r="M590" s="2" t="str">
        <f>'PFAS Properties'!$Y$37</f>
        <v>-</v>
      </c>
      <c r="N590" s="33">
        <v>0</v>
      </c>
      <c r="O590" s="33">
        <v>0</v>
      </c>
      <c r="P590" s="33">
        <v>0</v>
      </c>
      <c r="Q590" s="33">
        <f t="shared" si="266"/>
        <v>0.99999960189298798</v>
      </c>
      <c r="R590" s="33">
        <v>0</v>
      </c>
      <c r="S590" s="33">
        <f t="shared" si="267"/>
        <v>3.9810701206424001E-7</v>
      </c>
      <c r="T590" s="8">
        <f t="shared" si="268"/>
        <v>1</v>
      </c>
      <c r="U590" s="33">
        <f t="shared" si="269"/>
        <v>0</v>
      </c>
      <c r="V590" s="33">
        <f t="shared" si="270"/>
        <v>-0.99999960189298798</v>
      </c>
      <c r="W590" s="33">
        <f t="shared" si="271"/>
        <v>612.96080039810704</v>
      </c>
      <c r="X590" s="33">
        <v>96485</v>
      </c>
      <c r="Y590" s="16">
        <f t="shared" si="272"/>
        <v>-157.40804554871974</v>
      </c>
      <c r="Z590" s="16">
        <v>12</v>
      </c>
      <c r="AA590" s="16">
        <v>23</v>
      </c>
      <c r="AB590" s="8">
        <f t="shared" si="273"/>
        <v>0.32951945080091533</v>
      </c>
      <c r="AC590" s="16">
        <f t="shared" si="293"/>
        <v>71.177182647491506</v>
      </c>
      <c r="AD590" s="20">
        <f>'PFAS Properties'!$W$37</f>
        <v>11</v>
      </c>
      <c r="AE590" s="8">
        <f>'PFAS Properties'!$S$37</f>
        <v>-0.88605664769316317</v>
      </c>
      <c r="AF590" s="15">
        <f>'PFAS Properties'!$V$37</f>
        <v>7.6</v>
      </c>
      <c r="AG590" s="24">
        <v>6.2</v>
      </c>
      <c r="AH590" s="2" t="s">
        <v>183</v>
      </c>
      <c r="AI590" s="2" t="s">
        <v>661</v>
      </c>
      <c r="AJ590" s="2" t="s">
        <v>661</v>
      </c>
      <c r="AK590" s="2" t="s">
        <v>661</v>
      </c>
      <c r="AL590" s="2" t="s">
        <v>661</v>
      </c>
      <c r="AM590" s="2" t="s">
        <v>661</v>
      </c>
      <c r="AN590" s="2" t="s">
        <v>661</v>
      </c>
      <c r="AO590" s="2" t="s">
        <v>661</v>
      </c>
      <c r="AP590" s="15">
        <v>8</v>
      </c>
      <c r="AQ590" s="2" t="s">
        <v>661</v>
      </c>
      <c r="AR590" s="16">
        <v>51.44</v>
      </c>
      <c r="AS590" s="16">
        <v>10.17</v>
      </c>
      <c r="AT590" s="16">
        <v>38.380000000000003</v>
      </c>
      <c r="AU590" s="2" t="s">
        <v>661</v>
      </c>
      <c r="AV590" s="16">
        <f t="shared" si="299"/>
        <v>99.990000000000009</v>
      </c>
      <c r="AW590" s="18">
        <v>0.08</v>
      </c>
      <c r="AX590" s="13">
        <v>8.0000000000000004E-4</v>
      </c>
      <c r="AY590" s="8" t="s">
        <v>184</v>
      </c>
      <c r="AZ590" s="16">
        <v>100</v>
      </c>
      <c r="BA590" s="16" t="s">
        <v>55</v>
      </c>
      <c r="BB590" s="16">
        <v>5</v>
      </c>
      <c r="BC590" s="16" t="s">
        <v>55</v>
      </c>
      <c r="BD590" s="28">
        <v>929.03</v>
      </c>
      <c r="BE590" s="16">
        <f t="shared" si="292"/>
        <v>1161287.5</v>
      </c>
      <c r="BF590" s="8">
        <f t="shared" si="277"/>
        <v>6.0649397513548662</v>
      </c>
      <c r="BG590" s="8">
        <f t="shared" si="296"/>
        <v>2.9680297383468095</v>
      </c>
      <c r="BH590" s="5" t="s">
        <v>841</v>
      </c>
      <c r="BI590" s="5"/>
      <c r="BJ590" s="13"/>
      <c r="BK590" s="5"/>
      <c r="BL590" s="5"/>
      <c r="BM590" s="21"/>
      <c r="BN590" s="21"/>
      <c r="BO590" s="1"/>
      <c r="BP590" s="11"/>
      <c r="BQ590" s="11"/>
    </row>
    <row r="591" spans="1:69" x14ac:dyDescent="0.3">
      <c r="A591" s="20">
        <v>589</v>
      </c>
      <c r="B591" s="2" t="s">
        <v>181</v>
      </c>
      <c r="C591" s="2">
        <v>2020</v>
      </c>
      <c r="D591" s="2" t="s">
        <v>203</v>
      </c>
      <c r="E591" s="10" t="s">
        <v>787</v>
      </c>
      <c r="F591" s="20" t="s">
        <v>29</v>
      </c>
      <c r="G591" s="2" t="s">
        <v>59</v>
      </c>
      <c r="H591" s="2" t="str">
        <f>'PFAS Properties'!$B$37</f>
        <v>PFDoA</v>
      </c>
      <c r="I591" s="2" t="str">
        <f>'PFAS Properties'!$C$37</f>
        <v>PFCA</v>
      </c>
      <c r="J591" s="2" t="str">
        <f>'PFAS Properties'!$D$37</f>
        <v>C12HF23O2</v>
      </c>
      <c r="K591" s="25">
        <f>'PFAS Properties'!$P$37</f>
        <v>613.96079999999995</v>
      </c>
      <c r="L591" s="2">
        <f>'PFAS Properties'!$X$37</f>
        <v>-0.2</v>
      </c>
      <c r="M591" s="2" t="str">
        <f>'PFAS Properties'!$Y$37</f>
        <v>-</v>
      </c>
      <c r="N591" s="33">
        <v>0</v>
      </c>
      <c r="O591" s="33">
        <v>0</v>
      </c>
      <c r="P591" s="33">
        <v>0</v>
      </c>
      <c r="Q591" s="33">
        <f t="shared" si="266"/>
        <v>0.99999998741074603</v>
      </c>
      <c r="R591" s="33">
        <v>0</v>
      </c>
      <c r="S591" s="33">
        <f t="shared" si="267"/>
        <v>1.258925395945232E-8</v>
      </c>
      <c r="T591" s="8">
        <f t="shared" si="268"/>
        <v>1</v>
      </c>
      <c r="U591" s="33">
        <f t="shared" si="269"/>
        <v>0</v>
      </c>
      <c r="V591" s="33">
        <f t="shared" si="270"/>
        <v>-0.99999998741074603</v>
      </c>
      <c r="W591" s="33">
        <f t="shared" si="271"/>
        <v>612.96080001258917</v>
      </c>
      <c r="X591" s="33">
        <v>96485</v>
      </c>
      <c r="Y591" s="16">
        <f t="shared" si="272"/>
        <v>-157.40810633134157</v>
      </c>
      <c r="Z591" s="16">
        <v>12</v>
      </c>
      <c r="AA591" s="16">
        <v>23</v>
      </c>
      <c r="AB591" s="8">
        <f t="shared" si="273"/>
        <v>0.32951945080091533</v>
      </c>
      <c r="AC591" s="16">
        <f t="shared" si="293"/>
        <v>71.177182647491506</v>
      </c>
      <c r="AD591" s="20">
        <f>'PFAS Properties'!$W$37</f>
        <v>11</v>
      </c>
      <c r="AE591" s="8">
        <f>'PFAS Properties'!$S$37</f>
        <v>-0.88605664769316317</v>
      </c>
      <c r="AF591" s="15">
        <f>'PFAS Properties'!$V$37</f>
        <v>7.6</v>
      </c>
      <c r="AG591" s="24">
        <v>7.7</v>
      </c>
      <c r="AH591" s="2" t="s">
        <v>183</v>
      </c>
      <c r="AI591" s="2" t="s">
        <v>661</v>
      </c>
      <c r="AJ591" s="2" t="s">
        <v>661</v>
      </c>
      <c r="AK591" s="2" t="s">
        <v>661</v>
      </c>
      <c r="AL591" s="2" t="s">
        <v>661</v>
      </c>
      <c r="AM591" s="2" t="s">
        <v>661</v>
      </c>
      <c r="AN591" s="2" t="s">
        <v>661</v>
      </c>
      <c r="AO591" s="2" t="s">
        <v>661</v>
      </c>
      <c r="AP591" s="15">
        <v>4.8</v>
      </c>
      <c r="AQ591" s="2" t="s">
        <v>661</v>
      </c>
      <c r="AR591" s="16">
        <v>46</v>
      </c>
      <c r="AS591" s="16">
        <v>37</v>
      </c>
      <c r="AT591" s="16">
        <v>17</v>
      </c>
      <c r="AU591" s="2" t="s">
        <v>661</v>
      </c>
      <c r="AV591" s="16">
        <f t="shared" si="299"/>
        <v>100</v>
      </c>
      <c r="AW591" s="18">
        <v>0.25</v>
      </c>
      <c r="AX591" s="13">
        <v>2.5000000000000001E-3</v>
      </c>
      <c r="AY591" s="13" t="s">
        <v>184</v>
      </c>
      <c r="AZ591" s="16">
        <v>100</v>
      </c>
      <c r="BA591" s="16" t="s">
        <v>55</v>
      </c>
      <c r="BB591" s="16">
        <v>5</v>
      </c>
      <c r="BC591" s="16" t="s">
        <v>55</v>
      </c>
      <c r="BD591" s="28">
        <v>1167.4100000000001</v>
      </c>
      <c r="BE591" s="16">
        <f t="shared" si="292"/>
        <v>466964</v>
      </c>
      <c r="BF591" s="8">
        <f t="shared" si="277"/>
        <v>5.6692834004718984</v>
      </c>
      <c r="BG591" s="8">
        <f t="shared" si="296"/>
        <v>3.0672234091439359</v>
      </c>
      <c r="BH591" s="5" t="s">
        <v>841</v>
      </c>
      <c r="BI591" s="5"/>
      <c r="BJ591" s="13"/>
      <c r="BK591" s="5"/>
      <c r="BL591" s="5"/>
      <c r="BM591" s="21"/>
      <c r="BN591" s="21"/>
      <c r="BO591" s="1"/>
      <c r="BP591" s="11"/>
      <c r="BQ591" s="11"/>
    </row>
    <row r="592" spans="1:69" x14ac:dyDescent="0.3">
      <c r="A592" s="20">
        <v>590</v>
      </c>
      <c r="B592" s="2" t="s">
        <v>181</v>
      </c>
      <c r="C592" s="2">
        <v>2020</v>
      </c>
      <c r="D592" s="2" t="s">
        <v>203</v>
      </c>
      <c r="E592" s="10" t="s">
        <v>787</v>
      </c>
      <c r="F592" s="20" t="s">
        <v>29</v>
      </c>
      <c r="G592" s="2" t="s">
        <v>61</v>
      </c>
      <c r="H592" s="2" t="str">
        <f>'PFAS Properties'!$B$37</f>
        <v>PFDoA</v>
      </c>
      <c r="I592" s="2" t="str">
        <f>'PFAS Properties'!$C$37</f>
        <v>PFCA</v>
      </c>
      <c r="J592" s="2" t="str">
        <f>'PFAS Properties'!$D$37</f>
        <v>C12HF23O2</v>
      </c>
      <c r="K592" s="25">
        <f>'PFAS Properties'!$P$37</f>
        <v>613.96079999999995</v>
      </c>
      <c r="L592" s="2">
        <f>'PFAS Properties'!$X$37</f>
        <v>-0.2</v>
      </c>
      <c r="M592" s="2" t="str">
        <f>'PFAS Properties'!$Y$37</f>
        <v>-</v>
      </c>
      <c r="N592" s="33">
        <v>0</v>
      </c>
      <c r="O592" s="33">
        <v>0</v>
      </c>
      <c r="P592" s="33">
        <v>0</v>
      </c>
      <c r="Q592" s="33">
        <f t="shared" ref="Q592:Q655" si="300">(10^(AG592-L592))/(1+(10^(AG592-L592)))</f>
        <v>0.99999997488113634</v>
      </c>
      <c r="R592" s="33">
        <v>0</v>
      </c>
      <c r="S592" s="33">
        <f t="shared" ref="S592:S655" si="301">(1/(1+(10^(AG592-L592))))</f>
        <v>2.5118863684138424E-8</v>
      </c>
      <c r="T592" s="8">
        <f t="shared" si="268"/>
        <v>1</v>
      </c>
      <c r="U592" s="33">
        <f t="shared" si="269"/>
        <v>0</v>
      </c>
      <c r="V592" s="33">
        <f t="shared" si="270"/>
        <v>-0.99999997488113634</v>
      </c>
      <c r="W592" s="33">
        <f t="shared" si="271"/>
        <v>612.96080002511883</v>
      </c>
      <c r="X592" s="33">
        <v>96485</v>
      </c>
      <c r="Y592" s="16">
        <f t="shared" si="272"/>
        <v>-157.40810435586178</v>
      </c>
      <c r="Z592" s="16">
        <v>12</v>
      </c>
      <c r="AA592" s="16">
        <v>23</v>
      </c>
      <c r="AB592" s="8">
        <f t="shared" si="273"/>
        <v>0.32951945080091533</v>
      </c>
      <c r="AC592" s="16">
        <f t="shared" si="293"/>
        <v>71.177182647491506</v>
      </c>
      <c r="AD592" s="20">
        <f>'PFAS Properties'!$W$37</f>
        <v>11</v>
      </c>
      <c r="AE592" s="8">
        <f>'PFAS Properties'!$S$37</f>
        <v>-0.88605664769316317</v>
      </c>
      <c r="AF592" s="15">
        <f>'PFAS Properties'!$V$37</f>
        <v>7.6</v>
      </c>
      <c r="AG592" s="24">
        <v>7.4</v>
      </c>
      <c r="AH592" s="2" t="s">
        <v>183</v>
      </c>
      <c r="AI592" s="2" t="s">
        <v>661</v>
      </c>
      <c r="AJ592" s="2" t="s">
        <v>661</v>
      </c>
      <c r="AK592" s="2" t="s">
        <v>661</v>
      </c>
      <c r="AL592" s="2" t="s">
        <v>661</v>
      </c>
      <c r="AM592" s="2" t="s">
        <v>661</v>
      </c>
      <c r="AN592" s="2" t="s">
        <v>661</v>
      </c>
      <c r="AO592" s="2" t="s">
        <v>661</v>
      </c>
      <c r="AP592" s="15">
        <v>29.6</v>
      </c>
      <c r="AQ592" s="2" t="s">
        <v>661</v>
      </c>
      <c r="AR592" s="16">
        <v>39.799999999999997</v>
      </c>
      <c r="AS592" s="16">
        <v>7.7</v>
      </c>
      <c r="AT592" s="16">
        <v>52.5</v>
      </c>
      <c r="AU592" s="2" t="s">
        <v>661</v>
      </c>
      <c r="AV592" s="16">
        <f t="shared" si="299"/>
        <v>100</v>
      </c>
      <c r="AW592" s="18">
        <v>2.23</v>
      </c>
      <c r="AX592" s="13">
        <v>2.23E-2</v>
      </c>
      <c r="AY592" s="8" t="s">
        <v>184</v>
      </c>
      <c r="AZ592" s="16">
        <v>100</v>
      </c>
      <c r="BA592" s="16" t="s">
        <v>55</v>
      </c>
      <c r="BB592" s="16">
        <v>5</v>
      </c>
      <c r="BC592" s="16" t="s">
        <v>55</v>
      </c>
      <c r="BD592" s="28">
        <v>904.98</v>
      </c>
      <c r="BE592" s="16">
        <f t="shared" si="292"/>
        <v>40582.062780269058</v>
      </c>
      <c r="BF592" s="8">
        <f t="shared" si="277"/>
        <v>4.6083341183828814</v>
      </c>
      <c r="BG592" s="8">
        <f t="shared" si="296"/>
        <v>2.9566389814310416</v>
      </c>
      <c r="BH592" s="5" t="s">
        <v>841</v>
      </c>
      <c r="BI592" s="5"/>
      <c r="BJ592" s="13"/>
      <c r="BK592" s="5"/>
      <c r="BL592" s="5"/>
      <c r="BM592" s="21"/>
      <c r="BN592" s="21"/>
      <c r="BO592" s="1"/>
      <c r="BP592" s="11"/>
      <c r="BQ592" s="11"/>
    </row>
    <row r="593" spans="1:69" x14ac:dyDescent="0.3">
      <c r="A593" s="20">
        <v>591</v>
      </c>
      <c r="B593" s="2" t="s">
        <v>181</v>
      </c>
      <c r="C593" s="2">
        <v>2020</v>
      </c>
      <c r="D593" s="2" t="s">
        <v>203</v>
      </c>
      <c r="E593" s="10" t="s">
        <v>787</v>
      </c>
      <c r="F593" s="20" t="s">
        <v>29</v>
      </c>
      <c r="G593" s="2" t="s">
        <v>60</v>
      </c>
      <c r="H593" s="2" t="str">
        <f>'PFAS Properties'!$B$37</f>
        <v>PFDoA</v>
      </c>
      <c r="I593" s="2" t="str">
        <f>'PFAS Properties'!$C$37</f>
        <v>PFCA</v>
      </c>
      <c r="J593" s="2" t="str">
        <f>'PFAS Properties'!$D$37</f>
        <v>C12HF23O2</v>
      </c>
      <c r="K593" s="25">
        <f>'PFAS Properties'!$P$37</f>
        <v>613.96079999999995</v>
      </c>
      <c r="L593" s="2">
        <f>'PFAS Properties'!$X$37</f>
        <v>-0.2</v>
      </c>
      <c r="M593" s="2" t="str">
        <f>'PFAS Properties'!$Y$37</f>
        <v>-</v>
      </c>
      <c r="N593" s="33">
        <v>0</v>
      </c>
      <c r="O593" s="33">
        <v>0</v>
      </c>
      <c r="P593" s="33">
        <v>0</v>
      </c>
      <c r="Q593" s="33">
        <f t="shared" si="300"/>
        <v>0.99999998741074603</v>
      </c>
      <c r="R593" s="33">
        <v>0</v>
      </c>
      <c r="S593" s="33">
        <f t="shared" si="301"/>
        <v>1.258925395945232E-8</v>
      </c>
      <c r="T593" s="8">
        <f t="shared" si="268"/>
        <v>1</v>
      </c>
      <c r="U593" s="33">
        <f t="shared" si="269"/>
        <v>0</v>
      </c>
      <c r="V593" s="33">
        <f t="shared" si="270"/>
        <v>-0.99999998741074603</v>
      </c>
      <c r="W593" s="33">
        <f t="shared" si="271"/>
        <v>612.96080001258917</v>
      </c>
      <c r="X593" s="33">
        <v>96485</v>
      </c>
      <c r="Y593" s="16">
        <f t="shared" si="272"/>
        <v>-157.40810633134157</v>
      </c>
      <c r="Z593" s="16">
        <v>12</v>
      </c>
      <c r="AA593" s="16">
        <v>23</v>
      </c>
      <c r="AB593" s="8">
        <f t="shared" si="273"/>
        <v>0.32951945080091533</v>
      </c>
      <c r="AC593" s="16">
        <f t="shared" si="293"/>
        <v>71.177182647491506</v>
      </c>
      <c r="AD593" s="20">
        <f>'PFAS Properties'!$W$37</f>
        <v>11</v>
      </c>
      <c r="AE593" s="8">
        <f>'PFAS Properties'!$S$37</f>
        <v>-0.88605664769316317</v>
      </c>
      <c r="AF593" s="15">
        <f>'PFAS Properties'!$V$37</f>
        <v>7.6</v>
      </c>
      <c r="AG593" s="24">
        <v>7.7</v>
      </c>
      <c r="AH593" s="2" t="s">
        <v>183</v>
      </c>
      <c r="AI593" s="2" t="s">
        <v>661</v>
      </c>
      <c r="AJ593" s="2" t="s">
        <v>661</v>
      </c>
      <c r="AK593" s="2" t="s">
        <v>661</v>
      </c>
      <c r="AL593" s="2" t="s">
        <v>661</v>
      </c>
      <c r="AM593" s="2" t="s">
        <v>661</v>
      </c>
      <c r="AN593" s="2" t="s">
        <v>661</v>
      </c>
      <c r="AO593" s="2" t="s">
        <v>661</v>
      </c>
      <c r="AP593" s="15">
        <v>21.63</v>
      </c>
      <c r="AQ593" s="2" t="s">
        <v>661</v>
      </c>
      <c r="AR593" s="16">
        <v>70</v>
      </c>
      <c r="AS593" s="16">
        <v>11</v>
      </c>
      <c r="AT593" s="16">
        <v>19</v>
      </c>
      <c r="AU593" s="2" t="s">
        <v>661</v>
      </c>
      <c r="AV593" s="16">
        <f t="shared" si="299"/>
        <v>100</v>
      </c>
      <c r="AW593" s="18">
        <v>4.9000000000000004</v>
      </c>
      <c r="AX593" s="13">
        <v>4.9000000000000002E-2</v>
      </c>
      <c r="AY593" s="8" t="s">
        <v>184</v>
      </c>
      <c r="AZ593" s="16">
        <v>100</v>
      </c>
      <c r="BA593" s="16" t="s">
        <v>55</v>
      </c>
      <c r="BB593" s="16">
        <v>5</v>
      </c>
      <c r="BC593" s="16" t="s">
        <v>55</v>
      </c>
      <c r="BD593" s="28">
        <v>1391.13</v>
      </c>
      <c r="BE593" s="16">
        <f t="shared" si="292"/>
        <v>28390.408163265307</v>
      </c>
      <c r="BF593" s="8">
        <f t="shared" si="277"/>
        <v>4.4531716363363394</v>
      </c>
      <c r="BG593" s="8">
        <f t="shared" si="296"/>
        <v>3.1433677163648532</v>
      </c>
      <c r="BH593" s="5" t="s">
        <v>841</v>
      </c>
      <c r="BI593" s="5"/>
      <c r="BJ593" s="13"/>
      <c r="BK593" s="5"/>
      <c r="BL593" s="5"/>
      <c r="BM593" s="21"/>
      <c r="BN593" s="21"/>
      <c r="BO593" s="1"/>
      <c r="BP593" s="11"/>
      <c r="BQ593" s="11"/>
    </row>
    <row r="594" spans="1:69" x14ac:dyDescent="0.3">
      <c r="A594" s="20">
        <v>592</v>
      </c>
      <c r="B594" s="2" t="s">
        <v>181</v>
      </c>
      <c r="C594" s="2">
        <v>2020</v>
      </c>
      <c r="D594" s="2" t="s">
        <v>203</v>
      </c>
      <c r="E594" s="10" t="s">
        <v>787</v>
      </c>
      <c r="F594" s="20" t="s">
        <v>29</v>
      </c>
      <c r="G594" s="2" t="s">
        <v>77</v>
      </c>
      <c r="H594" s="2" t="str">
        <f>'PFAS Properties'!$B$37</f>
        <v>PFDoA</v>
      </c>
      <c r="I594" s="2" t="str">
        <f>'PFAS Properties'!$C$37</f>
        <v>PFCA</v>
      </c>
      <c r="J594" s="2" t="str">
        <f>'PFAS Properties'!$D$37</f>
        <v>C12HF23O2</v>
      </c>
      <c r="K594" s="25">
        <f>'PFAS Properties'!$P$37</f>
        <v>613.96079999999995</v>
      </c>
      <c r="L594" s="2">
        <f>'PFAS Properties'!$X$37</f>
        <v>-0.2</v>
      </c>
      <c r="M594" s="2" t="str">
        <f>'PFAS Properties'!$Y$37</f>
        <v>-</v>
      </c>
      <c r="N594" s="33">
        <v>0</v>
      </c>
      <c r="O594" s="33">
        <v>0</v>
      </c>
      <c r="P594" s="33">
        <v>0</v>
      </c>
      <c r="Q594" s="33">
        <f t="shared" si="300"/>
        <v>0.99999998741074603</v>
      </c>
      <c r="R594" s="33">
        <v>0</v>
      </c>
      <c r="S594" s="33">
        <f t="shared" si="301"/>
        <v>1.258925395945232E-8</v>
      </c>
      <c r="T594" s="8">
        <f t="shared" si="268"/>
        <v>1</v>
      </c>
      <c r="U594" s="33">
        <f t="shared" si="269"/>
        <v>0</v>
      </c>
      <c r="V594" s="33">
        <f t="shared" si="270"/>
        <v>-0.99999998741074603</v>
      </c>
      <c r="W594" s="33">
        <f t="shared" si="271"/>
        <v>612.96080001258917</v>
      </c>
      <c r="X594" s="33">
        <v>96485</v>
      </c>
      <c r="Y594" s="16">
        <f t="shared" si="272"/>
        <v>-157.40810633134157</v>
      </c>
      <c r="Z594" s="16">
        <v>12</v>
      </c>
      <c r="AA594" s="16">
        <v>23</v>
      </c>
      <c r="AB594" s="8">
        <f t="shared" si="273"/>
        <v>0.32951945080091533</v>
      </c>
      <c r="AC594" s="16">
        <f t="shared" si="293"/>
        <v>71.177182647491506</v>
      </c>
      <c r="AD594" s="20">
        <f>'PFAS Properties'!$W$37</f>
        <v>11</v>
      </c>
      <c r="AE594" s="8">
        <f>'PFAS Properties'!$S$37</f>
        <v>-0.88605664769316317</v>
      </c>
      <c r="AF594" s="15">
        <f>'PFAS Properties'!$V$37</f>
        <v>7.6</v>
      </c>
      <c r="AG594" s="24">
        <v>7.7</v>
      </c>
      <c r="AH594" s="2" t="s">
        <v>183</v>
      </c>
      <c r="AI594" s="2" t="s">
        <v>661</v>
      </c>
      <c r="AJ594" s="2" t="s">
        <v>661</v>
      </c>
      <c r="AK594" s="2" t="s">
        <v>661</v>
      </c>
      <c r="AL594" s="2" t="s">
        <v>661</v>
      </c>
      <c r="AM594" s="2" t="s">
        <v>661</v>
      </c>
      <c r="AN594" s="2" t="s">
        <v>661</v>
      </c>
      <c r="AO594" s="2" t="s">
        <v>661</v>
      </c>
      <c r="AP594" s="15">
        <v>7.8</v>
      </c>
      <c r="AQ594" s="2" t="s">
        <v>661</v>
      </c>
      <c r="AR594" s="16">
        <v>48.9</v>
      </c>
      <c r="AS594" s="16">
        <v>32.6</v>
      </c>
      <c r="AT594" s="16">
        <v>18.5</v>
      </c>
      <c r="AU594" s="2" t="s">
        <v>661</v>
      </c>
      <c r="AV594" s="16">
        <f t="shared" si="299"/>
        <v>100</v>
      </c>
      <c r="AW594" s="18">
        <v>0.13</v>
      </c>
      <c r="AX594" s="13">
        <v>1.2999999999999999E-3</v>
      </c>
      <c r="AY594" s="8" t="s">
        <v>184</v>
      </c>
      <c r="AZ594" s="16">
        <v>100</v>
      </c>
      <c r="BA594" s="16" t="s">
        <v>55</v>
      </c>
      <c r="BB594" s="16">
        <v>5</v>
      </c>
      <c r="BC594" s="16" t="s">
        <v>55</v>
      </c>
      <c r="BD594" s="28">
        <v>162.38999999999999</v>
      </c>
      <c r="BE594" s="16">
        <f t="shared" si="292"/>
        <v>124915.38461538461</v>
      </c>
      <c r="BF594" s="8">
        <f t="shared" si="277"/>
        <v>5.0966159295038871</v>
      </c>
      <c r="BG594" s="8">
        <f t="shared" si="296"/>
        <v>2.2105592818107236</v>
      </c>
      <c r="BH594" s="5" t="s">
        <v>841</v>
      </c>
      <c r="BI594" s="5"/>
      <c r="BJ594" s="13"/>
      <c r="BK594" s="5"/>
      <c r="BL594" s="5"/>
      <c r="BM594" s="21"/>
      <c r="BN594" s="21"/>
      <c r="BO594" s="1"/>
      <c r="BP594" s="11"/>
      <c r="BQ594" s="11"/>
    </row>
    <row r="595" spans="1:69" x14ac:dyDescent="0.3">
      <c r="A595" s="20">
        <v>593</v>
      </c>
      <c r="B595" s="2" t="s">
        <v>181</v>
      </c>
      <c r="C595" s="2">
        <v>2020</v>
      </c>
      <c r="D595" s="2" t="s">
        <v>203</v>
      </c>
      <c r="E595" s="10" t="s">
        <v>787</v>
      </c>
      <c r="F595" s="20" t="s">
        <v>29</v>
      </c>
      <c r="G595" s="2" t="s">
        <v>182</v>
      </c>
      <c r="H595" s="2" t="str">
        <f>'PFAS Properties'!$B$37</f>
        <v>PFDoA</v>
      </c>
      <c r="I595" s="2" t="str">
        <f>'PFAS Properties'!$C$37</f>
        <v>PFCA</v>
      </c>
      <c r="J595" s="2" t="str">
        <f>'PFAS Properties'!$D$37</f>
        <v>C12HF23O2</v>
      </c>
      <c r="K595" s="25">
        <f>'PFAS Properties'!$P$37</f>
        <v>613.96079999999995</v>
      </c>
      <c r="L595" s="2">
        <f>'PFAS Properties'!$X$37</f>
        <v>-0.2</v>
      </c>
      <c r="M595" s="2" t="str">
        <f>'PFAS Properties'!$Y$37</f>
        <v>-</v>
      </c>
      <c r="N595" s="33">
        <v>0</v>
      </c>
      <c r="O595" s="33">
        <v>0</v>
      </c>
      <c r="P595" s="33">
        <v>0</v>
      </c>
      <c r="Q595" s="33">
        <f t="shared" si="300"/>
        <v>0.99999998004737722</v>
      </c>
      <c r="R595" s="33">
        <v>0</v>
      </c>
      <c r="S595" s="33">
        <f t="shared" si="301"/>
        <v>1.995262275158161E-8</v>
      </c>
      <c r="T595" s="8">
        <f t="shared" si="268"/>
        <v>1</v>
      </c>
      <c r="U595" s="33">
        <f t="shared" si="269"/>
        <v>0</v>
      </c>
      <c r="V595" s="33">
        <f t="shared" si="270"/>
        <v>-0.99999998004737722</v>
      </c>
      <c r="W595" s="33">
        <f t="shared" si="271"/>
        <v>612.96080001995256</v>
      </c>
      <c r="X595" s="33">
        <v>96485</v>
      </c>
      <c r="Y595" s="16">
        <f t="shared" si="272"/>
        <v>-157.40810517039668</v>
      </c>
      <c r="Z595" s="16">
        <v>12</v>
      </c>
      <c r="AA595" s="16">
        <v>23</v>
      </c>
      <c r="AB595" s="8">
        <f t="shared" si="273"/>
        <v>0.32951945080091533</v>
      </c>
      <c r="AC595" s="16">
        <f t="shared" si="293"/>
        <v>71.177182647491506</v>
      </c>
      <c r="AD595" s="20">
        <f>'PFAS Properties'!$W$37</f>
        <v>11</v>
      </c>
      <c r="AE595" s="8">
        <f>'PFAS Properties'!$S$37</f>
        <v>-0.88605664769316317</v>
      </c>
      <c r="AF595" s="15">
        <f>'PFAS Properties'!$V$37</f>
        <v>7.6</v>
      </c>
      <c r="AG595" s="24">
        <v>7.5</v>
      </c>
      <c r="AH595" s="2" t="s">
        <v>183</v>
      </c>
      <c r="AI595" s="2" t="s">
        <v>661</v>
      </c>
      <c r="AJ595" s="2" t="s">
        <v>661</v>
      </c>
      <c r="AK595" s="2" t="s">
        <v>661</v>
      </c>
      <c r="AL595" s="2" t="s">
        <v>661</v>
      </c>
      <c r="AM595" s="2" t="s">
        <v>661</v>
      </c>
      <c r="AN595" s="2" t="s">
        <v>661</v>
      </c>
      <c r="AO595" s="2" t="s">
        <v>661</v>
      </c>
      <c r="AP595" s="15">
        <v>2.2799999999999998</v>
      </c>
      <c r="AQ595" s="2" t="s">
        <v>661</v>
      </c>
      <c r="AR595" s="16">
        <v>93</v>
      </c>
      <c r="AS595" s="16">
        <v>1</v>
      </c>
      <c r="AT595" s="16">
        <v>5</v>
      </c>
      <c r="AU595" s="2" t="s">
        <v>661</v>
      </c>
      <c r="AV595" s="16">
        <f t="shared" si="299"/>
        <v>99</v>
      </c>
      <c r="AW595" s="18">
        <v>0.4</v>
      </c>
      <c r="AX595" s="13">
        <v>4.0000000000000001E-3</v>
      </c>
      <c r="AY595" s="8" t="s">
        <v>184</v>
      </c>
      <c r="AZ595" s="16">
        <v>100</v>
      </c>
      <c r="BA595" s="16" t="s">
        <v>55</v>
      </c>
      <c r="BB595" s="16">
        <v>5</v>
      </c>
      <c r="BC595" s="16" t="s">
        <v>55</v>
      </c>
      <c r="BD595" s="28">
        <v>93.05</v>
      </c>
      <c r="BE595" s="16">
        <f t="shared" si="292"/>
        <v>23262.5</v>
      </c>
      <c r="BF595" s="8">
        <f t="shared" si="277"/>
        <v>4.366656386138823</v>
      </c>
      <c r="BG595" s="8">
        <f t="shared" si="296"/>
        <v>1.9687163774667857</v>
      </c>
      <c r="BH595" s="5" t="s">
        <v>841</v>
      </c>
      <c r="BI595" s="5"/>
      <c r="BJ595" s="13"/>
      <c r="BK595" s="5"/>
      <c r="BL595" s="5"/>
      <c r="BM595" s="21"/>
      <c r="BN595" s="21"/>
      <c r="BO595" s="1"/>
      <c r="BP595" s="11"/>
      <c r="BQ595" s="11"/>
    </row>
    <row r="596" spans="1:69" s="14" customFormat="1" x14ac:dyDescent="0.3">
      <c r="A596" s="20">
        <v>594</v>
      </c>
      <c r="B596" s="2" t="s">
        <v>181</v>
      </c>
      <c r="C596" s="2">
        <v>2020</v>
      </c>
      <c r="D596" s="2" t="s">
        <v>203</v>
      </c>
      <c r="E596" s="10" t="s">
        <v>787</v>
      </c>
      <c r="F596" s="20" t="s">
        <v>29</v>
      </c>
      <c r="G596" s="2" t="s">
        <v>78</v>
      </c>
      <c r="H596" s="2" t="str">
        <f>'PFAS Properties'!$B$37</f>
        <v>PFDoA</v>
      </c>
      <c r="I596" s="2" t="str">
        <f>'PFAS Properties'!$C$37</f>
        <v>PFCA</v>
      </c>
      <c r="J596" s="2" t="str">
        <f>'PFAS Properties'!$D$37</f>
        <v>C12HF23O2</v>
      </c>
      <c r="K596" s="25">
        <f>'PFAS Properties'!$P$37</f>
        <v>613.96079999999995</v>
      </c>
      <c r="L596" s="2">
        <f>'PFAS Properties'!$X$37</f>
        <v>-0.2</v>
      </c>
      <c r="M596" s="2" t="str">
        <f>'PFAS Properties'!$Y$37</f>
        <v>-</v>
      </c>
      <c r="N596" s="33">
        <v>0</v>
      </c>
      <c r="O596" s="33">
        <v>0</v>
      </c>
      <c r="P596" s="33">
        <v>0</v>
      </c>
      <c r="Q596" s="33">
        <f t="shared" si="300"/>
        <v>0.99999994988127916</v>
      </c>
      <c r="R596" s="33">
        <v>0</v>
      </c>
      <c r="S596" s="33">
        <f t="shared" si="301"/>
        <v>5.011872085084086E-8</v>
      </c>
      <c r="T596" s="8">
        <f t="shared" si="268"/>
        <v>1</v>
      </c>
      <c r="U596" s="33">
        <f t="shared" si="269"/>
        <v>0</v>
      </c>
      <c r="V596" s="33">
        <f t="shared" si="270"/>
        <v>-0.99999994988127916</v>
      </c>
      <c r="W596" s="33">
        <f t="shared" si="271"/>
        <v>612.96080005011868</v>
      </c>
      <c r="X596" s="33">
        <v>96485</v>
      </c>
      <c r="Y596" s="16">
        <f t="shared" si="272"/>
        <v>-157.40810041426161</v>
      </c>
      <c r="Z596" s="16">
        <v>12</v>
      </c>
      <c r="AA596" s="16">
        <v>23</v>
      </c>
      <c r="AB596" s="8">
        <f t="shared" si="273"/>
        <v>0.32951945080091533</v>
      </c>
      <c r="AC596" s="16">
        <f t="shared" si="293"/>
        <v>71.177182647491506</v>
      </c>
      <c r="AD596" s="20">
        <f>'PFAS Properties'!$W$37</f>
        <v>11</v>
      </c>
      <c r="AE596" s="8">
        <f>'PFAS Properties'!$S$37</f>
        <v>-0.88605664769316317</v>
      </c>
      <c r="AF596" s="15">
        <f>'PFAS Properties'!$V$37</f>
        <v>7.6</v>
      </c>
      <c r="AG596" s="24">
        <v>7.1</v>
      </c>
      <c r="AH596" s="2" t="s">
        <v>183</v>
      </c>
      <c r="AI596" s="2" t="s">
        <v>661</v>
      </c>
      <c r="AJ596" s="2" t="s">
        <v>661</v>
      </c>
      <c r="AK596" s="2" t="s">
        <v>661</v>
      </c>
      <c r="AL596" s="2" t="s">
        <v>661</v>
      </c>
      <c r="AM596" s="2" t="s">
        <v>661</v>
      </c>
      <c r="AN596" s="2" t="s">
        <v>661</v>
      </c>
      <c r="AO596" s="2" t="s">
        <v>661</v>
      </c>
      <c r="AP596" s="15">
        <v>17.420000000000002</v>
      </c>
      <c r="AQ596" s="2" t="s">
        <v>661</v>
      </c>
      <c r="AR596" s="16">
        <v>48.86</v>
      </c>
      <c r="AS596" s="16">
        <v>16.05</v>
      </c>
      <c r="AT596" s="16">
        <v>35.090000000000003</v>
      </c>
      <c r="AU596" s="2" t="s">
        <v>661</v>
      </c>
      <c r="AV596" s="16">
        <f t="shared" si="299"/>
        <v>100</v>
      </c>
      <c r="AW596" s="18">
        <v>1.19</v>
      </c>
      <c r="AX596" s="13">
        <v>1.1899999999999999E-2</v>
      </c>
      <c r="AY596" s="8" t="s">
        <v>184</v>
      </c>
      <c r="AZ596" s="16">
        <v>100</v>
      </c>
      <c r="BA596" s="16" t="s">
        <v>55</v>
      </c>
      <c r="BB596" s="16">
        <v>5</v>
      </c>
      <c r="BC596" s="16" t="s">
        <v>55</v>
      </c>
      <c r="BD596" s="25">
        <v>1269.5899999999999</v>
      </c>
      <c r="BE596" s="16">
        <f t="shared" si="292"/>
        <v>106688.23529411765</v>
      </c>
      <c r="BF596" s="8">
        <f t="shared" si="277"/>
        <v>5.0281165316218077</v>
      </c>
      <c r="BG596" s="8">
        <f t="shared" si="296"/>
        <v>3.1036634930143383</v>
      </c>
      <c r="BH596" s="13" t="s">
        <v>841</v>
      </c>
      <c r="BI596" s="13"/>
      <c r="BJ596" s="13"/>
      <c r="BK596" s="13"/>
      <c r="BL596" s="13"/>
      <c r="BM596" s="17"/>
      <c r="BN596" s="17"/>
      <c r="BO596" s="2"/>
    </row>
    <row r="597" spans="1:69" s="14" customFormat="1" x14ac:dyDescent="0.3">
      <c r="A597" s="20">
        <v>595</v>
      </c>
      <c r="B597" s="2" t="s">
        <v>181</v>
      </c>
      <c r="C597" s="2">
        <v>2020</v>
      </c>
      <c r="D597" s="2" t="s">
        <v>203</v>
      </c>
      <c r="E597" s="10" t="s">
        <v>787</v>
      </c>
      <c r="F597" s="20" t="s">
        <v>29</v>
      </c>
      <c r="G597" s="2" t="s">
        <v>98</v>
      </c>
      <c r="H597" s="2" t="str">
        <f>'PFAS Properties'!$B$37</f>
        <v>PFDoA</v>
      </c>
      <c r="I597" s="2" t="str">
        <f>'PFAS Properties'!$C$37</f>
        <v>PFCA</v>
      </c>
      <c r="J597" s="2" t="str">
        <f>'PFAS Properties'!$D$37</f>
        <v>C12HF23O2</v>
      </c>
      <c r="K597" s="25">
        <f>'PFAS Properties'!$P$37</f>
        <v>613.96079999999995</v>
      </c>
      <c r="L597" s="2">
        <f>'PFAS Properties'!$X$37</f>
        <v>-0.2</v>
      </c>
      <c r="M597" s="2" t="str">
        <f>'PFAS Properties'!$Y$37</f>
        <v>-</v>
      </c>
      <c r="N597" s="33">
        <v>0</v>
      </c>
      <c r="O597" s="33">
        <v>0</v>
      </c>
      <c r="P597" s="33">
        <v>0</v>
      </c>
      <c r="Q597" s="33">
        <f t="shared" si="300"/>
        <v>0.99999974881141995</v>
      </c>
      <c r="R597" s="33">
        <v>0</v>
      </c>
      <c r="S597" s="33">
        <f t="shared" si="301"/>
        <v>2.5118858005523878E-7</v>
      </c>
      <c r="T597" s="8">
        <f t="shared" si="268"/>
        <v>1</v>
      </c>
      <c r="U597" s="33">
        <f t="shared" si="269"/>
        <v>0</v>
      </c>
      <c r="V597" s="33">
        <f t="shared" si="270"/>
        <v>-0.99999974881141995</v>
      </c>
      <c r="W597" s="33">
        <f t="shared" si="271"/>
        <v>612.96080025118852</v>
      </c>
      <c r="X597" s="33">
        <v>96485</v>
      </c>
      <c r="Y597" s="16">
        <f t="shared" si="272"/>
        <v>-157.40806871260079</v>
      </c>
      <c r="Z597" s="16">
        <v>12</v>
      </c>
      <c r="AA597" s="16">
        <v>23</v>
      </c>
      <c r="AB597" s="8">
        <f t="shared" si="273"/>
        <v>0.32951945080091533</v>
      </c>
      <c r="AC597" s="16">
        <f t="shared" si="293"/>
        <v>71.177182647491506</v>
      </c>
      <c r="AD597" s="20">
        <f>'PFAS Properties'!$W$37</f>
        <v>11</v>
      </c>
      <c r="AE597" s="8">
        <f>'PFAS Properties'!$S$37</f>
        <v>-0.88605664769316317</v>
      </c>
      <c r="AF597" s="15">
        <f>'PFAS Properties'!$V$37</f>
        <v>7.6</v>
      </c>
      <c r="AG597" s="24">
        <v>6.4</v>
      </c>
      <c r="AH597" s="2" t="s">
        <v>183</v>
      </c>
      <c r="AI597" s="2" t="s">
        <v>661</v>
      </c>
      <c r="AJ597" s="2" t="s">
        <v>661</v>
      </c>
      <c r="AK597" s="2" t="s">
        <v>661</v>
      </c>
      <c r="AL597" s="2" t="s">
        <v>661</v>
      </c>
      <c r="AM597" s="2" t="s">
        <v>661</v>
      </c>
      <c r="AN597" s="2" t="s">
        <v>661</v>
      </c>
      <c r="AO597" s="2" t="s">
        <v>661</v>
      </c>
      <c r="AP597" s="15">
        <v>16.54</v>
      </c>
      <c r="AQ597" s="2" t="s">
        <v>661</v>
      </c>
      <c r="AR597" s="16">
        <v>29.38</v>
      </c>
      <c r="AS597" s="16">
        <v>13.9</v>
      </c>
      <c r="AT597" s="16">
        <v>56.71</v>
      </c>
      <c r="AU597" s="2" t="s">
        <v>661</v>
      </c>
      <c r="AV597" s="16">
        <f t="shared" si="299"/>
        <v>99.990000000000009</v>
      </c>
      <c r="AW597" s="18">
        <v>0.17</v>
      </c>
      <c r="AX597" s="13">
        <v>1.7000000000000001E-3</v>
      </c>
      <c r="AY597" s="8" t="s">
        <v>184</v>
      </c>
      <c r="AZ597" s="16">
        <v>100</v>
      </c>
      <c r="BA597" s="16" t="s">
        <v>55</v>
      </c>
      <c r="BB597" s="16">
        <v>5</v>
      </c>
      <c r="BC597" s="16" t="s">
        <v>55</v>
      </c>
      <c r="BD597" s="25">
        <v>187.8</v>
      </c>
      <c r="BE597" s="16">
        <f t="shared" si="292"/>
        <v>110470.58823529411</v>
      </c>
      <c r="BF597" s="8">
        <f t="shared" si="277"/>
        <v>5.0432466665518181</v>
      </c>
      <c r="BG597" s="8">
        <f t="shared" si="296"/>
        <v>2.2736955879300922</v>
      </c>
      <c r="BH597" s="13" t="s">
        <v>841</v>
      </c>
      <c r="BI597" s="13"/>
      <c r="BJ597" s="13"/>
      <c r="BK597" s="13"/>
      <c r="BL597" s="13"/>
      <c r="BM597" s="17"/>
      <c r="BN597" s="17"/>
      <c r="BO597" s="2"/>
    </row>
    <row r="598" spans="1:69" s="14" customFormat="1" x14ac:dyDescent="0.3">
      <c r="A598" s="20">
        <v>596</v>
      </c>
      <c r="B598" s="2" t="s">
        <v>202</v>
      </c>
      <c r="C598" s="2">
        <v>2019</v>
      </c>
      <c r="D598" s="2" t="s">
        <v>199</v>
      </c>
      <c r="E598" s="10" t="s">
        <v>791</v>
      </c>
      <c r="F598" s="20" t="s">
        <v>29</v>
      </c>
      <c r="G598" s="2" t="s">
        <v>39</v>
      </c>
      <c r="H598" s="2" t="str">
        <f>'PFAS Properties'!$B$38</f>
        <v>PFTrA</v>
      </c>
      <c r="I598" s="2" t="str">
        <f>'PFAS Properties'!$C$38</f>
        <v>PFCA</v>
      </c>
      <c r="J598" s="2" t="str">
        <f>'PFAS Properties'!$D$38</f>
        <v>C13HF25O2</v>
      </c>
      <c r="K598" s="25">
        <f>'PFAS Properties'!$P$38</f>
        <v>663.95759999999996</v>
      </c>
      <c r="L598" s="2">
        <f>'PFAS Properties'!$X$38</f>
        <v>-0.2</v>
      </c>
      <c r="M598" s="2" t="str">
        <f>'PFAS Properties'!$Y$38</f>
        <v>-</v>
      </c>
      <c r="N598" s="33">
        <v>0</v>
      </c>
      <c r="O598" s="33">
        <v>0</v>
      </c>
      <c r="P598" s="33">
        <v>0</v>
      </c>
      <c r="Q598" s="33">
        <f t="shared" si="300"/>
        <v>0.9999964518786969</v>
      </c>
      <c r="R598" s="33">
        <v>0</v>
      </c>
      <c r="S598" s="33">
        <f t="shared" si="301"/>
        <v>3.5481213031263005E-6</v>
      </c>
      <c r="T598" s="8">
        <f t="shared" si="268"/>
        <v>1</v>
      </c>
      <c r="U598" s="33">
        <f t="shared" si="269"/>
        <v>0</v>
      </c>
      <c r="V598" s="33">
        <f t="shared" si="270"/>
        <v>-0.9999964518786969</v>
      </c>
      <c r="W598" s="33">
        <f t="shared" si="271"/>
        <v>662.95760354812126</v>
      </c>
      <c r="X598" s="33">
        <v>96485</v>
      </c>
      <c r="Y598" s="16">
        <f t="shared" si="272"/>
        <v>-145.53669366356797</v>
      </c>
      <c r="Z598" s="16">
        <v>13</v>
      </c>
      <c r="AA598" s="16">
        <v>25</v>
      </c>
      <c r="AB598" s="8">
        <f t="shared" si="273"/>
        <v>0.32842105263157895</v>
      </c>
      <c r="AC598" s="16">
        <f t="shared" si="293"/>
        <v>71.54071284069947</v>
      </c>
      <c r="AD598" s="20">
        <f>'PFAS Properties'!$W$38</f>
        <v>12</v>
      </c>
      <c r="AE598" s="8">
        <f>'PFAS Properties'!$S$38</f>
        <v>-1.7896814801737682</v>
      </c>
      <c r="AF598" s="15">
        <f>'PFAS Properties'!$V$38</f>
        <v>8.3000000000000007</v>
      </c>
      <c r="AG598" s="24">
        <v>5.25</v>
      </c>
      <c r="AH598" s="2" t="s">
        <v>661</v>
      </c>
      <c r="AI598" s="2" t="s">
        <v>661</v>
      </c>
      <c r="AJ598" s="2" t="s">
        <v>661</v>
      </c>
      <c r="AK598" s="2" t="s">
        <v>661</v>
      </c>
      <c r="AL598" s="2" t="s">
        <v>661</v>
      </c>
      <c r="AM598" s="2" t="s">
        <v>661</v>
      </c>
      <c r="AN598" s="2" t="s">
        <v>661</v>
      </c>
      <c r="AO598" s="2" t="s">
        <v>661</v>
      </c>
      <c r="AP598" s="72">
        <v>5.7023166666666656</v>
      </c>
      <c r="AQ598" s="70" t="s">
        <v>752</v>
      </c>
      <c r="AR598" s="16">
        <v>100</v>
      </c>
      <c r="AS598" s="16">
        <v>0</v>
      </c>
      <c r="AT598" s="16">
        <v>0</v>
      </c>
      <c r="AU598" s="2" t="s">
        <v>661</v>
      </c>
      <c r="AV598" s="16">
        <f t="shared" si="299"/>
        <v>100</v>
      </c>
      <c r="AW598" s="18">
        <v>0.4</v>
      </c>
      <c r="AX598" s="13">
        <f t="shared" ref="AX598:AX648" si="302">AW598/100</f>
        <v>4.0000000000000001E-3</v>
      </c>
      <c r="AY598" s="13" t="s">
        <v>658</v>
      </c>
      <c r="AZ598" s="16">
        <f>2/0.01</f>
        <v>200</v>
      </c>
      <c r="BA598" s="16" t="s">
        <v>55</v>
      </c>
      <c r="BB598" s="16">
        <v>1</v>
      </c>
      <c r="BC598" s="16">
        <v>1000</v>
      </c>
      <c r="BD598" s="25">
        <v>1535</v>
      </c>
      <c r="BE598" s="16">
        <f t="shared" si="292"/>
        <v>383750</v>
      </c>
      <c r="BF598" s="8">
        <f t="shared" si="277"/>
        <v>5.5840483884852432</v>
      </c>
      <c r="BG598" s="8">
        <f t="shared" si="296"/>
        <v>3.1861083798132053</v>
      </c>
      <c r="BH598" s="13" t="s">
        <v>272</v>
      </c>
      <c r="BI598" s="13"/>
      <c r="BJ598" s="13"/>
      <c r="BK598" s="17"/>
      <c r="BL598" s="17"/>
      <c r="BM598" s="13"/>
      <c r="BN598" s="13"/>
      <c r="BO598" s="2"/>
    </row>
    <row r="599" spans="1:69" s="14" customFormat="1" x14ac:dyDescent="0.3">
      <c r="A599" s="20">
        <v>597</v>
      </c>
      <c r="B599" s="2" t="s">
        <v>202</v>
      </c>
      <c r="C599" s="2">
        <v>2019</v>
      </c>
      <c r="D599" s="2" t="s">
        <v>199</v>
      </c>
      <c r="E599" s="10" t="s">
        <v>791</v>
      </c>
      <c r="F599" s="20" t="s">
        <v>29</v>
      </c>
      <c r="G599" s="2" t="s">
        <v>43</v>
      </c>
      <c r="H599" s="2" t="str">
        <f>'PFAS Properties'!$B$38</f>
        <v>PFTrA</v>
      </c>
      <c r="I599" s="2" t="str">
        <f>'PFAS Properties'!$C$38</f>
        <v>PFCA</v>
      </c>
      <c r="J599" s="2" t="str">
        <f>'PFAS Properties'!$D$38</f>
        <v>C13HF25O2</v>
      </c>
      <c r="K599" s="25">
        <f>'PFAS Properties'!$P$38</f>
        <v>663.95759999999996</v>
      </c>
      <c r="L599" s="2">
        <f>'PFAS Properties'!$X$38</f>
        <v>-0.2</v>
      </c>
      <c r="M599" s="2" t="str">
        <f>'PFAS Properties'!$Y$38</f>
        <v>-</v>
      </c>
      <c r="N599" s="33">
        <v>0</v>
      </c>
      <c r="O599" s="33">
        <v>0</v>
      </c>
      <c r="P599" s="33">
        <v>0</v>
      </c>
      <c r="Q599" s="33">
        <f t="shared" si="300"/>
        <v>0.99999865103893715</v>
      </c>
      <c r="R599" s="33">
        <v>0</v>
      </c>
      <c r="S599" s="33">
        <f t="shared" si="301"/>
        <v>1.3489610628932487E-6</v>
      </c>
      <c r="T599" s="8">
        <f t="shared" si="268"/>
        <v>1</v>
      </c>
      <c r="U599" s="33">
        <f t="shared" si="269"/>
        <v>0</v>
      </c>
      <c r="V599" s="33">
        <f t="shared" si="270"/>
        <v>-0.99999865103893715</v>
      </c>
      <c r="W599" s="33">
        <f t="shared" si="271"/>
        <v>662.95760134896102</v>
      </c>
      <c r="X599" s="33">
        <v>96485</v>
      </c>
      <c r="Y599" s="16">
        <f t="shared" si="272"/>
        <v>-145.53701420598858</v>
      </c>
      <c r="Z599" s="16">
        <v>13</v>
      </c>
      <c r="AA599" s="16">
        <v>25</v>
      </c>
      <c r="AB599" s="8">
        <f t="shared" si="273"/>
        <v>0.32842105263157895</v>
      </c>
      <c r="AC599" s="16">
        <f t="shared" si="293"/>
        <v>71.54071284069947</v>
      </c>
      <c r="AD599" s="20">
        <f>'PFAS Properties'!$W$38</f>
        <v>12</v>
      </c>
      <c r="AE599" s="8">
        <f>'PFAS Properties'!$S$38</f>
        <v>-1.7896814801737682</v>
      </c>
      <c r="AF599" s="15">
        <f>'PFAS Properties'!$V$38</f>
        <v>8.3000000000000007</v>
      </c>
      <c r="AG599" s="24">
        <v>5.67</v>
      </c>
      <c r="AH599" s="2" t="s">
        <v>661</v>
      </c>
      <c r="AI599" s="15" t="s">
        <v>661</v>
      </c>
      <c r="AJ599" s="16" t="s">
        <v>661</v>
      </c>
      <c r="AK599" s="2" t="s">
        <v>661</v>
      </c>
      <c r="AL599" s="15" t="s">
        <v>661</v>
      </c>
      <c r="AM599" s="16" t="s">
        <v>661</v>
      </c>
      <c r="AN599" s="2" t="s">
        <v>661</v>
      </c>
      <c r="AO599" s="2" t="s">
        <v>661</v>
      </c>
      <c r="AP599" s="72">
        <v>9.2037666666666649</v>
      </c>
      <c r="AQ599" s="70" t="s">
        <v>752</v>
      </c>
      <c r="AR599" s="16">
        <v>71</v>
      </c>
      <c r="AS599" s="16">
        <v>24</v>
      </c>
      <c r="AT599" s="16">
        <v>5</v>
      </c>
      <c r="AU599" s="2" t="s">
        <v>661</v>
      </c>
      <c r="AV599" s="16">
        <f t="shared" si="299"/>
        <v>100</v>
      </c>
      <c r="AW599" s="18">
        <v>0.93</v>
      </c>
      <c r="AX599" s="13">
        <f t="shared" si="302"/>
        <v>9.300000000000001E-3</v>
      </c>
      <c r="AY599" s="13" t="s">
        <v>658</v>
      </c>
      <c r="AZ599" s="16">
        <f>2/0.01</f>
        <v>200</v>
      </c>
      <c r="BA599" s="16" t="s">
        <v>55</v>
      </c>
      <c r="BB599" s="16">
        <v>1</v>
      </c>
      <c r="BC599" s="16">
        <v>1000</v>
      </c>
      <c r="BD599" s="25">
        <v>262</v>
      </c>
      <c r="BE599" s="16">
        <f t="shared" si="292"/>
        <v>28172.043010752684</v>
      </c>
      <c r="BF599" s="8">
        <f t="shared" si="277"/>
        <v>4.44981834276581</v>
      </c>
      <c r="BG599" s="8">
        <f t="shared" si="296"/>
        <v>2.4183012913197452</v>
      </c>
      <c r="BH599" s="13" t="s">
        <v>272</v>
      </c>
      <c r="BI599" s="13"/>
      <c r="BJ599" s="13"/>
      <c r="BK599" s="17"/>
      <c r="BL599" s="17"/>
      <c r="BM599" s="13"/>
      <c r="BN599" s="13"/>
      <c r="BO599" s="2"/>
    </row>
    <row r="600" spans="1:69" s="14" customFormat="1" x14ac:dyDescent="0.3">
      <c r="A600" s="20">
        <v>598</v>
      </c>
      <c r="B600" s="2" t="s">
        <v>195</v>
      </c>
      <c r="C600" s="2">
        <v>2018</v>
      </c>
      <c r="D600" s="2" t="s">
        <v>199</v>
      </c>
      <c r="E600" s="10" t="s">
        <v>795</v>
      </c>
      <c r="F600" s="20" t="s">
        <v>29</v>
      </c>
      <c r="G600" s="2" t="s">
        <v>47</v>
      </c>
      <c r="H600" s="2" t="str">
        <f>'PFAS Properties'!$B$38</f>
        <v>PFTrA</v>
      </c>
      <c r="I600" s="2" t="str">
        <f>'PFAS Properties'!$C$38</f>
        <v>PFCA</v>
      </c>
      <c r="J600" s="2" t="str">
        <f>'PFAS Properties'!$D$38</f>
        <v>C13HF25O2</v>
      </c>
      <c r="K600" s="25">
        <f>'PFAS Properties'!$P$38</f>
        <v>663.95759999999996</v>
      </c>
      <c r="L600" s="2">
        <f>'PFAS Properties'!$X$38</f>
        <v>-0.2</v>
      </c>
      <c r="M600" s="2" t="str">
        <f>'PFAS Properties'!$Y$38</f>
        <v>-</v>
      </c>
      <c r="N600" s="33">
        <v>0</v>
      </c>
      <c r="O600" s="33">
        <v>0</v>
      </c>
      <c r="P600" s="33">
        <v>0</v>
      </c>
      <c r="Q600" s="33">
        <f t="shared" si="300"/>
        <v>0.99998004777494953</v>
      </c>
      <c r="R600" s="33">
        <v>0</v>
      </c>
      <c r="S600" s="33">
        <f t="shared" si="301"/>
        <v>1.9952225050461341E-5</v>
      </c>
      <c r="T600" s="8">
        <f t="shared" si="268"/>
        <v>1</v>
      </c>
      <c r="U600" s="33">
        <f t="shared" si="269"/>
        <v>0</v>
      </c>
      <c r="V600" s="33">
        <f t="shared" si="270"/>
        <v>-0.99998004777494953</v>
      </c>
      <c r="W600" s="33">
        <f t="shared" si="271"/>
        <v>662.95761995222495</v>
      </c>
      <c r="X600" s="33">
        <v>96485</v>
      </c>
      <c r="Y600" s="16">
        <f t="shared" si="272"/>
        <v>-145.53430265500066</v>
      </c>
      <c r="Z600" s="16">
        <v>13</v>
      </c>
      <c r="AA600" s="16">
        <v>25</v>
      </c>
      <c r="AB600" s="8">
        <f t="shared" si="273"/>
        <v>0.32842105263157895</v>
      </c>
      <c r="AC600" s="16">
        <f t="shared" si="293"/>
        <v>71.54071284069947</v>
      </c>
      <c r="AD600" s="20">
        <f>'PFAS Properties'!$W$38</f>
        <v>12</v>
      </c>
      <c r="AE600" s="8">
        <f>'PFAS Properties'!$S$38</f>
        <v>-1.7896814801737682</v>
      </c>
      <c r="AF600" s="15">
        <f>'PFAS Properties'!$V$38</f>
        <v>8.3000000000000007</v>
      </c>
      <c r="AG600" s="24">
        <v>4.5</v>
      </c>
      <c r="AH600" s="2" t="s">
        <v>658</v>
      </c>
      <c r="AI600" s="8">
        <f>AJ600*55.845/1000</f>
        <v>5.8637250000000002E-2</v>
      </c>
      <c r="AJ600" s="16">
        <v>1.05</v>
      </c>
      <c r="AK600" s="8">
        <f>AI600/10</f>
        <v>5.8637250000000002E-3</v>
      </c>
      <c r="AL600" s="15">
        <f>AM600*26.98/1000</f>
        <v>0.18454320000000002</v>
      </c>
      <c r="AM600" s="16">
        <v>6.84</v>
      </c>
      <c r="AN600" s="8">
        <f>AL600/10</f>
        <v>1.8454320000000003E-2</v>
      </c>
      <c r="AO600" s="2" t="s">
        <v>48</v>
      </c>
      <c r="AP600" s="72">
        <v>21.496500000000001</v>
      </c>
      <c r="AQ600" s="70" t="s">
        <v>752</v>
      </c>
      <c r="AR600" s="71">
        <v>41.737499999999997</v>
      </c>
      <c r="AS600" s="71">
        <v>35.036999999999999</v>
      </c>
      <c r="AT600" s="71">
        <v>21.971</v>
      </c>
      <c r="AU600" s="70" t="s">
        <v>752</v>
      </c>
      <c r="AV600" s="16">
        <f t="shared" si="299"/>
        <v>98.745499999999993</v>
      </c>
      <c r="AW600" s="18">
        <v>45</v>
      </c>
      <c r="AX600" s="13">
        <f t="shared" si="302"/>
        <v>0.45</v>
      </c>
      <c r="AY600" s="8" t="s">
        <v>49</v>
      </c>
      <c r="AZ600" s="16">
        <f>0.45/0.04</f>
        <v>11.25</v>
      </c>
      <c r="BA600" s="16" t="s">
        <v>55</v>
      </c>
      <c r="BB600" s="16">
        <v>1.25</v>
      </c>
      <c r="BC600" s="16" t="s">
        <v>55</v>
      </c>
      <c r="BD600" s="25">
        <f>(10^(4.3)*AX600)</f>
        <v>8978.6804173599576</v>
      </c>
      <c r="BE600" s="16">
        <f t="shared" si="292"/>
        <v>19952.623149688796</v>
      </c>
      <c r="BF600" s="8">
        <f t="shared" si="277"/>
        <v>4.3</v>
      </c>
      <c r="BG600" s="8">
        <f t="shared" si="296"/>
        <v>3.9532125137753438</v>
      </c>
      <c r="BH600" s="2" t="s">
        <v>845</v>
      </c>
      <c r="BI600" s="2"/>
      <c r="BJ600" s="2"/>
      <c r="BK600" s="20"/>
      <c r="BL600" s="20"/>
      <c r="BM600" s="2"/>
      <c r="BN600" s="2"/>
      <c r="BO600" s="130"/>
    </row>
    <row r="601" spans="1:69" s="94" customFormat="1" x14ac:dyDescent="0.3">
      <c r="A601" s="83">
        <v>599</v>
      </c>
      <c r="B601" s="84" t="s">
        <v>195</v>
      </c>
      <c r="C601" s="84">
        <v>2022</v>
      </c>
      <c r="D601" s="84" t="s">
        <v>199</v>
      </c>
      <c r="E601" s="85" t="s">
        <v>798</v>
      </c>
      <c r="F601" s="83" t="s">
        <v>29</v>
      </c>
      <c r="G601" s="84" t="s">
        <v>237</v>
      </c>
      <c r="H601" s="84" t="str">
        <f>'PFAS Properties'!$B$38</f>
        <v>PFTrA</v>
      </c>
      <c r="I601" s="84" t="str">
        <f>'PFAS Properties'!$C$38</f>
        <v>PFCA</v>
      </c>
      <c r="J601" s="84" t="str">
        <f>'PFAS Properties'!$D$38</f>
        <v>C13HF25O2</v>
      </c>
      <c r="K601" s="99">
        <f>'PFAS Properties'!$P$38</f>
        <v>663.95759999999996</v>
      </c>
      <c r="L601" s="84">
        <f>'PFAS Properties'!$X$38</f>
        <v>-0.2</v>
      </c>
      <c r="M601" s="84" t="str">
        <f>'PFAS Properties'!$Y$38</f>
        <v>-</v>
      </c>
      <c r="N601" s="87">
        <v>0</v>
      </c>
      <c r="O601" s="87">
        <v>0</v>
      </c>
      <c r="P601" s="87">
        <v>0</v>
      </c>
      <c r="Q601" s="87">
        <f t="shared" si="300"/>
        <v>0.99984153579563773</v>
      </c>
      <c r="R601" s="87">
        <v>0</v>
      </c>
      <c r="S601" s="87">
        <f t="shared" si="301"/>
        <v>1.5846420436223696E-4</v>
      </c>
      <c r="T601" s="88">
        <f t="shared" si="268"/>
        <v>1</v>
      </c>
      <c r="U601" s="87">
        <f t="shared" si="269"/>
        <v>0</v>
      </c>
      <c r="V601" s="87">
        <f t="shared" si="270"/>
        <v>-0.99984153579563773</v>
      </c>
      <c r="W601" s="87">
        <f t="shared" si="271"/>
        <v>662.9577584642044</v>
      </c>
      <c r="X601" s="87">
        <v>96485</v>
      </c>
      <c r="Y601" s="89">
        <f t="shared" si="272"/>
        <v>-145.51411360615501</v>
      </c>
      <c r="Z601" s="89">
        <v>13</v>
      </c>
      <c r="AA601" s="89">
        <v>25</v>
      </c>
      <c r="AB601" s="88">
        <f t="shared" si="273"/>
        <v>0.32842105263157895</v>
      </c>
      <c r="AC601" s="89">
        <f t="shared" si="293"/>
        <v>71.54071284069947</v>
      </c>
      <c r="AD601" s="83">
        <f>'PFAS Properties'!$W$38</f>
        <v>12</v>
      </c>
      <c r="AE601" s="88">
        <f>'PFAS Properties'!$S$38</f>
        <v>-1.7896814801737682</v>
      </c>
      <c r="AF601" s="90">
        <f>'PFAS Properties'!$V$38</f>
        <v>8.3000000000000007</v>
      </c>
      <c r="AG601" s="93">
        <v>3.6</v>
      </c>
      <c r="AH601" s="84" t="s">
        <v>832</v>
      </c>
      <c r="AI601" s="88">
        <f>(6.8*55.845)/1000</f>
        <v>0.37974599999999997</v>
      </c>
      <c r="AJ601" s="90">
        <f>AI601*1000/55.845</f>
        <v>6.8</v>
      </c>
      <c r="AK601" s="88">
        <f>AI601/10</f>
        <v>3.7974599999999997E-2</v>
      </c>
      <c r="AL601" s="88">
        <f>(4*26.982)/1000</f>
        <v>0.107928</v>
      </c>
      <c r="AM601" s="90">
        <f>AL601*1000/55.845</f>
        <v>1.932634971796938</v>
      </c>
      <c r="AN601" s="88">
        <f>AL601/10</f>
        <v>1.07928E-2</v>
      </c>
      <c r="AO601" s="84" t="s">
        <v>86</v>
      </c>
      <c r="AP601" s="92">
        <v>14.768748</v>
      </c>
      <c r="AQ601" s="84" t="s">
        <v>752</v>
      </c>
      <c r="AR601" s="96">
        <v>37.396533331999997</v>
      </c>
      <c r="AS601" s="96">
        <v>37.430266667999987</v>
      </c>
      <c r="AT601" s="96">
        <v>24.989000000000001</v>
      </c>
      <c r="AU601" s="84" t="s">
        <v>752</v>
      </c>
      <c r="AV601" s="89">
        <f t="shared" ref="AV601" si="303">SUM(AR601:AT601)</f>
        <v>99.815799999999996</v>
      </c>
      <c r="AW601" s="86">
        <v>44.9</v>
      </c>
      <c r="AX601" s="91">
        <f t="shared" si="302"/>
        <v>0.44900000000000001</v>
      </c>
      <c r="AY601" s="88" t="s">
        <v>240</v>
      </c>
      <c r="AZ601" s="89">
        <f t="shared" ref="AZ601:AZ603" si="304">0.75/0.03</f>
        <v>25</v>
      </c>
      <c r="BA601" s="89" t="s">
        <v>55</v>
      </c>
      <c r="BB601" s="89">
        <f>2.6*K601/1000</f>
        <v>1.7262897599999998</v>
      </c>
      <c r="BC601" s="89" t="s">
        <v>55</v>
      </c>
      <c r="BD601" s="99">
        <f>(10^(3.08)*AX601)</f>
        <v>539.81673114321882</v>
      </c>
      <c r="BE601" s="89">
        <f t="shared" si="292"/>
        <v>1202.2644346174138</v>
      </c>
      <c r="BF601" s="89">
        <f t="shared" si="277"/>
        <v>3.0800000000000005</v>
      </c>
      <c r="BG601" s="88">
        <f t="shared" si="296"/>
        <v>2.7322463410033233</v>
      </c>
      <c r="BH601" s="84" t="s">
        <v>825</v>
      </c>
      <c r="BI601" s="88"/>
      <c r="BJ601" s="86"/>
      <c r="BK601" s="88"/>
      <c r="BL601" s="88"/>
      <c r="BM601" s="89"/>
      <c r="BN601" s="99"/>
      <c r="BO601" s="84"/>
    </row>
    <row r="602" spans="1:69" s="94" customFormat="1" x14ac:dyDescent="0.3">
      <c r="A602" s="83">
        <v>600</v>
      </c>
      <c r="B602" s="84" t="s">
        <v>195</v>
      </c>
      <c r="C602" s="84">
        <v>2022</v>
      </c>
      <c r="D602" s="84" t="s">
        <v>199</v>
      </c>
      <c r="E602" s="98" t="s">
        <v>798</v>
      </c>
      <c r="F602" s="83" t="s">
        <v>29</v>
      </c>
      <c r="G602" s="84" t="s">
        <v>238</v>
      </c>
      <c r="H602" s="84" t="str">
        <f>'PFAS Properties'!$B$38</f>
        <v>PFTrA</v>
      </c>
      <c r="I602" s="84" t="str">
        <f>'PFAS Properties'!$C$38</f>
        <v>PFCA</v>
      </c>
      <c r="J602" s="84" t="str">
        <f>'PFAS Properties'!$D$38</f>
        <v>C13HF25O2</v>
      </c>
      <c r="K602" s="99">
        <f>'PFAS Properties'!$P$38</f>
        <v>663.95759999999996</v>
      </c>
      <c r="L602" s="84">
        <f>'PFAS Properties'!$X$38</f>
        <v>-0.2</v>
      </c>
      <c r="M602" s="84" t="str">
        <f>'PFAS Properties'!$Y$38</f>
        <v>-</v>
      </c>
      <c r="N602" s="87">
        <v>0</v>
      </c>
      <c r="O602" s="87">
        <v>0</v>
      </c>
      <c r="P602" s="87">
        <v>0</v>
      </c>
      <c r="Q602" s="87">
        <f t="shared" si="300"/>
        <v>0.99994988378839778</v>
      </c>
      <c r="R602" s="87">
        <v>0</v>
      </c>
      <c r="S602" s="87">
        <f t="shared" si="301"/>
        <v>5.0116211602181963E-5</v>
      </c>
      <c r="T602" s="88">
        <f t="shared" si="268"/>
        <v>1</v>
      </c>
      <c r="U602" s="87">
        <f t="shared" si="269"/>
        <v>0</v>
      </c>
      <c r="V602" s="87">
        <f t="shared" si="270"/>
        <v>-0.99994988378839778</v>
      </c>
      <c r="W602" s="87">
        <f t="shared" si="271"/>
        <v>662.95765011621154</v>
      </c>
      <c r="X602" s="87">
        <v>96485</v>
      </c>
      <c r="Y602" s="89">
        <f t="shared" si="272"/>
        <v>-145.52990605118035</v>
      </c>
      <c r="Z602" s="89">
        <v>13</v>
      </c>
      <c r="AA602" s="89">
        <v>25</v>
      </c>
      <c r="AB602" s="88">
        <f t="shared" si="273"/>
        <v>0.32842105263157895</v>
      </c>
      <c r="AC602" s="89">
        <f t="shared" si="293"/>
        <v>71.54071284069947</v>
      </c>
      <c r="AD602" s="83">
        <f>'PFAS Properties'!$W$38</f>
        <v>12</v>
      </c>
      <c r="AE602" s="88">
        <f>'PFAS Properties'!$S$38</f>
        <v>-1.7896814801737682</v>
      </c>
      <c r="AF602" s="90">
        <f>'PFAS Properties'!$V$38</f>
        <v>8.3000000000000007</v>
      </c>
      <c r="AG602" s="93">
        <v>4.0999999999999996</v>
      </c>
      <c r="AH602" s="84" t="s">
        <v>832</v>
      </c>
      <c r="AI602" s="88">
        <f>(28*55.845)/1000</f>
        <v>1.5636599999999998</v>
      </c>
      <c r="AJ602" s="90">
        <f>AI602*1000/55.845</f>
        <v>27.999999999999996</v>
      </c>
      <c r="AK602" s="88">
        <f>AI602/10</f>
        <v>0.15636599999999998</v>
      </c>
      <c r="AL602" s="88">
        <f>(17*26.982)/1000</f>
        <v>0.45869399999999994</v>
      </c>
      <c r="AM602" s="90">
        <f>AL602*1000/55.845</f>
        <v>8.2136986301369852</v>
      </c>
      <c r="AN602" s="88">
        <f>AL602/10</f>
        <v>4.5869399999999991E-2</v>
      </c>
      <c r="AO602" s="84" t="s">
        <v>86</v>
      </c>
      <c r="AP602" s="92">
        <v>14.715147999999999</v>
      </c>
      <c r="AQ602" s="84" t="s">
        <v>752</v>
      </c>
      <c r="AR602" s="96">
        <v>37.490533331999998</v>
      </c>
      <c r="AS602" s="96">
        <v>37.393866668000001</v>
      </c>
      <c r="AT602" s="96">
        <v>24.9392</v>
      </c>
      <c r="AU602" s="84" t="s">
        <v>752</v>
      </c>
      <c r="AV602" s="89">
        <f t="shared" ref="AV602:AV603" si="305">SUM(AR602:AT602)</f>
        <v>99.823599999999999</v>
      </c>
      <c r="AW602" s="86">
        <v>46.6</v>
      </c>
      <c r="AX602" s="91">
        <f t="shared" si="302"/>
        <v>0.46600000000000003</v>
      </c>
      <c r="AY602" s="88" t="s">
        <v>240</v>
      </c>
      <c r="AZ602" s="89">
        <f t="shared" si="304"/>
        <v>25</v>
      </c>
      <c r="BA602" s="89" t="s">
        <v>55</v>
      </c>
      <c r="BB602" s="89">
        <f>2.6*K602/1000</f>
        <v>1.7262897599999998</v>
      </c>
      <c r="BC602" s="89" t="s">
        <v>55</v>
      </c>
      <c r="BD602" s="99">
        <f>(10^(2.65)*AX602)</f>
        <v>208.15455394234891</v>
      </c>
      <c r="BE602" s="89">
        <f t="shared" si="292"/>
        <v>446.68359215096331</v>
      </c>
      <c r="BF602" s="89">
        <f t="shared" si="277"/>
        <v>2.6500000000000004</v>
      </c>
      <c r="BG602" s="88">
        <f t="shared" si="296"/>
        <v>2.3183859166900005</v>
      </c>
      <c r="BH602" s="84" t="s">
        <v>826</v>
      </c>
      <c r="BI602" s="91"/>
      <c r="BJ602" s="97"/>
      <c r="BK602" s="97"/>
      <c r="BL602" s="91"/>
      <c r="BM602" s="91"/>
      <c r="BN602" s="84"/>
      <c r="BO602" s="84"/>
    </row>
    <row r="603" spans="1:69" s="94" customFormat="1" x14ac:dyDescent="0.3">
      <c r="A603" s="83">
        <v>601</v>
      </c>
      <c r="B603" s="84" t="s">
        <v>195</v>
      </c>
      <c r="C603" s="84">
        <v>2022</v>
      </c>
      <c r="D603" s="84" t="s">
        <v>199</v>
      </c>
      <c r="E603" s="85" t="s">
        <v>798</v>
      </c>
      <c r="F603" s="83" t="s">
        <v>29</v>
      </c>
      <c r="G603" s="84" t="s">
        <v>239</v>
      </c>
      <c r="H603" s="84" t="str">
        <f>'PFAS Properties'!$B$38</f>
        <v>PFTrA</v>
      </c>
      <c r="I603" s="84" t="str">
        <f>'PFAS Properties'!$C$38</f>
        <v>PFCA</v>
      </c>
      <c r="J603" s="84" t="str">
        <f>'PFAS Properties'!$D$38</f>
        <v>C13HF25O2</v>
      </c>
      <c r="K603" s="99">
        <f>'PFAS Properties'!$P$38</f>
        <v>663.95759999999996</v>
      </c>
      <c r="L603" s="84">
        <f>'PFAS Properties'!$X$38</f>
        <v>-0.2</v>
      </c>
      <c r="M603" s="84" t="str">
        <f>'PFAS Properties'!$Y$38</f>
        <v>-</v>
      </c>
      <c r="N603" s="87">
        <v>0</v>
      </c>
      <c r="O603" s="87">
        <v>0</v>
      </c>
      <c r="P603" s="87">
        <v>0</v>
      </c>
      <c r="Q603" s="87">
        <f t="shared" si="300"/>
        <v>0.99993690824637249</v>
      </c>
      <c r="R603" s="87">
        <v>0</v>
      </c>
      <c r="S603" s="87">
        <f t="shared" si="301"/>
        <v>6.3091753627486543E-5</v>
      </c>
      <c r="T603" s="88">
        <f t="shared" si="268"/>
        <v>1</v>
      </c>
      <c r="U603" s="87">
        <f t="shared" si="269"/>
        <v>0</v>
      </c>
      <c r="V603" s="87">
        <f t="shared" si="270"/>
        <v>-0.99993690824637249</v>
      </c>
      <c r="W603" s="87">
        <f t="shared" si="271"/>
        <v>662.95766309175349</v>
      </c>
      <c r="X603" s="87">
        <v>96485</v>
      </c>
      <c r="Y603" s="89">
        <f t="shared" si="272"/>
        <v>-145.52801477882389</v>
      </c>
      <c r="Z603" s="89">
        <v>13</v>
      </c>
      <c r="AA603" s="89">
        <v>25</v>
      </c>
      <c r="AB603" s="88">
        <f t="shared" si="273"/>
        <v>0.32842105263157895</v>
      </c>
      <c r="AC603" s="89">
        <f t="shared" si="293"/>
        <v>71.54071284069947</v>
      </c>
      <c r="AD603" s="83">
        <f>'PFAS Properties'!$W$38</f>
        <v>12</v>
      </c>
      <c r="AE603" s="88">
        <f>'PFAS Properties'!$S$38</f>
        <v>-1.7896814801737682</v>
      </c>
      <c r="AF603" s="90">
        <f>'PFAS Properties'!$V$38</f>
        <v>8.3000000000000007</v>
      </c>
      <c r="AG603" s="93">
        <v>4</v>
      </c>
      <c r="AH603" s="84" t="s">
        <v>832</v>
      </c>
      <c r="AI603" s="88">
        <f>(5*55.845)/1000</f>
        <v>0.279225</v>
      </c>
      <c r="AJ603" s="90">
        <f>AI603*1000/55.845</f>
        <v>5.0000000000000009</v>
      </c>
      <c r="AK603" s="88">
        <f>AI603/10</f>
        <v>2.7922499999999999E-2</v>
      </c>
      <c r="AL603" s="88">
        <f>(15*26.982)/1000</f>
        <v>0.40473000000000003</v>
      </c>
      <c r="AM603" s="90">
        <f>AL603*1000/55.845</f>
        <v>7.2473811442385179</v>
      </c>
      <c r="AN603" s="88">
        <f>AL603/10</f>
        <v>4.0473000000000002E-2</v>
      </c>
      <c r="AO603" s="84" t="s">
        <v>86</v>
      </c>
      <c r="AP603" s="92">
        <v>14.763688</v>
      </c>
      <c r="AQ603" s="84" t="s">
        <v>752</v>
      </c>
      <c r="AR603" s="96">
        <v>37.414333332000012</v>
      </c>
      <c r="AS603" s="96">
        <v>37.430866668</v>
      </c>
      <c r="AT603" s="96">
        <v>24.970400000000001</v>
      </c>
      <c r="AU603" s="84" t="s">
        <v>752</v>
      </c>
      <c r="AV603" s="89">
        <f t="shared" si="305"/>
        <v>99.815600000000003</v>
      </c>
      <c r="AW603" s="86">
        <v>53.6</v>
      </c>
      <c r="AX603" s="91">
        <f t="shared" si="302"/>
        <v>0.53600000000000003</v>
      </c>
      <c r="AY603" s="88" t="s">
        <v>240</v>
      </c>
      <c r="AZ603" s="89">
        <f t="shared" si="304"/>
        <v>25</v>
      </c>
      <c r="BA603" s="89" t="s">
        <v>55</v>
      </c>
      <c r="BB603" s="89">
        <f>2.6*K603/1000</f>
        <v>1.7262897599999998</v>
      </c>
      <c r="BC603" s="89" t="s">
        <v>55</v>
      </c>
      <c r="BD603" s="99">
        <f>(10^(2.36)*AX603)</f>
        <v>122.79050618835272</v>
      </c>
      <c r="BE603" s="89">
        <f t="shared" si="292"/>
        <v>229.08676527677744</v>
      </c>
      <c r="BF603" s="89">
        <f t="shared" si="277"/>
        <v>2.3600000000000003</v>
      </c>
      <c r="BG603" s="88">
        <f t="shared" si="296"/>
        <v>2.0891647896927705</v>
      </c>
      <c r="BH603" s="89" t="s">
        <v>826</v>
      </c>
      <c r="BI603" s="88"/>
      <c r="BJ603" s="86"/>
      <c r="BK603" s="88"/>
      <c r="BL603" s="88"/>
      <c r="BM603" s="89"/>
      <c r="BN603" s="99"/>
      <c r="BO603" s="84"/>
    </row>
    <row r="604" spans="1:69" s="14" customFormat="1" x14ac:dyDescent="0.3">
      <c r="A604" s="20">
        <v>602</v>
      </c>
      <c r="B604" s="2" t="s">
        <v>202</v>
      </c>
      <c r="C604" s="2">
        <v>2019</v>
      </c>
      <c r="D604" s="2" t="s">
        <v>199</v>
      </c>
      <c r="E604" s="22" t="s">
        <v>791</v>
      </c>
      <c r="F604" s="20" t="s">
        <v>29</v>
      </c>
      <c r="G604" s="2" t="s">
        <v>39</v>
      </c>
      <c r="H604" s="2" t="str">
        <f>'PFAS Properties'!$B$39</f>
        <v>PFTeA</v>
      </c>
      <c r="I604" s="2" t="str">
        <f>'PFAS Properties'!$C$39</f>
        <v>PFCA</v>
      </c>
      <c r="J604" s="2" t="str">
        <f>'PFAS Properties'!$D$39</f>
        <v>C14HF27O2</v>
      </c>
      <c r="K604" s="25">
        <f>'PFAS Properties'!$P$39</f>
        <v>713.95439999999996</v>
      </c>
      <c r="L604" s="2">
        <f>'PFAS Properties'!$X$39</f>
        <v>-0.2</v>
      </c>
      <c r="M604" s="2" t="str">
        <f>'PFAS Properties'!$Y$39</f>
        <v>-</v>
      </c>
      <c r="N604" s="33">
        <v>0</v>
      </c>
      <c r="O604" s="33">
        <v>0</v>
      </c>
      <c r="P604" s="33">
        <v>0</v>
      </c>
      <c r="Q604" s="33">
        <f t="shared" si="300"/>
        <v>0.9999964518786969</v>
      </c>
      <c r="R604" s="33">
        <v>0</v>
      </c>
      <c r="S604" s="33">
        <f t="shared" si="301"/>
        <v>3.5481213031263005E-6</v>
      </c>
      <c r="T604" s="8">
        <f t="shared" ref="T604:T686" si="306">SUM(N604:S604)</f>
        <v>1</v>
      </c>
      <c r="U604" s="33">
        <f t="shared" ref="U604:U686" si="307">((1*N604)+(1*O604)+(1*P604))</f>
        <v>0</v>
      </c>
      <c r="V604" s="33">
        <f t="shared" ref="V604:V686" si="308">-((1*O604)+(2*P604)+(1*Q604)+(2*R604))</f>
        <v>-0.9999964518786969</v>
      </c>
      <c r="W604" s="33">
        <f t="shared" ref="W604:W686" si="309">(N604*(K604+1))+(O604*K604)+(P604*(K604-1))+(Q604*(K604-1))+(R604*(K604-2))+(S604*K604)</f>
        <v>712.95440354812126</v>
      </c>
      <c r="X604" s="33">
        <v>96485</v>
      </c>
      <c r="Y604" s="16">
        <f t="shared" ref="Y604:Y686" si="310">((V604+U604)/W604)*X604</f>
        <v>-135.33075492534465</v>
      </c>
      <c r="Z604" s="16">
        <v>14</v>
      </c>
      <c r="AA604" s="16">
        <v>27</v>
      </c>
      <c r="AB604" s="8">
        <f t="shared" ref="AB604:AB686" si="311">(Z604/AA604)*(12/19)</f>
        <v>0.32748538011695905</v>
      </c>
      <c r="AC604" s="16">
        <f t="shared" si="293"/>
        <v>71.853328447867256</v>
      </c>
      <c r="AD604" s="20">
        <f>'PFAS Properties'!$W$39</f>
        <v>13</v>
      </c>
      <c r="AE604" s="8">
        <f>'PFAS Properties'!$S$39</f>
        <v>-2.6937894918322383</v>
      </c>
      <c r="AF604" s="15">
        <f>'PFAS Properties'!$V$39</f>
        <v>9</v>
      </c>
      <c r="AG604" s="24">
        <v>5.25</v>
      </c>
      <c r="AH604" s="2" t="s">
        <v>661</v>
      </c>
      <c r="AI604" s="2" t="s">
        <v>661</v>
      </c>
      <c r="AJ604" s="2" t="s">
        <v>661</v>
      </c>
      <c r="AK604" s="2" t="s">
        <v>661</v>
      </c>
      <c r="AL604" s="2" t="s">
        <v>661</v>
      </c>
      <c r="AM604" s="2" t="s">
        <v>661</v>
      </c>
      <c r="AN604" s="2" t="s">
        <v>661</v>
      </c>
      <c r="AO604" s="2" t="s">
        <v>661</v>
      </c>
      <c r="AP604" s="72">
        <v>5.7023166666666656</v>
      </c>
      <c r="AQ604" s="70" t="s">
        <v>752</v>
      </c>
      <c r="AR604" s="16">
        <v>100</v>
      </c>
      <c r="AS604" s="16">
        <v>0</v>
      </c>
      <c r="AT604" s="16">
        <v>0</v>
      </c>
      <c r="AU604" s="2" t="s">
        <v>661</v>
      </c>
      <c r="AV604" s="16">
        <f t="shared" ref="AV604:AV632" si="312">SUM(AR604:AT604)</f>
        <v>100</v>
      </c>
      <c r="AW604" s="18">
        <v>0.4</v>
      </c>
      <c r="AX604" s="13">
        <f t="shared" si="302"/>
        <v>4.0000000000000001E-3</v>
      </c>
      <c r="AY604" s="13" t="s">
        <v>658</v>
      </c>
      <c r="AZ604" s="16">
        <f>2/0.01</f>
        <v>200</v>
      </c>
      <c r="BA604" s="16" t="s">
        <v>55</v>
      </c>
      <c r="BB604" s="16">
        <v>1</v>
      </c>
      <c r="BC604" s="16">
        <v>1000</v>
      </c>
      <c r="BD604" s="25">
        <v>3670</v>
      </c>
      <c r="BE604" s="16">
        <f t="shared" si="292"/>
        <v>917500</v>
      </c>
      <c r="BF604" s="8">
        <f t="shared" ref="BF604:BF686" si="313">LOG(BE604)</f>
        <v>5.9626060729241273</v>
      </c>
      <c r="BG604" s="8">
        <f t="shared" si="296"/>
        <v>3.5646660642520893</v>
      </c>
      <c r="BH604" s="13" t="s">
        <v>272</v>
      </c>
      <c r="BI604" s="13"/>
      <c r="BJ604" s="13"/>
      <c r="BK604" s="17"/>
      <c r="BL604" s="17"/>
      <c r="BM604" s="13"/>
      <c r="BN604" s="13"/>
      <c r="BO604" s="2"/>
    </row>
    <row r="605" spans="1:69" s="14" customFormat="1" x14ac:dyDescent="0.3">
      <c r="A605" s="20">
        <v>603</v>
      </c>
      <c r="B605" s="2" t="s">
        <v>202</v>
      </c>
      <c r="C605" s="2">
        <v>2019</v>
      </c>
      <c r="D605" s="2" t="s">
        <v>199</v>
      </c>
      <c r="E605" s="22" t="s">
        <v>791</v>
      </c>
      <c r="F605" s="20" t="s">
        <v>29</v>
      </c>
      <c r="G605" s="2" t="s">
        <v>43</v>
      </c>
      <c r="H605" s="2" t="str">
        <f>'PFAS Properties'!$B$39</f>
        <v>PFTeA</v>
      </c>
      <c r="I605" s="2" t="str">
        <f>'PFAS Properties'!$C$39</f>
        <v>PFCA</v>
      </c>
      <c r="J605" s="2" t="str">
        <f>'PFAS Properties'!$D$39</f>
        <v>C14HF27O2</v>
      </c>
      <c r="K605" s="25">
        <f>'PFAS Properties'!$P$39</f>
        <v>713.95439999999996</v>
      </c>
      <c r="L605" s="2">
        <f>'PFAS Properties'!$X$39</f>
        <v>-0.2</v>
      </c>
      <c r="M605" s="2" t="str">
        <f>'PFAS Properties'!$Y$39</f>
        <v>-</v>
      </c>
      <c r="N605" s="33">
        <v>0</v>
      </c>
      <c r="O605" s="33">
        <v>0</v>
      </c>
      <c r="P605" s="33">
        <v>0</v>
      </c>
      <c r="Q605" s="33">
        <f t="shared" si="300"/>
        <v>0.99999865103893715</v>
      </c>
      <c r="R605" s="33">
        <v>0</v>
      </c>
      <c r="S605" s="33">
        <f t="shared" si="301"/>
        <v>1.3489610628932487E-6</v>
      </c>
      <c r="T605" s="8">
        <f t="shared" si="306"/>
        <v>1</v>
      </c>
      <c r="U605" s="33">
        <f t="shared" si="307"/>
        <v>0</v>
      </c>
      <c r="V605" s="33">
        <f t="shared" si="308"/>
        <v>-0.99999865103893715</v>
      </c>
      <c r="W605" s="33">
        <f t="shared" si="309"/>
        <v>712.95440134896103</v>
      </c>
      <c r="X605" s="33">
        <v>96485</v>
      </c>
      <c r="Y605" s="16">
        <f t="shared" si="310"/>
        <v>-135.33105295785472</v>
      </c>
      <c r="Z605" s="16">
        <v>14</v>
      </c>
      <c r="AA605" s="16">
        <v>27</v>
      </c>
      <c r="AB605" s="8">
        <f t="shared" si="311"/>
        <v>0.32748538011695905</v>
      </c>
      <c r="AC605" s="16">
        <f t="shared" si="293"/>
        <v>71.853328447867256</v>
      </c>
      <c r="AD605" s="20">
        <f>'PFAS Properties'!$W$39</f>
        <v>13</v>
      </c>
      <c r="AE605" s="8">
        <f>'PFAS Properties'!$S$39</f>
        <v>-2.6937894918322383</v>
      </c>
      <c r="AF605" s="15">
        <f>'PFAS Properties'!$V$39</f>
        <v>9</v>
      </c>
      <c r="AG605" s="24">
        <v>5.67</v>
      </c>
      <c r="AH605" s="2" t="s">
        <v>661</v>
      </c>
      <c r="AI605" s="15" t="s">
        <v>661</v>
      </c>
      <c r="AJ605" s="16" t="s">
        <v>661</v>
      </c>
      <c r="AK605" s="2" t="s">
        <v>661</v>
      </c>
      <c r="AL605" s="15" t="s">
        <v>661</v>
      </c>
      <c r="AM605" s="16" t="s">
        <v>661</v>
      </c>
      <c r="AN605" s="2" t="s">
        <v>661</v>
      </c>
      <c r="AO605" s="2" t="s">
        <v>661</v>
      </c>
      <c r="AP605" s="72">
        <v>9.2037666666666649</v>
      </c>
      <c r="AQ605" s="70" t="s">
        <v>752</v>
      </c>
      <c r="AR605" s="16">
        <v>71</v>
      </c>
      <c r="AS605" s="16">
        <v>24</v>
      </c>
      <c r="AT605" s="16">
        <v>5</v>
      </c>
      <c r="AU605" s="2" t="s">
        <v>661</v>
      </c>
      <c r="AV605" s="16">
        <f t="shared" si="312"/>
        <v>100</v>
      </c>
      <c r="AW605" s="18">
        <v>0.93</v>
      </c>
      <c r="AX605" s="13">
        <f t="shared" si="302"/>
        <v>9.300000000000001E-3</v>
      </c>
      <c r="AY605" s="13" t="s">
        <v>658</v>
      </c>
      <c r="AZ605" s="16">
        <f>2/0.01</f>
        <v>200</v>
      </c>
      <c r="BA605" s="16" t="s">
        <v>55</v>
      </c>
      <c r="BB605" s="16">
        <v>1</v>
      </c>
      <c r="BC605" s="16">
        <v>1000</v>
      </c>
      <c r="BD605" s="25">
        <v>334</v>
      </c>
      <c r="BE605" s="16">
        <f t="shared" si="292"/>
        <v>35913.978494623654</v>
      </c>
      <c r="BF605" s="8">
        <f t="shared" si="313"/>
        <v>4.5552635182576298</v>
      </c>
      <c r="BG605" s="8">
        <f t="shared" si="296"/>
        <v>2.5237464668115646</v>
      </c>
      <c r="BH605" s="13" t="s">
        <v>272</v>
      </c>
      <c r="BI605" s="13"/>
      <c r="BJ605" s="13"/>
      <c r="BK605" s="17"/>
      <c r="BL605" s="17"/>
      <c r="BM605" s="13"/>
      <c r="BN605" s="13"/>
      <c r="BO605" s="2"/>
    </row>
    <row r="606" spans="1:69" s="14" customFormat="1" x14ac:dyDescent="0.3">
      <c r="A606" s="20">
        <v>604</v>
      </c>
      <c r="B606" s="2" t="s">
        <v>181</v>
      </c>
      <c r="C606" s="2">
        <v>2020</v>
      </c>
      <c r="D606" s="2" t="s">
        <v>203</v>
      </c>
      <c r="E606" s="10" t="s">
        <v>787</v>
      </c>
      <c r="F606" s="20" t="s">
        <v>29</v>
      </c>
      <c r="G606" s="2" t="s">
        <v>57</v>
      </c>
      <c r="H606" s="2" t="str">
        <f>'PFAS Properties'!$B$40</f>
        <v>GenX</v>
      </c>
      <c r="I606" s="2" t="str">
        <f>'PFAS Properties'!$C$40</f>
        <v>PFECA</v>
      </c>
      <c r="J606" s="2" t="str">
        <f>'PFAS Properties'!$D$40</f>
        <v>C6HF11O3</v>
      </c>
      <c r="K606" s="25">
        <f>'PFAS Properties'!$P$40</f>
        <v>329.97489999999993</v>
      </c>
      <c r="L606" s="2">
        <f>'PFAS Properties'!$X$40</f>
        <v>-0.1</v>
      </c>
      <c r="M606" s="2" t="str">
        <f>'PFAS Properties'!$Y$63</f>
        <v>-</v>
      </c>
      <c r="N606" s="33">
        <v>0</v>
      </c>
      <c r="O606" s="33">
        <v>0</v>
      </c>
      <c r="P606" s="33">
        <v>0</v>
      </c>
      <c r="Q606" s="33">
        <f t="shared" si="300"/>
        <v>0.99999987410747471</v>
      </c>
      <c r="R606" s="33">
        <v>0</v>
      </c>
      <c r="S606" s="33">
        <f t="shared" si="301"/>
        <v>1.2589252533048682E-7</v>
      </c>
      <c r="T606" s="8">
        <f t="shared" ref="T606:T624" si="314">SUM(N606:S606)</f>
        <v>1</v>
      </c>
      <c r="U606" s="33">
        <f t="shared" ref="U606:U624" si="315">((1*N606)+(1*O606)+(1*P606))</f>
        <v>0</v>
      </c>
      <c r="V606" s="33">
        <f t="shared" ref="V606:V624" si="316">-((1*O606)+(2*P606)+(1*Q606)+(2*R606))</f>
        <v>-0.99999987410747471</v>
      </c>
      <c r="W606" s="33">
        <f t="shared" ref="W606:W624" si="317">(N606*(K606+1))+(O606*K606)+(P606*(K606-1))+(Q606*(K606-1))+(R606*(K606-2))+(S606*K606)</f>
        <v>328.97490012589247</v>
      </c>
      <c r="X606" s="33">
        <v>96485</v>
      </c>
      <c r="Y606" s="16">
        <f t="shared" ref="Y606:Y624" si="318">((V606+U606)/W606)*X606</f>
        <v>-293.28981577724232</v>
      </c>
      <c r="Z606" s="16">
        <v>6</v>
      </c>
      <c r="AA606" s="16">
        <v>11</v>
      </c>
      <c r="AB606" s="8">
        <f t="shared" ref="AB606:AB624" si="319">(Z606/AA606)*(12/19)</f>
        <v>0.34449760765550236</v>
      </c>
      <c r="AC606" s="16">
        <f t="shared" si="293"/>
        <v>63.338150871475385</v>
      </c>
      <c r="AD606" s="20">
        <f>'PFAS Properties'!$W$40</f>
        <v>5</v>
      </c>
      <c r="AE606" s="8">
        <f>'PFAS Properties'!$S$40</f>
        <v>4.4345689040341991</v>
      </c>
      <c r="AF606" s="2">
        <f>'PFAS Properties'!$V$40</f>
        <v>3.6</v>
      </c>
      <c r="AG606" s="24">
        <v>6.8</v>
      </c>
      <c r="AH606" s="2" t="s">
        <v>183</v>
      </c>
      <c r="AI606" s="2" t="s">
        <v>661</v>
      </c>
      <c r="AJ606" s="2" t="s">
        <v>661</v>
      </c>
      <c r="AK606" s="2" t="s">
        <v>661</v>
      </c>
      <c r="AL606" s="2" t="s">
        <v>661</v>
      </c>
      <c r="AM606" s="2" t="s">
        <v>661</v>
      </c>
      <c r="AN606" s="2" t="s">
        <v>661</v>
      </c>
      <c r="AO606" s="2" t="s">
        <v>661</v>
      </c>
      <c r="AP606" s="15">
        <v>7.1</v>
      </c>
      <c r="AQ606" s="2" t="s">
        <v>661</v>
      </c>
      <c r="AR606" s="16">
        <v>48.9</v>
      </c>
      <c r="AS606" s="16">
        <v>27</v>
      </c>
      <c r="AT606" s="16">
        <v>24.2</v>
      </c>
      <c r="AU606" s="2" t="s">
        <v>661</v>
      </c>
      <c r="AV606" s="16">
        <f t="shared" ref="AV606:AV624" si="320">SUM(AR606:AT606)</f>
        <v>100.10000000000001</v>
      </c>
      <c r="AW606" s="18">
        <v>0.37</v>
      </c>
      <c r="AX606" s="13">
        <f t="shared" ref="AX606:AX624" si="321">AW606/100</f>
        <v>3.7000000000000002E-3</v>
      </c>
      <c r="AY606" s="13" t="s">
        <v>184</v>
      </c>
      <c r="AZ606" s="16">
        <v>100</v>
      </c>
      <c r="BA606" s="16" t="s">
        <v>55</v>
      </c>
      <c r="BB606" s="16">
        <v>5</v>
      </c>
      <c r="BC606" s="16" t="s">
        <v>55</v>
      </c>
      <c r="BD606" s="20">
        <v>0.35</v>
      </c>
      <c r="BE606" s="16">
        <f t="shared" ref="BE606:BE624" si="322">BD606/AX606</f>
        <v>94.594594594594582</v>
      </c>
      <c r="BF606" s="16">
        <f t="shared" ref="BF606:BF624" si="323">LOG(BE606)</f>
        <v>1.9758663202832807</v>
      </c>
      <c r="BG606" s="8">
        <f t="shared" ref="BG606:BG624" si="324">LOG(BD606)</f>
        <v>-0.45593195564972439</v>
      </c>
      <c r="BH606" s="13" t="s">
        <v>345</v>
      </c>
      <c r="BI606" s="13"/>
      <c r="BJ606" s="13"/>
      <c r="BK606" s="13"/>
      <c r="BL606" s="13"/>
      <c r="BM606" s="17"/>
      <c r="BN606" s="17"/>
      <c r="BO606" s="2"/>
    </row>
    <row r="607" spans="1:69" s="14" customFormat="1" x14ac:dyDescent="0.3">
      <c r="A607" s="20">
        <v>605</v>
      </c>
      <c r="B607" s="2" t="s">
        <v>181</v>
      </c>
      <c r="C607" s="2">
        <v>2020</v>
      </c>
      <c r="D607" s="2" t="s">
        <v>203</v>
      </c>
      <c r="E607" s="10" t="s">
        <v>787</v>
      </c>
      <c r="F607" s="20" t="s">
        <v>29</v>
      </c>
      <c r="G607" s="2" t="s">
        <v>58</v>
      </c>
      <c r="H607" s="2" t="str">
        <f>'PFAS Properties'!$B$40</f>
        <v>GenX</v>
      </c>
      <c r="I607" s="2" t="str">
        <f>'PFAS Properties'!$C$40</f>
        <v>PFECA</v>
      </c>
      <c r="J607" s="2" t="str">
        <f>'PFAS Properties'!$D$40</f>
        <v>C6HF11O3</v>
      </c>
      <c r="K607" s="25">
        <f>'PFAS Properties'!$P$40</f>
        <v>329.97489999999993</v>
      </c>
      <c r="L607" s="2">
        <f>'PFAS Properties'!$X$40</f>
        <v>-0.1</v>
      </c>
      <c r="M607" s="2" t="str">
        <f>'PFAS Properties'!$Y$63</f>
        <v>-</v>
      </c>
      <c r="N607" s="33">
        <v>0</v>
      </c>
      <c r="O607" s="33">
        <v>0</v>
      </c>
      <c r="P607" s="33">
        <v>0</v>
      </c>
      <c r="Q607" s="33">
        <f t="shared" si="300"/>
        <v>0.99999949881301753</v>
      </c>
      <c r="R607" s="33">
        <v>0</v>
      </c>
      <c r="S607" s="33">
        <f t="shared" si="301"/>
        <v>5.0118698243875488E-7</v>
      </c>
      <c r="T607" s="8">
        <f t="shared" si="314"/>
        <v>1</v>
      </c>
      <c r="U607" s="33">
        <f t="shared" si="315"/>
        <v>0</v>
      </c>
      <c r="V607" s="33">
        <f t="shared" si="316"/>
        <v>-0.99999949881301753</v>
      </c>
      <c r="W607" s="33">
        <f t="shared" si="317"/>
        <v>328.97490050118694</v>
      </c>
      <c r="X607" s="33">
        <v>96485</v>
      </c>
      <c r="Y607" s="16">
        <f t="shared" si="318"/>
        <v>-293.28970537260147</v>
      </c>
      <c r="Z607" s="16">
        <v>6</v>
      </c>
      <c r="AA607" s="16">
        <v>11</v>
      </c>
      <c r="AB607" s="8">
        <f t="shared" si="319"/>
        <v>0.34449760765550236</v>
      </c>
      <c r="AC607" s="16">
        <f t="shared" si="293"/>
        <v>63.338150871475385</v>
      </c>
      <c r="AD607" s="20">
        <f>'PFAS Properties'!$W$40</f>
        <v>5</v>
      </c>
      <c r="AE607" s="8">
        <f>'PFAS Properties'!$S$40</f>
        <v>4.4345689040341991</v>
      </c>
      <c r="AF607" s="2">
        <f>'PFAS Properties'!$V$40</f>
        <v>3.6</v>
      </c>
      <c r="AG607" s="24">
        <v>6.2</v>
      </c>
      <c r="AH607" s="2" t="s">
        <v>183</v>
      </c>
      <c r="AI607" s="2" t="s">
        <v>661</v>
      </c>
      <c r="AJ607" s="2" t="s">
        <v>661</v>
      </c>
      <c r="AK607" s="2" t="s">
        <v>661</v>
      </c>
      <c r="AL607" s="2" t="s">
        <v>661</v>
      </c>
      <c r="AM607" s="2" t="s">
        <v>661</v>
      </c>
      <c r="AN607" s="2" t="s">
        <v>661</v>
      </c>
      <c r="AO607" s="2" t="s">
        <v>661</v>
      </c>
      <c r="AP607" s="15">
        <v>8</v>
      </c>
      <c r="AQ607" s="2" t="s">
        <v>661</v>
      </c>
      <c r="AR607" s="16">
        <v>51.44</v>
      </c>
      <c r="AS607" s="16">
        <v>10.17</v>
      </c>
      <c r="AT607" s="16">
        <v>38.380000000000003</v>
      </c>
      <c r="AU607" s="2" t="s">
        <v>661</v>
      </c>
      <c r="AV607" s="16">
        <f t="shared" si="320"/>
        <v>99.990000000000009</v>
      </c>
      <c r="AW607" s="18">
        <v>0.08</v>
      </c>
      <c r="AX607" s="13">
        <f t="shared" si="321"/>
        <v>8.0000000000000004E-4</v>
      </c>
      <c r="AY607" s="8" t="s">
        <v>184</v>
      </c>
      <c r="AZ607" s="16">
        <v>100</v>
      </c>
      <c r="BA607" s="16" t="s">
        <v>55</v>
      </c>
      <c r="BB607" s="16">
        <v>5</v>
      </c>
      <c r="BC607" s="16" t="s">
        <v>55</v>
      </c>
      <c r="BD607" s="20">
        <v>0.27</v>
      </c>
      <c r="BE607" s="16">
        <f t="shared" si="322"/>
        <v>337.5</v>
      </c>
      <c r="BF607" s="16">
        <f t="shared" si="323"/>
        <v>2.5282737771670436</v>
      </c>
      <c r="BG607" s="8">
        <f t="shared" si="324"/>
        <v>-0.56863623584101264</v>
      </c>
      <c r="BH607" s="13" t="s">
        <v>345</v>
      </c>
      <c r="BI607" s="13"/>
      <c r="BJ607" s="13"/>
      <c r="BK607" s="13"/>
      <c r="BL607" s="13"/>
      <c r="BM607" s="17"/>
      <c r="BN607" s="17"/>
      <c r="BO607" s="2"/>
    </row>
    <row r="608" spans="1:69" s="14" customFormat="1" x14ac:dyDescent="0.3">
      <c r="A608" s="20">
        <v>606</v>
      </c>
      <c r="B608" s="2" t="s">
        <v>181</v>
      </c>
      <c r="C608" s="2">
        <v>2020</v>
      </c>
      <c r="D608" s="2" t="s">
        <v>203</v>
      </c>
      <c r="E608" s="10" t="s">
        <v>787</v>
      </c>
      <c r="F608" s="20" t="s">
        <v>29</v>
      </c>
      <c r="G608" s="2" t="s">
        <v>59</v>
      </c>
      <c r="H608" s="2" t="str">
        <f>'PFAS Properties'!$B$40</f>
        <v>GenX</v>
      </c>
      <c r="I608" s="2" t="str">
        <f>'PFAS Properties'!$C$40</f>
        <v>PFECA</v>
      </c>
      <c r="J608" s="2" t="str">
        <f>'PFAS Properties'!$D$40</f>
        <v>C6HF11O3</v>
      </c>
      <c r="K608" s="25">
        <f>'PFAS Properties'!$P$40</f>
        <v>329.97489999999993</v>
      </c>
      <c r="L608" s="2">
        <f>'PFAS Properties'!$X$40</f>
        <v>-0.1</v>
      </c>
      <c r="M608" s="2" t="str">
        <f>'PFAS Properties'!$Y$63</f>
        <v>-</v>
      </c>
      <c r="N608" s="33">
        <v>0</v>
      </c>
      <c r="O608" s="33">
        <v>0</v>
      </c>
      <c r="P608" s="33">
        <v>0</v>
      </c>
      <c r="Q608" s="33">
        <f t="shared" si="300"/>
        <v>0.99999998415106828</v>
      </c>
      <c r="R608" s="33">
        <v>0</v>
      </c>
      <c r="S608" s="33">
        <f t="shared" si="301"/>
        <v>1.5848931673422493E-8</v>
      </c>
      <c r="T608" s="8">
        <f t="shared" si="314"/>
        <v>1</v>
      </c>
      <c r="U608" s="33">
        <f t="shared" si="315"/>
        <v>0</v>
      </c>
      <c r="V608" s="33">
        <f t="shared" si="316"/>
        <v>-0.99999998415106828</v>
      </c>
      <c r="W608" s="33">
        <f t="shared" si="317"/>
        <v>328.97490001584885</v>
      </c>
      <c r="X608" s="33">
        <v>96485</v>
      </c>
      <c r="Y608" s="16">
        <f t="shared" si="318"/>
        <v>-293.28984815001849</v>
      </c>
      <c r="Z608" s="16">
        <v>6</v>
      </c>
      <c r="AA608" s="16">
        <v>11</v>
      </c>
      <c r="AB608" s="8">
        <f t="shared" si="319"/>
        <v>0.34449760765550236</v>
      </c>
      <c r="AC608" s="16">
        <f t="shared" si="293"/>
        <v>63.338150871475385</v>
      </c>
      <c r="AD608" s="20">
        <f>'PFAS Properties'!$W$40</f>
        <v>5</v>
      </c>
      <c r="AE608" s="8">
        <f>'PFAS Properties'!$S$40</f>
        <v>4.4345689040341991</v>
      </c>
      <c r="AF608" s="2">
        <f>'PFAS Properties'!$V$40</f>
        <v>3.6</v>
      </c>
      <c r="AG608" s="24">
        <v>7.7</v>
      </c>
      <c r="AH608" s="2" t="s">
        <v>183</v>
      </c>
      <c r="AI608" s="2" t="s">
        <v>661</v>
      </c>
      <c r="AJ608" s="2" t="s">
        <v>661</v>
      </c>
      <c r="AK608" s="2" t="s">
        <v>661</v>
      </c>
      <c r="AL608" s="2" t="s">
        <v>661</v>
      </c>
      <c r="AM608" s="2" t="s">
        <v>661</v>
      </c>
      <c r="AN608" s="2" t="s">
        <v>661</v>
      </c>
      <c r="AO608" s="2" t="s">
        <v>661</v>
      </c>
      <c r="AP608" s="15">
        <v>4.8</v>
      </c>
      <c r="AQ608" s="2" t="s">
        <v>661</v>
      </c>
      <c r="AR608" s="16">
        <v>46</v>
      </c>
      <c r="AS608" s="16">
        <v>37</v>
      </c>
      <c r="AT608" s="16">
        <v>17</v>
      </c>
      <c r="AU608" s="2" t="s">
        <v>661</v>
      </c>
      <c r="AV608" s="16">
        <f t="shared" si="320"/>
        <v>100</v>
      </c>
      <c r="AW608" s="18">
        <v>0.25</v>
      </c>
      <c r="AX608" s="13">
        <f t="shared" si="321"/>
        <v>2.5000000000000001E-3</v>
      </c>
      <c r="AY608" s="13" t="s">
        <v>184</v>
      </c>
      <c r="AZ608" s="16">
        <v>100</v>
      </c>
      <c r="BA608" s="16" t="s">
        <v>55</v>
      </c>
      <c r="BB608" s="16">
        <v>5</v>
      </c>
      <c r="BC608" s="16" t="s">
        <v>55</v>
      </c>
      <c r="BD608" s="18">
        <v>0.19</v>
      </c>
      <c r="BE608" s="16">
        <f t="shared" si="322"/>
        <v>76</v>
      </c>
      <c r="BF608" s="16">
        <f t="shared" si="323"/>
        <v>1.8808135922807914</v>
      </c>
      <c r="BG608" s="8">
        <f t="shared" si="324"/>
        <v>-0.72124639904717103</v>
      </c>
      <c r="BH608" s="13" t="s">
        <v>345</v>
      </c>
      <c r="BI608" s="13"/>
      <c r="BJ608" s="13"/>
      <c r="BK608" s="13"/>
      <c r="BL608" s="13"/>
      <c r="BM608" s="17"/>
      <c r="BN608" s="17"/>
      <c r="BO608" s="2"/>
    </row>
    <row r="609" spans="1:67" s="14" customFormat="1" x14ac:dyDescent="0.3">
      <c r="A609" s="20">
        <v>607</v>
      </c>
      <c r="B609" s="2" t="s">
        <v>181</v>
      </c>
      <c r="C609" s="2">
        <v>2020</v>
      </c>
      <c r="D609" s="2" t="s">
        <v>203</v>
      </c>
      <c r="E609" s="10" t="s">
        <v>787</v>
      </c>
      <c r="F609" s="20" t="s">
        <v>29</v>
      </c>
      <c r="G609" s="2" t="s">
        <v>61</v>
      </c>
      <c r="H609" s="2" t="str">
        <f>'PFAS Properties'!$B$40</f>
        <v>GenX</v>
      </c>
      <c r="I609" s="2" t="str">
        <f>'PFAS Properties'!$C$40</f>
        <v>PFECA</v>
      </c>
      <c r="J609" s="2" t="str">
        <f>'PFAS Properties'!$D$40</f>
        <v>C6HF11O3</v>
      </c>
      <c r="K609" s="25">
        <f>'PFAS Properties'!$P$40</f>
        <v>329.97489999999993</v>
      </c>
      <c r="L609" s="2">
        <f>'PFAS Properties'!$X$40</f>
        <v>-0.1</v>
      </c>
      <c r="M609" s="2" t="str">
        <f>'PFAS Properties'!$Y$63</f>
        <v>-</v>
      </c>
      <c r="N609" s="33">
        <v>0</v>
      </c>
      <c r="O609" s="33">
        <v>0</v>
      </c>
      <c r="P609" s="33">
        <v>0</v>
      </c>
      <c r="Q609" s="33">
        <f t="shared" si="300"/>
        <v>0.99999996837722438</v>
      </c>
      <c r="R609" s="33">
        <v>0</v>
      </c>
      <c r="S609" s="33">
        <f t="shared" si="301"/>
        <v>3.1622775601683729E-8</v>
      </c>
      <c r="T609" s="8">
        <f t="shared" si="314"/>
        <v>1</v>
      </c>
      <c r="U609" s="33">
        <f t="shared" si="315"/>
        <v>0</v>
      </c>
      <c r="V609" s="33">
        <f t="shared" si="316"/>
        <v>-0.99999996837722438</v>
      </c>
      <c r="W609" s="33">
        <f t="shared" si="317"/>
        <v>328.97490003162272</v>
      </c>
      <c r="X609" s="33">
        <v>96485</v>
      </c>
      <c r="Y609" s="16">
        <f t="shared" si="318"/>
        <v>-293.28984350964731</v>
      </c>
      <c r="Z609" s="16">
        <v>6</v>
      </c>
      <c r="AA609" s="16">
        <v>11</v>
      </c>
      <c r="AB609" s="8">
        <f t="shared" si="319"/>
        <v>0.34449760765550236</v>
      </c>
      <c r="AC609" s="16">
        <f t="shared" si="293"/>
        <v>63.338150871475385</v>
      </c>
      <c r="AD609" s="20">
        <f>'PFAS Properties'!$W$40</f>
        <v>5</v>
      </c>
      <c r="AE609" s="8">
        <f>'PFAS Properties'!$S$40</f>
        <v>4.4345689040341991</v>
      </c>
      <c r="AF609" s="2">
        <f>'PFAS Properties'!$V$40</f>
        <v>3.6</v>
      </c>
      <c r="AG609" s="24">
        <v>7.4</v>
      </c>
      <c r="AH609" s="2" t="s">
        <v>183</v>
      </c>
      <c r="AI609" s="2" t="s">
        <v>661</v>
      </c>
      <c r="AJ609" s="2" t="s">
        <v>661</v>
      </c>
      <c r="AK609" s="2" t="s">
        <v>661</v>
      </c>
      <c r="AL609" s="2" t="s">
        <v>661</v>
      </c>
      <c r="AM609" s="2" t="s">
        <v>661</v>
      </c>
      <c r="AN609" s="2" t="s">
        <v>661</v>
      </c>
      <c r="AO609" s="2" t="s">
        <v>661</v>
      </c>
      <c r="AP609" s="15">
        <v>29.6</v>
      </c>
      <c r="AQ609" s="2" t="s">
        <v>661</v>
      </c>
      <c r="AR609" s="16">
        <v>39.799999999999997</v>
      </c>
      <c r="AS609" s="16">
        <v>7.7</v>
      </c>
      <c r="AT609" s="16">
        <v>52.5</v>
      </c>
      <c r="AU609" s="2" t="s">
        <v>661</v>
      </c>
      <c r="AV609" s="16">
        <f t="shared" si="320"/>
        <v>100</v>
      </c>
      <c r="AW609" s="18">
        <v>2.23</v>
      </c>
      <c r="AX609" s="13">
        <f t="shared" si="321"/>
        <v>2.23E-2</v>
      </c>
      <c r="AY609" s="8" t="s">
        <v>184</v>
      </c>
      <c r="AZ609" s="16">
        <v>100</v>
      </c>
      <c r="BA609" s="16" t="s">
        <v>55</v>
      </c>
      <c r="BB609" s="16">
        <v>5</v>
      </c>
      <c r="BC609" s="16" t="s">
        <v>55</v>
      </c>
      <c r="BD609" s="20">
        <v>0.32</v>
      </c>
      <c r="BE609" s="16">
        <f t="shared" si="322"/>
        <v>14.349775784753364</v>
      </c>
      <c r="BF609" s="16">
        <f t="shared" si="323"/>
        <v>1.1568451152717454</v>
      </c>
      <c r="BG609" s="8">
        <f t="shared" si="324"/>
        <v>-0.49485002168009401</v>
      </c>
      <c r="BH609" s="13" t="s">
        <v>345</v>
      </c>
      <c r="BI609" s="13"/>
      <c r="BJ609" s="13"/>
      <c r="BK609" s="13"/>
      <c r="BL609" s="13"/>
      <c r="BM609" s="17"/>
      <c r="BN609" s="17"/>
      <c r="BO609" s="2"/>
    </row>
    <row r="610" spans="1:67" s="14" customFormat="1" x14ac:dyDescent="0.3">
      <c r="A610" s="20">
        <v>608</v>
      </c>
      <c r="B610" s="2" t="s">
        <v>181</v>
      </c>
      <c r="C610" s="2">
        <v>2020</v>
      </c>
      <c r="D610" s="2" t="s">
        <v>203</v>
      </c>
      <c r="E610" s="10" t="s">
        <v>787</v>
      </c>
      <c r="F610" s="20" t="s">
        <v>29</v>
      </c>
      <c r="G610" s="2" t="s">
        <v>60</v>
      </c>
      <c r="H610" s="2" t="str">
        <f>'PFAS Properties'!$B$40</f>
        <v>GenX</v>
      </c>
      <c r="I610" s="2" t="str">
        <f>'PFAS Properties'!$C$40</f>
        <v>PFECA</v>
      </c>
      <c r="J610" s="2" t="str">
        <f>'PFAS Properties'!$D$40</f>
        <v>C6HF11O3</v>
      </c>
      <c r="K610" s="25">
        <f>'PFAS Properties'!$P$40</f>
        <v>329.97489999999993</v>
      </c>
      <c r="L610" s="2">
        <f>'PFAS Properties'!$X$40</f>
        <v>-0.1</v>
      </c>
      <c r="M610" s="2" t="str">
        <f>'PFAS Properties'!$Y$63</f>
        <v>-</v>
      </c>
      <c r="N610" s="33">
        <v>0</v>
      </c>
      <c r="O610" s="33">
        <v>0</v>
      </c>
      <c r="P610" s="33">
        <v>0</v>
      </c>
      <c r="Q610" s="33">
        <f t="shared" si="300"/>
        <v>0.99999998415106828</v>
      </c>
      <c r="R610" s="33">
        <v>0</v>
      </c>
      <c r="S610" s="33">
        <f t="shared" si="301"/>
        <v>1.5848931673422493E-8</v>
      </c>
      <c r="T610" s="8">
        <f t="shared" si="314"/>
        <v>1</v>
      </c>
      <c r="U610" s="33">
        <f t="shared" si="315"/>
        <v>0</v>
      </c>
      <c r="V610" s="33">
        <f t="shared" si="316"/>
        <v>-0.99999998415106828</v>
      </c>
      <c r="W610" s="33">
        <f t="shared" si="317"/>
        <v>328.97490001584885</v>
      </c>
      <c r="X610" s="33">
        <v>96485</v>
      </c>
      <c r="Y610" s="16">
        <f t="shared" si="318"/>
        <v>-293.28984815001849</v>
      </c>
      <c r="Z610" s="16">
        <v>6</v>
      </c>
      <c r="AA610" s="16">
        <v>11</v>
      </c>
      <c r="AB610" s="8">
        <f t="shared" si="319"/>
        <v>0.34449760765550236</v>
      </c>
      <c r="AC610" s="16">
        <f t="shared" si="293"/>
        <v>63.338150871475385</v>
      </c>
      <c r="AD610" s="20">
        <f>'PFAS Properties'!$W$40</f>
        <v>5</v>
      </c>
      <c r="AE610" s="8">
        <f>'PFAS Properties'!$S$40</f>
        <v>4.4345689040341991</v>
      </c>
      <c r="AF610" s="2">
        <f>'PFAS Properties'!$V$40</f>
        <v>3.6</v>
      </c>
      <c r="AG610" s="24">
        <v>7.7</v>
      </c>
      <c r="AH610" s="2" t="s">
        <v>183</v>
      </c>
      <c r="AI610" s="2" t="s">
        <v>661</v>
      </c>
      <c r="AJ610" s="2" t="s">
        <v>661</v>
      </c>
      <c r="AK610" s="2" t="s">
        <v>661</v>
      </c>
      <c r="AL610" s="2" t="s">
        <v>661</v>
      </c>
      <c r="AM610" s="2" t="s">
        <v>661</v>
      </c>
      <c r="AN610" s="2" t="s">
        <v>661</v>
      </c>
      <c r="AO610" s="2" t="s">
        <v>661</v>
      </c>
      <c r="AP610" s="15">
        <v>21.63</v>
      </c>
      <c r="AQ610" s="2" t="s">
        <v>661</v>
      </c>
      <c r="AR610" s="16">
        <v>70</v>
      </c>
      <c r="AS610" s="16">
        <v>11</v>
      </c>
      <c r="AT610" s="16">
        <v>19</v>
      </c>
      <c r="AU610" s="2" t="s">
        <v>661</v>
      </c>
      <c r="AV610" s="16">
        <f t="shared" si="320"/>
        <v>100</v>
      </c>
      <c r="AW610" s="18">
        <v>4.9000000000000004</v>
      </c>
      <c r="AX610" s="13">
        <f t="shared" si="321"/>
        <v>4.9000000000000002E-2</v>
      </c>
      <c r="AY610" s="8" t="s">
        <v>184</v>
      </c>
      <c r="AZ610" s="16">
        <v>100</v>
      </c>
      <c r="BA610" s="16" t="s">
        <v>55</v>
      </c>
      <c r="BB610" s="16">
        <v>5</v>
      </c>
      <c r="BC610" s="16" t="s">
        <v>55</v>
      </c>
      <c r="BD610" s="18">
        <v>0.5</v>
      </c>
      <c r="BE610" s="16">
        <f t="shared" si="322"/>
        <v>10.204081632653061</v>
      </c>
      <c r="BF610" s="16">
        <f t="shared" si="323"/>
        <v>1.0087739243075051</v>
      </c>
      <c r="BG610" s="8">
        <f t="shared" si="324"/>
        <v>-0.3010299956639812</v>
      </c>
      <c r="BH610" s="13" t="s">
        <v>345</v>
      </c>
      <c r="BI610" s="13"/>
      <c r="BJ610" s="13"/>
      <c r="BK610" s="13"/>
      <c r="BL610" s="13"/>
      <c r="BM610" s="17"/>
      <c r="BN610" s="17"/>
      <c r="BO610" s="2"/>
    </row>
    <row r="611" spans="1:67" s="14" customFormat="1" x14ac:dyDescent="0.3">
      <c r="A611" s="20">
        <v>609</v>
      </c>
      <c r="B611" s="2" t="s">
        <v>181</v>
      </c>
      <c r="C611" s="2">
        <v>2020</v>
      </c>
      <c r="D611" s="2" t="s">
        <v>203</v>
      </c>
      <c r="E611" s="10" t="s">
        <v>787</v>
      </c>
      <c r="F611" s="20" t="s">
        <v>29</v>
      </c>
      <c r="G611" s="2" t="s">
        <v>77</v>
      </c>
      <c r="H611" s="2" t="str">
        <f>'PFAS Properties'!$B$40</f>
        <v>GenX</v>
      </c>
      <c r="I611" s="2" t="str">
        <f>'PFAS Properties'!$C$40</f>
        <v>PFECA</v>
      </c>
      <c r="J611" s="2" t="str">
        <f>'PFAS Properties'!$D$40</f>
        <v>C6HF11O3</v>
      </c>
      <c r="K611" s="25">
        <f>'PFAS Properties'!$P$40</f>
        <v>329.97489999999993</v>
      </c>
      <c r="L611" s="2">
        <f>'PFAS Properties'!$X$40</f>
        <v>-0.1</v>
      </c>
      <c r="M611" s="2" t="str">
        <f>'PFAS Properties'!$Y$63</f>
        <v>-</v>
      </c>
      <c r="N611" s="33">
        <v>0</v>
      </c>
      <c r="O611" s="33">
        <v>0</v>
      </c>
      <c r="P611" s="33">
        <v>0</v>
      </c>
      <c r="Q611" s="33">
        <f t="shared" si="300"/>
        <v>0.99999998415106828</v>
      </c>
      <c r="R611" s="33">
        <v>0</v>
      </c>
      <c r="S611" s="33">
        <f t="shared" si="301"/>
        <v>1.5848931673422493E-8</v>
      </c>
      <c r="T611" s="8">
        <f t="shared" si="314"/>
        <v>1</v>
      </c>
      <c r="U611" s="33">
        <f t="shared" si="315"/>
        <v>0</v>
      </c>
      <c r="V611" s="33">
        <f t="shared" si="316"/>
        <v>-0.99999998415106828</v>
      </c>
      <c r="W611" s="33">
        <f t="shared" si="317"/>
        <v>328.97490001584885</v>
      </c>
      <c r="X611" s="33">
        <v>96485</v>
      </c>
      <c r="Y611" s="16">
        <f t="shared" si="318"/>
        <v>-293.28984815001849</v>
      </c>
      <c r="Z611" s="16">
        <v>6</v>
      </c>
      <c r="AA611" s="16">
        <v>11</v>
      </c>
      <c r="AB611" s="8">
        <f t="shared" si="319"/>
        <v>0.34449760765550236</v>
      </c>
      <c r="AC611" s="16">
        <f t="shared" si="293"/>
        <v>63.338150871475385</v>
      </c>
      <c r="AD611" s="20">
        <f>'PFAS Properties'!$W$40</f>
        <v>5</v>
      </c>
      <c r="AE611" s="8">
        <f>'PFAS Properties'!$S$40</f>
        <v>4.4345689040341991</v>
      </c>
      <c r="AF611" s="2">
        <f>'PFAS Properties'!$V$40</f>
        <v>3.6</v>
      </c>
      <c r="AG611" s="24">
        <v>7.7</v>
      </c>
      <c r="AH611" s="2" t="s">
        <v>183</v>
      </c>
      <c r="AI611" s="2" t="s">
        <v>661</v>
      </c>
      <c r="AJ611" s="2" t="s">
        <v>661</v>
      </c>
      <c r="AK611" s="2" t="s">
        <v>661</v>
      </c>
      <c r="AL611" s="2" t="s">
        <v>661</v>
      </c>
      <c r="AM611" s="2" t="s">
        <v>661</v>
      </c>
      <c r="AN611" s="2" t="s">
        <v>661</v>
      </c>
      <c r="AO611" s="2" t="s">
        <v>661</v>
      </c>
      <c r="AP611" s="15">
        <v>7.8</v>
      </c>
      <c r="AQ611" s="2" t="s">
        <v>661</v>
      </c>
      <c r="AR611" s="16">
        <v>48.9</v>
      </c>
      <c r="AS611" s="16">
        <v>32.6</v>
      </c>
      <c r="AT611" s="16">
        <v>18.5</v>
      </c>
      <c r="AU611" s="2" t="s">
        <v>661</v>
      </c>
      <c r="AV611" s="16">
        <f t="shared" si="320"/>
        <v>100</v>
      </c>
      <c r="AW611" s="18">
        <v>0.13</v>
      </c>
      <c r="AX611" s="13">
        <f t="shared" si="321"/>
        <v>1.2999999999999999E-3</v>
      </c>
      <c r="AY611" s="8" t="s">
        <v>184</v>
      </c>
      <c r="AZ611" s="16">
        <v>100</v>
      </c>
      <c r="BA611" s="16" t="s">
        <v>55</v>
      </c>
      <c r="BB611" s="16">
        <v>5</v>
      </c>
      <c r="BC611" s="16" t="s">
        <v>55</v>
      </c>
      <c r="BD611" s="20">
        <v>0.23</v>
      </c>
      <c r="BE611" s="16">
        <f t="shared" si="322"/>
        <v>176.92307692307693</v>
      </c>
      <c r="BF611" s="16">
        <f t="shared" si="323"/>
        <v>2.2477844837107561</v>
      </c>
      <c r="BG611" s="8">
        <f t="shared" si="324"/>
        <v>-0.63827216398240705</v>
      </c>
      <c r="BH611" s="13" t="s">
        <v>345</v>
      </c>
      <c r="BI611" s="13"/>
      <c r="BJ611" s="13"/>
      <c r="BK611" s="13"/>
      <c r="BL611" s="13"/>
      <c r="BM611" s="17"/>
      <c r="BN611" s="17"/>
      <c r="BO611" s="2"/>
    </row>
    <row r="612" spans="1:67" s="14" customFormat="1" x14ac:dyDescent="0.3">
      <c r="A612" s="20">
        <v>610</v>
      </c>
      <c r="B612" s="2" t="s">
        <v>181</v>
      </c>
      <c r="C612" s="2">
        <v>2020</v>
      </c>
      <c r="D612" s="2" t="s">
        <v>203</v>
      </c>
      <c r="E612" s="10" t="s">
        <v>787</v>
      </c>
      <c r="F612" s="20" t="s">
        <v>29</v>
      </c>
      <c r="G612" s="2" t="s">
        <v>182</v>
      </c>
      <c r="H612" s="2" t="str">
        <f>'PFAS Properties'!$B$40</f>
        <v>GenX</v>
      </c>
      <c r="I612" s="2" t="str">
        <f>'PFAS Properties'!$C$40</f>
        <v>PFECA</v>
      </c>
      <c r="J612" s="2" t="str">
        <f>'PFAS Properties'!$D$40</f>
        <v>C6HF11O3</v>
      </c>
      <c r="K612" s="25">
        <f>'PFAS Properties'!$P$40</f>
        <v>329.97489999999993</v>
      </c>
      <c r="L612" s="2">
        <f>'PFAS Properties'!$X$40</f>
        <v>-0.1</v>
      </c>
      <c r="M612" s="2" t="str">
        <f>'PFAS Properties'!$Y$63</f>
        <v>-</v>
      </c>
      <c r="N612" s="33">
        <v>0</v>
      </c>
      <c r="O612" s="33">
        <v>0</v>
      </c>
      <c r="P612" s="33">
        <v>0</v>
      </c>
      <c r="Q612" s="33">
        <f t="shared" si="300"/>
        <v>0.99999997488113634</v>
      </c>
      <c r="R612" s="33">
        <v>0</v>
      </c>
      <c r="S612" s="33">
        <f t="shared" si="301"/>
        <v>2.5118863684138424E-8</v>
      </c>
      <c r="T612" s="8">
        <f t="shared" si="314"/>
        <v>1</v>
      </c>
      <c r="U612" s="33">
        <f t="shared" si="315"/>
        <v>0</v>
      </c>
      <c r="V612" s="33">
        <f t="shared" si="316"/>
        <v>-0.99999997488113634</v>
      </c>
      <c r="W612" s="33">
        <f t="shared" si="317"/>
        <v>328.97490002511881</v>
      </c>
      <c r="X612" s="33">
        <v>96485</v>
      </c>
      <c r="Y612" s="16">
        <f t="shared" si="318"/>
        <v>-293.28984542297712</v>
      </c>
      <c r="Z612" s="16">
        <v>6</v>
      </c>
      <c r="AA612" s="16">
        <v>11</v>
      </c>
      <c r="AB612" s="8">
        <f t="shared" si="319"/>
        <v>0.34449760765550236</v>
      </c>
      <c r="AC612" s="16">
        <f t="shared" si="293"/>
        <v>63.338150871475385</v>
      </c>
      <c r="AD612" s="20">
        <f>'PFAS Properties'!$W$40</f>
        <v>5</v>
      </c>
      <c r="AE612" s="8">
        <f>'PFAS Properties'!$S$40</f>
        <v>4.4345689040341991</v>
      </c>
      <c r="AF612" s="2">
        <f>'PFAS Properties'!$V$40</f>
        <v>3.6</v>
      </c>
      <c r="AG612" s="24">
        <v>7.5</v>
      </c>
      <c r="AH612" s="2" t="s">
        <v>183</v>
      </c>
      <c r="AI612" s="2" t="s">
        <v>661</v>
      </c>
      <c r="AJ612" s="2" t="s">
        <v>661</v>
      </c>
      <c r="AK612" s="2" t="s">
        <v>661</v>
      </c>
      <c r="AL612" s="2" t="s">
        <v>661</v>
      </c>
      <c r="AM612" s="2" t="s">
        <v>661</v>
      </c>
      <c r="AN612" s="2" t="s">
        <v>661</v>
      </c>
      <c r="AO612" s="2" t="s">
        <v>661</v>
      </c>
      <c r="AP612" s="15">
        <v>2.2799999999999998</v>
      </c>
      <c r="AQ612" s="2" t="s">
        <v>661</v>
      </c>
      <c r="AR612" s="16">
        <v>93</v>
      </c>
      <c r="AS612" s="16">
        <v>1</v>
      </c>
      <c r="AT612" s="16">
        <v>5</v>
      </c>
      <c r="AU612" s="2" t="s">
        <v>661</v>
      </c>
      <c r="AV612" s="16">
        <f t="shared" si="320"/>
        <v>99</v>
      </c>
      <c r="AW612" s="18">
        <v>0.4</v>
      </c>
      <c r="AX612" s="13">
        <f t="shared" si="321"/>
        <v>4.0000000000000001E-3</v>
      </c>
      <c r="AY612" s="8" t="s">
        <v>184</v>
      </c>
      <c r="AZ612" s="16">
        <v>100</v>
      </c>
      <c r="BA612" s="16" t="s">
        <v>55</v>
      </c>
      <c r="BB612" s="16">
        <v>5</v>
      </c>
      <c r="BC612" s="16" t="s">
        <v>55</v>
      </c>
      <c r="BD612" s="20">
        <v>7.0000000000000007E-2</v>
      </c>
      <c r="BE612" s="16">
        <f t="shared" si="322"/>
        <v>17.5</v>
      </c>
      <c r="BF612" s="16">
        <f t="shared" si="323"/>
        <v>1.2430380486862944</v>
      </c>
      <c r="BG612" s="8">
        <f t="shared" si="324"/>
        <v>-1.1549019599857431</v>
      </c>
      <c r="BH612" s="13" t="s">
        <v>345</v>
      </c>
      <c r="BI612" s="13"/>
      <c r="BJ612" s="13"/>
      <c r="BK612" s="13"/>
      <c r="BL612" s="13"/>
      <c r="BM612" s="17"/>
      <c r="BN612" s="17"/>
      <c r="BO612" s="2"/>
    </row>
    <row r="613" spans="1:67" s="14" customFormat="1" x14ac:dyDescent="0.3">
      <c r="A613" s="20">
        <v>611</v>
      </c>
      <c r="B613" s="2" t="s">
        <v>181</v>
      </c>
      <c r="C613" s="2">
        <v>2020</v>
      </c>
      <c r="D613" s="2" t="s">
        <v>203</v>
      </c>
      <c r="E613" s="10" t="s">
        <v>787</v>
      </c>
      <c r="F613" s="20" t="s">
        <v>29</v>
      </c>
      <c r="G613" s="2" t="s">
        <v>78</v>
      </c>
      <c r="H613" s="2" t="str">
        <f>'PFAS Properties'!$B$40</f>
        <v>GenX</v>
      </c>
      <c r="I613" s="2" t="str">
        <f>'PFAS Properties'!$C$40</f>
        <v>PFECA</v>
      </c>
      <c r="J613" s="2" t="str">
        <f>'PFAS Properties'!$D$40</f>
        <v>C6HF11O3</v>
      </c>
      <c r="K613" s="25">
        <f>'PFAS Properties'!$P$40</f>
        <v>329.97489999999993</v>
      </c>
      <c r="L613" s="2">
        <f>'PFAS Properties'!$X$40</f>
        <v>-0.1</v>
      </c>
      <c r="M613" s="2" t="str">
        <f>'PFAS Properties'!$Y$63</f>
        <v>-</v>
      </c>
      <c r="N613" s="33">
        <v>0</v>
      </c>
      <c r="O613" s="33">
        <v>0</v>
      </c>
      <c r="P613" s="33">
        <v>0</v>
      </c>
      <c r="Q613" s="33">
        <f t="shared" si="300"/>
        <v>0.99999993690426958</v>
      </c>
      <c r="R613" s="33">
        <v>0</v>
      </c>
      <c r="S613" s="33">
        <f t="shared" si="301"/>
        <v>6.3095730466947954E-8</v>
      </c>
      <c r="T613" s="8">
        <f t="shared" si="314"/>
        <v>1</v>
      </c>
      <c r="U613" s="33">
        <f t="shared" si="315"/>
        <v>0</v>
      </c>
      <c r="V613" s="33">
        <f t="shared" si="316"/>
        <v>-0.99999993690426958</v>
      </c>
      <c r="W613" s="33">
        <f t="shared" si="317"/>
        <v>328.97490006309567</v>
      </c>
      <c r="X613" s="33">
        <v>96485</v>
      </c>
      <c r="Y613" s="16">
        <f t="shared" si="318"/>
        <v>-293.28983425089007</v>
      </c>
      <c r="Z613" s="16">
        <v>6</v>
      </c>
      <c r="AA613" s="16">
        <v>11</v>
      </c>
      <c r="AB613" s="8">
        <f t="shared" si="319"/>
        <v>0.34449760765550236</v>
      </c>
      <c r="AC613" s="16">
        <f t="shared" si="293"/>
        <v>63.338150871475385</v>
      </c>
      <c r="AD613" s="20">
        <f>'PFAS Properties'!$W$40</f>
        <v>5</v>
      </c>
      <c r="AE613" s="8">
        <f>'PFAS Properties'!$S$40</f>
        <v>4.4345689040341991</v>
      </c>
      <c r="AF613" s="2">
        <f>'PFAS Properties'!$V$40</f>
        <v>3.6</v>
      </c>
      <c r="AG613" s="24">
        <v>7.1</v>
      </c>
      <c r="AH613" s="2" t="s">
        <v>183</v>
      </c>
      <c r="AI613" s="2" t="s">
        <v>661</v>
      </c>
      <c r="AJ613" s="2" t="s">
        <v>661</v>
      </c>
      <c r="AK613" s="2" t="s">
        <v>661</v>
      </c>
      <c r="AL613" s="2" t="s">
        <v>661</v>
      </c>
      <c r="AM613" s="2" t="s">
        <v>661</v>
      </c>
      <c r="AN613" s="2" t="s">
        <v>661</v>
      </c>
      <c r="AO613" s="2" t="s">
        <v>661</v>
      </c>
      <c r="AP613" s="15">
        <v>17.420000000000002</v>
      </c>
      <c r="AQ613" s="2" t="s">
        <v>661</v>
      </c>
      <c r="AR613" s="16">
        <v>48.86</v>
      </c>
      <c r="AS613" s="16">
        <v>16.05</v>
      </c>
      <c r="AT613" s="16">
        <v>35.090000000000003</v>
      </c>
      <c r="AU613" s="2" t="s">
        <v>661</v>
      </c>
      <c r="AV613" s="16">
        <f t="shared" si="320"/>
        <v>100</v>
      </c>
      <c r="AW613" s="18">
        <v>1.19</v>
      </c>
      <c r="AX613" s="13">
        <f t="shared" si="321"/>
        <v>1.1899999999999999E-2</v>
      </c>
      <c r="AY613" s="8" t="s">
        <v>184</v>
      </c>
      <c r="AZ613" s="16">
        <v>100</v>
      </c>
      <c r="BA613" s="16" t="s">
        <v>55</v>
      </c>
      <c r="BB613" s="16">
        <v>5</v>
      </c>
      <c r="BC613" s="16" t="s">
        <v>55</v>
      </c>
      <c r="BD613" s="20">
        <v>0.18</v>
      </c>
      <c r="BE613" s="16">
        <f t="shared" si="322"/>
        <v>15.126050420168069</v>
      </c>
      <c r="BF613" s="16">
        <f t="shared" si="323"/>
        <v>1.1797255437107754</v>
      </c>
      <c r="BG613" s="8">
        <f t="shared" si="324"/>
        <v>-0.74472749489669399</v>
      </c>
      <c r="BH613" s="13" t="s">
        <v>345</v>
      </c>
      <c r="BI613" s="13"/>
      <c r="BJ613" s="13"/>
      <c r="BK613" s="13"/>
      <c r="BL613" s="13"/>
      <c r="BM613" s="17"/>
      <c r="BN613" s="17"/>
      <c r="BO613" s="2"/>
    </row>
    <row r="614" spans="1:67" s="14" customFormat="1" x14ac:dyDescent="0.3">
      <c r="A614" s="20">
        <v>612</v>
      </c>
      <c r="B614" s="2" t="s">
        <v>181</v>
      </c>
      <c r="C614" s="2">
        <v>2020</v>
      </c>
      <c r="D614" s="2" t="s">
        <v>203</v>
      </c>
      <c r="E614" s="10" t="s">
        <v>787</v>
      </c>
      <c r="F614" s="20" t="s">
        <v>29</v>
      </c>
      <c r="G614" s="2" t="s">
        <v>98</v>
      </c>
      <c r="H614" s="2" t="str">
        <f>'PFAS Properties'!$B$40</f>
        <v>GenX</v>
      </c>
      <c r="I614" s="2" t="str">
        <f>'PFAS Properties'!$C$40</f>
        <v>PFECA</v>
      </c>
      <c r="J614" s="2" t="str">
        <f>'PFAS Properties'!$D$40</f>
        <v>C6HF11O3</v>
      </c>
      <c r="K614" s="25">
        <f>'PFAS Properties'!$P$40</f>
        <v>329.97489999999993</v>
      </c>
      <c r="L614" s="2">
        <f>'PFAS Properties'!$X$40</f>
        <v>-0.1</v>
      </c>
      <c r="M614" s="2" t="str">
        <f>'PFAS Properties'!$Y$63</f>
        <v>-</v>
      </c>
      <c r="N614" s="33">
        <v>0</v>
      </c>
      <c r="O614" s="33">
        <v>0</v>
      </c>
      <c r="P614" s="33">
        <v>0</v>
      </c>
      <c r="Q614" s="33">
        <f t="shared" si="300"/>
        <v>0.99999968377233395</v>
      </c>
      <c r="R614" s="33">
        <v>0</v>
      </c>
      <c r="S614" s="33">
        <f t="shared" si="301"/>
        <v>3.1622766601686895E-7</v>
      </c>
      <c r="T614" s="8">
        <f t="shared" si="314"/>
        <v>1</v>
      </c>
      <c r="U614" s="33">
        <f t="shared" si="315"/>
        <v>0</v>
      </c>
      <c r="V614" s="33">
        <f t="shared" si="316"/>
        <v>-0.99999968377233395</v>
      </c>
      <c r="W614" s="33">
        <f t="shared" si="317"/>
        <v>328.9749003162276</v>
      </c>
      <c r="X614" s="33">
        <v>96485</v>
      </c>
      <c r="Y614" s="16">
        <f t="shared" si="318"/>
        <v>-293.28975978418816</v>
      </c>
      <c r="Z614" s="16">
        <v>6</v>
      </c>
      <c r="AA614" s="16">
        <v>11</v>
      </c>
      <c r="AB614" s="8">
        <f t="shared" si="319"/>
        <v>0.34449760765550236</v>
      </c>
      <c r="AC614" s="16">
        <f t="shared" si="293"/>
        <v>63.338150871475385</v>
      </c>
      <c r="AD614" s="20">
        <f>'PFAS Properties'!$W$40</f>
        <v>5</v>
      </c>
      <c r="AE614" s="8">
        <f>'PFAS Properties'!$S$40</f>
        <v>4.4345689040341991</v>
      </c>
      <c r="AF614" s="2">
        <f>'PFAS Properties'!$V$40</f>
        <v>3.6</v>
      </c>
      <c r="AG614" s="24">
        <v>6.4</v>
      </c>
      <c r="AH614" s="2" t="s">
        <v>183</v>
      </c>
      <c r="AI614" s="2" t="s">
        <v>661</v>
      </c>
      <c r="AJ614" s="15" t="s">
        <v>661</v>
      </c>
      <c r="AK614" s="8" t="s">
        <v>661</v>
      </c>
      <c r="AL614" s="2" t="s">
        <v>661</v>
      </c>
      <c r="AM614" s="15" t="s">
        <v>661</v>
      </c>
      <c r="AN614" s="8" t="s">
        <v>661</v>
      </c>
      <c r="AO614" s="15" t="s">
        <v>661</v>
      </c>
      <c r="AP614" s="15">
        <v>16.54</v>
      </c>
      <c r="AQ614" s="13" t="s">
        <v>661</v>
      </c>
      <c r="AR614" s="16">
        <v>29.38</v>
      </c>
      <c r="AS614" s="16">
        <v>13.9</v>
      </c>
      <c r="AT614" s="16">
        <v>56.71</v>
      </c>
      <c r="AU614" s="15" t="s">
        <v>661</v>
      </c>
      <c r="AV614" s="16">
        <f t="shared" si="320"/>
        <v>99.990000000000009</v>
      </c>
      <c r="AW614" s="18">
        <v>0.17</v>
      </c>
      <c r="AX614" s="13">
        <f t="shared" si="321"/>
        <v>1.7000000000000001E-3</v>
      </c>
      <c r="AY614" s="8" t="s">
        <v>184</v>
      </c>
      <c r="AZ614" s="16">
        <v>100</v>
      </c>
      <c r="BA614" s="16" t="s">
        <v>55</v>
      </c>
      <c r="BB614" s="16">
        <v>5</v>
      </c>
      <c r="BC614" s="16" t="s">
        <v>55</v>
      </c>
      <c r="BD614" s="20">
        <v>0.32</v>
      </c>
      <c r="BE614" s="16">
        <f t="shared" si="322"/>
        <v>188.23529411764704</v>
      </c>
      <c r="BF614" s="16">
        <f t="shared" si="323"/>
        <v>2.2747010569416322</v>
      </c>
      <c r="BG614" s="8">
        <f t="shared" si="324"/>
        <v>-0.49485002168009401</v>
      </c>
      <c r="BH614" s="13" t="s">
        <v>345</v>
      </c>
      <c r="BI614" s="13"/>
      <c r="BJ614" s="13"/>
      <c r="BK614" s="13"/>
      <c r="BL614" s="13"/>
      <c r="BM614" s="17"/>
      <c r="BN614" s="17"/>
      <c r="BO614" s="2"/>
    </row>
    <row r="615" spans="1:67" s="14" customFormat="1" x14ac:dyDescent="0.3">
      <c r="A615" s="20">
        <v>613</v>
      </c>
      <c r="B615" s="2" t="s">
        <v>181</v>
      </c>
      <c r="C615" s="2">
        <v>2020</v>
      </c>
      <c r="D615" s="2" t="s">
        <v>203</v>
      </c>
      <c r="E615" s="10" t="s">
        <v>787</v>
      </c>
      <c r="F615" s="20" t="s">
        <v>29</v>
      </c>
      <c r="G615" s="2" t="s">
        <v>62</v>
      </c>
      <c r="H615" s="2" t="str">
        <f>'PFAS Properties'!$B$41</f>
        <v>ADONA</v>
      </c>
      <c r="I615" s="2" t="str">
        <f>'PFAS Properties'!$C$41</f>
        <v>PFECA</v>
      </c>
      <c r="J615" s="2" t="str">
        <f>'PFAS Properties'!$D$41</f>
        <v>C7H2F12O4</v>
      </c>
      <c r="K615" s="25">
        <f>'PFAS Properties'!$P$41</f>
        <v>377.976</v>
      </c>
      <c r="L615" s="2">
        <f>'PFAS Properties'!$X$41</f>
        <v>1.2</v>
      </c>
      <c r="M615" s="2" t="str">
        <f>'PFAS Properties'!$Y$63</f>
        <v>-</v>
      </c>
      <c r="N615" s="33">
        <v>0</v>
      </c>
      <c r="O615" s="33">
        <v>0</v>
      </c>
      <c r="P615" s="33">
        <v>0</v>
      </c>
      <c r="Q615" s="33">
        <f t="shared" si="300"/>
        <v>0.99999949881301753</v>
      </c>
      <c r="R615" s="33">
        <v>0</v>
      </c>
      <c r="S615" s="33">
        <f t="shared" si="301"/>
        <v>5.0118698243875488E-7</v>
      </c>
      <c r="T615" s="8">
        <f t="shared" si="314"/>
        <v>1</v>
      </c>
      <c r="U615" s="33">
        <f t="shared" si="315"/>
        <v>0</v>
      </c>
      <c r="V615" s="33">
        <f t="shared" si="316"/>
        <v>-0.99999949881301753</v>
      </c>
      <c r="W615" s="33">
        <f t="shared" si="317"/>
        <v>376.976000501187</v>
      </c>
      <c r="X615" s="33">
        <v>96485</v>
      </c>
      <c r="Y615" s="16">
        <f t="shared" si="318"/>
        <v>-255.94454690669411</v>
      </c>
      <c r="Z615" s="16">
        <v>7</v>
      </c>
      <c r="AA615" s="16">
        <v>12</v>
      </c>
      <c r="AB615" s="8">
        <f t="shared" si="319"/>
        <v>0.36842105263157893</v>
      </c>
      <c r="AC615" s="16">
        <f t="shared" si="293"/>
        <v>60.321290240650207</v>
      </c>
      <c r="AD615" s="20">
        <f>'PFAS Properties'!$W$41</f>
        <v>6</v>
      </c>
      <c r="AE615" s="8">
        <f>'PFAS Properties'!$S$41</f>
        <v>3.9716932389498609</v>
      </c>
      <c r="AF615" s="2">
        <f>'PFAS Properties'!$V$41</f>
        <v>4.0999999999999996</v>
      </c>
      <c r="AG615" s="24">
        <v>7.5</v>
      </c>
      <c r="AH615" s="2" t="s">
        <v>183</v>
      </c>
      <c r="AI615" s="2" t="s">
        <v>661</v>
      </c>
      <c r="AJ615" s="2" t="s">
        <v>661</v>
      </c>
      <c r="AK615" s="2" t="s">
        <v>661</v>
      </c>
      <c r="AL615" s="2" t="s">
        <v>661</v>
      </c>
      <c r="AM615" s="2" t="s">
        <v>661</v>
      </c>
      <c r="AN615" s="2" t="s">
        <v>661</v>
      </c>
      <c r="AO615" s="2" t="s">
        <v>661</v>
      </c>
      <c r="AP615" s="15">
        <v>41.4</v>
      </c>
      <c r="AQ615" s="2" t="s">
        <v>661</v>
      </c>
      <c r="AR615" s="16">
        <v>16.899999999999999</v>
      </c>
      <c r="AS615" s="16">
        <v>17.5</v>
      </c>
      <c r="AT615" s="16">
        <v>65.599999999999994</v>
      </c>
      <c r="AU615" s="2" t="s">
        <v>661</v>
      </c>
      <c r="AV615" s="16">
        <f t="shared" si="320"/>
        <v>100</v>
      </c>
      <c r="AW615" s="18">
        <v>0.7</v>
      </c>
      <c r="AX615" s="13">
        <f t="shared" si="321"/>
        <v>6.9999999999999993E-3</v>
      </c>
      <c r="AY615" s="13" t="s">
        <v>184</v>
      </c>
      <c r="AZ615" s="16">
        <v>100</v>
      </c>
      <c r="BA615" s="16" t="s">
        <v>55</v>
      </c>
      <c r="BB615" s="16">
        <v>5</v>
      </c>
      <c r="BC615" s="16" t="s">
        <v>55</v>
      </c>
      <c r="BD615" s="18">
        <v>0.39</v>
      </c>
      <c r="BE615" s="16">
        <f t="shared" si="322"/>
        <v>55.714285714285722</v>
      </c>
      <c r="BF615" s="16">
        <f t="shared" si="323"/>
        <v>1.7459665670122424</v>
      </c>
      <c r="BG615" s="8">
        <f t="shared" si="324"/>
        <v>-0.40893539297350079</v>
      </c>
      <c r="BH615" s="13" t="s">
        <v>345</v>
      </c>
      <c r="BI615" s="13"/>
      <c r="BJ615" s="13"/>
      <c r="BK615" s="13"/>
      <c r="BL615" s="13"/>
      <c r="BM615" s="17"/>
      <c r="BN615" s="17"/>
      <c r="BO615" s="2"/>
    </row>
    <row r="616" spans="1:67" s="14" customFormat="1" x14ac:dyDescent="0.3">
      <c r="A616" s="20">
        <v>614</v>
      </c>
      <c r="B616" s="2" t="s">
        <v>181</v>
      </c>
      <c r="C616" s="2">
        <v>2020</v>
      </c>
      <c r="D616" s="2" t="s">
        <v>203</v>
      </c>
      <c r="E616" s="10" t="s">
        <v>787</v>
      </c>
      <c r="F616" s="20" t="s">
        <v>29</v>
      </c>
      <c r="G616" s="2" t="s">
        <v>57</v>
      </c>
      <c r="H616" s="2" t="str">
        <f>'PFAS Properties'!$B$41</f>
        <v>ADONA</v>
      </c>
      <c r="I616" s="2" t="str">
        <f>'PFAS Properties'!$C$41</f>
        <v>PFECA</v>
      </c>
      <c r="J616" s="2" t="str">
        <f>'PFAS Properties'!$D$41</f>
        <v>C7H2F12O4</v>
      </c>
      <c r="K616" s="25">
        <f>'PFAS Properties'!$P$41</f>
        <v>377.976</v>
      </c>
      <c r="L616" s="2">
        <f>'PFAS Properties'!$X$41</f>
        <v>1.2</v>
      </c>
      <c r="M616" s="2" t="str">
        <f>'PFAS Properties'!$Y$63</f>
        <v>-</v>
      </c>
      <c r="N616" s="33">
        <v>0</v>
      </c>
      <c r="O616" s="33">
        <v>0</v>
      </c>
      <c r="P616" s="33">
        <v>0</v>
      </c>
      <c r="Q616" s="33">
        <f t="shared" si="300"/>
        <v>0.9999974881198781</v>
      </c>
      <c r="R616" s="33">
        <v>0</v>
      </c>
      <c r="S616" s="33">
        <f t="shared" si="301"/>
        <v>2.5118801219519848E-6</v>
      </c>
      <c r="T616" s="8">
        <f t="shared" si="314"/>
        <v>1</v>
      </c>
      <c r="U616" s="33">
        <f t="shared" si="315"/>
        <v>0</v>
      </c>
      <c r="V616" s="33">
        <f t="shared" si="316"/>
        <v>-0.9999974881198781</v>
      </c>
      <c r="W616" s="33">
        <f t="shared" si="317"/>
        <v>376.97600251188015</v>
      </c>
      <c r="X616" s="33">
        <v>96485</v>
      </c>
      <c r="Y616" s="16">
        <f t="shared" si="318"/>
        <v>-255.9440309153519</v>
      </c>
      <c r="Z616" s="16">
        <v>7</v>
      </c>
      <c r="AA616" s="16">
        <v>12</v>
      </c>
      <c r="AB616" s="8">
        <f t="shared" si="319"/>
        <v>0.36842105263157893</v>
      </c>
      <c r="AC616" s="16">
        <f t="shared" si="293"/>
        <v>60.321290240650207</v>
      </c>
      <c r="AD616" s="20">
        <f>'PFAS Properties'!$W$41</f>
        <v>6</v>
      </c>
      <c r="AE616" s="8">
        <f>'PFAS Properties'!$S$41</f>
        <v>3.9716932389498609</v>
      </c>
      <c r="AF616" s="2">
        <f>'PFAS Properties'!$V$41</f>
        <v>4.0999999999999996</v>
      </c>
      <c r="AG616" s="24">
        <v>6.8</v>
      </c>
      <c r="AH616" s="2" t="s">
        <v>183</v>
      </c>
      <c r="AI616" s="2" t="s">
        <v>661</v>
      </c>
      <c r="AJ616" s="2" t="s">
        <v>661</v>
      </c>
      <c r="AK616" s="2" t="s">
        <v>661</v>
      </c>
      <c r="AL616" s="2" t="s">
        <v>661</v>
      </c>
      <c r="AM616" s="2" t="s">
        <v>661</v>
      </c>
      <c r="AN616" s="2" t="s">
        <v>661</v>
      </c>
      <c r="AO616" s="2" t="s">
        <v>661</v>
      </c>
      <c r="AP616" s="15">
        <v>7.1</v>
      </c>
      <c r="AQ616" s="2" t="s">
        <v>661</v>
      </c>
      <c r="AR616" s="16">
        <v>48.9</v>
      </c>
      <c r="AS616" s="16">
        <v>27</v>
      </c>
      <c r="AT616" s="16">
        <v>24.2</v>
      </c>
      <c r="AU616" s="2" t="s">
        <v>661</v>
      </c>
      <c r="AV616" s="16">
        <f t="shared" si="320"/>
        <v>100.10000000000001</v>
      </c>
      <c r="AW616" s="18">
        <v>0.37</v>
      </c>
      <c r="AX616" s="13">
        <f t="shared" si="321"/>
        <v>3.7000000000000002E-3</v>
      </c>
      <c r="AY616" s="13" t="s">
        <v>184</v>
      </c>
      <c r="AZ616" s="16">
        <v>100</v>
      </c>
      <c r="BA616" s="16" t="s">
        <v>55</v>
      </c>
      <c r="BB616" s="16">
        <v>5</v>
      </c>
      <c r="BC616" s="16" t="s">
        <v>55</v>
      </c>
      <c r="BD616" s="20">
        <v>0.31</v>
      </c>
      <c r="BE616" s="16">
        <f t="shared" si="322"/>
        <v>83.783783783783775</v>
      </c>
      <c r="BF616" s="16">
        <f t="shared" si="323"/>
        <v>1.9231599697672777</v>
      </c>
      <c r="BG616" s="8">
        <f t="shared" si="324"/>
        <v>-0.50863830616572736</v>
      </c>
      <c r="BH616" s="13" t="s">
        <v>345</v>
      </c>
      <c r="BI616" s="13"/>
      <c r="BJ616" s="13"/>
      <c r="BK616" s="13"/>
      <c r="BL616" s="13"/>
      <c r="BM616" s="17"/>
      <c r="BN616" s="17"/>
      <c r="BO616" s="2"/>
    </row>
    <row r="617" spans="1:67" s="14" customFormat="1" x14ac:dyDescent="0.3">
      <c r="A617" s="20">
        <v>615</v>
      </c>
      <c r="B617" s="2" t="s">
        <v>181</v>
      </c>
      <c r="C617" s="2">
        <v>2020</v>
      </c>
      <c r="D617" s="2" t="s">
        <v>203</v>
      </c>
      <c r="E617" s="10" t="s">
        <v>787</v>
      </c>
      <c r="F617" s="20" t="s">
        <v>29</v>
      </c>
      <c r="G617" s="2" t="s">
        <v>58</v>
      </c>
      <c r="H617" s="2" t="str">
        <f>'PFAS Properties'!$B$41</f>
        <v>ADONA</v>
      </c>
      <c r="I617" s="2" t="str">
        <f>'PFAS Properties'!$C$41</f>
        <v>PFECA</v>
      </c>
      <c r="J617" s="2" t="str">
        <f>'PFAS Properties'!$D$41</f>
        <v>C7H2F12O4</v>
      </c>
      <c r="K617" s="25">
        <f>'PFAS Properties'!$P$41</f>
        <v>377.976</v>
      </c>
      <c r="L617" s="2">
        <f>'PFAS Properties'!$X$41</f>
        <v>1.2</v>
      </c>
      <c r="M617" s="2" t="str">
        <f>'PFAS Properties'!$Y$63</f>
        <v>-</v>
      </c>
      <c r="N617" s="33">
        <v>0</v>
      </c>
      <c r="O617" s="33">
        <v>0</v>
      </c>
      <c r="P617" s="33">
        <v>0</v>
      </c>
      <c r="Q617" s="33">
        <f t="shared" si="300"/>
        <v>0.99999000009999905</v>
      </c>
      <c r="R617" s="33">
        <v>0</v>
      </c>
      <c r="S617" s="33">
        <f t="shared" si="301"/>
        <v>9.9999000009999908E-6</v>
      </c>
      <c r="T617" s="8">
        <f t="shared" si="314"/>
        <v>1</v>
      </c>
      <c r="U617" s="33">
        <f t="shared" si="315"/>
        <v>0</v>
      </c>
      <c r="V617" s="33">
        <f t="shared" si="316"/>
        <v>-0.99999000009999905</v>
      </c>
      <c r="W617" s="33">
        <f t="shared" si="317"/>
        <v>376.97600999989999</v>
      </c>
      <c r="X617" s="33">
        <v>96485</v>
      </c>
      <c r="Y617" s="16">
        <f t="shared" si="318"/>
        <v>-255.94210931266952</v>
      </c>
      <c r="Z617" s="16">
        <v>7</v>
      </c>
      <c r="AA617" s="16">
        <v>12</v>
      </c>
      <c r="AB617" s="8">
        <f t="shared" si="319"/>
        <v>0.36842105263157893</v>
      </c>
      <c r="AC617" s="16">
        <f t="shared" si="293"/>
        <v>60.321290240650207</v>
      </c>
      <c r="AD617" s="20">
        <f>'PFAS Properties'!$W$41</f>
        <v>6</v>
      </c>
      <c r="AE617" s="8">
        <f>'PFAS Properties'!$S$41</f>
        <v>3.9716932389498609</v>
      </c>
      <c r="AF617" s="2">
        <f>'PFAS Properties'!$V$41</f>
        <v>4.0999999999999996</v>
      </c>
      <c r="AG617" s="24">
        <v>6.2</v>
      </c>
      <c r="AH617" s="2" t="s">
        <v>183</v>
      </c>
      <c r="AI617" s="2" t="s">
        <v>661</v>
      </c>
      <c r="AJ617" s="2" t="s">
        <v>661</v>
      </c>
      <c r="AK617" s="2" t="s">
        <v>661</v>
      </c>
      <c r="AL617" s="2" t="s">
        <v>661</v>
      </c>
      <c r="AM617" s="2" t="s">
        <v>661</v>
      </c>
      <c r="AN617" s="2" t="s">
        <v>661</v>
      </c>
      <c r="AO617" s="2" t="s">
        <v>661</v>
      </c>
      <c r="AP617" s="15">
        <v>8</v>
      </c>
      <c r="AQ617" s="2" t="s">
        <v>661</v>
      </c>
      <c r="AR617" s="16">
        <v>51.44</v>
      </c>
      <c r="AS617" s="16">
        <v>10.17</v>
      </c>
      <c r="AT617" s="16">
        <v>38.380000000000003</v>
      </c>
      <c r="AU617" s="2" t="s">
        <v>661</v>
      </c>
      <c r="AV617" s="16">
        <f t="shared" si="320"/>
        <v>99.990000000000009</v>
      </c>
      <c r="AW617" s="18">
        <v>0.08</v>
      </c>
      <c r="AX617" s="13">
        <f t="shared" si="321"/>
        <v>8.0000000000000004E-4</v>
      </c>
      <c r="AY617" s="8" t="s">
        <v>184</v>
      </c>
      <c r="AZ617" s="16">
        <v>100</v>
      </c>
      <c r="BA617" s="16" t="s">
        <v>55</v>
      </c>
      <c r="BB617" s="16">
        <v>5</v>
      </c>
      <c r="BC617" s="16" t="s">
        <v>55</v>
      </c>
      <c r="BD617" s="20">
        <v>0.21</v>
      </c>
      <c r="BE617" s="16">
        <f t="shared" si="322"/>
        <v>262.5</v>
      </c>
      <c r="BF617" s="16">
        <f t="shared" si="323"/>
        <v>2.4191293077419758</v>
      </c>
      <c r="BG617" s="8">
        <f t="shared" si="324"/>
        <v>-0.6777807052660807</v>
      </c>
      <c r="BH617" s="13" t="s">
        <v>345</v>
      </c>
      <c r="BI617" s="13"/>
      <c r="BJ617" s="13"/>
      <c r="BK617" s="13"/>
      <c r="BL617" s="13"/>
      <c r="BM617" s="17"/>
      <c r="BN617" s="17"/>
      <c r="BO617" s="2"/>
    </row>
    <row r="618" spans="1:67" s="14" customFormat="1" x14ac:dyDescent="0.3">
      <c r="A618" s="20">
        <v>616</v>
      </c>
      <c r="B618" s="2" t="s">
        <v>181</v>
      </c>
      <c r="C618" s="2">
        <v>2020</v>
      </c>
      <c r="D618" s="2" t="s">
        <v>203</v>
      </c>
      <c r="E618" s="10" t="s">
        <v>787</v>
      </c>
      <c r="F618" s="20" t="s">
        <v>29</v>
      </c>
      <c r="G618" s="2" t="s">
        <v>59</v>
      </c>
      <c r="H618" s="2" t="str">
        <f>'PFAS Properties'!$B$41</f>
        <v>ADONA</v>
      </c>
      <c r="I618" s="2" t="str">
        <f>'PFAS Properties'!$C$41</f>
        <v>PFECA</v>
      </c>
      <c r="J618" s="2" t="str">
        <f>'PFAS Properties'!$D$41</f>
        <v>C7H2F12O4</v>
      </c>
      <c r="K618" s="25">
        <f>'PFAS Properties'!$P$41</f>
        <v>377.976</v>
      </c>
      <c r="L618" s="2">
        <f>'PFAS Properties'!$X$41</f>
        <v>1.2</v>
      </c>
      <c r="M618" s="2" t="str">
        <f>'PFAS Properties'!$Y$63</f>
        <v>-</v>
      </c>
      <c r="N618" s="33">
        <v>0</v>
      </c>
      <c r="O618" s="33">
        <v>0</v>
      </c>
      <c r="P618" s="33">
        <v>0</v>
      </c>
      <c r="Q618" s="33">
        <f t="shared" si="300"/>
        <v>0.99999968377233395</v>
      </c>
      <c r="R618" s="33">
        <v>0</v>
      </c>
      <c r="S618" s="33">
        <f t="shared" si="301"/>
        <v>3.1622766601686895E-7</v>
      </c>
      <c r="T618" s="8">
        <f t="shared" si="314"/>
        <v>1</v>
      </c>
      <c r="U618" s="33">
        <f t="shared" si="315"/>
        <v>0</v>
      </c>
      <c r="V618" s="33">
        <f t="shared" si="316"/>
        <v>-0.99999968377233395</v>
      </c>
      <c r="W618" s="33">
        <f t="shared" si="317"/>
        <v>376.97600031622761</v>
      </c>
      <c r="X618" s="33">
        <v>96485</v>
      </c>
      <c r="Y618" s="16">
        <f t="shared" si="318"/>
        <v>-255.94459437162286</v>
      </c>
      <c r="Z618" s="16">
        <v>7</v>
      </c>
      <c r="AA618" s="16">
        <v>12</v>
      </c>
      <c r="AB618" s="8">
        <f t="shared" si="319"/>
        <v>0.36842105263157893</v>
      </c>
      <c r="AC618" s="16">
        <f t="shared" si="293"/>
        <v>60.321290240650207</v>
      </c>
      <c r="AD618" s="20">
        <f>'PFAS Properties'!$W$41</f>
        <v>6</v>
      </c>
      <c r="AE618" s="8">
        <f>'PFAS Properties'!$S$41</f>
        <v>3.9716932389498609</v>
      </c>
      <c r="AF618" s="2">
        <f>'PFAS Properties'!$V$41</f>
        <v>4.0999999999999996</v>
      </c>
      <c r="AG618" s="24">
        <v>7.7</v>
      </c>
      <c r="AH618" s="2" t="s">
        <v>183</v>
      </c>
      <c r="AI618" s="2" t="s">
        <v>661</v>
      </c>
      <c r="AJ618" s="2" t="s">
        <v>661</v>
      </c>
      <c r="AK618" s="2" t="s">
        <v>661</v>
      </c>
      <c r="AL618" s="2" t="s">
        <v>661</v>
      </c>
      <c r="AM618" s="2" t="s">
        <v>661</v>
      </c>
      <c r="AN618" s="2" t="s">
        <v>661</v>
      </c>
      <c r="AO618" s="2" t="s">
        <v>661</v>
      </c>
      <c r="AP618" s="15">
        <v>4.8</v>
      </c>
      <c r="AQ618" s="2" t="s">
        <v>661</v>
      </c>
      <c r="AR618" s="16">
        <v>46</v>
      </c>
      <c r="AS618" s="16">
        <v>37</v>
      </c>
      <c r="AT618" s="16">
        <v>17</v>
      </c>
      <c r="AU618" s="2" t="s">
        <v>661</v>
      </c>
      <c r="AV618" s="16">
        <f t="shared" si="320"/>
        <v>100</v>
      </c>
      <c r="AW618" s="18">
        <v>0.25</v>
      </c>
      <c r="AX618" s="13">
        <f t="shared" si="321"/>
        <v>2.5000000000000001E-3</v>
      </c>
      <c r="AY618" s="13" t="s">
        <v>184</v>
      </c>
      <c r="AZ618" s="16">
        <v>100</v>
      </c>
      <c r="BA618" s="16" t="s">
        <v>55</v>
      </c>
      <c r="BB618" s="16">
        <v>5</v>
      </c>
      <c r="BC618" s="16" t="s">
        <v>55</v>
      </c>
      <c r="BD618" s="18">
        <v>0.14000000000000001</v>
      </c>
      <c r="BE618" s="16">
        <f t="shared" si="322"/>
        <v>56.000000000000007</v>
      </c>
      <c r="BF618" s="16">
        <f t="shared" si="323"/>
        <v>1.7481880270062005</v>
      </c>
      <c r="BG618" s="8">
        <f t="shared" si="324"/>
        <v>-0.85387196432176193</v>
      </c>
      <c r="BH618" s="13" t="s">
        <v>345</v>
      </c>
      <c r="BI618" s="13"/>
      <c r="BJ618" s="13"/>
      <c r="BK618" s="13"/>
      <c r="BL618" s="13"/>
      <c r="BM618" s="17"/>
      <c r="BN618" s="17"/>
      <c r="BO618" s="2"/>
    </row>
    <row r="619" spans="1:67" s="14" customFormat="1" x14ac:dyDescent="0.3">
      <c r="A619" s="20">
        <v>617</v>
      </c>
      <c r="B619" s="2" t="s">
        <v>181</v>
      </c>
      <c r="C619" s="2">
        <v>2020</v>
      </c>
      <c r="D619" s="2" t="s">
        <v>203</v>
      </c>
      <c r="E619" s="10" t="s">
        <v>787</v>
      </c>
      <c r="F619" s="20" t="s">
        <v>29</v>
      </c>
      <c r="G619" s="2" t="s">
        <v>61</v>
      </c>
      <c r="H619" s="2" t="str">
        <f>'PFAS Properties'!$B$41</f>
        <v>ADONA</v>
      </c>
      <c r="I619" s="2" t="str">
        <f>'PFAS Properties'!$C$41</f>
        <v>PFECA</v>
      </c>
      <c r="J619" s="2" t="str">
        <f>'PFAS Properties'!$D$41</f>
        <v>C7H2F12O4</v>
      </c>
      <c r="K619" s="25">
        <f>'PFAS Properties'!$P$41</f>
        <v>377.976</v>
      </c>
      <c r="L619" s="2">
        <f>'PFAS Properties'!$X$41</f>
        <v>1.2</v>
      </c>
      <c r="M619" s="2" t="str">
        <f>'PFAS Properties'!$Y$63</f>
        <v>-</v>
      </c>
      <c r="N619" s="33">
        <v>0</v>
      </c>
      <c r="O619" s="33">
        <v>0</v>
      </c>
      <c r="P619" s="33">
        <v>0</v>
      </c>
      <c r="Q619" s="33">
        <f t="shared" si="300"/>
        <v>0.99999936904305364</v>
      </c>
      <c r="R619" s="33">
        <v>0</v>
      </c>
      <c r="S619" s="33">
        <f t="shared" si="301"/>
        <v>6.309569463732732E-7</v>
      </c>
      <c r="T619" s="8">
        <f t="shared" si="314"/>
        <v>1</v>
      </c>
      <c r="U619" s="33">
        <f t="shared" si="315"/>
        <v>0</v>
      </c>
      <c r="V619" s="33">
        <f t="shared" si="316"/>
        <v>-0.99999936904305364</v>
      </c>
      <c r="W619" s="33">
        <f t="shared" si="317"/>
        <v>376.97600063095695</v>
      </c>
      <c r="X619" s="33">
        <v>96485</v>
      </c>
      <c r="Y619" s="16">
        <f t="shared" si="318"/>
        <v>-255.94451360465672</v>
      </c>
      <c r="Z619" s="16">
        <v>7</v>
      </c>
      <c r="AA619" s="16">
        <v>12</v>
      </c>
      <c r="AB619" s="8">
        <f t="shared" si="319"/>
        <v>0.36842105263157893</v>
      </c>
      <c r="AC619" s="16">
        <f t="shared" si="293"/>
        <v>60.321290240650207</v>
      </c>
      <c r="AD619" s="20">
        <f>'PFAS Properties'!$W$41</f>
        <v>6</v>
      </c>
      <c r="AE619" s="8">
        <f>'PFAS Properties'!$S$41</f>
        <v>3.9716932389498609</v>
      </c>
      <c r="AF619" s="2">
        <f>'PFAS Properties'!$V$41</f>
        <v>4.0999999999999996</v>
      </c>
      <c r="AG619" s="24">
        <v>7.4</v>
      </c>
      <c r="AH619" s="2" t="s">
        <v>183</v>
      </c>
      <c r="AI619" s="2" t="s">
        <v>661</v>
      </c>
      <c r="AJ619" s="2" t="s">
        <v>661</v>
      </c>
      <c r="AK619" s="2" t="s">
        <v>661</v>
      </c>
      <c r="AL619" s="2" t="s">
        <v>661</v>
      </c>
      <c r="AM619" s="2" t="s">
        <v>661</v>
      </c>
      <c r="AN619" s="2" t="s">
        <v>661</v>
      </c>
      <c r="AO619" s="2" t="s">
        <v>661</v>
      </c>
      <c r="AP619" s="15">
        <v>29.6</v>
      </c>
      <c r="AQ619" s="2" t="s">
        <v>661</v>
      </c>
      <c r="AR619" s="16">
        <v>39.799999999999997</v>
      </c>
      <c r="AS619" s="16">
        <v>7.7</v>
      </c>
      <c r="AT619" s="16">
        <v>52.5</v>
      </c>
      <c r="AU619" s="2" t="s">
        <v>661</v>
      </c>
      <c r="AV619" s="16">
        <f t="shared" si="320"/>
        <v>100</v>
      </c>
      <c r="AW619" s="18">
        <v>2.23</v>
      </c>
      <c r="AX619" s="13">
        <f t="shared" si="321"/>
        <v>2.23E-2</v>
      </c>
      <c r="AY619" s="8" t="s">
        <v>184</v>
      </c>
      <c r="AZ619" s="16">
        <v>100</v>
      </c>
      <c r="BA619" s="16" t="s">
        <v>55</v>
      </c>
      <c r="BB619" s="16">
        <v>5</v>
      </c>
      <c r="BC619" s="16" t="s">
        <v>55</v>
      </c>
      <c r="BD619" s="20">
        <v>0.26</v>
      </c>
      <c r="BE619" s="16">
        <f t="shared" si="322"/>
        <v>11.659192825112108</v>
      </c>
      <c r="BF619" s="16">
        <f t="shared" si="323"/>
        <v>1.0666684849226573</v>
      </c>
      <c r="BG619" s="8">
        <f t="shared" si="324"/>
        <v>-0.58502665202918203</v>
      </c>
      <c r="BH619" s="13" t="s">
        <v>345</v>
      </c>
      <c r="BI619" s="13"/>
      <c r="BJ619" s="13"/>
      <c r="BK619" s="13"/>
      <c r="BL619" s="13"/>
      <c r="BM619" s="17"/>
      <c r="BN619" s="17"/>
      <c r="BO619" s="2"/>
    </row>
    <row r="620" spans="1:67" s="14" customFormat="1" x14ac:dyDescent="0.3">
      <c r="A620" s="20">
        <v>618</v>
      </c>
      <c r="B620" s="2" t="s">
        <v>181</v>
      </c>
      <c r="C620" s="2">
        <v>2020</v>
      </c>
      <c r="D620" s="2" t="s">
        <v>203</v>
      </c>
      <c r="E620" s="10" t="s">
        <v>787</v>
      </c>
      <c r="F620" s="20" t="s">
        <v>29</v>
      </c>
      <c r="G620" s="2" t="s">
        <v>60</v>
      </c>
      <c r="H620" s="2" t="str">
        <f>'PFAS Properties'!$B$41</f>
        <v>ADONA</v>
      </c>
      <c r="I620" s="2" t="str">
        <f>'PFAS Properties'!$C$41</f>
        <v>PFECA</v>
      </c>
      <c r="J620" s="2" t="str">
        <f>'PFAS Properties'!$D$41</f>
        <v>C7H2F12O4</v>
      </c>
      <c r="K620" s="25">
        <f>'PFAS Properties'!$P$41</f>
        <v>377.976</v>
      </c>
      <c r="L620" s="2">
        <f>'PFAS Properties'!$X$41</f>
        <v>1.2</v>
      </c>
      <c r="M620" s="2" t="str">
        <f>'PFAS Properties'!$Y$63</f>
        <v>-</v>
      </c>
      <c r="N620" s="33">
        <v>0</v>
      </c>
      <c r="O620" s="33">
        <v>0</v>
      </c>
      <c r="P620" s="33">
        <v>0</v>
      </c>
      <c r="Q620" s="33">
        <f t="shared" si="300"/>
        <v>0.99999968377233395</v>
      </c>
      <c r="R620" s="33">
        <v>0</v>
      </c>
      <c r="S620" s="33">
        <f t="shared" si="301"/>
        <v>3.1622766601686895E-7</v>
      </c>
      <c r="T620" s="8">
        <f t="shared" si="314"/>
        <v>1</v>
      </c>
      <c r="U620" s="33">
        <f t="shared" si="315"/>
        <v>0</v>
      </c>
      <c r="V620" s="33">
        <f t="shared" si="316"/>
        <v>-0.99999968377233395</v>
      </c>
      <c r="W620" s="33">
        <f t="shared" si="317"/>
        <v>376.97600031622761</v>
      </c>
      <c r="X620" s="33">
        <v>96485</v>
      </c>
      <c r="Y620" s="16">
        <f t="shared" si="318"/>
        <v>-255.94459437162286</v>
      </c>
      <c r="Z620" s="16">
        <v>7</v>
      </c>
      <c r="AA620" s="16">
        <v>12</v>
      </c>
      <c r="AB620" s="8">
        <f t="shared" si="319"/>
        <v>0.36842105263157893</v>
      </c>
      <c r="AC620" s="16">
        <f t="shared" si="293"/>
        <v>60.321290240650207</v>
      </c>
      <c r="AD620" s="20">
        <f>'PFAS Properties'!$W$41</f>
        <v>6</v>
      </c>
      <c r="AE620" s="8">
        <f>'PFAS Properties'!$S$41</f>
        <v>3.9716932389498609</v>
      </c>
      <c r="AF620" s="2">
        <f>'PFAS Properties'!$V$41</f>
        <v>4.0999999999999996</v>
      </c>
      <c r="AG620" s="24">
        <v>7.7</v>
      </c>
      <c r="AH620" s="2" t="s">
        <v>183</v>
      </c>
      <c r="AI620" s="2" t="s">
        <v>661</v>
      </c>
      <c r="AJ620" s="2" t="s">
        <v>661</v>
      </c>
      <c r="AK620" s="2" t="s">
        <v>661</v>
      </c>
      <c r="AL620" s="2" t="s">
        <v>661</v>
      </c>
      <c r="AM620" s="2" t="s">
        <v>661</v>
      </c>
      <c r="AN620" s="2" t="s">
        <v>661</v>
      </c>
      <c r="AO620" s="2" t="s">
        <v>661</v>
      </c>
      <c r="AP620" s="15">
        <v>21.63</v>
      </c>
      <c r="AQ620" s="2" t="s">
        <v>661</v>
      </c>
      <c r="AR620" s="16">
        <v>70</v>
      </c>
      <c r="AS620" s="16">
        <v>11</v>
      </c>
      <c r="AT620" s="16">
        <v>19</v>
      </c>
      <c r="AU620" s="2" t="s">
        <v>661</v>
      </c>
      <c r="AV620" s="16">
        <f t="shared" si="320"/>
        <v>100</v>
      </c>
      <c r="AW620" s="18">
        <v>4.9000000000000004</v>
      </c>
      <c r="AX620" s="13">
        <f t="shared" si="321"/>
        <v>4.9000000000000002E-2</v>
      </c>
      <c r="AY620" s="8" t="s">
        <v>184</v>
      </c>
      <c r="AZ620" s="16">
        <v>100</v>
      </c>
      <c r="BA620" s="16" t="s">
        <v>55</v>
      </c>
      <c r="BB620" s="16">
        <v>5</v>
      </c>
      <c r="BC620" s="16" t="s">
        <v>55</v>
      </c>
      <c r="BD620" s="20">
        <v>0.68</v>
      </c>
      <c r="BE620" s="16">
        <f t="shared" si="322"/>
        <v>13.877551020408164</v>
      </c>
      <c r="BF620" s="16">
        <f t="shared" si="323"/>
        <v>1.1423128326777228</v>
      </c>
      <c r="BG620" s="8">
        <f t="shared" si="324"/>
        <v>-0.16749108729376366</v>
      </c>
      <c r="BH620" s="13" t="s">
        <v>345</v>
      </c>
      <c r="BI620" s="13"/>
      <c r="BJ620" s="13"/>
      <c r="BK620" s="13"/>
      <c r="BL620" s="13"/>
      <c r="BM620" s="17"/>
      <c r="BN620" s="17"/>
      <c r="BO620" s="2"/>
    </row>
    <row r="621" spans="1:67" s="14" customFormat="1" x14ac:dyDescent="0.3">
      <c r="A621" s="20">
        <v>619</v>
      </c>
      <c r="B621" s="2" t="s">
        <v>181</v>
      </c>
      <c r="C621" s="2">
        <v>2020</v>
      </c>
      <c r="D621" s="2" t="s">
        <v>203</v>
      </c>
      <c r="E621" s="10" t="s">
        <v>787</v>
      </c>
      <c r="F621" s="20" t="s">
        <v>29</v>
      </c>
      <c r="G621" s="2" t="s">
        <v>77</v>
      </c>
      <c r="H621" s="2" t="str">
        <f>'PFAS Properties'!$B$41</f>
        <v>ADONA</v>
      </c>
      <c r="I621" s="2" t="str">
        <f>'PFAS Properties'!$C$41</f>
        <v>PFECA</v>
      </c>
      <c r="J621" s="2" t="str">
        <f>'PFAS Properties'!$D$41</f>
        <v>C7H2F12O4</v>
      </c>
      <c r="K621" s="25">
        <f>'PFAS Properties'!$P$41</f>
        <v>377.976</v>
      </c>
      <c r="L621" s="2">
        <f>'PFAS Properties'!$X$41</f>
        <v>1.2</v>
      </c>
      <c r="M621" s="2" t="str">
        <f>'PFAS Properties'!$Y$63</f>
        <v>-</v>
      </c>
      <c r="N621" s="33">
        <v>0</v>
      </c>
      <c r="O621" s="33">
        <v>0</v>
      </c>
      <c r="P621" s="33">
        <v>0</v>
      </c>
      <c r="Q621" s="33">
        <f t="shared" si="300"/>
        <v>0.99999968377233395</v>
      </c>
      <c r="R621" s="33">
        <v>0</v>
      </c>
      <c r="S621" s="33">
        <f t="shared" si="301"/>
        <v>3.1622766601686895E-7</v>
      </c>
      <c r="T621" s="8">
        <f t="shared" si="314"/>
        <v>1</v>
      </c>
      <c r="U621" s="33">
        <f t="shared" si="315"/>
        <v>0</v>
      </c>
      <c r="V621" s="33">
        <f t="shared" si="316"/>
        <v>-0.99999968377233395</v>
      </c>
      <c r="W621" s="33">
        <f t="shared" si="317"/>
        <v>376.97600031622761</v>
      </c>
      <c r="X621" s="33">
        <v>96485</v>
      </c>
      <c r="Y621" s="16">
        <f t="shared" si="318"/>
        <v>-255.94459437162286</v>
      </c>
      <c r="Z621" s="16">
        <v>7</v>
      </c>
      <c r="AA621" s="16">
        <v>12</v>
      </c>
      <c r="AB621" s="8">
        <f t="shared" si="319"/>
        <v>0.36842105263157893</v>
      </c>
      <c r="AC621" s="16">
        <f t="shared" si="293"/>
        <v>60.321290240650207</v>
      </c>
      <c r="AD621" s="20">
        <f>'PFAS Properties'!$W$41</f>
        <v>6</v>
      </c>
      <c r="AE621" s="8">
        <f>'PFAS Properties'!$S$41</f>
        <v>3.9716932389498609</v>
      </c>
      <c r="AF621" s="2">
        <f>'PFAS Properties'!$V$41</f>
        <v>4.0999999999999996</v>
      </c>
      <c r="AG621" s="24">
        <v>7.7</v>
      </c>
      <c r="AH621" s="2" t="s">
        <v>183</v>
      </c>
      <c r="AI621" s="2" t="s">
        <v>661</v>
      </c>
      <c r="AJ621" s="2" t="s">
        <v>661</v>
      </c>
      <c r="AK621" s="2" t="s">
        <v>661</v>
      </c>
      <c r="AL621" s="2" t="s">
        <v>661</v>
      </c>
      <c r="AM621" s="2" t="s">
        <v>661</v>
      </c>
      <c r="AN621" s="2" t="s">
        <v>661</v>
      </c>
      <c r="AO621" s="2" t="s">
        <v>661</v>
      </c>
      <c r="AP621" s="15">
        <v>7.8</v>
      </c>
      <c r="AQ621" s="2" t="s">
        <v>661</v>
      </c>
      <c r="AR621" s="16">
        <v>48.9</v>
      </c>
      <c r="AS621" s="16">
        <v>32.6</v>
      </c>
      <c r="AT621" s="16">
        <v>18.5</v>
      </c>
      <c r="AU621" s="2" t="s">
        <v>661</v>
      </c>
      <c r="AV621" s="16">
        <f t="shared" si="320"/>
        <v>100</v>
      </c>
      <c r="AW621" s="18">
        <v>0.13</v>
      </c>
      <c r="AX621" s="13">
        <f t="shared" si="321"/>
        <v>1.2999999999999999E-3</v>
      </c>
      <c r="AY621" s="8" t="s">
        <v>184</v>
      </c>
      <c r="AZ621" s="16">
        <v>100</v>
      </c>
      <c r="BA621" s="16" t="s">
        <v>55</v>
      </c>
      <c r="BB621" s="16">
        <v>5</v>
      </c>
      <c r="BC621" s="16" t="s">
        <v>55</v>
      </c>
      <c r="BD621" s="20">
        <v>0.23</v>
      </c>
      <c r="BE621" s="16">
        <f t="shared" si="322"/>
        <v>176.92307692307693</v>
      </c>
      <c r="BF621" s="16">
        <f t="shared" si="323"/>
        <v>2.2477844837107561</v>
      </c>
      <c r="BG621" s="8">
        <f t="shared" si="324"/>
        <v>-0.63827216398240705</v>
      </c>
      <c r="BH621" s="13" t="s">
        <v>345</v>
      </c>
      <c r="BI621" s="13"/>
      <c r="BJ621" s="13"/>
      <c r="BK621" s="13"/>
      <c r="BL621" s="13"/>
      <c r="BM621" s="17"/>
      <c r="BN621" s="17"/>
      <c r="BO621" s="2"/>
    </row>
    <row r="622" spans="1:67" s="14" customFormat="1" x14ac:dyDescent="0.3">
      <c r="A622" s="20">
        <v>620</v>
      </c>
      <c r="B622" s="2" t="s">
        <v>181</v>
      </c>
      <c r="C622" s="2">
        <v>2020</v>
      </c>
      <c r="D622" s="2" t="s">
        <v>203</v>
      </c>
      <c r="E622" s="10" t="s">
        <v>787</v>
      </c>
      <c r="F622" s="20" t="s">
        <v>29</v>
      </c>
      <c r="G622" s="2" t="s">
        <v>182</v>
      </c>
      <c r="H622" s="2" t="str">
        <f>'PFAS Properties'!$B$41</f>
        <v>ADONA</v>
      </c>
      <c r="I622" s="2" t="str">
        <f>'PFAS Properties'!$C$41</f>
        <v>PFECA</v>
      </c>
      <c r="J622" s="2" t="str">
        <f>'PFAS Properties'!$D$41</f>
        <v>C7H2F12O4</v>
      </c>
      <c r="K622" s="25">
        <f>'PFAS Properties'!$P$41</f>
        <v>377.976</v>
      </c>
      <c r="L622" s="2">
        <f>'PFAS Properties'!$X$41</f>
        <v>1.2</v>
      </c>
      <c r="M622" s="2" t="str">
        <f>'PFAS Properties'!$Y$63</f>
        <v>-</v>
      </c>
      <c r="N622" s="33">
        <v>0</v>
      </c>
      <c r="O622" s="33">
        <v>0</v>
      </c>
      <c r="P622" s="33">
        <v>0</v>
      </c>
      <c r="Q622" s="33">
        <f t="shared" si="300"/>
        <v>0.99999949881301753</v>
      </c>
      <c r="R622" s="33">
        <v>0</v>
      </c>
      <c r="S622" s="33">
        <f t="shared" si="301"/>
        <v>5.0118698243875488E-7</v>
      </c>
      <c r="T622" s="8">
        <f t="shared" si="314"/>
        <v>1</v>
      </c>
      <c r="U622" s="33">
        <f t="shared" si="315"/>
        <v>0</v>
      </c>
      <c r="V622" s="33">
        <f t="shared" si="316"/>
        <v>-0.99999949881301753</v>
      </c>
      <c r="W622" s="33">
        <f t="shared" si="317"/>
        <v>376.976000501187</v>
      </c>
      <c r="X622" s="33">
        <v>96485</v>
      </c>
      <c r="Y622" s="16">
        <f t="shared" si="318"/>
        <v>-255.94454690669411</v>
      </c>
      <c r="Z622" s="16">
        <v>7</v>
      </c>
      <c r="AA622" s="16">
        <v>12</v>
      </c>
      <c r="AB622" s="8">
        <f t="shared" si="319"/>
        <v>0.36842105263157893</v>
      </c>
      <c r="AC622" s="16">
        <f t="shared" si="293"/>
        <v>60.321290240650207</v>
      </c>
      <c r="AD622" s="20">
        <f>'PFAS Properties'!$W$41</f>
        <v>6</v>
      </c>
      <c r="AE622" s="8">
        <f>'PFAS Properties'!$S$41</f>
        <v>3.9716932389498609</v>
      </c>
      <c r="AF622" s="2">
        <f>'PFAS Properties'!$V$41</f>
        <v>4.0999999999999996</v>
      </c>
      <c r="AG622" s="24">
        <v>7.5</v>
      </c>
      <c r="AH622" s="2" t="s">
        <v>183</v>
      </c>
      <c r="AI622" s="2" t="s">
        <v>661</v>
      </c>
      <c r="AJ622" s="2" t="s">
        <v>661</v>
      </c>
      <c r="AK622" s="2" t="s">
        <v>661</v>
      </c>
      <c r="AL622" s="2" t="s">
        <v>661</v>
      </c>
      <c r="AM622" s="2" t="s">
        <v>661</v>
      </c>
      <c r="AN622" s="2" t="s">
        <v>661</v>
      </c>
      <c r="AO622" s="2" t="s">
        <v>661</v>
      </c>
      <c r="AP622" s="15">
        <v>2.2799999999999998</v>
      </c>
      <c r="AQ622" s="2" t="s">
        <v>661</v>
      </c>
      <c r="AR622" s="16">
        <v>93</v>
      </c>
      <c r="AS622" s="16">
        <v>1</v>
      </c>
      <c r="AT622" s="16">
        <v>5</v>
      </c>
      <c r="AU622" s="2" t="s">
        <v>661</v>
      </c>
      <c r="AV622" s="16">
        <f t="shared" si="320"/>
        <v>99</v>
      </c>
      <c r="AW622" s="18">
        <v>0.4</v>
      </c>
      <c r="AX622" s="13">
        <f t="shared" si="321"/>
        <v>4.0000000000000001E-3</v>
      </c>
      <c r="AY622" s="8" t="s">
        <v>184</v>
      </c>
      <c r="AZ622" s="16">
        <v>100</v>
      </c>
      <c r="BA622" s="16" t="s">
        <v>55</v>
      </c>
      <c r="BB622" s="16">
        <v>5</v>
      </c>
      <c r="BC622" s="16" t="s">
        <v>55</v>
      </c>
      <c r="BD622" s="20">
        <v>0.09</v>
      </c>
      <c r="BE622" s="16">
        <f t="shared" si="322"/>
        <v>22.5</v>
      </c>
      <c r="BF622" s="16">
        <f t="shared" si="323"/>
        <v>1.3521825181113625</v>
      </c>
      <c r="BG622" s="8">
        <f t="shared" si="324"/>
        <v>-1.0457574905606752</v>
      </c>
      <c r="BH622" s="13" t="s">
        <v>345</v>
      </c>
      <c r="BI622" s="13"/>
      <c r="BJ622" s="13"/>
      <c r="BK622" s="13"/>
      <c r="BL622" s="13"/>
      <c r="BM622" s="17"/>
      <c r="BN622" s="17"/>
      <c r="BO622" s="2"/>
    </row>
    <row r="623" spans="1:67" s="14" customFormat="1" x14ac:dyDescent="0.3">
      <c r="A623" s="20">
        <v>621</v>
      </c>
      <c r="B623" s="2" t="s">
        <v>181</v>
      </c>
      <c r="C623" s="2">
        <v>2020</v>
      </c>
      <c r="D623" s="2" t="s">
        <v>203</v>
      </c>
      <c r="E623" s="10" t="s">
        <v>787</v>
      </c>
      <c r="F623" s="20" t="s">
        <v>29</v>
      </c>
      <c r="G623" s="2" t="s">
        <v>78</v>
      </c>
      <c r="H623" s="2" t="str">
        <f>'PFAS Properties'!$B$41</f>
        <v>ADONA</v>
      </c>
      <c r="I623" s="2" t="str">
        <f>'PFAS Properties'!$C$41</f>
        <v>PFECA</v>
      </c>
      <c r="J623" s="2" t="str">
        <f>'PFAS Properties'!$D$41</f>
        <v>C7H2F12O4</v>
      </c>
      <c r="K623" s="25">
        <f>'PFAS Properties'!$P$41</f>
        <v>377.976</v>
      </c>
      <c r="L623" s="2">
        <f>'PFAS Properties'!$X$41</f>
        <v>1.2</v>
      </c>
      <c r="M623" s="2" t="str">
        <f>'PFAS Properties'!$Y$63</f>
        <v>-</v>
      </c>
      <c r="N623" s="33">
        <v>0</v>
      </c>
      <c r="O623" s="33">
        <v>0</v>
      </c>
      <c r="P623" s="33">
        <v>0</v>
      </c>
      <c r="Q623" s="33">
        <f t="shared" si="300"/>
        <v>0.99999874107617315</v>
      </c>
      <c r="R623" s="33">
        <v>0</v>
      </c>
      <c r="S623" s="33">
        <f t="shared" si="301"/>
        <v>1.2589238269029693E-6</v>
      </c>
      <c r="T623" s="8">
        <f t="shared" si="314"/>
        <v>1</v>
      </c>
      <c r="U623" s="33">
        <f t="shared" si="315"/>
        <v>0</v>
      </c>
      <c r="V623" s="33">
        <f t="shared" si="316"/>
        <v>-0.99999874107617315</v>
      </c>
      <c r="W623" s="33">
        <f t="shared" si="317"/>
        <v>376.97600125892382</v>
      </c>
      <c r="X623" s="33">
        <v>96485</v>
      </c>
      <c r="Y623" s="16">
        <f t="shared" si="318"/>
        <v>-255.94435245352523</v>
      </c>
      <c r="Z623" s="16">
        <v>7</v>
      </c>
      <c r="AA623" s="16">
        <v>12</v>
      </c>
      <c r="AB623" s="8">
        <f t="shared" si="319"/>
        <v>0.36842105263157893</v>
      </c>
      <c r="AC623" s="16">
        <f t="shared" si="293"/>
        <v>60.321290240650207</v>
      </c>
      <c r="AD623" s="20">
        <f>'PFAS Properties'!$W$41</f>
        <v>6</v>
      </c>
      <c r="AE623" s="8">
        <f>'PFAS Properties'!$S$41</f>
        <v>3.9716932389498609</v>
      </c>
      <c r="AF623" s="2">
        <f>'PFAS Properties'!$V$41</f>
        <v>4.0999999999999996</v>
      </c>
      <c r="AG623" s="24">
        <v>7.1</v>
      </c>
      <c r="AH623" s="2" t="s">
        <v>183</v>
      </c>
      <c r="AI623" s="2" t="s">
        <v>661</v>
      </c>
      <c r="AJ623" s="2" t="s">
        <v>661</v>
      </c>
      <c r="AK623" s="2" t="s">
        <v>661</v>
      </c>
      <c r="AL623" s="2" t="s">
        <v>661</v>
      </c>
      <c r="AM623" s="2" t="s">
        <v>661</v>
      </c>
      <c r="AN623" s="2" t="s">
        <v>661</v>
      </c>
      <c r="AO623" s="2" t="s">
        <v>661</v>
      </c>
      <c r="AP623" s="15">
        <v>17.420000000000002</v>
      </c>
      <c r="AQ623" s="2" t="s">
        <v>661</v>
      </c>
      <c r="AR623" s="16">
        <v>48.86</v>
      </c>
      <c r="AS623" s="16">
        <v>16.05</v>
      </c>
      <c r="AT623" s="16">
        <v>35.090000000000003</v>
      </c>
      <c r="AU623" s="2" t="s">
        <v>661</v>
      </c>
      <c r="AV623" s="16">
        <f t="shared" si="320"/>
        <v>100</v>
      </c>
      <c r="AW623" s="18">
        <v>1.19</v>
      </c>
      <c r="AX623" s="13">
        <f t="shared" si="321"/>
        <v>1.1899999999999999E-2</v>
      </c>
      <c r="AY623" s="8" t="s">
        <v>184</v>
      </c>
      <c r="AZ623" s="16">
        <v>100</v>
      </c>
      <c r="BA623" s="16" t="s">
        <v>55</v>
      </c>
      <c r="BB623" s="16">
        <v>5</v>
      </c>
      <c r="BC623" s="16" t="s">
        <v>55</v>
      </c>
      <c r="BD623" s="20">
        <v>0.18</v>
      </c>
      <c r="BE623" s="16">
        <f t="shared" si="322"/>
        <v>15.126050420168069</v>
      </c>
      <c r="BF623" s="16">
        <f t="shared" si="323"/>
        <v>1.1797255437107754</v>
      </c>
      <c r="BG623" s="8">
        <f t="shared" si="324"/>
        <v>-0.74472749489669399</v>
      </c>
      <c r="BH623" s="13" t="s">
        <v>345</v>
      </c>
      <c r="BI623" s="13"/>
      <c r="BJ623" s="13"/>
      <c r="BK623" s="13"/>
      <c r="BL623" s="13"/>
      <c r="BM623" s="17"/>
      <c r="BN623" s="17"/>
      <c r="BO623" s="2"/>
    </row>
    <row r="624" spans="1:67" s="14" customFormat="1" x14ac:dyDescent="0.3">
      <c r="A624" s="20">
        <v>622</v>
      </c>
      <c r="B624" s="2" t="s">
        <v>181</v>
      </c>
      <c r="C624" s="2">
        <v>2020</v>
      </c>
      <c r="D624" s="2" t="s">
        <v>203</v>
      </c>
      <c r="E624" s="10" t="s">
        <v>787</v>
      </c>
      <c r="F624" s="20" t="s">
        <v>29</v>
      </c>
      <c r="G624" s="2" t="s">
        <v>98</v>
      </c>
      <c r="H624" s="2" t="str">
        <f>'PFAS Properties'!$B$41</f>
        <v>ADONA</v>
      </c>
      <c r="I624" s="2" t="str">
        <f>'PFAS Properties'!$C$41</f>
        <v>PFECA</v>
      </c>
      <c r="J624" s="2" t="str">
        <f>'PFAS Properties'!$D$41</f>
        <v>C7H2F12O4</v>
      </c>
      <c r="K624" s="25">
        <f>'PFAS Properties'!$P$41</f>
        <v>377.976</v>
      </c>
      <c r="L624" s="2">
        <f>'PFAS Properties'!$X$41</f>
        <v>1.2</v>
      </c>
      <c r="M624" s="2" t="str">
        <f>'PFAS Properties'!$Y$63</f>
        <v>-</v>
      </c>
      <c r="N624" s="33">
        <v>0</v>
      </c>
      <c r="O624" s="33">
        <v>0</v>
      </c>
      <c r="P624" s="33">
        <v>0</v>
      </c>
      <c r="Q624" s="33">
        <f t="shared" si="300"/>
        <v>0.99999369046636566</v>
      </c>
      <c r="R624" s="33">
        <v>0</v>
      </c>
      <c r="S624" s="33">
        <f t="shared" si="301"/>
        <v>6.3095336343360528E-6</v>
      </c>
      <c r="T624" s="8">
        <f t="shared" si="314"/>
        <v>1</v>
      </c>
      <c r="U624" s="33">
        <f t="shared" si="315"/>
        <v>0</v>
      </c>
      <c r="V624" s="33">
        <f t="shared" si="316"/>
        <v>-0.99999369046636566</v>
      </c>
      <c r="W624" s="33">
        <f t="shared" si="317"/>
        <v>376.97600630953366</v>
      </c>
      <c r="X624" s="33">
        <v>96485</v>
      </c>
      <c r="Y624" s="16">
        <f t="shared" si="318"/>
        <v>-255.94305634779391</v>
      </c>
      <c r="Z624" s="16">
        <v>7</v>
      </c>
      <c r="AA624" s="16">
        <v>12</v>
      </c>
      <c r="AB624" s="8">
        <f t="shared" si="319"/>
        <v>0.36842105263157893</v>
      </c>
      <c r="AC624" s="16">
        <f t="shared" si="293"/>
        <v>60.321290240650207</v>
      </c>
      <c r="AD624" s="20">
        <f>'PFAS Properties'!$W$41</f>
        <v>6</v>
      </c>
      <c r="AE624" s="8">
        <f>'PFAS Properties'!$S$41</f>
        <v>3.9716932389498609</v>
      </c>
      <c r="AF624" s="2">
        <f>'PFAS Properties'!$V$41</f>
        <v>4.0999999999999996</v>
      </c>
      <c r="AG624" s="24">
        <v>6.4</v>
      </c>
      <c r="AH624" s="2" t="s">
        <v>183</v>
      </c>
      <c r="AI624" s="2" t="s">
        <v>661</v>
      </c>
      <c r="AJ624" s="15" t="s">
        <v>661</v>
      </c>
      <c r="AK624" s="8" t="s">
        <v>661</v>
      </c>
      <c r="AL624" s="2" t="s">
        <v>661</v>
      </c>
      <c r="AM624" s="15" t="s">
        <v>661</v>
      </c>
      <c r="AN624" s="8" t="s">
        <v>661</v>
      </c>
      <c r="AO624" s="15" t="s">
        <v>661</v>
      </c>
      <c r="AP624" s="15">
        <v>16.54</v>
      </c>
      <c r="AQ624" s="13" t="s">
        <v>661</v>
      </c>
      <c r="AR624" s="16">
        <v>29.38</v>
      </c>
      <c r="AS624" s="16">
        <v>13.9</v>
      </c>
      <c r="AT624" s="16">
        <v>56.71</v>
      </c>
      <c r="AU624" s="15" t="s">
        <v>661</v>
      </c>
      <c r="AV624" s="16">
        <f t="shared" si="320"/>
        <v>99.990000000000009</v>
      </c>
      <c r="AW624" s="18">
        <v>0.17</v>
      </c>
      <c r="AX624" s="13">
        <f t="shared" si="321"/>
        <v>1.7000000000000001E-3</v>
      </c>
      <c r="AY624" s="8" t="s">
        <v>184</v>
      </c>
      <c r="AZ624" s="16">
        <v>100</v>
      </c>
      <c r="BA624" s="16" t="s">
        <v>55</v>
      </c>
      <c r="BB624" s="16">
        <v>5</v>
      </c>
      <c r="BC624" s="16" t="s">
        <v>55</v>
      </c>
      <c r="BD624" s="20">
        <v>0.24</v>
      </c>
      <c r="BE624" s="16">
        <f t="shared" si="322"/>
        <v>141.17647058823528</v>
      </c>
      <c r="BF624" s="16">
        <f t="shared" si="323"/>
        <v>2.1497623203333323</v>
      </c>
      <c r="BG624" s="8">
        <f t="shared" si="324"/>
        <v>-0.61978875828839397</v>
      </c>
      <c r="BH624" s="13" t="s">
        <v>345</v>
      </c>
      <c r="BI624" s="13"/>
      <c r="BJ624" s="13"/>
      <c r="BK624" s="13"/>
      <c r="BL624" s="13"/>
      <c r="BM624" s="17"/>
      <c r="BN624" s="17"/>
      <c r="BO624" s="2"/>
    </row>
    <row r="625" spans="1:67" s="14" customFormat="1" x14ac:dyDescent="0.3">
      <c r="A625" s="20">
        <v>623</v>
      </c>
      <c r="B625" s="2" t="s">
        <v>207</v>
      </c>
      <c r="C625" s="2">
        <v>2015</v>
      </c>
      <c r="D625" s="2" t="s">
        <v>201</v>
      </c>
      <c r="E625" s="10" t="s">
        <v>810</v>
      </c>
      <c r="F625" s="20" t="s">
        <v>29</v>
      </c>
      <c r="G625" s="2" t="s">
        <v>51</v>
      </c>
      <c r="H625" s="2" t="str">
        <f>'PFAS Properties'!$B$42</f>
        <v>PFBS</v>
      </c>
      <c r="I625" s="2" t="str">
        <f>'PFAS Properties'!$C$42</f>
        <v>PFSA</v>
      </c>
      <c r="J625" s="2" t="str">
        <f>'PFAS Properties'!$D$42</f>
        <v>C4HF9O3S</v>
      </c>
      <c r="K625" s="25">
        <f>'PFAS Properties'!$P$42</f>
        <v>299.9502</v>
      </c>
      <c r="L625" s="2">
        <f>'PFAS Properties'!$X$42</f>
        <v>0.1</v>
      </c>
      <c r="M625" s="2" t="str">
        <f>'PFAS Properties'!$Y$42</f>
        <v>-</v>
      </c>
      <c r="N625" s="33">
        <v>0</v>
      </c>
      <c r="O625" s="33">
        <v>0</v>
      </c>
      <c r="P625" s="33">
        <v>0</v>
      </c>
      <c r="Q625" s="33">
        <f t="shared" si="300"/>
        <v>0.99999999498812764</v>
      </c>
      <c r="R625" s="33">
        <v>0</v>
      </c>
      <c r="S625" s="33">
        <f t="shared" si="301"/>
        <v>5.0118723111538468E-9</v>
      </c>
      <c r="T625" s="8">
        <f t="shared" si="306"/>
        <v>1</v>
      </c>
      <c r="U625" s="33">
        <f t="shared" si="307"/>
        <v>0</v>
      </c>
      <c r="V625" s="33">
        <f t="shared" si="308"/>
        <v>-0.99999999498812764</v>
      </c>
      <c r="W625" s="33">
        <f t="shared" si="309"/>
        <v>298.95020000501182</v>
      </c>
      <c r="X625" s="33">
        <v>96485</v>
      </c>
      <c r="Y625" s="16">
        <f t="shared" si="310"/>
        <v>-322.7460610991796</v>
      </c>
      <c r="Z625" s="16">
        <v>4</v>
      </c>
      <c r="AA625" s="16">
        <v>9</v>
      </c>
      <c r="AB625" s="8">
        <f t="shared" si="311"/>
        <v>0.2807017543859649</v>
      </c>
      <c r="AC625" s="16">
        <f t="shared" si="293"/>
        <v>57.009463570952775</v>
      </c>
      <c r="AD625" s="20">
        <f>'PFAS Properties'!$W$42</f>
        <v>4</v>
      </c>
      <c r="AE625" s="8">
        <f>'PFAS Properties'!$S$42</f>
        <v>5.53655844257153</v>
      </c>
      <c r="AF625" s="2">
        <f>'PFAS Properties'!$V$42</f>
        <v>2.2999999999999998</v>
      </c>
      <c r="AG625" s="24">
        <v>8.4</v>
      </c>
      <c r="AH625" s="2" t="s">
        <v>834</v>
      </c>
      <c r="AI625" s="2">
        <v>0.40699999999999997</v>
      </c>
      <c r="AJ625" s="15">
        <f t="shared" ref="AJ625:AJ630" si="325">AI625*1000/55.845</f>
        <v>7.2880293669979412</v>
      </c>
      <c r="AK625" s="8">
        <f t="shared" ref="AK625:AK630" si="326">AI625/10</f>
        <v>4.07E-2</v>
      </c>
      <c r="AL625" s="2">
        <v>0.504</v>
      </c>
      <c r="AM625" s="15">
        <f t="shared" ref="AM625:AM630" si="327">AL625*1000/26.98</f>
        <v>18.680504077094145</v>
      </c>
      <c r="AN625" s="8">
        <f t="shared" ref="AN625:AN630" si="328">AL625/10</f>
        <v>5.04E-2</v>
      </c>
      <c r="AO625" s="15" t="s">
        <v>31</v>
      </c>
      <c r="AP625" s="15">
        <v>42.8</v>
      </c>
      <c r="AQ625" s="16" t="s">
        <v>689</v>
      </c>
      <c r="AR625" s="16">
        <v>18.5</v>
      </c>
      <c r="AS625" s="16">
        <v>64.599999999999994</v>
      </c>
      <c r="AT625" s="16">
        <v>16.899999999999999</v>
      </c>
      <c r="AU625" s="16" t="s">
        <v>664</v>
      </c>
      <c r="AV625" s="16">
        <f t="shared" si="312"/>
        <v>100</v>
      </c>
      <c r="AW625" s="20">
        <v>0.2</v>
      </c>
      <c r="AX625" s="8">
        <f t="shared" si="302"/>
        <v>2E-3</v>
      </c>
      <c r="AY625" s="8" t="s">
        <v>32</v>
      </c>
      <c r="AZ625" s="16">
        <f t="shared" ref="AZ625:AZ630" si="329">3/0.03</f>
        <v>100</v>
      </c>
      <c r="BA625" s="16" t="s">
        <v>55</v>
      </c>
      <c r="BB625" s="16">
        <v>1</v>
      </c>
      <c r="BC625" s="16">
        <v>150</v>
      </c>
      <c r="BD625" s="18">
        <v>0.4</v>
      </c>
      <c r="BE625" s="15">
        <f t="shared" si="292"/>
        <v>200</v>
      </c>
      <c r="BF625" s="15">
        <f t="shared" si="313"/>
        <v>2.3010299956639813</v>
      </c>
      <c r="BG625" s="8">
        <f t="shared" si="296"/>
        <v>-0.3979400086720376</v>
      </c>
      <c r="BH625" s="13" t="s">
        <v>856</v>
      </c>
      <c r="BI625" s="15"/>
      <c r="BJ625" s="13"/>
      <c r="BK625" s="15"/>
      <c r="BL625" s="8"/>
      <c r="BM625" s="18"/>
      <c r="BN625" s="8"/>
      <c r="BO625" s="24"/>
    </row>
    <row r="626" spans="1:67" s="14" customFormat="1" x14ac:dyDescent="0.3">
      <c r="A626" s="20">
        <v>624</v>
      </c>
      <c r="B626" s="2" t="s">
        <v>207</v>
      </c>
      <c r="C626" s="2">
        <v>2015</v>
      </c>
      <c r="D626" s="2" t="s">
        <v>201</v>
      </c>
      <c r="E626" s="10" t="s">
        <v>810</v>
      </c>
      <c r="F626" s="20" t="s">
        <v>29</v>
      </c>
      <c r="G626" s="2" t="s">
        <v>30</v>
      </c>
      <c r="H626" s="2" t="str">
        <f>'PFAS Properties'!$B$42</f>
        <v>PFBS</v>
      </c>
      <c r="I626" s="2" t="str">
        <f>'PFAS Properties'!$C$42</f>
        <v>PFSA</v>
      </c>
      <c r="J626" s="2" t="str">
        <f>'PFAS Properties'!$D$42</f>
        <v>C4HF9O3S</v>
      </c>
      <c r="K626" s="25">
        <f>'PFAS Properties'!$P$42</f>
        <v>299.9502</v>
      </c>
      <c r="L626" s="2">
        <f>'PFAS Properties'!$X$42</f>
        <v>0.1</v>
      </c>
      <c r="M626" s="2" t="str">
        <f>'PFAS Properties'!$Y$42</f>
        <v>-</v>
      </c>
      <c r="N626" s="33">
        <v>0</v>
      </c>
      <c r="O626" s="33">
        <v>0</v>
      </c>
      <c r="P626" s="33">
        <v>0</v>
      </c>
      <c r="Q626" s="33">
        <f t="shared" si="300"/>
        <v>0.99999601894414336</v>
      </c>
      <c r="R626" s="33">
        <v>0</v>
      </c>
      <c r="S626" s="33">
        <f t="shared" si="301"/>
        <v>3.981055856666137E-6</v>
      </c>
      <c r="T626" s="8">
        <f t="shared" si="306"/>
        <v>1</v>
      </c>
      <c r="U626" s="33">
        <f t="shared" si="307"/>
        <v>0</v>
      </c>
      <c r="V626" s="33">
        <f t="shared" si="308"/>
        <v>-0.99999601894414336</v>
      </c>
      <c r="W626" s="33">
        <f t="shared" si="309"/>
        <v>298.95020398105584</v>
      </c>
      <c r="X626" s="33">
        <v>96485</v>
      </c>
      <c r="Y626" s="16">
        <f t="shared" si="310"/>
        <v>-322.74477355412608</v>
      </c>
      <c r="Z626" s="16">
        <v>4</v>
      </c>
      <c r="AA626" s="16">
        <v>9</v>
      </c>
      <c r="AB626" s="8">
        <f t="shared" si="311"/>
        <v>0.2807017543859649</v>
      </c>
      <c r="AC626" s="16">
        <f t="shared" si="293"/>
        <v>57.009463570952775</v>
      </c>
      <c r="AD626" s="20">
        <f>'PFAS Properties'!$W$42</f>
        <v>4</v>
      </c>
      <c r="AE626" s="8">
        <f>'PFAS Properties'!$S$42</f>
        <v>5.53655844257153</v>
      </c>
      <c r="AF626" s="2">
        <f>'PFAS Properties'!$V$42</f>
        <v>2.2999999999999998</v>
      </c>
      <c r="AG626" s="24">
        <v>5.5</v>
      </c>
      <c r="AH626" s="2" t="s">
        <v>834</v>
      </c>
      <c r="AI626" s="15">
        <v>1.0129999999999999</v>
      </c>
      <c r="AJ626" s="15">
        <f t="shared" si="325"/>
        <v>18.13949324021846</v>
      </c>
      <c r="AK626" s="15">
        <f t="shared" si="326"/>
        <v>0.10129999999999999</v>
      </c>
      <c r="AL626" s="15">
        <v>0.40400000000000003</v>
      </c>
      <c r="AM626" s="15">
        <f t="shared" si="327"/>
        <v>14.974054855448481</v>
      </c>
      <c r="AN626" s="15">
        <f t="shared" si="328"/>
        <v>4.0400000000000005E-2</v>
      </c>
      <c r="AO626" s="2" t="s">
        <v>31</v>
      </c>
      <c r="AP626" s="15">
        <v>23.4</v>
      </c>
      <c r="AQ626" s="16" t="s">
        <v>689</v>
      </c>
      <c r="AR626" s="16">
        <v>54.4</v>
      </c>
      <c r="AS626" s="16">
        <v>35</v>
      </c>
      <c r="AT626" s="16">
        <v>10.6</v>
      </c>
      <c r="AU626" s="16" t="s">
        <v>664</v>
      </c>
      <c r="AV626" s="16">
        <f t="shared" si="312"/>
        <v>100</v>
      </c>
      <c r="AW626" s="20">
        <v>1.6</v>
      </c>
      <c r="AX626" s="8">
        <f t="shared" si="302"/>
        <v>1.6E-2</v>
      </c>
      <c r="AY626" s="8" t="s">
        <v>32</v>
      </c>
      <c r="AZ626" s="16">
        <f t="shared" si="329"/>
        <v>100</v>
      </c>
      <c r="BA626" s="16" t="s">
        <v>55</v>
      </c>
      <c r="BB626" s="16">
        <v>1</v>
      </c>
      <c r="BC626" s="16">
        <v>150</v>
      </c>
      <c r="BD626" s="18">
        <v>0.6</v>
      </c>
      <c r="BE626" s="15">
        <f t="shared" si="292"/>
        <v>37.5</v>
      </c>
      <c r="BF626" s="15">
        <f t="shared" si="313"/>
        <v>1.5740312677277188</v>
      </c>
      <c r="BG626" s="8">
        <f t="shared" si="296"/>
        <v>-0.22184874961635639</v>
      </c>
      <c r="BH626" s="13" t="s">
        <v>856</v>
      </c>
      <c r="BI626" s="15"/>
      <c r="BJ626" s="13"/>
      <c r="BK626" s="15"/>
      <c r="BL626" s="8"/>
      <c r="BM626" s="18"/>
      <c r="BN626" s="8"/>
      <c r="BO626" s="24"/>
    </row>
    <row r="627" spans="1:67" s="14" customFormat="1" x14ac:dyDescent="0.3">
      <c r="A627" s="20">
        <v>625</v>
      </c>
      <c r="B627" s="2" t="s">
        <v>207</v>
      </c>
      <c r="C627" s="2">
        <v>2015</v>
      </c>
      <c r="D627" s="2" t="s">
        <v>201</v>
      </c>
      <c r="E627" s="10" t="s">
        <v>810</v>
      </c>
      <c r="F627" s="20" t="s">
        <v>29</v>
      </c>
      <c r="G627" s="2" t="s">
        <v>56</v>
      </c>
      <c r="H627" s="2" t="str">
        <f>'PFAS Properties'!$B$42</f>
        <v>PFBS</v>
      </c>
      <c r="I627" s="2" t="str">
        <f>'PFAS Properties'!$C$42</f>
        <v>PFSA</v>
      </c>
      <c r="J627" s="2" t="str">
        <f>'PFAS Properties'!$D$42</f>
        <v>C4HF9O3S</v>
      </c>
      <c r="K627" s="25">
        <f>'PFAS Properties'!$P$42</f>
        <v>299.9502</v>
      </c>
      <c r="L627" s="2">
        <f>'PFAS Properties'!$X$42</f>
        <v>0.1</v>
      </c>
      <c r="M627" s="2" t="str">
        <f>'PFAS Properties'!$Y$42</f>
        <v>-</v>
      </c>
      <c r="N627" s="33">
        <v>0</v>
      </c>
      <c r="O627" s="33">
        <v>0</v>
      </c>
      <c r="P627" s="33">
        <v>0</v>
      </c>
      <c r="Q627" s="33">
        <f t="shared" si="300"/>
        <v>0.99999841510931942</v>
      </c>
      <c r="R627" s="33">
        <v>0</v>
      </c>
      <c r="S627" s="33">
        <f t="shared" si="301"/>
        <v>1.5848906805786579E-6</v>
      </c>
      <c r="T627" s="8">
        <f t="shared" si="306"/>
        <v>1</v>
      </c>
      <c r="U627" s="33">
        <f t="shared" si="307"/>
        <v>0</v>
      </c>
      <c r="V627" s="33">
        <f t="shared" si="308"/>
        <v>-0.99999841510931942</v>
      </c>
      <c r="W627" s="33">
        <f t="shared" si="309"/>
        <v>298.95020158489069</v>
      </c>
      <c r="X627" s="33">
        <v>96485</v>
      </c>
      <c r="Y627" s="16">
        <f t="shared" si="310"/>
        <v>-322.74554949388317</v>
      </c>
      <c r="Z627" s="16">
        <v>4</v>
      </c>
      <c r="AA627" s="16">
        <v>9</v>
      </c>
      <c r="AB627" s="8">
        <f t="shared" si="311"/>
        <v>0.2807017543859649</v>
      </c>
      <c r="AC627" s="16">
        <f t="shared" si="293"/>
        <v>57.009463570952775</v>
      </c>
      <c r="AD627" s="20">
        <f>'PFAS Properties'!$W$42</f>
        <v>4</v>
      </c>
      <c r="AE627" s="8">
        <f>'PFAS Properties'!$S$42</f>
        <v>5.53655844257153</v>
      </c>
      <c r="AF627" s="2">
        <f>'PFAS Properties'!$V$42</f>
        <v>2.2999999999999998</v>
      </c>
      <c r="AG627" s="24">
        <v>5.9</v>
      </c>
      <c r="AH627" s="2" t="s">
        <v>834</v>
      </c>
      <c r="AI627" s="2">
        <v>0.13800000000000001</v>
      </c>
      <c r="AJ627" s="15">
        <f t="shared" si="325"/>
        <v>2.4711254364759605</v>
      </c>
      <c r="AK627" s="8">
        <f t="shared" si="326"/>
        <v>1.3800000000000002E-2</v>
      </c>
      <c r="AL627" s="2">
        <v>0.32500000000000001</v>
      </c>
      <c r="AM627" s="15">
        <f t="shared" si="327"/>
        <v>12.045959970348406</v>
      </c>
      <c r="AN627" s="8">
        <f t="shared" si="328"/>
        <v>3.2500000000000001E-2</v>
      </c>
      <c r="AO627" s="15" t="s">
        <v>31</v>
      </c>
      <c r="AP627" s="15">
        <v>72.400000000000006</v>
      </c>
      <c r="AQ627" s="16" t="s">
        <v>689</v>
      </c>
      <c r="AR627" s="16">
        <v>73.400000000000006</v>
      </c>
      <c r="AS627" s="16">
        <v>16.8</v>
      </c>
      <c r="AT627" s="16">
        <v>9.8000000000000007</v>
      </c>
      <c r="AU627" s="16" t="s">
        <v>664</v>
      </c>
      <c r="AV627" s="16">
        <f t="shared" si="312"/>
        <v>100</v>
      </c>
      <c r="AW627" s="20">
        <v>3.9</v>
      </c>
      <c r="AX627" s="8">
        <f t="shared" si="302"/>
        <v>3.9E-2</v>
      </c>
      <c r="AY627" s="8" t="s">
        <v>32</v>
      </c>
      <c r="AZ627" s="16">
        <f t="shared" si="329"/>
        <v>100</v>
      </c>
      <c r="BA627" s="16" t="s">
        <v>55</v>
      </c>
      <c r="BB627" s="16">
        <v>1</v>
      </c>
      <c r="BC627" s="16">
        <v>150</v>
      </c>
      <c r="BD627" s="18">
        <v>0.8</v>
      </c>
      <c r="BE627" s="15">
        <f t="shared" ref="BE627:BE632" si="330">BD627/AX627</f>
        <v>20.512820512820515</v>
      </c>
      <c r="BF627" s="15">
        <f t="shared" si="313"/>
        <v>1.3120253799654444</v>
      </c>
      <c r="BG627" s="8">
        <f t="shared" si="296"/>
        <v>-9.6910013008056392E-2</v>
      </c>
      <c r="BH627" s="13" t="s">
        <v>856</v>
      </c>
      <c r="BI627" s="15"/>
      <c r="BJ627" s="13"/>
      <c r="BK627" s="15"/>
      <c r="BL627" s="8"/>
      <c r="BM627" s="18"/>
      <c r="BN627" s="8"/>
      <c r="BO627" s="24"/>
    </row>
    <row r="628" spans="1:67" s="14" customFormat="1" x14ac:dyDescent="0.3">
      <c r="A628" s="20">
        <v>626</v>
      </c>
      <c r="B628" s="2" t="s">
        <v>207</v>
      </c>
      <c r="C628" s="2">
        <v>2015</v>
      </c>
      <c r="D628" s="2" t="s">
        <v>201</v>
      </c>
      <c r="E628" s="10" t="s">
        <v>810</v>
      </c>
      <c r="F628" s="20" t="s">
        <v>29</v>
      </c>
      <c r="G628" s="2" t="s">
        <v>33</v>
      </c>
      <c r="H628" s="2" t="str">
        <f>'PFAS Properties'!$B$42</f>
        <v>PFBS</v>
      </c>
      <c r="I628" s="2" t="str">
        <f>'PFAS Properties'!$C$42</f>
        <v>PFSA</v>
      </c>
      <c r="J628" s="2" t="str">
        <f>'PFAS Properties'!$D$42</f>
        <v>C4HF9O3S</v>
      </c>
      <c r="K628" s="25">
        <f>'PFAS Properties'!$P$42</f>
        <v>299.9502</v>
      </c>
      <c r="L628" s="2">
        <f>'PFAS Properties'!$X$42</f>
        <v>0.1</v>
      </c>
      <c r="M628" s="2" t="str">
        <f>'PFAS Properties'!$Y$42</f>
        <v>-</v>
      </c>
      <c r="N628" s="33">
        <v>0</v>
      </c>
      <c r="O628" s="33">
        <v>0</v>
      </c>
      <c r="P628" s="33">
        <v>0</v>
      </c>
      <c r="Q628" s="33">
        <f t="shared" si="300"/>
        <v>0.99999998741074603</v>
      </c>
      <c r="R628" s="33">
        <v>0</v>
      </c>
      <c r="S628" s="33">
        <f t="shared" si="301"/>
        <v>1.258925395945232E-8</v>
      </c>
      <c r="T628" s="8">
        <f t="shared" si="306"/>
        <v>1</v>
      </c>
      <c r="U628" s="33">
        <f t="shared" si="307"/>
        <v>0</v>
      </c>
      <c r="V628" s="33">
        <f t="shared" si="308"/>
        <v>-0.99999998741074603</v>
      </c>
      <c r="W628" s="33">
        <f t="shared" si="309"/>
        <v>298.95020001258922</v>
      </c>
      <c r="X628" s="33">
        <v>96485</v>
      </c>
      <c r="Y628" s="16">
        <f t="shared" si="310"/>
        <v>-322.74605864542895</v>
      </c>
      <c r="Z628" s="16">
        <v>4</v>
      </c>
      <c r="AA628" s="16">
        <v>9</v>
      </c>
      <c r="AB628" s="8">
        <f t="shared" si="311"/>
        <v>0.2807017543859649</v>
      </c>
      <c r="AC628" s="16">
        <f t="shared" si="293"/>
        <v>57.009463570952775</v>
      </c>
      <c r="AD628" s="20">
        <f>'PFAS Properties'!$W$42</f>
        <v>4</v>
      </c>
      <c r="AE628" s="8">
        <f>'PFAS Properties'!$S$42</f>
        <v>5.53655844257153</v>
      </c>
      <c r="AF628" s="2">
        <f>'PFAS Properties'!$V$42</f>
        <v>2.2999999999999998</v>
      </c>
      <c r="AG628" s="24">
        <v>8</v>
      </c>
      <c r="AH628" s="2" t="s">
        <v>834</v>
      </c>
      <c r="AI628" s="15">
        <v>2.9660000000000002</v>
      </c>
      <c r="AJ628" s="15">
        <f t="shared" si="325"/>
        <v>53.111290178171728</v>
      </c>
      <c r="AK628" s="15">
        <f t="shared" si="326"/>
        <v>0.29660000000000003</v>
      </c>
      <c r="AL628" s="15">
        <v>0.23</v>
      </c>
      <c r="AM628" s="15">
        <f t="shared" si="327"/>
        <v>8.5248332097850259</v>
      </c>
      <c r="AN628" s="15">
        <f t="shared" si="328"/>
        <v>2.3E-2</v>
      </c>
      <c r="AO628" s="2" t="s">
        <v>31</v>
      </c>
      <c r="AP628" s="15">
        <v>89.3</v>
      </c>
      <c r="AQ628" s="16" t="s">
        <v>689</v>
      </c>
      <c r="AR628" s="16">
        <v>12.2</v>
      </c>
      <c r="AS628" s="16">
        <v>54.3</v>
      </c>
      <c r="AT628" s="16">
        <v>33.5</v>
      </c>
      <c r="AU628" s="16" t="s">
        <v>664</v>
      </c>
      <c r="AV628" s="16">
        <f t="shared" si="312"/>
        <v>100</v>
      </c>
      <c r="AW628" s="20">
        <v>7.7</v>
      </c>
      <c r="AX628" s="8">
        <f t="shared" si="302"/>
        <v>7.6999999999999999E-2</v>
      </c>
      <c r="AY628" s="8" t="s">
        <v>32</v>
      </c>
      <c r="AZ628" s="16">
        <f t="shared" si="329"/>
        <v>100</v>
      </c>
      <c r="BA628" s="16" t="s">
        <v>55</v>
      </c>
      <c r="BB628" s="16">
        <v>1</v>
      </c>
      <c r="BC628" s="16">
        <v>150</v>
      </c>
      <c r="BD628" s="18">
        <v>1.6</v>
      </c>
      <c r="BE628" s="15">
        <f t="shared" si="330"/>
        <v>20.779220779220779</v>
      </c>
      <c r="BF628" s="15">
        <f t="shared" si="313"/>
        <v>1.317629257483443</v>
      </c>
      <c r="BG628" s="8">
        <f t="shared" si="296"/>
        <v>0.20411998265592479</v>
      </c>
      <c r="BH628" s="13" t="s">
        <v>856</v>
      </c>
      <c r="BI628" s="15"/>
      <c r="BJ628" s="13"/>
      <c r="BK628" s="15"/>
      <c r="BL628" s="8"/>
      <c r="BM628" s="18"/>
      <c r="BN628" s="8"/>
      <c r="BO628" s="24"/>
    </row>
    <row r="629" spans="1:67" s="14" customFormat="1" x14ac:dyDescent="0.3">
      <c r="A629" s="20">
        <v>627</v>
      </c>
      <c r="B629" s="2" t="s">
        <v>207</v>
      </c>
      <c r="C629" s="2">
        <v>2015</v>
      </c>
      <c r="D629" s="2" t="s">
        <v>201</v>
      </c>
      <c r="E629" s="10" t="s">
        <v>810</v>
      </c>
      <c r="F629" s="20" t="s">
        <v>29</v>
      </c>
      <c r="G629" s="2" t="s">
        <v>34</v>
      </c>
      <c r="H629" s="2" t="str">
        <f>'PFAS Properties'!$B$42</f>
        <v>PFBS</v>
      </c>
      <c r="I629" s="2" t="str">
        <f>'PFAS Properties'!$C$42</f>
        <v>PFSA</v>
      </c>
      <c r="J629" s="2" t="str">
        <f>'PFAS Properties'!$D$42</f>
        <v>C4HF9O3S</v>
      </c>
      <c r="K629" s="25">
        <f>'PFAS Properties'!$P$42</f>
        <v>299.9502</v>
      </c>
      <c r="L629" s="2">
        <f>'PFAS Properties'!$X$42</f>
        <v>0.1</v>
      </c>
      <c r="M629" s="2" t="str">
        <f>'PFAS Properties'!$Y$42</f>
        <v>-</v>
      </c>
      <c r="N629" s="33">
        <v>0</v>
      </c>
      <c r="O629" s="33">
        <v>0</v>
      </c>
      <c r="P629" s="33">
        <v>0</v>
      </c>
      <c r="Q629" s="33">
        <f t="shared" si="300"/>
        <v>0.99999205678074798</v>
      </c>
      <c r="R629" s="33">
        <v>0</v>
      </c>
      <c r="S629" s="33">
        <f t="shared" si="301"/>
        <v>7.9432192520095278E-6</v>
      </c>
      <c r="T629" s="8">
        <f t="shared" si="306"/>
        <v>1</v>
      </c>
      <c r="U629" s="33">
        <f t="shared" si="307"/>
        <v>0</v>
      </c>
      <c r="V629" s="33">
        <f t="shared" si="308"/>
        <v>-0.99999205678074798</v>
      </c>
      <c r="W629" s="33">
        <f t="shared" si="309"/>
        <v>298.95020794321925</v>
      </c>
      <c r="X629" s="33">
        <v>96485</v>
      </c>
      <c r="Y629" s="16">
        <f t="shared" si="310"/>
        <v>-322.74349050399752</v>
      </c>
      <c r="Z629" s="16">
        <v>4</v>
      </c>
      <c r="AA629" s="16">
        <v>9</v>
      </c>
      <c r="AB629" s="8">
        <f t="shared" si="311"/>
        <v>0.2807017543859649</v>
      </c>
      <c r="AC629" s="16">
        <f t="shared" si="293"/>
        <v>57.009463570952775</v>
      </c>
      <c r="AD629" s="20">
        <f>'PFAS Properties'!$W$42</f>
        <v>4</v>
      </c>
      <c r="AE629" s="8">
        <f>'PFAS Properties'!$S$42</f>
        <v>5.53655844257153</v>
      </c>
      <c r="AF629" s="2">
        <f>'PFAS Properties'!$V$42</f>
        <v>2.2999999999999998</v>
      </c>
      <c r="AG629" s="24">
        <v>5.2</v>
      </c>
      <c r="AH629" s="2" t="s">
        <v>834</v>
      </c>
      <c r="AI629" s="15">
        <v>4.5149999999999997</v>
      </c>
      <c r="AJ629" s="15">
        <f t="shared" si="325"/>
        <v>80.848777867311313</v>
      </c>
      <c r="AK629" s="15">
        <f t="shared" si="326"/>
        <v>0.45149999999999996</v>
      </c>
      <c r="AL629" s="15">
        <v>0.377</v>
      </c>
      <c r="AM629" s="15">
        <f t="shared" si="327"/>
        <v>13.973313565604151</v>
      </c>
      <c r="AN629" s="15">
        <f t="shared" si="328"/>
        <v>3.7699999999999997E-2</v>
      </c>
      <c r="AO629" s="2" t="s">
        <v>31</v>
      </c>
      <c r="AP629" s="15">
        <v>46.3</v>
      </c>
      <c r="AQ629" s="16" t="s">
        <v>689</v>
      </c>
      <c r="AR629" s="16">
        <v>41.3</v>
      </c>
      <c r="AS629" s="16">
        <v>39.799999999999997</v>
      </c>
      <c r="AT629" s="16">
        <v>18.899999999999999</v>
      </c>
      <c r="AU629" s="16" t="s">
        <v>664</v>
      </c>
      <c r="AV629" s="16">
        <f t="shared" si="312"/>
        <v>100</v>
      </c>
      <c r="AW629" s="20">
        <v>9.4</v>
      </c>
      <c r="AX629" s="8">
        <f t="shared" si="302"/>
        <v>9.4E-2</v>
      </c>
      <c r="AY629" s="8" t="s">
        <v>32</v>
      </c>
      <c r="AZ629" s="16">
        <f t="shared" si="329"/>
        <v>100</v>
      </c>
      <c r="BA629" s="16" t="s">
        <v>55</v>
      </c>
      <c r="BB629" s="16">
        <v>1</v>
      </c>
      <c r="BC629" s="16">
        <v>150</v>
      </c>
      <c r="BD629" s="18">
        <v>1.4</v>
      </c>
      <c r="BE629" s="15">
        <f t="shared" si="330"/>
        <v>14.893617021276595</v>
      </c>
      <c r="BF629" s="15">
        <f t="shared" si="313"/>
        <v>1.1730001820785394</v>
      </c>
      <c r="BG629" s="8">
        <f t="shared" si="296"/>
        <v>0.14612803567823801</v>
      </c>
      <c r="BH629" s="13" t="s">
        <v>856</v>
      </c>
      <c r="BI629" s="15"/>
      <c r="BJ629" s="13"/>
      <c r="BK629" s="15"/>
      <c r="BL629" s="8"/>
      <c r="BM629" s="18"/>
      <c r="BN629" s="8"/>
      <c r="BO629" s="24"/>
    </row>
    <row r="630" spans="1:67" s="14" customFormat="1" x14ac:dyDescent="0.3">
      <c r="A630" s="20">
        <v>628</v>
      </c>
      <c r="B630" s="2" t="s">
        <v>207</v>
      </c>
      <c r="C630" s="2">
        <v>2015</v>
      </c>
      <c r="D630" s="2" t="s">
        <v>201</v>
      </c>
      <c r="E630" s="10" t="s">
        <v>810</v>
      </c>
      <c r="F630" s="20" t="s">
        <v>29</v>
      </c>
      <c r="G630" s="2" t="s">
        <v>37</v>
      </c>
      <c r="H630" s="2" t="str">
        <f>'PFAS Properties'!$B$42</f>
        <v>PFBS</v>
      </c>
      <c r="I630" s="2" t="str">
        <f>'PFAS Properties'!$C$42</f>
        <v>PFSA</v>
      </c>
      <c r="J630" s="2" t="str">
        <f>'PFAS Properties'!$D$42</f>
        <v>C4HF9O3S</v>
      </c>
      <c r="K630" s="25">
        <f>'PFAS Properties'!$P$42</f>
        <v>299.9502</v>
      </c>
      <c r="L630" s="2">
        <f>'PFAS Properties'!$X$42</f>
        <v>0.1</v>
      </c>
      <c r="M630" s="2" t="str">
        <f>'PFAS Properties'!$Y$42</f>
        <v>-</v>
      </c>
      <c r="N630" s="33">
        <v>0</v>
      </c>
      <c r="O630" s="33">
        <v>0</v>
      </c>
      <c r="P630" s="33">
        <v>0</v>
      </c>
      <c r="Q630" s="33">
        <f t="shared" si="300"/>
        <v>0.9999974881198781</v>
      </c>
      <c r="R630" s="33">
        <v>0</v>
      </c>
      <c r="S630" s="33">
        <f t="shared" si="301"/>
        <v>2.5118801219519806E-6</v>
      </c>
      <c r="T630" s="8">
        <f t="shared" si="306"/>
        <v>1</v>
      </c>
      <c r="U630" s="33">
        <f t="shared" si="307"/>
        <v>0</v>
      </c>
      <c r="V630" s="33">
        <f t="shared" si="308"/>
        <v>-0.9999974881198781</v>
      </c>
      <c r="W630" s="33">
        <f t="shared" si="309"/>
        <v>298.95020251188015</v>
      </c>
      <c r="X630" s="33">
        <v>96485</v>
      </c>
      <c r="Y630" s="16">
        <f t="shared" si="310"/>
        <v>-322.74524931091884</v>
      </c>
      <c r="Z630" s="16">
        <v>4</v>
      </c>
      <c r="AA630" s="16">
        <v>9</v>
      </c>
      <c r="AB630" s="8">
        <f t="shared" si="311"/>
        <v>0.2807017543859649</v>
      </c>
      <c r="AC630" s="16">
        <f t="shared" si="293"/>
        <v>57.009463570952775</v>
      </c>
      <c r="AD630" s="20">
        <f>'PFAS Properties'!$W$42</f>
        <v>4</v>
      </c>
      <c r="AE630" s="8">
        <f>'PFAS Properties'!$S$42</f>
        <v>5.53655844257153</v>
      </c>
      <c r="AF630" s="2">
        <f>'PFAS Properties'!$V$42</f>
        <v>2.2999999999999998</v>
      </c>
      <c r="AG630" s="24">
        <v>5.7</v>
      </c>
      <c r="AH630" s="2" t="s">
        <v>834</v>
      </c>
      <c r="AI630" s="15">
        <v>10.64</v>
      </c>
      <c r="AJ630" s="15">
        <f t="shared" si="325"/>
        <v>190.52735249350883</v>
      </c>
      <c r="AK630" s="15">
        <f t="shared" si="326"/>
        <v>1.0640000000000001</v>
      </c>
      <c r="AL630" s="15">
        <v>0.16700000000000001</v>
      </c>
      <c r="AM630" s="15">
        <f t="shared" si="327"/>
        <v>6.1897702001482582</v>
      </c>
      <c r="AN630" s="15">
        <f t="shared" si="328"/>
        <v>1.67E-2</v>
      </c>
      <c r="AO630" s="2" t="s">
        <v>31</v>
      </c>
      <c r="AP630" s="15">
        <v>130</v>
      </c>
      <c r="AQ630" s="16" t="s">
        <v>689</v>
      </c>
      <c r="AR630" s="16">
        <v>20.7</v>
      </c>
      <c r="AS630" s="16">
        <v>78</v>
      </c>
      <c r="AT630" s="16">
        <v>1.3</v>
      </c>
      <c r="AU630" s="16" t="s">
        <v>664</v>
      </c>
      <c r="AV630" s="16">
        <f t="shared" si="312"/>
        <v>100</v>
      </c>
      <c r="AW630" s="20">
        <v>39</v>
      </c>
      <c r="AX630" s="8">
        <f t="shared" si="302"/>
        <v>0.39</v>
      </c>
      <c r="AY630" s="8" t="s">
        <v>32</v>
      </c>
      <c r="AZ630" s="16">
        <f t="shared" si="329"/>
        <v>100</v>
      </c>
      <c r="BA630" s="16" t="s">
        <v>55</v>
      </c>
      <c r="BB630" s="16">
        <v>1</v>
      </c>
      <c r="BC630" s="16">
        <v>150</v>
      </c>
      <c r="BD630" s="18">
        <v>6.8</v>
      </c>
      <c r="BE630" s="15">
        <f t="shared" si="330"/>
        <v>17.435897435897434</v>
      </c>
      <c r="BF630" s="15">
        <f t="shared" si="313"/>
        <v>1.2414443056797371</v>
      </c>
      <c r="BG630" s="8">
        <f t="shared" si="296"/>
        <v>0.83250891270623628</v>
      </c>
      <c r="BH630" s="13" t="s">
        <v>856</v>
      </c>
      <c r="BI630" s="15"/>
      <c r="BJ630" s="13"/>
      <c r="BK630" s="15"/>
      <c r="BL630" s="8"/>
      <c r="BM630" s="18"/>
      <c r="BN630" s="8"/>
      <c r="BO630" s="24"/>
    </row>
    <row r="631" spans="1:67" s="14" customFormat="1" x14ac:dyDescent="0.3">
      <c r="A631" s="20">
        <v>629</v>
      </c>
      <c r="B631" s="2" t="s">
        <v>202</v>
      </c>
      <c r="C631" s="2">
        <v>2019</v>
      </c>
      <c r="D631" s="2" t="s">
        <v>199</v>
      </c>
      <c r="E631" s="10" t="s">
        <v>791</v>
      </c>
      <c r="F631" s="20" t="s">
        <v>29</v>
      </c>
      <c r="G631" s="2" t="s">
        <v>39</v>
      </c>
      <c r="H631" s="2" t="str">
        <f>'PFAS Properties'!$B$42</f>
        <v>PFBS</v>
      </c>
      <c r="I631" s="2" t="str">
        <f>'PFAS Properties'!$C$42</f>
        <v>PFSA</v>
      </c>
      <c r="J631" s="2" t="str">
        <f>'PFAS Properties'!$D$42</f>
        <v>C4HF9O3S</v>
      </c>
      <c r="K631" s="25">
        <f>'PFAS Properties'!$P$42</f>
        <v>299.9502</v>
      </c>
      <c r="L631" s="2">
        <f>'PFAS Properties'!$X$42</f>
        <v>0.1</v>
      </c>
      <c r="M631" s="2" t="str">
        <f>'PFAS Properties'!$Y$42</f>
        <v>-</v>
      </c>
      <c r="N631" s="33">
        <v>0</v>
      </c>
      <c r="O631" s="33">
        <v>0</v>
      </c>
      <c r="P631" s="33">
        <v>0</v>
      </c>
      <c r="Q631" s="33">
        <f t="shared" si="300"/>
        <v>0.99999292059227451</v>
      </c>
      <c r="R631" s="33">
        <v>0</v>
      </c>
      <c r="S631" s="33">
        <f t="shared" si="301"/>
        <v>7.0794077254728099E-6</v>
      </c>
      <c r="T631" s="8">
        <f t="shared" si="306"/>
        <v>1</v>
      </c>
      <c r="U631" s="33">
        <f t="shared" si="307"/>
        <v>0</v>
      </c>
      <c r="V631" s="33">
        <f t="shared" si="308"/>
        <v>-0.99999292059227451</v>
      </c>
      <c r="W631" s="33">
        <f t="shared" si="309"/>
        <v>298.95020707940773</v>
      </c>
      <c r="X631" s="33">
        <v>96485</v>
      </c>
      <c r="Y631" s="16">
        <f t="shared" si="310"/>
        <v>-322.74377022832186</v>
      </c>
      <c r="Z631" s="16">
        <v>4</v>
      </c>
      <c r="AA631" s="16">
        <v>9</v>
      </c>
      <c r="AB631" s="8">
        <f t="shared" si="311"/>
        <v>0.2807017543859649</v>
      </c>
      <c r="AC631" s="16">
        <f t="shared" si="293"/>
        <v>57.009463570952775</v>
      </c>
      <c r="AD631" s="20">
        <f>'PFAS Properties'!$W$42</f>
        <v>4</v>
      </c>
      <c r="AE631" s="8">
        <f>'PFAS Properties'!$S$42</f>
        <v>5.53655844257153</v>
      </c>
      <c r="AF631" s="2">
        <f>'PFAS Properties'!$V$42</f>
        <v>2.2999999999999998</v>
      </c>
      <c r="AG631" s="24">
        <v>5.25</v>
      </c>
      <c r="AH631" s="2" t="s">
        <v>661</v>
      </c>
      <c r="AI631" s="2" t="s">
        <v>661</v>
      </c>
      <c r="AJ631" s="2" t="s">
        <v>661</v>
      </c>
      <c r="AK631" s="2" t="s">
        <v>661</v>
      </c>
      <c r="AL631" s="2" t="s">
        <v>661</v>
      </c>
      <c r="AM631" s="2" t="s">
        <v>661</v>
      </c>
      <c r="AN631" s="2" t="s">
        <v>661</v>
      </c>
      <c r="AO631" s="2" t="s">
        <v>661</v>
      </c>
      <c r="AP631" s="72">
        <v>5.7023166666666656</v>
      </c>
      <c r="AQ631" s="70" t="s">
        <v>752</v>
      </c>
      <c r="AR631" s="16">
        <v>100</v>
      </c>
      <c r="AS631" s="16">
        <v>0</v>
      </c>
      <c r="AT631" s="16">
        <v>0</v>
      </c>
      <c r="AU631" s="2" t="s">
        <v>661</v>
      </c>
      <c r="AV631" s="16">
        <f t="shared" si="312"/>
        <v>100</v>
      </c>
      <c r="AW631" s="20">
        <v>0.4</v>
      </c>
      <c r="AX631" s="8">
        <f t="shared" si="302"/>
        <v>4.0000000000000001E-3</v>
      </c>
      <c r="AY631" s="13" t="s">
        <v>658</v>
      </c>
      <c r="AZ631" s="16">
        <f>2/0.01</f>
        <v>200</v>
      </c>
      <c r="BA631" s="16" t="s">
        <v>55</v>
      </c>
      <c r="BB631" s="16">
        <v>1</v>
      </c>
      <c r="BC631" s="16">
        <v>1000</v>
      </c>
      <c r="BD631" s="18">
        <v>0.44</v>
      </c>
      <c r="BE631" s="15">
        <f t="shared" si="330"/>
        <v>110</v>
      </c>
      <c r="BF631" s="15">
        <f t="shared" si="313"/>
        <v>2.0413926851582249</v>
      </c>
      <c r="BG631" s="8">
        <f t="shared" si="296"/>
        <v>-0.35654732351381258</v>
      </c>
      <c r="BH631" s="13" t="s">
        <v>272</v>
      </c>
      <c r="BI631" s="13"/>
      <c r="BJ631" s="13"/>
      <c r="BK631" s="13"/>
      <c r="BL631" s="13"/>
      <c r="BM631" s="17"/>
      <c r="BN631" s="17"/>
      <c r="BO631" s="2"/>
    </row>
    <row r="632" spans="1:67" s="14" customFormat="1" x14ac:dyDescent="0.3">
      <c r="A632" s="20">
        <v>630</v>
      </c>
      <c r="B632" s="2" t="s">
        <v>202</v>
      </c>
      <c r="C632" s="2">
        <v>2019</v>
      </c>
      <c r="D632" s="2" t="s">
        <v>199</v>
      </c>
      <c r="E632" s="10" t="s">
        <v>791</v>
      </c>
      <c r="F632" s="20" t="s">
        <v>29</v>
      </c>
      <c r="G632" s="2" t="s">
        <v>43</v>
      </c>
      <c r="H632" s="2" t="str">
        <f>'PFAS Properties'!$B$42</f>
        <v>PFBS</v>
      </c>
      <c r="I632" s="2" t="str">
        <f>'PFAS Properties'!$C$42</f>
        <v>PFSA</v>
      </c>
      <c r="J632" s="2" t="str">
        <f>'PFAS Properties'!$D$42</f>
        <v>C4HF9O3S</v>
      </c>
      <c r="K632" s="25">
        <f>'PFAS Properties'!$P$42</f>
        <v>299.9502</v>
      </c>
      <c r="L632" s="2">
        <f>'PFAS Properties'!$X$42</f>
        <v>0.1</v>
      </c>
      <c r="M632" s="2" t="str">
        <f>'PFAS Properties'!$Y$42</f>
        <v>-</v>
      </c>
      <c r="N632" s="33">
        <v>0</v>
      </c>
      <c r="O632" s="33">
        <v>0</v>
      </c>
      <c r="P632" s="33">
        <v>0</v>
      </c>
      <c r="Q632" s="33">
        <f t="shared" si="300"/>
        <v>0.99999730847244039</v>
      </c>
      <c r="R632" s="33">
        <v>0</v>
      </c>
      <c r="S632" s="33">
        <f t="shared" si="301"/>
        <v>2.6915275595868084E-6</v>
      </c>
      <c r="T632" s="8">
        <f t="shared" si="306"/>
        <v>1</v>
      </c>
      <c r="U632" s="33">
        <f t="shared" si="307"/>
        <v>0</v>
      </c>
      <c r="V632" s="33">
        <f t="shared" si="308"/>
        <v>-0.99999730847244039</v>
      </c>
      <c r="W632" s="33">
        <f t="shared" si="309"/>
        <v>298.95020269152758</v>
      </c>
      <c r="X632" s="33">
        <v>96485</v>
      </c>
      <c r="Y632" s="16">
        <f t="shared" si="310"/>
        <v>-322.74519113646966</v>
      </c>
      <c r="Z632" s="16">
        <v>4</v>
      </c>
      <c r="AA632" s="16">
        <v>9</v>
      </c>
      <c r="AB632" s="8">
        <f t="shared" si="311"/>
        <v>0.2807017543859649</v>
      </c>
      <c r="AC632" s="16">
        <f t="shared" si="293"/>
        <v>57.009463570952775</v>
      </c>
      <c r="AD632" s="20">
        <f>'PFAS Properties'!$W$42</f>
        <v>4</v>
      </c>
      <c r="AE632" s="8">
        <f>'PFAS Properties'!$S$42</f>
        <v>5.53655844257153</v>
      </c>
      <c r="AF632" s="2">
        <f>'PFAS Properties'!$V$42</f>
        <v>2.2999999999999998</v>
      </c>
      <c r="AG632" s="24">
        <v>5.67</v>
      </c>
      <c r="AH632" s="2" t="s">
        <v>661</v>
      </c>
      <c r="AI632" s="15" t="s">
        <v>661</v>
      </c>
      <c r="AJ632" s="16" t="s">
        <v>661</v>
      </c>
      <c r="AK632" s="2" t="s">
        <v>661</v>
      </c>
      <c r="AL632" s="15" t="s">
        <v>661</v>
      </c>
      <c r="AM632" s="16" t="s">
        <v>661</v>
      </c>
      <c r="AN632" s="2" t="s">
        <v>661</v>
      </c>
      <c r="AO632" s="2" t="s">
        <v>661</v>
      </c>
      <c r="AP632" s="72">
        <v>9.2037666666666649</v>
      </c>
      <c r="AQ632" s="70" t="s">
        <v>752</v>
      </c>
      <c r="AR632" s="16">
        <v>71</v>
      </c>
      <c r="AS632" s="16">
        <v>24</v>
      </c>
      <c r="AT632" s="16">
        <v>5</v>
      </c>
      <c r="AU632" s="2" t="s">
        <v>661</v>
      </c>
      <c r="AV632" s="16">
        <f t="shared" si="312"/>
        <v>100</v>
      </c>
      <c r="AW632" s="20">
        <v>0.93</v>
      </c>
      <c r="AX632" s="8">
        <f t="shared" si="302"/>
        <v>9.300000000000001E-3</v>
      </c>
      <c r="AY632" s="13" t="s">
        <v>658</v>
      </c>
      <c r="AZ632" s="16">
        <f>2/0.01</f>
        <v>200</v>
      </c>
      <c r="BA632" s="16" t="s">
        <v>55</v>
      </c>
      <c r="BB632" s="16">
        <v>1</v>
      </c>
      <c r="BC632" s="16">
        <v>1000</v>
      </c>
      <c r="BD632" s="18">
        <v>0.5</v>
      </c>
      <c r="BE632" s="15">
        <f t="shared" si="330"/>
        <v>53.763440860215049</v>
      </c>
      <c r="BF632" s="15">
        <f t="shared" si="313"/>
        <v>1.7304870557820837</v>
      </c>
      <c r="BG632" s="8">
        <f t="shared" si="296"/>
        <v>-0.3010299956639812</v>
      </c>
      <c r="BH632" s="13" t="s">
        <v>272</v>
      </c>
      <c r="BI632" s="13"/>
      <c r="BJ632" s="13"/>
      <c r="BK632" s="13"/>
      <c r="BL632" s="13"/>
      <c r="BM632" s="17"/>
      <c r="BN632" s="17"/>
      <c r="BO632" s="2"/>
    </row>
    <row r="633" spans="1:67" s="2" customFormat="1" x14ac:dyDescent="0.3">
      <c r="A633" s="20">
        <v>631</v>
      </c>
      <c r="B633" s="2" t="s">
        <v>720</v>
      </c>
      <c r="C633" s="2">
        <v>2019</v>
      </c>
      <c r="D633" s="2" t="s">
        <v>201</v>
      </c>
      <c r="E633" s="10" t="s">
        <v>797</v>
      </c>
      <c r="F633" s="20" t="s">
        <v>29</v>
      </c>
      <c r="G633" s="2" t="s">
        <v>713</v>
      </c>
      <c r="H633" s="2" t="str">
        <f>'PFAS Properties'!$B$42</f>
        <v>PFBS</v>
      </c>
      <c r="I633" s="2" t="str">
        <f>'PFAS Properties'!$C$42</f>
        <v>PFSA</v>
      </c>
      <c r="J633" s="2" t="str">
        <f>'PFAS Properties'!$D$42</f>
        <v>C4HF9O3S</v>
      </c>
      <c r="K633" s="25">
        <f>'PFAS Properties'!$P$42</f>
        <v>299.9502</v>
      </c>
      <c r="L633" s="2">
        <f>'PFAS Properties'!$X$42</f>
        <v>0.1</v>
      </c>
      <c r="M633" s="2" t="str">
        <f>'PFAS Properties'!$Y$42</f>
        <v>-</v>
      </c>
      <c r="N633" s="33">
        <v>0</v>
      </c>
      <c r="O633" s="33">
        <v>0</v>
      </c>
      <c r="P633" s="33">
        <v>0</v>
      </c>
      <c r="Q633" s="33">
        <f t="shared" si="300"/>
        <v>0.99999690971411737</v>
      </c>
      <c r="R633" s="33">
        <v>0</v>
      </c>
      <c r="S633" s="33">
        <f t="shared" si="301"/>
        <v>3.0902858826172347E-6</v>
      </c>
      <c r="T633" s="8">
        <f t="shared" si="306"/>
        <v>1</v>
      </c>
      <c r="U633" s="33">
        <f t="shared" si="307"/>
        <v>0</v>
      </c>
      <c r="V633" s="33">
        <f t="shared" si="308"/>
        <v>-0.99999690971411737</v>
      </c>
      <c r="W633" s="33">
        <f t="shared" si="309"/>
        <v>298.95020309028587</v>
      </c>
      <c r="X633" s="33">
        <v>96485</v>
      </c>
      <c r="Y633" s="16">
        <f t="shared" si="310"/>
        <v>-322.74506200829472</v>
      </c>
      <c r="Z633" s="16">
        <v>4</v>
      </c>
      <c r="AA633" s="16">
        <v>9</v>
      </c>
      <c r="AB633" s="8">
        <f t="shared" si="311"/>
        <v>0.2807017543859649</v>
      </c>
      <c r="AC633" s="16">
        <f t="shared" si="293"/>
        <v>57.009463570952775</v>
      </c>
      <c r="AD633" s="20">
        <f>'PFAS Properties'!$W$42</f>
        <v>4</v>
      </c>
      <c r="AE633" s="8">
        <f>'PFAS Properties'!$S$42</f>
        <v>5.53655844257153</v>
      </c>
      <c r="AF633" s="2">
        <f>'PFAS Properties'!$V$42</f>
        <v>2.2999999999999998</v>
      </c>
      <c r="AG633" s="24">
        <v>5.61</v>
      </c>
      <c r="AH633" s="2" t="s">
        <v>652</v>
      </c>
      <c r="AI633" s="15">
        <f>9.1*2*55.845/159.69</f>
        <v>6.3647003569415741</v>
      </c>
      <c r="AJ633" s="16">
        <f t="shared" ref="AJ633:AJ638" si="331">AI633*1000/55.845</f>
        <v>113.97081846076773</v>
      </c>
      <c r="AK633" s="15">
        <f t="shared" ref="AK633:AK638" si="332">AI633/10</f>
        <v>0.63647003569415739</v>
      </c>
      <c r="AL633" s="15">
        <f>22.3*2*26.98/101.96</f>
        <v>11.801765398195371</v>
      </c>
      <c r="AM633" s="16">
        <f>AL633*1000/26.98</f>
        <v>437.42644174185961</v>
      </c>
      <c r="AN633" s="15">
        <f t="shared" ref="AN633:AN638" si="333">AL633/10</f>
        <v>1.1801765398195372</v>
      </c>
      <c r="AO633" s="15" t="s">
        <v>41</v>
      </c>
      <c r="AP633" s="15">
        <v>11</v>
      </c>
      <c r="AQ633" s="2" t="s">
        <v>652</v>
      </c>
      <c r="AR633" s="16">
        <v>40.700000000000003</v>
      </c>
      <c r="AS633" s="16">
        <v>23.3</v>
      </c>
      <c r="AT633" s="16">
        <v>36</v>
      </c>
      <c r="AU633" s="2" t="s">
        <v>652</v>
      </c>
      <c r="AV633" s="16">
        <f t="shared" ref="AV633:AV638" si="334">SUM(AR633:AT633)</f>
        <v>100</v>
      </c>
      <c r="AW633" s="20">
        <v>3.82</v>
      </c>
      <c r="AX633" s="8">
        <f t="shared" si="302"/>
        <v>3.8199999999999998E-2</v>
      </c>
      <c r="AY633" s="16" t="s">
        <v>750</v>
      </c>
      <c r="AZ633" s="16">
        <f t="shared" ref="AZ633:AZ638" si="335">5/0.04</f>
        <v>125</v>
      </c>
      <c r="BA633" s="16" t="s">
        <v>55</v>
      </c>
      <c r="BB633" s="16">
        <f t="shared" ref="BB633:BB638" si="336">50*K633/1000</f>
        <v>14.99751</v>
      </c>
      <c r="BC633" s="16">
        <f t="shared" ref="BC633:BC638" si="337">1000*K633/1000</f>
        <v>299.9502</v>
      </c>
      <c r="BD633" s="25">
        <f t="shared" ref="BD633:BD638" si="338">BO633</f>
        <v>5.2308627122060837E-2</v>
      </c>
      <c r="BE633" s="16">
        <f t="shared" ref="BE633:BE638" si="339">BD633/AX633</f>
        <v>1.3693357885356241</v>
      </c>
      <c r="BF633" s="16">
        <f t="shared" si="313"/>
        <v>0.13650995889096101</v>
      </c>
      <c r="BG633" s="8">
        <f t="shared" ref="BG633:BG638" si="340">LOG(BD633)</f>
        <v>-1.2814266781973302</v>
      </c>
      <c r="BH633" s="13" t="s">
        <v>782</v>
      </c>
      <c r="BI633" s="16">
        <f>10^2.1173</f>
        <v>131.00865862570294</v>
      </c>
      <c r="BJ633" s="16" t="s">
        <v>329</v>
      </c>
      <c r="BK633" s="8">
        <v>0.37780000000000002</v>
      </c>
      <c r="BL633" s="16">
        <f t="shared" ref="BL633:BL638" si="341">(BI633*K633/1000)/(BI633*(K633^BK633)/1000)</f>
        <v>34.77122447971422</v>
      </c>
      <c r="BM633" s="25">
        <f>'PFAS Properties'!$U$42</f>
        <v>34400</v>
      </c>
      <c r="BN633" s="16">
        <f t="shared" ref="BN633:BN638" si="342">(BL633*(BM633^BK633))</f>
        <v>1799.4167729988928</v>
      </c>
      <c r="BO633" s="24">
        <f t="shared" ref="BO633:BO638" si="343">BN633/BM633</f>
        <v>5.2308627122060837E-2</v>
      </c>
    </row>
    <row r="634" spans="1:67" s="14" customFormat="1" x14ac:dyDescent="0.3">
      <c r="A634" s="20">
        <v>632</v>
      </c>
      <c r="B634" s="2" t="s">
        <v>720</v>
      </c>
      <c r="C634" s="2">
        <v>2019</v>
      </c>
      <c r="D634" s="2" t="s">
        <v>201</v>
      </c>
      <c r="E634" s="10" t="s">
        <v>797</v>
      </c>
      <c r="F634" s="20" t="s">
        <v>29</v>
      </c>
      <c r="G634" s="2" t="s">
        <v>714</v>
      </c>
      <c r="H634" s="2" t="str">
        <f>'PFAS Properties'!$B$42</f>
        <v>PFBS</v>
      </c>
      <c r="I634" s="2" t="str">
        <f>'PFAS Properties'!$C$42</f>
        <v>PFSA</v>
      </c>
      <c r="J634" s="2" t="str">
        <f>'PFAS Properties'!$D$42</f>
        <v>C4HF9O3S</v>
      </c>
      <c r="K634" s="25">
        <f>'PFAS Properties'!$P$42</f>
        <v>299.9502</v>
      </c>
      <c r="L634" s="2">
        <f>'PFAS Properties'!$X$42</f>
        <v>0.1</v>
      </c>
      <c r="M634" s="2" t="str">
        <f>'PFAS Properties'!$Y$42</f>
        <v>-</v>
      </c>
      <c r="N634" s="33">
        <v>0</v>
      </c>
      <c r="O634" s="33">
        <v>0</v>
      </c>
      <c r="P634" s="33">
        <v>0</v>
      </c>
      <c r="Q634" s="33">
        <f t="shared" si="300"/>
        <v>0.99994111910162875</v>
      </c>
      <c r="R634" s="33">
        <v>0</v>
      </c>
      <c r="S634" s="33">
        <f t="shared" si="301"/>
        <v>5.8880898371216013E-5</v>
      </c>
      <c r="T634" s="8">
        <f t="shared" si="306"/>
        <v>1</v>
      </c>
      <c r="U634" s="33">
        <f t="shared" si="307"/>
        <v>0</v>
      </c>
      <c r="V634" s="33">
        <f t="shared" si="308"/>
        <v>-0.99994111910162875</v>
      </c>
      <c r="W634" s="33">
        <f t="shared" si="309"/>
        <v>298.95025888089833</v>
      </c>
      <c r="X634" s="33">
        <v>96485</v>
      </c>
      <c r="Y634" s="16">
        <f t="shared" si="310"/>
        <v>-322.72699558008406</v>
      </c>
      <c r="Z634" s="16">
        <v>4</v>
      </c>
      <c r="AA634" s="16">
        <v>9</v>
      </c>
      <c r="AB634" s="8">
        <f t="shared" si="311"/>
        <v>0.2807017543859649</v>
      </c>
      <c r="AC634" s="16">
        <f t="shared" si="293"/>
        <v>57.009463570952775</v>
      </c>
      <c r="AD634" s="20">
        <f>'PFAS Properties'!$W$42</f>
        <v>4</v>
      </c>
      <c r="AE634" s="8">
        <f>'PFAS Properties'!$S$42</f>
        <v>5.53655844257153</v>
      </c>
      <c r="AF634" s="2">
        <f>'PFAS Properties'!$V$42</f>
        <v>2.2999999999999998</v>
      </c>
      <c r="AG634" s="24">
        <v>4.33</v>
      </c>
      <c r="AH634" s="2" t="s">
        <v>652</v>
      </c>
      <c r="AI634" s="15">
        <f>4.25*2*55.845/159.69</f>
        <v>2.9725248919782077</v>
      </c>
      <c r="AJ634" s="16">
        <f t="shared" si="331"/>
        <v>53.228129500908004</v>
      </c>
      <c r="AK634" s="15">
        <f t="shared" si="332"/>
        <v>0.29725248919782077</v>
      </c>
      <c r="AL634" s="15">
        <f>4.49*2*26.98/101.96</f>
        <v>2.3762298940761086</v>
      </c>
      <c r="AM634" s="16">
        <f t="shared" ref="AM634:AM638" si="344">AL634*1000/26.98</f>
        <v>88.073754413495507</v>
      </c>
      <c r="AN634" s="15">
        <f t="shared" si="333"/>
        <v>0.23762298940761087</v>
      </c>
      <c r="AO634" s="15" t="s">
        <v>41</v>
      </c>
      <c r="AP634" s="15">
        <v>19</v>
      </c>
      <c r="AQ634" s="2" t="s">
        <v>652</v>
      </c>
      <c r="AR634" s="16">
        <v>46.7</v>
      </c>
      <c r="AS634" s="16">
        <v>50</v>
      </c>
      <c r="AT634" s="16">
        <v>3.3</v>
      </c>
      <c r="AU634" s="2" t="s">
        <v>652</v>
      </c>
      <c r="AV634" s="16">
        <f t="shared" si="334"/>
        <v>100</v>
      </c>
      <c r="AW634" s="20">
        <v>0.52</v>
      </c>
      <c r="AX634" s="8">
        <f t="shared" si="302"/>
        <v>5.1999999999999998E-3</v>
      </c>
      <c r="AY634" s="16" t="s">
        <v>750</v>
      </c>
      <c r="AZ634" s="16">
        <f t="shared" si="335"/>
        <v>125</v>
      </c>
      <c r="BA634" s="16" t="s">
        <v>55</v>
      </c>
      <c r="BB634" s="16">
        <f t="shared" si="336"/>
        <v>14.99751</v>
      </c>
      <c r="BC634" s="16">
        <f t="shared" si="337"/>
        <v>299.9502</v>
      </c>
      <c r="BD634" s="25">
        <f t="shared" si="338"/>
        <v>0.16079225313649834</v>
      </c>
      <c r="BE634" s="16">
        <f t="shared" si="339"/>
        <v>30.921587141634298</v>
      </c>
      <c r="BF634" s="16">
        <f t="shared" si="313"/>
        <v>1.4902617772632223</v>
      </c>
      <c r="BG634" s="8">
        <f t="shared" si="340"/>
        <v>-0.79373487910197849</v>
      </c>
      <c r="BH634" s="13" t="s">
        <v>782</v>
      </c>
      <c r="BI634" s="16">
        <f>10^1.6232</f>
        <v>41.995233466406582</v>
      </c>
      <c r="BJ634" s="16" t="s">
        <v>329</v>
      </c>
      <c r="BK634" s="8">
        <v>0.61460000000000004</v>
      </c>
      <c r="BL634" s="16">
        <f t="shared" si="341"/>
        <v>9.0085469159240059</v>
      </c>
      <c r="BM634" s="25">
        <f>'PFAS Properties'!$U$42</f>
        <v>34400</v>
      </c>
      <c r="BN634" s="16">
        <f t="shared" si="342"/>
        <v>5531.2535078955425</v>
      </c>
      <c r="BO634" s="24">
        <f t="shared" si="343"/>
        <v>0.16079225313649834</v>
      </c>
    </row>
    <row r="635" spans="1:67" s="14" customFormat="1" x14ac:dyDescent="0.3">
      <c r="A635" s="20">
        <v>633</v>
      </c>
      <c r="B635" s="2" t="s">
        <v>720</v>
      </c>
      <c r="C635" s="2">
        <v>2019</v>
      </c>
      <c r="D635" s="2" t="s">
        <v>201</v>
      </c>
      <c r="E635" s="10" t="s">
        <v>797</v>
      </c>
      <c r="F635" s="20" t="s">
        <v>29</v>
      </c>
      <c r="G635" s="2" t="s">
        <v>715</v>
      </c>
      <c r="H635" s="2" t="str">
        <f>'PFAS Properties'!$B$42</f>
        <v>PFBS</v>
      </c>
      <c r="I635" s="2" t="str">
        <f>'PFAS Properties'!$C$42</f>
        <v>PFSA</v>
      </c>
      <c r="J635" s="2" t="str">
        <f>'PFAS Properties'!$D$42</f>
        <v>C4HF9O3S</v>
      </c>
      <c r="K635" s="25">
        <f>'PFAS Properties'!$P$42</f>
        <v>299.9502</v>
      </c>
      <c r="L635" s="2">
        <f>'PFAS Properties'!$X$42</f>
        <v>0.1</v>
      </c>
      <c r="M635" s="2" t="str">
        <f>'PFAS Properties'!$Y$42</f>
        <v>-</v>
      </c>
      <c r="N635" s="33">
        <v>0</v>
      </c>
      <c r="O635" s="33">
        <v>0</v>
      </c>
      <c r="P635" s="33">
        <v>0</v>
      </c>
      <c r="Q635" s="33">
        <f t="shared" si="300"/>
        <v>0.99973091894371013</v>
      </c>
      <c r="R635" s="33">
        <v>0</v>
      </c>
      <c r="S635" s="33">
        <f t="shared" si="301"/>
        <v>2.6908105628988352E-4</v>
      </c>
      <c r="T635" s="8">
        <f t="shared" si="306"/>
        <v>1</v>
      </c>
      <c r="U635" s="33">
        <f t="shared" si="307"/>
        <v>0</v>
      </c>
      <c r="V635" s="33">
        <f t="shared" si="308"/>
        <v>-0.99973091894371013</v>
      </c>
      <c r="W635" s="33">
        <f t="shared" si="309"/>
        <v>298.95046908105633</v>
      </c>
      <c r="X635" s="33">
        <v>96485</v>
      </c>
      <c r="Y635" s="16">
        <f t="shared" si="310"/>
        <v>-322.65892744971853</v>
      </c>
      <c r="Z635" s="16">
        <v>4</v>
      </c>
      <c r="AA635" s="16">
        <v>9</v>
      </c>
      <c r="AB635" s="8">
        <f t="shared" si="311"/>
        <v>0.2807017543859649</v>
      </c>
      <c r="AC635" s="16">
        <f t="shared" si="293"/>
        <v>57.009463570952775</v>
      </c>
      <c r="AD635" s="20">
        <f>'PFAS Properties'!$W$42</f>
        <v>4</v>
      </c>
      <c r="AE635" s="8">
        <f>'PFAS Properties'!$S$42</f>
        <v>5.53655844257153</v>
      </c>
      <c r="AF635" s="2">
        <f>'PFAS Properties'!$V$42</f>
        <v>2.2999999999999998</v>
      </c>
      <c r="AG635" s="24">
        <v>3.67</v>
      </c>
      <c r="AH635" s="2" t="s">
        <v>652</v>
      </c>
      <c r="AI635" s="15">
        <f>1.51*2*55.845/159.69</f>
        <v>1.056120608679316</v>
      </c>
      <c r="AJ635" s="16">
        <f t="shared" si="331"/>
        <v>18.911641305028493</v>
      </c>
      <c r="AK635" s="15">
        <f t="shared" si="332"/>
        <v>0.1056120608679316</v>
      </c>
      <c r="AL635" s="15">
        <f>1.01*2*26.98/101.96</f>
        <v>0.53451941938014913</v>
      </c>
      <c r="AM635" s="16">
        <f t="shared" si="344"/>
        <v>19.811690859160453</v>
      </c>
      <c r="AN635" s="15">
        <f t="shared" si="333"/>
        <v>5.3451941938014912E-2</v>
      </c>
      <c r="AO635" s="15" t="s">
        <v>41</v>
      </c>
      <c r="AP635" s="15">
        <v>6.57</v>
      </c>
      <c r="AQ635" s="2" t="s">
        <v>652</v>
      </c>
      <c r="AR635" s="16">
        <v>59.3</v>
      </c>
      <c r="AS635" s="16">
        <v>21.3</v>
      </c>
      <c r="AT635" s="16">
        <v>19.399999999999999</v>
      </c>
      <c r="AU635" s="2" t="s">
        <v>652</v>
      </c>
      <c r="AV635" s="16">
        <f t="shared" si="334"/>
        <v>100</v>
      </c>
      <c r="AW635" s="20">
        <v>0.25800000000000001</v>
      </c>
      <c r="AX635" s="8">
        <f t="shared" si="302"/>
        <v>2.5800000000000003E-3</v>
      </c>
      <c r="AY635" s="16" t="s">
        <v>750</v>
      </c>
      <c r="AZ635" s="16">
        <f t="shared" si="335"/>
        <v>125</v>
      </c>
      <c r="BA635" s="16" t="s">
        <v>55</v>
      </c>
      <c r="BB635" s="16">
        <f t="shared" si="336"/>
        <v>14.99751</v>
      </c>
      <c r="BC635" s="16">
        <f t="shared" si="337"/>
        <v>299.9502</v>
      </c>
      <c r="BD635" s="25">
        <f t="shared" si="338"/>
        <v>0.3369368952072429</v>
      </c>
      <c r="BE635" s="16">
        <f t="shared" si="339"/>
        <v>130.59569581676081</v>
      </c>
      <c r="BF635" s="16">
        <f t="shared" si="313"/>
        <v>2.1159288636631475</v>
      </c>
      <c r="BG635" s="8">
        <f t="shared" si="340"/>
        <v>-0.47245143037362231</v>
      </c>
      <c r="BH635" s="13" t="s">
        <v>782</v>
      </c>
      <c r="BI635" s="16">
        <f>10^0.9848</f>
        <v>9.6560609854155004</v>
      </c>
      <c r="BJ635" s="16" t="s">
        <v>329</v>
      </c>
      <c r="BK635" s="8">
        <v>0.77059999999999995</v>
      </c>
      <c r="BL635" s="16">
        <f t="shared" si="341"/>
        <v>3.7002841578682664</v>
      </c>
      <c r="BM635" s="25">
        <f>'PFAS Properties'!$U$42</f>
        <v>34400</v>
      </c>
      <c r="BN635" s="16">
        <f t="shared" si="342"/>
        <v>11590.629195129155</v>
      </c>
      <c r="BO635" s="24">
        <f t="shared" si="343"/>
        <v>0.3369368952072429</v>
      </c>
    </row>
    <row r="636" spans="1:67" s="14" customFormat="1" x14ac:dyDescent="0.3">
      <c r="A636" s="20">
        <v>634</v>
      </c>
      <c r="B636" s="2" t="s">
        <v>720</v>
      </c>
      <c r="C636" s="2">
        <v>2019</v>
      </c>
      <c r="D636" s="2" t="s">
        <v>201</v>
      </c>
      <c r="E636" s="10" t="s">
        <v>797</v>
      </c>
      <c r="F636" s="20" t="s">
        <v>29</v>
      </c>
      <c r="G636" s="2" t="s">
        <v>716</v>
      </c>
      <c r="H636" s="2" t="str">
        <f>'PFAS Properties'!$B$42</f>
        <v>PFBS</v>
      </c>
      <c r="I636" s="2" t="str">
        <f>'PFAS Properties'!$C$42</f>
        <v>PFSA</v>
      </c>
      <c r="J636" s="2" t="str">
        <f>'PFAS Properties'!$D$42</f>
        <v>C4HF9O3S</v>
      </c>
      <c r="K636" s="25">
        <f>'PFAS Properties'!$P$42</f>
        <v>299.9502</v>
      </c>
      <c r="L636" s="2">
        <f>'PFAS Properties'!$X$42</f>
        <v>0.1</v>
      </c>
      <c r="M636" s="2" t="str">
        <f>'PFAS Properties'!$Y$42</f>
        <v>-</v>
      </c>
      <c r="N636" s="33">
        <v>0</v>
      </c>
      <c r="O636" s="33">
        <v>0</v>
      </c>
      <c r="P636" s="33">
        <v>0</v>
      </c>
      <c r="Q636" s="33">
        <f t="shared" si="300"/>
        <v>0.99997116051670853</v>
      </c>
      <c r="R636" s="33">
        <v>0</v>
      </c>
      <c r="S636" s="33">
        <f t="shared" si="301"/>
        <v>2.8839483291482564E-5</v>
      </c>
      <c r="T636" s="8">
        <f t="shared" si="306"/>
        <v>1</v>
      </c>
      <c r="U636" s="33">
        <f t="shared" si="307"/>
        <v>0</v>
      </c>
      <c r="V636" s="33">
        <f t="shared" si="308"/>
        <v>-0.99997116051670853</v>
      </c>
      <c r="W636" s="33">
        <f t="shared" si="309"/>
        <v>298.95022883948332</v>
      </c>
      <c r="X636" s="33">
        <v>96485</v>
      </c>
      <c r="Y636" s="16">
        <f t="shared" si="310"/>
        <v>-322.73672375831916</v>
      </c>
      <c r="Z636" s="16">
        <v>4</v>
      </c>
      <c r="AA636" s="16">
        <v>9</v>
      </c>
      <c r="AB636" s="8">
        <f t="shared" si="311"/>
        <v>0.2807017543859649</v>
      </c>
      <c r="AC636" s="16">
        <f t="shared" si="293"/>
        <v>57.009463570952775</v>
      </c>
      <c r="AD636" s="20">
        <f>'PFAS Properties'!$W$42</f>
        <v>4</v>
      </c>
      <c r="AE636" s="8">
        <f>'PFAS Properties'!$S$42</f>
        <v>5.53655844257153</v>
      </c>
      <c r="AF636" s="2">
        <f>'PFAS Properties'!$V$42</f>
        <v>2.2999999999999998</v>
      </c>
      <c r="AG636" s="24">
        <v>4.6399999999999997</v>
      </c>
      <c r="AH636" s="2" t="s">
        <v>652</v>
      </c>
      <c r="AI636" s="15">
        <f>6.69*2*55.845/159.69</f>
        <v>4.6791038887845202</v>
      </c>
      <c r="AJ636" s="16">
        <f t="shared" si="331"/>
        <v>83.787337967311657</v>
      </c>
      <c r="AK636" s="15">
        <f t="shared" si="332"/>
        <v>0.46791038887845204</v>
      </c>
      <c r="AL636" s="15">
        <f>14.7*2*26.98/101.96</f>
        <v>7.7796390741467247</v>
      </c>
      <c r="AM636" s="16">
        <f t="shared" si="344"/>
        <v>288.34837191055317</v>
      </c>
      <c r="AN636" s="15">
        <f t="shared" si="333"/>
        <v>0.77796390741467247</v>
      </c>
      <c r="AO636" s="15" t="s">
        <v>41</v>
      </c>
      <c r="AP636" s="15">
        <v>19.600000000000001</v>
      </c>
      <c r="AQ636" s="2" t="s">
        <v>652</v>
      </c>
      <c r="AR636" s="16">
        <v>42</v>
      </c>
      <c r="AS636" s="16">
        <v>36.700000000000003</v>
      </c>
      <c r="AT636" s="16">
        <v>21.3</v>
      </c>
      <c r="AU636" s="2" t="s">
        <v>652</v>
      </c>
      <c r="AV636" s="16">
        <f t="shared" si="334"/>
        <v>100</v>
      </c>
      <c r="AW636" s="20">
        <v>0.92800000000000005</v>
      </c>
      <c r="AX636" s="8">
        <f t="shared" si="302"/>
        <v>9.2800000000000001E-3</v>
      </c>
      <c r="AY636" s="16" t="s">
        <v>750</v>
      </c>
      <c r="AZ636" s="16">
        <f t="shared" si="335"/>
        <v>125</v>
      </c>
      <c r="BA636" s="16" t="s">
        <v>55</v>
      </c>
      <c r="BB636" s="16">
        <f t="shared" si="336"/>
        <v>14.99751</v>
      </c>
      <c r="BC636" s="16">
        <f t="shared" si="337"/>
        <v>299.9502</v>
      </c>
      <c r="BD636" s="25">
        <f t="shared" si="338"/>
        <v>9.9977504056658936E-2</v>
      </c>
      <c r="BE636" s="16">
        <f t="shared" si="339"/>
        <v>10.773437937139972</v>
      </c>
      <c r="BF636" s="16">
        <f t="shared" si="313"/>
        <v>1.032354314149792</v>
      </c>
      <c r="BG636" s="8">
        <f t="shared" si="340"/>
        <v>-1.0000977096313461</v>
      </c>
      <c r="BH636" s="13" t="s">
        <v>782</v>
      </c>
      <c r="BI636" s="16">
        <f>10^1.7762</f>
        <v>59.731029481213767</v>
      </c>
      <c r="BJ636" s="16" t="s">
        <v>329</v>
      </c>
      <c r="BK636" s="8">
        <v>0.51439999999999997</v>
      </c>
      <c r="BL636" s="16">
        <f t="shared" si="341"/>
        <v>15.953466697210137</v>
      </c>
      <c r="BM636" s="25">
        <f>'PFAS Properties'!$U$42</f>
        <v>34400</v>
      </c>
      <c r="BN636" s="16">
        <f t="shared" si="342"/>
        <v>3439.2261395490673</v>
      </c>
      <c r="BO636" s="24">
        <f t="shared" si="343"/>
        <v>9.9977504056658936E-2</v>
      </c>
    </row>
    <row r="637" spans="1:67" s="14" customFormat="1" x14ac:dyDescent="0.3">
      <c r="A637" s="20">
        <v>635</v>
      </c>
      <c r="B637" s="2" t="s">
        <v>720</v>
      </c>
      <c r="C637" s="2">
        <v>2019</v>
      </c>
      <c r="D637" s="2" t="s">
        <v>201</v>
      </c>
      <c r="E637" s="10" t="s">
        <v>797</v>
      </c>
      <c r="F637" s="20" t="s">
        <v>29</v>
      </c>
      <c r="G637" s="2" t="s">
        <v>717</v>
      </c>
      <c r="H637" s="2" t="str">
        <f>'PFAS Properties'!$B$42</f>
        <v>PFBS</v>
      </c>
      <c r="I637" s="2" t="str">
        <f>'PFAS Properties'!$C$42</f>
        <v>PFSA</v>
      </c>
      <c r="J637" s="2" t="str">
        <f>'PFAS Properties'!$D$42</f>
        <v>C4HF9O3S</v>
      </c>
      <c r="K637" s="25">
        <f>'PFAS Properties'!$P$42</f>
        <v>299.9502</v>
      </c>
      <c r="L637" s="2">
        <f>'PFAS Properties'!$X$42</f>
        <v>0.1</v>
      </c>
      <c r="M637" s="2" t="str">
        <f>'PFAS Properties'!$Y$42</f>
        <v>-</v>
      </c>
      <c r="N637" s="33">
        <v>0</v>
      </c>
      <c r="O637" s="33">
        <v>0</v>
      </c>
      <c r="P637" s="33">
        <v>0</v>
      </c>
      <c r="Q637" s="33">
        <f t="shared" si="300"/>
        <v>0.99991088284876106</v>
      </c>
      <c r="R637" s="33">
        <v>0</v>
      </c>
      <c r="S637" s="33">
        <f t="shared" si="301"/>
        <v>8.9117151238909804E-5</v>
      </c>
      <c r="T637" s="8">
        <f t="shared" si="306"/>
        <v>1</v>
      </c>
      <c r="U637" s="33">
        <f t="shared" si="307"/>
        <v>0</v>
      </c>
      <c r="V637" s="33">
        <f t="shared" si="308"/>
        <v>-0.99991088284876106</v>
      </c>
      <c r="W637" s="33">
        <f t="shared" si="309"/>
        <v>298.95028911715121</v>
      </c>
      <c r="X637" s="33">
        <v>96485</v>
      </c>
      <c r="Y637" s="16">
        <f t="shared" si="310"/>
        <v>-322.71720431036613</v>
      </c>
      <c r="Z637" s="16">
        <v>4</v>
      </c>
      <c r="AA637" s="16">
        <v>9</v>
      </c>
      <c r="AB637" s="8">
        <f t="shared" si="311"/>
        <v>0.2807017543859649</v>
      </c>
      <c r="AC637" s="16">
        <f t="shared" si="293"/>
        <v>57.009463570952775</v>
      </c>
      <c r="AD637" s="20">
        <f>'PFAS Properties'!$W$42</f>
        <v>4</v>
      </c>
      <c r="AE637" s="8">
        <f>'PFAS Properties'!$S$42</f>
        <v>5.53655844257153</v>
      </c>
      <c r="AF637" s="2">
        <f>'PFAS Properties'!$V$42</f>
        <v>2.2999999999999998</v>
      </c>
      <c r="AG637" s="24">
        <v>4.1500000000000004</v>
      </c>
      <c r="AH637" s="2" t="s">
        <v>652</v>
      </c>
      <c r="AI637" s="15">
        <f>5.68*2*55.845/159.69</f>
        <v>3.9726920909261692</v>
      </c>
      <c r="AJ637" s="16">
        <f t="shared" si="331"/>
        <v>71.137829544742928</v>
      </c>
      <c r="AK637" s="15">
        <f t="shared" si="332"/>
        <v>0.39726920909261693</v>
      </c>
      <c r="AL637" s="15">
        <f>9.78*2*26.98/101.96</f>
        <v>5.1758415064731267</v>
      </c>
      <c r="AM637" s="16">
        <f t="shared" si="344"/>
        <v>191.83993723028641</v>
      </c>
      <c r="AN637" s="15">
        <f t="shared" si="333"/>
        <v>0.51758415064731267</v>
      </c>
      <c r="AO637" s="15" t="s">
        <v>41</v>
      </c>
      <c r="AP637" s="15">
        <v>9.76</v>
      </c>
      <c r="AQ637" s="2" t="s">
        <v>652</v>
      </c>
      <c r="AR637" s="16">
        <v>49.3</v>
      </c>
      <c r="AS637" s="16">
        <v>39.4</v>
      </c>
      <c r="AT637" s="16">
        <v>11.3</v>
      </c>
      <c r="AU637" s="2" t="s">
        <v>652</v>
      </c>
      <c r="AV637" s="16">
        <f t="shared" si="334"/>
        <v>99.999999999999986</v>
      </c>
      <c r="AW637" s="20">
        <v>2.48</v>
      </c>
      <c r="AX637" s="8">
        <f t="shared" si="302"/>
        <v>2.4799999999999999E-2</v>
      </c>
      <c r="AY637" s="16" t="s">
        <v>750</v>
      </c>
      <c r="AZ637" s="16">
        <f t="shared" si="335"/>
        <v>125</v>
      </c>
      <c r="BA637" s="16" t="s">
        <v>55</v>
      </c>
      <c r="BB637" s="16">
        <f t="shared" si="336"/>
        <v>14.99751</v>
      </c>
      <c r="BC637" s="16">
        <f t="shared" si="337"/>
        <v>299.9502</v>
      </c>
      <c r="BD637" s="25">
        <f t="shared" si="338"/>
        <v>0.17915211210893206</v>
      </c>
      <c r="BE637" s="16">
        <f t="shared" si="339"/>
        <v>7.2238754882633902</v>
      </c>
      <c r="BF637" s="16">
        <f t="shared" si="313"/>
        <v>0.85877025180902644</v>
      </c>
      <c r="BG637" s="8">
        <f t="shared" si="340"/>
        <v>-0.74677806736475738</v>
      </c>
      <c r="BH637" s="13" t="s">
        <v>782</v>
      </c>
      <c r="BI637" s="16">
        <f>10^1.5852</f>
        <v>38.476893389378844</v>
      </c>
      <c r="BJ637" s="16" t="s">
        <v>329</v>
      </c>
      <c r="BK637" s="8">
        <v>0.63739999999999997</v>
      </c>
      <c r="BL637" s="16">
        <f t="shared" si="341"/>
        <v>7.9100280563002352</v>
      </c>
      <c r="BM637" s="25">
        <f>'PFAS Properties'!$U$42</f>
        <v>34400</v>
      </c>
      <c r="BN637" s="16">
        <f t="shared" si="342"/>
        <v>6162.8326565472626</v>
      </c>
      <c r="BO637" s="24">
        <f t="shared" si="343"/>
        <v>0.17915211210893206</v>
      </c>
    </row>
    <row r="638" spans="1:67" s="14" customFormat="1" x14ac:dyDescent="0.3">
      <c r="A638" s="20">
        <v>636</v>
      </c>
      <c r="B638" s="2" t="s">
        <v>720</v>
      </c>
      <c r="C638" s="2">
        <v>2019</v>
      </c>
      <c r="D638" s="2" t="s">
        <v>201</v>
      </c>
      <c r="E638" s="10" t="s">
        <v>797</v>
      </c>
      <c r="F638" s="20" t="s">
        <v>29</v>
      </c>
      <c r="G638" s="2" t="s">
        <v>718</v>
      </c>
      <c r="H638" s="2" t="str">
        <f>'PFAS Properties'!$B$42</f>
        <v>PFBS</v>
      </c>
      <c r="I638" s="2" t="str">
        <f>'PFAS Properties'!$C$42</f>
        <v>PFSA</v>
      </c>
      <c r="J638" s="2" t="str">
        <f>'PFAS Properties'!$D$42</f>
        <v>C4HF9O3S</v>
      </c>
      <c r="K638" s="25">
        <f>'PFAS Properties'!$P$42</f>
        <v>299.9502</v>
      </c>
      <c r="L638" s="2">
        <f>'PFAS Properties'!$X$42</f>
        <v>0.1</v>
      </c>
      <c r="M638" s="2" t="str">
        <f>'PFAS Properties'!$Y$42</f>
        <v>-</v>
      </c>
      <c r="N638" s="33">
        <v>0</v>
      </c>
      <c r="O638" s="33">
        <v>0</v>
      </c>
      <c r="P638" s="33">
        <v>0</v>
      </c>
      <c r="Q638" s="33">
        <f t="shared" si="300"/>
        <v>0.99983784528867892</v>
      </c>
      <c r="R638" s="33">
        <v>0</v>
      </c>
      <c r="S638" s="33">
        <f t="shared" si="301"/>
        <v>1.6215471132107731E-4</v>
      </c>
      <c r="T638" s="8">
        <f t="shared" si="306"/>
        <v>1</v>
      </c>
      <c r="U638" s="33">
        <f t="shared" si="307"/>
        <v>0</v>
      </c>
      <c r="V638" s="33">
        <f t="shared" si="308"/>
        <v>-0.99983784528867892</v>
      </c>
      <c r="W638" s="33">
        <f t="shared" si="309"/>
        <v>298.95036215471129</v>
      </c>
      <c r="X638" s="33">
        <v>96485</v>
      </c>
      <c r="Y638" s="16">
        <f t="shared" si="310"/>
        <v>-322.69355289408833</v>
      </c>
      <c r="Z638" s="16">
        <v>4</v>
      </c>
      <c r="AA638" s="16">
        <v>9</v>
      </c>
      <c r="AB638" s="8">
        <f t="shared" si="311"/>
        <v>0.2807017543859649</v>
      </c>
      <c r="AC638" s="16">
        <f t="shared" si="293"/>
        <v>57.009463570952775</v>
      </c>
      <c r="AD638" s="20">
        <f>'PFAS Properties'!$W$42</f>
        <v>4</v>
      </c>
      <c r="AE638" s="8">
        <f>'PFAS Properties'!$S$42</f>
        <v>5.53655844257153</v>
      </c>
      <c r="AF638" s="2">
        <f>'PFAS Properties'!$V$42</f>
        <v>2.2999999999999998</v>
      </c>
      <c r="AG638" s="24">
        <v>3.89</v>
      </c>
      <c r="AH638" s="2" t="s">
        <v>652</v>
      </c>
      <c r="AI638" s="15">
        <f>2.95*2*55.845/159.69</f>
        <v>2.0632819838436971</v>
      </c>
      <c r="AJ638" s="16">
        <f t="shared" si="331"/>
        <v>36.946584006512616</v>
      </c>
      <c r="AK638" s="15">
        <f t="shared" si="332"/>
        <v>0.20632819838436972</v>
      </c>
      <c r="AL638" s="15">
        <f>0.634*2*26.98/101.96</f>
        <v>0.33553001176932129</v>
      </c>
      <c r="AM638" s="16">
        <f t="shared" si="344"/>
        <v>12.436249509611612</v>
      </c>
      <c r="AN638" s="15">
        <f t="shared" si="333"/>
        <v>3.3553001176932128E-2</v>
      </c>
      <c r="AO638" s="15" t="s">
        <v>41</v>
      </c>
      <c r="AP638" s="15">
        <v>2.89</v>
      </c>
      <c r="AQ638" s="2" t="s">
        <v>652</v>
      </c>
      <c r="AR638" s="16">
        <v>60</v>
      </c>
      <c r="AS638" s="16">
        <v>16</v>
      </c>
      <c r="AT638" s="16">
        <v>24</v>
      </c>
      <c r="AU638" s="2" t="s">
        <v>652</v>
      </c>
      <c r="AV638" s="16">
        <f t="shared" si="334"/>
        <v>100</v>
      </c>
      <c r="AW638" s="20">
        <v>0.99299999999999999</v>
      </c>
      <c r="AX638" s="8">
        <f t="shared" si="302"/>
        <v>9.9299999999999996E-3</v>
      </c>
      <c r="AY638" s="16" t="s">
        <v>750</v>
      </c>
      <c r="AZ638" s="16">
        <f t="shared" si="335"/>
        <v>125</v>
      </c>
      <c r="BA638" s="16" t="s">
        <v>55</v>
      </c>
      <c r="BB638" s="16">
        <f t="shared" si="336"/>
        <v>14.99751</v>
      </c>
      <c r="BC638" s="16">
        <f t="shared" si="337"/>
        <v>299.9502</v>
      </c>
      <c r="BD638" s="25">
        <f t="shared" si="338"/>
        <v>0.2336439031150106</v>
      </c>
      <c r="BE638" s="16">
        <f t="shared" si="339"/>
        <v>23.529093969286063</v>
      </c>
      <c r="BF638" s="16">
        <f t="shared" si="313"/>
        <v>1.371605204196195</v>
      </c>
      <c r="BG638" s="8">
        <f t="shared" si="340"/>
        <v>-0.63144554730842384</v>
      </c>
      <c r="BH638" s="13" t="s">
        <v>782</v>
      </c>
      <c r="BI638" s="16">
        <f>10^1.4577</f>
        <v>28.687982018213575</v>
      </c>
      <c r="BJ638" s="16" t="s">
        <v>329</v>
      </c>
      <c r="BK638" s="8">
        <v>0.69340000000000002</v>
      </c>
      <c r="BL638" s="16">
        <f t="shared" si="341"/>
        <v>5.7472921123717633</v>
      </c>
      <c r="BM638" s="25">
        <f>'PFAS Properties'!$U$42</f>
        <v>34400</v>
      </c>
      <c r="BN638" s="16">
        <f t="shared" si="342"/>
        <v>8037.3502671563647</v>
      </c>
      <c r="BO638" s="24">
        <f t="shared" si="343"/>
        <v>0.2336439031150106</v>
      </c>
    </row>
    <row r="639" spans="1:67" s="14" customFormat="1" x14ac:dyDescent="0.3">
      <c r="A639" s="20">
        <v>637</v>
      </c>
      <c r="B639" s="2" t="s">
        <v>210</v>
      </c>
      <c r="C639" s="2">
        <v>2010</v>
      </c>
      <c r="D639" s="2" t="s">
        <v>209</v>
      </c>
      <c r="E639" s="10" t="s">
        <v>208</v>
      </c>
      <c r="F639" s="20" t="s">
        <v>29</v>
      </c>
      <c r="G639" s="2" t="s">
        <v>52</v>
      </c>
      <c r="H639" s="2" t="str">
        <f>'PFAS Properties'!$B$42</f>
        <v>PFBS</v>
      </c>
      <c r="I639" s="2" t="str">
        <f>'PFAS Properties'!$C$42</f>
        <v>PFSA</v>
      </c>
      <c r="J639" s="2" t="str">
        <f>'PFAS Properties'!$D$42</f>
        <v>C4HF9O3S</v>
      </c>
      <c r="K639" s="25">
        <f>'PFAS Properties'!$P$42</f>
        <v>299.9502</v>
      </c>
      <c r="L639" s="2">
        <f>'PFAS Properties'!$X$42</f>
        <v>0.1</v>
      </c>
      <c r="M639" s="2" t="str">
        <f>'PFAS Properties'!$Y$42</f>
        <v>-</v>
      </c>
      <c r="N639" s="33">
        <v>0</v>
      </c>
      <c r="O639" s="33">
        <v>0</v>
      </c>
      <c r="P639" s="33">
        <v>0</v>
      </c>
      <c r="Q639" s="33">
        <f t="shared" si="300"/>
        <v>0.99999996837722438</v>
      </c>
      <c r="R639" s="33">
        <v>0</v>
      </c>
      <c r="S639" s="33">
        <f t="shared" si="301"/>
        <v>3.1622775601683729E-8</v>
      </c>
      <c r="T639" s="8">
        <f t="shared" si="306"/>
        <v>1</v>
      </c>
      <c r="U639" s="33">
        <f t="shared" si="307"/>
        <v>0</v>
      </c>
      <c r="V639" s="33">
        <f t="shared" si="308"/>
        <v>-0.99999996837722438</v>
      </c>
      <c r="W639" s="33">
        <f t="shared" si="309"/>
        <v>298.95020003162278</v>
      </c>
      <c r="X639" s="33">
        <v>96485</v>
      </c>
      <c r="Y639" s="16">
        <f t="shared" si="310"/>
        <v>-322.74605248188618</v>
      </c>
      <c r="Z639" s="16">
        <v>4</v>
      </c>
      <c r="AA639" s="16">
        <v>9</v>
      </c>
      <c r="AB639" s="8">
        <f t="shared" si="311"/>
        <v>0.2807017543859649</v>
      </c>
      <c r="AC639" s="16">
        <f t="shared" si="293"/>
        <v>57.009463570952775</v>
      </c>
      <c r="AD639" s="20">
        <f>'PFAS Properties'!$W$42</f>
        <v>4</v>
      </c>
      <c r="AE639" s="8">
        <f>'PFAS Properties'!$S$42</f>
        <v>5.53655844257153</v>
      </c>
      <c r="AF639" s="2">
        <f>'PFAS Properties'!$V$42</f>
        <v>2.2999999999999998</v>
      </c>
      <c r="AG639" s="24">
        <v>7.6</v>
      </c>
      <c r="AH639" s="2" t="s">
        <v>661</v>
      </c>
      <c r="AI639" s="2">
        <v>8.1199999999999992</v>
      </c>
      <c r="AJ639" s="15">
        <f>AI639*1000/55.845</f>
        <v>145.40245321873041</v>
      </c>
      <c r="AK639" s="8">
        <f>AI639/10</f>
        <v>0.81199999999999994</v>
      </c>
      <c r="AL639" s="2">
        <v>1.294</v>
      </c>
      <c r="AM639" s="15">
        <f>AL639*1000/26.98</f>
        <v>47.961452928094886</v>
      </c>
      <c r="AN639" s="8">
        <f>AL639/10</f>
        <v>0.12940000000000002</v>
      </c>
      <c r="AO639" s="15" t="s">
        <v>41</v>
      </c>
      <c r="AP639" s="72">
        <v>5.6985666666666646</v>
      </c>
      <c r="AQ639" s="70" t="s">
        <v>752</v>
      </c>
      <c r="AR639" s="16">
        <v>41</v>
      </c>
      <c r="AS639" s="16">
        <v>22</v>
      </c>
      <c r="AT639" s="16">
        <v>37</v>
      </c>
      <c r="AU639" s="16" t="s">
        <v>661</v>
      </c>
      <c r="AV639" s="16">
        <f t="shared" ref="AV639:AV646" si="345">SUM(AR639:AT639)</f>
        <v>100</v>
      </c>
      <c r="AW639" s="20">
        <v>0.42</v>
      </c>
      <c r="AX639" s="8">
        <f t="shared" si="302"/>
        <v>4.1999999999999997E-3</v>
      </c>
      <c r="AY639" s="13" t="s">
        <v>53</v>
      </c>
      <c r="AZ639" s="16">
        <f>12/0.025</f>
        <v>480</v>
      </c>
      <c r="BA639" s="16" t="s">
        <v>55</v>
      </c>
      <c r="BB639" s="8">
        <v>0.02</v>
      </c>
      <c r="BC639" s="8">
        <v>1</v>
      </c>
      <c r="BD639" s="18">
        <v>7.0000000000000007E-2</v>
      </c>
      <c r="BE639" s="15">
        <f t="shared" ref="BE639:BE702" si="346">BD639/AX639</f>
        <v>16.666666666666668</v>
      </c>
      <c r="BF639" s="15">
        <f t="shared" si="313"/>
        <v>1.2218487496163564</v>
      </c>
      <c r="BG639" s="8">
        <f t="shared" ref="BG639:BG682" si="347">LOG(BD639)</f>
        <v>-1.1549019599857431</v>
      </c>
      <c r="BH639" s="13" t="s">
        <v>856</v>
      </c>
      <c r="BI639" s="13"/>
      <c r="BJ639" s="13"/>
      <c r="BK639" s="13"/>
      <c r="BL639" s="13"/>
      <c r="BM639" s="17"/>
      <c r="BN639" s="17"/>
      <c r="BO639" s="2"/>
    </row>
    <row r="640" spans="1:67" s="14" customFormat="1" x14ac:dyDescent="0.3">
      <c r="A640" s="20">
        <v>638</v>
      </c>
      <c r="B640" s="2" t="s">
        <v>210</v>
      </c>
      <c r="C640" s="2">
        <v>2010</v>
      </c>
      <c r="D640" s="2" t="s">
        <v>209</v>
      </c>
      <c r="E640" s="10" t="s">
        <v>208</v>
      </c>
      <c r="F640" s="20" t="s">
        <v>29</v>
      </c>
      <c r="G640" s="2" t="s">
        <v>54</v>
      </c>
      <c r="H640" s="2" t="str">
        <f>'PFAS Properties'!$B$42</f>
        <v>PFBS</v>
      </c>
      <c r="I640" s="2" t="str">
        <f>'PFAS Properties'!$C$42</f>
        <v>PFSA</v>
      </c>
      <c r="J640" s="2" t="str">
        <f>'PFAS Properties'!$D$42</f>
        <v>C4HF9O3S</v>
      </c>
      <c r="K640" s="25">
        <f>'PFAS Properties'!$P$42</f>
        <v>299.9502</v>
      </c>
      <c r="L640" s="2">
        <f>'PFAS Properties'!$X$42</f>
        <v>0.1</v>
      </c>
      <c r="M640" s="2" t="str">
        <f>'PFAS Properties'!$Y$42</f>
        <v>-</v>
      </c>
      <c r="N640" s="33">
        <v>0</v>
      </c>
      <c r="O640" s="33">
        <v>0</v>
      </c>
      <c r="P640" s="33">
        <v>0</v>
      </c>
      <c r="Q640" s="33">
        <f t="shared" si="300"/>
        <v>0.99999900000099995</v>
      </c>
      <c r="R640" s="33">
        <v>0</v>
      </c>
      <c r="S640" s="33">
        <f t="shared" si="301"/>
        <v>9.9999900000100006E-7</v>
      </c>
      <c r="T640" s="8">
        <f t="shared" si="306"/>
        <v>1</v>
      </c>
      <c r="U640" s="33">
        <f t="shared" si="307"/>
        <v>0</v>
      </c>
      <c r="V640" s="33">
        <f t="shared" si="308"/>
        <v>-0.99999900000099995</v>
      </c>
      <c r="W640" s="33">
        <f t="shared" si="309"/>
        <v>298.95020099999903</v>
      </c>
      <c r="X640" s="33">
        <v>96485</v>
      </c>
      <c r="Y640" s="16">
        <f t="shared" si="310"/>
        <v>-322.74573889681642</v>
      </c>
      <c r="Z640" s="16">
        <v>4</v>
      </c>
      <c r="AA640" s="16">
        <v>9</v>
      </c>
      <c r="AB640" s="8">
        <f t="shared" si="311"/>
        <v>0.2807017543859649</v>
      </c>
      <c r="AC640" s="16">
        <f t="shared" si="293"/>
        <v>57.009463570952775</v>
      </c>
      <c r="AD640" s="20">
        <f>'PFAS Properties'!$W$42</f>
        <v>4</v>
      </c>
      <c r="AE640" s="8">
        <f>'PFAS Properties'!$S$42</f>
        <v>5.53655844257153</v>
      </c>
      <c r="AF640" s="2">
        <f>'PFAS Properties'!$V$42</f>
        <v>2.2999999999999998</v>
      </c>
      <c r="AG640" s="24">
        <v>6.1</v>
      </c>
      <c r="AH640" s="2" t="s">
        <v>661</v>
      </c>
      <c r="AI640" s="2">
        <v>2.73</v>
      </c>
      <c r="AJ640" s="15">
        <f>AI640*1000/55.845</f>
        <v>48.885307547676604</v>
      </c>
      <c r="AK640" s="8">
        <f>AI640/10</f>
        <v>0.27300000000000002</v>
      </c>
      <c r="AL640" s="2">
        <v>2.6320000000000001</v>
      </c>
      <c r="AM640" s="15">
        <f>AL640*1000/26.98</f>
        <v>97.553743513713854</v>
      </c>
      <c r="AN640" s="8">
        <f>AL640/10</f>
        <v>0.26319999999999999</v>
      </c>
      <c r="AO640" s="15" t="s">
        <v>41</v>
      </c>
      <c r="AP640" s="72">
        <v>12.81991666666667</v>
      </c>
      <c r="AQ640" s="70" t="s">
        <v>752</v>
      </c>
      <c r="AR640" s="2">
        <v>94</v>
      </c>
      <c r="AS640" s="2">
        <v>1</v>
      </c>
      <c r="AT640" s="2">
        <v>5</v>
      </c>
      <c r="AU640" s="16" t="s">
        <v>661</v>
      </c>
      <c r="AV640" s="16">
        <f t="shared" si="345"/>
        <v>100</v>
      </c>
      <c r="AW640" s="20">
        <v>1</v>
      </c>
      <c r="AX640" s="8">
        <f t="shared" si="302"/>
        <v>0.01</v>
      </c>
      <c r="AY640" s="13" t="s">
        <v>53</v>
      </c>
      <c r="AZ640" s="16">
        <f>12/0.025</f>
        <v>480</v>
      </c>
      <c r="BA640" s="16" t="s">
        <v>55</v>
      </c>
      <c r="BB640" s="8">
        <v>0.02</v>
      </c>
      <c r="BC640" s="8">
        <v>1</v>
      </c>
      <c r="BD640" s="18">
        <v>0.41</v>
      </c>
      <c r="BE640" s="15">
        <f t="shared" si="346"/>
        <v>41</v>
      </c>
      <c r="BF640" s="15">
        <f t="shared" si="313"/>
        <v>1.6127838567197355</v>
      </c>
      <c r="BG640" s="8">
        <f t="shared" si="347"/>
        <v>-0.38721614328026455</v>
      </c>
      <c r="BH640" s="13" t="s">
        <v>856</v>
      </c>
      <c r="BI640" s="13"/>
      <c r="BJ640" s="13"/>
      <c r="BK640" s="13"/>
      <c r="BL640" s="13"/>
      <c r="BM640" s="17"/>
      <c r="BN640" s="17"/>
      <c r="BO640" s="2"/>
    </row>
    <row r="641" spans="1:67" s="14" customFormat="1" x14ac:dyDescent="0.3">
      <c r="A641" s="20">
        <v>639</v>
      </c>
      <c r="B641" s="2" t="s">
        <v>204</v>
      </c>
      <c r="C641" s="2">
        <v>2013</v>
      </c>
      <c r="D641" s="2" t="s">
        <v>203</v>
      </c>
      <c r="E641" s="10" t="s">
        <v>792</v>
      </c>
      <c r="F641" s="20" t="s">
        <v>29</v>
      </c>
      <c r="G641" s="2" t="s">
        <v>46</v>
      </c>
      <c r="H641" s="2" t="str">
        <f>'PFAS Properties'!$B$42</f>
        <v>PFBS</v>
      </c>
      <c r="I641" s="2" t="str">
        <f>'PFAS Properties'!$C$42</f>
        <v>PFSA</v>
      </c>
      <c r="J641" s="2" t="str">
        <f>'PFAS Properties'!$D$42</f>
        <v>C4HF9O3S</v>
      </c>
      <c r="K641" s="25">
        <f>'PFAS Properties'!$P$42</f>
        <v>299.9502</v>
      </c>
      <c r="L641" s="2">
        <f>'PFAS Properties'!$X$42</f>
        <v>0.1</v>
      </c>
      <c r="M641" s="2" t="str">
        <f>'PFAS Properties'!$Y$42</f>
        <v>-</v>
      </c>
      <c r="N641" s="33">
        <v>0</v>
      </c>
      <c r="O641" s="33">
        <v>0</v>
      </c>
      <c r="P641" s="33">
        <v>0</v>
      </c>
      <c r="Q641" s="33">
        <f t="shared" si="300"/>
        <v>0.99999900000099995</v>
      </c>
      <c r="R641" s="33">
        <v>0</v>
      </c>
      <c r="S641" s="33">
        <f t="shared" si="301"/>
        <v>9.9999900000100006E-7</v>
      </c>
      <c r="T641" s="8">
        <f t="shared" si="306"/>
        <v>1</v>
      </c>
      <c r="U641" s="33">
        <f t="shared" si="307"/>
        <v>0</v>
      </c>
      <c r="V641" s="33">
        <f t="shared" si="308"/>
        <v>-0.99999900000099995</v>
      </c>
      <c r="W641" s="33">
        <f t="shared" si="309"/>
        <v>298.95020099999903</v>
      </c>
      <c r="X641" s="33">
        <v>96485</v>
      </c>
      <c r="Y641" s="16">
        <f t="shared" si="310"/>
        <v>-322.74573889681642</v>
      </c>
      <c r="Z641" s="16">
        <v>4</v>
      </c>
      <c r="AA641" s="16">
        <v>9</v>
      </c>
      <c r="AB641" s="8">
        <f t="shared" si="311"/>
        <v>0.2807017543859649</v>
      </c>
      <c r="AC641" s="16">
        <f t="shared" si="293"/>
        <v>57.009463570952775</v>
      </c>
      <c r="AD641" s="20">
        <f>'PFAS Properties'!$W$42</f>
        <v>4</v>
      </c>
      <c r="AE641" s="8">
        <f>'PFAS Properties'!$S$42</f>
        <v>5.53655844257153</v>
      </c>
      <c r="AF641" s="2">
        <f>'PFAS Properties'!$V$42</f>
        <v>2.2999999999999998</v>
      </c>
      <c r="AG641" s="24">
        <v>6.1</v>
      </c>
      <c r="AH641" s="2" t="s">
        <v>661</v>
      </c>
      <c r="AI641" s="15">
        <v>2.21</v>
      </c>
      <c r="AJ641" s="16">
        <f>AI641*1000/55.845</f>
        <v>39.573820395738203</v>
      </c>
      <c r="AK641" s="8">
        <f>AI641/10</f>
        <v>0.221</v>
      </c>
      <c r="AL641" s="15">
        <v>0.93</v>
      </c>
      <c r="AM641" s="16">
        <f>AL641*1000/26.98</f>
        <v>34.469977761304669</v>
      </c>
      <c r="AN641" s="8">
        <f>AL641/10</f>
        <v>9.2999999999999999E-2</v>
      </c>
      <c r="AO641" s="15" t="s">
        <v>41</v>
      </c>
      <c r="AP641" s="72">
        <v>14.27683666666667</v>
      </c>
      <c r="AQ641" s="2" t="s">
        <v>752</v>
      </c>
      <c r="AR641" s="16">
        <v>81</v>
      </c>
      <c r="AS641" s="16">
        <v>1</v>
      </c>
      <c r="AT641" s="16">
        <v>9</v>
      </c>
      <c r="AU641" s="16" t="s">
        <v>661</v>
      </c>
      <c r="AV641" s="16">
        <f t="shared" ref="AV641:AV643" si="348">SUM(AR641:AT641)</f>
        <v>91</v>
      </c>
      <c r="AW641" s="18">
        <v>1.7</v>
      </c>
      <c r="AX641" s="13">
        <f t="shared" si="302"/>
        <v>1.7000000000000001E-2</v>
      </c>
      <c r="AY641" s="13" t="s">
        <v>42</v>
      </c>
      <c r="AZ641" s="16">
        <f>15/0.04</f>
        <v>375</v>
      </c>
      <c r="BA641" s="16" t="s">
        <v>55</v>
      </c>
      <c r="BB641" s="15">
        <v>0.5</v>
      </c>
      <c r="BC641" s="16">
        <v>1000</v>
      </c>
      <c r="BD641" s="18">
        <v>0.8</v>
      </c>
      <c r="BE641" s="15">
        <f t="shared" si="346"/>
        <v>47.058823529411761</v>
      </c>
      <c r="BF641" s="15">
        <f t="shared" si="313"/>
        <v>1.6726410656136697</v>
      </c>
      <c r="BG641" s="8">
        <f t="shared" si="347"/>
        <v>-9.6910013008056392E-2</v>
      </c>
      <c r="BH641" s="13" t="s">
        <v>844</v>
      </c>
      <c r="BI641" s="15"/>
      <c r="BJ641" s="13"/>
      <c r="BK641" s="15"/>
      <c r="BL641" s="15"/>
      <c r="BM641" s="18"/>
      <c r="BN641" s="8"/>
      <c r="BO641" s="24"/>
    </row>
    <row r="642" spans="1:67" s="14" customFormat="1" x14ac:dyDescent="0.3">
      <c r="A642" s="20">
        <v>640</v>
      </c>
      <c r="B642" s="2" t="s">
        <v>204</v>
      </c>
      <c r="C642" s="2">
        <v>2013</v>
      </c>
      <c r="D642" s="2" t="s">
        <v>203</v>
      </c>
      <c r="E642" s="10" t="s">
        <v>792</v>
      </c>
      <c r="F642" s="20" t="s">
        <v>29</v>
      </c>
      <c r="G642" s="2" t="s">
        <v>50</v>
      </c>
      <c r="H642" s="2" t="str">
        <f>'PFAS Properties'!$B$42</f>
        <v>PFBS</v>
      </c>
      <c r="I642" s="2" t="str">
        <f>'PFAS Properties'!$C$42</f>
        <v>PFSA</v>
      </c>
      <c r="J642" s="2" t="str">
        <f>'PFAS Properties'!$D$42</f>
        <v>C4HF9O3S</v>
      </c>
      <c r="K642" s="25">
        <f>'PFAS Properties'!$P$42</f>
        <v>299.9502</v>
      </c>
      <c r="L642" s="2">
        <f>'PFAS Properties'!$X$42</f>
        <v>0.1</v>
      </c>
      <c r="M642" s="2" t="str">
        <f>'PFAS Properties'!$Y$42</f>
        <v>-</v>
      </c>
      <c r="N642" s="33">
        <v>0</v>
      </c>
      <c r="O642" s="33">
        <v>0</v>
      </c>
      <c r="P642" s="33">
        <v>0</v>
      </c>
      <c r="Q642" s="33">
        <f t="shared" si="300"/>
        <v>0.99999998004737722</v>
      </c>
      <c r="R642" s="33">
        <v>0</v>
      </c>
      <c r="S642" s="33">
        <f t="shared" si="301"/>
        <v>1.995262275158161E-8</v>
      </c>
      <c r="T642" s="8">
        <f t="shared" si="306"/>
        <v>1</v>
      </c>
      <c r="U642" s="33">
        <f t="shared" si="307"/>
        <v>0</v>
      </c>
      <c r="V642" s="33">
        <f t="shared" si="308"/>
        <v>-0.99999998004737722</v>
      </c>
      <c r="W642" s="33">
        <f t="shared" si="309"/>
        <v>298.9502000199526</v>
      </c>
      <c r="X642" s="33">
        <v>96485</v>
      </c>
      <c r="Y642" s="16">
        <f t="shared" si="310"/>
        <v>-322.74605626098116</v>
      </c>
      <c r="Z642" s="16">
        <v>4</v>
      </c>
      <c r="AA642" s="16">
        <v>9</v>
      </c>
      <c r="AB642" s="8">
        <f t="shared" si="311"/>
        <v>0.2807017543859649</v>
      </c>
      <c r="AC642" s="16">
        <f t="shared" si="293"/>
        <v>57.009463570952775</v>
      </c>
      <c r="AD642" s="20">
        <f>'PFAS Properties'!$W$42</f>
        <v>4</v>
      </c>
      <c r="AE642" s="8">
        <f>'PFAS Properties'!$S$42</f>
        <v>5.53655844257153</v>
      </c>
      <c r="AF642" s="2">
        <f>'PFAS Properties'!$V$42</f>
        <v>2.2999999999999998</v>
      </c>
      <c r="AG642" s="24">
        <v>7.8</v>
      </c>
      <c r="AH642" s="2" t="s">
        <v>661</v>
      </c>
      <c r="AI642" s="15">
        <v>6.14</v>
      </c>
      <c r="AJ642" s="16">
        <f>AI642/10</f>
        <v>0.61399999999999999</v>
      </c>
      <c r="AK642" s="8">
        <f>AI642/10</f>
        <v>0.61399999999999999</v>
      </c>
      <c r="AL642" s="15">
        <v>1.67</v>
      </c>
      <c r="AM642" s="15">
        <f>AL642/10</f>
        <v>0.16699999999999998</v>
      </c>
      <c r="AN642" s="8">
        <f>AL642/10</f>
        <v>0.16699999999999998</v>
      </c>
      <c r="AO642" s="15" t="s">
        <v>41</v>
      </c>
      <c r="AP642" s="72">
        <v>6.4956666666666676</v>
      </c>
      <c r="AQ642" s="2" t="s">
        <v>752</v>
      </c>
      <c r="AR642" s="16">
        <v>33</v>
      </c>
      <c r="AS642" s="16">
        <v>42</v>
      </c>
      <c r="AT642" s="16">
        <v>25</v>
      </c>
      <c r="AU642" s="16" t="s">
        <v>661</v>
      </c>
      <c r="AV642" s="16">
        <f t="shared" si="348"/>
        <v>100</v>
      </c>
      <c r="AW642" s="18">
        <v>4.5</v>
      </c>
      <c r="AX642" s="13">
        <f t="shared" si="302"/>
        <v>4.4999999999999998E-2</v>
      </c>
      <c r="AY642" s="13" t="s">
        <v>42</v>
      </c>
      <c r="AZ642" s="16">
        <f>15/0.04</f>
        <v>375</v>
      </c>
      <c r="BA642" s="16" t="s">
        <v>55</v>
      </c>
      <c r="BB642" s="15">
        <v>0.5</v>
      </c>
      <c r="BC642" s="16">
        <v>1000</v>
      </c>
      <c r="BD642" s="24">
        <v>2.35</v>
      </c>
      <c r="BE642" s="15">
        <f t="shared" si="346"/>
        <v>52.222222222222229</v>
      </c>
      <c r="BF642" s="15">
        <f t="shared" si="313"/>
        <v>1.7178553484963925</v>
      </c>
      <c r="BG642" s="8">
        <f t="shared" si="347"/>
        <v>0.37106786227173627</v>
      </c>
      <c r="BH642" s="13" t="s">
        <v>844</v>
      </c>
      <c r="BI642" s="15"/>
      <c r="BJ642" s="13"/>
      <c r="BK642" s="15"/>
      <c r="BL642" s="16"/>
      <c r="BM642" s="18"/>
      <c r="BN642" s="8"/>
      <c r="BO642" s="24"/>
    </row>
    <row r="643" spans="1:67" s="14" customFormat="1" x14ac:dyDescent="0.3">
      <c r="A643" s="20">
        <v>641</v>
      </c>
      <c r="B643" s="2" t="s">
        <v>204</v>
      </c>
      <c r="C643" s="2">
        <v>2013</v>
      </c>
      <c r="D643" s="2" t="s">
        <v>203</v>
      </c>
      <c r="E643" s="10" t="s">
        <v>792</v>
      </c>
      <c r="F643" s="20" t="s">
        <v>29</v>
      </c>
      <c r="G643" s="2" t="s">
        <v>40</v>
      </c>
      <c r="H643" s="2" t="str">
        <f>'PFAS Properties'!$B$42</f>
        <v>PFBS</v>
      </c>
      <c r="I643" s="2" t="str">
        <f>'PFAS Properties'!$C$42</f>
        <v>PFSA</v>
      </c>
      <c r="J643" s="2" t="str">
        <f>'PFAS Properties'!$D$42</f>
        <v>C4HF9O3S</v>
      </c>
      <c r="K643" s="25">
        <f>'PFAS Properties'!$P$42</f>
        <v>299.9502</v>
      </c>
      <c r="L643" s="2">
        <f>'PFAS Properties'!$X$42</f>
        <v>0.1</v>
      </c>
      <c r="M643" s="2" t="str">
        <f>'PFAS Properties'!$Y$42</f>
        <v>-</v>
      </c>
      <c r="N643" s="33">
        <v>0</v>
      </c>
      <c r="O643" s="33">
        <v>0</v>
      </c>
      <c r="P643" s="33">
        <v>0</v>
      </c>
      <c r="Q643" s="33">
        <f t="shared" si="300"/>
        <v>0.99999205678074798</v>
      </c>
      <c r="R643" s="33">
        <v>0</v>
      </c>
      <c r="S643" s="33">
        <f t="shared" si="301"/>
        <v>7.9432192520095278E-6</v>
      </c>
      <c r="T643" s="8">
        <f t="shared" si="306"/>
        <v>1</v>
      </c>
      <c r="U643" s="33">
        <f t="shared" si="307"/>
        <v>0</v>
      </c>
      <c r="V643" s="33">
        <f t="shared" si="308"/>
        <v>-0.99999205678074798</v>
      </c>
      <c r="W643" s="33">
        <f t="shared" si="309"/>
        <v>298.95020794321925</v>
      </c>
      <c r="X643" s="33">
        <v>96485</v>
      </c>
      <c r="Y643" s="16">
        <f t="shared" si="310"/>
        <v>-322.74349050399752</v>
      </c>
      <c r="Z643" s="16">
        <v>4</v>
      </c>
      <c r="AA643" s="16">
        <v>9</v>
      </c>
      <c r="AB643" s="8">
        <f t="shared" si="311"/>
        <v>0.2807017543859649</v>
      </c>
      <c r="AC643" s="16">
        <f t="shared" ref="AC643:AC706" si="349">((AA643*19)/K643)*100</f>
        <v>57.009463570952775</v>
      </c>
      <c r="AD643" s="20">
        <f>'PFAS Properties'!$W$42</f>
        <v>4</v>
      </c>
      <c r="AE643" s="8">
        <f>'PFAS Properties'!$S$42</f>
        <v>5.53655844257153</v>
      </c>
      <c r="AF643" s="2">
        <f>'PFAS Properties'!$V$42</f>
        <v>2.2999999999999998</v>
      </c>
      <c r="AG643" s="24">
        <v>5.2</v>
      </c>
      <c r="AH643" s="2" t="s">
        <v>661</v>
      </c>
      <c r="AI643" s="15">
        <v>24.17</v>
      </c>
      <c r="AJ643" s="16">
        <f>AI643*1000/55.845</f>
        <v>432.80508550452146</v>
      </c>
      <c r="AK643" s="8">
        <f>AI643/10</f>
        <v>2.4170000000000003</v>
      </c>
      <c r="AL643" s="15">
        <v>3.99</v>
      </c>
      <c r="AM643" s="16">
        <f>AL643*1000/26.98</f>
        <v>147.88732394366198</v>
      </c>
      <c r="AN643" s="8">
        <f>AL643/10</f>
        <v>0.39900000000000002</v>
      </c>
      <c r="AO643" s="15" t="s">
        <v>41</v>
      </c>
      <c r="AP643" s="72">
        <v>12.009766666666669</v>
      </c>
      <c r="AQ643" s="2" t="s">
        <v>752</v>
      </c>
      <c r="AR643" s="16">
        <v>47</v>
      </c>
      <c r="AS643" s="16">
        <v>20</v>
      </c>
      <c r="AT643" s="16">
        <v>33</v>
      </c>
      <c r="AU643" s="16" t="s">
        <v>661</v>
      </c>
      <c r="AV643" s="16">
        <f t="shared" si="348"/>
        <v>100</v>
      </c>
      <c r="AW643" s="18">
        <v>0.8</v>
      </c>
      <c r="AX643" s="13">
        <f t="shared" si="302"/>
        <v>8.0000000000000002E-3</v>
      </c>
      <c r="AY643" s="13" t="s">
        <v>42</v>
      </c>
      <c r="AZ643" s="16">
        <f>15/0.04</f>
        <v>375</v>
      </c>
      <c r="BA643" s="16" t="s">
        <v>55</v>
      </c>
      <c r="BB643" s="15">
        <v>0.5</v>
      </c>
      <c r="BC643" s="16">
        <v>1000</v>
      </c>
      <c r="BD643" s="18">
        <v>0.46</v>
      </c>
      <c r="BE643" s="15">
        <f t="shared" si="346"/>
        <v>57.5</v>
      </c>
      <c r="BF643" s="15">
        <f t="shared" si="313"/>
        <v>1.7596678446896306</v>
      </c>
      <c r="BG643" s="8">
        <f t="shared" si="347"/>
        <v>-0.33724216831842591</v>
      </c>
      <c r="BH643" s="13" t="s">
        <v>844</v>
      </c>
      <c r="BI643" s="15"/>
      <c r="BJ643" s="13"/>
      <c r="BK643" s="15"/>
      <c r="BL643" s="16"/>
      <c r="BM643" s="18"/>
      <c r="BN643" s="8"/>
      <c r="BO643" s="24"/>
    </row>
    <row r="644" spans="1:67" s="14" customFormat="1" x14ac:dyDescent="0.3">
      <c r="A644" s="20">
        <v>642</v>
      </c>
      <c r="B644" s="2" t="s">
        <v>211</v>
      </c>
      <c r="C644" s="2">
        <v>2019</v>
      </c>
      <c r="D644" s="2" t="s">
        <v>212</v>
      </c>
      <c r="E644" s="10" t="s">
        <v>213</v>
      </c>
      <c r="F644" s="20" t="s">
        <v>29</v>
      </c>
      <c r="G644" s="2" t="s">
        <v>55</v>
      </c>
      <c r="H644" s="2" t="str">
        <f>'PFAS Properties'!$B$42</f>
        <v>PFBS</v>
      </c>
      <c r="I644" s="2" t="str">
        <f>'PFAS Properties'!$C$42</f>
        <v>PFSA</v>
      </c>
      <c r="J644" s="2" t="str">
        <f>'PFAS Properties'!$D$42</f>
        <v>C4HF9O3S</v>
      </c>
      <c r="K644" s="25">
        <f>'PFAS Properties'!$P$42</f>
        <v>299.9502</v>
      </c>
      <c r="L644" s="2">
        <f>'PFAS Properties'!$X$42</f>
        <v>0.1</v>
      </c>
      <c r="M644" s="2" t="str">
        <f>'PFAS Properties'!$Y$42</f>
        <v>-</v>
      </c>
      <c r="N644" s="33">
        <v>0</v>
      </c>
      <c r="O644" s="33">
        <v>0</v>
      </c>
      <c r="P644" s="33">
        <v>0</v>
      </c>
      <c r="Q644" s="33">
        <f t="shared" si="300"/>
        <v>0.99999987410747471</v>
      </c>
      <c r="R644" s="33">
        <v>0</v>
      </c>
      <c r="S644" s="33">
        <f t="shared" si="301"/>
        <v>1.2589252533048661E-7</v>
      </c>
      <c r="T644" s="8">
        <f t="shared" si="306"/>
        <v>1</v>
      </c>
      <c r="U644" s="33">
        <f t="shared" si="307"/>
        <v>0</v>
      </c>
      <c r="V644" s="33">
        <f t="shared" si="308"/>
        <v>-0.99999987410747471</v>
      </c>
      <c r="W644" s="33">
        <f t="shared" si="309"/>
        <v>298.95020012589254</v>
      </c>
      <c r="X644" s="33">
        <v>96485</v>
      </c>
      <c r="Y644" s="16">
        <f t="shared" si="310"/>
        <v>-322.74602195492218</v>
      </c>
      <c r="Z644" s="16">
        <v>4</v>
      </c>
      <c r="AA644" s="16">
        <v>9</v>
      </c>
      <c r="AB644" s="8">
        <f t="shared" si="311"/>
        <v>0.2807017543859649</v>
      </c>
      <c r="AC644" s="16">
        <f t="shared" si="349"/>
        <v>57.009463570952775</v>
      </c>
      <c r="AD644" s="20">
        <f>'PFAS Properties'!$W$42</f>
        <v>4</v>
      </c>
      <c r="AE644" s="8">
        <f>'PFAS Properties'!$S$42</f>
        <v>5.53655844257153</v>
      </c>
      <c r="AF644" s="2">
        <f>'PFAS Properties'!$V$42</f>
        <v>2.2999999999999998</v>
      </c>
      <c r="AG644" s="24">
        <v>7</v>
      </c>
      <c r="AH644" s="2" t="s">
        <v>661</v>
      </c>
      <c r="AI644" s="2" t="s">
        <v>661</v>
      </c>
      <c r="AJ644" s="2" t="s">
        <v>661</v>
      </c>
      <c r="AK644" s="2" t="s">
        <v>661</v>
      </c>
      <c r="AL644" s="2" t="s">
        <v>661</v>
      </c>
      <c r="AM644" s="2" t="s">
        <v>661</v>
      </c>
      <c r="AN644" s="2" t="s">
        <v>661</v>
      </c>
      <c r="AO644" s="2" t="s">
        <v>661</v>
      </c>
      <c r="AP644" s="59">
        <f>(26.31+26.59+27.81)/3</f>
        <v>26.903333333333332</v>
      </c>
      <c r="AQ644" s="16" t="s">
        <v>661</v>
      </c>
      <c r="AR644" s="71">
        <v>31.549399999999999</v>
      </c>
      <c r="AS644" s="71">
        <v>38.265099999999997</v>
      </c>
      <c r="AT644" s="71">
        <v>30.404799999999991</v>
      </c>
      <c r="AU644" s="70" t="s">
        <v>752</v>
      </c>
      <c r="AV644" s="16">
        <f t="shared" si="345"/>
        <v>100.21929999999999</v>
      </c>
      <c r="AW644" s="18">
        <f>(1.55+1.44+1.34)/3</f>
        <v>1.4433333333333334</v>
      </c>
      <c r="AX644" s="8">
        <f t="shared" si="302"/>
        <v>1.4433333333333333E-2</v>
      </c>
      <c r="AY644" s="8" t="s">
        <v>829</v>
      </c>
      <c r="AZ644" s="16">
        <f>5/0.01</f>
        <v>500</v>
      </c>
      <c r="BA644" s="16" t="s">
        <v>55</v>
      </c>
      <c r="BB644" s="16">
        <v>10</v>
      </c>
      <c r="BC644" s="16">
        <v>100</v>
      </c>
      <c r="BD644" s="20">
        <v>0.62</v>
      </c>
      <c r="BE644" s="15">
        <f t="shared" si="346"/>
        <v>42.956120092378754</v>
      </c>
      <c r="BF644" s="15">
        <f t="shared" si="313"/>
        <v>1.6330250478645509</v>
      </c>
      <c r="BG644" s="8">
        <f t="shared" si="347"/>
        <v>-0.20760831050174613</v>
      </c>
      <c r="BH644" s="13" t="s">
        <v>856</v>
      </c>
      <c r="BI644" s="2"/>
      <c r="BJ644" s="2"/>
      <c r="BK644" s="2"/>
      <c r="BL644" s="2"/>
      <c r="BM644" s="20"/>
      <c r="BN644" s="20"/>
      <c r="BO644" s="2"/>
    </row>
    <row r="645" spans="1:67" s="14" customFormat="1" x14ac:dyDescent="0.3">
      <c r="A645" s="20">
        <v>643</v>
      </c>
      <c r="B645" s="2" t="s">
        <v>206</v>
      </c>
      <c r="C645" s="2">
        <v>2020</v>
      </c>
      <c r="D645" s="2" t="s">
        <v>201</v>
      </c>
      <c r="E645" s="22" t="s">
        <v>793</v>
      </c>
      <c r="F645" s="20" t="s">
        <v>29</v>
      </c>
      <c r="G645" s="2" t="s">
        <v>44</v>
      </c>
      <c r="H645" s="2" t="str">
        <f>'PFAS Properties'!$B$42</f>
        <v>PFBS</v>
      </c>
      <c r="I645" s="2" t="str">
        <f>'PFAS Properties'!$C$42</f>
        <v>PFSA</v>
      </c>
      <c r="J645" s="2" t="str">
        <f>'PFAS Properties'!$D$42</f>
        <v>C4HF9O3S</v>
      </c>
      <c r="K645" s="25">
        <f>'PFAS Properties'!$P$42</f>
        <v>299.9502</v>
      </c>
      <c r="L645" s="2">
        <f>'PFAS Properties'!$X$42</f>
        <v>0.1</v>
      </c>
      <c r="M645" s="2" t="str">
        <f>'PFAS Properties'!$Y$42</f>
        <v>-</v>
      </c>
      <c r="N645" s="33">
        <v>0</v>
      </c>
      <c r="O645" s="33">
        <v>0</v>
      </c>
      <c r="P645" s="33">
        <v>0</v>
      </c>
      <c r="Q645" s="33">
        <f t="shared" si="300"/>
        <v>0.99999998004737722</v>
      </c>
      <c r="R645" s="33">
        <v>0</v>
      </c>
      <c r="S645" s="33">
        <f t="shared" si="301"/>
        <v>1.995262275158161E-8</v>
      </c>
      <c r="T645" s="8">
        <f t="shared" si="306"/>
        <v>1</v>
      </c>
      <c r="U645" s="33">
        <f t="shared" si="307"/>
        <v>0</v>
      </c>
      <c r="V645" s="33">
        <f t="shared" si="308"/>
        <v>-0.99999998004737722</v>
      </c>
      <c r="W645" s="33">
        <f t="shared" si="309"/>
        <v>298.9502000199526</v>
      </c>
      <c r="X645" s="33">
        <v>96485</v>
      </c>
      <c r="Y645" s="16">
        <f t="shared" si="310"/>
        <v>-322.74605626098116</v>
      </c>
      <c r="Z645" s="16">
        <v>4</v>
      </c>
      <c r="AA645" s="16">
        <v>9</v>
      </c>
      <c r="AB645" s="8">
        <f t="shared" si="311"/>
        <v>0.2807017543859649</v>
      </c>
      <c r="AC645" s="16">
        <f t="shared" si="349"/>
        <v>57.009463570952775</v>
      </c>
      <c r="AD645" s="20">
        <f>'PFAS Properties'!$W$42</f>
        <v>4</v>
      </c>
      <c r="AE645" s="8">
        <f>'PFAS Properties'!$S$42</f>
        <v>5.53655844257153</v>
      </c>
      <c r="AF645" s="2">
        <f>'PFAS Properties'!$V$42</f>
        <v>2.2999999999999998</v>
      </c>
      <c r="AG645" s="24">
        <v>7.8</v>
      </c>
      <c r="AH645" s="2" t="s">
        <v>661</v>
      </c>
      <c r="AI645" s="2" t="s">
        <v>661</v>
      </c>
      <c r="AJ645" s="2" t="s">
        <v>661</v>
      </c>
      <c r="AK645" s="2" t="s">
        <v>661</v>
      </c>
      <c r="AL645" s="2" t="s">
        <v>661</v>
      </c>
      <c r="AM645" s="2" t="s">
        <v>661</v>
      </c>
      <c r="AN645" s="2" t="s">
        <v>661</v>
      </c>
      <c r="AO645" s="2" t="s">
        <v>661</v>
      </c>
      <c r="AP645" s="72">
        <v>11.17476666666666</v>
      </c>
      <c r="AQ645" s="70" t="s">
        <v>752</v>
      </c>
      <c r="AR645" s="16">
        <v>47</v>
      </c>
      <c r="AS645" s="16">
        <v>38</v>
      </c>
      <c r="AT645" s="16">
        <v>15</v>
      </c>
      <c r="AU645" s="16" t="s">
        <v>661</v>
      </c>
      <c r="AV645" s="16">
        <f t="shared" si="345"/>
        <v>100</v>
      </c>
      <c r="AW645" s="20">
        <v>1.43</v>
      </c>
      <c r="AX645" s="8">
        <f t="shared" si="302"/>
        <v>1.43E-2</v>
      </c>
      <c r="AY645" s="8" t="s">
        <v>45</v>
      </c>
      <c r="AZ645" s="16">
        <f>5/0.025</f>
        <v>200</v>
      </c>
      <c r="BA645" s="16" t="s">
        <v>55</v>
      </c>
      <c r="BB645" s="16">
        <v>10</v>
      </c>
      <c r="BC645" s="16">
        <v>100</v>
      </c>
      <c r="BD645" s="20">
        <v>0.8</v>
      </c>
      <c r="BE645" s="15">
        <f t="shared" si="346"/>
        <v>55.944055944055947</v>
      </c>
      <c r="BF645" s="15">
        <f t="shared" si="313"/>
        <v>1.7477539495268819</v>
      </c>
      <c r="BG645" s="8">
        <f t="shared" si="347"/>
        <v>-9.6910013008056392E-2</v>
      </c>
      <c r="BH645" s="13" t="s">
        <v>856</v>
      </c>
      <c r="BI645" s="8"/>
      <c r="BJ645" s="13"/>
      <c r="BK645" s="15"/>
      <c r="BL645" s="8"/>
      <c r="BM645" s="18"/>
      <c r="BN645" s="8"/>
      <c r="BO645" s="24"/>
    </row>
    <row r="646" spans="1:67" s="14" customFormat="1" x14ac:dyDescent="0.3">
      <c r="A646" s="20">
        <v>644</v>
      </c>
      <c r="B646" s="2" t="s">
        <v>195</v>
      </c>
      <c r="C646" s="2">
        <v>2018</v>
      </c>
      <c r="D646" s="2" t="s">
        <v>199</v>
      </c>
      <c r="E646" s="10" t="s">
        <v>795</v>
      </c>
      <c r="F646" s="20" t="s">
        <v>29</v>
      </c>
      <c r="G646" s="2" t="s">
        <v>47</v>
      </c>
      <c r="H646" s="2" t="str">
        <f>'PFAS Properties'!$B$42</f>
        <v>PFBS</v>
      </c>
      <c r="I646" s="2" t="str">
        <f>'PFAS Properties'!$C$42</f>
        <v>PFSA</v>
      </c>
      <c r="J646" s="2" t="str">
        <f>'PFAS Properties'!$D$42</f>
        <v>C4HF9O3S</v>
      </c>
      <c r="K646" s="25">
        <f>'PFAS Properties'!$P$42</f>
        <v>299.9502</v>
      </c>
      <c r="L646" s="2">
        <f>'PFAS Properties'!$X$42</f>
        <v>0.1</v>
      </c>
      <c r="M646" s="2" t="str">
        <f>'PFAS Properties'!$Y$42</f>
        <v>-</v>
      </c>
      <c r="N646" s="33">
        <v>0</v>
      </c>
      <c r="O646" s="33">
        <v>0</v>
      </c>
      <c r="P646" s="33">
        <v>0</v>
      </c>
      <c r="Q646" s="33">
        <f t="shared" si="300"/>
        <v>0.99996019086777477</v>
      </c>
      <c r="R646" s="33">
        <v>0</v>
      </c>
      <c r="S646" s="33">
        <f t="shared" si="301"/>
        <v>3.9809132225250393E-5</v>
      </c>
      <c r="T646" s="8">
        <f t="shared" si="306"/>
        <v>1</v>
      </c>
      <c r="U646" s="33">
        <f t="shared" si="307"/>
        <v>0</v>
      </c>
      <c r="V646" s="33">
        <f t="shared" si="308"/>
        <v>-0.99996019086777477</v>
      </c>
      <c r="W646" s="33">
        <f t="shared" si="309"/>
        <v>298.95023980913226</v>
      </c>
      <c r="X646" s="33">
        <v>96485</v>
      </c>
      <c r="Y646" s="16">
        <f t="shared" si="310"/>
        <v>-322.73317150532012</v>
      </c>
      <c r="Z646" s="16">
        <v>4</v>
      </c>
      <c r="AA646" s="16">
        <v>9</v>
      </c>
      <c r="AB646" s="8">
        <f t="shared" si="311"/>
        <v>0.2807017543859649</v>
      </c>
      <c r="AC646" s="16">
        <f t="shared" si="349"/>
        <v>57.009463570952775</v>
      </c>
      <c r="AD646" s="20">
        <f>'PFAS Properties'!$W$42</f>
        <v>4</v>
      </c>
      <c r="AE646" s="8">
        <f>'PFAS Properties'!$S$42</f>
        <v>5.53655844257153</v>
      </c>
      <c r="AF646" s="2">
        <f>'PFAS Properties'!$V$42</f>
        <v>2.2999999999999998</v>
      </c>
      <c r="AG646" s="24">
        <v>4.5</v>
      </c>
      <c r="AH646" s="2" t="s">
        <v>658</v>
      </c>
      <c r="AI646" s="8">
        <f>AJ646*55.845/1000</f>
        <v>5.8637250000000002E-2</v>
      </c>
      <c r="AJ646" s="16">
        <v>1.05</v>
      </c>
      <c r="AK646" s="8">
        <f t="shared" ref="AK646:AK656" si="350">AI646/10</f>
        <v>5.8637250000000002E-3</v>
      </c>
      <c r="AL646" s="15">
        <f>AM646*26.98/1000</f>
        <v>0.18454320000000002</v>
      </c>
      <c r="AM646" s="16">
        <v>6.84</v>
      </c>
      <c r="AN646" s="8">
        <f t="shared" ref="AN646:AN656" si="351">AL646/10</f>
        <v>1.8454320000000003E-2</v>
      </c>
      <c r="AO646" s="2" t="s">
        <v>48</v>
      </c>
      <c r="AP646" s="72">
        <v>21.496500000000001</v>
      </c>
      <c r="AQ646" s="70" t="s">
        <v>752</v>
      </c>
      <c r="AR646" s="71">
        <v>41.737499999999997</v>
      </c>
      <c r="AS646" s="71">
        <v>35.036999999999999</v>
      </c>
      <c r="AT646" s="71">
        <v>21.971</v>
      </c>
      <c r="AU646" s="70" t="s">
        <v>752</v>
      </c>
      <c r="AV646" s="16">
        <f t="shared" si="345"/>
        <v>98.745499999999993</v>
      </c>
      <c r="AW646" s="20">
        <v>45</v>
      </c>
      <c r="AX646" s="8">
        <f t="shared" si="302"/>
        <v>0.45</v>
      </c>
      <c r="AY646" s="8" t="s">
        <v>49</v>
      </c>
      <c r="AZ646" s="16">
        <f>0.45/0.04</f>
        <v>11.25</v>
      </c>
      <c r="BA646" s="16" t="s">
        <v>55</v>
      </c>
      <c r="BB646" s="8">
        <v>1.25</v>
      </c>
      <c r="BC646" s="8" t="s">
        <v>55</v>
      </c>
      <c r="BD646" s="25">
        <f>(10^(1.1)*AX646)</f>
        <v>5.6651643530737559</v>
      </c>
      <c r="BE646" s="15">
        <f t="shared" si="346"/>
        <v>12.58925411794168</v>
      </c>
      <c r="BF646" s="15">
        <f t="shared" si="313"/>
        <v>1.1000000000000003</v>
      </c>
      <c r="BG646" s="8">
        <f t="shared" si="347"/>
        <v>0.75321251377534393</v>
      </c>
      <c r="BH646" s="2" t="s">
        <v>821</v>
      </c>
      <c r="BI646" s="2"/>
      <c r="BJ646" s="2"/>
      <c r="BK646" s="2"/>
      <c r="BL646" s="2"/>
      <c r="BM646" s="20"/>
      <c r="BN646" s="20"/>
      <c r="BO646" s="2"/>
    </row>
    <row r="647" spans="1:67" s="14" customFormat="1" x14ac:dyDescent="0.3">
      <c r="A647" s="20">
        <v>645</v>
      </c>
      <c r="B647" s="2" t="s">
        <v>195</v>
      </c>
      <c r="C647" s="2">
        <v>2022</v>
      </c>
      <c r="D647" s="2" t="s">
        <v>199</v>
      </c>
      <c r="E647" s="10" t="s">
        <v>798</v>
      </c>
      <c r="F647" s="20" t="s">
        <v>29</v>
      </c>
      <c r="G647" s="2" t="s">
        <v>237</v>
      </c>
      <c r="H647" s="2" t="str">
        <f>'PFAS Properties'!$B$42</f>
        <v>PFBS</v>
      </c>
      <c r="I647" s="2" t="str">
        <f>'PFAS Properties'!$C$42</f>
        <v>PFSA</v>
      </c>
      <c r="J647" s="2" t="str">
        <f>'PFAS Properties'!$D$42</f>
        <v>C4HF9O3S</v>
      </c>
      <c r="K647" s="25">
        <f>'PFAS Properties'!$P$42</f>
        <v>299.9502</v>
      </c>
      <c r="L647" s="2">
        <f>'PFAS Properties'!$X$42</f>
        <v>0.1</v>
      </c>
      <c r="M647" s="2" t="str">
        <f>'PFAS Properties'!$Y$42</f>
        <v>-</v>
      </c>
      <c r="N647" s="33">
        <v>0</v>
      </c>
      <c r="O647" s="33">
        <v>0</v>
      </c>
      <c r="P647" s="33">
        <v>0</v>
      </c>
      <c r="Q647" s="33">
        <f t="shared" si="300"/>
        <v>0.99997488176662641</v>
      </c>
      <c r="R647" s="33">
        <v>0</v>
      </c>
      <c r="S647" s="33">
        <f t="shared" si="301"/>
        <v>2.5118233373599799E-5</v>
      </c>
      <c r="T647" s="8">
        <f t="shared" si="306"/>
        <v>1</v>
      </c>
      <c r="U647" s="33">
        <f t="shared" si="307"/>
        <v>0</v>
      </c>
      <c r="V647" s="33">
        <f t="shared" si="308"/>
        <v>-0.99997488176662641</v>
      </c>
      <c r="W647" s="33">
        <f t="shared" si="309"/>
        <v>298.95022511823339</v>
      </c>
      <c r="X647" s="33">
        <v>96485</v>
      </c>
      <c r="Y647" s="16">
        <f t="shared" si="310"/>
        <v>-322.73792879431534</v>
      </c>
      <c r="Z647" s="16">
        <v>4</v>
      </c>
      <c r="AA647" s="16">
        <v>9</v>
      </c>
      <c r="AB647" s="8">
        <f t="shared" si="311"/>
        <v>0.2807017543859649</v>
      </c>
      <c r="AC647" s="16">
        <f t="shared" si="349"/>
        <v>57.009463570952775</v>
      </c>
      <c r="AD647" s="20">
        <f>'PFAS Properties'!$W$42</f>
        <v>4</v>
      </c>
      <c r="AE647" s="8">
        <f>'PFAS Properties'!$S$42</f>
        <v>5.53655844257153</v>
      </c>
      <c r="AF647" s="2">
        <f>'PFAS Properties'!$V$42</f>
        <v>2.2999999999999998</v>
      </c>
      <c r="AG647" s="24">
        <v>4.7</v>
      </c>
      <c r="AH647" s="2" t="s">
        <v>832</v>
      </c>
      <c r="AI647" s="8">
        <f>(6.8*55.845)/1000</f>
        <v>0.37974599999999997</v>
      </c>
      <c r="AJ647" s="15">
        <f t="shared" ref="AJ647:AJ656" si="352">AI647*1000/55.845</f>
        <v>6.8</v>
      </c>
      <c r="AK647" s="8">
        <f t="shared" si="350"/>
        <v>3.7974599999999997E-2</v>
      </c>
      <c r="AL647" s="8">
        <f>(4*26.982)/1000</f>
        <v>0.107928</v>
      </c>
      <c r="AM647" s="15">
        <f>AL647*1000/55.845</f>
        <v>1.932634971796938</v>
      </c>
      <c r="AN647" s="8">
        <f t="shared" si="351"/>
        <v>1.07928E-2</v>
      </c>
      <c r="AO647" s="2" t="s">
        <v>86</v>
      </c>
      <c r="AP647" s="72">
        <v>14.768748</v>
      </c>
      <c r="AQ647" s="70" t="s">
        <v>752</v>
      </c>
      <c r="AR647" s="71">
        <v>37.396533331999997</v>
      </c>
      <c r="AS647" s="71">
        <v>37.430266667999987</v>
      </c>
      <c r="AT647" s="71">
        <v>24.989000000000001</v>
      </c>
      <c r="AU647" s="70" t="s">
        <v>752</v>
      </c>
      <c r="AV647" s="16">
        <f t="shared" ref="AV647:AV649" si="353">SUM(AR647:AT647)</f>
        <v>99.815799999999996</v>
      </c>
      <c r="AW647" s="20">
        <v>44.9</v>
      </c>
      <c r="AX647" s="8">
        <f t="shared" si="302"/>
        <v>0.44900000000000001</v>
      </c>
      <c r="AY647" s="8" t="s">
        <v>240</v>
      </c>
      <c r="AZ647" s="16">
        <f>0.75/0.03</f>
        <v>25</v>
      </c>
      <c r="BA647" s="16" t="s">
        <v>55</v>
      </c>
      <c r="BB647" s="15">
        <f>(7*K647)/1000</f>
        <v>2.0996513999999999</v>
      </c>
      <c r="BC647" s="16">
        <f>(200*K647)/1000</f>
        <v>59.99004</v>
      </c>
      <c r="BD647" s="25">
        <f>(10^1.15)*AX647</f>
        <v>6.3422935753561669</v>
      </c>
      <c r="BE647" s="15">
        <f t="shared" si="346"/>
        <v>14.125375446227542</v>
      </c>
      <c r="BF647" s="15">
        <f t="shared" si="313"/>
        <v>1.1499999999999999</v>
      </c>
      <c r="BG647" s="8">
        <f t="shared" si="347"/>
        <v>0.80224634100332315</v>
      </c>
      <c r="BH647" s="35" t="s">
        <v>857</v>
      </c>
      <c r="BI647" s="16"/>
      <c r="BJ647" s="13"/>
      <c r="BK647" s="15"/>
      <c r="BL647" s="16"/>
      <c r="BM647" s="18"/>
      <c r="BN647" s="8"/>
      <c r="BO647" s="24"/>
    </row>
    <row r="648" spans="1:67" s="14" customFormat="1" x14ac:dyDescent="0.3">
      <c r="A648" s="20">
        <v>646</v>
      </c>
      <c r="B648" s="2" t="s">
        <v>195</v>
      </c>
      <c r="C648" s="2">
        <v>2022</v>
      </c>
      <c r="D648" s="2" t="s">
        <v>199</v>
      </c>
      <c r="E648" s="10" t="s">
        <v>798</v>
      </c>
      <c r="F648" s="20" t="s">
        <v>29</v>
      </c>
      <c r="G648" s="2" t="s">
        <v>238</v>
      </c>
      <c r="H648" s="2" t="str">
        <f>'PFAS Properties'!$B$42</f>
        <v>PFBS</v>
      </c>
      <c r="I648" s="2" t="str">
        <f>'PFAS Properties'!$C$42</f>
        <v>PFSA</v>
      </c>
      <c r="J648" s="2" t="str">
        <f>'PFAS Properties'!$D$42</f>
        <v>C4HF9O3S</v>
      </c>
      <c r="K648" s="25">
        <f>'PFAS Properties'!$P$42</f>
        <v>299.9502</v>
      </c>
      <c r="L648" s="2">
        <f>'PFAS Properties'!$X$42</f>
        <v>0.1</v>
      </c>
      <c r="M648" s="2" t="str">
        <f>'PFAS Properties'!$Y$42</f>
        <v>-</v>
      </c>
      <c r="N648" s="33">
        <v>0</v>
      </c>
      <c r="O648" s="33">
        <v>0</v>
      </c>
      <c r="P648" s="33">
        <v>0</v>
      </c>
      <c r="Q648" s="33">
        <f t="shared" si="300"/>
        <v>0.99990000999900008</v>
      </c>
      <c r="R648" s="33">
        <v>0</v>
      </c>
      <c r="S648" s="33">
        <f t="shared" si="301"/>
        <v>9.9990000999900097E-5</v>
      </c>
      <c r="T648" s="8">
        <f t="shared" si="306"/>
        <v>1</v>
      </c>
      <c r="U648" s="33">
        <f t="shared" si="307"/>
        <v>0</v>
      </c>
      <c r="V648" s="33">
        <f t="shared" si="308"/>
        <v>-0.99990000999900008</v>
      </c>
      <c r="W648" s="33">
        <f t="shared" si="309"/>
        <v>298.95029999000099</v>
      </c>
      <c r="X648" s="33">
        <v>96485</v>
      </c>
      <c r="Y648" s="16">
        <f t="shared" si="310"/>
        <v>-322.71368340483468</v>
      </c>
      <c r="Z648" s="16">
        <v>4</v>
      </c>
      <c r="AA648" s="16">
        <v>9</v>
      </c>
      <c r="AB648" s="8">
        <f t="shared" si="311"/>
        <v>0.2807017543859649</v>
      </c>
      <c r="AC648" s="16">
        <f t="shared" si="349"/>
        <v>57.009463570952775</v>
      </c>
      <c r="AD648" s="20">
        <f>'PFAS Properties'!$W$42</f>
        <v>4</v>
      </c>
      <c r="AE648" s="8">
        <f>'PFAS Properties'!$S$42</f>
        <v>5.53655844257153</v>
      </c>
      <c r="AF648" s="2">
        <f>'PFAS Properties'!$V$42</f>
        <v>2.2999999999999998</v>
      </c>
      <c r="AG648" s="24">
        <v>4.0999999999999996</v>
      </c>
      <c r="AH648" s="2" t="s">
        <v>832</v>
      </c>
      <c r="AI648" s="8">
        <f>(28*55.845)/1000</f>
        <v>1.5636599999999998</v>
      </c>
      <c r="AJ648" s="15">
        <f t="shared" si="352"/>
        <v>27.999999999999996</v>
      </c>
      <c r="AK648" s="8">
        <f t="shared" si="350"/>
        <v>0.15636599999999998</v>
      </c>
      <c r="AL648" s="8">
        <f>(17*26.982)/1000</f>
        <v>0.45869399999999994</v>
      </c>
      <c r="AM648" s="15">
        <f>AL648*1000/55.845</f>
        <v>8.2136986301369852</v>
      </c>
      <c r="AN648" s="8">
        <f t="shared" si="351"/>
        <v>4.5869399999999991E-2</v>
      </c>
      <c r="AO648" s="2" t="s">
        <v>86</v>
      </c>
      <c r="AP648" s="72">
        <v>14.715147999999999</v>
      </c>
      <c r="AQ648" s="70" t="s">
        <v>752</v>
      </c>
      <c r="AR648" s="71">
        <v>37.490533331999998</v>
      </c>
      <c r="AS648" s="71">
        <v>37.393866668000001</v>
      </c>
      <c r="AT648" s="71">
        <v>24.9392</v>
      </c>
      <c r="AU648" s="70" t="s">
        <v>752</v>
      </c>
      <c r="AV648" s="16">
        <f t="shared" si="353"/>
        <v>99.823599999999999</v>
      </c>
      <c r="AW648" s="20">
        <v>46.6</v>
      </c>
      <c r="AX648" s="8">
        <f t="shared" si="302"/>
        <v>0.46600000000000003</v>
      </c>
      <c r="AY648" s="8" t="s">
        <v>240</v>
      </c>
      <c r="AZ648" s="16">
        <f>0.75/0.03</f>
        <v>25</v>
      </c>
      <c r="BA648" s="16" t="s">
        <v>55</v>
      </c>
      <c r="BB648" s="15">
        <f>(30*K648)/1000</f>
        <v>8.998505999999999</v>
      </c>
      <c r="BC648" s="16" t="s">
        <v>55</v>
      </c>
      <c r="BD648" s="25">
        <f>(10^1.19)*AX648</f>
        <v>7.2174854441321648</v>
      </c>
      <c r="BE648" s="15">
        <f t="shared" si="346"/>
        <v>15.488166189124817</v>
      </c>
      <c r="BF648" s="15">
        <f t="shared" si="313"/>
        <v>1.1900000000000002</v>
      </c>
      <c r="BG648" s="8">
        <f t="shared" si="347"/>
        <v>0.85838591669000031</v>
      </c>
      <c r="BH648" s="35" t="s">
        <v>857</v>
      </c>
      <c r="BI648" s="2"/>
      <c r="BJ648" s="2"/>
      <c r="BK648" s="2"/>
      <c r="BL648" s="2"/>
      <c r="BM648" s="20"/>
      <c r="BN648" s="20"/>
      <c r="BO648" s="2"/>
    </row>
    <row r="649" spans="1:67" s="14" customFormat="1" x14ac:dyDescent="0.3">
      <c r="A649" s="20">
        <v>647</v>
      </c>
      <c r="B649" s="2" t="s">
        <v>195</v>
      </c>
      <c r="C649" s="2">
        <v>2022</v>
      </c>
      <c r="D649" s="2" t="s">
        <v>199</v>
      </c>
      <c r="E649" s="10" t="s">
        <v>798</v>
      </c>
      <c r="F649" s="20" t="s">
        <v>29</v>
      </c>
      <c r="G649" s="2" t="s">
        <v>239</v>
      </c>
      <c r="H649" s="2" t="str">
        <f>'PFAS Properties'!$B$42</f>
        <v>PFBS</v>
      </c>
      <c r="I649" s="2" t="str">
        <f>'PFAS Properties'!$C$42</f>
        <v>PFSA</v>
      </c>
      <c r="J649" s="2" t="str">
        <f>'PFAS Properties'!$D$42</f>
        <v>C4HF9O3S</v>
      </c>
      <c r="K649" s="25">
        <f>'PFAS Properties'!$P$42</f>
        <v>299.9502</v>
      </c>
      <c r="L649" s="2">
        <f>'PFAS Properties'!$X$42</f>
        <v>0.1</v>
      </c>
      <c r="M649" s="2" t="str">
        <f>'PFAS Properties'!$Y$42</f>
        <v>-</v>
      </c>
      <c r="N649" s="33">
        <v>0</v>
      </c>
      <c r="O649" s="33">
        <v>0</v>
      </c>
      <c r="P649" s="33">
        <v>0</v>
      </c>
      <c r="Q649" s="33">
        <f t="shared" si="300"/>
        <v>0.99987412330575753</v>
      </c>
      <c r="R649" s="33">
        <v>0</v>
      </c>
      <c r="S649" s="33">
        <f t="shared" si="301"/>
        <v>1.2587669424250327E-4</v>
      </c>
      <c r="T649" s="8">
        <f t="shared" si="306"/>
        <v>1</v>
      </c>
      <c r="U649" s="33">
        <f t="shared" si="307"/>
        <v>0</v>
      </c>
      <c r="V649" s="33">
        <f t="shared" si="308"/>
        <v>-0.99987412330575753</v>
      </c>
      <c r="W649" s="33">
        <f t="shared" si="309"/>
        <v>298.95032587669425</v>
      </c>
      <c r="X649" s="33">
        <v>96485</v>
      </c>
      <c r="Y649" s="16">
        <f t="shared" si="310"/>
        <v>-322.70530063562279</v>
      </c>
      <c r="Z649" s="16">
        <v>4</v>
      </c>
      <c r="AA649" s="16">
        <v>9</v>
      </c>
      <c r="AB649" s="8">
        <f t="shared" si="311"/>
        <v>0.2807017543859649</v>
      </c>
      <c r="AC649" s="16">
        <f t="shared" si="349"/>
        <v>57.009463570952775</v>
      </c>
      <c r="AD649" s="20">
        <f>'PFAS Properties'!$W$42</f>
        <v>4</v>
      </c>
      <c r="AE649" s="8">
        <f>'PFAS Properties'!$S$42</f>
        <v>5.53655844257153</v>
      </c>
      <c r="AF649" s="2">
        <f>'PFAS Properties'!$V$42</f>
        <v>2.2999999999999998</v>
      </c>
      <c r="AG649" s="24">
        <v>4</v>
      </c>
      <c r="AH649" s="2" t="s">
        <v>832</v>
      </c>
      <c r="AI649" s="8">
        <f>(5*55.845)/1000</f>
        <v>0.279225</v>
      </c>
      <c r="AJ649" s="15">
        <f t="shared" si="352"/>
        <v>5.0000000000000009</v>
      </c>
      <c r="AK649" s="8">
        <f t="shared" si="350"/>
        <v>2.7922499999999999E-2</v>
      </c>
      <c r="AL649" s="8">
        <f>(15*26.982)/1000</f>
        <v>0.40473000000000003</v>
      </c>
      <c r="AM649" s="15">
        <f>AL649*1000/55.845</f>
        <v>7.2473811442385179</v>
      </c>
      <c r="AN649" s="8">
        <f t="shared" si="351"/>
        <v>4.0473000000000002E-2</v>
      </c>
      <c r="AO649" s="2" t="s">
        <v>86</v>
      </c>
      <c r="AP649" s="72">
        <v>14.763688</v>
      </c>
      <c r="AQ649" s="70" t="s">
        <v>752</v>
      </c>
      <c r="AR649" s="71">
        <v>37.414333332000012</v>
      </c>
      <c r="AS649" s="71">
        <v>37.430866668</v>
      </c>
      <c r="AT649" s="71">
        <v>24.970400000000001</v>
      </c>
      <c r="AU649" s="70" t="s">
        <v>752</v>
      </c>
      <c r="AV649" s="16">
        <f t="shared" si="353"/>
        <v>99.815600000000003</v>
      </c>
      <c r="AW649" s="20">
        <v>53.6</v>
      </c>
      <c r="AX649" s="8">
        <f t="shared" ref="AX649:AX670" si="354">AW649/100</f>
        <v>0.53600000000000003</v>
      </c>
      <c r="AY649" s="8" t="s">
        <v>240</v>
      </c>
      <c r="AZ649" s="16">
        <f>0.75/0.03</f>
        <v>25</v>
      </c>
      <c r="BA649" s="16" t="s">
        <v>55</v>
      </c>
      <c r="BB649" s="15">
        <f>(7*K649)/1000</f>
        <v>2.0996513999999999</v>
      </c>
      <c r="BC649" s="16">
        <f>(200*K649)/1000</f>
        <v>59.99004</v>
      </c>
      <c r="BD649" s="25">
        <f>(10^1.14)*AX649</f>
        <v>7.3988596582714647</v>
      </c>
      <c r="BE649" s="15">
        <f t="shared" si="346"/>
        <v>13.803842646028851</v>
      </c>
      <c r="BF649" s="15">
        <f t="shared" si="313"/>
        <v>1.1400000000000001</v>
      </c>
      <c r="BG649" s="8">
        <f t="shared" si="347"/>
        <v>0.86916478969277011</v>
      </c>
      <c r="BH649" s="35" t="s">
        <v>858</v>
      </c>
      <c r="BI649" s="16"/>
      <c r="BJ649" s="13"/>
      <c r="BK649" s="15"/>
      <c r="BL649" s="16"/>
      <c r="BM649" s="18"/>
      <c r="BN649" s="8"/>
      <c r="BO649" s="24"/>
    </row>
    <row r="650" spans="1:67" s="14" customFormat="1" x14ac:dyDescent="0.3">
      <c r="A650" s="20">
        <v>648</v>
      </c>
      <c r="B650" s="2" t="s">
        <v>200</v>
      </c>
      <c r="C650" s="2">
        <v>2021</v>
      </c>
      <c r="D650" s="2" t="s">
        <v>201</v>
      </c>
      <c r="E650" s="10" t="s">
        <v>794</v>
      </c>
      <c r="F650" s="20" t="s">
        <v>29</v>
      </c>
      <c r="G650" s="2" t="s">
        <v>30</v>
      </c>
      <c r="H650" s="2" t="str">
        <f>'PFAS Properties'!$B$42</f>
        <v>PFBS</v>
      </c>
      <c r="I650" s="2" t="str">
        <f>'PFAS Properties'!$C$42</f>
        <v>PFSA</v>
      </c>
      <c r="J650" s="2" t="str">
        <f>'PFAS Properties'!$D$42</f>
        <v>C4HF9O3S</v>
      </c>
      <c r="K650" s="25">
        <f>'PFAS Properties'!$P$42</f>
        <v>299.9502</v>
      </c>
      <c r="L650" s="2">
        <f>'PFAS Properties'!$X$42</f>
        <v>0.1</v>
      </c>
      <c r="M650" s="2" t="str">
        <f>'PFAS Properties'!$Y$42</f>
        <v>-</v>
      </c>
      <c r="N650" s="33">
        <v>0</v>
      </c>
      <c r="O650" s="33">
        <v>0</v>
      </c>
      <c r="P650" s="33">
        <v>0</v>
      </c>
      <c r="Q650" s="33">
        <f t="shared" si="300"/>
        <v>0.99999601894414336</v>
      </c>
      <c r="R650" s="33">
        <v>0</v>
      </c>
      <c r="S650" s="33">
        <f t="shared" si="301"/>
        <v>3.981055856666137E-6</v>
      </c>
      <c r="T650" s="8">
        <f t="shared" si="306"/>
        <v>1</v>
      </c>
      <c r="U650" s="33">
        <f t="shared" si="307"/>
        <v>0</v>
      </c>
      <c r="V650" s="33">
        <f t="shared" si="308"/>
        <v>-0.99999601894414336</v>
      </c>
      <c r="W650" s="33">
        <f t="shared" si="309"/>
        <v>298.95020398105584</v>
      </c>
      <c r="X650" s="33">
        <v>96485</v>
      </c>
      <c r="Y650" s="16">
        <f t="shared" si="310"/>
        <v>-322.74477355412608</v>
      </c>
      <c r="Z650" s="16">
        <v>4</v>
      </c>
      <c r="AA650" s="16">
        <v>9</v>
      </c>
      <c r="AB650" s="8">
        <f t="shared" si="311"/>
        <v>0.2807017543859649</v>
      </c>
      <c r="AC650" s="16">
        <f t="shared" si="349"/>
        <v>57.009463570952775</v>
      </c>
      <c r="AD650" s="20">
        <f>'PFAS Properties'!$W$42</f>
        <v>4</v>
      </c>
      <c r="AE650" s="8">
        <f>'PFAS Properties'!$S$42</f>
        <v>5.53655844257153</v>
      </c>
      <c r="AF650" s="2">
        <f>'PFAS Properties'!$V$42</f>
        <v>2.2999999999999998</v>
      </c>
      <c r="AG650" s="24">
        <v>5.5</v>
      </c>
      <c r="AH650" s="2" t="s">
        <v>834</v>
      </c>
      <c r="AI650" s="15">
        <v>1.0129999999999999</v>
      </c>
      <c r="AJ650" s="16">
        <f t="shared" si="352"/>
        <v>18.13949324021846</v>
      </c>
      <c r="AK650" s="8">
        <f t="shared" si="350"/>
        <v>0.10129999999999999</v>
      </c>
      <c r="AL650" s="15">
        <v>0.40400000000000003</v>
      </c>
      <c r="AM650" s="16">
        <f t="shared" ref="AM650:AM656" si="355">AL650*1000/26.98</f>
        <v>14.974054855448481</v>
      </c>
      <c r="AN650" s="8">
        <f t="shared" si="351"/>
        <v>4.0400000000000005E-2</v>
      </c>
      <c r="AO650" s="15" t="s">
        <v>31</v>
      </c>
      <c r="AP650" s="15">
        <v>23.4</v>
      </c>
      <c r="AQ650" s="16" t="s">
        <v>689</v>
      </c>
      <c r="AR650" s="16">
        <v>54.4</v>
      </c>
      <c r="AS650" s="16">
        <v>35</v>
      </c>
      <c r="AT650" s="16">
        <v>10.6</v>
      </c>
      <c r="AU650" s="16" t="s">
        <v>664</v>
      </c>
      <c r="AV650" s="16">
        <f t="shared" ref="AV650:AV681" si="356">SUM(AR650:AT650)</f>
        <v>100</v>
      </c>
      <c r="AW650" s="20">
        <v>1.6</v>
      </c>
      <c r="AX650" s="8">
        <f t="shared" si="354"/>
        <v>1.6E-2</v>
      </c>
      <c r="AY650" s="8" t="s">
        <v>32</v>
      </c>
      <c r="AZ650" s="16">
        <f t="shared" ref="AZ650:AZ656" si="357">3/0.03</f>
        <v>100</v>
      </c>
      <c r="BA650" s="16" t="s">
        <v>55</v>
      </c>
      <c r="BB650" s="16">
        <v>30</v>
      </c>
      <c r="BC650" s="16" t="s">
        <v>55</v>
      </c>
      <c r="BD650" s="20">
        <v>0.6</v>
      </c>
      <c r="BE650" s="15">
        <f t="shared" si="346"/>
        <v>37.5</v>
      </c>
      <c r="BF650" s="15">
        <f t="shared" si="313"/>
        <v>1.5740312677277188</v>
      </c>
      <c r="BG650" s="8">
        <f t="shared" si="347"/>
        <v>-0.22184874961635639</v>
      </c>
      <c r="BH650" s="2" t="s">
        <v>841</v>
      </c>
      <c r="BI650" s="2"/>
      <c r="BJ650" s="2"/>
      <c r="BK650" s="2"/>
      <c r="BL650" s="2"/>
      <c r="BM650" s="20"/>
      <c r="BN650" s="20"/>
      <c r="BO650" s="2"/>
    </row>
    <row r="651" spans="1:67" s="14" customFormat="1" x14ac:dyDescent="0.3">
      <c r="A651" s="20">
        <v>649</v>
      </c>
      <c r="B651" s="2" t="s">
        <v>200</v>
      </c>
      <c r="C651" s="2">
        <v>2021</v>
      </c>
      <c r="D651" s="2" t="s">
        <v>201</v>
      </c>
      <c r="E651" s="10" t="s">
        <v>794</v>
      </c>
      <c r="F651" s="20" t="s">
        <v>29</v>
      </c>
      <c r="G651" s="2" t="s">
        <v>33</v>
      </c>
      <c r="H651" s="2" t="str">
        <f>'PFAS Properties'!$B$42</f>
        <v>PFBS</v>
      </c>
      <c r="I651" s="2" t="str">
        <f>'PFAS Properties'!$C$42</f>
        <v>PFSA</v>
      </c>
      <c r="J651" s="2" t="str">
        <f>'PFAS Properties'!$D$42</f>
        <v>C4HF9O3S</v>
      </c>
      <c r="K651" s="25">
        <f>'PFAS Properties'!$P$42</f>
        <v>299.9502</v>
      </c>
      <c r="L651" s="2">
        <f>'PFAS Properties'!$X$42</f>
        <v>0.1</v>
      </c>
      <c r="M651" s="2" t="str">
        <f>'PFAS Properties'!$Y$42</f>
        <v>-</v>
      </c>
      <c r="N651" s="33">
        <v>0</v>
      </c>
      <c r="O651" s="33">
        <v>0</v>
      </c>
      <c r="P651" s="33">
        <v>0</v>
      </c>
      <c r="Q651" s="33">
        <f t="shared" si="300"/>
        <v>0.99999998741074603</v>
      </c>
      <c r="R651" s="33">
        <v>0</v>
      </c>
      <c r="S651" s="33">
        <f t="shared" si="301"/>
        <v>1.258925395945232E-8</v>
      </c>
      <c r="T651" s="8">
        <f t="shared" si="306"/>
        <v>1</v>
      </c>
      <c r="U651" s="33">
        <f t="shared" si="307"/>
        <v>0</v>
      </c>
      <c r="V651" s="33">
        <f t="shared" si="308"/>
        <v>-0.99999998741074603</v>
      </c>
      <c r="W651" s="33">
        <f t="shared" si="309"/>
        <v>298.95020001258922</v>
      </c>
      <c r="X651" s="33">
        <v>96485</v>
      </c>
      <c r="Y651" s="16">
        <f t="shared" si="310"/>
        <v>-322.74605864542895</v>
      </c>
      <c r="Z651" s="16">
        <v>4</v>
      </c>
      <c r="AA651" s="16">
        <v>9</v>
      </c>
      <c r="AB651" s="8">
        <f t="shared" si="311"/>
        <v>0.2807017543859649</v>
      </c>
      <c r="AC651" s="16">
        <f t="shared" si="349"/>
        <v>57.009463570952775</v>
      </c>
      <c r="AD651" s="20">
        <f>'PFAS Properties'!$W$42</f>
        <v>4</v>
      </c>
      <c r="AE651" s="8">
        <f>'PFAS Properties'!$S$42</f>
        <v>5.53655844257153</v>
      </c>
      <c r="AF651" s="2">
        <f>'PFAS Properties'!$V$42</f>
        <v>2.2999999999999998</v>
      </c>
      <c r="AG651" s="24">
        <v>8</v>
      </c>
      <c r="AH651" s="2" t="s">
        <v>834</v>
      </c>
      <c r="AI651" s="15">
        <v>2.9660000000000002</v>
      </c>
      <c r="AJ651" s="16">
        <f t="shared" si="352"/>
        <v>53.111290178171728</v>
      </c>
      <c r="AK651" s="8">
        <f t="shared" si="350"/>
        <v>0.29660000000000003</v>
      </c>
      <c r="AL651" s="15">
        <v>0.23</v>
      </c>
      <c r="AM651" s="16">
        <f t="shared" si="355"/>
        <v>8.5248332097850259</v>
      </c>
      <c r="AN651" s="8">
        <f t="shared" si="351"/>
        <v>2.3E-2</v>
      </c>
      <c r="AO651" s="15" t="s">
        <v>31</v>
      </c>
      <c r="AP651" s="15">
        <v>87.3</v>
      </c>
      <c r="AQ651" s="16" t="s">
        <v>689</v>
      </c>
      <c r="AR651" s="16">
        <v>12.2</v>
      </c>
      <c r="AS651" s="16">
        <v>54.3</v>
      </c>
      <c r="AT651" s="16">
        <v>33.5</v>
      </c>
      <c r="AU651" s="16" t="s">
        <v>664</v>
      </c>
      <c r="AV651" s="16">
        <f t="shared" si="356"/>
        <v>100</v>
      </c>
      <c r="AW651" s="20">
        <v>7.7</v>
      </c>
      <c r="AX651" s="8">
        <f t="shared" si="354"/>
        <v>7.6999999999999999E-2</v>
      </c>
      <c r="AY651" s="8" t="s">
        <v>32</v>
      </c>
      <c r="AZ651" s="16">
        <f t="shared" si="357"/>
        <v>100</v>
      </c>
      <c r="BA651" s="16" t="s">
        <v>55</v>
      </c>
      <c r="BB651" s="16">
        <v>30</v>
      </c>
      <c r="BC651" s="16" t="s">
        <v>55</v>
      </c>
      <c r="BD651" s="20">
        <v>1.6</v>
      </c>
      <c r="BE651" s="15">
        <f t="shared" si="346"/>
        <v>20.779220779220779</v>
      </c>
      <c r="BF651" s="15">
        <f t="shared" si="313"/>
        <v>1.317629257483443</v>
      </c>
      <c r="BG651" s="8">
        <f t="shared" si="347"/>
        <v>0.20411998265592479</v>
      </c>
      <c r="BH651" s="2" t="s">
        <v>841</v>
      </c>
      <c r="BI651" s="2"/>
      <c r="BJ651" s="2"/>
      <c r="BK651" s="2"/>
      <c r="BL651" s="2"/>
      <c r="BM651" s="20"/>
      <c r="BN651" s="20"/>
      <c r="BO651" s="2"/>
    </row>
    <row r="652" spans="1:67" s="14" customFormat="1" x14ac:dyDescent="0.3">
      <c r="A652" s="20">
        <v>650</v>
      </c>
      <c r="B652" s="2" t="s">
        <v>200</v>
      </c>
      <c r="C652" s="2">
        <v>2021</v>
      </c>
      <c r="D652" s="2" t="s">
        <v>201</v>
      </c>
      <c r="E652" s="10" t="s">
        <v>794</v>
      </c>
      <c r="F652" s="20" t="s">
        <v>29</v>
      </c>
      <c r="G652" s="2" t="s">
        <v>34</v>
      </c>
      <c r="H652" s="2" t="str">
        <f>'PFAS Properties'!$B$42</f>
        <v>PFBS</v>
      </c>
      <c r="I652" s="2" t="str">
        <f>'PFAS Properties'!$C$42</f>
        <v>PFSA</v>
      </c>
      <c r="J652" s="2" t="str">
        <f>'PFAS Properties'!$D$42</f>
        <v>C4HF9O3S</v>
      </c>
      <c r="K652" s="25">
        <f>'PFAS Properties'!$P$42</f>
        <v>299.9502</v>
      </c>
      <c r="L652" s="2">
        <f>'PFAS Properties'!$X$42</f>
        <v>0.1</v>
      </c>
      <c r="M652" s="2" t="str">
        <f>'PFAS Properties'!$Y$42</f>
        <v>-</v>
      </c>
      <c r="N652" s="33">
        <v>0</v>
      </c>
      <c r="O652" s="33">
        <v>0</v>
      </c>
      <c r="P652" s="33">
        <v>0</v>
      </c>
      <c r="Q652" s="33">
        <f t="shared" si="300"/>
        <v>0.99999205678074798</v>
      </c>
      <c r="R652" s="33">
        <v>0</v>
      </c>
      <c r="S652" s="33">
        <f t="shared" si="301"/>
        <v>7.9432192520095278E-6</v>
      </c>
      <c r="T652" s="8">
        <f t="shared" si="306"/>
        <v>1</v>
      </c>
      <c r="U652" s="33">
        <f t="shared" si="307"/>
        <v>0</v>
      </c>
      <c r="V652" s="33">
        <f t="shared" si="308"/>
        <v>-0.99999205678074798</v>
      </c>
      <c r="W652" s="33">
        <f t="shared" si="309"/>
        <v>298.95020794321925</v>
      </c>
      <c r="X652" s="33">
        <v>96485</v>
      </c>
      <c r="Y652" s="16">
        <f t="shared" si="310"/>
        <v>-322.74349050399752</v>
      </c>
      <c r="Z652" s="16">
        <v>4</v>
      </c>
      <c r="AA652" s="16">
        <v>9</v>
      </c>
      <c r="AB652" s="8">
        <f t="shared" si="311"/>
        <v>0.2807017543859649</v>
      </c>
      <c r="AC652" s="16">
        <f t="shared" si="349"/>
        <v>57.009463570952775</v>
      </c>
      <c r="AD652" s="20">
        <f>'PFAS Properties'!$W$42</f>
        <v>4</v>
      </c>
      <c r="AE652" s="8">
        <f>'PFAS Properties'!$S$42</f>
        <v>5.53655844257153</v>
      </c>
      <c r="AF652" s="2">
        <f>'PFAS Properties'!$V$42</f>
        <v>2.2999999999999998</v>
      </c>
      <c r="AG652" s="24">
        <v>5.2</v>
      </c>
      <c r="AH652" s="2" t="s">
        <v>834</v>
      </c>
      <c r="AI652" s="15">
        <v>4.5149999999999997</v>
      </c>
      <c r="AJ652" s="16">
        <f t="shared" si="352"/>
        <v>80.848777867311313</v>
      </c>
      <c r="AK652" s="8">
        <f t="shared" si="350"/>
        <v>0.45149999999999996</v>
      </c>
      <c r="AL652" s="15">
        <v>0.377</v>
      </c>
      <c r="AM652" s="16">
        <f t="shared" si="355"/>
        <v>13.973313565604151</v>
      </c>
      <c r="AN652" s="8">
        <f t="shared" si="351"/>
        <v>3.7699999999999997E-2</v>
      </c>
      <c r="AO652" s="15" t="s">
        <v>31</v>
      </c>
      <c r="AP652" s="15">
        <v>44.3</v>
      </c>
      <c r="AQ652" s="16" t="s">
        <v>689</v>
      </c>
      <c r="AR652" s="16">
        <v>41.3</v>
      </c>
      <c r="AS652" s="16">
        <v>39.799999999999997</v>
      </c>
      <c r="AT652" s="16">
        <v>18.899999999999999</v>
      </c>
      <c r="AU652" s="16" t="s">
        <v>664</v>
      </c>
      <c r="AV652" s="16">
        <f t="shared" si="356"/>
        <v>100</v>
      </c>
      <c r="AW652" s="20">
        <v>9.4</v>
      </c>
      <c r="AX652" s="8">
        <f t="shared" si="354"/>
        <v>9.4E-2</v>
      </c>
      <c r="AY652" s="8" t="s">
        <v>32</v>
      </c>
      <c r="AZ652" s="16">
        <f t="shared" si="357"/>
        <v>100</v>
      </c>
      <c r="BA652" s="16" t="s">
        <v>55</v>
      </c>
      <c r="BB652" s="16">
        <v>30</v>
      </c>
      <c r="BC652" s="16" t="s">
        <v>55</v>
      </c>
      <c r="BD652" s="20">
        <v>1.4</v>
      </c>
      <c r="BE652" s="15">
        <f t="shared" si="346"/>
        <v>14.893617021276595</v>
      </c>
      <c r="BF652" s="15">
        <f t="shared" si="313"/>
        <v>1.1730001820785394</v>
      </c>
      <c r="BG652" s="8">
        <f t="shared" si="347"/>
        <v>0.14612803567823801</v>
      </c>
      <c r="BH652" s="2" t="s">
        <v>841</v>
      </c>
      <c r="BI652" s="2"/>
      <c r="BJ652" s="2"/>
      <c r="BK652" s="2"/>
      <c r="BL652" s="2"/>
      <c r="BM652" s="20"/>
      <c r="BN652" s="20"/>
      <c r="BO652" s="2"/>
    </row>
    <row r="653" spans="1:67" s="14" customFormat="1" x14ac:dyDescent="0.3">
      <c r="A653" s="20">
        <v>651</v>
      </c>
      <c r="B653" s="2" t="s">
        <v>200</v>
      </c>
      <c r="C653" s="2">
        <v>2021</v>
      </c>
      <c r="D653" s="2" t="s">
        <v>201</v>
      </c>
      <c r="E653" s="10" t="s">
        <v>794</v>
      </c>
      <c r="F653" s="20" t="s">
        <v>29</v>
      </c>
      <c r="G653" s="2" t="s">
        <v>35</v>
      </c>
      <c r="H653" s="2" t="str">
        <f>'PFAS Properties'!$B$42</f>
        <v>PFBS</v>
      </c>
      <c r="I653" s="2" t="str">
        <f>'PFAS Properties'!$C$42</f>
        <v>PFSA</v>
      </c>
      <c r="J653" s="2" t="str">
        <f>'PFAS Properties'!$D$42</f>
        <v>C4HF9O3S</v>
      </c>
      <c r="K653" s="25">
        <f>'PFAS Properties'!$P$42</f>
        <v>299.9502</v>
      </c>
      <c r="L653" s="2">
        <f>'PFAS Properties'!$X$42</f>
        <v>0.1</v>
      </c>
      <c r="M653" s="2" t="str">
        <f>'PFAS Properties'!$Y$42</f>
        <v>-</v>
      </c>
      <c r="N653" s="33">
        <v>0</v>
      </c>
      <c r="O653" s="33">
        <v>0</v>
      </c>
      <c r="P653" s="33">
        <v>0</v>
      </c>
      <c r="Q653" s="33">
        <f t="shared" si="300"/>
        <v>0.99999800474166611</v>
      </c>
      <c r="R653" s="33">
        <v>0</v>
      </c>
      <c r="S653" s="33">
        <f t="shared" si="301"/>
        <v>1.9952583339051124E-6</v>
      </c>
      <c r="T653" s="8">
        <f t="shared" si="306"/>
        <v>1</v>
      </c>
      <c r="U653" s="33">
        <f t="shared" si="307"/>
        <v>0</v>
      </c>
      <c r="V653" s="33">
        <f t="shared" si="308"/>
        <v>-0.99999800474166611</v>
      </c>
      <c r="W653" s="33">
        <f t="shared" si="309"/>
        <v>298.95020199525828</v>
      </c>
      <c r="X653" s="33">
        <v>96485</v>
      </c>
      <c r="Y653" s="16">
        <f t="shared" si="310"/>
        <v>-322.74541660630831</v>
      </c>
      <c r="Z653" s="16">
        <v>4</v>
      </c>
      <c r="AA653" s="16">
        <v>9</v>
      </c>
      <c r="AB653" s="8">
        <f t="shared" si="311"/>
        <v>0.2807017543859649</v>
      </c>
      <c r="AC653" s="16">
        <f t="shared" si="349"/>
        <v>57.009463570952775</v>
      </c>
      <c r="AD653" s="20">
        <f>'PFAS Properties'!$W$42</f>
        <v>4</v>
      </c>
      <c r="AE653" s="8">
        <f>'PFAS Properties'!$S$42</f>
        <v>5.53655844257153</v>
      </c>
      <c r="AF653" s="2">
        <f>'PFAS Properties'!$V$42</f>
        <v>2.2999999999999998</v>
      </c>
      <c r="AG653" s="24">
        <v>5.8</v>
      </c>
      <c r="AH653" s="2" t="s">
        <v>834</v>
      </c>
      <c r="AI653" s="15">
        <v>6.5019999999999998</v>
      </c>
      <c r="AJ653" s="16">
        <f t="shared" si="352"/>
        <v>116.42940281135286</v>
      </c>
      <c r="AK653" s="8">
        <f t="shared" si="350"/>
        <v>0.6502</v>
      </c>
      <c r="AL653" s="15">
        <v>1.732</v>
      </c>
      <c r="AM653" s="16">
        <f t="shared" si="355"/>
        <v>64.195700518902896</v>
      </c>
      <c r="AN653" s="8">
        <f t="shared" si="351"/>
        <v>0.17319999999999999</v>
      </c>
      <c r="AO653" s="15" t="s">
        <v>31</v>
      </c>
      <c r="AP653" s="15">
        <v>90</v>
      </c>
      <c r="AQ653" s="16" t="s">
        <v>689</v>
      </c>
      <c r="AR653" s="16">
        <v>46</v>
      </c>
      <c r="AS653" s="16">
        <v>51</v>
      </c>
      <c r="AT653" s="16">
        <v>3</v>
      </c>
      <c r="AU653" s="16" t="s">
        <v>664</v>
      </c>
      <c r="AV653" s="16">
        <f t="shared" si="356"/>
        <v>100</v>
      </c>
      <c r="AW653" s="20">
        <v>27</v>
      </c>
      <c r="AX653" s="8">
        <f t="shared" si="354"/>
        <v>0.27</v>
      </c>
      <c r="AY653" s="8" t="s">
        <v>32</v>
      </c>
      <c r="AZ653" s="16">
        <f t="shared" si="357"/>
        <v>100</v>
      </c>
      <c r="BA653" s="16" t="s">
        <v>55</v>
      </c>
      <c r="BB653" s="16">
        <v>50</v>
      </c>
      <c r="BC653" s="16" t="s">
        <v>55</v>
      </c>
      <c r="BD653" s="20">
        <v>1.5</v>
      </c>
      <c r="BE653" s="15">
        <f t="shared" si="346"/>
        <v>5.5555555555555554</v>
      </c>
      <c r="BF653" s="15">
        <f t="shared" si="313"/>
        <v>0.74472749489669388</v>
      </c>
      <c r="BG653" s="8">
        <f t="shared" si="347"/>
        <v>0.17609125905568124</v>
      </c>
      <c r="BH653" s="2" t="s">
        <v>841</v>
      </c>
      <c r="BI653" s="2"/>
      <c r="BJ653" s="2"/>
      <c r="BK653" s="2"/>
      <c r="BL653" s="2"/>
      <c r="BM653" s="20"/>
      <c r="BN653" s="20"/>
      <c r="BO653" s="2"/>
    </row>
    <row r="654" spans="1:67" s="14" customFormat="1" x14ac:dyDescent="0.3">
      <c r="A654" s="20">
        <v>652</v>
      </c>
      <c r="B654" s="2" t="s">
        <v>200</v>
      </c>
      <c r="C654" s="2">
        <v>2021</v>
      </c>
      <c r="D654" s="2" t="s">
        <v>201</v>
      </c>
      <c r="E654" s="10" t="s">
        <v>794</v>
      </c>
      <c r="F654" s="20" t="s">
        <v>29</v>
      </c>
      <c r="G654" s="2" t="s">
        <v>36</v>
      </c>
      <c r="H654" s="2" t="str">
        <f>'PFAS Properties'!$B$42</f>
        <v>PFBS</v>
      </c>
      <c r="I654" s="2" t="str">
        <f>'PFAS Properties'!$C$42</f>
        <v>PFSA</v>
      </c>
      <c r="J654" s="2" t="str">
        <f>'PFAS Properties'!$D$42</f>
        <v>C4HF9O3S</v>
      </c>
      <c r="K654" s="25">
        <f>'PFAS Properties'!$P$42</f>
        <v>299.9502</v>
      </c>
      <c r="L654" s="2">
        <f>'PFAS Properties'!$X$42</f>
        <v>0.1</v>
      </c>
      <c r="M654" s="2" t="str">
        <f>'PFAS Properties'!$Y$42</f>
        <v>-</v>
      </c>
      <c r="N654" s="33">
        <v>0</v>
      </c>
      <c r="O654" s="33">
        <v>0</v>
      </c>
      <c r="P654" s="33">
        <v>0</v>
      </c>
      <c r="Q654" s="33">
        <f t="shared" si="300"/>
        <v>0.9999974881198781</v>
      </c>
      <c r="R654" s="33">
        <v>0</v>
      </c>
      <c r="S654" s="33">
        <f t="shared" si="301"/>
        <v>2.5118801219519806E-6</v>
      </c>
      <c r="T654" s="8">
        <f t="shared" si="306"/>
        <v>1</v>
      </c>
      <c r="U654" s="33">
        <f t="shared" si="307"/>
        <v>0</v>
      </c>
      <c r="V654" s="33">
        <f t="shared" si="308"/>
        <v>-0.9999974881198781</v>
      </c>
      <c r="W654" s="33">
        <f t="shared" si="309"/>
        <v>298.95020251188015</v>
      </c>
      <c r="X654" s="33">
        <v>96485</v>
      </c>
      <c r="Y654" s="16">
        <f t="shared" si="310"/>
        <v>-322.74524931091884</v>
      </c>
      <c r="Z654" s="16">
        <v>4</v>
      </c>
      <c r="AA654" s="16">
        <v>9</v>
      </c>
      <c r="AB654" s="8">
        <f t="shared" si="311"/>
        <v>0.2807017543859649</v>
      </c>
      <c r="AC654" s="16">
        <f t="shared" si="349"/>
        <v>57.009463570952775</v>
      </c>
      <c r="AD654" s="20">
        <f>'PFAS Properties'!$W$42</f>
        <v>4</v>
      </c>
      <c r="AE654" s="8">
        <f>'PFAS Properties'!$S$42</f>
        <v>5.53655844257153</v>
      </c>
      <c r="AF654" s="2">
        <f>'PFAS Properties'!$V$42</f>
        <v>2.2999999999999998</v>
      </c>
      <c r="AG654" s="24">
        <v>5.7</v>
      </c>
      <c r="AH654" s="2" t="s">
        <v>834</v>
      </c>
      <c r="AI654" s="15">
        <v>12.358000000000001</v>
      </c>
      <c r="AJ654" s="16">
        <f t="shared" si="352"/>
        <v>221.29107350702839</v>
      </c>
      <c r="AK654" s="8">
        <f t="shared" si="350"/>
        <v>1.2358</v>
      </c>
      <c r="AL654" s="15">
        <v>1.0269999999999999</v>
      </c>
      <c r="AM654" s="16">
        <f t="shared" si="355"/>
        <v>38.065233506300963</v>
      </c>
      <c r="AN654" s="8">
        <f t="shared" si="351"/>
        <v>0.10269999999999999</v>
      </c>
      <c r="AO654" s="15" t="s">
        <v>31</v>
      </c>
      <c r="AP654" s="15">
        <v>103</v>
      </c>
      <c r="AQ654" s="16" t="s">
        <v>689</v>
      </c>
      <c r="AR654" s="16">
        <v>35</v>
      </c>
      <c r="AS654" s="16">
        <v>63</v>
      </c>
      <c r="AT654" s="16">
        <v>2</v>
      </c>
      <c r="AU654" s="16" t="s">
        <v>664</v>
      </c>
      <c r="AV654" s="16">
        <f t="shared" si="356"/>
        <v>100</v>
      </c>
      <c r="AW654" s="20">
        <v>32</v>
      </c>
      <c r="AX654" s="8">
        <f t="shared" si="354"/>
        <v>0.32</v>
      </c>
      <c r="AY654" s="8" t="s">
        <v>32</v>
      </c>
      <c r="AZ654" s="16">
        <f t="shared" si="357"/>
        <v>100</v>
      </c>
      <c r="BA654" s="16" t="s">
        <v>55</v>
      </c>
      <c r="BB654" s="16">
        <v>50</v>
      </c>
      <c r="BC654" s="16" t="s">
        <v>55</v>
      </c>
      <c r="BD654" s="20">
        <v>3</v>
      </c>
      <c r="BE654" s="15">
        <f t="shared" si="346"/>
        <v>9.375</v>
      </c>
      <c r="BF654" s="15">
        <f t="shared" si="313"/>
        <v>0.97197127639975645</v>
      </c>
      <c r="BG654" s="8">
        <f t="shared" si="347"/>
        <v>0.47712125471966244</v>
      </c>
      <c r="BH654" s="2" t="s">
        <v>841</v>
      </c>
      <c r="BI654" s="2"/>
      <c r="BJ654" s="2"/>
      <c r="BK654" s="2"/>
      <c r="BL654" s="2"/>
      <c r="BM654" s="20"/>
      <c r="BN654" s="20"/>
      <c r="BO654" s="2"/>
    </row>
    <row r="655" spans="1:67" s="14" customFormat="1" x14ac:dyDescent="0.3">
      <c r="A655" s="20">
        <v>653</v>
      </c>
      <c r="B655" s="2" t="s">
        <v>200</v>
      </c>
      <c r="C655" s="2">
        <v>2021</v>
      </c>
      <c r="D655" s="2" t="s">
        <v>201</v>
      </c>
      <c r="E655" s="10" t="s">
        <v>794</v>
      </c>
      <c r="F655" s="20" t="s">
        <v>29</v>
      </c>
      <c r="G655" s="2" t="s">
        <v>37</v>
      </c>
      <c r="H655" s="2" t="str">
        <f>'PFAS Properties'!$B$42</f>
        <v>PFBS</v>
      </c>
      <c r="I655" s="2" t="str">
        <f>'PFAS Properties'!$C$42</f>
        <v>PFSA</v>
      </c>
      <c r="J655" s="2" t="str">
        <f>'PFAS Properties'!$D$42</f>
        <v>C4HF9O3S</v>
      </c>
      <c r="K655" s="25">
        <f>'PFAS Properties'!$P$42</f>
        <v>299.9502</v>
      </c>
      <c r="L655" s="2">
        <f>'PFAS Properties'!$X$42</f>
        <v>0.1</v>
      </c>
      <c r="M655" s="2" t="str">
        <f>'PFAS Properties'!$Y$42</f>
        <v>-</v>
      </c>
      <c r="N655" s="33">
        <v>0</v>
      </c>
      <c r="O655" s="33">
        <v>0</v>
      </c>
      <c r="P655" s="33">
        <v>0</v>
      </c>
      <c r="Q655" s="33">
        <f t="shared" si="300"/>
        <v>0.9999974881198781</v>
      </c>
      <c r="R655" s="33">
        <v>0</v>
      </c>
      <c r="S655" s="33">
        <f t="shared" si="301"/>
        <v>2.5118801219519806E-6</v>
      </c>
      <c r="T655" s="8">
        <f t="shared" si="306"/>
        <v>1</v>
      </c>
      <c r="U655" s="33">
        <f t="shared" si="307"/>
        <v>0</v>
      </c>
      <c r="V655" s="33">
        <f t="shared" si="308"/>
        <v>-0.9999974881198781</v>
      </c>
      <c r="W655" s="33">
        <f t="shared" si="309"/>
        <v>298.95020251188015</v>
      </c>
      <c r="X655" s="33">
        <v>96485</v>
      </c>
      <c r="Y655" s="16">
        <f t="shared" si="310"/>
        <v>-322.74524931091884</v>
      </c>
      <c r="Z655" s="16">
        <v>4</v>
      </c>
      <c r="AA655" s="16">
        <v>9</v>
      </c>
      <c r="AB655" s="8">
        <f t="shared" si="311"/>
        <v>0.2807017543859649</v>
      </c>
      <c r="AC655" s="16">
        <f t="shared" si="349"/>
        <v>57.009463570952775</v>
      </c>
      <c r="AD655" s="20">
        <f>'PFAS Properties'!$W$42</f>
        <v>4</v>
      </c>
      <c r="AE655" s="8">
        <f>'PFAS Properties'!$S$42</f>
        <v>5.53655844257153</v>
      </c>
      <c r="AF655" s="2">
        <f>'PFAS Properties'!$V$42</f>
        <v>2.2999999999999998</v>
      </c>
      <c r="AG655" s="24">
        <v>5.7</v>
      </c>
      <c r="AH655" s="2" t="s">
        <v>834</v>
      </c>
      <c r="AI655" s="15">
        <v>10.64</v>
      </c>
      <c r="AJ655" s="16">
        <f t="shared" si="352"/>
        <v>190.52735249350883</v>
      </c>
      <c r="AK655" s="8">
        <f t="shared" si="350"/>
        <v>1.0640000000000001</v>
      </c>
      <c r="AL655" s="15">
        <v>0.16700000000000001</v>
      </c>
      <c r="AM655" s="16">
        <f t="shared" si="355"/>
        <v>6.1897702001482582</v>
      </c>
      <c r="AN655" s="8">
        <f t="shared" si="351"/>
        <v>1.67E-2</v>
      </c>
      <c r="AO655" s="15" t="s">
        <v>31</v>
      </c>
      <c r="AP655" s="15">
        <v>140</v>
      </c>
      <c r="AQ655" s="16" t="s">
        <v>689</v>
      </c>
      <c r="AR655" s="16">
        <v>20.7</v>
      </c>
      <c r="AS655" s="16">
        <v>78</v>
      </c>
      <c r="AT655" s="16">
        <v>1.3</v>
      </c>
      <c r="AU655" s="16" t="s">
        <v>664</v>
      </c>
      <c r="AV655" s="16">
        <f t="shared" si="356"/>
        <v>100</v>
      </c>
      <c r="AW655" s="20">
        <v>39</v>
      </c>
      <c r="AX655" s="8">
        <f t="shared" si="354"/>
        <v>0.39</v>
      </c>
      <c r="AY655" s="8" t="s">
        <v>32</v>
      </c>
      <c r="AZ655" s="16">
        <f t="shared" si="357"/>
        <v>100</v>
      </c>
      <c r="BA655" s="16" t="s">
        <v>55</v>
      </c>
      <c r="BB655" s="16">
        <v>50</v>
      </c>
      <c r="BC655" s="16" t="s">
        <v>55</v>
      </c>
      <c r="BD655" s="20">
        <v>6.8</v>
      </c>
      <c r="BE655" s="15">
        <f t="shared" si="346"/>
        <v>17.435897435897434</v>
      </c>
      <c r="BF655" s="15">
        <f t="shared" si="313"/>
        <v>1.2414443056797371</v>
      </c>
      <c r="BG655" s="8">
        <f t="shared" si="347"/>
        <v>0.83250891270623628</v>
      </c>
      <c r="BH655" s="2" t="s">
        <v>841</v>
      </c>
      <c r="BI655" s="2"/>
      <c r="BJ655" s="2"/>
      <c r="BK655" s="2"/>
      <c r="BL655" s="2"/>
      <c r="BM655" s="20"/>
      <c r="BN655" s="20"/>
      <c r="BO655" s="2"/>
    </row>
    <row r="656" spans="1:67" s="14" customFormat="1" x14ac:dyDescent="0.3">
      <c r="A656" s="20">
        <v>654</v>
      </c>
      <c r="B656" s="2" t="s">
        <v>200</v>
      </c>
      <c r="C656" s="2">
        <v>2021</v>
      </c>
      <c r="D656" s="2" t="s">
        <v>201</v>
      </c>
      <c r="E656" s="10" t="s">
        <v>794</v>
      </c>
      <c r="F656" s="20" t="s">
        <v>29</v>
      </c>
      <c r="G656" s="2" t="s">
        <v>38</v>
      </c>
      <c r="H656" s="2" t="str">
        <f>'PFAS Properties'!$B$42</f>
        <v>PFBS</v>
      </c>
      <c r="I656" s="2" t="str">
        <f>'PFAS Properties'!$C$42</f>
        <v>PFSA</v>
      </c>
      <c r="J656" s="2" t="str">
        <f>'PFAS Properties'!$D$42</f>
        <v>C4HF9O3S</v>
      </c>
      <c r="K656" s="25">
        <f>'PFAS Properties'!$P$42</f>
        <v>299.9502</v>
      </c>
      <c r="L656" s="2">
        <f>'PFAS Properties'!$X$42</f>
        <v>0.1</v>
      </c>
      <c r="M656" s="2" t="str">
        <f>'PFAS Properties'!$Y$42</f>
        <v>-</v>
      </c>
      <c r="N656" s="33">
        <v>0</v>
      </c>
      <c r="O656" s="33">
        <v>0</v>
      </c>
      <c r="P656" s="33">
        <v>0</v>
      </c>
      <c r="Q656" s="33">
        <f t="shared" ref="Q656:Q719" si="358">(10^(AG656-L656))/(1+(10^(AG656-L656)))</f>
        <v>0.9999974881198781</v>
      </c>
      <c r="R656" s="33">
        <v>0</v>
      </c>
      <c r="S656" s="33">
        <f t="shared" ref="S656:S719" si="359">(1/(1+(10^(AG656-L656))))</f>
        <v>2.5118801219519806E-6</v>
      </c>
      <c r="T656" s="8">
        <f t="shared" si="306"/>
        <v>1</v>
      </c>
      <c r="U656" s="33">
        <f t="shared" si="307"/>
        <v>0</v>
      </c>
      <c r="V656" s="33">
        <f t="shared" si="308"/>
        <v>-0.9999974881198781</v>
      </c>
      <c r="W656" s="33">
        <f t="shared" si="309"/>
        <v>298.95020251188015</v>
      </c>
      <c r="X656" s="33">
        <v>96485</v>
      </c>
      <c r="Y656" s="16">
        <f t="shared" si="310"/>
        <v>-322.74524931091884</v>
      </c>
      <c r="Z656" s="16">
        <v>4</v>
      </c>
      <c r="AA656" s="16">
        <v>9</v>
      </c>
      <c r="AB656" s="8">
        <f t="shared" si="311"/>
        <v>0.2807017543859649</v>
      </c>
      <c r="AC656" s="16">
        <f t="shared" si="349"/>
        <v>57.009463570952775</v>
      </c>
      <c r="AD656" s="20">
        <f>'PFAS Properties'!$W$42</f>
        <v>4</v>
      </c>
      <c r="AE656" s="8">
        <f>'PFAS Properties'!$S$42</f>
        <v>5.53655844257153</v>
      </c>
      <c r="AF656" s="2">
        <f>'PFAS Properties'!$V$42</f>
        <v>2.2999999999999998</v>
      </c>
      <c r="AG656" s="24">
        <v>5.7</v>
      </c>
      <c r="AH656" s="2" t="s">
        <v>834</v>
      </c>
      <c r="AI656" s="15">
        <v>19.667999999999999</v>
      </c>
      <c r="AJ656" s="16">
        <f t="shared" si="352"/>
        <v>352.18909481600861</v>
      </c>
      <c r="AK656" s="8">
        <f t="shared" si="350"/>
        <v>1.9667999999999999</v>
      </c>
      <c r="AL656" s="15">
        <v>0.48099999999999998</v>
      </c>
      <c r="AM656" s="16">
        <f t="shared" si="355"/>
        <v>17.828020756115642</v>
      </c>
      <c r="AN656" s="8">
        <f t="shared" si="351"/>
        <v>4.8099999999999997E-2</v>
      </c>
      <c r="AO656" s="15" t="s">
        <v>31</v>
      </c>
      <c r="AP656" s="15">
        <v>114</v>
      </c>
      <c r="AQ656" s="16" t="s">
        <v>689</v>
      </c>
      <c r="AR656" s="16">
        <v>20</v>
      </c>
      <c r="AS656" s="16">
        <v>78.900000000000006</v>
      </c>
      <c r="AT656" s="16">
        <v>1.1000000000000001</v>
      </c>
      <c r="AU656" s="16" t="s">
        <v>664</v>
      </c>
      <c r="AV656" s="16">
        <f t="shared" si="356"/>
        <v>100</v>
      </c>
      <c r="AW656" s="20">
        <v>41</v>
      </c>
      <c r="AX656" s="8">
        <f t="shared" si="354"/>
        <v>0.41</v>
      </c>
      <c r="AY656" s="8" t="s">
        <v>32</v>
      </c>
      <c r="AZ656" s="16">
        <f t="shared" si="357"/>
        <v>100</v>
      </c>
      <c r="BA656" s="16" t="s">
        <v>55</v>
      </c>
      <c r="BB656" s="16">
        <v>50</v>
      </c>
      <c r="BC656" s="16" t="s">
        <v>55</v>
      </c>
      <c r="BD656" s="20">
        <v>3</v>
      </c>
      <c r="BE656" s="15">
        <f t="shared" si="346"/>
        <v>7.3170731707317076</v>
      </c>
      <c r="BF656" s="15">
        <f t="shared" si="313"/>
        <v>0.86433739799992693</v>
      </c>
      <c r="BG656" s="8">
        <f t="shared" si="347"/>
        <v>0.47712125471966244</v>
      </c>
      <c r="BH656" s="2" t="s">
        <v>841</v>
      </c>
      <c r="BI656" s="2"/>
      <c r="BJ656" s="2"/>
      <c r="BK656" s="2"/>
      <c r="BL656" s="2"/>
      <c r="BM656" s="20"/>
      <c r="BN656" s="20"/>
      <c r="BO656" s="2"/>
    </row>
    <row r="657" spans="1:67" s="14" customFormat="1" x14ac:dyDescent="0.3">
      <c r="A657" s="20">
        <v>655</v>
      </c>
      <c r="B657" s="2" t="s">
        <v>181</v>
      </c>
      <c r="C657" s="2">
        <v>2020</v>
      </c>
      <c r="D657" s="2" t="s">
        <v>203</v>
      </c>
      <c r="E657" s="10" t="s">
        <v>787</v>
      </c>
      <c r="F657" s="20" t="s">
        <v>29</v>
      </c>
      <c r="G657" s="2" t="s">
        <v>62</v>
      </c>
      <c r="H657" s="2" t="str">
        <f>'PFAS Properties'!$B$42</f>
        <v>PFBS</v>
      </c>
      <c r="I657" s="2" t="str">
        <f>'PFAS Properties'!$C$42</f>
        <v>PFSA</v>
      </c>
      <c r="J657" s="2" t="str">
        <f>'PFAS Properties'!$D$42</f>
        <v>C4HF9O3S</v>
      </c>
      <c r="K657" s="25">
        <f>'PFAS Properties'!$P$42</f>
        <v>299.9502</v>
      </c>
      <c r="L657" s="2">
        <f>'PFAS Properties'!$X$42</f>
        <v>0.1</v>
      </c>
      <c r="M657" s="2" t="str">
        <f>'PFAS Properties'!$Y$42</f>
        <v>-</v>
      </c>
      <c r="N657" s="33">
        <v>0</v>
      </c>
      <c r="O657" s="33">
        <v>0</v>
      </c>
      <c r="P657" s="33">
        <v>0</v>
      </c>
      <c r="Q657" s="33">
        <f t="shared" si="358"/>
        <v>0.9999999601892845</v>
      </c>
      <c r="R657" s="33">
        <v>0</v>
      </c>
      <c r="S657" s="33">
        <f t="shared" si="359"/>
        <v>3.9810715470456442E-8</v>
      </c>
      <c r="T657" s="8">
        <f t="shared" si="306"/>
        <v>1</v>
      </c>
      <c r="U657" s="33">
        <f t="shared" si="307"/>
        <v>0</v>
      </c>
      <c r="V657" s="33">
        <f t="shared" si="308"/>
        <v>-0.9999999601892845</v>
      </c>
      <c r="W657" s="33">
        <f t="shared" si="309"/>
        <v>298.95020003981068</v>
      </c>
      <c r="X657" s="33">
        <v>96485</v>
      </c>
      <c r="Y657" s="16">
        <f t="shared" si="310"/>
        <v>-322.74604983042116</v>
      </c>
      <c r="Z657" s="16">
        <v>4</v>
      </c>
      <c r="AA657" s="16">
        <v>9</v>
      </c>
      <c r="AB657" s="8">
        <f t="shared" si="311"/>
        <v>0.2807017543859649</v>
      </c>
      <c r="AC657" s="16">
        <f t="shared" si="349"/>
        <v>57.009463570952775</v>
      </c>
      <c r="AD657" s="20">
        <f>'PFAS Properties'!$W$42</f>
        <v>4</v>
      </c>
      <c r="AE657" s="8">
        <f>'PFAS Properties'!$S$42</f>
        <v>5.53655844257153</v>
      </c>
      <c r="AF657" s="2">
        <f>'PFAS Properties'!$V$42</f>
        <v>2.2999999999999998</v>
      </c>
      <c r="AG657" s="24">
        <v>7.5</v>
      </c>
      <c r="AH657" s="2" t="s">
        <v>183</v>
      </c>
      <c r="AI657" s="2" t="s">
        <v>661</v>
      </c>
      <c r="AJ657" s="2" t="s">
        <v>661</v>
      </c>
      <c r="AK657" s="2" t="s">
        <v>661</v>
      </c>
      <c r="AL657" s="2" t="s">
        <v>661</v>
      </c>
      <c r="AM657" s="2" t="s">
        <v>661</v>
      </c>
      <c r="AN657" s="2" t="s">
        <v>661</v>
      </c>
      <c r="AO657" s="2" t="s">
        <v>661</v>
      </c>
      <c r="AP657" s="15">
        <v>41.4</v>
      </c>
      <c r="AQ657" s="2" t="s">
        <v>661</v>
      </c>
      <c r="AR657" s="16">
        <v>16.899999999999999</v>
      </c>
      <c r="AS657" s="16">
        <v>17.5</v>
      </c>
      <c r="AT657" s="16">
        <v>65.599999999999994</v>
      </c>
      <c r="AU657" s="2" t="s">
        <v>661</v>
      </c>
      <c r="AV657" s="16">
        <f t="shared" si="356"/>
        <v>100</v>
      </c>
      <c r="AW657" s="20">
        <v>0.7</v>
      </c>
      <c r="AX657" s="8">
        <f t="shared" si="354"/>
        <v>6.9999999999999993E-3</v>
      </c>
      <c r="AY657" s="13" t="s">
        <v>184</v>
      </c>
      <c r="AZ657" s="16">
        <f t="shared" ref="AZ657:AZ666" si="360">0.8/0.008</f>
        <v>100</v>
      </c>
      <c r="BA657" s="16" t="s">
        <v>55</v>
      </c>
      <c r="BB657" s="16">
        <v>5</v>
      </c>
      <c r="BC657" s="16" t="s">
        <v>55</v>
      </c>
      <c r="BD657" s="18">
        <v>0.41</v>
      </c>
      <c r="BE657" s="15">
        <f t="shared" si="346"/>
        <v>58.571428571428577</v>
      </c>
      <c r="BF657" s="15">
        <f t="shared" si="313"/>
        <v>1.7676858167054788</v>
      </c>
      <c r="BG657" s="8">
        <f t="shared" si="347"/>
        <v>-0.38721614328026455</v>
      </c>
      <c r="BH657" s="13" t="s">
        <v>345</v>
      </c>
      <c r="BI657" s="2"/>
      <c r="BJ657" s="2"/>
      <c r="BK657" s="2"/>
      <c r="BL657" s="2"/>
      <c r="BM657" s="20"/>
      <c r="BN657" s="20"/>
      <c r="BO657" s="2"/>
    </row>
    <row r="658" spans="1:67" s="14" customFormat="1" x14ac:dyDescent="0.3">
      <c r="A658" s="20">
        <v>656</v>
      </c>
      <c r="B658" s="2" t="s">
        <v>181</v>
      </c>
      <c r="C658" s="2">
        <v>2020</v>
      </c>
      <c r="D658" s="2" t="s">
        <v>203</v>
      </c>
      <c r="E658" s="10" t="s">
        <v>787</v>
      </c>
      <c r="F658" s="20" t="s">
        <v>29</v>
      </c>
      <c r="G658" s="2" t="s">
        <v>57</v>
      </c>
      <c r="H658" s="2" t="str">
        <f>'PFAS Properties'!$B$42</f>
        <v>PFBS</v>
      </c>
      <c r="I658" s="2" t="str">
        <f>'PFAS Properties'!$C$42</f>
        <v>PFSA</v>
      </c>
      <c r="J658" s="2" t="str">
        <f>'PFAS Properties'!$D$42</f>
        <v>C4HF9O3S</v>
      </c>
      <c r="K658" s="25">
        <f>'PFAS Properties'!$P$42</f>
        <v>299.9502</v>
      </c>
      <c r="L658" s="2">
        <f>'PFAS Properties'!$X$42</f>
        <v>0.1</v>
      </c>
      <c r="M658" s="2" t="str">
        <f>'PFAS Properties'!$Y$42</f>
        <v>-</v>
      </c>
      <c r="N658" s="33">
        <v>0</v>
      </c>
      <c r="O658" s="33">
        <v>0</v>
      </c>
      <c r="P658" s="33">
        <v>0</v>
      </c>
      <c r="Q658" s="33">
        <f t="shared" si="358"/>
        <v>0.99999980047380832</v>
      </c>
      <c r="R658" s="33">
        <v>0</v>
      </c>
      <c r="S658" s="33">
        <f t="shared" si="359"/>
        <v>1.9952619168617852E-7</v>
      </c>
      <c r="T658" s="8">
        <f t="shared" si="306"/>
        <v>1</v>
      </c>
      <c r="U658" s="33">
        <f t="shared" si="307"/>
        <v>0</v>
      </c>
      <c r="V658" s="33">
        <f t="shared" si="308"/>
        <v>-0.99999980047380832</v>
      </c>
      <c r="W658" s="33">
        <f t="shared" si="309"/>
        <v>298.95020019952619</v>
      </c>
      <c r="X658" s="33">
        <v>96485</v>
      </c>
      <c r="Y658" s="16">
        <f t="shared" si="310"/>
        <v>-322.74599811045152</v>
      </c>
      <c r="Z658" s="16">
        <v>4</v>
      </c>
      <c r="AA658" s="16">
        <v>9</v>
      </c>
      <c r="AB658" s="8">
        <f t="shared" si="311"/>
        <v>0.2807017543859649</v>
      </c>
      <c r="AC658" s="16">
        <f t="shared" si="349"/>
        <v>57.009463570952775</v>
      </c>
      <c r="AD658" s="20">
        <f>'PFAS Properties'!$W$42</f>
        <v>4</v>
      </c>
      <c r="AE658" s="8">
        <f>'PFAS Properties'!$S$42</f>
        <v>5.53655844257153</v>
      </c>
      <c r="AF658" s="2">
        <f>'PFAS Properties'!$V$42</f>
        <v>2.2999999999999998</v>
      </c>
      <c r="AG658" s="24">
        <v>6.8</v>
      </c>
      <c r="AH658" s="2" t="s">
        <v>183</v>
      </c>
      <c r="AI658" s="2" t="s">
        <v>661</v>
      </c>
      <c r="AJ658" s="2" t="s">
        <v>661</v>
      </c>
      <c r="AK658" s="2" t="s">
        <v>661</v>
      </c>
      <c r="AL658" s="2" t="s">
        <v>661</v>
      </c>
      <c r="AM658" s="2" t="s">
        <v>661</v>
      </c>
      <c r="AN658" s="2" t="s">
        <v>661</v>
      </c>
      <c r="AO658" s="2" t="s">
        <v>661</v>
      </c>
      <c r="AP658" s="15">
        <v>7.1</v>
      </c>
      <c r="AQ658" s="2" t="s">
        <v>661</v>
      </c>
      <c r="AR658" s="16">
        <v>48.9</v>
      </c>
      <c r="AS658" s="16">
        <v>27</v>
      </c>
      <c r="AT658" s="16">
        <v>24.2</v>
      </c>
      <c r="AU658" s="2" t="s">
        <v>661</v>
      </c>
      <c r="AV658" s="16">
        <f t="shared" si="356"/>
        <v>100.10000000000001</v>
      </c>
      <c r="AW658" s="20">
        <v>0.37</v>
      </c>
      <c r="AX658" s="8">
        <f t="shared" si="354"/>
        <v>3.7000000000000002E-3</v>
      </c>
      <c r="AY658" s="13" t="s">
        <v>184</v>
      </c>
      <c r="AZ658" s="16">
        <f t="shared" si="360"/>
        <v>100</v>
      </c>
      <c r="BA658" s="16" t="s">
        <v>55</v>
      </c>
      <c r="BB658" s="16">
        <v>5</v>
      </c>
      <c r="BC658" s="16" t="s">
        <v>55</v>
      </c>
      <c r="BD658" s="20">
        <v>0.36</v>
      </c>
      <c r="BE658" s="15">
        <f t="shared" si="346"/>
        <v>97.297297297297291</v>
      </c>
      <c r="BF658" s="15">
        <f t="shared" si="313"/>
        <v>1.9881007767002923</v>
      </c>
      <c r="BG658" s="8">
        <f t="shared" si="347"/>
        <v>-0.44369749923271273</v>
      </c>
      <c r="BH658" s="13" t="s">
        <v>345</v>
      </c>
      <c r="BI658" s="2"/>
      <c r="BJ658" s="2"/>
      <c r="BK658" s="2"/>
      <c r="BL658" s="2"/>
      <c r="BM658" s="20"/>
      <c r="BN658" s="20"/>
      <c r="BO658" s="2"/>
    </row>
    <row r="659" spans="1:67" s="14" customFormat="1" x14ac:dyDescent="0.3">
      <c r="A659" s="20">
        <v>657</v>
      </c>
      <c r="B659" s="2" t="s">
        <v>181</v>
      </c>
      <c r="C659" s="2">
        <v>2020</v>
      </c>
      <c r="D659" s="2" t="s">
        <v>203</v>
      </c>
      <c r="E659" s="10" t="s">
        <v>787</v>
      </c>
      <c r="F659" s="20" t="s">
        <v>29</v>
      </c>
      <c r="G659" s="2" t="s">
        <v>58</v>
      </c>
      <c r="H659" s="2" t="str">
        <f>'PFAS Properties'!$B$42</f>
        <v>PFBS</v>
      </c>
      <c r="I659" s="2" t="str">
        <f>'PFAS Properties'!$C$42</f>
        <v>PFSA</v>
      </c>
      <c r="J659" s="2" t="str">
        <f>'PFAS Properties'!$D$42</f>
        <v>C4HF9O3S</v>
      </c>
      <c r="K659" s="25">
        <f>'PFAS Properties'!$P$42</f>
        <v>299.9502</v>
      </c>
      <c r="L659" s="2">
        <f>'PFAS Properties'!$X$42</f>
        <v>0.1</v>
      </c>
      <c r="M659" s="2" t="str">
        <f>'PFAS Properties'!$Y$42</f>
        <v>-</v>
      </c>
      <c r="N659" s="33">
        <v>0</v>
      </c>
      <c r="O659" s="33">
        <v>0</v>
      </c>
      <c r="P659" s="33">
        <v>0</v>
      </c>
      <c r="Q659" s="33">
        <f t="shared" si="358"/>
        <v>0.9999992056723962</v>
      </c>
      <c r="R659" s="33">
        <v>0</v>
      </c>
      <c r="S659" s="33">
        <f t="shared" si="359"/>
        <v>7.9432760376743655E-7</v>
      </c>
      <c r="T659" s="8">
        <f t="shared" si="306"/>
        <v>1</v>
      </c>
      <c r="U659" s="33">
        <f t="shared" si="307"/>
        <v>0</v>
      </c>
      <c r="V659" s="33">
        <f t="shared" si="308"/>
        <v>-0.9999992056723962</v>
      </c>
      <c r="W659" s="33">
        <f t="shared" si="309"/>
        <v>298.9502007943276</v>
      </c>
      <c r="X659" s="33">
        <v>96485</v>
      </c>
      <c r="Y659" s="16">
        <f t="shared" si="310"/>
        <v>-322.7458054984919</v>
      </c>
      <c r="Z659" s="16">
        <v>4</v>
      </c>
      <c r="AA659" s="16">
        <v>9</v>
      </c>
      <c r="AB659" s="8">
        <f t="shared" si="311"/>
        <v>0.2807017543859649</v>
      </c>
      <c r="AC659" s="16">
        <f t="shared" si="349"/>
        <v>57.009463570952775</v>
      </c>
      <c r="AD659" s="20">
        <f>'PFAS Properties'!$W$42</f>
        <v>4</v>
      </c>
      <c r="AE659" s="8">
        <f>'PFAS Properties'!$S$42</f>
        <v>5.53655844257153</v>
      </c>
      <c r="AF659" s="2">
        <f>'PFAS Properties'!$V$42</f>
        <v>2.2999999999999998</v>
      </c>
      <c r="AG659" s="24">
        <v>6.2</v>
      </c>
      <c r="AH659" s="2" t="s">
        <v>183</v>
      </c>
      <c r="AI659" s="2" t="s">
        <v>661</v>
      </c>
      <c r="AJ659" s="2" t="s">
        <v>661</v>
      </c>
      <c r="AK659" s="2" t="s">
        <v>661</v>
      </c>
      <c r="AL659" s="2" t="s">
        <v>661</v>
      </c>
      <c r="AM659" s="2" t="s">
        <v>661</v>
      </c>
      <c r="AN659" s="2" t="s">
        <v>661</v>
      </c>
      <c r="AO659" s="2" t="s">
        <v>661</v>
      </c>
      <c r="AP659" s="15">
        <v>8</v>
      </c>
      <c r="AQ659" s="2" t="s">
        <v>661</v>
      </c>
      <c r="AR659" s="16">
        <v>51.44</v>
      </c>
      <c r="AS659" s="16">
        <v>10.17</v>
      </c>
      <c r="AT659" s="16">
        <v>38.380000000000003</v>
      </c>
      <c r="AU659" s="2" t="s">
        <v>661</v>
      </c>
      <c r="AV659" s="16">
        <f t="shared" si="356"/>
        <v>99.990000000000009</v>
      </c>
      <c r="AW659" s="20">
        <v>0.08</v>
      </c>
      <c r="AX659" s="8">
        <f t="shared" si="354"/>
        <v>8.0000000000000004E-4</v>
      </c>
      <c r="AY659" s="8" t="s">
        <v>184</v>
      </c>
      <c r="AZ659" s="16">
        <f t="shared" si="360"/>
        <v>100</v>
      </c>
      <c r="BA659" s="16" t="s">
        <v>55</v>
      </c>
      <c r="BB659" s="16">
        <v>5</v>
      </c>
      <c r="BC659" s="16" t="s">
        <v>55</v>
      </c>
      <c r="BD659" s="20">
        <v>0.25</v>
      </c>
      <c r="BE659" s="15">
        <f t="shared" si="346"/>
        <v>312.5</v>
      </c>
      <c r="BF659" s="59">
        <f t="shared" si="313"/>
        <v>2.4948500216800942</v>
      </c>
      <c r="BG659" s="8">
        <f t="shared" si="347"/>
        <v>-0.6020599913279624</v>
      </c>
      <c r="BH659" s="13" t="s">
        <v>345</v>
      </c>
      <c r="BI659" s="2"/>
      <c r="BJ659" s="2"/>
      <c r="BK659" s="2"/>
      <c r="BL659" s="2"/>
      <c r="BM659" s="20"/>
      <c r="BN659" s="20"/>
      <c r="BO659" s="2"/>
    </row>
    <row r="660" spans="1:67" s="14" customFormat="1" x14ac:dyDescent="0.3">
      <c r="A660" s="20">
        <v>658</v>
      </c>
      <c r="B660" s="2" t="s">
        <v>181</v>
      </c>
      <c r="C660" s="2">
        <v>2020</v>
      </c>
      <c r="D660" s="2" t="s">
        <v>203</v>
      </c>
      <c r="E660" s="10" t="s">
        <v>787</v>
      </c>
      <c r="F660" s="20" t="s">
        <v>29</v>
      </c>
      <c r="G660" s="2" t="s">
        <v>59</v>
      </c>
      <c r="H660" s="2" t="str">
        <f>'PFAS Properties'!$B$42</f>
        <v>PFBS</v>
      </c>
      <c r="I660" s="2" t="str">
        <f>'PFAS Properties'!$C$42</f>
        <v>PFSA</v>
      </c>
      <c r="J660" s="2" t="str">
        <f>'PFAS Properties'!$D$42</f>
        <v>C4HF9O3S</v>
      </c>
      <c r="K660" s="25">
        <f>'PFAS Properties'!$P$42</f>
        <v>299.9502</v>
      </c>
      <c r="L660" s="2">
        <f>'PFAS Properties'!$X$42</f>
        <v>0.1</v>
      </c>
      <c r="M660" s="2" t="str">
        <f>'PFAS Properties'!$Y$42</f>
        <v>-</v>
      </c>
      <c r="N660" s="33">
        <v>0</v>
      </c>
      <c r="O660" s="33">
        <v>0</v>
      </c>
      <c r="P660" s="33">
        <v>0</v>
      </c>
      <c r="Q660" s="33">
        <f t="shared" si="358"/>
        <v>0.99999997488113634</v>
      </c>
      <c r="R660" s="33">
        <v>0</v>
      </c>
      <c r="S660" s="33">
        <f t="shared" si="359"/>
        <v>2.5118863684138424E-8</v>
      </c>
      <c r="T660" s="8">
        <f t="shared" si="306"/>
        <v>1</v>
      </c>
      <c r="U660" s="33">
        <f t="shared" si="307"/>
        <v>0</v>
      </c>
      <c r="V660" s="33">
        <f t="shared" si="308"/>
        <v>-0.99999997488113634</v>
      </c>
      <c r="W660" s="33">
        <f t="shared" si="309"/>
        <v>298.95020002511887</v>
      </c>
      <c r="X660" s="33">
        <v>96485</v>
      </c>
      <c r="Y660" s="16">
        <f t="shared" si="310"/>
        <v>-322.74605458801977</v>
      </c>
      <c r="Z660" s="16">
        <v>4</v>
      </c>
      <c r="AA660" s="16">
        <v>9</v>
      </c>
      <c r="AB660" s="8">
        <f t="shared" si="311"/>
        <v>0.2807017543859649</v>
      </c>
      <c r="AC660" s="16">
        <f t="shared" si="349"/>
        <v>57.009463570952775</v>
      </c>
      <c r="AD660" s="20">
        <f>'PFAS Properties'!$W$42</f>
        <v>4</v>
      </c>
      <c r="AE660" s="8">
        <f>'PFAS Properties'!$S$42</f>
        <v>5.53655844257153</v>
      </c>
      <c r="AF660" s="2">
        <f>'PFAS Properties'!$V$42</f>
        <v>2.2999999999999998</v>
      </c>
      <c r="AG660" s="24">
        <v>7.7</v>
      </c>
      <c r="AH660" s="2" t="s">
        <v>183</v>
      </c>
      <c r="AI660" s="2" t="s">
        <v>661</v>
      </c>
      <c r="AJ660" s="2" t="s">
        <v>661</v>
      </c>
      <c r="AK660" s="2" t="s">
        <v>661</v>
      </c>
      <c r="AL660" s="2" t="s">
        <v>661</v>
      </c>
      <c r="AM660" s="2" t="s">
        <v>661</v>
      </c>
      <c r="AN660" s="2" t="s">
        <v>661</v>
      </c>
      <c r="AO660" s="2" t="s">
        <v>661</v>
      </c>
      <c r="AP660" s="15">
        <v>4.8</v>
      </c>
      <c r="AQ660" s="2" t="s">
        <v>661</v>
      </c>
      <c r="AR660" s="16">
        <v>46</v>
      </c>
      <c r="AS660" s="16">
        <v>37</v>
      </c>
      <c r="AT660" s="16">
        <v>17</v>
      </c>
      <c r="AU660" s="2" t="s">
        <v>661</v>
      </c>
      <c r="AV660" s="16">
        <f t="shared" si="356"/>
        <v>100</v>
      </c>
      <c r="AW660" s="20">
        <v>0.25</v>
      </c>
      <c r="AX660" s="8">
        <f t="shared" si="354"/>
        <v>2.5000000000000001E-3</v>
      </c>
      <c r="AY660" s="13" t="s">
        <v>184</v>
      </c>
      <c r="AZ660" s="16">
        <f t="shared" si="360"/>
        <v>100</v>
      </c>
      <c r="BA660" s="16" t="s">
        <v>55</v>
      </c>
      <c r="BB660" s="16">
        <v>5</v>
      </c>
      <c r="BC660" s="16" t="s">
        <v>55</v>
      </c>
      <c r="BD660" s="18">
        <v>0.17</v>
      </c>
      <c r="BE660" s="15">
        <f t="shared" si="346"/>
        <v>68</v>
      </c>
      <c r="BF660" s="15">
        <f t="shared" si="313"/>
        <v>1.8325089127062364</v>
      </c>
      <c r="BG660" s="8">
        <f t="shared" si="347"/>
        <v>-0.769551078621726</v>
      </c>
      <c r="BH660" s="13" t="s">
        <v>345</v>
      </c>
      <c r="BI660" s="2"/>
      <c r="BJ660" s="2"/>
      <c r="BK660" s="2"/>
      <c r="BL660" s="2"/>
      <c r="BM660" s="20"/>
      <c r="BN660" s="20"/>
      <c r="BO660" s="2"/>
    </row>
    <row r="661" spans="1:67" s="14" customFormat="1" x14ac:dyDescent="0.3">
      <c r="A661" s="20">
        <v>659</v>
      </c>
      <c r="B661" s="2" t="s">
        <v>181</v>
      </c>
      <c r="C661" s="2">
        <v>2020</v>
      </c>
      <c r="D661" s="2" t="s">
        <v>203</v>
      </c>
      <c r="E661" s="10" t="s">
        <v>787</v>
      </c>
      <c r="F661" s="20" t="s">
        <v>29</v>
      </c>
      <c r="G661" s="2" t="s">
        <v>61</v>
      </c>
      <c r="H661" s="2" t="str">
        <f>'PFAS Properties'!$B$42</f>
        <v>PFBS</v>
      </c>
      <c r="I661" s="2" t="str">
        <f>'PFAS Properties'!$C$42</f>
        <v>PFSA</v>
      </c>
      <c r="J661" s="2" t="str">
        <f>'PFAS Properties'!$D$42</f>
        <v>C4HF9O3S</v>
      </c>
      <c r="K661" s="25">
        <f>'PFAS Properties'!$P$42</f>
        <v>299.9502</v>
      </c>
      <c r="L661" s="2">
        <f>'PFAS Properties'!$X$42</f>
        <v>0.1</v>
      </c>
      <c r="M661" s="2" t="str">
        <f>'PFAS Properties'!$Y$42</f>
        <v>-</v>
      </c>
      <c r="N661" s="33">
        <v>0</v>
      </c>
      <c r="O661" s="33">
        <v>0</v>
      </c>
      <c r="P661" s="33">
        <v>0</v>
      </c>
      <c r="Q661" s="33">
        <f t="shared" si="358"/>
        <v>0.99999994988127916</v>
      </c>
      <c r="R661" s="33">
        <v>0</v>
      </c>
      <c r="S661" s="33">
        <f t="shared" si="359"/>
        <v>5.0118720850840682E-8</v>
      </c>
      <c r="T661" s="8">
        <f t="shared" si="306"/>
        <v>1</v>
      </c>
      <c r="U661" s="33">
        <f t="shared" si="307"/>
        <v>0</v>
      </c>
      <c r="V661" s="33">
        <f t="shared" si="308"/>
        <v>-0.99999994988127916</v>
      </c>
      <c r="W661" s="33">
        <f t="shared" si="309"/>
        <v>298.95020005011872</v>
      </c>
      <c r="X661" s="33">
        <v>96485</v>
      </c>
      <c r="Y661" s="16">
        <f t="shared" si="310"/>
        <v>-322.74604649242445</v>
      </c>
      <c r="Z661" s="16">
        <v>4</v>
      </c>
      <c r="AA661" s="16">
        <v>9</v>
      </c>
      <c r="AB661" s="8">
        <f t="shared" si="311"/>
        <v>0.2807017543859649</v>
      </c>
      <c r="AC661" s="16">
        <f t="shared" si="349"/>
        <v>57.009463570952775</v>
      </c>
      <c r="AD661" s="20">
        <f>'PFAS Properties'!$W$42</f>
        <v>4</v>
      </c>
      <c r="AE661" s="8">
        <f>'PFAS Properties'!$S$42</f>
        <v>5.53655844257153</v>
      </c>
      <c r="AF661" s="2">
        <f>'PFAS Properties'!$V$42</f>
        <v>2.2999999999999998</v>
      </c>
      <c r="AG661" s="24">
        <v>7.4</v>
      </c>
      <c r="AH661" s="2" t="s">
        <v>183</v>
      </c>
      <c r="AI661" s="2" t="s">
        <v>661</v>
      </c>
      <c r="AJ661" s="2" t="s">
        <v>661</v>
      </c>
      <c r="AK661" s="2" t="s">
        <v>661</v>
      </c>
      <c r="AL661" s="2" t="s">
        <v>661</v>
      </c>
      <c r="AM661" s="2" t="s">
        <v>661</v>
      </c>
      <c r="AN661" s="2" t="s">
        <v>661</v>
      </c>
      <c r="AO661" s="2" t="s">
        <v>661</v>
      </c>
      <c r="AP661" s="15">
        <v>29.6</v>
      </c>
      <c r="AQ661" s="2" t="s">
        <v>661</v>
      </c>
      <c r="AR661" s="16">
        <v>39.799999999999997</v>
      </c>
      <c r="AS661" s="16">
        <v>7.7</v>
      </c>
      <c r="AT661" s="16">
        <v>52.5</v>
      </c>
      <c r="AU661" s="2" t="s">
        <v>661</v>
      </c>
      <c r="AV661" s="16">
        <f t="shared" si="356"/>
        <v>100</v>
      </c>
      <c r="AW661" s="20">
        <v>2.23</v>
      </c>
      <c r="AX661" s="8">
        <f t="shared" si="354"/>
        <v>2.23E-2</v>
      </c>
      <c r="AY661" s="8" t="s">
        <v>184</v>
      </c>
      <c r="AZ661" s="16">
        <f t="shared" si="360"/>
        <v>100</v>
      </c>
      <c r="BA661" s="16" t="s">
        <v>55</v>
      </c>
      <c r="BB661" s="16">
        <v>5</v>
      </c>
      <c r="BC661" s="16" t="s">
        <v>55</v>
      </c>
      <c r="BD661" s="20">
        <v>0.34</v>
      </c>
      <c r="BE661" s="15">
        <f t="shared" si="346"/>
        <v>15.24663677130045</v>
      </c>
      <c r="BF661" s="15">
        <f t="shared" si="313"/>
        <v>1.1831740539940945</v>
      </c>
      <c r="BG661" s="8">
        <f t="shared" si="347"/>
        <v>-0.46852108295774486</v>
      </c>
      <c r="BH661" s="13" t="s">
        <v>345</v>
      </c>
      <c r="BI661" s="2"/>
      <c r="BJ661" s="2"/>
      <c r="BK661" s="2"/>
      <c r="BL661" s="2"/>
      <c r="BM661" s="20"/>
      <c r="BN661" s="20"/>
      <c r="BO661" s="2"/>
    </row>
    <row r="662" spans="1:67" s="14" customFormat="1" x14ac:dyDescent="0.3">
      <c r="A662" s="20">
        <v>660</v>
      </c>
      <c r="B662" s="2" t="s">
        <v>181</v>
      </c>
      <c r="C662" s="2">
        <v>2020</v>
      </c>
      <c r="D662" s="2" t="s">
        <v>203</v>
      </c>
      <c r="E662" s="10" t="s">
        <v>787</v>
      </c>
      <c r="F662" s="20" t="s">
        <v>29</v>
      </c>
      <c r="G662" s="2" t="s">
        <v>60</v>
      </c>
      <c r="H662" s="2" t="str">
        <f>'PFAS Properties'!$B$42</f>
        <v>PFBS</v>
      </c>
      <c r="I662" s="2" t="str">
        <f>'PFAS Properties'!$C$42</f>
        <v>PFSA</v>
      </c>
      <c r="J662" s="2" t="str">
        <f>'PFAS Properties'!$D$42</f>
        <v>C4HF9O3S</v>
      </c>
      <c r="K662" s="25">
        <f>'PFAS Properties'!$P$42</f>
        <v>299.9502</v>
      </c>
      <c r="L662" s="2">
        <f>'PFAS Properties'!$X$42</f>
        <v>0.1</v>
      </c>
      <c r="M662" s="2" t="str">
        <f>'PFAS Properties'!$Y$42</f>
        <v>-</v>
      </c>
      <c r="N662" s="33">
        <v>0</v>
      </c>
      <c r="O662" s="33">
        <v>0</v>
      </c>
      <c r="P662" s="33">
        <v>0</v>
      </c>
      <c r="Q662" s="33">
        <f t="shared" si="358"/>
        <v>0.99999997488113634</v>
      </c>
      <c r="R662" s="33">
        <v>0</v>
      </c>
      <c r="S662" s="33">
        <f t="shared" si="359"/>
        <v>2.5118863684138424E-8</v>
      </c>
      <c r="T662" s="8">
        <f t="shared" si="306"/>
        <v>1</v>
      </c>
      <c r="U662" s="33">
        <f t="shared" si="307"/>
        <v>0</v>
      </c>
      <c r="V662" s="33">
        <f t="shared" si="308"/>
        <v>-0.99999997488113634</v>
      </c>
      <c r="W662" s="33">
        <f t="shared" si="309"/>
        <v>298.95020002511887</v>
      </c>
      <c r="X662" s="33">
        <v>96485</v>
      </c>
      <c r="Y662" s="16">
        <f t="shared" si="310"/>
        <v>-322.74605458801977</v>
      </c>
      <c r="Z662" s="16">
        <v>4</v>
      </c>
      <c r="AA662" s="16">
        <v>9</v>
      </c>
      <c r="AB662" s="8">
        <f t="shared" si="311"/>
        <v>0.2807017543859649</v>
      </c>
      <c r="AC662" s="16">
        <f t="shared" si="349"/>
        <v>57.009463570952775</v>
      </c>
      <c r="AD662" s="20">
        <f>'PFAS Properties'!$W$42</f>
        <v>4</v>
      </c>
      <c r="AE662" s="8">
        <f>'PFAS Properties'!$S$42</f>
        <v>5.53655844257153</v>
      </c>
      <c r="AF662" s="2">
        <f>'PFAS Properties'!$V$42</f>
        <v>2.2999999999999998</v>
      </c>
      <c r="AG662" s="24">
        <v>7.7</v>
      </c>
      <c r="AH662" s="2" t="s">
        <v>183</v>
      </c>
      <c r="AI662" s="2" t="s">
        <v>661</v>
      </c>
      <c r="AJ662" s="2" t="s">
        <v>661</v>
      </c>
      <c r="AK662" s="2" t="s">
        <v>661</v>
      </c>
      <c r="AL662" s="2" t="s">
        <v>661</v>
      </c>
      <c r="AM662" s="2" t="s">
        <v>661</v>
      </c>
      <c r="AN662" s="2" t="s">
        <v>661</v>
      </c>
      <c r="AO662" s="2" t="s">
        <v>661</v>
      </c>
      <c r="AP662" s="15">
        <v>21.63</v>
      </c>
      <c r="AQ662" s="2" t="s">
        <v>661</v>
      </c>
      <c r="AR662" s="16">
        <v>70</v>
      </c>
      <c r="AS662" s="16">
        <v>11</v>
      </c>
      <c r="AT662" s="16">
        <v>19</v>
      </c>
      <c r="AU662" s="2" t="s">
        <v>661</v>
      </c>
      <c r="AV662" s="16">
        <f t="shared" si="356"/>
        <v>100</v>
      </c>
      <c r="AW662" s="20">
        <v>4.9000000000000004</v>
      </c>
      <c r="AX662" s="8">
        <f t="shared" si="354"/>
        <v>4.9000000000000002E-2</v>
      </c>
      <c r="AY662" s="8" t="s">
        <v>184</v>
      </c>
      <c r="AZ662" s="16">
        <f t="shared" si="360"/>
        <v>100</v>
      </c>
      <c r="BA662" s="16" t="s">
        <v>55</v>
      </c>
      <c r="BB662" s="16">
        <v>5</v>
      </c>
      <c r="BC662" s="16" t="s">
        <v>55</v>
      </c>
      <c r="BD662" s="20">
        <v>0.5</v>
      </c>
      <c r="BE662" s="15">
        <f t="shared" si="346"/>
        <v>10.204081632653061</v>
      </c>
      <c r="BF662" s="15">
        <f t="shared" si="313"/>
        <v>1.0087739243075051</v>
      </c>
      <c r="BG662" s="8">
        <f t="shared" si="347"/>
        <v>-0.3010299956639812</v>
      </c>
      <c r="BH662" s="13" t="s">
        <v>345</v>
      </c>
      <c r="BI662" s="2"/>
      <c r="BJ662" s="2"/>
      <c r="BK662" s="2"/>
      <c r="BL662" s="2"/>
      <c r="BM662" s="20"/>
      <c r="BN662" s="20"/>
      <c r="BO662" s="2"/>
    </row>
    <row r="663" spans="1:67" s="14" customFormat="1" x14ac:dyDescent="0.3">
      <c r="A663" s="20">
        <v>661</v>
      </c>
      <c r="B663" s="2" t="s">
        <v>181</v>
      </c>
      <c r="C663" s="2">
        <v>2020</v>
      </c>
      <c r="D663" s="2" t="s">
        <v>203</v>
      </c>
      <c r="E663" s="10" t="s">
        <v>787</v>
      </c>
      <c r="F663" s="20" t="s">
        <v>29</v>
      </c>
      <c r="G663" s="2" t="s">
        <v>77</v>
      </c>
      <c r="H663" s="2" t="str">
        <f>'PFAS Properties'!$B$42</f>
        <v>PFBS</v>
      </c>
      <c r="I663" s="2" t="str">
        <f>'PFAS Properties'!$C$42</f>
        <v>PFSA</v>
      </c>
      <c r="J663" s="2" t="str">
        <f>'PFAS Properties'!$D$42</f>
        <v>C4HF9O3S</v>
      </c>
      <c r="K663" s="25">
        <f>'PFAS Properties'!$P$42</f>
        <v>299.9502</v>
      </c>
      <c r="L663" s="2">
        <f>'PFAS Properties'!$X$42</f>
        <v>0.1</v>
      </c>
      <c r="M663" s="2" t="str">
        <f>'PFAS Properties'!$Y$42</f>
        <v>-</v>
      </c>
      <c r="N663" s="33">
        <v>0</v>
      </c>
      <c r="O663" s="33">
        <v>0</v>
      </c>
      <c r="P663" s="33">
        <v>0</v>
      </c>
      <c r="Q663" s="33">
        <f t="shared" si="358"/>
        <v>0.99999997488113634</v>
      </c>
      <c r="R663" s="33">
        <v>0</v>
      </c>
      <c r="S663" s="33">
        <f t="shared" si="359"/>
        <v>2.5118863684138424E-8</v>
      </c>
      <c r="T663" s="8">
        <f t="shared" si="306"/>
        <v>1</v>
      </c>
      <c r="U663" s="33">
        <f t="shared" si="307"/>
        <v>0</v>
      </c>
      <c r="V663" s="33">
        <f t="shared" si="308"/>
        <v>-0.99999997488113634</v>
      </c>
      <c r="W663" s="33">
        <f t="shared" si="309"/>
        <v>298.95020002511887</v>
      </c>
      <c r="X663" s="33">
        <v>96485</v>
      </c>
      <c r="Y663" s="16">
        <f t="shared" si="310"/>
        <v>-322.74605458801977</v>
      </c>
      <c r="Z663" s="16">
        <v>4</v>
      </c>
      <c r="AA663" s="16">
        <v>9</v>
      </c>
      <c r="AB663" s="8">
        <f t="shared" si="311"/>
        <v>0.2807017543859649</v>
      </c>
      <c r="AC663" s="16">
        <f t="shared" si="349"/>
        <v>57.009463570952775</v>
      </c>
      <c r="AD663" s="20">
        <f>'PFAS Properties'!$W$42</f>
        <v>4</v>
      </c>
      <c r="AE663" s="8">
        <f>'PFAS Properties'!$S$42</f>
        <v>5.53655844257153</v>
      </c>
      <c r="AF663" s="2">
        <f>'PFAS Properties'!$V$42</f>
        <v>2.2999999999999998</v>
      </c>
      <c r="AG663" s="24">
        <v>7.7</v>
      </c>
      <c r="AH663" s="2" t="s">
        <v>183</v>
      </c>
      <c r="AI663" s="2" t="s">
        <v>661</v>
      </c>
      <c r="AJ663" s="2" t="s">
        <v>661</v>
      </c>
      <c r="AK663" s="2" t="s">
        <v>661</v>
      </c>
      <c r="AL663" s="2" t="s">
        <v>661</v>
      </c>
      <c r="AM663" s="2" t="s">
        <v>661</v>
      </c>
      <c r="AN663" s="2" t="s">
        <v>661</v>
      </c>
      <c r="AO663" s="2" t="s">
        <v>661</v>
      </c>
      <c r="AP663" s="15">
        <v>7.8</v>
      </c>
      <c r="AQ663" s="2" t="s">
        <v>661</v>
      </c>
      <c r="AR663" s="16">
        <v>48.9</v>
      </c>
      <c r="AS663" s="16">
        <v>32.6</v>
      </c>
      <c r="AT663" s="16">
        <v>18.5</v>
      </c>
      <c r="AU663" s="2" t="s">
        <v>661</v>
      </c>
      <c r="AV663" s="16">
        <f t="shared" si="356"/>
        <v>100</v>
      </c>
      <c r="AW663" s="20">
        <v>0.13</v>
      </c>
      <c r="AX663" s="8">
        <f t="shared" si="354"/>
        <v>1.2999999999999999E-3</v>
      </c>
      <c r="AY663" s="8" t="s">
        <v>184</v>
      </c>
      <c r="AZ663" s="16">
        <f t="shared" si="360"/>
        <v>100</v>
      </c>
      <c r="BA663" s="16" t="s">
        <v>55</v>
      </c>
      <c r="BB663" s="16">
        <v>5</v>
      </c>
      <c r="BC663" s="16" t="s">
        <v>55</v>
      </c>
      <c r="BD663" s="20">
        <v>0.2</v>
      </c>
      <c r="BE663" s="15">
        <f t="shared" si="346"/>
        <v>153.84615384615387</v>
      </c>
      <c r="BF663" s="15">
        <f t="shared" si="313"/>
        <v>2.1870866433571443</v>
      </c>
      <c r="BG663" s="8">
        <f t="shared" si="347"/>
        <v>-0.69897000433601875</v>
      </c>
      <c r="BH663" s="13" t="s">
        <v>345</v>
      </c>
      <c r="BI663" s="2"/>
      <c r="BJ663" s="2"/>
      <c r="BK663" s="2"/>
      <c r="BL663" s="2"/>
      <c r="BM663" s="20"/>
      <c r="BN663" s="20"/>
      <c r="BO663" s="2"/>
    </row>
    <row r="664" spans="1:67" s="14" customFormat="1" x14ac:dyDescent="0.3">
      <c r="A664" s="20">
        <v>662</v>
      </c>
      <c r="B664" s="2" t="s">
        <v>181</v>
      </c>
      <c r="C664" s="2">
        <v>2020</v>
      </c>
      <c r="D664" s="2" t="s">
        <v>203</v>
      </c>
      <c r="E664" s="10" t="s">
        <v>787</v>
      </c>
      <c r="F664" s="20" t="s">
        <v>29</v>
      </c>
      <c r="G664" s="2" t="s">
        <v>182</v>
      </c>
      <c r="H664" s="2" t="str">
        <f>'PFAS Properties'!$B$42</f>
        <v>PFBS</v>
      </c>
      <c r="I664" s="2" t="str">
        <f>'PFAS Properties'!$C$42</f>
        <v>PFSA</v>
      </c>
      <c r="J664" s="2" t="str">
        <f>'PFAS Properties'!$D$42</f>
        <v>C4HF9O3S</v>
      </c>
      <c r="K664" s="25">
        <f>'PFAS Properties'!$P$42</f>
        <v>299.9502</v>
      </c>
      <c r="L664" s="2">
        <f>'PFAS Properties'!$X$42</f>
        <v>0.1</v>
      </c>
      <c r="M664" s="2" t="str">
        <f>'PFAS Properties'!$Y$42</f>
        <v>-</v>
      </c>
      <c r="N664" s="33">
        <v>0</v>
      </c>
      <c r="O664" s="33">
        <v>0</v>
      </c>
      <c r="P664" s="33">
        <v>0</v>
      </c>
      <c r="Q664" s="33">
        <f t="shared" si="358"/>
        <v>0.9999999601892845</v>
      </c>
      <c r="R664" s="33">
        <v>0</v>
      </c>
      <c r="S664" s="33">
        <f t="shared" si="359"/>
        <v>3.9810715470456442E-8</v>
      </c>
      <c r="T664" s="8">
        <f t="shared" si="306"/>
        <v>1</v>
      </c>
      <c r="U664" s="33">
        <f t="shared" si="307"/>
        <v>0</v>
      </c>
      <c r="V664" s="33">
        <f t="shared" si="308"/>
        <v>-0.9999999601892845</v>
      </c>
      <c r="W664" s="33">
        <f t="shared" si="309"/>
        <v>298.95020003981068</v>
      </c>
      <c r="X664" s="33">
        <v>96485</v>
      </c>
      <c r="Y664" s="16">
        <f t="shared" si="310"/>
        <v>-322.74604983042116</v>
      </c>
      <c r="Z664" s="16">
        <v>4</v>
      </c>
      <c r="AA664" s="16">
        <v>9</v>
      </c>
      <c r="AB664" s="8">
        <f t="shared" si="311"/>
        <v>0.2807017543859649</v>
      </c>
      <c r="AC664" s="16">
        <f t="shared" si="349"/>
        <v>57.009463570952775</v>
      </c>
      <c r="AD664" s="20">
        <f>'PFAS Properties'!$W$42</f>
        <v>4</v>
      </c>
      <c r="AE664" s="8">
        <f>'PFAS Properties'!$S$42</f>
        <v>5.53655844257153</v>
      </c>
      <c r="AF664" s="2">
        <f>'PFAS Properties'!$V$42</f>
        <v>2.2999999999999998</v>
      </c>
      <c r="AG664" s="24">
        <v>7.5</v>
      </c>
      <c r="AH664" s="2" t="s">
        <v>183</v>
      </c>
      <c r="AI664" s="2" t="s">
        <v>661</v>
      </c>
      <c r="AJ664" s="2" t="s">
        <v>661</v>
      </c>
      <c r="AK664" s="2" t="s">
        <v>661</v>
      </c>
      <c r="AL664" s="2" t="s">
        <v>661</v>
      </c>
      <c r="AM664" s="2" t="s">
        <v>661</v>
      </c>
      <c r="AN664" s="2" t="s">
        <v>661</v>
      </c>
      <c r="AO664" s="2" t="s">
        <v>661</v>
      </c>
      <c r="AP664" s="15">
        <v>2.2799999999999998</v>
      </c>
      <c r="AQ664" s="2" t="s">
        <v>661</v>
      </c>
      <c r="AR664" s="16">
        <v>93</v>
      </c>
      <c r="AS664" s="16">
        <v>1</v>
      </c>
      <c r="AT664" s="16">
        <v>5</v>
      </c>
      <c r="AU664" s="2" t="s">
        <v>661</v>
      </c>
      <c r="AV664" s="16">
        <f t="shared" si="356"/>
        <v>99</v>
      </c>
      <c r="AW664" s="20">
        <v>0.4</v>
      </c>
      <c r="AX664" s="8">
        <f t="shared" si="354"/>
        <v>4.0000000000000001E-3</v>
      </c>
      <c r="AY664" s="8" t="s">
        <v>184</v>
      </c>
      <c r="AZ664" s="16">
        <f t="shared" si="360"/>
        <v>100</v>
      </c>
      <c r="BA664" s="16" t="s">
        <v>55</v>
      </c>
      <c r="BB664" s="16">
        <v>5</v>
      </c>
      <c r="BC664" s="16" t="s">
        <v>55</v>
      </c>
      <c r="BD664" s="20">
        <v>0.05</v>
      </c>
      <c r="BE664" s="15">
        <f t="shared" si="346"/>
        <v>12.5</v>
      </c>
      <c r="BF664" s="15">
        <f t="shared" si="313"/>
        <v>1.0969100130080565</v>
      </c>
      <c r="BG664" s="8">
        <f t="shared" si="347"/>
        <v>-1.3010299956639813</v>
      </c>
      <c r="BH664" s="13" t="s">
        <v>345</v>
      </c>
      <c r="BI664" s="2"/>
      <c r="BJ664" s="2"/>
      <c r="BK664" s="2"/>
      <c r="BL664" s="2"/>
      <c r="BM664" s="20"/>
      <c r="BN664" s="20"/>
      <c r="BO664" s="2"/>
    </row>
    <row r="665" spans="1:67" s="14" customFormat="1" x14ac:dyDescent="0.3">
      <c r="A665" s="20">
        <v>663</v>
      </c>
      <c r="B665" s="2" t="s">
        <v>181</v>
      </c>
      <c r="C665" s="2">
        <v>2020</v>
      </c>
      <c r="D665" s="2" t="s">
        <v>203</v>
      </c>
      <c r="E665" s="10" t="s">
        <v>787</v>
      </c>
      <c r="F665" s="20" t="s">
        <v>29</v>
      </c>
      <c r="G665" s="2" t="s">
        <v>78</v>
      </c>
      <c r="H665" s="2" t="str">
        <f>'PFAS Properties'!$B$42</f>
        <v>PFBS</v>
      </c>
      <c r="I665" s="2" t="str">
        <f>'PFAS Properties'!$C$42</f>
        <v>PFSA</v>
      </c>
      <c r="J665" s="2" t="str">
        <f>'PFAS Properties'!$D$42</f>
        <v>C4HF9O3S</v>
      </c>
      <c r="K665" s="25">
        <f>'PFAS Properties'!$P$42</f>
        <v>299.9502</v>
      </c>
      <c r="L665" s="2">
        <f>'PFAS Properties'!$X$42</f>
        <v>0.1</v>
      </c>
      <c r="M665" s="2" t="str">
        <f>'PFAS Properties'!$Y$42</f>
        <v>-</v>
      </c>
      <c r="N665" s="33">
        <v>0</v>
      </c>
      <c r="O665" s="33">
        <v>0</v>
      </c>
      <c r="P665" s="33">
        <v>0</v>
      </c>
      <c r="Q665" s="33">
        <f t="shared" si="358"/>
        <v>0.99999990000001004</v>
      </c>
      <c r="R665" s="33">
        <v>0</v>
      </c>
      <c r="S665" s="33">
        <f t="shared" si="359"/>
        <v>9.9999990000001005E-8</v>
      </c>
      <c r="T665" s="8">
        <f t="shared" si="306"/>
        <v>1</v>
      </c>
      <c r="U665" s="33">
        <f t="shared" si="307"/>
        <v>0</v>
      </c>
      <c r="V665" s="33">
        <f t="shared" si="308"/>
        <v>-0.99999990000001004</v>
      </c>
      <c r="W665" s="33">
        <f t="shared" si="309"/>
        <v>298.95020009999996</v>
      </c>
      <c r="X665" s="33">
        <v>96485</v>
      </c>
      <c r="Y665" s="16">
        <f t="shared" si="310"/>
        <v>-322.74603033958959</v>
      </c>
      <c r="Z665" s="16">
        <v>4</v>
      </c>
      <c r="AA665" s="16">
        <v>9</v>
      </c>
      <c r="AB665" s="8">
        <f t="shared" si="311"/>
        <v>0.2807017543859649</v>
      </c>
      <c r="AC665" s="16">
        <f t="shared" si="349"/>
        <v>57.009463570952775</v>
      </c>
      <c r="AD665" s="20">
        <f>'PFAS Properties'!$W$42</f>
        <v>4</v>
      </c>
      <c r="AE665" s="8">
        <f>'PFAS Properties'!$S$42</f>
        <v>5.53655844257153</v>
      </c>
      <c r="AF665" s="2">
        <f>'PFAS Properties'!$V$42</f>
        <v>2.2999999999999998</v>
      </c>
      <c r="AG665" s="24">
        <v>7.1</v>
      </c>
      <c r="AH665" s="2" t="s">
        <v>183</v>
      </c>
      <c r="AI665" s="2" t="s">
        <v>661</v>
      </c>
      <c r="AJ665" s="2" t="s">
        <v>661</v>
      </c>
      <c r="AK665" s="2" t="s">
        <v>661</v>
      </c>
      <c r="AL665" s="2" t="s">
        <v>661</v>
      </c>
      <c r="AM665" s="2" t="s">
        <v>661</v>
      </c>
      <c r="AN665" s="2" t="s">
        <v>661</v>
      </c>
      <c r="AO665" s="2" t="s">
        <v>661</v>
      </c>
      <c r="AP665" s="15">
        <v>17.420000000000002</v>
      </c>
      <c r="AQ665" s="2" t="s">
        <v>661</v>
      </c>
      <c r="AR665" s="16">
        <v>48.86</v>
      </c>
      <c r="AS665" s="16">
        <v>16.05</v>
      </c>
      <c r="AT665" s="16">
        <v>35.090000000000003</v>
      </c>
      <c r="AU665" s="2" t="s">
        <v>661</v>
      </c>
      <c r="AV665" s="16">
        <f t="shared" si="356"/>
        <v>100</v>
      </c>
      <c r="AW665" s="20">
        <v>1.19</v>
      </c>
      <c r="AX665" s="8">
        <f t="shared" si="354"/>
        <v>1.1899999999999999E-2</v>
      </c>
      <c r="AY665" s="8" t="s">
        <v>184</v>
      </c>
      <c r="AZ665" s="16">
        <f t="shared" si="360"/>
        <v>100</v>
      </c>
      <c r="BA665" s="16" t="s">
        <v>55</v>
      </c>
      <c r="BB665" s="16">
        <v>5</v>
      </c>
      <c r="BC665" s="16" t="s">
        <v>55</v>
      </c>
      <c r="BD665" s="20">
        <v>0.24</v>
      </c>
      <c r="BE665" s="15">
        <f t="shared" si="346"/>
        <v>20.168067226890756</v>
      </c>
      <c r="BF665" s="15">
        <f t="shared" si="313"/>
        <v>1.3046642803190753</v>
      </c>
      <c r="BG665" s="8">
        <f t="shared" si="347"/>
        <v>-0.61978875828839397</v>
      </c>
      <c r="BH665" s="13" t="s">
        <v>345</v>
      </c>
      <c r="BI665" s="2"/>
      <c r="BJ665" s="2"/>
      <c r="BK665" s="2"/>
      <c r="BL665" s="2"/>
      <c r="BM665" s="20"/>
      <c r="BN665" s="20"/>
      <c r="BO665" s="2"/>
    </row>
    <row r="666" spans="1:67" s="14" customFormat="1" x14ac:dyDescent="0.3">
      <c r="A666" s="20">
        <v>664</v>
      </c>
      <c r="B666" s="2" t="s">
        <v>181</v>
      </c>
      <c r="C666" s="2">
        <v>2020</v>
      </c>
      <c r="D666" s="2" t="s">
        <v>203</v>
      </c>
      <c r="E666" s="10" t="s">
        <v>787</v>
      </c>
      <c r="F666" s="20" t="s">
        <v>29</v>
      </c>
      <c r="G666" s="2" t="s">
        <v>98</v>
      </c>
      <c r="H666" s="2" t="str">
        <f>'PFAS Properties'!$B$42</f>
        <v>PFBS</v>
      </c>
      <c r="I666" s="2" t="str">
        <f>'PFAS Properties'!$C$42</f>
        <v>PFSA</v>
      </c>
      <c r="J666" s="2" t="str">
        <f>'PFAS Properties'!$D$42</f>
        <v>C4HF9O3S</v>
      </c>
      <c r="K666" s="25">
        <f>'PFAS Properties'!$P$42</f>
        <v>299.9502</v>
      </c>
      <c r="L666" s="2">
        <f>'PFAS Properties'!$X$42</f>
        <v>0.1</v>
      </c>
      <c r="M666" s="2" t="str">
        <f>'PFAS Properties'!$Y$42</f>
        <v>-</v>
      </c>
      <c r="N666" s="33">
        <v>0</v>
      </c>
      <c r="O666" s="33">
        <v>0</v>
      </c>
      <c r="P666" s="33">
        <v>0</v>
      </c>
      <c r="Q666" s="33">
        <f t="shared" si="358"/>
        <v>0.99999949881301753</v>
      </c>
      <c r="R666" s="33">
        <v>0</v>
      </c>
      <c r="S666" s="33">
        <f t="shared" si="359"/>
        <v>5.0118698243875318E-7</v>
      </c>
      <c r="T666" s="8">
        <f t="shared" si="306"/>
        <v>1</v>
      </c>
      <c r="U666" s="33">
        <f t="shared" si="307"/>
        <v>0</v>
      </c>
      <c r="V666" s="33">
        <f t="shared" si="308"/>
        <v>-0.99999949881301753</v>
      </c>
      <c r="W666" s="33">
        <f t="shared" si="309"/>
        <v>298.95020050118694</v>
      </c>
      <c r="X666" s="33">
        <v>96485</v>
      </c>
      <c r="Y666" s="16">
        <f t="shared" si="310"/>
        <v>-322.74590042494691</v>
      </c>
      <c r="Z666" s="16">
        <v>4</v>
      </c>
      <c r="AA666" s="16">
        <v>9</v>
      </c>
      <c r="AB666" s="8">
        <f t="shared" si="311"/>
        <v>0.2807017543859649</v>
      </c>
      <c r="AC666" s="16">
        <f t="shared" si="349"/>
        <v>57.009463570952775</v>
      </c>
      <c r="AD666" s="20">
        <f>'PFAS Properties'!$W$42</f>
        <v>4</v>
      </c>
      <c r="AE666" s="8">
        <f>'PFAS Properties'!$S$42</f>
        <v>5.53655844257153</v>
      </c>
      <c r="AF666" s="2">
        <f>'PFAS Properties'!$V$42</f>
        <v>2.2999999999999998</v>
      </c>
      <c r="AG666" s="24">
        <v>6.4</v>
      </c>
      <c r="AH666" s="2" t="s">
        <v>183</v>
      </c>
      <c r="AI666" s="2" t="s">
        <v>661</v>
      </c>
      <c r="AJ666" s="2" t="s">
        <v>661</v>
      </c>
      <c r="AK666" s="2" t="s">
        <v>661</v>
      </c>
      <c r="AL666" s="2" t="s">
        <v>661</v>
      </c>
      <c r="AM666" s="2" t="s">
        <v>661</v>
      </c>
      <c r="AN666" s="2" t="s">
        <v>661</v>
      </c>
      <c r="AO666" s="2" t="s">
        <v>661</v>
      </c>
      <c r="AP666" s="15">
        <v>16.54</v>
      </c>
      <c r="AQ666" s="2" t="s">
        <v>661</v>
      </c>
      <c r="AR666" s="16">
        <v>29.38</v>
      </c>
      <c r="AS666" s="16">
        <v>13.9</v>
      </c>
      <c r="AT666" s="16">
        <v>56.71</v>
      </c>
      <c r="AU666" s="2" t="s">
        <v>661</v>
      </c>
      <c r="AV666" s="16">
        <f t="shared" si="356"/>
        <v>99.990000000000009</v>
      </c>
      <c r="AW666" s="20">
        <v>0.17</v>
      </c>
      <c r="AX666" s="8">
        <f t="shared" si="354"/>
        <v>1.7000000000000001E-3</v>
      </c>
      <c r="AY666" s="8" t="s">
        <v>184</v>
      </c>
      <c r="AZ666" s="16">
        <f t="shared" si="360"/>
        <v>100</v>
      </c>
      <c r="BA666" s="16" t="s">
        <v>55</v>
      </c>
      <c r="BB666" s="16">
        <v>5</v>
      </c>
      <c r="BC666" s="16" t="s">
        <v>55</v>
      </c>
      <c r="BD666" s="20">
        <v>0.31</v>
      </c>
      <c r="BE666" s="15">
        <f t="shared" si="346"/>
        <v>182.35294117647058</v>
      </c>
      <c r="BF666" s="15">
        <f t="shared" si="313"/>
        <v>2.2609127724559985</v>
      </c>
      <c r="BG666" s="8">
        <f t="shared" si="347"/>
        <v>-0.50863830616572736</v>
      </c>
      <c r="BH666" s="13" t="s">
        <v>345</v>
      </c>
      <c r="BI666" s="2"/>
      <c r="BJ666" s="2"/>
      <c r="BK666" s="2"/>
      <c r="BL666" s="2"/>
      <c r="BM666" s="20"/>
      <c r="BN666" s="20"/>
      <c r="BO666" s="2"/>
    </row>
    <row r="667" spans="1:67" s="14" customFormat="1" x14ac:dyDescent="0.3">
      <c r="A667" s="20">
        <v>665</v>
      </c>
      <c r="B667" s="2" t="s">
        <v>214</v>
      </c>
      <c r="C667" s="2">
        <v>2022</v>
      </c>
      <c r="D667" s="2" t="s">
        <v>201</v>
      </c>
      <c r="E667" s="22" t="s">
        <v>808</v>
      </c>
      <c r="F667" s="20" t="s">
        <v>29</v>
      </c>
      <c r="G667" s="2" t="s">
        <v>215</v>
      </c>
      <c r="H667" s="2" t="str">
        <f>'PFAS Properties'!$B$42</f>
        <v>PFBS</v>
      </c>
      <c r="I667" s="2" t="str">
        <f>'PFAS Properties'!$C$42</f>
        <v>PFSA</v>
      </c>
      <c r="J667" s="2" t="str">
        <f>'PFAS Properties'!$D$42</f>
        <v>C4HF9O3S</v>
      </c>
      <c r="K667" s="25">
        <f>'PFAS Properties'!$P$42</f>
        <v>299.9502</v>
      </c>
      <c r="L667" s="2">
        <f>'PFAS Properties'!$X$42</f>
        <v>0.1</v>
      </c>
      <c r="M667" s="2" t="str">
        <f>'PFAS Properties'!$Y$42</f>
        <v>-</v>
      </c>
      <c r="N667" s="33">
        <v>0</v>
      </c>
      <c r="O667" s="33">
        <v>0</v>
      </c>
      <c r="P667" s="33">
        <v>0</v>
      </c>
      <c r="Q667" s="33">
        <f t="shared" si="358"/>
        <v>0.99998004777494953</v>
      </c>
      <c r="R667" s="33">
        <v>0</v>
      </c>
      <c r="S667" s="33">
        <f t="shared" si="359"/>
        <v>1.9952225050461341E-5</v>
      </c>
      <c r="T667" s="8">
        <f t="shared" si="306"/>
        <v>1</v>
      </c>
      <c r="U667" s="33">
        <f t="shared" si="307"/>
        <v>0</v>
      </c>
      <c r="V667" s="33">
        <f t="shared" si="308"/>
        <v>-0.99998004777494953</v>
      </c>
      <c r="W667" s="33">
        <f t="shared" si="309"/>
        <v>298.95021995222504</v>
      </c>
      <c r="X667" s="33">
        <v>96485</v>
      </c>
      <c r="Y667" s="16">
        <f t="shared" si="310"/>
        <v>-322.73960168012212</v>
      </c>
      <c r="Z667" s="16">
        <v>4</v>
      </c>
      <c r="AA667" s="16">
        <v>9</v>
      </c>
      <c r="AB667" s="8">
        <f t="shared" si="311"/>
        <v>0.2807017543859649</v>
      </c>
      <c r="AC667" s="16">
        <f t="shared" si="349"/>
        <v>57.009463570952775</v>
      </c>
      <c r="AD667" s="20">
        <f>'PFAS Properties'!$W$42</f>
        <v>4</v>
      </c>
      <c r="AE667" s="8">
        <f>'PFAS Properties'!$S$42</f>
        <v>5.53655844257153</v>
      </c>
      <c r="AF667" s="2">
        <f>'PFAS Properties'!$V$42</f>
        <v>2.2999999999999998</v>
      </c>
      <c r="AG667" s="24">
        <v>4.8</v>
      </c>
      <c r="AH667" s="2" t="s">
        <v>216</v>
      </c>
      <c r="AI667" s="2">
        <v>8.3000000000000007</v>
      </c>
      <c r="AJ667" s="15">
        <f>AI667*1000/55.845</f>
        <v>148.62566030978601</v>
      </c>
      <c r="AK667" s="15">
        <f>AI667/10</f>
        <v>0.83000000000000007</v>
      </c>
      <c r="AL667" s="15">
        <v>7.85</v>
      </c>
      <c r="AM667" s="15">
        <f>AL667*1000/26.98</f>
        <v>290.95626389918459</v>
      </c>
      <c r="AN667" s="15">
        <f>AL667/10</f>
        <v>0.78499999999999992</v>
      </c>
      <c r="AO667" s="15" t="s">
        <v>217</v>
      </c>
      <c r="AP667" s="72">
        <v>15.34083666666667</v>
      </c>
      <c r="AQ667" s="70" t="s">
        <v>752</v>
      </c>
      <c r="AR667" s="16">
        <v>32</v>
      </c>
      <c r="AS667" s="16">
        <v>40</v>
      </c>
      <c r="AT667" s="16">
        <v>28</v>
      </c>
      <c r="AU667" s="2" t="s">
        <v>661</v>
      </c>
      <c r="AV667" s="16">
        <f t="shared" si="356"/>
        <v>100</v>
      </c>
      <c r="AW667" s="20">
        <v>4.9000000000000004</v>
      </c>
      <c r="AX667" s="8">
        <f t="shared" si="354"/>
        <v>4.9000000000000002E-2</v>
      </c>
      <c r="AY667" s="8" t="s">
        <v>218</v>
      </c>
      <c r="AZ667" s="16">
        <f>1.5/0.075</f>
        <v>20</v>
      </c>
      <c r="BA667" s="16" t="s">
        <v>55</v>
      </c>
      <c r="BB667" s="16">
        <v>10</v>
      </c>
      <c r="BC667" s="16" t="s">
        <v>55</v>
      </c>
      <c r="BD667" s="20">
        <v>7.0000000000000007E-2</v>
      </c>
      <c r="BE667" s="15">
        <f t="shared" si="346"/>
        <v>1.4285714285714286</v>
      </c>
      <c r="BF667" s="15">
        <f t="shared" si="313"/>
        <v>0.15490195998574319</v>
      </c>
      <c r="BG667" s="8">
        <f t="shared" si="347"/>
        <v>-1.1549019599857431</v>
      </c>
      <c r="BH667" s="2" t="s">
        <v>374</v>
      </c>
      <c r="BI667" s="2"/>
      <c r="BJ667" s="2"/>
      <c r="BK667" s="2"/>
      <c r="BL667" s="2"/>
      <c r="BM667" s="20"/>
      <c r="BN667" s="20"/>
      <c r="BO667" s="2"/>
    </row>
    <row r="668" spans="1:67" s="14" customFormat="1" x14ac:dyDescent="0.3">
      <c r="A668" s="20">
        <v>666</v>
      </c>
      <c r="B668" s="2" t="s">
        <v>214</v>
      </c>
      <c r="C668" s="2">
        <v>2022</v>
      </c>
      <c r="D668" s="2" t="s">
        <v>201</v>
      </c>
      <c r="E668" s="10" t="s">
        <v>808</v>
      </c>
      <c r="F668" s="20" t="s">
        <v>29</v>
      </c>
      <c r="G668" s="2" t="s">
        <v>233</v>
      </c>
      <c r="H668" s="2" t="str">
        <f>'PFAS Properties'!$B$42</f>
        <v>PFBS</v>
      </c>
      <c r="I668" s="2" t="str">
        <f>'PFAS Properties'!$C$42</f>
        <v>PFSA</v>
      </c>
      <c r="J668" s="2" t="str">
        <f>'PFAS Properties'!$D$42</f>
        <v>C4HF9O3S</v>
      </c>
      <c r="K668" s="25">
        <f>'PFAS Properties'!$P$42</f>
        <v>299.9502</v>
      </c>
      <c r="L668" s="2">
        <f>'PFAS Properties'!$X$42</f>
        <v>0.1</v>
      </c>
      <c r="M668" s="2" t="str">
        <f>'PFAS Properties'!$Y$42</f>
        <v>-</v>
      </c>
      <c r="N668" s="33">
        <v>0</v>
      </c>
      <c r="O668" s="33">
        <v>0</v>
      </c>
      <c r="P668" s="33">
        <v>0</v>
      </c>
      <c r="Q668" s="33">
        <f t="shared" si="358"/>
        <v>0.99999841510931942</v>
      </c>
      <c r="R668" s="33">
        <v>0</v>
      </c>
      <c r="S668" s="33">
        <f t="shared" si="359"/>
        <v>1.5848906805786579E-6</v>
      </c>
      <c r="T668" s="8">
        <f t="shared" si="306"/>
        <v>1</v>
      </c>
      <c r="U668" s="33">
        <f t="shared" si="307"/>
        <v>0</v>
      </c>
      <c r="V668" s="33">
        <f t="shared" si="308"/>
        <v>-0.99999841510931942</v>
      </c>
      <c r="W668" s="33">
        <f t="shared" si="309"/>
        <v>298.95020158489069</v>
      </c>
      <c r="X668" s="33">
        <v>96485</v>
      </c>
      <c r="Y668" s="16">
        <f t="shared" si="310"/>
        <v>-322.74554949388317</v>
      </c>
      <c r="Z668" s="16">
        <v>4</v>
      </c>
      <c r="AA668" s="16">
        <v>9</v>
      </c>
      <c r="AB668" s="8">
        <f t="shared" si="311"/>
        <v>0.2807017543859649</v>
      </c>
      <c r="AC668" s="16">
        <f t="shared" si="349"/>
        <v>57.009463570952775</v>
      </c>
      <c r="AD668" s="20">
        <f>'PFAS Properties'!$W$42</f>
        <v>4</v>
      </c>
      <c r="AE668" s="8">
        <f>'PFAS Properties'!$S$42</f>
        <v>5.53655844257153</v>
      </c>
      <c r="AF668" s="2">
        <f>'PFAS Properties'!$V$42</f>
        <v>2.2999999999999998</v>
      </c>
      <c r="AG668" s="24">
        <v>5.9</v>
      </c>
      <c r="AH668" s="2" t="s">
        <v>216</v>
      </c>
      <c r="AI668" s="2">
        <v>1.4</v>
      </c>
      <c r="AJ668" s="15">
        <f>AI668*1000/55.845</f>
        <v>25.069388485988004</v>
      </c>
      <c r="AK668" s="15">
        <f>AI668/10</f>
        <v>0.13999999999999999</v>
      </c>
      <c r="AL668" s="15">
        <v>0.92</v>
      </c>
      <c r="AM668" s="15">
        <f>AL668*1000/26.98</f>
        <v>34.099332839140104</v>
      </c>
      <c r="AN668" s="15">
        <f>AL668/10</f>
        <v>9.1999999999999998E-2</v>
      </c>
      <c r="AO668" s="15" t="s">
        <v>217</v>
      </c>
      <c r="AP668" s="72">
        <v>15.34083666666667</v>
      </c>
      <c r="AQ668" s="70" t="s">
        <v>752</v>
      </c>
      <c r="AR668" s="16">
        <v>37</v>
      </c>
      <c r="AS668" s="16">
        <v>22</v>
      </c>
      <c r="AT668" s="16">
        <v>41</v>
      </c>
      <c r="AU668" s="2" t="s">
        <v>661</v>
      </c>
      <c r="AV668" s="16">
        <f t="shared" si="356"/>
        <v>100</v>
      </c>
      <c r="AW668" s="20">
        <v>2.6</v>
      </c>
      <c r="AX668" s="8">
        <f t="shared" si="354"/>
        <v>2.6000000000000002E-2</v>
      </c>
      <c r="AY668" s="8" t="s">
        <v>218</v>
      </c>
      <c r="AZ668" s="16">
        <f>1.5/0.075</f>
        <v>20</v>
      </c>
      <c r="BA668" s="16" t="s">
        <v>55</v>
      </c>
      <c r="BB668" s="16">
        <v>10</v>
      </c>
      <c r="BC668" s="16" t="s">
        <v>55</v>
      </c>
      <c r="BD668" s="20">
        <v>0.19</v>
      </c>
      <c r="BE668" s="15">
        <f t="shared" si="346"/>
        <v>7.3076923076923075</v>
      </c>
      <c r="BF668" s="15">
        <f t="shared" si="313"/>
        <v>0.863780252982011</v>
      </c>
      <c r="BG668" s="8">
        <f t="shared" si="347"/>
        <v>-0.72124639904717103</v>
      </c>
      <c r="BH668" s="2" t="s">
        <v>378</v>
      </c>
      <c r="BI668" s="2"/>
      <c r="BJ668" s="2"/>
      <c r="BK668" s="2"/>
      <c r="BL668" s="2"/>
      <c r="BM668" s="20"/>
      <c r="BN668" s="20"/>
      <c r="BO668" s="2"/>
    </row>
    <row r="669" spans="1:67" s="14" customFormat="1" x14ac:dyDescent="0.3">
      <c r="A669" s="20">
        <v>667</v>
      </c>
      <c r="B669" s="2" t="s">
        <v>214</v>
      </c>
      <c r="C669" s="2">
        <v>2022</v>
      </c>
      <c r="D669" s="2" t="s">
        <v>201</v>
      </c>
      <c r="E669" s="10" t="s">
        <v>808</v>
      </c>
      <c r="F669" s="20" t="s">
        <v>29</v>
      </c>
      <c r="G669" s="2" t="s">
        <v>215</v>
      </c>
      <c r="H669" s="2" t="str">
        <f>'PFAS Properties'!$B$43</f>
        <v>PFPeS</v>
      </c>
      <c r="I669" s="2" t="str">
        <f>'PFAS Properties'!$C$43</f>
        <v>PFSA</v>
      </c>
      <c r="J669" s="2" t="str">
        <f>'PFAS Properties'!$D$43</f>
        <v>C5HF11O3S</v>
      </c>
      <c r="K669" s="25">
        <f>'PFAS Properties'!$P$43</f>
        <v>349.94699999999995</v>
      </c>
      <c r="L669" s="2">
        <f>'PFAS Properties'!$X$43</f>
        <v>0.1</v>
      </c>
      <c r="M669" s="2" t="str">
        <f>'PFAS Properties'!$Y$43</f>
        <v>-</v>
      </c>
      <c r="N669" s="33">
        <v>0</v>
      </c>
      <c r="O669" s="33">
        <v>0</v>
      </c>
      <c r="P669" s="33">
        <v>0</v>
      </c>
      <c r="Q669" s="33">
        <f t="shared" si="358"/>
        <v>0.99998004777494953</v>
      </c>
      <c r="R669" s="33">
        <v>0</v>
      </c>
      <c r="S669" s="33">
        <f t="shared" si="359"/>
        <v>1.9952225050461341E-5</v>
      </c>
      <c r="T669" s="8">
        <f t="shared" si="306"/>
        <v>1</v>
      </c>
      <c r="U669" s="33">
        <f t="shared" si="307"/>
        <v>0</v>
      </c>
      <c r="V669" s="33">
        <f t="shared" si="308"/>
        <v>-0.99998004777494953</v>
      </c>
      <c r="W669" s="33">
        <f t="shared" si="309"/>
        <v>348.94701995222499</v>
      </c>
      <c r="X669" s="33">
        <v>96485</v>
      </c>
      <c r="Y669" s="16">
        <f t="shared" si="310"/>
        <v>-276.497775859429</v>
      </c>
      <c r="Z669" s="16">
        <v>5</v>
      </c>
      <c r="AA669" s="16">
        <v>11</v>
      </c>
      <c r="AB669" s="8">
        <f t="shared" si="311"/>
        <v>0.28708133971291866</v>
      </c>
      <c r="AC669" s="16">
        <f t="shared" si="349"/>
        <v>59.72332953275783</v>
      </c>
      <c r="AD669" s="20">
        <f>'PFAS Properties'!$W$43</f>
        <v>5</v>
      </c>
      <c r="AE669" s="8">
        <f>'PFAS Properties'!$S$43</f>
        <v>4.6680129716418319</v>
      </c>
      <c r="AF669" s="15">
        <f>'PFAS Properties'!$V$43</f>
        <v>3</v>
      </c>
      <c r="AG669" s="24">
        <v>4.8</v>
      </c>
      <c r="AH669" s="2" t="s">
        <v>216</v>
      </c>
      <c r="AI669" s="2">
        <v>8.3000000000000007</v>
      </c>
      <c r="AJ669" s="15">
        <f>AI669*1000/55.845</f>
        <v>148.62566030978601</v>
      </c>
      <c r="AK669" s="15">
        <f>AI669/10</f>
        <v>0.83000000000000007</v>
      </c>
      <c r="AL669" s="15">
        <v>7.85</v>
      </c>
      <c r="AM669" s="15">
        <f>AL669*1000/26.98</f>
        <v>290.95626389918459</v>
      </c>
      <c r="AN669" s="15">
        <f>AL669/10</f>
        <v>0.78499999999999992</v>
      </c>
      <c r="AO669" s="15" t="s">
        <v>217</v>
      </c>
      <c r="AP669" s="72">
        <v>15.34083666666667</v>
      </c>
      <c r="AQ669" s="70" t="s">
        <v>752</v>
      </c>
      <c r="AR669" s="16">
        <v>32</v>
      </c>
      <c r="AS669" s="16">
        <v>40</v>
      </c>
      <c r="AT669" s="16">
        <v>28</v>
      </c>
      <c r="AU669" s="2" t="s">
        <v>661</v>
      </c>
      <c r="AV669" s="16">
        <f t="shared" si="356"/>
        <v>100</v>
      </c>
      <c r="AW669" s="20">
        <v>4.9000000000000004</v>
      </c>
      <c r="AX669" s="8">
        <f t="shared" si="354"/>
        <v>4.9000000000000002E-2</v>
      </c>
      <c r="AY669" s="8" t="s">
        <v>218</v>
      </c>
      <c r="AZ669" s="16">
        <f>1.5/0.075</f>
        <v>20</v>
      </c>
      <c r="BA669" s="16" t="s">
        <v>55</v>
      </c>
      <c r="BB669" s="16">
        <v>10</v>
      </c>
      <c r="BC669" s="16" t="s">
        <v>55</v>
      </c>
      <c r="BD669" s="20">
        <v>0.83</v>
      </c>
      <c r="BE669" s="15">
        <f t="shared" si="346"/>
        <v>16.938775510204081</v>
      </c>
      <c r="BF669" s="15">
        <f t="shared" si="313"/>
        <v>1.2288820123475603</v>
      </c>
      <c r="BG669" s="8">
        <f t="shared" si="347"/>
        <v>-8.092190762392612E-2</v>
      </c>
      <c r="BH669" s="2" t="s">
        <v>380</v>
      </c>
      <c r="BI669" s="2"/>
      <c r="BJ669" s="2"/>
      <c r="BK669" s="15"/>
      <c r="BL669" s="2"/>
      <c r="BM669" s="20"/>
      <c r="BN669" s="20"/>
      <c r="BO669" s="2"/>
    </row>
    <row r="670" spans="1:67" s="14" customFormat="1" x14ac:dyDescent="0.3">
      <c r="A670" s="20">
        <v>668</v>
      </c>
      <c r="B670" s="2" t="s">
        <v>214</v>
      </c>
      <c r="C670" s="2">
        <v>2022</v>
      </c>
      <c r="D670" s="2" t="s">
        <v>201</v>
      </c>
      <c r="E670" s="10" t="s">
        <v>808</v>
      </c>
      <c r="F670" s="20" t="s">
        <v>29</v>
      </c>
      <c r="G670" s="2" t="s">
        <v>233</v>
      </c>
      <c r="H670" s="2" t="str">
        <f>'PFAS Properties'!$B$43</f>
        <v>PFPeS</v>
      </c>
      <c r="I670" s="2" t="str">
        <f>'PFAS Properties'!$C$43</f>
        <v>PFSA</v>
      </c>
      <c r="J670" s="2" t="str">
        <f>'PFAS Properties'!$D$43</f>
        <v>C5HF11O3S</v>
      </c>
      <c r="K670" s="25">
        <f>'PFAS Properties'!$P$43</f>
        <v>349.94699999999995</v>
      </c>
      <c r="L670" s="2">
        <f>'PFAS Properties'!$X$43</f>
        <v>0.1</v>
      </c>
      <c r="M670" s="2" t="str">
        <f>'PFAS Properties'!$Y$43</f>
        <v>-</v>
      </c>
      <c r="N670" s="33">
        <v>0</v>
      </c>
      <c r="O670" s="33">
        <v>0</v>
      </c>
      <c r="P670" s="33">
        <v>0</v>
      </c>
      <c r="Q670" s="33">
        <f t="shared" si="358"/>
        <v>0.99999841510931942</v>
      </c>
      <c r="R670" s="33">
        <v>0</v>
      </c>
      <c r="S670" s="33">
        <f t="shared" si="359"/>
        <v>1.5848906805786579E-6</v>
      </c>
      <c r="T670" s="8">
        <f t="shared" si="306"/>
        <v>1</v>
      </c>
      <c r="U670" s="33">
        <f t="shared" si="307"/>
        <v>0</v>
      </c>
      <c r="V670" s="33">
        <f t="shared" si="308"/>
        <v>-0.99999841510931942</v>
      </c>
      <c r="W670" s="33">
        <f t="shared" si="309"/>
        <v>348.94700158489064</v>
      </c>
      <c r="X670" s="33">
        <v>96485</v>
      </c>
      <c r="Y670" s="16">
        <f t="shared" si="310"/>
        <v>-276.50286904199169</v>
      </c>
      <c r="Z670" s="16">
        <v>5</v>
      </c>
      <c r="AA670" s="16">
        <v>11</v>
      </c>
      <c r="AB670" s="8">
        <f t="shared" si="311"/>
        <v>0.28708133971291866</v>
      </c>
      <c r="AC670" s="16">
        <f t="shared" si="349"/>
        <v>59.72332953275783</v>
      </c>
      <c r="AD670" s="20">
        <f>'PFAS Properties'!$W$43</f>
        <v>5</v>
      </c>
      <c r="AE670" s="8">
        <f>'PFAS Properties'!$S$43</f>
        <v>4.6680129716418319</v>
      </c>
      <c r="AF670" s="15">
        <f>'PFAS Properties'!$V$43</f>
        <v>3</v>
      </c>
      <c r="AG670" s="24">
        <v>5.9</v>
      </c>
      <c r="AH670" s="2" t="s">
        <v>216</v>
      </c>
      <c r="AI670" s="2">
        <v>1.4</v>
      </c>
      <c r="AJ670" s="15">
        <f>AI670*1000/55.845</f>
        <v>25.069388485988004</v>
      </c>
      <c r="AK670" s="15">
        <f>AI670/10</f>
        <v>0.13999999999999999</v>
      </c>
      <c r="AL670" s="15">
        <v>0.92</v>
      </c>
      <c r="AM670" s="15">
        <f>AL670*1000/26.98</f>
        <v>34.099332839140104</v>
      </c>
      <c r="AN670" s="15">
        <f>AL670/10</f>
        <v>9.1999999999999998E-2</v>
      </c>
      <c r="AO670" s="15" t="s">
        <v>217</v>
      </c>
      <c r="AP670" s="72">
        <v>15.34083666666667</v>
      </c>
      <c r="AQ670" s="70" t="s">
        <v>752</v>
      </c>
      <c r="AR670" s="16">
        <v>37</v>
      </c>
      <c r="AS670" s="16">
        <v>22</v>
      </c>
      <c r="AT670" s="16">
        <v>41</v>
      </c>
      <c r="AU670" s="2" t="s">
        <v>661</v>
      </c>
      <c r="AV670" s="16">
        <f t="shared" si="356"/>
        <v>100</v>
      </c>
      <c r="AW670" s="20">
        <v>2.6</v>
      </c>
      <c r="AX670" s="8">
        <f t="shared" si="354"/>
        <v>2.6000000000000002E-2</v>
      </c>
      <c r="AY670" s="8" t="s">
        <v>218</v>
      </c>
      <c r="AZ670" s="16">
        <f>1.5/0.075</f>
        <v>20</v>
      </c>
      <c r="BA670" s="16" t="s">
        <v>55</v>
      </c>
      <c r="BB670" s="16">
        <v>10</v>
      </c>
      <c r="BC670" s="16" t="s">
        <v>55</v>
      </c>
      <c r="BD670" s="20">
        <v>0.54</v>
      </c>
      <c r="BE670" s="15">
        <f t="shared" si="346"/>
        <v>20.76923076923077</v>
      </c>
      <c r="BF670" s="15">
        <f t="shared" si="313"/>
        <v>1.3174204118521506</v>
      </c>
      <c r="BG670" s="8">
        <f t="shared" si="347"/>
        <v>-0.26760624017703144</v>
      </c>
      <c r="BH670" s="2" t="s">
        <v>380</v>
      </c>
      <c r="BI670" s="2"/>
      <c r="BJ670" s="2"/>
      <c r="BK670" s="15"/>
      <c r="BL670" s="2"/>
      <c r="BM670" s="20"/>
      <c r="BN670" s="20"/>
      <c r="BO670" s="2"/>
    </row>
    <row r="671" spans="1:67" s="14" customFormat="1" x14ac:dyDescent="0.3">
      <c r="A671" s="20">
        <v>669</v>
      </c>
      <c r="B671" s="2" t="s">
        <v>181</v>
      </c>
      <c r="C671" s="2">
        <v>2020</v>
      </c>
      <c r="D671" s="2" t="s">
        <v>203</v>
      </c>
      <c r="E671" s="10" t="s">
        <v>787</v>
      </c>
      <c r="F671" s="20" t="s">
        <v>29</v>
      </c>
      <c r="G671" s="2" t="s">
        <v>62</v>
      </c>
      <c r="H671" s="2" t="str">
        <f>'PFAS Properties'!$B$43</f>
        <v>PFPeS</v>
      </c>
      <c r="I671" s="2" t="str">
        <f>'PFAS Properties'!$C$43</f>
        <v>PFSA</v>
      </c>
      <c r="J671" s="2" t="str">
        <f>'PFAS Properties'!$D$43</f>
        <v>C5HF11O3S</v>
      </c>
      <c r="K671" s="25">
        <f>'PFAS Properties'!$P$43</f>
        <v>349.94699999999995</v>
      </c>
      <c r="L671" s="2">
        <f>'PFAS Properties'!$X$43</f>
        <v>0.1</v>
      </c>
      <c r="M671" s="2" t="str">
        <f>'PFAS Properties'!$Y$43</f>
        <v>-</v>
      </c>
      <c r="N671" s="33">
        <v>0</v>
      </c>
      <c r="O671" s="33">
        <v>0</v>
      </c>
      <c r="P671" s="33">
        <v>0</v>
      </c>
      <c r="Q671" s="33">
        <f t="shared" si="358"/>
        <v>0.9999999601892845</v>
      </c>
      <c r="R671" s="33">
        <v>0</v>
      </c>
      <c r="S671" s="33">
        <f t="shared" si="359"/>
        <v>3.9810715470456442E-8</v>
      </c>
      <c r="T671" s="8">
        <f t="shared" si="306"/>
        <v>1</v>
      </c>
      <c r="U671" s="33">
        <f t="shared" si="307"/>
        <v>0</v>
      </c>
      <c r="V671" s="33">
        <f t="shared" si="308"/>
        <v>-0.9999999601892845</v>
      </c>
      <c r="W671" s="33">
        <f t="shared" si="309"/>
        <v>348.94700003981069</v>
      </c>
      <c r="X671" s="33">
        <v>96485</v>
      </c>
      <c r="Y671" s="16">
        <f t="shared" si="310"/>
        <v>-276.50329748602314</v>
      </c>
      <c r="Z671" s="16">
        <v>5</v>
      </c>
      <c r="AA671" s="16">
        <v>11</v>
      </c>
      <c r="AB671" s="8">
        <f t="shared" si="311"/>
        <v>0.28708133971291866</v>
      </c>
      <c r="AC671" s="16">
        <f t="shared" si="349"/>
        <v>59.72332953275783</v>
      </c>
      <c r="AD671" s="20">
        <f>'PFAS Properties'!$W$43</f>
        <v>5</v>
      </c>
      <c r="AE671" s="8">
        <f>'PFAS Properties'!$S$43</f>
        <v>4.6680129716418319</v>
      </c>
      <c r="AF671" s="15">
        <f>'PFAS Properties'!$V$43</f>
        <v>3</v>
      </c>
      <c r="AG671" s="24">
        <v>7.5</v>
      </c>
      <c r="AH671" s="2" t="s">
        <v>183</v>
      </c>
      <c r="AI671" s="2" t="s">
        <v>661</v>
      </c>
      <c r="AJ671" s="2" t="s">
        <v>661</v>
      </c>
      <c r="AK671" s="2" t="s">
        <v>661</v>
      </c>
      <c r="AL671" s="2" t="s">
        <v>661</v>
      </c>
      <c r="AM671" s="2" t="s">
        <v>661</v>
      </c>
      <c r="AN671" s="2" t="s">
        <v>661</v>
      </c>
      <c r="AO671" s="2" t="s">
        <v>661</v>
      </c>
      <c r="AP671" s="15">
        <v>41.4</v>
      </c>
      <c r="AQ671" s="2" t="s">
        <v>661</v>
      </c>
      <c r="AR671" s="16">
        <v>16.899999999999999</v>
      </c>
      <c r="AS671" s="16">
        <v>17.5</v>
      </c>
      <c r="AT671" s="16">
        <v>65.599999999999994</v>
      </c>
      <c r="AU671" s="2" t="s">
        <v>661</v>
      </c>
      <c r="AV671" s="16">
        <f t="shared" si="356"/>
        <v>100</v>
      </c>
      <c r="AW671" s="20">
        <v>0.7</v>
      </c>
      <c r="AX671" s="8">
        <v>6.9999999999999993E-3</v>
      </c>
      <c r="AY671" s="13" t="s">
        <v>184</v>
      </c>
      <c r="AZ671" s="16">
        <v>100</v>
      </c>
      <c r="BA671" s="16" t="s">
        <v>55</v>
      </c>
      <c r="BB671" s="16">
        <v>5</v>
      </c>
      <c r="BC671" s="16" t="s">
        <v>55</v>
      </c>
      <c r="BD671" s="18">
        <v>0.46</v>
      </c>
      <c r="BE671" s="15">
        <f t="shared" si="346"/>
        <v>65.714285714285722</v>
      </c>
      <c r="BF671" s="15">
        <f t="shared" si="313"/>
        <v>1.8176597916673174</v>
      </c>
      <c r="BG671" s="8">
        <f t="shared" si="347"/>
        <v>-0.33724216831842591</v>
      </c>
      <c r="BH671" s="13" t="s">
        <v>345</v>
      </c>
      <c r="BI671" s="13"/>
      <c r="BJ671" s="13"/>
      <c r="BK671" s="15"/>
      <c r="BL671" s="13"/>
      <c r="BM671" s="17"/>
      <c r="BN671" s="17"/>
      <c r="BO671" s="2"/>
    </row>
    <row r="672" spans="1:67" s="14" customFormat="1" x14ac:dyDescent="0.3">
      <c r="A672" s="20">
        <v>670</v>
      </c>
      <c r="B672" s="2" t="s">
        <v>181</v>
      </c>
      <c r="C672" s="2">
        <v>2020</v>
      </c>
      <c r="D672" s="2" t="s">
        <v>203</v>
      </c>
      <c r="E672" s="10" t="s">
        <v>787</v>
      </c>
      <c r="F672" s="20" t="s">
        <v>29</v>
      </c>
      <c r="G672" s="2" t="s">
        <v>57</v>
      </c>
      <c r="H672" s="2" t="str">
        <f>'PFAS Properties'!$B$43</f>
        <v>PFPeS</v>
      </c>
      <c r="I672" s="2" t="str">
        <f>'PFAS Properties'!$C$43</f>
        <v>PFSA</v>
      </c>
      <c r="J672" s="2" t="str">
        <f>'PFAS Properties'!$D$43</f>
        <v>C5HF11O3S</v>
      </c>
      <c r="K672" s="25">
        <f>'PFAS Properties'!$P$43</f>
        <v>349.94699999999995</v>
      </c>
      <c r="L672" s="2">
        <f>'PFAS Properties'!$X$43</f>
        <v>0.1</v>
      </c>
      <c r="M672" s="2" t="str">
        <f>'PFAS Properties'!$Y$43</f>
        <v>-</v>
      </c>
      <c r="N672" s="33">
        <v>0</v>
      </c>
      <c r="O672" s="33">
        <v>0</v>
      </c>
      <c r="P672" s="33">
        <v>0</v>
      </c>
      <c r="Q672" s="33">
        <f t="shared" si="358"/>
        <v>0.99999980047380832</v>
      </c>
      <c r="R672" s="33">
        <v>0</v>
      </c>
      <c r="S672" s="33">
        <f t="shared" si="359"/>
        <v>1.9952619168617852E-7</v>
      </c>
      <c r="T672" s="8">
        <f t="shared" si="306"/>
        <v>1</v>
      </c>
      <c r="U672" s="33">
        <f t="shared" si="307"/>
        <v>0</v>
      </c>
      <c r="V672" s="33">
        <f t="shared" si="308"/>
        <v>-0.99999980047380832</v>
      </c>
      <c r="W672" s="33">
        <f t="shared" si="309"/>
        <v>348.94700019952614</v>
      </c>
      <c r="X672" s="33">
        <v>96485</v>
      </c>
      <c r="Y672" s="16">
        <f t="shared" si="310"/>
        <v>-276.50325319760816</v>
      </c>
      <c r="Z672" s="16">
        <v>5</v>
      </c>
      <c r="AA672" s="16">
        <v>11</v>
      </c>
      <c r="AB672" s="8">
        <f t="shared" si="311"/>
        <v>0.28708133971291866</v>
      </c>
      <c r="AC672" s="16">
        <f t="shared" si="349"/>
        <v>59.72332953275783</v>
      </c>
      <c r="AD672" s="20">
        <f>'PFAS Properties'!$W$43</f>
        <v>5</v>
      </c>
      <c r="AE672" s="8">
        <f>'PFAS Properties'!$S$43</f>
        <v>4.6680129716418319</v>
      </c>
      <c r="AF672" s="15">
        <f>'PFAS Properties'!$V$43</f>
        <v>3</v>
      </c>
      <c r="AG672" s="24">
        <v>6.8</v>
      </c>
      <c r="AH672" s="2" t="s">
        <v>183</v>
      </c>
      <c r="AI672" s="2" t="s">
        <v>661</v>
      </c>
      <c r="AJ672" s="2" t="s">
        <v>661</v>
      </c>
      <c r="AK672" s="2" t="s">
        <v>661</v>
      </c>
      <c r="AL672" s="2" t="s">
        <v>661</v>
      </c>
      <c r="AM672" s="2" t="s">
        <v>661</v>
      </c>
      <c r="AN672" s="2" t="s">
        <v>661</v>
      </c>
      <c r="AO672" s="2" t="s">
        <v>661</v>
      </c>
      <c r="AP672" s="15">
        <v>7.1</v>
      </c>
      <c r="AQ672" s="2" t="s">
        <v>661</v>
      </c>
      <c r="AR672" s="16">
        <v>48.9</v>
      </c>
      <c r="AS672" s="16">
        <v>27</v>
      </c>
      <c r="AT672" s="16">
        <v>24.2</v>
      </c>
      <c r="AU672" s="2" t="s">
        <v>661</v>
      </c>
      <c r="AV672" s="16">
        <f t="shared" si="356"/>
        <v>100.10000000000001</v>
      </c>
      <c r="AW672" s="20">
        <v>0.37</v>
      </c>
      <c r="AX672" s="8">
        <v>3.7000000000000002E-3</v>
      </c>
      <c r="AY672" s="13" t="s">
        <v>184</v>
      </c>
      <c r="AZ672" s="16">
        <v>100</v>
      </c>
      <c r="BA672" s="16" t="s">
        <v>55</v>
      </c>
      <c r="BB672" s="16">
        <v>5</v>
      </c>
      <c r="BC672" s="16" t="s">
        <v>55</v>
      </c>
      <c r="BD672" s="20">
        <v>0.4</v>
      </c>
      <c r="BE672" s="15">
        <f t="shared" si="346"/>
        <v>108.10810810810811</v>
      </c>
      <c r="BF672" s="15">
        <f t="shared" si="313"/>
        <v>2.0338582672609675</v>
      </c>
      <c r="BG672" s="8">
        <f t="shared" si="347"/>
        <v>-0.3979400086720376</v>
      </c>
      <c r="BH672" s="13" t="s">
        <v>345</v>
      </c>
      <c r="BI672" s="13"/>
      <c r="BJ672" s="13"/>
      <c r="BK672" s="15"/>
      <c r="BL672" s="13"/>
      <c r="BM672" s="17"/>
      <c r="BN672" s="17"/>
      <c r="BO672" s="2"/>
    </row>
    <row r="673" spans="1:69" s="14" customFormat="1" x14ac:dyDescent="0.3">
      <c r="A673" s="20">
        <v>671</v>
      </c>
      <c r="B673" s="2" t="s">
        <v>181</v>
      </c>
      <c r="C673" s="2">
        <v>2020</v>
      </c>
      <c r="D673" s="2" t="s">
        <v>203</v>
      </c>
      <c r="E673" s="10" t="s">
        <v>787</v>
      </c>
      <c r="F673" s="20" t="s">
        <v>29</v>
      </c>
      <c r="G673" s="2" t="s">
        <v>58</v>
      </c>
      <c r="H673" s="2" t="str">
        <f>'PFAS Properties'!$B$43</f>
        <v>PFPeS</v>
      </c>
      <c r="I673" s="2" t="str">
        <f>'PFAS Properties'!$C$43</f>
        <v>PFSA</v>
      </c>
      <c r="J673" s="2" t="str">
        <f>'PFAS Properties'!$D$43</f>
        <v>C5HF11O3S</v>
      </c>
      <c r="K673" s="25">
        <f>'PFAS Properties'!$P$43</f>
        <v>349.94699999999995</v>
      </c>
      <c r="L673" s="2">
        <f>'PFAS Properties'!$X$43</f>
        <v>0.1</v>
      </c>
      <c r="M673" s="2" t="str">
        <f>'PFAS Properties'!$Y$43</f>
        <v>-</v>
      </c>
      <c r="N673" s="33">
        <v>0</v>
      </c>
      <c r="O673" s="33">
        <v>0</v>
      </c>
      <c r="P673" s="33">
        <v>0</v>
      </c>
      <c r="Q673" s="33">
        <f t="shared" si="358"/>
        <v>0.9999992056723962</v>
      </c>
      <c r="R673" s="33">
        <v>0</v>
      </c>
      <c r="S673" s="33">
        <f t="shared" si="359"/>
        <v>7.9432760376743655E-7</v>
      </c>
      <c r="T673" s="8">
        <f t="shared" si="306"/>
        <v>1</v>
      </c>
      <c r="U673" s="33">
        <f t="shared" si="307"/>
        <v>0</v>
      </c>
      <c r="V673" s="33">
        <f t="shared" si="308"/>
        <v>-0.9999992056723962</v>
      </c>
      <c r="W673" s="33">
        <f t="shared" si="309"/>
        <v>348.94700079432755</v>
      </c>
      <c r="X673" s="33">
        <v>96485</v>
      </c>
      <c r="Y673" s="16">
        <f t="shared" si="310"/>
        <v>-276.50308826173352</v>
      </c>
      <c r="Z673" s="16">
        <v>5</v>
      </c>
      <c r="AA673" s="16">
        <v>11</v>
      </c>
      <c r="AB673" s="8">
        <f t="shared" si="311"/>
        <v>0.28708133971291866</v>
      </c>
      <c r="AC673" s="16">
        <f t="shared" si="349"/>
        <v>59.72332953275783</v>
      </c>
      <c r="AD673" s="20">
        <f>'PFAS Properties'!$W$43</f>
        <v>5</v>
      </c>
      <c r="AE673" s="8">
        <f>'PFAS Properties'!$S$43</f>
        <v>4.6680129716418319</v>
      </c>
      <c r="AF673" s="15">
        <f>'PFAS Properties'!$V$43</f>
        <v>3</v>
      </c>
      <c r="AG673" s="24">
        <v>6.2</v>
      </c>
      <c r="AH673" s="2" t="s">
        <v>183</v>
      </c>
      <c r="AI673" s="2" t="s">
        <v>661</v>
      </c>
      <c r="AJ673" s="2" t="s">
        <v>661</v>
      </c>
      <c r="AK673" s="2" t="s">
        <v>661</v>
      </c>
      <c r="AL673" s="2" t="s">
        <v>661</v>
      </c>
      <c r="AM673" s="2" t="s">
        <v>661</v>
      </c>
      <c r="AN673" s="2" t="s">
        <v>661</v>
      </c>
      <c r="AO673" s="2" t="s">
        <v>661</v>
      </c>
      <c r="AP673" s="15">
        <v>8</v>
      </c>
      <c r="AQ673" s="2" t="s">
        <v>661</v>
      </c>
      <c r="AR673" s="16">
        <v>51.44</v>
      </c>
      <c r="AS673" s="16">
        <v>10.17</v>
      </c>
      <c r="AT673" s="16">
        <v>38.380000000000003</v>
      </c>
      <c r="AU673" s="2" t="s">
        <v>661</v>
      </c>
      <c r="AV673" s="16">
        <f t="shared" si="356"/>
        <v>99.990000000000009</v>
      </c>
      <c r="AW673" s="20">
        <v>0.08</v>
      </c>
      <c r="AX673" s="8">
        <v>8.0000000000000004E-4</v>
      </c>
      <c r="AY673" s="8" t="s">
        <v>184</v>
      </c>
      <c r="AZ673" s="16">
        <v>100</v>
      </c>
      <c r="BA673" s="16" t="s">
        <v>55</v>
      </c>
      <c r="BB673" s="16">
        <v>5</v>
      </c>
      <c r="BC673" s="16" t="s">
        <v>55</v>
      </c>
      <c r="BD673" s="20">
        <v>0.28000000000000003</v>
      </c>
      <c r="BE673" s="15">
        <f t="shared" si="346"/>
        <v>350</v>
      </c>
      <c r="BF673" s="59">
        <f t="shared" si="313"/>
        <v>2.5440680443502757</v>
      </c>
      <c r="BG673" s="8">
        <f t="shared" si="347"/>
        <v>-0.55284196865778079</v>
      </c>
      <c r="BH673" s="13" t="s">
        <v>345</v>
      </c>
      <c r="BI673" s="13"/>
      <c r="BJ673" s="13"/>
      <c r="BK673" s="15"/>
      <c r="BL673" s="13"/>
      <c r="BM673" s="17"/>
      <c r="BN673" s="17"/>
      <c r="BO673" s="2"/>
    </row>
    <row r="674" spans="1:69" s="14" customFormat="1" x14ac:dyDescent="0.3">
      <c r="A674" s="20">
        <v>672</v>
      </c>
      <c r="B674" s="2" t="s">
        <v>181</v>
      </c>
      <c r="C674" s="2">
        <v>2020</v>
      </c>
      <c r="D674" s="2" t="s">
        <v>203</v>
      </c>
      <c r="E674" s="10" t="s">
        <v>787</v>
      </c>
      <c r="F674" s="20" t="s">
        <v>29</v>
      </c>
      <c r="G674" s="2" t="s">
        <v>59</v>
      </c>
      <c r="H674" s="2" t="str">
        <f>'PFAS Properties'!$B$43</f>
        <v>PFPeS</v>
      </c>
      <c r="I674" s="2" t="str">
        <f>'PFAS Properties'!$C$43</f>
        <v>PFSA</v>
      </c>
      <c r="J674" s="2" t="str">
        <f>'PFAS Properties'!$D$43</f>
        <v>C5HF11O3S</v>
      </c>
      <c r="K674" s="25">
        <f>'PFAS Properties'!$P$43</f>
        <v>349.94699999999995</v>
      </c>
      <c r="L674" s="2">
        <f>'PFAS Properties'!$X$43</f>
        <v>0.1</v>
      </c>
      <c r="M674" s="2" t="str">
        <f>'PFAS Properties'!$Y$43</f>
        <v>-</v>
      </c>
      <c r="N674" s="33">
        <v>0</v>
      </c>
      <c r="O674" s="33">
        <v>0</v>
      </c>
      <c r="P674" s="33">
        <v>0</v>
      </c>
      <c r="Q674" s="33">
        <f t="shared" si="358"/>
        <v>0.99999997488113634</v>
      </c>
      <c r="R674" s="33">
        <v>0</v>
      </c>
      <c r="S674" s="33">
        <f t="shared" si="359"/>
        <v>2.5118863684138424E-8</v>
      </c>
      <c r="T674" s="8">
        <f t="shared" si="306"/>
        <v>1</v>
      </c>
      <c r="U674" s="33">
        <f t="shared" si="307"/>
        <v>0</v>
      </c>
      <c r="V674" s="33">
        <f t="shared" si="308"/>
        <v>-0.99999997488113634</v>
      </c>
      <c r="W674" s="33">
        <f t="shared" si="309"/>
        <v>348.94700002511883</v>
      </c>
      <c r="X674" s="33">
        <v>96485</v>
      </c>
      <c r="Y674" s="16">
        <f t="shared" si="310"/>
        <v>-276.50330156001058</v>
      </c>
      <c r="Z674" s="16">
        <v>5</v>
      </c>
      <c r="AA674" s="16">
        <v>11</v>
      </c>
      <c r="AB674" s="8">
        <f t="shared" si="311"/>
        <v>0.28708133971291866</v>
      </c>
      <c r="AC674" s="16">
        <f t="shared" si="349"/>
        <v>59.72332953275783</v>
      </c>
      <c r="AD674" s="20">
        <f>'PFAS Properties'!$W$43</f>
        <v>5</v>
      </c>
      <c r="AE674" s="8">
        <f>'PFAS Properties'!$S$43</f>
        <v>4.6680129716418319</v>
      </c>
      <c r="AF674" s="15">
        <f>'PFAS Properties'!$V$43</f>
        <v>3</v>
      </c>
      <c r="AG674" s="24">
        <v>7.7</v>
      </c>
      <c r="AH674" s="2" t="s">
        <v>183</v>
      </c>
      <c r="AI674" s="2" t="s">
        <v>661</v>
      </c>
      <c r="AJ674" s="2" t="s">
        <v>661</v>
      </c>
      <c r="AK674" s="2" t="s">
        <v>661</v>
      </c>
      <c r="AL674" s="2" t="s">
        <v>661</v>
      </c>
      <c r="AM674" s="2" t="s">
        <v>661</v>
      </c>
      <c r="AN674" s="2" t="s">
        <v>661</v>
      </c>
      <c r="AO674" s="2" t="s">
        <v>661</v>
      </c>
      <c r="AP674" s="15">
        <v>4.8</v>
      </c>
      <c r="AQ674" s="2" t="s">
        <v>661</v>
      </c>
      <c r="AR674" s="16">
        <v>46</v>
      </c>
      <c r="AS674" s="16">
        <v>37</v>
      </c>
      <c r="AT674" s="16">
        <v>17</v>
      </c>
      <c r="AU674" s="2" t="s">
        <v>661</v>
      </c>
      <c r="AV674" s="16">
        <f t="shared" si="356"/>
        <v>100</v>
      </c>
      <c r="AW674" s="20">
        <v>0.25</v>
      </c>
      <c r="AX674" s="8">
        <v>2.5000000000000001E-3</v>
      </c>
      <c r="AY674" s="13" t="s">
        <v>184</v>
      </c>
      <c r="AZ674" s="16">
        <v>100</v>
      </c>
      <c r="BA674" s="16" t="s">
        <v>55</v>
      </c>
      <c r="BB674" s="16">
        <v>5</v>
      </c>
      <c r="BC674" s="16" t="s">
        <v>55</v>
      </c>
      <c r="BD674" s="18">
        <v>0.18</v>
      </c>
      <c r="BE674" s="15">
        <f t="shared" si="346"/>
        <v>72</v>
      </c>
      <c r="BF674" s="15">
        <f t="shared" si="313"/>
        <v>1.8573324964312685</v>
      </c>
      <c r="BG674" s="8">
        <f t="shared" si="347"/>
        <v>-0.74472749489669399</v>
      </c>
      <c r="BH674" s="13" t="s">
        <v>345</v>
      </c>
      <c r="BI674" s="13"/>
      <c r="BJ674" s="13"/>
      <c r="BK674" s="15"/>
      <c r="BL674" s="13"/>
      <c r="BM674" s="17"/>
      <c r="BN674" s="17"/>
      <c r="BO674" s="2"/>
    </row>
    <row r="675" spans="1:69" s="14" customFormat="1" x14ac:dyDescent="0.3">
      <c r="A675" s="20">
        <v>673</v>
      </c>
      <c r="B675" s="2" t="s">
        <v>181</v>
      </c>
      <c r="C675" s="2">
        <v>2020</v>
      </c>
      <c r="D675" s="2" t="s">
        <v>203</v>
      </c>
      <c r="E675" s="10" t="s">
        <v>787</v>
      </c>
      <c r="F675" s="20" t="s">
        <v>29</v>
      </c>
      <c r="G675" s="2" t="s">
        <v>61</v>
      </c>
      <c r="H675" s="2" t="str">
        <f>'PFAS Properties'!$B$43</f>
        <v>PFPeS</v>
      </c>
      <c r="I675" s="2" t="str">
        <f>'PFAS Properties'!$C$43</f>
        <v>PFSA</v>
      </c>
      <c r="J675" s="2" t="str">
        <f>'PFAS Properties'!$D$43</f>
        <v>C5HF11O3S</v>
      </c>
      <c r="K675" s="25">
        <f>'PFAS Properties'!$P$43</f>
        <v>349.94699999999995</v>
      </c>
      <c r="L675" s="2">
        <f>'PFAS Properties'!$X$43</f>
        <v>0.1</v>
      </c>
      <c r="M675" s="2" t="str">
        <f>'PFAS Properties'!$Y$43</f>
        <v>-</v>
      </c>
      <c r="N675" s="33">
        <v>0</v>
      </c>
      <c r="O675" s="33">
        <v>0</v>
      </c>
      <c r="P675" s="33">
        <v>0</v>
      </c>
      <c r="Q675" s="33">
        <f t="shared" si="358"/>
        <v>0.99999994988127916</v>
      </c>
      <c r="R675" s="33">
        <v>0</v>
      </c>
      <c r="S675" s="33">
        <f t="shared" si="359"/>
        <v>5.0118720850840682E-8</v>
      </c>
      <c r="T675" s="8">
        <f t="shared" si="306"/>
        <v>1</v>
      </c>
      <c r="U675" s="33">
        <f t="shared" si="307"/>
        <v>0</v>
      </c>
      <c r="V675" s="33">
        <f t="shared" si="308"/>
        <v>-0.99999994988127916</v>
      </c>
      <c r="W675" s="33">
        <f t="shared" si="309"/>
        <v>348.94700005011867</v>
      </c>
      <c r="X675" s="33">
        <v>96485</v>
      </c>
      <c r="Y675" s="16">
        <f t="shared" si="310"/>
        <v>-276.50329462765762</v>
      </c>
      <c r="Z675" s="16">
        <v>5</v>
      </c>
      <c r="AA675" s="16">
        <v>11</v>
      </c>
      <c r="AB675" s="8">
        <f t="shared" si="311"/>
        <v>0.28708133971291866</v>
      </c>
      <c r="AC675" s="16">
        <f t="shared" si="349"/>
        <v>59.72332953275783</v>
      </c>
      <c r="AD675" s="20">
        <f>'PFAS Properties'!$W$43</f>
        <v>5</v>
      </c>
      <c r="AE675" s="8">
        <f>'PFAS Properties'!$S$43</f>
        <v>4.6680129716418319</v>
      </c>
      <c r="AF675" s="15">
        <f>'PFAS Properties'!$V$43</f>
        <v>3</v>
      </c>
      <c r="AG675" s="24">
        <v>7.4</v>
      </c>
      <c r="AH675" s="2" t="s">
        <v>183</v>
      </c>
      <c r="AI675" s="2" t="s">
        <v>661</v>
      </c>
      <c r="AJ675" s="2" t="s">
        <v>661</v>
      </c>
      <c r="AK675" s="2" t="s">
        <v>661</v>
      </c>
      <c r="AL675" s="2" t="s">
        <v>661</v>
      </c>
      <c r="AM675" s="2" t="s">
        <v>661</v>
      </c>
      <c r="AN675" s="2" t="s">
        <v>661</v>
      </c>
      <c r="AO675" s="2" t="s">
        <v>661</v>
      </c>
      <c r="AP675" s="15">
        <v>29.6</v>
      </c>
      <c r="AQ675" s="2" t="s">
        <v>661</v>
      </c>
      <c r="AR675" s="16">
        <v>39.799999999999997</v>
      </c>
      <c r="AS675" s="16">
        <v>7.7</v>
      </c>
      <c r="AT675" s="16">
        <v>52.5</v>
      </c>
      <c r="AU675" s="2" t="s">
        <v>661</v>
      </c>
      <c r="AV675" s="16">
        <f t="shared" si="356"/>
        <v>100</v>
      </c>
      <c r="AW675" s="20">
        <v>2.23</v>
      </c>
      <c r="AX675" s="8">
        <v>2.23E-2</v>
      </c>
      <c r="AY675" s="8" t="s">
        <v>184</v>
      </c>
      <c r="AZ675" s="16">
        <v>100</v>
      </c>
      <c r="BA675" s="16" t="s">
        <v>55</v>
      </c>
      <c r="BB675" s="16">
        <v>5</v>
      </c>
      <c r="BC675" s="16" t="s">
        <v>55</v>
      </c>
      <c r="BD675" s="20">
        <v>0.37</v>
      </c>
      <c r="BE675" s="15">
        <f t="shared" si="346"/>
        <v>16.591928251121075</v>
      </c>
      <c r="BF675" s="15">
        <f t="shared" si="313"/>
        <v>1.2198968610188343</v>
      </c>
      <c r="BG675" s="8">
        <f t="shared" si="347"/>
        <v>-0.43179827593300502</v>
      </c>
      <c r="BH675" s="13" t="s">
        <v>345</v>
      </c>
      <c r="BI675" s="13"/>
      <c r="BJ675" s="13"/>
      <c r="BK675" s="15"/>
      <c r="BL675" s="13"/>
      <c r="BM675" s="17"/>
      <c r="BN675" s="17"/>
      <c r="BO675" s="2"/>
    </row>
    <row r="676" spans="1:69" s="14" customFormat="1" x14ac:dyDescent="0.3">
      <c r="A676" s="20">
        <v>674</v>
      </c>
      <c r="B676" s="2" t="s">
        <v>181</v>
      </c>
      <c r="C676" s="2">
        <v>2020</v>
      </c>
      <c r="D676" s="2" t="s">
        <v>203</v>
      </c>
      <c r="E676" s="10" t="s">
        <v>787</v>
      </c>
      <c r="F676" s="20" t="s">
        <v>29</v>
      </c>
      <c r="G676" s="2" t="s">
        <v>60</v>
      </c>
      <c r="H676" s="2" t="str">
        <f>'PFAS Properties'!$B$43</f>
        <v>PFPeS</v>
      </c>
      <c r="I676" s="2" t="str">
        <f>'PFAS Properties'!$C$43</f>
        <v>PFSA</v>
      </c>
      <c r="J676" s="2" t="str">
        <f>'PFAS Properties'!$D$43</f>
        <v>C5HF11O3S</v>
      </c>
      <c r="K676" s="25">
        <f>'PFAS Properties'!$P$43</f>
        <v>349.94699999999995</v>
      </c>
      <c r="L676" s="2">
        <f>'PFAS Properties'!$X$43</f>
        <v>0.1</v>
      </c>
      <c r="M676" s="2" t="str">
        <f>'PFAS Properties'!$Y$43</f>
        <v>-</v>
      </c>
      <c r="N676" s="33">
        <v>0</v>
      </c>
      <c r="O676" s="33">
        <v>0</v>
      </c>
      <c r="P676" s="33">
        <v>0</v>
      </c>
      <c r="Q676" s="33">
        <f t="shared" si="358"/>
        <v>0.99999997488113634</v>
      </c>
      <c r="R676" s="33">
        <v>0</v>
      </c>
      <c r="S676" s="33">
        <f t="shared" si="359"/>
        <v>2.5118863684138424E-8</v>
      </c>
      <c r="T676" s="8">
        <f t="shared" si="306"/>
        <v>1</v>
      </c>
      <c r="U676" s="33">
        <f t="shared" si="307"/>
        <v>0</v>
      </c>
      <c r="V676" s="33">
        <f t="shared" si="308"/>
        <v>-0.99999997488113634</v>
      </c>
      <c r="W676" s="33">
        <f t="shared" si="309"/>
        <v>348.94700002511883</v>
      </c>
      <c r="X676" s="33">
        <v>96485</v>
      </c>
      <c r="Y676" s="16">
        <f t="shared" si="310"/>
        <v>-276.50330156001058</v>
      </c>
      <c r="Z676" s="16">
        <v>5</v>
      </c>
      <c r="AA676" s="16">
        <v>11</v>
      </c>
      <c r="AB676" s="8">
        <f t="shared" si="311"/>
        <v>0.28708133971291866</v>
      </c>
      <c r="AC676" s="16">
        <f t="shared" si="349"/>
        <v>59.72332953275783</v>
      </c>
      <c r="AD676" s="20">
        <f>'PFAS Properties'!$W$43</f>
        <v>5</v>
      </c>
      <c r="AE676" s="8">
        <f>'PFAS Properties'!$S$43</f>
        <v>4.6680129716418319</v>
      </c>
      <c r="AF676" s="15">
        <f>'PFAS Properties'!$V$43</f>
        <v>3</v>
      </c>
      <c r="AG676" s="24">
        <v>7.7</v>
      </c>
      <c r="AH676" s="2" t="s">
        <v>183</v>
      </c>
      <c r="AI676" s="2" t="s">
        <v>661</v>
      </c>
      <c r="AJ676" s="2" t="s">
        <v>661</v>
      </c>
      <c r="AK676" s="2" t="s">
        <v>661</v>
      </c>
      <c r="AL676" s="2" t="s">
        <v>661</v>
      </c>
      <c r="AM676" s="2" t="s">
        <v>661</v>
      </c>
      <c r="AN676" s="2" t="s">
        <v>661</v>
      </c>
      <c r="AO676" s="2" t="s">
        <v>661</v>
      </c>
      <c r="AP676" s="15">
        <v>21.63</v>
      </c>
      <c r="AQ676" s="2" t="s">
        <v>661</v>
      </c>
      <c r="AR676" s="16">
        <v>70</v>
      </c>
      <c r="AS676" s="16">
        <v>11</v>
      </c>
      <c r="AT676" s="16">
        <v>19</v>
      </c>
      <c r="AU676" s="2" t="s">
        <v>661</v>
      </c>
      <c r="AV676" s="16">
        <f t="shared" si="356"/>
        <v>100</v>
      </c>
      <c r="AW676" s="20">
        <v>4.9000000000000004</v>
      </c>
      <c r="AX676" s="8">
        <v>4.9000000000000002E-2</v>
      </c>
      <c r="AY676" s="8" t="s">
        <v>184</v>
      </c>
      <c r="AZ676" s="16">
        <v>100</v>
      </c>
      <c r="BA676" s="16" t="s">
        <v>55</v>
      </c>
      <c r="BB676" s="16">
        <v>5</v>
      </c>
      <c r="BC676" s="16" t="s">
        <v>55</v>
      </c>
      <c r="BD676" s="20">
        <v>0.81</v>
      </c>
      <c r="BE676" s="15">
        <f t="shared" si="346"/>
        <v>16.530612244897959</v>
      </c>
      <c r="BF676" s="15">
        <f t="shared" si="313"/>
        <v>1.2182889388501361</v>
      </c>
      <c r="BG676" s="8">
        <f t="shared" si="347"/>
        <v>-9.1514981121350217E-2</v>
      </c>
      <c r="BH676" s="13" t="s">
        <v>345</v>
      </c>
      <c r="BI676" s="13"/>
      <c r="BJ676" s="13"/>
      <c r="BK676" s="15"/>
      <c r="BL676" s="13"/>
      <c r="BM676" s="17"/>
      <c r="BN676" s="17"/>
      <c r="BO676" s="2"/>
    </row>
    <row r="677" spans="1:69" s="14" customFormat="1" x14ac:dyDescent="0.3">
      <c r="A677" s="20">
        <v>675</v>
      </c>
      <c r="B677" s="2" t="s">
        <v>181</v>
      </c>
      <c r="C677" s="2">
        <v>2020</v>
      </c>
      <c r="D677" s="2" t="s">
        <v>203</v>
      </c>
      <c r="E677" s="10" t="s">
        <v>787</v>
      </c>
      <c r="F677" s="20" t="s">
        <v>29</v>
      </c>
      <c r="G677" s="2" t="s">
        <v>77</v>
      </c>
      <c r="H677" s="2" t="str">
        <f>'PFAS Properties'!$B$43</f>
        <v>PFPeS</v>
      </c>
      <c r="I677" s="2" t="str">
        <f>'PFAS Properties'!$C$43</f>
        <v>PFSA</v>
      </c>
      <c r="J677" s="2" t="str">
        <f>'PFAS Properties'!$D$43</f>
        <v>C5HF11O3S</v>
      </c>
      <c r="K677" s="25">
        <f>'PFAS Properties'!$P$43</f>
        <v>349.94699999999995</v>
      </c>
      <c r="L677" s="2">
        <f>'PFAS Properties'!$X$43</f>
        <v>0.1</v>
      </c>
      <c r="M677" s="2" t="str">
        <f>'PFAS Properties'!$Y$43</f>
        <v>-</v>
      </c>
      <c r="N677" s="33">
        <v>0</v>
      </c>
      <c r="O677" s="33">
        <v>0</v>
      </c>
      <c r="P677" s="33">
        <v>0</v>
      </c>
      <c r="Q677" s="33">
        <f t="shared" si="358"/>
        <v>0.99999997488113634</v>
      </c>
      <c r="R677" s="33">
        <v>0</v>
      </c>
      <c r="S677" s="33">
        <f t="shared" si="359"/>
        <v>2.5118863684138424E-8</v>
      </c>
      <c r="T677" s="8">
        <f t="shared" si="306"/>
        <v>1</v>
      </c>
      <c r="U677" s="33">
        <f t="shared" si="307"/>
        <v>0</v>
      </c>
      <c r="V677" s="33">
        <f t="shared" si="308"/>
        <v>-0.99999997488113634</v>
      </c>
      <c r="W677" s="33">
        <f t="shared" si="309"/>
        <v>348.94700002511883</v>
      </c>
      <c r="X677" s="33">
        <v>96485</v>
      </c>
      <c r="Y677" s="16">
        <f t="shared" si="310"/>
        <v>-276.50330156001058</v>
      </c>
      <c r="Z677" s="16">
        <v>5</v>
      </c>
      <c r="AA677" s="16">
        <v>11</v>
      </c>
      <c r="AB677" s="8">
        <f t="shared" si="311"/>
        <v>0.28708133971291866</v>
      </c>
      <c r="AC677" s="16">
        <f t="shared" si="349"/>
        <v>59.72332953275783</v>
      </c>
      <c r="AD677" s="20">
        <f>'PFAS Properties'!$W$43</f>
        <v>5</v>
      </c>
      <c r="AE677" s="8">
        <f>'PFAS Properties'!$S$43</f>
        <v>4.6680129716418319</v>
      </c>
      <c r="AF677" s="15">
        <f>'PFAS Properties'!$V$43</f>
        <v>3</v>
      </c>
      <c r="AG677" s="24">
        <v>7.7</v>
      </c>
      <c r="AH677" s="2" t="s">
        <v>183</v>
      </c>
      <c r="AI677" s="2" t="s">
        <v>661</v>
      </c>
      <c r="AJ677" s="2" t="s">
        <v>661</v>
      </c>
      <c r="AK677" s="2" t="s">
        <v>661</v>
      </c>
      <c r="AL677" s="2" t="s">
        <v>661</v>
      </c>
      <c r="AM677" s="2" t="s">
        <v>661</v>
      </c>
      <c r="AN677" s="2" t="s">
        <v>661</v>
      </c>
      <c r="AO677" s="2" t="s">
        <v>661</v>
      </c>
      <c r="AP677" s="15">
        <v>7.8</v>
      </c>
      <c r="AQ677" s="2" t="s">
        <v>661</v>
      </c>
      <c r="AR677" s="16">
        <v>48.9</v>
      </c>
      <c r="AS677" s="16">
        <v>32.6</v>
      </c>
      <c r="AT677" s="16">
        <v>18.5</v>
      </c>
      <c r="AU677" s="2" t="s">
        <v>661</v>
      </c>
      <c r="AV677" s="16">
        <f t="shared" si="356"/>
        <v>100</v>
      </c>
      <c r="AW677" s="20">
        <v>0.13</v>
      </c>
      <c r="AX677" s="8">
        <v>1.2999999999999999E-3</v>
      </c>
      <c r="AY677" s="8" t="s">
        <v>184</v>
      </c>
      <c r="AZ677" s="16">
        <v>100</v>
      </c>
      <c r="BA677" s="16" t="s">
        <v>55</v>
      </c>
      <c r="BB677" s="16">
        <v>5</v>
      </c>
      <c r="BC677" s="16" t="s">
        <v>55</v>
      </c>
      <c r="BD677" s="20">
        <v>0.21</v>
      </c>
      <c r="BE677" s="15">
        <f t="shared" si="346"/>
        <v>161.53846153846155</v>
      </c>
      <c r="BF677" s="15">
        <f t="shared" si="313"/>
        <v>2.2082759424270826</v>
      </c>
      <c r="BG677" s="8">
        <f t="shared" si="347"/>
        <v>-0.6777807052660807</v>
      </c>
      <c r="BH677" s="13" t="s">
        <v>345</v>
      </c>
      <c r="BI677" s="13"/>
      <c r="BJ677" s="13"/>
      <c r="BK677" s="15"/>
      <c r="BL677" s="13"/>
      <c r="BM677" s="17"/>
      <c r="BN677" s="17"/>
      <c r="BO677" s="2"/>
    </row>
    <row r="678" spans="1:69" s="14" customFormat="1" x14ac:dyDescent="0.3">
      <c r="A678" s="20">
        <v>676</v>
      </c>
      <c r="B678" s="2" t="s">
        <v>181</v>
      </c>
      <c r="C678" s="2">
        <v>2020</v>
      </c>
      <c r="D678" s="2" t="s">
        <v>203</v>
      </c>
      <c r="E678" s="10" t="s">
        <v>787</v>
      </c>
      <c r="F678" s="20" t="s">
        <v>29</v>
      </c>
      <c r="G678" s="2" t="s">
        <v>182</v>
      </c>
      <c r="H678" s="2" t="str">
        <f>'PFAS Properties'!$B$43</f>
        <v>PFPeS</v>
      </c>
      <c r="I678" s="2" t="str">
        <f>'PFAS Properties'!$C$43</f>
        <v>PFSA</v>
      </c>
      <c r="J678" s="2" t="str">
        <f>'PFAS Properties'!$D$43</f>
        <v>C5HF11O3S</v>
      </c>
      <c r="K678" s="25">
        <f>'PFAS Properties'!$P$43</f>
        <v>349.94699999999995</v>
      </c>
      <c r="L678" s="2">
        <f>'PFAS Properties'!$X$43</f>
        <v>0.1</v>
      </c>
      <c r="M678" s="2" t="str">
        <f>'PFAS Properties'!$Y$43</f>
        <v>-</v>
      </c>
      <c r="N678" s="33">
        <v>0</v>
      </c>
      <c r="O678" s="33">
        <v>0</v>
      </c>
      <c r="P678" s="33">
        <v>0</v>
      </c>
      <c r="Q678" s="33">
        <f t="shared" si="358"/>
        <v>0.9999999601892845</v>
      </c>
      <c r="R678" s="33">
        <v>0</v>
      </c>
      <c r="S678" s="33">
        <f t="shared" si="359"/>
        <v>3.9810715470456442E-8</v>
      </c>
      <c r="T678" s="8">
        <f t="shared" si="306"/>
        <v>1</v>
      </c>
      <c r="U678" s="33">
        <f t="shared" si="307"/>
        <v>0</v>
      </c>
      <c r="V678" s="33">
        <f t="shared" si="308"/>
        <v>-0.9999999601892845</v>
      </c>
      <c r="W678" s="33">
        <f t="shared" si="309"/>
        <v>348.94700003981069</v>
      </c>
      <c r="X678" s="33">
        <v>96485</v>
      </c>
      <c r="Y678" s="16">
        <f t="shared" si="310"/>
        <v>-276.50329748602314</v>
      </c>
      <c r="Z678" s="16">
        <v>5</v>
      </c>
      <c r="AA678" s="16">
        <v>11</v>
      </c>
      <c r="AB678" s="8">
        <f t="shared" si="311"/>
        <v>0.28708133971291866</v>
      </c>
      <c r="AC678" s="16">
        <f t="shared" si="349"/>
        <v>59.72332953275783</v>
      </c>
      <c r="AD678" s="20">
        <f>'PFAS Properties'!$W$43</f>
        <v>5</v>
      </c>
      <c r="AE678" s="8">
        <f>'PFAS Properties'!$S$43</f>
        <v>4.6680129716418319</v>
      </c>
      <c r="AF678" s="15">
        <f>'PFAS Properties'!$V$43</f>
        <v>3</v>
      </c>
      <c r="AG678" s="24">
        <v>7.5</v>
      </c>
      <c r="AH678" s="2" t="s">
        <v>183</v>
      </c>
      <c r="AI678" s="2" t="s">
        <v>661</v>
      </c>
      <c r="AJ678" s="2" t="s">
        <v>661</v>
      </c>
      <c r="AK678" s="2" t="s">
        <v>661</v>
      </c>
      <c r="AL678" s="2" t="s">
        <v>661</v>
      </c>
      <c r="AM678" s="2" t="s">
        <v>661</v>
      </c>
      <c r="AN678" s="2" t="s">
        <v>661</v>
      </c>
      <c r="AO678" s="2" t="s">
        <v>661</v>
      </c>
      <c r="AP678" s="15">
        <v>2.2799999999999998</v>
      </c>
      <c r="AQ678" s="2" t="s">
        <v>661</v>
      </c>
      <c r="AR678" s="16">
        <v>93</v>
      </c>
      <c r="AS678" s="16">
        <v>1</v>
      </c>
      <c r="AT678" s="16">
        <v>5</v>
      </c>
      <c r="AU678" s="2" t="s">
        <v>661</v>
      </c>
      <c r="AV678" s="16">
        <f t="shared" si="356"/>
        <v>99</v>
      </c>
      <c r="AW678" s="20">
        <v>0.4</v>
      </c>
      <c r="AX678" s="8">
        <v>4.0000000000000001E-3</v>
      </c>
      <c r="AY678" s="8" t="s">
        <v>184</v>
      </c>
      <c r="AZ678" s="16">
        <v>100</v>
      </c>
      <c r="BA678" s="16" t="s">
        <v>55</v>
      </c>
      <c r="BB678" s="16">
        <v>5</v>
      </c>
      <c r="BC678" s="16" t="s">
        <v>55</v>
      </c>
      <c r="BD678" s="20">
        <v>0.1</v>
      </c>
      <c r="BE678" s="15">
        <f t="shared" si="346"/>
        <v>25</v>
      </c>
      <c r="BF678" s="15">
        <f t="shared" si="313"/>
        <v>1.3979400086720377</v>
      </c>
      <c r="BG678" s="8">
        <f t="shared" si="347"/>
        <v>-1</v>
      </c>
      <c r="BH678" s="13" t="s">
        <v>345</v>
      </c>
      <c r="BI678" s="13"/>
      <c r="BJ678" s="13"/>
      <c r="BK678" s="15"/>
      <c r="BL678" s="13"/>
      <c r="BM678" s="17"/>
      <c r="BN678" s="17"/>
      <c r="BO678" s="2"/>
    </row>
    <row r="679" spans="1:69" s="14" customFormat="1" x14ac:dyDescent="0.3">
      <c r="A679" s="20">
        <v>677</v>
      </c>
      <c r="B679" s="2" t="s">
        <v>181</v>
      </c>
      <c r="C679" s="2">
        <v>2020</v>
      </c>
      <c r="D679" s="2" t="s">
        <v>203</v>
      </c>
      <c r="E679" s="10" t="s">
        <v>787</v>
      </c>
      <c r="F679" s="20" t="s">
        <v>29</v>
      </c>
      <c r="G679" s="2" t="s">
        <v>78</v>
      </c>
      <c r="H679" s="2" t="str">
        <f>'PFAS Properties'!$B$43</f>
        <v>PFPeS</v>
      </c>
      <c r="I679" s="2" t="str">
        <f>'PFAS Properties'!$C$43</f>
        <v>PFSA</v>
      </c>
      <c r="J679" s="2" t="str">
        <f>'PFAS Properties'!$D$43</f>
        <v>C5HF11O3S</v>
      </c>
      <c r="K679" s="25">
        <f>'PFAS Properties'!$P$43</f>
        <v>349.94699999999995</v>
      </c>
      <c r="L679" s="2">
        <f>'PFAS Properties'!$X$43</f>
        <v>0.1</v>
      </c>
      <c r="M679" s="2" t="str">
        <f>'PFAS Properties'!$Y$43</f>
        <v>-</v>
      </c>
      <c r="N679" s="33">
        <v>0</v>
      </c>
      <c r="O679" s="33">
        <v>0</v>
      </c>
      <c r="P679" s="33">
        <v>0</v>
      </c>
      <c r="Q679" s="33">
        <f t="shared" si="358"/>
        <v>0.99999990000001004</v>
      </c>
      <c r="R679" s="33">
        <v>0</v>
      </c>
      <c r="S679" s="33">
        <f t="shared" si="359"/>
        <v>9.9999990000001005E-8</v>
      </c>
      <c r="T679" s="8">
        <f t="shared" si="306"/>
        <v>1</v>
      </c>
      <c r="U679" s="33">
        <f t="shared" si="307"/>
        <v>0</v>
      </c>
      <c r="V679" s="33">
        <f t="shared" si="308"/>
        <v>-0.99999990000001004</v>
      </c>
      <c r="W679" s="33">
        <f t="shared" si="309"/>
        <v>348.94700009999991</v>
      </c>
      <c r="X679" s="33">
        <v>96485</v>
      </c>
      <c r="Y679" s="16">
        <f t="shared" si="310"/>
        <v>-276.50328079579612</v>
      </c>
      <c r="Z679" s="16">
        <v>5</v>
      </c>
      <c r="AA679" s="16">
        <v>11</v>
      </c>
      <c r="AB679" s="8">
        <f t="shared" si="311"/>
        <v>0.28708133971291866</v>
      </c>
      <c r="AC679" s="16">
        <f t="shared" si="349"/>
        <v>59.72332953275783</v>
      </c>
      <c r="AD679" s="20">
        <f>'PFAS Properties'!$W$43</f>
        <v>5</v>
      </c>
      <c r="AE679" s="8">
        <f>'PFAS Properties'!$S$43</f>
        <v>4.6680129716418319</v>
      </c>
      <c r="AF679" s="15">
        <f>'PFAS Properties'!$V$43</f>
        <v>3</v>
      </c>
      <c r="AG679" s="24">
        <v>7.1</v>
      </c>
      <c r="AH679" s="2" t="s">
        <v>183</v>
      </c>
      <c r="AI679" s="2" t="s">
        <v>661</v>
      </c>
      <c r="AJ679" s="2" t="s">
        <v>661</v>
      </c>
      <c r="AK679" s="2" t="s">
        <v>661</v>
      </c>
      <c r="AL679" s="2" t="s">
        <v>661</v>
      </c>
      <c r="AM679" s="2" t="s">
        <v>661</v>
      </c>
      <c r="AN679" s="2" t="s">
        <v>661</v>
      </c>
      <c r="AO679" s="2" t="s">
        <v>661</v>
      </c>
      <c r="AP679" s="15">
        <v>17.420000000000002</v>
      </c>
      <c r="AQ679" s="2" t="s">
        <v>661</v>
      </c>
      <c r="AR679" s="16">
        <v>48.86</v>
      </c>
      <c r="AS679" s="16">
        <v>16.05</v>
      </c>
      <c r="AT679" s="16">
        <v>35.090000000000003</v>
      </c>
      <c r="AU679" s="2" t="s">
        <v>661</v>
      </c>
      <c r="AV679" s="16">
        <f t="shared" si="356"/>
        <v>100</v>
      </c>
      <c r="AW679" s="20">
        <v>1.19</v>
      </c>
      <c r="AX679" s="8">
        <v>1.1899999999999999E-2</v>
      </c>
      <c r="AY679" s="8" t="s">
        <v>184</v>
      </c>
      <c r="AZ679" s="16">
        <v>100</v>
      </c>
      <c r="BA679" s="16" t="s">
        <v>55</v>
      </c>
      <c r="BB679" s="16">
        <v>5</v>
      </c>
      <c r="BC679" s="16" t="s">
        <v>55</v>
      </c>
      <c r="BD679" s="20">
        <v>0.3</v>
      </c>
      <c r="BE679" s="15">
        <f t="shared" si="346"/>
        <v>25.210084033613445</v>
      </c>
      <c r="BF679" s="15">
        <f t="shared" si="313"/>
        <v>1.4015742933271316</v>
      </c>
      <c r="BG679" s="8">
        <f t="shared" si="347"/>
        <v>-0.52287874528033762</v>
      </c>
      <c r="BH679" s="13" t="s">
        <v>345</v>
      </c>
      <c r="BI679" s="13"/>
      <c r="BJ679" s="13"/>
      <c r="BK679" s="15"/>
      <c r="BL679" s="13"/>
      <c r="BM679" s="17"/>
      <c r="BN679" s="17"/>
      <c r="BO679" s="2"/>
    </row>
    <row r="680" spans="1:69" s="14" customFormat="1" x14ac:dyDescent="0.3">
      <c r="A680" s="20">
        <v>678</v>
      </c>
      <c r="B680" s="2" t="s">
        <v>181</v>
      </c>
      <c r="C680" s="2">
        <v>2020</v>
      </c>
      <c r="D680" s="2" t="s">
        <v>203</v>
      </c>
      <c r="E680" s="10" t="s">
        <v>787</v>
      </c>
      <c r="F680" s="20" t="s">
        <v>29</v>
      </c>
      <c r="G680" s="2" t="s">
        <v>98</v>
      </c>
      <c r="H680" s="2" t="str">
        <f>'PFAS Properties'!$B$43</f>
        <v>PFPeS</v>
      </c>
      <c r="I680" s="2" t="str">
        <f>'PFAS Properties'!$C$43</f>
        <v>PFSA</v>
      </c>
      <c r="J680" s="2" t="str">
        <f>'PFAS Properties'!$D$43</f>
        <v>C5HF11O3S</v>
      </c>
      <c r="K680" s="25">
        <f>'PFAS Properties'!$P$43</f>
        <v>349.94699999999995</v>
      </c>
      <c r="L680" s="2">
        <f>'PFAS Properties'!$X$43</f>
        <v>0.1</v>
      </c>
      <c r="M680" s="2" t="str">
        <f>'PFAS Properties'!$Y$43</f>
        <v>-</v>
      </c>
      <c r="N680" s="33">
        <v>0</v>
      </c>
      <c r="O680" s="33">
        <v>0</v>
      </c>
      <c r="P680" s="33">
        <v>0</v>
      </c>
      <c r="Q680" s="33">
        <f t="shared" si="358"/>
        <v>0.99999949881301753</v>
      </c>
      <c r="R680" s="33">
        <v>0</v>
      </c>
      <c r="S680" s="33">
        <f t="shared" si="359"/>
        <v>5.0118698243875318E-7</v>
      </c>
      <c r="T680" s="8">
        <f t="shared" si="306"/>
        <v>1</v>
      </c>
      <c r="U680" s="33">
        <f t="shared" si="307"/>
        <v>0</v>
      </c>
      <c r="V680" s="33">
        <f t="shared" si="308"/>
        <v>-0.99999949881301753</v>
      </c>
      <c r="W680" s="33">
        <f t="shared" si="309"/>
        <v>348.94700050118695</v>
      </c>
      <c r="X680" s="33">
        <v>96485</v>
      </c>
      <c r="Y680" s="16">
        <f t="shared" si="310"/>
        <v>-276.50316954836757</v>
      </c>
      <c r="Z680" s="16">
        <v>5</v>
      </c>
      <c r="AA680" s="16">
        <v>11</v>
      </c>
      <c r="AB680" s="8">
        <f t="shared" si="311"/>
        <v>0.28708133971291866</v>
      </c>
      <c r="AC680" s="16">
        <f t="shared" si="349"/>
        <v>59.72332953275783</v>
      </c>
      <c r="AD680" s="20">
        <f>'PFAS Properties'!$W$43</f>
        <v>5</v>
      </c>
      <c r="AE680" s="8">
        <f>'PFAS Properties'!$S$43</f>
        <v>4.6680129716418319</v>
      </c>
      <c r="AF680" s="15">
        <f>'PFAS Properties'!$V$43</f>
        <v>3</v>
      </c>
      <c r="AG680" s="24">
        <v>6.4</v>
      </c>
      <c r="AH680" s="2" t="s">
        <v>183</v>
      </c>
      <c r="AI680" s="2" t="s">
        <v>661</v>
      </c>
      <c r="AJ680" s="2" t="s">
        <v>661</v>
      </c>
      <c r="AK680" s="2" t="s">
        <v>661</v>
      </c>
      <c r="AL680" s="2" t="s">
        <v>661</v>
      </c>
      <c r="AM680" s="2" t="s">
        <v>661</v>
      </c>
      <c r="AN680" s="2" t="s">
        <v>661</v>
      </c>
      <c r="AO680" s="2" t="s">
        <v>661</v>
      </c>
      <c r="AP680" s="15">
        <v>16.54</v>
      </c>
      <c r="AQ680" s="2" t="s">
        <v>661</v>
      </c>
      <c r="AR680" s="16">
        <v>29.38</v>
      </c>
      <c r="AS680" s="16">
        <v>13.9</v>
      </c>
      <c r="AT680" s="16">
        <v>56.71</v>
      </c>
      <c r="AU680" s="2" t="s">
        <v>661</v>
      </c>
      <c r="AV680" s="16">
        <f t="shared" si="356"/>
        <v>99.990000000000009</v>
      </c>
      <c r="AW680" s="20">
        <v>0.17</v>
      </c>
      <c r="AX680" s="8">
        <v>1.7000000000000001E-3</v>
      </c>
      <c r="AY680" s="8" t="s">
        <v>184</v>
      </c>
      <c r="AZ680" s="16">
        <v>100</v>
      </c>
      <c r="BA680" s="16" t="s">
        <v>55</v>
      </c>
      <c r="BB680" s="16">
        <v>5</v>
      </c>
      <c r="BC680" s="16" t="s">
        <v>55</v>
      </c>
      <c r="BD680" s="20">
        <v>0.35</v>
      </c>
      <c r="BE680" s="15">
        <f t="shared" si="346"/>
        <v>205.88235294117644</v>
      </c>
      <c r="BF680" s="15">
        <f t="shared" si="313"/>
        <v>2.3136191229720016</v>
      </c>
      <c r="BG680" s="8">
        <f t="shared" si="347"/>
        <v>-0.45593195564972439</v>
      </c>
      <c r="BH680" s="13" t="s">
        <v>345</v>
      </c>
      <c r="BI680" s="13"/>
      <c r="BJ680" s="13"/>
      <c r="BK680" s="15"/>
      <c r="BL680" s="13"/>
      <c r="BM680" s="17"/>
      <c r="BN680" s="17"/>
      <c r="BO680" s="2"/>
    </row>
    <row r="681" spans="1:69" s="14" customFormat="1" x14ac:dyDescent="0.3">
      <c r="A681" s="20">
        <v>679</v>
      </c>
      <c r="B681" s="2" t="s">
        <v>202</v>
      </c>
      <c r="C681" s="2">
        <v>2019</v>
      </c>
      <c r="D681" s="2" t="s">
        <v>199</v>
      </c>
      <c r="E681" s="10" t="s">
        <v>791</v>
      </c>
      <c r="F681" s="20" t="s">
        <v>29</v>
      </c>
      <c r="G681" s="2" t="s">
        <v>39</v>
      </c>
      <c r="H681" s="2" t="str">
        <f>'PFAS Properties'!$B$44</f>
        <v>PFHxS</v>
      </c>
      <c r="I681" s="2" t="str">
        <f>'PFAS Properties'!$C$44</f>
        <v>PFSA</v>
      </c>
      <c r="J681" s="2" t="str">
        <f>'PFAS Properties'!$D$44</f>
        <v>C6F13O3SH</v>
      </c>
      <c r="K681" s="25">
        <f>'PFAS Properties'!$P$44</f>
        <v>399.94379999999995</v>
      </c>
      <c r="L681" s="2">
        <f>'PFAS Properties'!$X$44</f>
        <v>0.1</v>
      </c>
      <c r="M681" s="2" t="str">
        <f>'PFAS Properties'!$Y$44</f>
        <v>-</v>
      </c>
      <c r="N681" s="33">
        <v>0</v>
      </c>
      <c r="O681" s="33">
        <v>0</v>
      </c>
      <c r="P681" s="33">
        <v>0</v>
      </c>
      <c r="Q681" s="33">
        <f t="shared" si="358"/>
        <v>0.99999292059227451</v>
      </c>
      <c r="R681" s="33">
        <v>0</v>
      </c>
      <c r="S681" s="33">
        <f t="shared" si="359"/>
        <v>7.0794077254728099E-6</v>
      </c>
      <c r="T681" s="8">
        <f t="shared" si="306"/>
        <v>1</v>
      </c>
      <c r="U681" s="33">
        <f t="shared" si="307"/>
        <v>0</v>
      </c>
      <c r="V681" s="33">
        <f t="shared" si="308"/>
        <v>-0.99999292059227451</v>
      </c>
      <c r="W681" s="33">
        <f t="shared" si="309"/>
        <v>398.94380707940763</v>
      </c>
      <c r="X681" s="33">
        <v>96485</v>
      </c>
      <c r="Y681" s="16">
        <f t="shared" si="310"/>
        <v>-241.84939139596901</v>
      </c>
      <c r="Z681" s="16">
        <v>6</v>
      </c>
      <c r="AA681" s="16">
        <v>13</v>
      </c>
      <c r="AB681" s="8">
        <f t="shared" si="311"/>
        <v>0.291497975708502</v>
      </c>
      <c r="AC681" s="16">
        <f t="shared" si="349"/>
        <v>61.758677094131734</v>
      </c>
      <c r="AD681" s="20">
        <f>'PFAS Properties'!$W$44</f>
        <v>6</v>
      </c>
      <c r="AE681" s="8">
        <f>'PFAS Properties'!$S$44</f>
        <v>3.7905666251460763</v>
      </c>
      <c r="AF681" s="15">
        <f>'PFAS Properties'!$V$44</f>
        <v>3.6</v>
      </c>
      <c r="AG681" s="24">
        <v>5.25</v>
      </c>
      <c r="AH681" s="2" t="s">
        <v>661</v>
      </c>
      <c r="AI681" s="2" t="s">
        <v>661</v>
      </c>
      <c r="AJ681" s="2" t="s">
        <v>661</v>
      </c>
      <c r="AK681" s="2" t="s">
        <v>661</v>
      </c>
      <c r="AL681" s="2" t="s">
        <v>661</v>
      </c>
      <c r="AM681" s="2" t="s">
        <v>661</v>
      </c>
      <c r="AN681" s="2" t="s">
        <v>661</v>
      </c>
      <c r="AO681" s="2" t="s">
        <v>661</v>
      </c>
      <c r="AP681" s="72">
        <v>5.7023166666666656</v>
      </c>
      <c r="AQ681" s="70" t="s">
        <v>752</v>
      </c>
      <c r="AR681" s="16">
        <v>100</v>
      </c>
      <c r="AS681" s="16">
        <v>0</v>
      </c>
      <c r="AT681" s="16">
        <v>0</v>
      </c>
      <c r="AU681" s="2" t="s">
        <v>661</v>
      </c>
      <c r="AV681" s="16">
        <f t="shared" si="356"/>
        <v>100</v>
      </c>
      <c r="AW681" s="20">
        <v>0.4</v>
      </c>
      <c r="AX681" s="8">
        <f t="shared" ref="AX681:AX723" si="361">AW681/100</f>
        <v>4.0000000000000001E-3</v>
      </c>
      <c r="AY681" s="13" t="s">
        <v>658</v>
      </c>
      <c r="AZ681" s="16">
        <f>2/0.01</f>
        <v>200</v>
      </c>
      <c r="BA681" s="16" t="s">
        <v>55</v>
      </c>
      <c r="BB681" s="16">
        <v>1</v>
      </c>
      <c r="BC681" s="16">
        <v>1000</v>
      </c>
      <c r="BD681" s="18">
        <v>0.56000000000000005</v>
      </c>
      <c r="BE681" s="15">
        <f t="shared" si="346"/>
        <v>140</v>
      </c>
      <c r="BF681" s="15">
        <f t="shared" si="313"/>
        <v>2.1461280356782382</v>
      </c>
      <c r="BG681" s="8">
        <f t="shared" si="347"/>
        <v>-0.25181197299379954</v>
      </c>
      <c r="BH681" s="13" t="s">
        <v>272</v>
      </c>
      <c r="BI681" s="13"/>
      <c r="BJ681" s="13"/>
      <c r="BK681" s="13"/>
      <c r="BL681" s="13"/>
      <c r="BM681" s="17"/>
      <c r="BN681" s="17"/>
      <c r="BO681" s="2"/>
    </row>
    <row r="682" spans="1:69" s="14" customFormat="1" x14ac:dyDescent="0.3">
      <c r="A682" s="20">
        <v>680</v>
      </c>
      <c r="B682" s="2" t="s">
        <v>202</v>
      </c>
      <c r="C682" s="2">
        <v>2019</v>
      </c>
      <c r="D682" s="2" t="s">
        <v>199</v>
      </c>
      <c r="E682" s="10" t="s">
        <v>791</v>
      </c>
      <c r="F682" s="20" t="s">
        <v>29</v>
      </c>
      <c r="G682" s="2" t="s">
        <v>43</v>
      </c>
      <c r="H682" s="2" t="str">
        <f>'PFAS Properties'!$B$44</f>
        <v>PFHxS</v>
      </c>
      <c r="I682" s="2" t="str">
        <f>'PFAS Properties'!$C$44</f>
        <v>PFSA</v>
      </c>
      <c r="J682" s="2" t="str">
        <f>'PFAS Properties'!$D$44</f>
        <v>C6F13O3SH</v>
      </c>
      <c r="K682" s="25">
        <f>'PFAS Properties'!$P$44</f>
        <v>399.94379999999995</v>
      </c>
      <c r="L682" s="2">
        <f>'PFAS Properties'!$X$44</f>
        <v>0.1</v>
      </c>
      <c r="M682" s="2" t="str">
        <f>'PFAS Properties'!$Y$44</f>
        <v>-</v>
      </c>
      <c r="N682" s="33">
        <v>0</v>
      </c>
      <c r="O682" s="33">
        <v>0</v>
      </c>
      <c r="P682" s="33">
        <v>0</v>
      </c>
      <c r="Q682" s="33">
        <f t="shared" si="358"/>
        <v>0.99999730847244039</v>
      </c>
      <c r="R682" s="33">
        <v>0</v>
      </c>
      <c r="S682" s="33">
        <f t="shared" si="359"/>
        <v>2.6915275595868084E-6</v>
      </c>
      <c r="T682" s="8">
        <f t="shared" si="306"/>
        <v>1</v>
      </c>
      <c r="U682" s="33">
        <f t="shared" si="307"/>
        <v>0</v>
      </c>
      <c r="V682" s="33">
        <f t="shared" si="308"/>
        <v>-0.99999730847244039</v>
      </c>
      <c r="W682" s="33">
        <f t="shared" si="309"/>
        <v>398.94380269152748</v>
      </c>
      <c r="X682" s="33">
        <v>96485</v>
      </c>
      <c r="Y682" s="16">
        <f t="shared" si="310"/>
        <v>-241.85045526968025</v>
      </c>
      <c r="Z682" s="16">
        <v>6</v>
      </c>
      <c r="AA682" s="16">
        <v>13</v>
      </c>
      <c r="AB682" s="8">
        <f t="shared" si="311"/>
        <v>0.291497975708502</v>
      </c>
      <c r="AC682" s="16">
        <f t="shared" si="349"/>
        <v>61.758677094131734</v>
      </c>
      <c r="AD682" s="20">
        <f>'PFAS Properties'!$W$44</f>
        <v>6</v>
      </c>
      <c r="AE682" s="8">
        <f>'PFAS Properties'!$S$44</f>
        <v>3.7905666251460763</v>
      </c>
      <c r="AF682" s="15">
        <f>'PFAS Properties'!$V$44</f>
        <v>3.6</v>
      </c>
      <c r="AG682" s="24">
        <v>5.67</v>
      </c>
      <c r="AH682" s="2" t="s">
        <v>661</v>
      </c>
      <c r="AI682" s="15" t="s">
        <v>661</v>
      </c>
      <c r="AJ682" s="16" t="s">
        <v>661</v>
      </c>
      <c r="AK682" s="2" t="s">
        <v>661</v>
      </c>
      <c r="AL682" s="15" t="s">
        <v>661</v>
      </c>
      <c r="AM682" s="16" t="s">
        <v>661</v>
      </c>
      <c r="AN682" s="2" t="s">
        <v>661</v>
      </c>
      <c r="AO682" s="2" t="s">
        <v>661</v>
      </c>
      <c r="AP682" s="72">
        <v>9.2037666666666649</v>
      </c>
      <c r="AQ682" s="70" t="s">
        <v>752</v>
      </c>
      <c r="AR682" s="16">
        <v>71</v>
      </c>
      <c r="AS682" s="16">
        <v>24</v>
      </c>
      <c r="AT682" s="16">
        <v>5</v>
      </c>
      <c r="AU682" s="2" t="s">
        <v>661</v>
      </c>
      <c r="AV682" s="16">
        <f t="shared" ref="AV682:AV713" si="362">SUM(AR682:AT682)</f>
        <v>100</v>
      </c>
      <c r="AW682" s="20">
        <v>0.93</v>
      </c>
      <c r="AX682" s="8">
        <f t="shared" si="361"/>
        <v>9.300000000000001E-3</v>
      </c>
      <c r="AY682" s="13" t="s">
        <v>658</v>
      </c>
      <c r="AZ682" s="16">
        <f>2/0.01</f>
        <v>200</v>
      </c>
      <c r="BA682" s="16" t="s">
        <v>55</v>
      </c>
      <c r="BB682" s="16">
        <v>1</v>
      </c>
      <c r="BC682" s="16">
        <v>1000</v>
      </c>
      <c r="BD682" s="18">
        <v>2</v>
      </c>
      <c r="BE682" s="15">
        <f t="shared" si="346"/>
        <v>215.05376344086019</v>
      </c>
      <c r="BF682" s="15">
        <f t="shared" si="313"/>
        <v>2.332547047110046</v>
      </c>
      <c r="BG682" s="8">
        <f t="shared" si="347"/>
        <v>0.3010299956639812</v>
      </c>
      <c r="BH682" s="13" t="s">
        <v>272</v>
      </c>
      <c r="BI682" s="13"/>
      <c r="BJ682" s="13"/>
      <c r="BK682" s="13"/>
      <c r="BL682" s="13"/>
      <c r="BM682" s="17"/>
      <c r="BN682" s="17"/>
      <c r="BO682" s="2"/>
    </row>
    <row r="683" spans="1:69" s="14" customFormat="1" x14ac:dyDescent="0.3">
      <c r="A683" s="20">
        <v>681</v>
      </c>
      <c r="B683" s="2" t="s">
        <v>690</v>
      </c>
      <c r="C683" s="2">
        <v>2023</v>
      </c>
      <c r="D683" s="2" t="s">
        <v>199</v>
      </c>
      <c r="E683" s="10" t="s">
        <v>803</v>
      </c>
      <c r="F683" s="20" t="s">
        <v>29</v>
      </c>
      <c r="G683" s="2" t="s">
        <v>691</v>
      </c>
      <c r="H683" s="2" t="str">
        <f>'PFAS Properties'!$B$44</f>
        <v>PFHxS</v>
      </c>
      <c r="I683" s="2" t="str">
        <f>'PFAS Properties'!$C$44</f>
        <v>PFSA</v>
      </c>
      <c r="J683" s="2" t="str">
        <f>'PFAS Properties'!$D$44</f>
        <v>C6F13O3SH</v>
      </c>
      <c r="K683" s="25">
        <f>'PFAS Properties'!$P$44</f>
        <v>399.94379999999995</v>
      </c>
      <c r="L683" s="2">
        <f>'PFAS Properties'!$X$44</f>
        <v>0.1</v>
      </c>
      <c r="M683" s="2" t="str">
        <f>'PFAS Properties'!$Y$44</f>
        <v>-</v>
      </c>
      <c r="N683" s="33">
        <v>0</v>
      </c>
      <c r="O683" s="33">
        <v>0</v>
      </c>
      <c r="P683" s="33">
        <v>0</v>
      </c>
      <c r="Q683" s="33">
        <f t="shared" si="358"/>
        <v>0.99999841510931942</v>
      </c>
      <c r="R683" s="33">
        <v>0</v>
      </c>
      <c r="S683" s="33">
        <f t="shared" si="359"/>
        <v>1.5848906805786579E-6</v>
      </c>
      <c r="T683" s="8">
        <f t="shared" si="306"/>
        <v>1</v>
      </c>
      <c r="U683" s="33">
        <f t="shared" si="307"/>
        <v>0</v>
      </c>
      <c r="V683" s="33">
        <f t="shared" si="308"/>
        <v>-0.99999841510931942</v>
      </c>
      <c r="W683" s="33">
        <f t="shared" si="309"/>
        <v>398.94380158489065</v>
      </c>
      <c r="X683" s="33">
        <v>96485</v>
      </c>
      <c r="Y683" s="16">
        <f t="shared" si="310"/>
        <v>-241.85072358190735</v>
      </c>
      <c r="Z683" s="16">
        <v>6</v>
      </c>
      <c r="AA683" s="16">
        <v>13</v>
      </c>
      <c r="AB683" s="8">
        <f t="shared" si="311"/>
        <v>0.291497975708502</v>
      </c>
      <c r="AC683" s="16">
        <f t="shared" si="349"/>
        <v>61.758677094131734</v>
      </c>
      <c r="AD683" s="20">
        <f>'PFAS Properties'!$W$44</f>
        <v>6</v>
      </c>
      <c r="AE683" s="8">
        <f>'PFAS Properties'!$S$44</f>
        <v>3.7905666251460763</v>
      </c>
      <c r="AF683" s="15">
        <f>'PFAS Properties'!$V$44</f>
        <v>3.6</v>
      </c>
      <c r="AG683" s="24">
        <v>5.9</v>
      </c>
      <c r="AH683" s="2" t="s">
        <v>701</v>
      </c>
      <c r="AI683" s="15">
        <f t="shared" ref="AI683:AI692" si="363">AJ683*55.845/1000</f>
        <v>10.052100000000001</v>
      </c>
      <c r="AJ683" s="16">
        <v>180</v>
      </c>
      <c r="AK683" s="8">
        <f t="shared" ref="AK683:AK696" si="364">AI683/10</f>
        <v>1.0052100000000002</v>
      </c>
      <c r="AL683" s="15">
        <f t="shared" ref="AL683:AL692" si="365">AM683*26.982/1000</f>
        <v>1.3491</v>
      </c>
      <c r="AM683" s="16">
        <v>50</v>
      </c>
      <c r="AN683" s="8">
        <f t="shared" ref="AN683:AN696" si="366">AL683/10</f>
        <v>0.13491</v>
      </c>
      <c r="AO683" s="15" t="s">
        <v>705</v>
      </c>
      <c r="AP683" s="15">
        <v>20</v>
      </c>
      <c r="AQ683" s="15" t="s">
        <v>702</v>
      </c>
      <c r="AR683" s="2">
        <v>4.2</v>
      </c>
      <c r="AS683" s="2">
        <v>53</v>
      </c>
      <c r="AT683" s="2">
        <v>43</v>
      </c>
      <c r="AU683" s="2" t="s">
        <v>703</v>
      </c>
      <c r="AV683" s="16">
        <f t="shared" si="362"/>
        <v>100.2</v>
      </c>
      <c r="AW683" s="20">
        <v>3.1</v>
      </c>
      <c r="AX683" s="8">
        <f t="shared" si="361"/>
        <v>3.1E-2</v>
      </c>
      <c r="AY683" s="8" t="s">
        <v>704</v>
      </c>
      <c r="AZ683" s="16">
        <v>10</v>
      </c>
      <c r="BA683" s="16" t="s">
        <v>55</v>
      </c>
      <c r="BB683" s="16" t="s">
        <v>55</v>
      </c>
      <c r="BC683" s="16" t="s">
        <v>55</v>
      </c>
      <c r="BD683" s="24">
        <f t="shared" ref="BD683:BD692" si="367">10^BG683</f>
        <v>5.1286138399136494</v>
      </c>
      <c r="BE683" s="16">
        <f t="shared" si="346"/>
        <v>165.43915612624676</v>
      </c>
      <c r="BF683" s="16">
        <f t="shared" si="313"/>
        <v>2.2186383061657273</v>
      </c>
      <c r="BG683" s="8">
        <v>0.71</v>
      </c>
      <c r="BH683" s="15" t="s">
        <v>846</v>
      </c>
      <c r="BI683" s="8"/>
      <c r="BJ683" s="13"/>
      <c r="BK683" s="16"/>
      <c r="BL683" s="16"/>
      <c r="BM683" s="16"/>
      <c r="BN683" s="16"/>
      <c r="BO683" s="2"/>
    </row>
    <row r="684" spans="1:69" x14ac:dyDescent="0.3">
      <c r="A684" s="20">
        <v>682</v>
      </c>
      <c r="B684" s="2" t="s">
        <v>690</v>
      </c>
      <c r="C684" s="2">
        <v>2023</v>
      </c>
      <c r="D684" s="2" t="s">
        <v>199</v>
      </c>
      <c r="E684" s="10" t="s">
        <v>803</v>
      </c>
      <c r="F684" s="20" t="s">
        <v>29</v>
      </c>
      <c r="G684" s="2" t="s">
        <v>692</v>
      </c>
      <c r="H684" s="2" t="str">
        <f>'PFAS Properties'!$B$44</f>
        <v>PFHxS</v>
      </c>
      <c r="I684" s="2" t="str">
        <f>'PFAS Properties'!$C$44</f>
        <v>PFSA</v>
      </c>
      <c r="J684" s="2" t="str">
        <f>'PFAS Properties'!$D$44</f>
        <v>C6F13O3SH</v>
      </c>
      <c r="K684" s="25">
        <f>'PFAS Properties'!$P$44</f>
        <v>399.94379999999995</v>
      </c>
      <c r="L684" s="2">
        <f>'PFAS Properties'!$X$44</f>
        <v>0.1</v>
      </c>
      <c r="M684" s="2" t="str">
        <f>'PFAS Properties'!$Y$44</f>
        <v>-</v>
      </c>
      <c r="N684" s="33">
        <v>0</v>
      </c>
      <c r="O684" s="33">
        <v>0</v>
      </c>
      <c r="P684" s="33">
        <v>0</v>
      </c>
      <c r="Q684" s="33">
        <f t="shared" si="358"/>
        <v>0.99999601894414336</v>
      </c>
      <c r="R684" s="33">
        <v>0</v>
      </c>
      <c r="S684" s="33">
        <f t="shared" si="359"/>
        <v>3.981055856666137E-6</v>
      </c>
      <c r="T684" s="8">
        <f t="shared" si="306"/>
        <v>1</v>
      </c>
      <c r="U684" s="33">
        <f t="shared" si="307"/>
        <v>0</v>
      </c>
      <c r="V684" s="33">
        <f t="shared" si="308"/>
        <v>-0.99999601894414336</v>
      </c>
      <c r="W684" s="33">
        <f t="shared" si="309"/>
        <v>398.94380398105585</v>
      </c>
      <c r="X684" s="33">
        <v>96485</v>
      </c>
      <c r="Y684" s="16">
        <f t="shared" si="310"/>
        <v>-241.85014261408938</v>
      </c>
      <c r="Z684" s="16">
        <v>6</v>
      </c>
      <c r="AA684" s="16">
        <v>13</v>
      </c>
      <c r="AB684" s="8">
        <f t="shared" si="311"/>
        <v>0.291497975708502</v>
      </c>
      <c r="AC684" s="16">
        <f t="shared" si="349"/>
        <v>61.758677094131734</v>
      </c>
      <c r="AD684" s="20">
        <f>'PFAS Properties'!$W$44</f>
        <v>6</v>
      </c>
      <c r="AE684" s="8">
        <f>'PFAS Properties'!$S$44</f>
        <v>3.7905666251460763</v>
      </c>
      <c r="AF684" s="15">
        <f>'PFAS Properties'!$V$44</f>
        <v>3.6</v>
      </c>
      <c r="AG684" s="26">
        <v>5.5</v>
      </c>
      <c r="AH684" s="2" t="s">
        <v>701</v>
      </c>
      <c r="AI684" s="15">
        <f t="shared" si="363"/>
        <v>7.2598499999999992</v>
      </c>
      <c r="AJ684" s="16">
        <v>130</v>
      </c>
      <c r="AK684" s="8">
        <f t="shared" si="364"/>
        <v>0.72598499999999988</v>
      </c>
      <c r="AL684" s="15">
        <f t="shared" si="365"/>
        <v>13.491</v>
      </c>
      <c r="AM684" s="16">
        <v>500</v>
      </c>
      <c r="AN684" s="8">
        <f t="shared" si="366"/>
        <v>1.3491</v>
      </c>
      <c r="AO684" s="15" t="s">
        <v>705</v>
      </c>
      <c r="AP684" s="15">
        <v>1</v>
      </c>
      <c r="AQ684" s="15" t="s">
        <v>702</v>
      </c>
      <c r="AR684" s="4">
        <v>54</v>
      </c>
      <c r="AS684" s="4">
        <v>42</v>
      </c>
      <c r="AT684" s="4">
        <v>4</v>
      </c>
      <c r="AU684" s="2" t="s">
        <v>703</v>
      </c>
      <c r="AV684" s="16">
        <f t="shared" si="362"/>
        <v>100</v>
      </c>
      <c r="AW684" s="7">
        <v>2.2000000000000002</v>
      </c>
      <c r="AX684" s="8">
        <f t="shared" si="361"/>
        <v>2.2000000000000002E-2</v>
      </c>
      <c r="AY684" s="8" t="s">
        <v>704</v>
      </c>
      <c r="AZ684" s="16">
        <v>10</v>
      </c>
      <c r="BA684" s="16" t="s">
        <v>55</v>
      </c>
      <c r="BB684" s="16" t="s">
        <v>55</v>
      </c>
      <c r="BC684" s="16" t="s">
        <v>55</v>
      </c>
      <c r="BD684" s="24">
        <f t="shared" si="367"/>
        <v>9.1201083935590983</v>
      </c>
      <c r="BE684" s="16">
        <f t="shared" si="346"/>
        <v>414.55038152541351</v>
      </c>
      <c r="BF684" s="16">
        <f t="shared" si="313"/>
        <v>2.6175773191777938</v>
      </c>
      <c r="BG684" s="8">
        <f>(0.9+1.02)/2</f>
        <v>0.96</v>
      </c>
      <c r="BH684" s="15" t="s">
        <v>847</v>
      </c>
      <c r="BI684" s="1"/>
      <c r="BJ684" s="2"/>
      <c r="BK684" s="1"/>
      <c r="BL684" s="1"/>
      <c r="BM684" s="7"/>
      <c r="BN684" s="7"/>
      <c r="BO684" s="1"/>
      <c r="BP684" s="11"/>
      <c r="BQ684" s="11"/>
    </row>
    <row r="685" spans="1:69" x14ac:dyDescent="0.3">
      <c r="A685" s="20">
        <v>683</v>
      </c>
      <c r="B685" s="2" t="s">
        <v>690</v>
      </c>
      <c r="C685" s="2">
        <v>2023</v>
      </c>
      <c r="D685" s="2" t="s">
        <v>199</v>
      </c>
      <c r="E685" s="10" t="s">
        <v>803</v>
      </c>
      <c r="F685" s="20" t="s">
        <v>29</v>
      </c>
      <c r="G685" s="2" t="s">
        <v>693</v>
      </c>
      <c r="H685" s="2" t="str">
        <f>'PFAS Properties'!$B$44</f>
        <v>PFHxS</v>
      </c>
      <c r="I685" s="2" t="str">
        <f>'PFAS Properties'!$C$44</f>
        <v>PFSA</v>
      </c>
      <c r="J685" s="2" t="str">
        <f>'PFAS Properties'!$D$44</f>
        <v>C6F13O3SH</v>
      </c>
      <c r="K685" s="25">
        <f>'PFAS Properties'!$P$44</f>
        <v>399.94379999999995</v>
      </c>
      <c r="L685" s="2">
        <f>'PFAS Properties'!$X$44</f>
        <v>0.1</v>
      </c>
      <c r="M685" s="2" t="str">
        <f>'PFAS Properties'!$Y$44</f>
        <v>-</v>
      </c>
      <c r="N685" s="33">
        <v>0</v>
      </c>
      <c r="O685" s="33">
        <v>0</v>
      </c>
      <c r="P685" s="33">
        <v>0</v>
      </c>
      <c r="Q685" s="33">
        <f t="shared" si="358"/>
        <v>0.99999984151070587</v>
      </c>
      <c r="R685" s="33">
        <v>0</v>
      </c>
      <c r="S685" s="33">
        <f t="shared" si="359"/>
        <v>1.584892941272506E-7</v>
      </c>
      <c r="T685" s="8">
        <f t="shared" si="306"/>
        <v>1</v>
      </c>
      <c r="U685" s="33">
        <f t="shared" si="307"/>
        <v>0</v>
      </c>
      <c r="V685" s="33">
        <f t="shared" si="308"/>
        <v>-0.99999984151070587</v>
      </c>
      <c r="W685" s="33">
        <f t="shared" si="309"/>
        <v>398.94380015848924</v>
      </c>
      <c r="X685" s="33">
        <v>96485</v>
      </c>
      <c r="Y685" s="16">
        <f t="shared" si="310"/>
        <v>-241.8510694233866</v>
      </c>
      <c r="Z685" s="16">
        <v>6</v>
      </c>
      <c r="AA685" s="16">
        <v>13</v>
      </c>
      <c r="AB685" s="8">
        <f t="shared" si="311"/>
        <v>0.291497975708502</v>
      </c>
      <c r="AC685" s="16">
        <f t="shared" si="349"/>
        <v>61.758677094131734</v>
      </c>
      <c r="AD685" s="20">
        <f>'PFAS Properties'!$W$44</f>
        <v>6</v>
      </c>
      <c r="AE685" s="8">
        <f>'PFAS Properties'!$S$44</f>
        <v>3.7905666251460763</v>
      </c>
      <c r="AF685" s="15">
        <f>'PFAS Properties'!$V$44</f>
        <v>3.6</v>
      </c>
      <c r="AG685" s="26">
        <v>6.9</v>
      </c>
      <c r="AH685" s="2" t="s">
        <v>701</v>
      </c>
      <c r="AI685" s="15">
        <f t="shared" si="363"/>
        <v>7.2598499999999992</v>
      </c>
      <c r="AJ685" s="16">
        <v>130</v>
      </c>
      <c r="AK685" s="8">
        <f t="shared" si="364"/>
        <v>0.72598499999999988</v>
      </c>
      <c r="AL685" s="15">
        <f t="shared" si="365"/>
        <v>1.1332439999999999</v>
      </c>
      <c r="AM685" s="16">
        <v>42</v>
      </c>
      <c r="AN685" s="8">
        <f t="shared" si="366"/>
        <v>0.11332439999999999</v>
      </c>
      <c r="AO685" s="15" t="s">
        <v>705</v>
      </c>
      <c r="AP685" s="15">
        <v>13</v>
      </c>
      <c r="AQ685" s="15" t="s">
        <v>702</v>
      </c>
      <c r="AR685" s="4">
        <v>24</v>
      </c>
      <c r="AS685" s="4">
        <v>26</v>
      </c>
      <c r="AT685" s="4">
        <v>50</v>
      </c>
      <c r="AU685" s="2" t="s">
        <v>703</v>
      </c>
      <c r="AV685" s="16">
        <f t="shared" si="362"/>
        <v>100</v>
      </c>
      <c r="AW685" s="7">
        <v>1.7</v>
      </c>
      <c r="AX685" s="8">
        <f t="shared" si="361"/>
        <v>1.7000000000000001E-2</v>
      </c>
      <c r="AY685" s="8" t="s">
        <v>704</v>
      </c>
      <c r="AZ685" s="16">
        <v>10</v>
      </c>
      <c r="BA685" s="16" t="s">
        <v>55</v>
      </c>
      <c r="BB685" s="16" t="s">
        <v>55</v>
      </c>
      <c r="BC685" s="16" t="s">
        <v>55</v>
      </c>
      <c r="BD685" s="24">
        <f t="shared" si="367"/>
        <v>0.34673685045253166</v>
      </c>
      <c r="BE685" s="16">
        <f t="shared" si="346"/>
        <v>20.396285320737157</v>
      </c>
      <c r="BF685" s="16">
        <f t="shared" si="313"/>
        <v>1.3095510786217262</v>
      </c>
      <c r="BG685" s="8">
        <v>-0.46</v>
      </c>
      <c r="BH685" s="15" t="s">
        <v>854</v>
      </c>
      <c r="BI685" s="1"/>
      <c r="BJ685" s="2"/>
      <c r="BK685" s="1"/>
      <c r="BL685" s="1"/>
      <c r="BM685" s="7"/>
      <c r="BN685" s="7"/>
      <c r="BO685" s="1"/>
      <c r="BP685" s="11"/>
      <c r="BQ685" s="11"/>
    </row>
    <row r="686" spans="1:69" x14ac:dyDescent="0.3">
      <c r="A686" s="20">
        <v>684</v>
      </c>
      <c r="B686" s="2" t="s">
        <v>690</v>
      </c>
      <c r="C686" s="2">
        <v>2023</v>
      </c>
      <c r="D686" s="2" t="s">
        <v>199</v>
      </c>
      <c r="E686" s="10" t="s">
        <v>803</v>
      </c>
      <c r="F686" s="20" t="s">
        <v>29</v>
      </c>
      <c r="G686" s="2" t="s">
        <v>694</v>
      </c>
      <c r="H686" s="2" t="str">
        <f>'PFAS Properties'!$B$44</f>
        <v>PFHxS</v>
      </c>
      <c r="I686" s="2" t="str">
        <f>'PFAS Properties'!$C$44</f>
        <v>PFSA</v>
      </c>
      <c r="J686" s="2" t="str">
        <f>'PFAS Properties'!$D$44</f>
        <v>C6F13O3SH</v>
      </c>
      <c r="K686" s="25">
        <f>'PFAS Properties'!$P$44</f>
        <v>399.94379999999995</v>
      </c>
      <c r="L686" s="2">
        <f>'PFAS Properties'!$X$44</f>
        <v>0.1</v>
      </c>
      <c r="M686" s="2" t="str">
        <f>'PFAS Properties'!$Y$44</f>
        <v>-</v>
      </c>
      <c r="N686" s="33">
        <v>0</v>
      </c>
      <c r="O686" s="33">
        <v>0</v>
      </c>
      <c r="P686" s="33">
        <v>0</v>
      </c>
      <c r="Q686" s="33">
        <f t="shared" si="358"/>
        <v>0.99999999205671775</v>
      </c>
      <c r="R686" s="33">
        <v>0</v>
      </c>
      <c r="S686" s="33">
        <f t="shared" si="359"/>
        <v>7.9432822841470747E-9</v>
      </c>
      <c r="T686" s="8">
        <f t="shared" si="306"/>
        <v>1</v>
      </c>
      <c r="U686" s="33">
        <f t="shared" si="307"/>
        <v>0</v>
      </c>
      <c r="V686" s="33">
        <f t="shared" si="308"/>
        <v>-0.99999999205671775</v>
      </c>
      <c r="W686" s="33">
        <f t="shared" si="309"/>
        <v>398.94380000794325</v>
      </c>
      <c r="X686" s="33">
        <v>96485</v>
      </c>
      <c r="Y686" s="16">
        <f t="shared" si="310"/>
        <v>-241.85110592437161</v>
      </c>
      <c r="Z686" s="16">
        <v>6</v>
      </c>
      <c r="AA686" s="16">
        <v>13</v>
      </c>
      <c r="AB686" s="8">
        <f t="shared" si="311"/>
        <v>0.291497975708502</v>
      </c>
      <c r="AC686" s="16">
        <f t="shared" si="349"/>
        <v>61.758677094131734</v>
      </c>
      <c r="AD686" s="20">
        <f>'PFAS Properties'!$W$44</f>
        <v>6</v>
      </c>
      <c r="AE686" s="8">
        <f>'PFAS Properties'!$S$44</f>
        <v>3.7905666251460763</v>
      </c>
      <c r="AF686" s="15">
        <f>'PFAS Properties'!$V$44</f>
        <v>3.6</v>
      </c>
      <c r="AG686" s="26">
        <v>8.1999999999999993</v>
      </c>
      <c r="AH686" s="2" t="s">
        <v>701</v>
      </c>
      <c r="AI686" s="15">
        <f t="shared" si="363"/>
        <v>1.89873</v>
      </c>
      <c r="AJ686" s="16">
        <v>34</v>
      </c>
      <c r="AK686" s="8">
        <f t="shared" si="364"/>
        <v>0.18987300000000001</v>
      </c>
      <c r="AL686" s="15">
        <f t="shared" si="365"/>
        <v>0.75549599999999995</v>
      </c>
      <c r="AM686" s="16">
        <v>28</v>
      </c>
      <c r="AN686" s="8">
        <f t="shared" si="366"/>
        <v>7.5549599999999995E-2</v>
      </c>
      <c r="AO686" s="15" t="s">
        <v>705</v>
      </c>
      <c r="AP686" s="15">
        <v>15</v>
      </c>
      <c r="AQ686" s="15" t="s">
        <v>702</v>
      </c>
      <c r="AR686" s="4">
        <v>27</v>
      </c>
      <c r="AS686" s="4">
        <v>56</v>
      </c>
      <c r="AT686" s="4">
        <v>16</v>
      </c>
      <c r="AU686" s="2" t="s">
        <v>703</v>
      </c>
      <c r="AV686" s="16">
        <f t="shared" si="362"/>
        <v>99</v>
      </c>
      <c r="AW686" s="7">
        <v>1.6</v>
      </c>
      <c r="AX686" s="8">
        <f t="shared" si="361"/>
        <v>1.6E-2</v>
      </c>
      <c r="AY686" s="8" t="s">
        <v>704</v>
      </c>
      <c r="AZ686" s="16">
        <v>10</v>
      </c>
      <c r="BA686" s="16" t="s">
        <v>55</v>
      </c>
      <c r="BB686" s="16" t="s">
        <v>55</v>
      </c>
      <c r="BC686" s="16" t="s">
        <v>55</v>
      </c>
      <c r="BD686" s="24">
        <f t="shared" si="367"/>
        <v>4.5708818961487507</v>
      </c>
      <c r="BE686" s="16">
        <f t="shared" si="346"/>
        <v>285.6801185092969</v>
      </c>
      <c r="BF686" s="16">
        <f t="shared" si="313"/>
        <v>2.4558800173440751</v>
      </c>
      <c r="BG686" s="8">
        <v>0.66</v>
      </c>
      <c r="BH686" s="15" t="s">
        <v>848</v>
      </c>
      <c r="BI686" s="1"/>
      <c r="BJ686" s="2"/>
      <c r="BK686" s="1"/>
      <c r="BL686" s="1"/>
      <c r="BM686" s="7"/>
      <c r="BN686" s="7"/>
      <c r="BO686" s="1"/>
      <c r="BP686" s="11"/>
      <c r="BQ686" s="11"/>
    </row>
    <row r="687" spans="1:69" x14ac:dyDescent="0.3">
      <c r="A687" s="20">
        <v>685</v>
      </c>
      <c r="B687" s="2" t="s">
        <v>690</v>
      </c>
      <c r="C687" s="2">
        <v>2023</v>
      </c>
      <c r="D687" s="2" t="s">
        <v>199</v>
      </c>
      <c r="E687" s="10" t="s">
        <v>803</v>
      </c>
      <c r="F687" s="20" t="s">
        <v>29</v>
      </c>
      <c r="G687" s="2" t="s">
        <v>693</v>
      </c>
      <c r="H687" s="2" t="str">
        <f>'PFAS Properties'!$B$44</f>
        <v>PFHxS</v>
      </c>
      <c r="I687" s="2" t="str">
        <f>'PFAS Properties'!$C$44</f>
        <v>PFSA</v>
      </c>
      <c r="J687" s="2" t="str">
        <f>'PFAS Properties'!$D$44</f>
        <v>C6F13O3SH</v>
      </c>
      <c r="K687" s="25">
        <f>'PFAS Properties'!$P$44</f>
        <v>399.94379999999995</v>
      </c>
      <c r="L687" s="2">
        <f>'PFAS Properties'!$X$44</f>
        <v>0.1</v>
      </c>
      <c r="M687" s="2" t="str">
        <f>'PFAS Properties'!$Y$44</f>
        <v>-</v>
      </c>
      <c r="N687" s="33">
        <v>0</v>
      </c>
      <c r="O687" s="33">
        <v>0</v>
      </c>
      <c r="P687" s="33">
        <v>0</v>
      </c>
      <c r="Q687" s="33">
        <f t="shared" si="358"/>
        <v>0.99999601894414336</v>
      </c>
      <c r="R687" s="33">
        <v>0</v>
      </c>
      <c r="S687" s="33">
        <f t="shared" si="359"/>
        <v>3.981055856666137E-6</v>
      </c>
      <c r="T687" s="8">
        <f t="shared" ref="T687:T750" si="368">SUM(N687:S687)</f>
        <v>1</v>
      </c>
      <c r="U687" s="33">
        <f t="shared" ref="U687:U750" si="369">((1*N687)+(1*O687)+(1*P687))</f>
        <v>0</v>
      </c>
      <c r="V687" s="33">
        <f t="shared" ref="V687:V750" si="370">-((1*O687)+(2*P687)+(1*Q687)+(2*R687))</f>
        <v>-0.99999601894414336</v>
      </c>
      <c r="W687" s="33">
        <f t="shared" ref="W687:W750" si="371">(N687*(K687+1))+(O687*K687)+(P687*(K687-1))+(Q687*(K687-1))+(R687*(K687-2))+(S687*K687)</f>
        <v>398.94380398105585</v>
      </c>
      <c r="X687" s="33">
        <v>96485</v>
      </c>
      <c r="Y687" s="16">
        <f t="shared" ref="Y687:Y750" si="372">((V687+U687)/W687)*X687</f>
        <v>-241.85014261408938</v>
      </c>
      <c r="Z687" s="16">
        <v>6</v>
      </c>
      <c r="AA687" s="16">
        <v>13</v>
      </c>
      <c r="AB687" s="8">
        <f t="shared" ref="AB687:AB750" si="373">(Z687/AA687)*(12/19)</f>
        <v>0.291497975708502</v>
      </c>
      <c r="AC687" s="16">
        <f t="shared" si="349"/>
        <v>61.758677094131734</v>
      </c>
      <c r="AD687" s="20">
        <f>'PFAS Properties'!$W$44</f>
        <v>6</v>
      </c>
      <c r="AE687" s="8">
        <f>'PFAS Properties'!$S$44</f>
        <v>3.7905666251460763</v>
      </c>
      <c r="AF687" s="15">
        <f>'PFAS Properties'!$V$44</f>
        <v>3.6</v>
      </c>
      <c r="AG687" s="26">
        <v>5.5</v>
      </c>
      <c r="AH687" s="2" t="s">
        <v>701</v>
      </c>
      <c r="AI687" s="15">
        <f t="shared" si="363"/>
        <v>6.1429499999999999</v>
      </c>
      <c r="AJ687" s="16">
        <v>110</v>
      </c>
      <c r="AK687" s="8">
        <f t="shared" si="364"/>
        <v>0.61429500000000004</v>
      </c>
      <c r="AL687" s="15">
        <f t="shared" si="365"/>
        <v>0.83644200000000002</v>
      </c>
      <c r="AM687" s="16">
        <v>31</v>
      </c>
      <c r="AN687" s="8">
        <f t="shared" si="366"/>
        <v>8.3644200000000002E-2</v>
      </c>
      <c r="AO687" s="15" t="s">
        <v>705</v>
      </c>
      <c r="AP687" s="15">
        <v>8.6</v>
      </c>
      <c r="AQ687" s="15" t="s">
        <v>702</v>
      </c>
      <c r="AR687" s="4">
        <v>27</v>
      </c>
      <c r="AS687" s="4">
        <v>44</v>
      </c>
      <c r="AT687" s="4">
        <v>29</v>
      </c>
      <c r="AU687" s="2" t="s">
        <v>703</v>
      </c>
      <c r="AV687" s="16">
        <f t="shared" si="362"/>
        <v>100</v>
      </c>
      <c r="AW687" s="7">
        <v>1.3</v>
      </c>
      <c r="AX687" s="8">
        <f t="shared" si="361"/>
        <v>1.3000000000000001E-2</v>
      </c>
      <c r="AY687" s="8" t="s">
        <v>704</v>
      </c>
      <c r="AZ687" s="16">
        <v>10</v>
      </c>
      <c r="BA687" s="16" t="s">
        <v>55</v>
      </c>
      <c r="BB687" s="16" t="s">
        <v>55</v>
      </c>
      <c r="BC687" s="16" t="s">
        <v>55</v>
      </c>
      <c r="BD687" s="24">
        <f t="shared" si="367"/>
        <v>4.7315125896148054</v>
      </c>
      <c r="BE687" s="16">
        <f t="shared" si="346"/>
        <v>363.96250689344652</v>
      </c>
      <c r="BF687" s="16">
        <f t="shared" ref="BF687:BF750" si="374">LOG(BE687)</f>
        <v>2.5610566476931633</v>
      </c>
      <c r="BG687" s="8">
        <f>(0.76+0.59)/2</f>
        <v>0.67500000000000004</v>
      </c>
      <c r="BH687" s="15" t="s">
        <v>849</v>
      </c>
      <c r="BI687" s="1"/>
      <c r="BJ687" s="2"/>
      <c r="BK687" s="1"/>
      <c r="BL687" s="1"/>
      <c r="BM687" s="7"/>
      <c r="BN687" s="7"/>
      <c r="BO687" s="1"/>
      <c r="BP687" s="11"/>
      <c r="BQ687" s="11"/>
    </row>
    <row r="688" spans="1:69" x14ac:dyDescent="0.3">
      <c r="A688" s="20">
        <v>686</v>
      </c>
      <c r="B688" s="2" t="s">
        <v>690</v>
      </c>
      <c r="C688" s="2">
        <v>2023</v>
      </c>
      <c r="D688" s="2" t="s">
        <v>199</v>
      </c>
      <c r="E688" s="10" t="s">
        <v>803</v>
      </c>
      <c r="F688" s="20" t="s">
        <v>29</v>
      </c>
      <c r="G688" s="2" t="s">
        <v>695</v>
      </c>
      <c r="H688" s="2" t="str">
        <f>'PFAS Properties'!$B$44</f>
        <v>PFHxS</v>
      </c>
      <c r="I688" s="2" t="str">
        <f>'PFAS Properties'!$C$44</f>
        <v>PFSA</v>
      </c>
      <c r="J688" s="2" t="str">
        <f>'PFAS Properties'!$D$44</f>
        <v>C6F13O3SH</v>
      </c>
      <c r="K688" s="25">
        <f>'PFAS Properties'!$P$44</f>
        <v>399.94379999999995</v>
      </c>
      <c r="L688" s="2">
        <f>'PFAS Properties'!$X$44</f>
        <v>0.1</v>
      </c>
      <c r="M688" s="2" t="str">
        <f>'PFAS Properties'!$Y$44</f>
        <v>-</v>
      </c>
      <c r="N688" s="33">
        <v>0</v>
      </c>
      <c r="O688" s="33">
        <v>0</v>
      </c>
      <c r="P688" s="33">
        <v>0</v>
      </c>
      <c r="Q688" s="33">
        <f t="shared" si="358"/>
        <v>0.99999999369042658</v>
      </c>
      <c r="R688" s="33">
        <v>0</v>
      </c>
      <c r="S688" s="33">
        <f t="shared" si="359"/>
        <v>6.309573404991195E-9</v>
      </c>
      <c r="T688" s="8">
        <f t="shared" si="368"/>
        <v>1</v>
      </c>
      <c r="U688" s="33">
        <f t="shared" si="369"/>
        <v>0</v>
      </c>
      <c r="V688" s="33">
        <f t="shared" si="370"/>
        <v>-0.99999999369042658</v>
      </c>
      <c r="W688" s="33">
        <f t="shared" si="371"/>
        <v>398.94380000630957</v>
      </c>
      <c r="X688" s="33">
        <v>96485</v>
      </c>
      <c r="Y688" s="16">
        <f t="shared" si="372"/>
        <v>-241.8511063204763</v>
      </c>
      <c r="Z688" s="16">
        <v>6</v>
      </c>
      <c r="AA688" s="16">
        <v>13</v>
      </c>
      <c r="AB688" s="8">
        <f t="shared" si="373"/>
        <v>0.291497975708502</v>
      </c>
      <c r="AC688" s="16">
        <f t="shared" si="349"/>
        <v>61.758677094131734</v>
      </c>
      <c r="AD688" s="20">
        <f>'PFAS Properties'!$W$44</f>
        <v>6</v>
      </c>
      <c r="AE688" s="8">
        <f>'PFAS Properties'!$S$44</f>
        <v>3.7905666251460763</v>
      </c>
      <c r="AF688" s="15">
        <f>'PFAS Properties'!$V$44</f>
        <v>3.6</v>
      </c>
      <c r="AG688" s="26">
        <v>8.3000000000000007</v>
      </c>
      <c r="AH688" s="2" t="s">
        <v>701</v>
      </c>
      <c r="AI688" s="15">
        <f t="shared" si="363"/>
        <v>2.066265</v>
      </c>
      <c r="AJ688" s="16">
        <v>37</v>
      </c>
      <c r="AK688" s="8">
        <f t="shared" si="364"/>
        <v>0.20662649999999999</v>
      </c>
      <c r="AL688" s="15">
        <f t="shared" si="365"/>
        <v>0.72851399999999999</v>
      </c>
      <c r="AM688" s="16">
        <v>27</v>
      </c>
      <c r="AN688" s="8">
        <f t="shared" si="366"/>
        <v>7.2851399999999997E-2</v>
      </c>
      <c r="AO688" s="15" t="s">
        <v>705</v>
      </c>
      <c r="AP688" s="15">
        <v>14</v>
      </c>
      <c r="AQ688" s="15" t="s">
        <v>702</v>
      </c>
      <c r="AR688" s="4">
        <v>80</v>
      </c>
      <c r="AS688" s="4">
        <v>15</v>
      </c>
      <c r="AT688" s="4">
        <v>4.4000000000000004</v>
      </c>
      <c r="AU688" s="2" t="s">
        <v>703</v>
      </c>
      <c r="AV688" s="16">
        <f t="shared" si="362"/>
        <v>99.4</v>
      </c>
      <c r="AW688" s="7">
        <v>1.2</v>
      </c>
      <c r="AX688" s="8">
        <f t="shared" si="361"/>
        <v>1.2E-2</v>
      </c>
      <c r="AY688" s="8" t="s">
        <v>704</v>
      </c>
      <c r="AZ688" s="16">
        <v>10</v>
      </c>
      <c r="BA688" s="16" t="s">
        <v>55</v>
      </c>
      <c r="BB688" s="16" t="s">
        <v>55</v>
      </c>
      <c r="BC688" s="16" t="s">
        <v>55</v>
      </c>
      <c r="BD688" s="24">
        <f t="shared" si="367"/>
        <v>2.1627185237270203</v>
      </c>
      <c r="BE688" s="16">
        <f t="shared" si="346"/>
        <v>180.22654364391835</v>
      </c>
      <c r="BF688" s="16">
        <f t="shared" si="374"/>
        <v>2.2558187539523753</v>
      </c>
      <c r="BG688" s="8">
        <f>(0.05+0.62)/2</f>
        <v>0.33500000000000002</v>
      </c>
      <c r="BH688" s="15" t="s">
        <v>850</v>
      </c>
      <c r="BI688" s="1"/>
      <c r="BJ688" s="2"/>
      <c r="BK688" s="1"/>
      <c r="BL688" s="1"/>
      <c r="BM688" s="7"/>
      <c r="BN688" s="7"/>
      <c r="BO688" s="1"/>
      <c r="BP688" s="11"/>
      <c r="BQ688" s="11"/>
    </row>
    <row r="689" spans="1:69" x14ac:dyDescent="0.3">
      <c r="A689" s="20">
        <v>687</v>
      </c>
      <c r="B689" s="2" t="s">
        <v>690</v>
      </c>
      <c r="C689" s="2">
        <v>2023</v>
      </c>
      <c r="D689" s="2" t="s">
        <v>199</v>
      </c>
      <c r="E689" s="10" t="s">
        <v>803</v>
      </c>
      <c r="F689" s="20" t="s">
        <v>29</v>
      </c>
      <c r="G689" s="2" t="s">
        <v>696</v>
      </c>
      <c r="H689" s="2" t="str">
        <f>'PFAS Properties'!$B$44</f>
        <v>PFHxS</v>
      </c>
      <c r="I689" s="2" t="str">
        <f>'PFAS Properties'!$C$44</f>
        <v>PFSA</v>
      </c>
      <c r="J689" s="2" t="str">
        <f>'PFAS Properties'!$D$44</f>
        <v>C6F13O3SH</v>
      </c>
      <c r="K689" s="25">
        <f>'PFAS Properties'!$P$44</f>
        <v>399.94379999999995</v>
      </c>
      <c r="L689" s="2">
        <f>'PFAS Properties'!$X$44</f>
        <v>0.1</v>
      </c>
      <c r="M689" s="2" t="str">
        <f>'PFAS Properties'!$Y$44</f>
        <v>-</v>
      </c>
      <c r="N689" s="33">
        <v>0</v>
      </c>
      <c r="O689" s="33">
        <v>0</v>
      </c>
      <c r="P689" s="33">
        <v>0</v>
      </c>
      <c r="Q689" s="33">
        <f t="shared" si="358"/>
        <v>0.99999601894414336</v>
      </c>
      <c r="R689" s="33">
        <v>0</v>
      </c>
      <c r="S689" s="33">
        <f t="shared" si="359"/>
        <v>3.981055856666137E-6</v>
      </c>
      <c r="T689" s="8">
        <f t="shared" si="368"/>
        <v>1</v>
      </c>
      <c r="U689" s="33">
        <f t="shared" si="369"/>
        <v>0</v>
      </c>
      <c r="V689" s="33">
        <f t="shared" si="370"/>
        <v>-0.99999601894414336</v>
      </c>
      <c r="W689" s="33">
        <f t="shared" si="371"/>
        <v>398.94380398105585</v>
      </c>
      <c r="X689" s="33">
        <v>96485</v>
      </c>
      <c r="Y689" s="16">
        <f t="shared" si="372"/>
        <v>-241.85014261408938</v>
      </c>
      <c r="Z689" s="16">
        <v>6</v>
      </c>
      <c r="AA689" s="16">
        <v>13</v>
      </c>
      <c r="AB689" s="8">
        <f t="shared" si="373"/>
        <v>0.291497975708502</v>
      </c>
      <c r="AC689" s="16">
        <f t="shared" si="349"/>
        <v>61.758677094131734</v>
      </c>
      <c r="AD689" s="20">
        <f>'PFAS Properties'!$W$44</f>
        <v>6</v>
      </c>
      <c r="AE689" s="8">
        <f>'PFAS Properties'!$S$44</f>
        <v>3.7905666251460763</v>
      </c>
      <c r="AF689" s="15">
        <f>'PFAS Properties'!$V$44</f>
        <v>3.6</v>
      </c>
      <c r="AG689" s="26">
        <v>5.5</v>
      </c>
      <c r="AH689" s="2" t="s">
        <v>701</v>
      </c>
      <c r="AI689" s="15">
        <f t="shared" si="363"/>
        <v>1.3402799999999999</v>
      </c>
      <c r="AJ689" s="16">
        <v>24</v>
      </c>
      <c r="AK689" s="8">
        <f t="shared" si="364"/>
        <v>0.13402799999999998</v>
      </c>
      <c r="AL689" s="15">
        <f t="shared" si="365"/>
        <v>0.32378400000000002</v>
      </c>
      <c r="AM689" s="16">
        <v>12</v>
      </c>
      <c r="AN689" s="8">
        <f t="shared" si="366"/>
        <v>3.2378400000000002E-2</v>
      </c>
      <c r="AO689" s="15" t="s">
        <v>705</v>
      </c>
      <c r="AP689" s="15">
        <v>2.6</v>
      </c>
      <c r="AQ689" s="15" t="s">
        <v>702</v>
      </c>
      <c r="AR689" s="4">
        <v>86</v>
      </c>
      <c r="AS689" s="4">
        <v>8</v>
      </c>
      <c r="AT689" s="4">
        <v>6</v>
      </c>
      <c r="AU689" s="2" t="s">
        <v>703</v>
      </c>
      <c r="AV689" s="16">
        <f t="shared" si="362"/>
        <v>100</v>
      </c>
      <c r="AW689" s="7">
        <v>1.2</v>
      </c>
      <c r="AX689" s="8">
        <f t="shared" si="361"/>
        <v>1.2E-2</v>
      </c>
      <c r="AY689" s="8" t="s">
        <v>704</v>
      </c>
      <c r="AZ689" s="16">
        <v>10</v>
      </c>
      <c r="BA689" s="16" t="s">
        <v>55</v>
      </c>
      <c r="BB689" s="16" t="s">
        <v>55</v>
      </c>
      <c r="BC689" s="16" t="s">
        <v>55</v>
      </c>
      <c r="BD689" s="24">
        <f t="shared" si="367"/>
        <v>7.9432823472428176</v>
      </c>
      <c r="BE689" s="16">
        <f t="shared" si="346"/>
        <v>661.9401956035681</v>
      </c>
      <c r="BF689" s="16">
        <f t="shared" si="374"/>
        <v>2.8208187539523752</v>
      </c>
      <c r="BG689" s="8">
        <v>0.9</v>
      </c>
      <c r="BH689" s="15" t="s">
        <v>851</v>
      </c>
      <c r="BI689" s="1"/>
      <c r="BJ689" s="2"/>
      <c r="BK689" s="1"/>
      <c r="BL689" s="1"/>
      <c r="BM689" s="7"/>
      <c r="BN689" s="7"/>
      <c r="BO689" s="1"/>
      <c r="BP689" s="11"/>
      <c r="BQ689" s="11"/>
    </row>
    <row r="690" spans="1:69" x14ac:dyDescent="0.3">
      <c r="A690" s="20">
        <v>688</v>
      </c>
      <c r="B690" s="2" t="s">
        <v>690</v>
      </c>
      <c r="C690" s="2">
        <v>2023</v>
      </c>
      <c r="D690" s="2" t="s">
        <v>199</v>
      </c>
      <c r="E690" s="10" t="s">
        <v>803</v>
      </c>
      <c r="F690" s="20" t="s">
        <v>29</v>
      </c>
      <c r="G690" s="2" t="s">
        <v>697</v>
      </c>
      <c r="H690" s="2" t="str">
        <f>'PFAS Properties'!$B$44</f>
        <v>PFHxS</v>
      </c>
      <c r="I690" s="2" t="str">
        <f>'PFAS Properties'!$C$44</f>
        <v>PFSA</v>
      </c>
      <c r="J690" s="2" t="str">
        <f>'PFAS Properties'!$D$44</f>
        <v>C6F13O3SH</v>
      </c>
      <c r="K690" s="25">
        <f>'PFAS Properties'!$P$44</f>
        <v>399.94379999999995</v>
      </c>
      <c r="L690" s="2">
        <f>'PFAS Properties'!$X$44</f>
        <v>0.1</v>
      </c>
      <c r="M690" s="2" t="str">
        <f>'PFAS Properties'!$Y$44</f>
        <v>-</v>
      </c>
      <c r="N690" s="33">
        <v>0</v>
      </c>
      <c r="O690" s="33">
        <v>0</v>
      </c>
      <c r="P690" s="33">
        <v>0</v>
      </c>
      <c r="Q690" s="33">
        <f t="shared" si="358"/>
        <v>0.99996837822336671</v>
      </c>
      <c r="R690" s="33">
        <v>0</v>
      </c>
      <c r="S690" s="33">
        <f t="shared" si="359"/>
        <v>3.1621776633305525E-5</v>
      </c>
      <c r="T690" s="8">
        <f t="shared" si="368"/>
        <v>1</v>
      </c>
      <c r="U690" s="33">
        <f t="shared" si="369"/>
        <v>0</v>
      </c>
      <c r="V690" s="33">
        <f t="shared" si="370"/>
        <v>-0.99996837822336671</v>
      </c>
      <c r="W690" s="33">
        <f t="shared" si="371"/>
        <v>398.94383162177661</v>
      </c>
      <c r="X690" s="33">
        <v>96485</v>
      </c>
      <c r="Y690" s="16">
        <f t="shared" si="372"/>
        <v>-241.8434409191527</v>
      </c>
      <c r="Z690" s="16">
        <v>6</v>
      </c>
      <c r="AA690" s="16">
        <v>13</v>
      </c>
      <c r="AB690" s="8">
        <f t="shared" si="373"/>
        <v>0.291497975708502</v>
      </c>
      <c r="AC690" s="16">
        <f t="shared" si="349"/>
        <v>61.758677094131734</v>
      </c>
      <c r="AD690" s="20">
        <f>'PFAS Properties'!$W$44</f>
        <v>6</v>
      </c>
      <c r="AE690" s="8">
        <f>'PFAS Properties'!$S$44</f>
        <v>3.7905666251460763</v>
      </c>
      <c r="AF690" s="15">
        <f>'PFAS Properties'!$V$44</f>
        <v>3.6</v>
      </c>
      <c r="AG690" s="26">
        <v>4.5999999999999996</v>
      </c>
      <c r="AH690" s="2" t="s">
        <v>701</v>
      </c>
      <c r="AI690" s="15">
        <f t="shared" si="363"/>
        <v>0.1396125</v>
      </c>
      <c r="AJ690" s="16">
        <v>2.5</v>
      </c>
      <c r="AK690" s="8">
        <f t="shared" si="364"/>
        <v>1.396125E-2</v>
      </c>
      <c r="AL690" s="15">
        <f t="shared" si="365"/>
        <v>5.12658E-2</v>
      </c>
      <c r="AM690" s="16">
        <v>1.9</v>
      </c>
      <c r="AN690" s="8">
        <f t="shared" si="366"/>
        <v>5.1265800000000004E-3</v>
      </c>
      <c r="AO690" s="15" t="s">
        <v>705</v>
      </c>
      <c r="AP690" s="15">
        <v>1.8</v>
      </c>
      <c r="AQ690" s="15" t="s">
        <v>702</v>
      </c>
      <c r="AR690" s="4">
        <v>53</v>
      </c>
      <c r="AS690" s="4">
        <v>40</v>
      </c>
      <c r="AT690" s="4">
        <v>7</v>
      </c>
      <c r="AU690" s="2" t="s">
        <v>703</v>
      </c>
      <c r="AV690" s="16">
        <f t="shared" si="362"/>
        <v>100</v>
      </c>
      <c r="AW690" s="7">
        <v>1.1000000000000001</v>
      </c>
      <c r="AX690" s="8">
        <f t="shared" si="361"/>
        <v>1.1000000000000001E-2</v>
      </c>
      <c r="AY690" s="8" t="s">
        <v>704</v>
      </c>
      <c r="AZ690" s="16">
        <v>10</v>
      </c>
      <c r="BA690" s="16" t="s">
        <v>55</v>
      </c>
      <c r="BB690" s="16" t="s">
        <v>55</v>
      </c>
      <c r="BC690" s="16" t="s">
        <v>55</v>
      </c>
      <c r="BD690" s="24">
        <f t="shared" si="367"/>
        <v>2.5118864315095806</v>
      </c>
      <c r="BE690" s="16">
        <f t="shared" si="346"/>
        <v>228.35331195541639</v>
      </c>
      <c r="BF690" s="16">
        <f t="shared" si="374"/>
        <v>2.358607314841775</v>
      </c>
      <c r="BG690" s="8">
        <v>0.4</v>
      </c>
      <c r="BH690" s="15" t="s">
        <v>849</v>
      </c>
      <c r="BI690" s="1"/>
      <c r="BJ690" s="2"/>
      <c r="BK690" s="1"/>
      <c r="BL690" s="1"/>
      <c r="BM690" s="7"/>
      <c r="BN690" s="7"/>
      <c r="BO690" s="1"/>
      <c r="BP690" s="11"/>
      <c r="BQ690" s="11"/>
    </row>
    <row r="691" spans="1:69" x14ac:dyDescent="0.3">
      <c r="A691" s="20">
        <v>689</v>
      </c>
      <c r="B691" s="2" t="s">
        <v>690</v>
      </c>
      <c r="C691" s="2">
        <v>2023</v>
      </c>
      <c r="D691" s="2" t="s">
        <v>199</v>
      </c>
      <c r="E691" s="10" t="s">
        <v>803</v>
      </c>
      <c r="F691" s="20" t="s">
        <v>29</v>
      </c>
      <c r="G691" s="2" t="s">
        <v>698</v>
      </c>
      <c r="H691" s="2" t="str">
        <f>'PFAS Properties'!$B$44</f>
        <v>PFHxS</v>
      </c>
      <c r="I691" s="2" t="str">
        <f>'PFAS Properties'!$C$44</f>
        <v>PFSA</v>
      </c>
      <c r="J691" s="2" t="str">
        <f>'PFAS Properties'!$D$44</f>
        <v>C6F13O3SH</v>
      </c>
      <c r="K691" s="25">
        <f>'PFAS Properties'!$P$44</f>
        <v>399.94379999999995</v>
      </c>
      <c r="L691" s="2">
        <f>'PFAS Properties'!$X$44</f>
        <v>0.1</v>
      </c>
      <c r="M691" s="2" t="str">
        <f>'PFAS Properties'!$Y$44</f>
        <v>-</v>
      </c>
      <c r="N691" s="33">
        <v>0</v>
      </c>
      <c r="O691" s="33">
        <v>0</v>
      </c>
      <c r="P691" s="33">
        <v>0</v>
      </c>
      <c r="Q691" s="33">
        <f t="shared" si="358"/>
        <v>0.99999968377233395</v>
      </c>
      <c r="R691" s="33">
        <v>0</v>
      </c>
      <c r="S691" s="33">
        <f t="shared" si="359"/>
        <v>3.1622766601686895E-7</v>
      </c>
      <c r="T691" s="8">
        <f t="shared" si="368"/>
        <v>1</v>
      </c>
      <c r="U691" s="33">
        <f t="shared" si="369"/>
        <v>0</v>
      </c>
      <c r="V691" s="33">
        <f t="shared" si="370"/>
        <v>-0.99999968377233395</v>
      </c>
      <c r="W691" s="33">
        <f t="shared" si="371"/>
        <v>398.94380031622762</v>
      </c>
      <c r="X691" s="33">
        <v>96485</v>
      </c>
      <c r="Y691" s="16">
        <f t="shared" si="372"/>
        <v>-241.85103117856113</v>
      </c>
      <c r="Z691" s="16">
        <v>6</v>
      </c>
      <c r="AA691" s="16">
        <v>13</v>
      </c>
      <c r="AB691" s="8">
        <f t="shared" si="373"/>
        <v>0.291497975708502</v>
      </c>
      <c r="AC691" s="16">
        <f t="shared" si="349"/>
        <v>61.758677094131734</v>
      </c>
      <c r="AD691" s="20">
        <f>'PFAS Properties'!$W$44</f>
        <v>6</v>
      </c>
      <c r="AE691" s="8">
        <f>'PFAS Properties'!$S$44</f>
        <v>3.7905666251460763</v>
      </c>
      <c r="AF691" s="15">
        <f>'PFAS Properties'!$V$44</f>
        <v>3.6</v>
      </c>
      <c r="AG691" s="26">
        <v>6.6</v>
      </c>
      <c r="AH691" s="2" t="s">
        <v>701</v>
      </c>
      <c r="AI691" s="15">
        <f t="shared" si="363"/>
        <v>11.169</v>
      </c>
      <c r="AJ691" s="16">
        <v>200</v>
      </c>
      <c r="AK691" s="8">
        <f t="shared" si="364"/>
        <v>1.1169</v>
      </c>
      <c r="AL691" s="15">
        <f t="shared" si="365"/>
        <v>1.3760819999999998</v>
      </c>
      <c r="AM691" s="16">
        <v>51</v>
      </c>
      <c r="AN691" s="8">
        <f t="shared" si="366"/>
        <v>0.13760819999999999</v>
      </c>
      <c r="AO691" s="15" t="s">
        <v>705</v>
      </c>
      <c r="AP691" s="15">
        <v>16</v>
      </c>
      <c r="AQ691" s="15" t="s">
        <v>702</v>
      </c>
      <c r="AR691" s="4">
        <v>0.68</v>
      </c>
      <c r="AS691" s="4">
        <v>48</v>
      </c>
      <c r="AT691" s="4">
        <v>52</v>
      </c>
      <c r="AU691" s="2" t="s">
        <v>703</v>
      </c>
      <c r="AV691" s="16">
        <f t="shared" si="362"/>
        <v>100.68</v>
      </c>
      <c r="AW691" s="7">
        <v>0.91</v>
      </c>
      <c r="AX691" s="8">
        <f t="shared" si="361"/>
        <v>9.1000000000000004E-3</v>
      </c>
      <c r="AY691" s="8" t="s">
        <v>704</v>
      </c>
      <c r="AZ691" s="16">
        <v>10</v>
      </c>
      <c r="BA691" s="16" t="s">
        <v>55</v>
      </c>
      <c r="BB691" s="16" t="s">
        <v>55</v>
      </c>
      <c r="BC691" s="16" t="s">
        <v>55</v>
      </c>
      <c r="BD691" s="24">
        <f t="shared" si="367"/>
        <v>0.54954087385762451</v>
      </c>
      <c r="BE691" s="16">
        <f t="shared" si="346"/>
        <v>60.389107017321372</v>
      </c>
      <c r="BF691" s="16">
        <f t="shared" si="374"/>
        <v>1.7809586076789063</v>
      </c>
      <c r="BG691" s="8">
        <v>-0.26</v>
      </c>
      <c r="BH691" s="15" t="s">
        <v>852</v>
      </c>
      <c r="BI691" s="1"/>
      <c r="BJ691" s="2"/>
      <c r="BK691" s="1"/>
      <c r="BL691" s="1"/>
      <c r="BM691" s="7"/>
      <c r="BN691" s="7"/>
      <c r="BO691" s="1"/>
      <c r="BP691" s="11"/>
      <c r="BQ691" s="11"/>
    </row>
    <row r="692" spans="1:69" x14ac:dyDescent="0.3">
      <c r="A692" s="20">
        <v>690</v>
      </c>
      <c r="B692" s="2" t="s">
        <v>690</v>
      </c>
      <c r="C692" s="2">
        <v>2023</v>
      </c>
      <c r="D692" s="2" t="s">
        <v>199</v>
      </c>
      <c r="E692" s="10" t="s">
        <v>803</v>
      </c>
      <c r="F692" s="20" t="s">
        <v>29</v>
      </c>
      <c r="G692" s="2" t="s">
        <v>699</v>
      </c>
      <c r="H692" s="2" t="str">
        <f>'PFAS Properties'!$B$44</f>
        <v>PFHxS</v>
      </c>
      <c r="I692" s="2" t="str">
        <f>'PFAS Properties'!$C$44</f>
        <v>PFSA</v>
      </c>
      <c r="J692" s="2" t="str">
        <f>'PFAS Properties'!$D$44</f>
        <v>C6F13O3SH</v>
      </c>
      <c r="K692" s="25">
        <f>'PFAS Properties'!$P$44</f>
        <v>399.94379999999995</v>
      </c>
      <c r="L692" s="2">
        <f>'PFAS Properties'!$X$44</f>
        <v>0.1</v>
      </c>
      <c r="M692" s="2" t="str">
        <f>'PFAS Properties'!$Y$44</f>
        <v>-</v>
      </c>
      <c r="N692" s="33">
        <v>0</v>
      </c>
      <c r="O692" s="33">
        <v>0</v>
      </c>
      <c r="P692" s="33">
        <v>0</v>
      </c>
      <c r="Q692" s="33">
        <f t="shared" si="358"/>
        <v>0.99999800474166611</v>
      </c>
      <c r="R692" s="33">
        <v>0</v>
      </c>
      <c r="S692" s="33">
        <f t="shared" si="359"/>
        <v>1.9952583339051124E-6</v>
      </c>
      <c r="T692" s="8">
        <f t="shared" si="368"/>
        <v>1</v>
      </c>
      <c r="U692" s="33">
        <f t="shared" si="369"/>
        <v>0</v>
      </c>
      <c r="V692" s="33">
        <f t="shared" si="370"/>
        <v>-0.99999800474166611</v>
      </c>
      <c r="W692" s="33">
        <f t="shared" si="371"/>
        <v>398.9438019952583</v>
      </c>
      <c r="X692" s="33">
        <v>96485</v>
      </c>
      <c r="Y692" s="16">
        <f t="shared" si="372"/>
        <v>-241.85062408526008</v>
      </c>
      <c r="Z692" s="16">
        <v>6</v>
      </c>
      <c r="AA692" s="16">
        <v>13</v>
      </c>
      <c r="AB692" s="8">
        <f t="shared" si="373"/>
        <v>0.291497975708502</v>
      </c>
      <c r="AC692" s="16">
        <f t="shared" si="349"/>
        <v>61.758677094131734</v>
      </c>
      <c r="AD692" s="20">
        <f>'PFAS Properties'!$W$44</f>
        <v>6</v>
      </c>
      <c r="AE692" s="8">
        <f>'PFAS Properties'!$S$44</f>
        <v>3.7905666251460763</v>
      </c>
      <c r="AF692" s="15">
        <f>'PFAS Properties'!$V$44</f>
        <v>3.6</v>
      </c>
      <c r="AG692" s="26">
        <v>5.8</v>
      </c>
      <c r="AH692" s="2" t="s">
        <v>701</v>
      </c>
      <c r="AI692" s="15">
        <f t="shared" si="363"/>
        <v>1.6753499999999999</v>
      </c>
      <c r="AJ692" s="16">
        <v>30</v>
      </c>
      <c r="AK692" s="8">
        <f t="shared" si="364"/>
        <v>0.16753499999999999</v>
      </c>
      <c r="AL692" s="15">
        <f t="shared" si="365"/>
        <v>0.75549599999999995</v>
      </c>
      <c r="AM692" s="16">
        <v>28</v>
      </c>
      <c r="AN692" s="8">
        <f t="shared" si="366"/>
        <v>7.5549599999999995E-2</v>
      </c>
      <c r="AO692" s="15" t="s">
        <v>705</v>
      </c>
      <c r="AP692" s="15">
        <v>0.77</v>
      </c>
      <c r="AQ692" s="15" t="s">
        <v>702</v>
      </c>
      <c r="AR692" s="4">
        <v>89</v>
      </c>
      <c r="AS692" s="4">
        <v>8</v>
      </c>
      <c r="AT692" s="4">
        <v>3</v>
      </c>
      <c r="AU692" s="2" t="s">
        <v>703</v>
      </c>
      <c r="AV692" s="16">
        <f t="shared" si="362"/>
        <v>100</v>
      </c>
      <c r="AW692" s="7">
        <v>0.3</v>
      </c>
      <c r="AX692" s="8">
        <f t="shared" si="361"/>
        <v>3.0000000000000001E-3</v>
      </c>
      <c r="AY692" s="8" t="s">
        <v>704</v>
      </c>
      <c r="AZ692" s="16">
        <v>10</v>
      </c>
      <c r="BA692" s="16" t="s">
        <v>55</v>
      </c>
      <c r="BB692" s="16" t="s">
        <v>55</v>
      </c>
      <c r="BC692" s="16" t="s">
        <v>55</v>
      </c>
      <c r="BD692" s="24">
        <f t="shared" si="367"/>
        <v>4.5708818961487507</v>
      </c>
      <c r="BE692" s="16">
        <f t="shared" si="346"/>
        <v>1523.6272987162502</v>
      </c>
      <c r="BF692" s="16">
        <f t="shared" si="374"/>
        <v>3.1828787452803375</v>
      </c>
      <c r="BG692" s="8">
        <v>0.66</v>
      </c>
      <c r="BH692" s="15" t="s">
        <v>853</v>
      </c>
      <c r="BI692" s="1"/>
      <c r="BJ692" s="2"/>
      <c r="BK692" s="1"/>
      <c r="BL692" s="1"/>
      <c r="BM692" s="7"/>
      <c r="BN692" s="7"/>
      <c r="BO692" s="1"/>
      <c r="BP692" s="11"/>
      <c r="BQ692" s="11"/>
    </row>
    <row r="693" spans="1:69" s="14" customFormat="1" x14ac:dyDescent="0.3">
      <c r="A693" s="20">
        <v>691</v>
      </c>
      <c r="B693" s="2" t="s">
        <v>204</v>
      </c>
      <c r="C693" s="2">
        <v>2013</v>
      </c>
      <c r="D693" s="2" t="s">
        <v>203</v>
      </c>
      <c r="E693" s="10" t="s">
        <v>792</v>
      </c>
      <c r="F693" s="20" t="s">
        <v>29</v>
      </c>
      <c r="G693" s="2" t="s">
        <v>46</v>
      </c>
      <c r="H693" s="2" t="str">
        <f>'PFAS Properties'!$B$44</f>
        <v>PFHxS</v>
      </c>
      <c r="I693" s="2" t="str">
        <f>'PFAS Properties'!$C$44</f>
        <v>PFSA</v>
      </c>
      <c r="J693" s="2" t="str">
        <f>'PFAS Properties'!$D$44</f>
        <v>C6F13O3SH</v>
      </c>
      <c r="K693" s="25">
        <f>'PFAS Properties'!$P$44</f>
        <v>399.94379999999995</v>
      </c>
      <c r="L693" s="2">
        <f>'PFAS Properties'!$X$44</f>
        <v>0.1</v>
      </c>
      <c r="M693" s="2" t="str">
        <f>'PFAS Properties'!$Y$44</f>
        <v>-</v>
      </c>
      <c r="N693" s="33">
        <v>0</v>
      </c>
      <c r="O693" s="33">
        <v>0</v>
      </c>
      <c r="P693" s="33">
        <v>0</v>
      </c>
      <c r="Q693" s="33">
        <f t="shared" si="358"/>
        <v>0.99999900000099995</v>
      </c>
      <c r="R693" s="33">
        <v>0</v>
      </c>
      <c r="S693" s="33">
        <f t="shared" si="359"/>
        <v>9.9999900000100006E-7</v>
      </c>
      <c r="T693" s="8">
        <f t="shared" si="368"/>
        <v>1</v>
      </c>
      <c r="U693" s="33">
        <f t="shared" si="369"/>
        <v>0</v>
      </c>
      <c r="V693" s="33">
        <f t="shared" si="370"/>
        <v>-0.99999900000099995</v>
      </c>
      <c r="W693" s="33">
        <f t="shared" si="371"/>
        <v>398.94380099999893</v>
      </c>
      <c r="X693" s="33">
        <v>96485</v>
      </c>
      <c r="Y693" s="16">
        <f t="shared" si="372"/>
        <v>-241.85086539318539</v>
      </c>
      <c r="Z693" s="16">
        <v>6</v>
      </c>
      <c r="AA693" s="16">
        <v>13</v>
      </c>
      <c r="AB693" s="8">
        <f t="shared" si="373"/>
        <v>0.291497975708502</v>
      </c>
      <c r="AC693" s="16">
        <f t="shared" si="349"/>
        <v>61.758677094131734</v>
      </c>
      <c r="AD693" s="20">
        <f>'PFAS Properties'!$W$44</f>
        <v>6</v>
      </c>
      <c r="AE693" s="8">
        <f>'PFAS Properties'!$S$44</f>
        <v>3.7905666251460763</v>
      </c>
      <c r="AF693" s="15">
        <f>'PFAS Properties'!$V$44</f>
        <v>3.6</v>
      </c>
      <c r="AG693" s="24">
        <v>6.1</v>
      </c>
      <c r="AH693" s="2" t="s">
        <v>661</v>
      </c>
      <c r="AI693" s="15">
        <v>2.21</v>
      </c>
      <c r="AJ693" s="16">
        <f>AI693*1000/55.845</f>
        <v>39.573820395738203</v>
      </c>
      <c r="AK693" s="8">
        <f>AI693/10</f>
        <v>0.221</v>
      </c>
      <c r="AL693" s="15">
        <v>0.93</v>
      </c>
      <c r="AM693" s="16">
        <f>AL693*1000/26.98</f>
        <v>34.469977761304669</v>
      </c>
      <c r="AN693" s="8">
        <f>AL693/10</f>
        <v>9.2999999999999999E-2</v>
      </c>
      <c r="AO693" s="15" t="s">
        <v>41</v>
      </c>
      <c r="AP693" s="72">
        <v>14.27683666666667</v>
      </c>
      <c r="AQ693" s="2" t="s">
        <v>752</v>
      </c>
      <c r="AR693" s="16">
        <v>81</v>
      </c>
      <c r="AS693" s="16">
        <v>1</v>
      </c>
      <c r="AT693" s="16">
        <v>9</v>
      </c>
      <c r="AU693" s="16" t="s">
        <v>661</v>
      </c>
      <c r="AV693" s="16">
        <f t="shared" si="362"/>
        <v>91</v>
      </c>
      <c r="AW693" s="18">
        <v>1.7</v>
      </c>
      <c r="AX693" s="13">
        <f t="shared" si="361"/>
        <v>1.7000000000000001E-2</v>
      </c>
      <c r="AY693" s="13" t="s">
        <v>42</v>
      </c>
      <c r="AZ693" s="16">
        <f>15/0.04</f>
        <v>375</v>
      </c>
      <c r="BA693" s="16" t="s">
        <v>55</v>
      </c>
      <c r="BB693" s="15">
        <v>0.5</v>
      </c>
      <c r="BC693" s="16">
        <v>1000</v>
      </c>
      <c r="BD693" s="18">
        <v>1.04</v>
      </c>
      <c r="BE693" s="15">
        <f t="shared" si="346"/>
        <v>61.17647058823529</v>
      </c>
      <c r="BF693" s="15">
        <f t="shared" si="374"/>
        <v>1.7865844179205064</v>
      </c>
      <c r="BG693" s="8">
        <f t="shared" ref="BG693:BG724" si="375">LOG(BD693)</f>
        <v>1.703333929878037E-2</v>
      </c>
      <c r="BH693" s="13" t="s">
        <v>844</v>
      </c>
      <c r="BI693" s="13"/>
      <c r="BJ693" s="13"/>
      <c r="BK693" s="15"/>
      <c r="BL693" s="8"/>
      <c r="BM693" s="18"/>
      <c r="BN693" s="8"/>
      <c r="BO693" s="24"/>
    </row>
    <row r="694" spans="1:69" s="14" customFormat="1" x14ac:dyDescent="0.3">
      <c r="A694" s="20">
        <v>692</v>
      </c>
      <c r="B694" s="2" t="s">
        <v>204</v>
      </c>
      <c r="C694" s="2">
        <v>2013</v>
      </c>
      <c r="D694" s="2" t="s">
        <v>203</v>
      </c>
      <c r="E694" s="10" t="s">
        <v>792</v>
      </c>
      <c r="F694" s="20" t="s">
        <v>29</v>
      </c>
      <c r="G694" s="2" t="s">
        <v>50</v>
      </c>
      <c r="H694" s="2" t="str">
        <f>'PFAS Properties'!$B$44</f>
        <v>PFHxS</v>
      </c>
      <c r="I694" s="2" t="str">
        <f>'PFAS Properties'!$C$44</f>
        <v>PFSA</v>
      </c>
      <c r="J694" s="2" t="str">
        <f>'PFAS Properties'!$D$44</f>
        <v>C6F13O3SH</v>
      </c>
      <c r="K694" s="25">
        <f>'PFAS Properties'!$P$44</f>
        <v>399.94379999999995</v>
      </c>
      <c r="L694" s="2">
        <f>'PFAS Properties'!$X$44</f>
        <v>0.1</v>
      </c>
      <c r="M694" s="2" t="str">
        <f>'PFAS Properties'!$Y$44</f>
        <v>-</v>
      </c>
      <c r="N694" s="33">
        <v>0</v>
      </c>
      <c r="O694" s="33">
        <v>0</v>
      </c>
      <c r="P694" s="33">
        <v>0</v>
      </c>
      <c r="Q694" s="33">
        <f t="shared" si="358"/>
        <v>0.99999998004737722</v>
      </c>
      <c r="R694" s="33">
        <v>0</v>
      </c>
      <c r="S694" s="33">
        <f t="shared" si="359"/>
        <v>1.995262275158161E-8</v>
      </c>
      <c r="T694" s="8">
        <f t="shared" si="368"/>
        <v>1</v>
      </c>
      <c r="U694" s="33">
        <f t="shared" si="369"/>
        <v>0</v>
      </c>
      <c r="V694" s="33">
        <f t="shared" si="370"/>
        <v>-0.99999998004737722</v>
      </c>
      <c r="W694" s="33">
        <f t="shared" si="371"/>
        <v>398.94380001995256</v>
      </c>
      <c r="X694" s="33">
        <v>96485</v>
      </c>
      <c r="Y694" s="16">
        <f t="shared" si="372"/>
        <v>-241.85110301261892</v>
      </c>
      <c r="Z694" s="16">
        <v>6</v>
      </c>
      <c r="AA694" s="16">
        <v>13</v>
      </c>
      <c r="AB694" s="8">
        <f t="shared" si="373"/>
        <v>0.291497975708502</v>
      </c>
      <c r="AC694" s="16">
        <f t="shared" si="349"/>
        <v>61.758677094131734</v>
      </c>
      <c r="AD694" s="20">
        <f>'PFAS Properties'!$W$44</f>
        <v>6</v>
      </c>
      <c r="AE694" s="8">
        <f>'PFAS Properties'!$S$44</f>
        <v>3.7905666251460763</v>
      </c>
      <c r="AF694" s="15">
        <f>'PFAS Properties'!$V$44</f>
        <v>3.6</v>
      </c>
      <c r="AG694" s="24">
        <v>7.8</v>
      </c>
      <c r="AH694" s="2" t="s">
        <v>661</v>
      </c>
      <c r="AI694" s="15">
        <v>6.14</v>
      </c>
      <c r="AJ694" s="16">
        <f>AI694/10</f>
        <v>0.61399999999999999</v>
      </c>
      <c r="AK694" s="8">
        <f>AI694/10</f>
        <v>0.61399999999999999</v>
      </c>
      <c r="AL694" s="15">
        <v>1.67</v>
      </c>
      <c r="AM694" s="15">
        <f>AL694/10</f>
        <v>0.16699999999999998</v>
      </c>
      <c r="AN694" s="8">
        <f>AL694/10</f>
        <v>0.16699999999999998</v>
      </c>
      <c r="AO694" s="15" t="s">
        <v>41</v>
      </c>
      <c r="AP694" s="72">
        <v>6.4956666666666676</v>
      </c>
      <c r="AQ694" s="2" t="s">
        <v>752</v>
      </c>
      <c r="AR694" s="16">
        <v>33</v>
      </c>
      <c r="AS694" s="16">
        <v>42</v>
      </c>
      <c r="AT694" s="16">
        <v>25</v>
      </c>
      <c r="AU694" s="16" t="s">
        <v>661</v>
      </c>
      <c r="AV694" s="16">
        <f t="shared" si="362"/>
        <v>100</v>
      </c>
      <c r="AW694" s="18">
        <v>4.5</v>
      </c>
      <c r="AX694" s="13">
        <f t="shared" si="361"/>
        <v>4.4999999999999998E-2</v>
      </c>
      <c r="AY694" s="13" t="s">
        <v>42</v>
      </c>
      <c r="AZ694" s="16">
        <f>15/0.04</f>
        <v>375</v>
      </c>
      <c r="BA694" s="16" t="s">
        <v>55</v>
      </c>
      <c r="BB694" s="15">
        <v>0.5</v>
      </c>
      <c r="BC694" s="16">
        <v>1000</v>
      </c>
      <c r="BD694" s="18">
        <v>6.27</v>
      </c>
      <c r="BE694" s="15">
        <f t="shared" si="346"/>
        <v>139.33333333333334</v>
      </c>
      <c r="BF694" s="15">
        <f t="shared" si="374"/>
        <v>2.1440550270553729</v>
      </c>
      <c r="BG694" s="8">
        <f t="shared" si="375"/>
        <v>0.79726754083071638</v>
      </c>
      <c r="BH694" s="13" t="s">
        <v>844</v>
      </c>
      <c r="BI694" s="13"/>
      <c r="BJ694" s="13"/>
      <c r="BK694" s="15"/>
      <c r="BL694" s="8"/>
      <c r="BM694" s="18"/>
      <c r="BN694" s="8"/>
      <c r="BO694" s="24"/>
    </row>
    <row r="695" spans="1:69" s="14" customFormat="1" x14ac:dyDescent="0.3">
      <c r="A695" s="20">
        <v>693</v>
      </c>
      <c r="B695" s="2" t="s">
        <v>204</v>
      </c>
      <c r="C695" s="2">
        <v>2013</v>
      </c>
      <c r="D695" s="2" t="s">
        <v>203</v>
      </c>
      <c r="E695" s="10" t="s">
        <v>792</v>
      </c>
      <c r="F695" s="20" t="s">
        <v>29</v>
      </c>
      <c r="G695" s="2" t="s">
        <v>40</v>
      </c>
      <c r="H695" s="2" t="str">
        <f>'PFAS Properties'!$B$44</f>
        <v>PFHxS</v>
      </c>
      <c r="I695" s="2" t="str">
        <f>'PFAS Properties'!$C$44</f>
        <v>PFSA</v>
      </c>
      <c r="J695" s="2" t="str">
        <f>'PFAS Properties'!$D$44</f>
        <v>C6F13O3SH</v>
      </c>
      <c r="K695" s="25">
        <f>'PFAS Properties'!$P$44</f>
        <v>399.94379999999995</v>
      </c>
      <c r="L695" s="2">
        <f>'PFAS Properties'!$X$44</f>
        <v>0.1</v>
      </c>
      <c r="M695" s="2" t="str">
        <f>'PFAS Properties'!$Y$44</f>
        <v>-</v>
      </c>
      <c r="N695" s="33">
        <v>0</v>
      </c>
      <c r="O695" s="33">
        <v>0</v>
      </c>
      <c r="P695" s="33">
        <v>0</v>
      </c>
      <c r="Q695" s="33">
        <f t="shared" si="358"/>
        <v>0.99999205678074798</v>
      </c>
      <c r="R695" s="33">
        <v>0</v>
      </c>
      <c r="S695" s="33">
        <f t="shared" si="359"/>
        <v>7.9432192520095278E-6</v>
      </c>
      <c r="T695" s="8">
        <f t="shared" si="368"/>
        <v>1</v>
      </c>
      <c r="U695" s="33">
        <f t="shared" si="369"/>
        <v>0</v>
      </c>
      <c r="V695" s="33">
        <f t="shared" si="370"/>
        <v>-0.99999205678074798</v>
      </c>
      <c r="W695" s="33">
        <f t="shared" si="371"/>
        <v>398.94380794321916</v>
      </c>
      <c r="X695" s="33">
        <v>96485</v>
      </c>
      <c r="Y695" s="16">
        <f t="shared" si="372"/>
        <v>-241.84918195853504</v>
      </c>
      <c r="Z695" s="16">
        <v>6</v>
      </c>
      <c r="AA695" s="16">
        <v>13</v>
      </c>
      <c r="AB695" s="8">
        <f t="shared" si="373"/>
        <v>0.291497975708502</v>
      </c>
      <c r="AC695" s="16">
        <f t="shared" si="349"/>
        <v>61.758677094131734</v>
      </c>
      <c r="AD695" s="20">
        <f>'PFAS Properties'!$W$44</f>
        <v>6</v>
      </c>
      <c r="AE695" s="8">
        <f>'PFAS Properties'!$S$44</f>
        <v>3.7905666251460763</v>
      </c>
      <c r="AF695" s="15">
        <f>'PFAS Properties'!$V$44</f>
        <v>3.6</v>
      </c>
      <c r="AG695" s="24">
        <v>5.2</v>
      </c>
      <c r="AH695" s="2" t="s">
        <v>661</v>
      </c>
      <c r="AI695" s="15">
        <v>24.17</v>
      </c>
      <c r="AJ695" s="16">
        <f>AI695*1000/55.845</f>
        <v>432.80508550452146</v>
      </c>
      <c r="AK695" s="8">
        <f>AI695/10</f>
        <v>2.4170000000000003</v>
      </c>
      <c r="AL695" s="15">
        <v>3.99</v>
      </c>
      <c r="AM695" s="16">
        <f>AL695*1000/26.98</f>
        <v>147.88732394366198</v>
      </c>
      <c r="AN695" s="8">
        <f>AL695/10</f>
        <v>0.39900000000000002</v>
      </c>
      <c r="AO695" s="15" t="s">
        <v>41</v>
      </c>
      <c r="AP695" s="72">
        <v>12.009766666666669</v>
      </c>
      <c r="AQ695" s="2" t="s">
        <v>752</v>
      </c>
      <c r="AR695" s="16">
        <v>47</v>
      </c>
      <c r="AS695" s="16">
        <v>20</v>
      </c>
      <c r="AT695" s="16">
        <v>33</v>
      </c>
      <c r="AU695" s="16" t="s">
        <v>661</v>
      </c>
      <c r="AV695" s="16">
        <f t="shared" si="362"/>
        <v>100</v>
      </c>
      <c r="AW695" s="18">
        <v>0.8</v>
      </c>
      <c r="AX695" s="13">
        <f t="shared" si="361"/>
        <v>8.0000000000000002E-3</v>
      </c>
      <c r="AY695" s="13" t="s">
        <v>42</v>
      </c>
      <c r="AZ695" s="16">
        <f>15/0.04</f>
        <v>375</v>
      </c>
      <c r="BA695" s="16" t="s">
        <v>55</v>
      </c>
      <c r="BB695" s="15">
        <v>0.5</v>
      </c>
      <c r="BC695" s="16">
        <v>1000</v>
      </c>
      <c r="BD695" s="18">
        <v>0.8</v>
      </c>
      <c r="BE695" s="15">
        <f t="shared" si="346"/>
        <v>100</v>
      </c>
      <c r="BF695" s="15">
        <f t="shared" si="374"/>
        <v>2</v>
      </c>
      <c r="BG695" s="8">
        <f t="shared" si="375"/>
        <v>-9.6910013008056392E-2</v>
      </c>
      <c r="BH695" s="13" t="s">
        <v>844</v>
      </c>
      <c r="BI695" s="13"/>
      <c r="BJ695" s="13"/>
      <c r="BK695" s="15"/>
      <c r="BL695" s="8"/>
      <c r="BM695" s="18"/>
      <c r="BN695" s="8"/>
      <c r="BO695" s="24"/>
    </row>
    <row r="696" spans="1:69" s="14" customFormat="1" x14ac:dyDescent="0.3">
      <c r="A696" s="20">
        <v>694</v>
      </c>
      <c r="B696" s="2" t="s">
        <v>221</v>
      </c>
      <c r="C696" s="2">
        <v>2016</v>
      </c>
      <c r="D696" s="2" t="s">
        <v>199</v>
      </c>
      <c r="E696" s="22" t="s">
        <v>811</v>
      </c>
      <c r="F696" s="20" t="s">
        <v>63</v>
      </c>
      <c r="G696" s="2" t="s">
        <v>64</v>
      </c>
      <c r="H696" s="2" t="str">
        <f>'PFAS Properties'!$B$44</f>
        <v>PFHxS</v>
      </c>
      <c r="I696" s="2" t="str">
        <f>'PFAS Properties'!$C$44</f>
        <v>PFSA</v>
      </c>
      <c r="J696" s="2" t="str">
        <f>'PFAS Properties'!$D$44</f>
        <v>C6F13O3SH</v>
      </c>
      <c r="K696" s="25">
        <f>'PFAS Properties'!$P$44</f>
        <v>399.94379999999995</v>
      </c>
      <c r="L696" s="2">
        <f>'PFAS Properties'!$X$44</f>
        <v>0.1</v>
      </c>
      <c r="M696" s="2" t="str">
        <f>'PFAS Properties'!$Y$44</f>
        <v>-</v>
      </c>
      <c r="N696" s="33">
        <v>0</v>
      </c>
      <c r="O696" s="33">
        <v>0</v>
      </c>
      <c r="P696" s="33">
        <v>0</v>
      </c>
      <c r="Q696" s="33">
        <f t="shared" si="358"/>
        <v>0.99999996837722438</v>
      </c>
      <c r="R696" s="33">
        <v>0</v>
      </c>
      <c r="S696" s="33">
        <f t="shared" si="359"/>
        <v>3.1622775601683729E-8</v>
      </c>
      <c r="T696" s="8">
        <f t="shared" si="368"/>
        <v>1</v>
      </c>
      <c r="U696" s="33">
        <f t="shared" si="369"/>
        <v>0</v>
      </c>
      <c r="V696" s="33">
        <f t="shared" si="370"/>
        <v>-0.99999996837722438</v>
      </c>
      <c r="W696" s="33">
        <f t="shared" si="371"/>
        <v>398.94380003162274</v>
      </c>
      <c r="X696" s="33">
        <v>96485</v>
      </c>
      <c r="Y696" s="16">
        <f t="shared" si="372"/>
        <v>-241.85110018310473</v>
      </c>
      <c r="Z696" s="16">
        <v>6</v>
      </c>
      <c r="AA696" s="16">
        <v>13</v>
      </c>
      <c r="AB696" s="8">
        <f t="shared" si="373"/>
        <v>0.291497975708502</v>
      </c>
      <c r="AC696" s="16">
        <f t="shared" si="349"/>
        <v>61.758677094131734</v>
      </c>
      <c r="AD696" s="20">
        <f>'PFAS Properties'!$W$44</f>
        <v>6</v>
      </c>
      <c r="AE696" s="8">
        <f>'PFAS Properties'!$S$44</f>
        <v>3.7905666251460763</v>
      </c>
      <c r="AF696" s="15">
        <f>'PFAS Properties'!$V$44</f>
        <v>3.6</v>
      </c>
      <c r="AG696" s="24">
        <v>7.6</v>
      </c>
      <c r="AH696" s="2" t="s">
        <v>661</v>
      </c>
      <c r="AI696" s="2">
        <v>2.8492E-2</v>
      </c>
      <c r="AJ696" s="15">
        <f>AI696*1000/55.845</f>
        <v>0.51019786910197873</v>
      </c>
      <c r="AK696" s="8">
        <f t="shared" si="364"/>
        <v>2.8492000000000001E-3</v>
      </c>
      <c r="AL696" s="12">
        <v>1.2054E-2</v>
      </c>
      <c r="AM696" s="15">
        <f>AL696*1000/26.98</f>
        <v>0.4467753891771683</v>
      </c>
      <c r="AN696" s="8">
        <f t="shared" si="366"/>
        <v>1.2054000000000001E-3</v>
      </c>
      <c r="AO696" s="2" t="s">
        <v>661</v>
      </c>
      <c r="AP696" s="72">
        <v>15.90036666666667</v>
      </c>
      <c r="AQ696" s="70" t="s">
        <v>752</v>
      </c>
      <c r="AR696" s="2">
        <v>4</v>
      </c>
      <c r="AS696" s="2">
        <v>61</v>
      </c>
      <c r="AT696" s="2">
        <v>35</v>
      </c>
      <c r="AU696" s="2" t="s">
        <v>661</v>
      </c>
      <c r="AV696" s="16">
        <f t="shared" si="362"/>
        <v>100</v>
      </c>
      <c r="AW696" s="20">
        <v>2.52</v>
      </c>
      <c r="AX696" s="8">
        <f t="shared" si="361"/>
        <v>2.52E-2</v>
      </c>
      <c r="AY696" s="13" t="s">
        <v>65</v>
      </c>
      <c r="AZ696" s="16">
        <f>5/0.04</f>
        <v>125</v>
      </c>
      <c r="BA696" s="16" t="s">
        <v>55</v>
      </c>
      <c r="BB696" s="15">
        <v>0.5</v>
      </c>
      <c r="BC696" s="16">
        <v>100</v>
      </c>
      <c r="BD696" s="18">
        <f>10^0.22</f>
        <v>1.6595869074375607</v>
      </c>
      <c r="BE696" s="15">
        <f t="shared" si="346"/>
        <v>65.856623311014317</v>
      </c>
      <c r="BF696" s="15">
        <f t="shared" si="374"/>
        <v>1.818599459218456</v>
      </c>
      <c r="BG696" s="8">
        <f t="shared" si="375"/>
        <v>0.22</v>
      </c>
      <c r="BH696" s="13" t="s">
        <v>390</v>
      </c>
      <c r="BI696" s="13"/>
      <c r="BJ696" s="13"/>
      <c r="BK696" s="15"/>
      <c r="BL696" s="8"/>
      <c r="BM696" s="18"/>
      <c r="BN696" s="8"/>
      <c r="BO696" s="24"/>
    </row>
    <row r="697" spans="1:69" s="14" customFormat="1" x14ac:dyDescent="0.3">
      <c r="A697" s="20">
        <v>695</v>
      </c>
      <c r="B697" s="2" t="s">
        <v>211</v>
      </c>
      <c r="C697" s="2">
        <v>2019</v>
      </c>
      <c r="D697" s="2" t="s">
        <v>212</v>
      </c>
      <c r="E697" s="10" t="s">
        <v>213</v>
      </c>
      <c r="F697" s="20" t="s">
        <v>29</v>
      </c>
      <c r="G697" s="2" t="s">
        <v>55</v>
      </c>
      <c r="H697" s="2" t="str">
        <f>'PFAS Properties'!$B$44</f>
        <v>PFHxS</v>
      </c>
      <c r="I697" s="2" t="str">
        <f>'PFAS Properties'!$C$44</f>
        <v>PFSA</v>
      </c>
      <c r="J697" s="2" t="str">
        <f>'PFAS Properties'!$D$44</f>
        <v>C6F13O3SH</v>
      </c>
      <c r="K697" s="25">
        <f>'PFAS Properties'!$P$44</f>
        <v>399.94379999999995</v>
      </c>
      <c r="L697" s="2">
        <f>'PFAS Properties'!$X$44</f>
        <v>0.1</v>
      </c>
      <c r="M697" s="2" t="str">
        <f>'PFAS Properties'!$Y$44</f>
        <v>-</v>
      </c>
      <c r="N697" s="33">
        <v>0</v>
      </c>
      <c r="O697" s="33">
        <v>0</v>
      </c>
      <c r="P697" s="33">
        <v>0</v>
      </c>
      <c r="Q697" s="33">
        <f t="shared" si="358"/>
        <v>0.99999987410747471</v>
      </c>
      <c r="R697" s="33">
        <v>0</v>
      </c>
      <c r="S697" s="33">
        <f t="shared" si="359"/>
        <v>1.2589252533048661E-7</v>
      </c>
      <c r="T697" s="8">
        <f t="shared" si="368"/>
        <v>1</v>
      </c>
      <c r="U697" s="33">
        <f t="shared" si="369"/>
        <v>0</v>
      </c>
      <c r="V697" s="33">
        <f t="shared" si="370"/>
        <v>-0.99999987410747471</v>
      </c>
      <c r="W697" s="33">
        <f t="shared" si="371"/>
        <v>398.94380012589249</v>
      </c>
      <c r="X697" s="33">
        <v>96485</v>
      </c>
      <c r="Y697" s="16">
        <f t="shared" si="372"/>
        <v>-241.85107732671233</v>
      </c>
      <c r="Z697" s="16">
        <v>6</v>
      </c>
      <c r="AA697" s="16">
        <v>13</v>
      </c>
      <c r="AB697" s="8">
        <f t="shared" si="373"/>
        <v>0.291497975708502</v>
      </c>
      <c r="AC697" s="16">
        <f t="shared" si="349"/>
        <v>61.758677094131734</v>
      </c>
      <c r="AD697" s="20">
        <f>'PFAS Properties'!$W$44</f>
        <v>6</v>
      </c>
      <c r="AE697" s="8">
        <f>'PFAS Properties'!$S$44</f>
        <v>3.7905666251460763</v>
      </c>
      <c r="AF697" s="15">
        <f>'PFAS Properties'!$V$44</f>
        <v>3.6</v>
      </c>
      <c r="AG697" s="24">
        <v>7</v>
      </c>
      <c r="AH697" s="2" t="s">
        <v>661</v>
      </c>
      <c r="AI697" s="2" t="s">
        <v>661</v>
      </c>
      <c r="AJ697" s="2" t="s">
        <v>661</v>
      </c>
      <c r="AK697" s="2" t="s">
        <v>661</v>
      </c>
      <c r="AL697" s="2" t="s">
        <v>661</v>
      </c>
      <c r="AM697" s="2" t="s">
        <v>661</v>
      </c>
      <c r="AN697" s="2" t="s">
        <v>661</v>
      </c>
      <c r="AO697" s="2" t="s">
        <v>661</v>
      </c>
      <c r="AP697" s="59">
        <f>(26.31+26.59+27.81)/3</f>
        <v>26.903333333333332</v>
      </c>
      <c r="AQ697" s="16" t="s">
        <v>661</v>
      </c>
      <c r="AR697" s="71">
        <v>31.549399999999999</v>
      </c>
      <c r="AS697" s="71">
        <v>38.265099999999997</v>
      </c>
      <c r="AT697" s="71">
        <v>30.404799999999991</v>
      </c>
      <c r="AU697" s="70" t="s">
        <v>752</v>
      </c>
      <c r="AV697" s="16">
        <f t="shared" si="362"/>
        <v>100.21929999999999</v>
      </c>
      <c r="AW697" s="18">
        <f>(1.55+1.44+1.34)/3</f>
        <v>1.4433333333333334</v>
      </c>
      <c r="AX697" s="8">
        <f t="shared" si="361"/>
        <v>1.4433333333333333E-2</v>
      </c>
      <c r="AY697" s="8" t="s">
        <v>829</v>
      </c>
      <c r="AZ697" s="16">
        <f>5/0.01</f>
        <v>500</v>
      </c>
      <c r="BA697" s="16" t="s">
        <v>55</v>
      </c>
      <c r="BB697" s="16">
        <v>10</v>
      </c>
      <c r="BC697" s="16">
        <v>100</v>
      </c>
      <c r="BD697" s="18">
        <v>0.45</v>
      </c>
      <c r="BE697" s="15">
        <f t="shared" si="346"/>
        <v>31.177829099307161</v>
      </c>
      <c r="BF697" s="15">
        <f t="shared" si="374"/>
        <v>1.4938458721416408</v>
      </c>
      <c r="BG697" s="8">
        <f t="shared" si="375"/>
        <v>-0.34678748622465633</v>
      </c>
      <c r="BH697" s="2" t="s">
        <v>838</v>
      </c>
      <c r="BI697" s="2"/>
      <c r="BJ697" s="2"/>
      <c r="BK697" s="2"/>
      <c r="BL697" s="2"/>
      <c r="BM697" s="20"/>
      <c r="BN697" s="20"/>
      <c r="BO697" s="2"/>
    </row>
    <row r="698" spans="1:69" s="14" customFormat="1" x14ac:dyDescent="0.3">
      <c r="A698" s="20">
        <v>696</v>
      </c>
      <c r="B698" s="2" t="s">
        <v>200</v>
      </c>
      <c r="C698" s="2">
        <v>2021</v>
      </c>
      <c r="D698" s="2" t="s">
        <v>201</v>
      </c>
      <c r="E698" s="10" t="s">
        <v>794</v>
      </c>
      <c r="F698" s="20" t="s">
        <v>29</v>
      </c>
      <c r="G698" s="2" t="s">
        <v>30</v>
      </c>
      <c r="H698" s="2" t="str">
        <f>'PFAS Properties'!$B$44</f>
        <v>PFHxS</v>
      </c>
      <c r="I698" s="2" t="str">
        <f>'PFAS Properties'!$C$44</f>
        <v>PFSA</v>
      </c>
      <c r="J698" s="2" t="str">
        <f>'PFAS Properties'!$D$44</f>
        <v>C6F13O3SH</v>
      </c>
      <c r="K698" s="25">
        <f>'PFAS Properties'!$P$44</f>
        <v>399.94379999999995</v>
      </c>
      <c r="L698" s="2">
        <f>'PFAS Properties'!$X$44</f>
        <v>0.1</v>
      </c>
      <c r="M698" s="2" t="str">
        <f>'PFAS Properties'!$Y$44</f>
        <v>-</v>
      </c>
      <c r="N698" s="33">
        <v>0</v>
      </c>
      <c r="O698" s="33">
        <v>0</v>
      </c>
      <c r="P698" s="33">
        <v>0</v>
      </c>
      <c r="Q698" s="33">
        <f t="shared" si="358"/>
        <v>0.99999601894414336</v>
      </c>
      <c r="R698" s="33">
        <v>0</v>
      </c>
      <c r="S698" s="33">
        <f t="shared" si="359"/>
        <v>3.981055856666137E-6</v>
      </c>
      <c r="T698" s="8">
        <f t="shared" si="368"/>
        <v>1</v>
      </c>
      <c r="U698" s="33">
        <f t="shared" si="369"/>
        <v>0</v>
      </c>
      <c r="V698" s="33">
        <f t="shared" si="370"/>
        <v>-0.99999601894414336</v>
      </c>
      <c r="W698" s="33">
        <f t="shared" si="371"/>
        <v>398.94380398105585</v>
      </c>
      <c r="X698" s="33">
        <v>96485</v>
      </c>
      <c r="Y698" s="16">
        <f t="shared" si="372"/>
        <v>-241.85014261408938</v>
      </c>
      <c r="Z698" s="16">
        <v>6</v>
      </c>
      <c r="AA698" s="16">
        <v>13</v>
      </c>
      <c r="AB698" s="8">
        <f t="shared" si="373"/>
        <v>0.291497975708502</v>
      </c>
      <c r="AC698" s="16">
        <f t="shared" si="349"/>
        <v>61.758677094131734</v>
      </c>
      <c r="AD698" s="20">
        <f>'PFAS Properties'!$W$44</f>
        <v>6</v>
      </c>
      <c r="AE698" s="8">
        <f>'PFAS Properties'!$S$44</f>
        <v>3.7905666251460763</v>
      </c>
      <c r="AF698" s="15">
        <f>'PFAS Properties'!$V$44</f>
        <v>3.6</v>
      </c>
      <c r="AG698" s="24">
        <v>5.5</v>
      </c>
      <c r="AH698" s="2" t="s">
        <v>834</v>
      </c>
      <c r="AI698" s="15">
        <v>1.0129999999999999</v>
      </c>
      <c r="AJ698" s="16">
        <f t="shared" ref="AJ698:AJ723" si="376">AI698*1000/55.845</f>
        <v>18.13949324021846</v>
      </c>
      <c r="AK698" s="8">
        <f t="shared" ref="AK698:AK723" si="377">AI698/10</f>
        <v>0.10129999999999999</v>
      </c>
      <c r="AL698" s="15">
        <v>0.40400000000000003</v>
      </c>
      <c r="AM698" s="16">
        <f t="shared" ref="AM698:AM723" si="378">AL698*1000/26.98</f>
        <v>14.974054855448481</v>
      </c>
      <c r="AN698" s="8">
        <f t="shared" ref="AN698:AN723" si="379">AL698/10</f>
        <v>4.0400000000000005E-2</v>
      </c>
      <c r="AO698" s="15" t="s">
        <v>31</v>
      </c>
      <c r="AP698" s="15">
        <v>23.4</v>
      </c>
      <c r="AQ698" s="16" t="s">
        <v>689</v>
      </c>
      <c r="AR698" s="16">
        <v>54.4</v>
      </c>
      <c r="AS698" s="16">
        <v>35</v>
      </c>
      <c r="AT698" s="16">
        <v>10.6</v>
      </c>
      <c r="AU698" s="16" t="s">
        <v>664</v>
      </c>
      <c r="AV698" s="16">
        <f t="shared" si="362"/>
        <v>100</v>
      </c>
      <c r="AW698" s="20">
        <v>1.6</v>
      </c>
      <c r="AX698" s="8">
        <f t="shared" si="361"/>
        <v>1.6E-2</v>
      </c>
      <c r="AY698" s="8" t="s">
        <v>32</v>
      </c>
      <c r="AZ698" s="16">
        <f t="shared" ref="AZ698:AZ704" si="380">3/0.03</f>
        <v>100</v>
      </c>
      <c r="BA698" s="16" t="s">
        <v>55</v>
      </c>
      <c r="BB698" s="16">
        <v>50</v>
      </c>
      <c r="BC698" s="16" t="s">
        <v>55</v>
      </c>
      <c r="BD698" s="20">
        <v>2.4</v>
      </c>
      <c r="BE698" s="15">
        <f t="shared" si="346"/>
        <v>150</v>
      </c>
      <c r="BF698" s="15">
        <f t="shared" si="374"/>
        <v>2.1760912590556813</v>
      </c>
      <c r="BG698" s="8">
        <f t="shared" si="375"/>
        <v>0.38021124171160603</v>
      </c>
      <c r="BH698" s="2" t="s">
        <v>841</v>
      </c>
      <c r="BI698" s="2"/>
      <c r="BJ698" s="2"/>
      <c r="BK698" s="2"/>
      <c r="BL698" s="2"/>
      <c r="BM698" s="20"/>
      <c r="BN698" s="20"/>
      <c r="BO698" s="2"/>
    </row>
    <row r="699" spans="1:69" s="14" customFormat="1" x14ac:dyDescent="0.3">
      <c r="A699" s="20">
        <v>697</v>
      </c>
      <c r="B699" s="2" t="s">
        <v>200</v>
      </c>
      <c r="C699" s="2">
        <v>2021</v>
      </c>
      <c r="D699" s="2" t="s">
        <v>201</v>
      </c>
      <c r="E699" s="10" t="s">
        <v>794</v>
      </c>
      <c r="F699" s="20" t="s">
        <v>29</v>
      </c>
      <c r="G699" s="2" t="s">
        <v>33</v>
      </c>
      <c r="H699" s="2" t="str">
        <f>'PFAS Properties'!$B$44</f>
        <v>PFHxS</v>
      </c>
      <c r="I699" s="2" t="str">
        <f>'PFAS Properties'!$C$44</f>
        <v>PFSA</v>
      </c>
      <c r="J699" s="2" t="str">
        <f>'PFAS Properties'!$D$44</f>
        <v>C6F13O3SH</v>
      </c>
      <c r="K699" s="25">
        <f>'PFAS Properties'!$P$44</f>
        <v>399.94379999999995</v>
      </c>
      <c r="L699" s="2">
        <f>'PFAS Properties'!$X$44</f>
        <v>0.1</v>
      </c>
      <c r="M699" s="2" t="str">
        <f>'PFAS Properties'!$Y$44</f>
        <v>-</v>
      </c>
      <c r="N699" s="33">
        <v>0</v>
      </c>
      <c r="O699" s="33">
        <v>0</v>
      </c>
      <c r="P699" s="33">
        <v>0</v>
      </c>
      <c r="Q699" s="33">
        <f t="shared" si="358"/>
        <v>0.99999998741074603</v>
      </c>
      <c r="R699" s="33">
        <v>0</v>
      </c>
      <c r="S699" s="33">
        <f t="shared" si="359"/>
        <v>1.258925395945232E-8</v>
      </c>
      <c r="T699" s="8">
        <f t="shared" si="368"/>
        <v>1</v>
      </c>
      <c r="U699" s="33">
        <f t="shared" si="369"/>
        <v>0</v>
      </c>
      <c r="V699" s="33">
        <f t="shared" si="370"/>
        <v>-0.99999998741074603</v>
      </c>
      <c r="W699" s="33">
        <f t="shared" si="371"/>
        <v>398.94380001258918</v>
      </c>
      <c r="X699" s="33">
        <v>96485</v>
      </c>
      <c r="Y699" s="16">
        <f t="shared" si="372"/>
        <v>-241.85110479792169</v>
      </c>
      <c r="Z699" s="16">
        <v>6</v>
      </c>
      <c r="AA699" s="16">
        <v>13</v>
      </c>
      <c r="AB699" s="8">
        <f t="shared" si="373"/>
        <v>0.291497975708502</v>
      </c>
      <c r="AC699" s="16">
        <f t="shared" si="349"/>
        <v>61.758677094131734</v>
      </c>
      <c r="AD699" s="20">
        <f>'PFAS Properties'!$W$44</f>
        <v>6</v>
      </c>
      <c r="AE699" s="8">
        <f>'PFAS Properties'!$S$44</f>
        <v>3.7905666251460763</v>
      </c>
      <c r="AF699" s="15">
        <f>'PFAS Properties'!$V$44</f>
        <v>3.6</v>
      </c>
      <c r="AG699" s="24">
        <v>8</v>
      </c>
      <c r="AH699" s="2" t="s">
        <v>834</v>
      </c>
      <c r="AI699" s="15">
        <v>2.9660000000000002</v>
      </c>
      <c r="AJ699" s="16">
        <f t="shared" si="376"/>
        <v>53.111290178171728</v>
      </c>
      <c r="AK699" s="8">
        <f t="shared" si="377"/>
        <v>0.29660000000000003</v>
      </c>
      <c r="AL699" s="15">
        <v>0.23</v>
      </c>
      <c r="AM699" s="16">
        <f t="shared" si="378"/>
        <v>8.5248332097850259</v>
      </c>
      <c r="AN699" s="8">
        <f t="shared" si="379"/>
        <v>2.3E-2</v>
      </c>
      <c r="AO699" s="15" t="s">
        <v>31</v>
      </c>
      <c r="AP699" s="15">
        <v>87.3</v>
      </c>
      <c r="AQ699" s="16" t="s">
        <v>689</v>
      </c>
      <c r="AR699" s="16">
        <v>12.2</v>
      </c>
      <c r="AS699" s="16">
        <v>54.3</v>
      </c>
      <c r="AT699" s="16">
        <v>33.5</v>
      </c>
      <c r="AU699" s="16" t="s">
        <v>664</v>
      </c>
      <c r="AV699" s="16">
        <f t="shared" si="362"/>
        <v>100</v>
      </c>
      <c r="AW699" s="20">
        <v>7.7</v>
      </c>
      <c r="AX699" s="8">
        <f t="shared" si="361"/>
        <v>7.6999999999999999E-2</v>
      </c>
      <c r="AY699" s="8" t="s">
        <v>32</v>
      </c>
      <c r="AZ699" s="16">
        <f t="shared" si="380"/>
        <v>100</v>
      </c>
      <c r="BA699" s="16" t="s">
        <v>55</v>
      </c>
      <c r="BB699" s="16">
        <v>50</v>
      </c>
      <c r="BC699" s="16" t="s">
        <v>55</v>
      </c>
      <c r="BD699" s="20">
        <v>4.0999999999999996</v>
      </c>
      <c r="BE699" s="15">
        <f t="shared" si="346"/>
        <v>53.246753246753244</v>
      </c>
      <c r="BF699" s="15">
        <f t="shared" si="374"/>
        <v>1.7262931315472536</v>
      </c>
      <c r="BG699" s="8">
        <f t="shared" si="375"/>
        <v>0.61278385671973545</v>
      </c>
      <c r="BH699" s="2" t="s">
        <v>841</v>
      </c>
      <c r="BI699" s="2"/>
      <c r="BJ699" s="2"/>
      <c r="BK699" s="2"/>
      <c r="BL699" s="2"/>
      <c r="BM699" s="20"/>
      <c r="BN699" s="20"/>
      <c r="BO699" s="2"/>
    </row>
    <row r="700" spans="1:69" s="14" customFormat="1" x14ac:dyDescent="0.3">
      <c r="A700" s="20">
        <v>698</v>
      </c>
      <c r="B700" s="2" t="s">
        <v>200</v>
      </c>
      <c r="C700" s="2">
        <v>2021</v>
      </c>
      <c r="D700" s="2" t="s">
        <v>201</v>
      </c>
      <c r="E700" s="10" t="s">
        <v>794</v>
      </c>
      <c r="F700" s="20" t="s">
        <v>29</v>
      </c>
      <c r="G700" s="2" t="s">
        <v>34</v>
      </c>
      <c r="H700" s="2" t="str">
        <f>'PFAS Properties'!$B$44</f>
        <v>PFHxS</v>
      </c>
      <c r="I700" s="2" t="str">
        <f>'PFAS Properties'!$C$44</f>
        <v>PFSA</v>
      </c>
      <c r="J700" s="2" t="str">
        <f>'PFAS Properties'!$D$44</f>
        <v>C6F13O3SH</v>
      </c>
      <c r="K700" s="25">
        <f>'PFAS Properties'!$P$44</f>
        <v>399.94379999999995</v>
      </c>
      <c r="L700" s="2">
        <f>'PFAS Properties'!$X$44</f>
        <v>0.1</v>
      </c>
      <c r="M700" s="2" t="str">
        <f>'PFAS Properties'!$Y$44</f>
        <v>-</v>
      </c>
      <c r="N700" s="33">
        <v>0</v>
      </c>
      <c r="O700" s="33">
        <v>0</v>
      </c>
      <c r="P700" s="33">
        <v>0</v>
      </c>
      <c r="Q700" s="33">
        <f t="shared" si="358"/>
        <v>0.99999205678074798</v>
      </c>
      <c r="R700" s="33">
        <v>0</v>
      </c>
      <c r="S700" s="33">
        <f t="shared" si="359"/>
        <v>7.9432192520095278E-6</v>
      </c>
      <c r="T700" s="8">
        <f t="shared" si="368"/>
        <v>1</v>
      </c>
      <c r="U700" s="33">
        <f t="shared" si="369"/>
        <v>0</v>
      </c>
      <c r="V700" s="33">
        <f t="shared" si="370"/>
        <v>-0.99999205678074798</v>
      </c>
      <c r="W700" s="33">
        <f t="shared" si="371"/>
        <v>398.94380794321916</v>
      </c>
      <c r="X700" s="33">
        <v>96485</v>
      </c>
      <c r="Y700" s="16">
        <f t="shared" si="372"/>
        <v>-241.84918195853504</v>
      </c>
      <c r="Z700" s="16">
        <v>6</v>
      </c>
      <c r="AA700" s="16">
        <v>13</v>
      </c>
      <c r="AB700" s="8">
        <f t="shared" si="373"/>
        <v>0.291497975708502</v>
      </c>
      <c r="AC700" s="16">
        <f t="shared" si="349"/>
        <v>61.758677094131734</v>
      </c>
      <c r="AD700" s="20">
        <f>'PFAS Properties'!$W$44</f>
        <v>6</v>
      </c>
      <c r="AE700" s="8">
        <f>'PFAS Properties'!$S$44</f>
        <v>3.7905666251460763</v>
      </c>
      <c r="AF700" s="15">
        <f>'PFAS Properties'!$V$44</f>
        <v>3.6</v>
      </c>
      <c r="AG700" s="24">
        <v>5.2</v>
      </c>
      <c r="AH700" s="2" t="s">
        <v>834</v>
      </c>
      <c r="AI700" s="15">
        <v>4.5149999999999997</v>
      </c>
      <c r="AJ700" s="16">
        <f t="shared" si="376"/>
        <v>80.848777867311313</v>
      </c>
      <c r="AK700" s="8">
        <f t="shared" si="377"/>
        <v>0.45149999999999996</v>
      </c>
      <c r="AL700" s="15">
        <v>0.377</v>
      </c>
      <c r="AM700" s="16">
        <f t="shared" si="378"/>
        <v>13.973313565604151</v>
      </c>
      <c r="AN700" s="8">
        <f t="shared" si="379"/>
        <v>3.7699999999999997E-2</v>
      </c>
      <c r="AO700" s="15" t="s">
        <v>31</v>
      </c>
      <c r="AP700" s="15">
        <v>44.3</v>
      </c>
      <c r="AQ700" s="16" t="s">
        <v>689</v>
      </c>
      <c r="AR700" s="16">
        <v>41.3</v>
      </c>
      <c r="AS700" s="16">
        <v>39.799999999999997</v>
      </c>
      <c r="AT700" s="16">
        <v>18.899999999999999</v>
      </c>
      <c r="AU700" s="16" t="s">
        <v>664</v>
      </c>
      <c r="AV700" s="16">
        <f t="shared" si="362"/>
        <v>100</v>
      </c>
      <c r="AW700" s="20">
        <v>9.4</v>
      </c>
      <c r="AX700" s="8">
        <f t="shared" si="361"/>
        <v>9.4E-2</v>
      </c>
      <c r="AY700" s="8" t="s">
        <v>32</v>
      </c>
      <c r="AZ700" s="16">
        <f t="shared" si="380"/>
        <v>100</v>
      </c>
      <c r="BA700" s="16" t="s">
        <v>55</v>
      </c>
      <c r="BB700" s="16">
        <v>50</v>
      </c>
      <c r="BC700" s="16" t="s">
        <v>55</v>
      </c>
      <c r="BD700" s="20">
        <v>5.4</v>
      </c>
      <c r="BE700" s="15">
        <f t="shared" si="346"/>
        <v>57.446808510638299</v>
      </c>
      <c r="BF700" s="15">
        <f t="shared" si="374"/>
        <v>1.7592659062232698</v>
      </c>
      <c r="BG700" s="8">
        <f t="shared" si="375"/>
        <v>0.7323937598229685</v>
      </c>
      <c r="BH700" s="2" t="s">
        <v>841</v>
      </c>
      <c r="BI700" s="2"/>
      <c r="BJ700" s="2"/>
      <c r="BK700" s="2"/>
      <c r="BL700" s="2"/>
      <c r="BM700" s="20"/>
      <c r="BN700" s="20"/>
      <c r="BO700" s="2"/>
    </row>
    <row r="701" spans="1:69" s="14" customFormat="1" x14ac:dyDescent="0.3">
      <c r="A701" s="20">
        <v>699</v>
      </c>
      <c r="B701" s="2" t="s">
        <v>200</v>
      </c>
      <c r="C701" s="2">
        <v>2021</v>
      </c>
      <c r="D701" s="2" t="s">
        <v>201</v>
      </c>
      <c r="E701" s="10" t="s">
        <v>794</v>
      </c>
      <c r="F701" s="20" t="s">
        <v>29</v>
      </c>
      <c r="G701" s="2" t="s">
        <v>35</v>
      </c>
      <c r="H701" s="2" t="str">
        <f>'PFAS Properties'!$B$44</f>
        <v>PFHxS</v>
      </c>
      <c r="I701" s="2" t="str">
        <f>'PFAS Properties'!$C$44</f>
        <v>PFSA</v>
      </c>
      <c r="J701" s="2" t="str">
        <f>'PFAS Properties'!$D$44</f>
        <v>C6F13O3SH</v>
      </c>
      <c r="K701" s="25">
        <f>'PFAS Properties'!$P$44</f>
        <v>399.94379999999995</v>
      </c>
      <c r="L701" s="2">
        <f>'PFAS Properties'!$X$44</f>
        <v>0.1</v>
      </c>
      <c r="M701" s="2" t="str">
        <f>'PFAS Properties'!$Y$44</f>
        <v>-</v>
      </c>
      <c r="N701" s="33">
        <v>0</v>
      </c>
      <c r="O701" s="33">
        <v>0</v>
      </c>
      <c r="P701" s="33">
        <v>0</v>
      </c>
      <c r="Q701" s="33">
        <f t="shared" si="358"/>
        <v>0.99999800474166611</v>
      </c>
      <c r="R701" s="33">
        <v>0</v>
      </c>
      <c r="S701" s="33">
        <f t="shared" si="359"/>
        <v>1.9952583339051124E-6</v>
      </c>
      <c r="T701" s="8">
        <f t="shared" si="368"/>
        <v>1</v>
      </c>
      <c r="U701" s="33">
        <f t="shared" si="369"/>
        <v>0</v>
      </c>
      <c r="V701" s="33">
        <f t="shared" si="370"/>
        <v>-0.99999800474166611</v>
      </c>
      <c r="W701" s="33">
        <f t="shared" si="371"/>
        <v>398.9438019952583</v>
      </c>
      <c r="X701" s="33">
        <v>96485</v>
      </c>
      <c r="Y701" s="16">
        <f t="shared" si="372"/>
        <v>-241.85062408526008</v>
      </c>
      <c r="Z701" s="16">
        <v>6</v>
      </c>
      <c r="AA701" s="16">
        <v>13</v>
      </c>
      <c r="AB701" s="8">
        <f t="shared" si="373"/>
        <v>0.291497975708502</v>
      </c>
      <c r="AC701" s="16">
        <f t="shared" si="349"/>
        <v>61.758677094131734</v>
      </c>
      <c r="AD701" s="20">
        <f>'PFAS Properties'!$W$44</f>
        <v>6</v>
      </c>
      <c r="AE701" s="8">
        <f>'PFAS Properties'!$S$44</f>
        <v>3.7905666251460763</v>
      </c>
      <c r="AF701" s="15">
        <f>'PFAS Properties'!$V$44</f>
        <v>3.6</v>
      </c>
      <c r="AG701" s="24">
        <v>5.8</v>
      </c>
      <c r="AH701" s="2" t="s">
        <v>834</v>
      </c>
      <c r="AI701" s="15">
        <v>6.5019999999999998</v>
      </c>
      <c r="AJ701" s="16">
        <f t="shared" si="376"/>
        <v>116.42940281135286</v>
      </c>
      <c r="AK701" s="8">
        <f t="shared" si="377"/>
        <v>0.6502</v>
      </c>
      <c r="AL701" s="15">
        <v>1.732</v>
      </c>
      <c r="AM701" s="16">
        <f t="shared" si="378"/>
        <v>64.195700518902896</v>
      </c>
      <c r="AN701" s="8">
        <f t="shared" si="379"/>
        <v>0.17319999999999999</v>
      </c>
      <c r="AO701" s="15" t="s">
        <v>31</v>
      </c>
      <c r="AP701" s="15">
        <v>90</v>
      </c>
      <c r="AQ701" s="16" t="s">
        <v>689</v>
      </c>
      <c r="AR701" s="16">
        <v>46</v>
      </c>
      <c r="AS701" s="16">
        <v>51</v>
      </c>
      <c r="AT701" s="16">
        <v>3</v>
      </c>
      <c r="AU701" s="16" t="s">
        <v>664</v>
      </c>
      <c r="AV701" s="16">
        <f t="shared" si="362"/>
        <v>100</v>
      </c>
      <c r="AW701" s="20">
        <v>27</v>
      </c>
      <c r="AX701" s="8">
        <f t="shared" si="361"/>
        <v>0.27</v>
      </c>
      <c r="AY701" s="8" t="s">
        <v>32</v>
      </c>
      <c r="AZ701" s="16">
        <f t="shared" si="380"/>
        <v>100</v>
      </c>
      <c r="BA701" s="16" t="s">
        <v>55</v>
      </c>
      <c r="BB701" s="16">
        <v>140</v>
      </c>
      <c r="BC701" s="16" t="s">
        <v>55</v>
      </c>
      <c r="BD701" s="20">
        <v>18</v>
      </c>
      <c r="BE701" s="15">
        <f t="shared" si="346"/>
        <v>66.666666666666657</v>
      </c>
      <c r="BF701" s="15">
        <f t="shared" si="374"/>
        <v>1.8239087409443187</v>
      </c>
      <c r="BG701" s="8">
        <f t="shared" si="375"/>
        <v>1.255272505103306</v>
      </c>
      <c r="BH701" s="2" t="s">
        <v>841</v>
      </c>
      <c r="BI701" s="2"/>
      <c r="BJ701" s="2"/>
      <c r="BK701" s="2"/>
      <c r="BL701" s="2"/>
      <c r="BM701" s="20"/>
      <c r="BN701" s="20"/>
      <c r="BO701" s="2"/>
    </row>
    <row r="702" spans="1:69" s="14" customFormat="1" x14ac:dyDescent="0.3">
      <c r="A702" s="20">
        <v>700</v>
      </c>
      <c r="B702" s="2" t="s">
        <v>200</v>
      </c>
      <c r="C702" s="2">
        <v>2021</v>
      </c>
      <c r="D702" s="2" t="s">
        <v>201</v>
      </c>
      <c r="E702" s="10" t="s">
        <v>794</v>
      </c>
      <c r="F702" s="20" t="s">
        <v>29</v>
      </c>
      <c r="G702" s="2" t="s">
        <v>36</v>
      </c>
      <c r="H702" s="2" t="str">
        <f>'PFAS Properties'!$B$44</f>
        <v>PFHxS</v>
      </c>
      <c r="I702" s="2" t="str">
        <f>'PFAS Properties'!$C$44</f>
        <v>PFSA</v>
      </c>
      <c r="J702" s="2" t="str">
        <f>'PFAS Properties'!$D$44</f>
        <v>C6F13O3SH</v>
      </c>
      <c r="K702" s="25">
        <f>'PFAS Properties'!$P$44</f>
        <v>399.94379999999995</v>
      </c>
      <c r="L702" s="2">
        <f>'PFAS Properties'!$X$44</f>
        <v>0.1</v>
      </c>
      <c r="M702" s="2" t="str">
        <f>'PFAS Properties'!$Y$44</f>
        <v>-</v>
      </c>
      <c r="N702" s="33">
        <v>0</v>
      </c>
      <c r="O702" s="33">
        <v>0</v>
      </c>
      <c r="P702" s="33">
        <v>0</v>
      </c>
      <c r="Q702" s="33">
        <f t="shared" si="358"/>
        <v>0.9999974881198781</v>
      </c>
      <c r="R702" s="33">
        <v>0</v>
      </c>
      <c r="S702" s="33">
        <f t="shared" si="359"/>
        <v>2.5118801219519806E-6</v>
      </c>
      <c r="T702" s="8">
        <f t="shared" si="368"/>
        <v>1</v>
      </c>
      <c r="U702" s="33">
        <f t="shared" si="369"/>
        <v>0</v>
      </c>
      <c r="V702" s="33">
        <f t="shared" si="370"/>
        <v>-0.9999974881198781</v>
      </c>
      <c r="W702" s="33">
        <f t="shared" si="371"/>
        <v>398.94380251188011</v>
      </c>
      <c r="X702" s="33">
        <v>96485</v>
      </c>
      <c r="Y702" s="16">
        <f t="shared" si="372"/>
        <v>-241.85049882651887</v>
      </c>
      <c r="Z702" s="16">
        <v>6</v>
      </c>
      <c r="AA702" s="16">
        <v>13</v>
      </c>
      <c r="AB702" s="8">
        <f t="shared" si="373"/>
        <v>0.291497975708502</v>
      </c>
      <c r="AC702" s="16">
        <f t="shared" si="349"/>
        <v>61.758677094131734</v>
      </c>
      <c r="AD702" s="20">
        <f>'PFAS Properties'!$W$44</f>
        <v>6</v>
      </c>
      <c r="AE702" s="8">
        <f>'PFAS Properties'!$S$44</f>
        <v>3.7905666251460763</v>
      </c>
      <c r="AF702" s="15">
        <f>'PFAS Properties'!$V$44</f>
        <v>3.6</v>
      </c>
      <c r="AG702" s="24">
        <v>5.7</v>
      </c>
      <c r="AH702" s="2" t="s">
        <v>834</v>
      </c>
      <c r="AI702" s="15">
        <v>12.358000000000001</v>
      </c>
      <c r="AJ702" s="16">
        <f t="shared" si="376"/>
        <v>221.29107350702839</v>
      </c>
      <c r="AK702" s="8">
        <f t="shared" si="377"/>
        <v>1.2358</v>
      </c>
      <c r="AL702" s="15">
        <v>1.0269999999999999</v>
      </c>
      <c r="AM702" s="16">
        <f t="shared" si="378"/>
        <v>38.065233506300963</v>
      </c>
      <c r="AN702" s="8">
        <f t="shared" si="379"/>
        <v>0.10269999999999999</v>
      </c>
      <c r="AO702" s="15" t="s">
        <v>31</v>
      </c>
      <c r="AP702" s="15">
        <v>103</v>
      </c>
      <c r="AQ702" s="16" t="s">
        <v>689</v>
      </c>
      <c r="AR702" s="16">
        <v>35</v>
      </c>
      <c r="AS702" s="16">
        <v>63</v>
      </c>
      <c r="AT702" s="16">
        <v>2</v>
      </c>
      <c r="AU702" s="16" t="s">
        <v>664</v>
      </c>
      <c r="AV702" s="16">
        <f t="shared" si="362"/>
        <v>100</v>
      </c>
      <c r="AW702" s="20">
        <v>32</v>
      </c>
      <c r="AX702" s="8">
        <f t="shared" si="361"/>
        <v>0.32</v>
      </c>
      <c r="AY702" s="8" t="s">
        <v>32</v>
      </c>
      <c r="AZ702" s="16">
        <f t="shared" si="380"/>
        <v>100</v>
      </c>
      <c r="BA702" s="16" t="s">
        <v>55</v>
      </c>
      <c r="BB702" s="16">
        <v>140</v>
      </c>
      <c r="BC702" s="16" t="s">
        <v>55</v>
      </c>
      <c r="BD702" s="20">
        <v>17</v>
      </c>
      <c r="BE702" s="15">
        <f t="shared" si="346"/>
        <v>53.125</v>
      </c>
      <c r="BF702" s="15">
        <f t="shared" si="374"/>
        <v>1.7252989430583681</v>
      </c>
      <c r="BG702" s="8">
        <f t="shared" si="375"/>
        <v>1.2304489213782739</v>
      </c>
      <c r="BH702" s="2" t="s">
        <v>841</v>
      </c>
      <c r="BI702" s="2"/>
      <c r="BJ702" s="2"/>
      <c r="BK702" s="2"/>
      <c r="BL702" s="2"/>
      <c r="BM702" s="20"/>
      <c r="BN702" s="20"/>
      <c r="BO702" s="2"/>
    </row>
    <row r="703" spans="1:69" s="14" customFormat="1" x14ac:dyDescent="0.3">
      <c r="A703" s="20">
        <v>701</v>
      </c>
      <c r="B703" s="2" t="s">
        <v>200</v>
      </c>
      <c r="C703" s="2">
        <v>2021</v>
      </c>
      <c r="D703" s="2" t="s">
        <v>201</v>
      </c>
      <c r="E703" s="10" t="s">
        <v>794</v>
      </c>
      <c r="F703" s="20" t="s">
        <v>29</v>
      </c>
      <c r="G703" s="2" t="s">
        <v>37</v>
      </c>
      <c r="H703" s="2" t="str">
        <f>'PFAS Properties'!$B$44</f>
        <v>PFHxS</v>
      </c>
      <c r="I703" s="2" t="str">
        <f>'PFAS Properties'!$C$44</f>
        <v>PFSA</v>
      </c>
      <c r="J703" s="2" t="str">
        <f>'PFAS Properties'!$D$44</f>
        <v>C6F13O3SH</v>
      </c>
      <c r="K703" s="25">
        <f>'PFAS Properties'!$P$44</f>
        <v>399.94379999999995</v>
      </c>
      <c r="L703" s="2">
        <f>'PFAS Properties'!$X$44</f>
        <v>0.1</v>
      </c>
      <c r="M703" s="2" t="str">
        <f>'PFAS Properties'!$Y$44</f>
        <v>-</v>
      </c>
      <c r="N703" s="33">
        <v>0</v>
      </c>
      <c r="O703" s="33">
        <v>0</v>
      </c>
      <c r="P703" s="33">
        <v>0</v>
      </c>
      <c r="Q703" s="33">
        <f t="shared" si="358"/>
        <v>0.9999974881198781</v>
      </c>
      <c r="R703" s="33">
        <v>0</v>
      </c>
      <c r="S703" s="33">
        <f t="shared" si="359"/>
        <v>2.5118801219519806E-6</v>
      </c>
      <c r="T703" s="8">
        <f t="shared" si="368"/>
        <v>1</v>
      </c>
      <c r="U703" s="33">
        <f t="shared" si="369"/>
        <v>0</v>
      </c>
      <c r="V703" s="33">
        <f t="shared" si="370"/>
        <v>-0.9999974881198781</v>
      </c>
      <c r="W703" s="33">
        <f t="shared" si="371"/>
        <v>398.94380251188011</v>
      </c>
      <c r="X703" s="33">
        <v>96485</v>
      </c>
      <c r="Y703" s="16">
        <f t="shared" si="372"/>
        <v>-241.85049882651887</v>
      </c>
      <c r="Z703" s="16">
        <v>6</v>
      </c>
      <c r="AA703" s="16">
        <v>13</v>
      </c>
      <c r="AB703" s="8">
        <f t="shared" si="373"/>
        <v>0.291497975708502</v>
      </c>
      <c r="AC703" s="16">
        <f t="shared" si="349"/>
        <v>61.758677094131734</v>
      </c>
      <c r="AD703" s="20">
        <f>'PFAS Properties'!$W$44</f>
        <v>6</v>
      </c>
      <c r="AE703" s="8">
        <f>'PFAS Properties'!$S$44</f>
        <v>3.7905666251460763</v>
      </c>
      <c r="AF703" s="15">
        <f>'PFAS Properties'!$V$44</f>
        <v>3.6</v>
      </c>
      <c r="AG703" s="24">
        <v>5.7</v>
      </c>
      <c r="AH703" s="2" t="s">
        <v>834</v>
      </c>
      <c r="AI703" s="15">
        <v>10.64</v>
      </c>
      <c r="AJ703" s="16">
        <f t="shared" si="376"/>
        <v>190.52735249350883</v>
      </c>
      <c r="AK703" s="8">
        <f t="shared" si="377"/>
        <v>1.0640000000000001</v>
      </c>
      <c r="AL703" s="15">
        <v>0.16700000000000001</v>
      </c>
      <c r="AM703" s="16">
        <f t="shared" si="378"/>
        <v>6.1897702001482582</v>
      </c>
      <c r="AN703" s="8">
        <f t="shared" si="379"/>
        <v>1.67E-2</v>
      </c>
      <c r="AO703" s="15" t="s">
        <v>31</v>
      </c>
      <c r="AP703" s="15">
        <v>140</v>
      </c>
      <c r="AQ703" s="16" t="s">
        <v>689</v>
      </c>
      <c r="AR703" s="16">
        <v>20.7</v>
      </c>
      <c r="AS703" s="16">
        <v>78</v>
      </c>
      <c r="AT703" s="16">
        <v>1.3</v>
      </c>
      <c r="AU703" s="16" t="s">
        <v>664</v>
      </c>
      <c r="AV703" s="16">
        <f t="shared" si="362"/>
        <v>100</v>
      </c>
      <c r="AW703" s="20">
        <v>39</v>
      </c>
      <c r="AX703" s="8">
        <f t="shared" si="361"/>
        <v>0.39</v>
      </c>
      <c r="AY703" s="8" t="s">
        <v>32</v>
      </c>
      <c r="AZ703" s="16">
        <f t="shared" si="380"/>
        <v>100</v>
      </c>
      <c r="BA703" s="16" t="s">
        <v>55</v>
      </c>
      <c r="BB703" s="16">
        <v>140</v>
      </c>
      <c r="BC703" s="16" t="s">
        <v>55</v>
      </c>
      <c r="BD703" s="20">
        <v>21</v>
      </c>
      <c r="BE703" s="15">
        <f t="shared" ref="BE703:BE766" si="381">BD703/AX703</f>
        <v>53.846153846153847</v>
      </c>
      <c r="BF703" s="15">
        <f t="shared" si="374"/>
        <v>1.73115468770742</v>
      </c>
      <c r="BG703" s="8">
        <f t="shared" si="375"/>
        <v>1.3222192947339193</v>
      </c>
      <c r="BH703" s="2" t="s">
        <v>841</v>
      </c>
      <c r="BI703" s="2"/>
      <c r="BJ703" s="2"/>
      <c r="BK703" s="2"/>
      <c r="BL703" s="2"/>
      <c r="BM703" s="20"/>
      <c r="BN703" s="20"/>
      <c r="BO703" s="2"/>
    </row>
    <row r="704" spans="1:69" s="14" customFormat="1" x14ac:dyDescent="0.3">
      <c r="A704" s="20">
        <v>702</v>
      </c>
      <c r="B704" s="2" t="s">
        <v>200</v>
      </c>
      <c r="C704" s="2">
        <v>2021</v>
      </c>
      <c r="D704" s="2" t="s">
        <v>201</v>
      </c>
      <c r="E704" s="10" t="s">
        <v>794</v>
      </c>
      <c r="F704" s="20" t="s">
        <v>29</v>
      </c>
      <c r="G704" s="2" t="s">
        <v>38</v>
      </c>
      <c r="H704" s="2" t="str">
        <f>'PFAS Properties'!$B$44</f>
        <v>PFHxS</v>
      </c>
      <c r="I704" s="2" t="str">
        <f>'PFAS Properties'!$C$44</f>
        <v>PFSA</v>
      </c>
      <c r="J704" s="2" t="str">
        <f>'PFAS Properties'!$D$44</f>
        <v>C6F13O3SH</v>
      </c>
      <c r="K704" s="25">
        <f>'PFAS Properties'!$P$44</f>
        <v>399.94379999999995</v>
      </c>
      <c r="L704" s="2">
        <f>'PFAS Properties'!$X$44</f>
        <v>0.1</v>
      </c>
      <c r="M704" s="2" t="str">
        <f>'PFAS Properties'!$Y$44</f>
        <v>-</v>
      </c>
      <c r="N704" s="33">
        <v>0</v>
      </c>
      <c r="O704" s="33">
        <v>0</v>
      </c>
      <c r="P704" s="33">
        <v>0</v>
      </c>
      <c r="Q704" s="33">
        <f t="shared" si="358"/>
        <v>0.9999974881198781</v>
      </c>
      <c r="R704" s="33">
        <v>0</v>
      </c>
      <c r="S704" s="33">
        <f t="shared" si="359"/>
        <v>2.5118801219519806E-6</v>
      </c>
      <c r="T704" s="8">
        <f t="shared" si="368"/>
        <v>1</v>
      </c>
      <c r="U704" s="33">
        <f t="shared" si="369"/>
        <v>0</v>
      </c>
      <c r="V704" s="33">
        <f t="shared" si="370"/>
        <v>-0.9999974881198781</v>
      </c>
      <c r="W704" s="33">
        <f t="shared" si="371"/>
        <v>398.94380251188011</v>
      </c>
      <c r="X704" s="33">
        <v>96485</v>
      </c>
      <c r="Y704" s="16">
        <f t="shared" si="372"/>
        <v>-241.85049882651887</v>
      </c>
      <c r="Z704" s="16">
        <v>6</v>
      </c>
      <c r="AA704" s="16">
        <v>13</v>
      </c>
      <c r="AB704" s="8">
        <f t="shared" si="373"/>
        <v>0.291497975708502</v>
      </c>
      <c r="AC704" s="16">
        <f t="shared" si="349"/>
        <v>61.758677094131734</v>
      </c>
      <c r="AD704" s="20">
        <f>'PFAS Properties'!$W$44</f>
        <v>6</v>
      </c>
      <c r="AE704" s="8">
        <f>'PFAS Properties'!$S$44</f>
        <v>3.7905666251460763</v>
      </c>
      <c r="AF704" s="15">
        <f>'PFAS Properties'!$V$44</f>
        <v>3.6</v>
      </c>
      <c r="AG704" s="24">
        <v>5.7</v>
      </c>
      <c r="AH704" s="2" t="s">
        <v>834</v>
      </c>
      <c r="AI704" s="15">
        <v>19.667999999999999</v>
      </c>
      <c r="AJ704" s="16">
        <f t="shared" si="376"/>
        <v>352.18909481600861</v>
      </c>
      <c r="AK704" s="8">
        <f t="shared" si="377"/>
        <v>1.9667999999999999</v>
      </c>
      <c r="AL704" s="15">
        <v>0.48099999999999998</v>
      </c>
      <c r="AM704" s="16">
        <f t="shared" si="378"/>
        <v>17.828020756115642</v>
      </c>
      <c r="AN704" s="8">
        <f t="shared" si="379"/>
        <v>4.8099999999999997E-2</v>
      </c>
      <c r="AO704" s="15" t="s">
        <v>31</v>
      </c>
      <c r="AP704" s="15">
        <v>114</v>
      </c>
      <c r="AQ704" s="16" t="s">
        <v>689</v>
      </c>
      <c r="AR704" s="16">
        <v>20</v>
      </c>
      <c r="AS704" s="16">
        <v>78.900000000000006</v>
      </c>
      <c r="AT704" s="16">
        <v>1.1000000000000001</v>
      </c>
      <c r="AU704" s="16" t="s">
        <v>664</v>
      </c>
      <c r="AV704" s="16">
        <f t="shared" si="362"/>
        <v>100</v>
      </c>
      <c r="AW704" s="20">
        <v>41</v>
      </c>
      <c r="AX704" s="8">
        <f t="shared" si="361"/>
        <v>0.41</v>
      </c>
      <c r="AY704" s="8" t="s">
        <v>32</v>
      </c>
      <c r="AZ704" s="16">
        <f t="shared" si="380"/>
        <v>100</v>
      </c>
      <c r="BA704" s="16" t="s">
        <v>55</v>
      </c>
      <c r="BB704" s="16">
        <v>140</v>
      </c>
      <c r="BC704" s="16" t="s">
        <v>55</v>
      </c>
      <c r="BD704" s="20">
        <v>18</v>
      </c>
      <c r="BE704" s="15">
        <f t="shared" si="381"/>
        <v>43.902439024390247</v>
      </c>
      <c r="BF704" s="15">
        <f t="shared" si="374"/>
        <v>1.6424886483835706</v>
      </c>
      <c r="BG704" s="8">
        <f t="shared" si="375"/>
        <v>1.255272505103306</v>
      </c>
      <c r="BH704" s="2" t="s">
        <v>841</v>
      </c>
      <c r="BI704" s="2"/>
      <c r="BJ704" s="2"/>
      <c r="BK704" s="2"/>
      <c r="BL704" s="2"/>
      <c r="BM704" s="20"/>
      <c r="BN704" s="20"/>
      <c r="BO704" s="2"/>
    </row>
    <row r="705" spans="1:67" s="14" customFormat="1" x14ac:dyDescent="0.3">
      <c r="A705" s="20">
        <v>703</v>
      </c>
      <c r="B705" s="2" t="s">
        <v>219</v>
      </c>
      <c r="C705" s="2">
        <v>2020</v>
      </c>
      <c r="D705" s="2" t="s">
        <v>201</v>
      </c>
      <c r="E705" s="10" t="s">
        <v>801</v>
      </c>
      <c r="F705" s="20" t="s">
        <v>63</v>
      </c>
      <c r="G705" s="2" t="s">
        <v>66</v>
      </c>
      <c r="H705" s="2" t="str">
        <f>'PFAS Properties'!$B$44</f>
        <v>PFHxS</v>
      </c>
      <c r="I705" s="2" t="str">
        <f>'PFAS Properties'!$C$44</f>
        <v>PFSA</v>
      </c>
      <c r="J705" s="2" t="str">
        <f>'PFAS Properties'!$D$44</f>
        <v>C6F13O3SH</v>
      </c>
      <c r="K705" s="25">
        <f>'PFAS Properties'!$P$44</f>
        <v>399.94379999999995</v>
      </c>
      <c r="L705" s="2">
        <f>'PFAS Properties'!$X$44</f>
        <v>0.1</v>
      </c>
      <c r="M705" s="2" t="str">
        <f>'PFAS Properties'!$Y$44</f>
        <v>-</v>
      </c>
      <c r="N705" s="33">
        <v>0</v>
      </c>
      <c r="O705" s="33">
        <v>0</v>
      </c>
      <c r="P705" s="33">
        <v>0</v>
      </c>
      <c r="Q705" s="33">
        <f t="shared" si="358"/>
        <v>0.99999988779816718</v>
      </c>
      <c r="R705" s="33">
        <v>0</v>
      </c>
      <c r="S705" s="33">
        <f t="shared" si="359"/>
        <v>1.1220183284094351E-7</v>
      </c>
      <c r="T705" s="8">
        <f t="shared" si="368"/>
        <v>1</v>
      </c>
      <c r="U705" s="33">
        <f t="shared" si="369"/>
        <v>0</v>
      </c>
      <c r="V705" s="33">
        <f t="shared" si="370"/>
        <v>-0.99999988779816718</v>
      </c>
      <c r="W705" s="33">
        <f t="shared" si="371"/>
        <v>398.94380011220176</v>
      </c>
      <c r="X705" s="33">
        <v>96485</v>
      </c>
      <c r="Y705" s="16">
        <f t="shared" si="372"/>
        <v>-241.8510806461212</v>
      </c>
      <c r="Z705" s="16">
        <v>6</v>
      </c>
      <c r="AA705" s="16">
        <v>13</v>
      </c>
      <c r="AB705" s="8">
        <f t="shared" si="373"/>
        <v>0.291497975708502</v>
      </c>
      <c r="AC705" s="16">
        <f t="shared" si="349"/>
        <v>61.758677094131734</v>
      </c>
      <c r="AD705" s="20">
        <f>'PFAS Properties'!$W$44</f>
        <v>6</v>
      </c>
      <c r="AE705" s="8">
        <f>'PFAS Properties'!$S$44</f>
        <v>3.7905666251460763</v>
      </c>
      <c r="AF705" s="15">
        <f>'PFAS Properties'!$V$44</f>
        <v>3.6</v>
      </c>
      <c r="AG705" s="24">
        <v>7.05</v>
      </c>
      <c r="AH705" s="2" t="s">
        <v>661</v>
      </c>
      <c r="AI705" s="2">
        <v>9.9</v>
      </c>
      <c r="AJ705" s="15">
        <f t="shared" si="376"/>
        <v>177.27639000805803</v>
      </c>
      <c r="AK705" s="15">
        <f t="shared" si="377"/>
        <v>0.99</v>
      </c>
      <c r="AL705" s="2">
        <v>3.3</v>
      </c>
      <c r="AM705" s="15">
        <f t="shared" si="378"/>
        <v>122.31282431430689</v>
      </c>
      <c r="AN705" s="15">
        <f t="shared" si="379"/>
        <v>0.32999999999999996</v>
      </c>
      <c r="AO705" s="2" t="s">
        <v>710</v>
      </c>
      <c r="AP705" s="72">
        <v>7.6433666666666662</v>
      </c>
      <c r="AQ705" s="70" t="s">
        <v>752</v>
      </c>
      <c r="AR705" s="2">
        <v>78</v>
      </c>
      <c r="AS705" s="2">
        <v>5</v>
      </c>
      <c r="AT705" s="2">
        <v>11</v>
      </c>
      <c r="AU705" s="2" t="s">
        <v>661</v>
      </c>
      <c r="AV705" s="16">
        <f t="shared" si="362"/>
        <v>94</v>
      </c>
      <c r="AW705" s="20">
        <v>1.6</v>
      </c>
      <c r="AX705" s="8">
        <f t="shared" si="361"/>
        <v>1.6E-2</v>
      </c>
      <c r="AY705" s="8" t="s">
        <v>67</v>
      </c>
      <c r="AZ705" s="16">
        <f t="shared" ref="AZ705:AZ723" si="382">1.5/0.075</f>
        <v>20</v>
      </c>
      <c r="BA705" s="16" t="s">
        <v>55</v>
      </c>
      <c r="BB705" s="16">
        <v>10</v>
      </c>
      <c r="BC705" s="16" t="s">
        <v>55</v>
      </c>
      <c r="BD705" s="18">
        <v>0.98</v>
      </c>
      <c r="BE705" s="15">
        <f t="shared" si="381"/>
        <v>61.25</v>
      </c>
      <c r="BF705" s="15">
        <f t="shared" si="374"/>
        <v>1.7871060930365701</v>
      </c>
      <c r="BG705" s="8">
        <f t="shared" si="375"/>
        <v>-8.7739243075051505E-3</v>
      </c>
      <c r="BH705" s="2" t="s">
        <v>841</v>
      </c>
      <c r="BI705" s="2"/>
      <c r="BJ705" s="2"/>
      <c r="BK705" s="2"/>
      <c r="BL705" s="2"/>
      <c r="BM705" s="20"/>
      <c r="BN705" s="20"/>
      <c r="BO705" s="2"/>
    </row>
    <row r="706" spans="1:67" s="14" customFormat="1" x14ac:dyDescent="0.3">
      <c r="A706" s="20">
        <v>704</v>
      </c>
      <c r="B706" s="2" t="s">
        <v>219</v>
      </c>
      <c r="C706" s="2">
        <v>2020</v>
      </c>
      <c r="D706" s="2" t="s">
        <v>201</v>
      </c>
      <c r="E706" s="10" t="s">
        <v>801</v>
      </c>
      <c r="F706" s="20" t="s">
        <v>63</v>
      </c>
      <c r="G706" s="2" t="s">
        <v>68</v>
      </c>
      <c r="H706" s="2" t="str">
        <f>'PFAS Properties'!$B$44</f>
        <v>PFHxS</v>
      </c>
      <c r="I706" s="2" t="str">
        <f>'PFAS Properties'!$C$44</f>
        <v>PFSA</v>
      </c>
      <c r="J706" s="2" t="str">
        <f>'PFAS Properties'!$D$44</f>
        <v>C6F13O3SH</v>
      </c>
      <c r="K706" s="25">
        <f>'PFAS Properties'!$P$44</f>
        <v>399.94379999999995</v>
      </c>
      <c r="L706" s="2">
        <f>'PFAS Properties'!$X$44</f>
        <v>0.1</v>
      </c>
      <c r="M706" s="2" t="str">
        <f>'PFAS Properties'!$Y$44</f>
        <v>-</v>
      </c>
      <c r="N706" s="33">
        <v>0</v>
      </c>
      <c r="O706" s="33">
        <v>0</v>
      </c>
      <c r="P706" s="33">
        <v>0</v>
      </c>
      <c r="Q706" s="33">
        <f t="shared" si="358"/>
        <v>0.99999993690426958</v>
      </c>
      <c r="R706" s="33">
        <v>0</v>
      </c>
      <c r="S706" s="33">
        <f t="shared" si="359"/>
        <v>6.3095730466947729E-8</v>
      </c>
      <c r="T706" s="8">
        <f t="shared" si="368"/>
        <v>1</v>
      </c>
      <c r="U706" s="33">
        <f t="shared" si="369"/>
        <v>0</v>
      </c>
      <c r="V706" s="33">
        <f t="shared" si="370"/>
        <v>-0.99999993690426958</v>
      </c>
      <c r="W706" s="33">
        <f t="shared" si="371"/>
        <v>398.94380006309569</v>
      </c>
      <c r="X706" s="33">
        <v>96485</v>
      </c>
      <c r="Y706" s="16">
        <f t="shared" si="372"/>
        <v>-241.85109255225598</v>
      </c>
      <c r="Z706" s="16">
        <v>6</v>
      </c>
      <c r="AA706" s="16">
        <v>13</v>
      </c>
      <c r="AB706" s="8">
        <f t="shared" si="373"/>
        <v>0.291497975708502</v>
      </c>
      <c r="AC706" s="16">
        <f t="shared" si="349"/>
        <v>61.758677094131734</v>
      </c>
      <c r="AD706" s="20">
        <f>'PFAS Properties'!$W$44</f>
        <v>6</v>
      </c>
      <c r="AE706" s="8">
        <f>'PFAS Properties'!$S$44</f>
        <v>3.7905666251460763</v>
      </c>
      <c r="AF706" s="15">
        <f>'PFAS Properties'!$V$44</f>
        <v>3.6</v>
      </c>
      <c r="AG706" s="24">
        <v>7.3</v>
      </c>
      <c r="AH706" s="2" t="s">
        <v>661</v>
      </c>
      <c r="AI706" s="2">
        <v>1.1000000000000001</v>
      </c>
      <c r="AJ706" s="15">
        <f t="shared" si="376"/>
        <v>19.697376667562004</v>
      </c>
      <c r="AK706" s="15">
        <f t="shared" si="377"/>
        <v>0.11000000000000001</v>
      </c>
      <c r="AL706" s="2">
        <v>0.54</v>
      </c>
      <c r="AM706" s="15">
        <f t="shared" si="378"/>
        <v>20.014825796886583</v>
      </c>
      <c r="AN706" s="15">
        <f t="shared" si="379"/>
        <v>5.4000000000000006E-2</v>
      </c>
      <c r="AO706" s="2" t="s">
        <v>710</v>
      </c>
      <c r="AP706" s="72">
        <v>14.54611666666667</v>
      </c>
      <c r="AQ706" s="70" t="s">
        <v>752</v>
      </c>
      <c r="AR706" s="2">
        <v>92</v>
      </c>
      <c r="AS706" s="2">
        <v>0.7</v>
      </c>
      <c r="AT706" s="2">
        <v>3.1</v>
      </c>
      <c r="AU706" s="2" t="s">
        <v>661</v>
      </c>
      <c r="AV706" s="16">
        <f t="shared" si="362"/>
        <v>95.8</v>
      </c>
      <c r="AW706" s="20">
        <v>0.5</v>
      </c>
      <c r="AX706" s="8">
        <f t="shared" si="361"/>
        <v>5.0000000000000001E-3</v>
      </c>
      <c r="AY706" s="8" t="s">
        <v>67</v>
      </c>
      <c r="AZ706" s="16">
        <f t="shared" si="382"/>
        <v>20</v>
      </c>
      <c r="BA706" s="16" t="s">
        <v>55</v>
      </c>
      <c r="BB706" s="16">
        <v>10</v>
      </c>
      <c r="BC706" s="16" t="s">
        <v>55</v>
      </c>
      <c r="BD706" s="18">
        <v>0.87</v>
      </c>
      <c r="BE706" s="15">
        <f t="shared" si="381"/>
        <v>174</v>
      </c>
      <c r="BF706" s="15">
        <f t="shared" si="374"/>
        <v>2.2405492482825999</v>
      </c>
      <c r="BG706" s="8">
        <f t="shared" si="375"/>
        <v>-6.0480747381381476E-2</v>
      </c>
      <c r="BH706" s="2" t="s">
        <v>841</v>
      </c>
      <c r="BI706" s="2"/>
      <c r="BJ706" s="2"/>
      <c r="BK706" s="2"/>
      <c r="BL706" s="2"/>
      <c r="BM706" s="20"/>
      <c r="BN706" s="20"/>
      <c r="BO706" s="2"/>
    </row>
    <row r="707" spans="1:67" s="14" customFormat="1" x14ac:dyDescent="0.3">
      <c r="A707" s="20">
        <v>705</v>
      </c>
      <c r="B707" s="2" t="s">
        <v>219</v>
      </c>
      <c r="C707" s="2">
        <v>2020</v>
      </c>
      <c r="D707" s="2" t="s">
        <v>201</v>
      </c>
      <c r="E707" s="10" t="s">
        <v>801</v>
      </c>
      <c r="F707" s="20" t="s">
        <v>63</v>
      </c>
      <c r="G707" s="2" t="s">
        <v>69</v>
      </c>
      <c r="H707" s="2" t="str">
        <f>'PFAS Properties'!$B$44</f>
        <v>PFHxS</v>
      </c>
      <c r="I707" s="2" t="str">
        <f>'PFAS Properties'!$C$44</f>
        <v>PFSA</v>
      </c>
      <c r="J707" s="2" t="str">
        <f>'PFAS Properties'!$D$44</f>
        <v>C6F13O3SH</v>
      </c>
      <c r="K707" s="25">
        <f>'PFAS Properties'!$P$44</f>
        <v>399.94379999999995</v>
      </c>
      <c r="L707" s="2">
        <f>'PFAS Properties'!$X$44</f>
        <v>0.1</v>
      </c>
      <c r="M707" s="2" t="str">
        <f>'PFAS Properties'!$Y$44</f>
        <v>-</v>
      </c>
      <c r="N707" s="33">
        <v>0</v>
      </c>
      <c r="O707" s="33">
        <v>0</v>
      </c>
      <c r="P707" s="33">
        <v>0</v>
      </c>
      <c r="Q707" s="33">
        <f t="shared" si="358"/>
        <v>0.99999991871695504</v>
      </c>
      <c r="R707" s="33">
        <v>0</v>
      </c>
      <c r="S707" s="33">
        <f t="shared" si="359"/>
        <v>8.128304500947571E-8</v>
      </c>
      <c r="T707" s="8">
        <f t="shared" si="368"/>
        <v>1</v>
      </c>
      <c r="U707" s="33">
        <f t="shared" si="369"/>
        <v>0</v>
      </c>
      <c r="V707" s="33">
        <f t="shared" si="370"/>
        <v>-0.99999991871695504</v>
      </c>
      <c r="W707" s="33">
        <f t="shared" si="371"/>
        <v>398.94380008128303</v>
      </c>
      <c r="X707" s="33">
        <v>96485</v>
      </c>
      <c r="Y707" s="16">
        <f t="shared" si="372"/>
        <v>-241.85108814260812</v>
      </c>
      <c r="Z707" s="16">
        <v>6</v>
      </c>
      <c r="AA707" s="16">
        <v>13</v>
      </c>
      <c r="AB707" s="8">
        <f t="shared" si="373"/>
        <v>0.291497975708502</v>
      </c>
      <c r="AC707" s="16">
        <f t="shared" ref="AC707:AC770" si="383">((AA707*19)/K707)*100</f>
        <v>61.758677094131734</v>
      </c>
      <c r="AD707" s="20">
        <f>'PFAS Properties'!$W$44</f>
        <v>6</v>
      </c>
      <c r="AE707" s="8">
        <f>'PFAS Properties'!$S$44</f>
        <v>3.7905666251460763</v>
      </c>
      <c r="AF707" s="15">
        <f>'PFAS Properties'!$V$44</f>
        <v>3.6</v>
      </c>
      <c r="AG707" s="24">
        <v>7.19</v>
      </c>
      <c r="AH707" s="2" t="s">
        <v>661</v>
      </c>
      <c r="AI707" s="2">
        <v>3</v>
      </c>
      <c r="AJ707" s="15">
        <f t="shared" si="376"/>
        <v>53.720118184260009</v>
      </c>
      <c r="AK707" s="15">
        <f t="shared" si="377"/>
        <v>0.3</v>
      </c>
      <c r="AL707" s="2">
        <v>1.2</v>
      </c>
      <c r="AM707" s="15">
        <f t="shared" si="378"/>
        <v>44.477390659747961</v>
      </c>
      <c r="AN707" s="15">
        <f t="shared" si="379"/>
        <v>0.12</v>
      </c>
      <c r="AO707" s="2" t="s">
        <v>710</v>
      </c>
      <c r="AP707" s="72">
        <v>5.4888166666666667</v>
      </c>
      <c r="AQ707" s="70" t="s">
        <v>752</v>
      </c>
      <c r="AR707" s="2">
        <v>83</v>
      </c>
      <c r="AS707" s="2">
        <v>1.9</v>
      </c>
      <c r="AT707" s="2">
        <v>5.3</v>
      </c>
      <c r="AU707" s="2" t="s">
        <v>661</v>
      </c>
      <c r="AV707" s="16">
        <f t="shared" si="362"/>
        <v>90.2</v>
      </c>
      <c r="AW707" s="20">
        <v>2.7</v>
      </c>
      <c r="AX707" s="8">
        <f t="shared" si="361"/>
        <v>2.7000000000000003E-2</v>
      </c>
      <c r="AY707" s="8" t="s">
        <v>67</v>
      </c>
      <c r="AZ707" s="16">
        <f t="shared" si="382"/>
        <v>20</v>
      </c>
      <c r="BA707" s="16" t="s">
        <v>55</v>
      </c>
      <c r="BB707" s="16">
        <v>10</v>
      </c>
      <c r="BC707" s="16" t="s">
        <v>55</v>
      </c>
      <c r="BD707" s="18">
        <v>2.29</v>
      </c>
      <c r="BE707" s="15">
        <f t="shared" si="381"/>
        <v>84.81481481481481</v>
      </c>
      <c r="BF707" s="15">
        <f t="shared" si="374"/>
        <v>1.9284717181809006</v>
      </c>
      <c r="BG707" s="8">
        <f t="shared" si="375"/>
        <v>0.35983548233988799</v>
      </c>
      <c r="BH707" s="2" t="s">
        <v>841</v>
      </c>
      <c r="BI707" s="2"/>
      <c r="BJ707" s="2"/>
      <c r="BK707" s="2"/>
      <c r="BL707" s="2"/>
      <c r="BM707" s="20"/>
      <c r="BN707" s="20"/>
      <c r="BO707" s="2"/>
    </row>
    <row r="708" spans="1:67" s="14" customFormat="1" x14ac:dyDescent="0.3">
      <c r="A708" s="20">
        <v>706</v>
      </c>
      <c r="B708" s="2" t="s">
        <v>219</v>
      </c>
      <c r="C708" s="2">
        <v>2020</v>
      </c>
      <c r="D708" s="2" t="s">
        <v>201</v>
      </c>
      <c r="E708" s="10" t="s">
        <v>801</v>
      </c>
      <c r="F708" s="20" t="s">
        <v>63</v>
      </c>
      <c r="G708" s="2" t="s">
        <v>70</v>
      </c>
      <c r="H708" s="2" t="str">
        <f>'PFAS Properties'!$B$44</f>
        <v>PFHxS</v>
      </c>
      <c r="I708" s="2" t="str">
        <f>'PFAS Properties'!$C$44</f>
        <v>PFSA</v>
      </c>
      <c r="J708" s="2" t="str">
        <f>'PFAS Properties'!$D$44</f>
        <v>C6F13O3SH</v>
      </c>
      <c r="K708" s="25">
        <f>'PFAS Properties'!$P$44</f>
        <v>399.94379999999995</v>
      </c>
      <c r="L708" s="2">
        <f>'PFAS Properties'!$X$44</f>
        <v>0.1</v>
      </c>
      <c r="M708" s="2" t="str">
        <f>'PFAS Properties'!$Y$44</f>
        <v>-</v>
      </c>
      <c r="N708" s="33">
        <v>0</v>
      </c>
      <c r="O708" s="33">
        <v>0</v>
      </c>
      <c r="P708" s="33">
        <v>0</v>
      </c>
      <c r="Q708" s="33">
        <f t="shared" si="358"/>
        <v>0.9999999601892845</v>
      </c>
      <c r="R708" s="33">
        <v>0</v>
      </c>
      <c r="S708" s="33">
        <f t="shared" si="359"/>
        <v>3.9810715470456442E-8</v>
      </c>
      <c r="T708" s="8">
        <f t="shared" si="368"/>
        <v>1</v>
      </c>
      <c r="U708" s="33">
        <f t="shared" si="369"/>
        <v>0</v>
      </c>
      <c r="V708" s="33">
        <f t="shared" si="370"/>
        <v>-0.9999999601892845</v>
      </c>
      <c r="W708" s="33">
        <f t="shared" si="371"/>
        <v>398.94380003981064</v>
      </c>
      <c r="X708" s="33">
        <v>96485</v>
      </c>
      <c r="Y708" s="16">
        <f t="shared" si="372"/>
        <v>-241.85109819787866</v>
      </c>
      <c r="Z708" s="16">
        <v>6</v>
      </c>
      <c r="AA708" s="16">
        <v>13</v>
      </c>
      <c r="AB708" s="8">
        <f t="shared" si="373"/>
        <v>0.291497975708502</v>
      </c>
      <c r="AC708" s="16">
        <f t="shared" si="383"/>
        <v>61.758677094131734</v>
      </c>
      <c r="AD708" s="20">
        <f>'PFAS Properties'!$W$44</f>
        <v>6</v>
      </c>
      <c r="AE708" s="8">
        <f>'PFAS Properties'!$S$44</f>
        <v>3.7905666251460763</v>
      </c>
      <c r="AF708" s="15">
        <f>'PFAS Properties'!$V$44</f>
        <v>3.6</v>
      </c>
      <c r="AG708" s="24">
        <v>7.5</v>
      </c>
      <c r="AH708" s="2" t="s">
        <v>661</v>
      </c>
      <c r="AI708" s="2">
        <v>2.2000000000000002</v>
      </c>
      <c r="AJ708" s="15">
        <f t="shared" si="376"/>
        <v>39.394753335124008</v>
      </c>
      <c r="AK708" s="15">
        <f t="shared" si="377"/>
        <v>0.22000000000000003</v>
      </c>
      <c r="AL708" s="2">
        <v>8</v>
      </c>
      <c r="AM708" s="15">
        <f t="shared" si="378"/>
        <v>296.51593773165308</v>
      </c>
      <c r="AN708" s="15">
        <f t="shared" si="379"/>
        <v>0.8</v>
      </c>
      <c r="AO708" s="2" t="s">
        <v>710</v>
      </c>
      <c r="AP708" s="72">
        <v>5.670066666666667</v>
      </c>
      <c r="AQ708" s="70" t="s">
        <v>752</v>
      </c>
      <c r="AR708" s="2">
        <v>76</v>
      </c>
      <c r="AS708" s="2">
        <v>6</v>
      </c>
      <c r="AT708" s="2">
        <v>13</v>
      </c>
      <c r="AU708" s="2" t="s">
        <v>661</v>
      </c>
      <c r="AV708" s="16">
        <f t="shared" si="362"/>
        <v>95</v>
      </c>
      <c r="AW708" s="20">
        <v>1.1000000000000001</v>
      </c>
      <c r="AX708" s="8">
        <f t="shared" si="361"/>
        <v>1.1000000000000001E-2</v>
      </c>
      <c r="AY708" s="8" t="s">
        <v>67</v>
      </c>
      <c r="AZ708" s="16">
        <f t="shared" si="382"/>
        <v>20</v>
      </c>
      <c r="BA708" s="16" t="s">
        <v>55</v>
      </c>
      <c r="BB708" s="16">
        <v>10</v>
      </c>
      <c r="BC708" s="16" t="s">
        <v>55</v>
      </c>
      <c r="BD708" s="18">
        <v>1.08</v>
      </c>
      <c r="BE708" s="15">
        <f t="shared" si="381"/>
        <v>98.181818181818173</v>
      </c>
      <c r="BF708" s="15">
        <f t="shared" si="374"/>
        <v>1.9920310703287247</v>
      </c>
      <c r="BG708" s="8">
        <f t="shared" si="375"/>
        <v>3.342375548694973E-2</v>
      </c>
      <c r="BH708" s="2" t="s">
        <v>841</v>
      </c>
      <c r="BI708" s="2"/>
      <c r="BJ708" s="2"/>
      <c r="BK708" s="2"/>
      <c r="BL708" s="2"/>
      <c r="BM708" s="20"/>
      <c r="BN708" s="20"/>
      <c r="BO708" s="2"/>
    </row>
    <row r="709" spans="1:67" s="14" customFormat="1" x14ac:dyDescent="0.3">
      <c r="A709" s="20">
        <v>707</v>
      </c>
      <c r="B709" s="2" t="s">
        <v>219</v>
      </c>
      <c r="C709" s="2">
        <v>2020</v>
      </c>
      <c r="D709" s="2" t="s">
        <v>201</v>
      </c>
      <c r="E709" s="10" t="s">
        <v>801</v>
      </c>
      <c r="F709" s="20" t="s">
        <v>63</v>
      </c>
      <c r="G709" s="2" t="s">
        <v>71</v>
      </c>
      <c r="H709" s="2" t="str">
        <f>'PFAS Properties'!$B$44</f>
        <v>PFHxS</v>
      </c>
      <c r="I709" s="2" t="str">
        <f>'PFAS Properties'!$C$44</f>
        <v>PFSA</v>
      </c>
      <c r="J709" s="2" t="str">
        <f>'PFAS Properties'!$D$44</f>
        <v>C6F13O3SH</v>
      </c>
      <c r="K709" s="25">
        <f>'PFAS Properties'!$P$44</f>
        <v>399.94379999999995</v>
      </c>
      <c r="L709" s="2">
        <f>'PFAS Properties'!$X$44</f>
        <v>0.1</v>
      </c>
      <c r="M709" s="2" t="str">
        <f>'PFAS Properties'!$Y$44</f>
        <v>-</v>
      </c>
      <c r="N709" s="33">
        <v>0</v>
      </c>
      <c r="O709" s="33">
        <v>0</v>
      </c>
      <c r="P709" s="33">
        <v>0</v>
      </c>
      <c r="Q709" s="33">
        <f t="shared" si="358"/>
        <v>0.99999981379132097</v>
      </c>
      <c r="R709" s="33">
        <v>0</v>
      </c>
      <c r="S709" s="33">
        <f t="shared" si="359"/>
        <v>1.8620867899260757E-7</v>
      </c>
      <c r="T709" s="8">
        <f t="shared" si="368"/>
        <v>1</v>
      </c>
      <c r="U709" s="33">
        <f t="shared" si="369"/>
        <v>0</v>
      </c>
      <c r="V709" s="33">
        <f t="shared" si="370"/>
        <v>-0.99999981379132097</v>
      </c>
      <c r="W709" s="33">
        <f t="shared" si="371"/>
        <v>398.94380018620865</v>
      </c>
      <c r="X709" s="33">
        <v>96485</v>
      </c>
      <c r="Y709" s="16">
        <f t="shared" si="372"/>
        <v>-241.85106270261835</v>
      </c>
      <c r="Z709" s="16">
        <v>6</v>
      </c>
      <c r="AA709" s="16">
        <v>13</v>
      </c>
      <c r="AB709" s="8">
        <f t="shared" si="373"/>
        <v>0.291497975708502</v>
      </c>
      <c r="AC709" s="16">
        <f t="shared" si="383"/>
        <v>61.758677094131734</v>
      </c>
      <c r="AD709" s="20">
        <f>'PFAS Properties'!$W$44</f>
        <v>6</v>
      </c>
      <c r="AE709" s="8">
        <f>'PFAS Properties'!$S$44</f>
        <v>3.7905666251460763</v>
      </c>
      <c r="AF709" s="15">
        <f>'PFAS Properties'!$V$44</f>
        <v>3.6</v>
      </c>
      <c r="AG709" s="24">
        <v>6.83</v>
      </c>
      <c r="AH709" s="2" t="s">
        <v>661</v>
      </c>
      <c r="AI709" s="2">
        <v>47</v>
      </c>
      <c r="AJ709" s="15">
        <f t="shared" si="376"/>
        <v>841.61518488674005</v>
      </c>
      <c r="AK709" s="15">
        <f t="shared" si="377"/>
        <v>4.7</v>
      </c>
      <c r="AL709" s="2">
        <v>20</v>
      </c>
      <c r="AM709" s="15">
        <f t="shared" si="378"/>
        <v>741.28984432913273</v>
      </c>
      <c r="AN709" s="15">
        <f t="shared" si="379"/>
        <v>2</v>
      </c>
      <c r="AO709" s="2" t="s">
        <v>710</v>
      </c>
      <c r="AP709" s="72">
        <v>8.2616166666666668</v>
      </c>
      <c r="AQ709" s="70" t="s">
        <v>752</v>
      </c>
      <c r="AR709" s="2">
        <v>13</v>
      </c>
      <c r="AS709" s="2">
        <v>14</v>
      </c>
      <c r="AT709" s="2">
        <v>53</v>
      </c>
      <c r="AU709" s="2" t="s">
        <v>661</v>
      </c>
      <c r="AV709" s="16">
        <f t="shared" si="362"/>
        <v>80</v>
      </c>
      <c r="AW709" s="20">
        <v>5</v>
      </c>
      <c r="AX709" s="8">
        <f t="shared" si="361"/>
        <v>0.05</v>
      </c>
      <c r="AY709" s="8" t="s">
        <v>67</v>
      </c>
      <c r="AZ709" s="16">
        <f t="shared" si="382"/>
        <v>20</v>
      </c>
      <c r="BA709" s="16" t="s">
        <v>55</v>
      </c>
      <c r="BB709" s="16">
        <v>10</v>
      </c>
      <c r="BC709" s="16" t="s">
        <v>55</v>
      </c>
      <c r="BD709" s="18">
        <v>5.69</v>
      </c>
      <c r="BE709" s="15">
        <f t="shared" si="381"/>
        <v>113.8</v>
      </c>
      <c r="BF709" s="15">
        <f t="shared" si="374"/>
        <v>2.0561422620590522</v>
      </c>
      <c r="BG709" s="8">
        <f t="shared" si="375"/>
        <v>0.75511226639507123</v>
      </c>
      <c r="BH709" s="2" t="s">
        <v>841</v>
      </c>
      <c r="BI709" s="2"/>
      <c r="BJ709" s="2"/>
      <c r="BK709" s="2"/>
      <c r="BL709" s="2"/>
      <c r="BM709" s="20"/>
      <c r="BN709" s="20"/>
      <c r="BO709" s="2"/>
    </row>
    <row r="710" spans="1:67" s="14" customFormat="1" x14ac:dyDescent="0.3">
      <c r="A710" s="20">
        <v>708</v>
      </c>
      <c r="B710" s="2" t="s">
        <v>219</v>
      </c>
      <c r="C710" s="2">
        <v>2020</v>
      </c>
      <c r="D710" s="2" t="s">
        <v>201</v>
      </c>
      <c r="E710" s="10" t="s">
        <v>801</v>
      </c>
      <c r="F710" s="20" t="s">
        <v>63</v>
      </c>
      <c r="G710" s="2" t="s">
        <v>72</v>
      </c>
      <c r="H710" s="2" t="str">
        <f>'PFAS Properties'!$B$44</f>
        <v>PFHxS</v>
      </c>
      <c r="I710" s="2" t="str">
        <f>'PFAS Properties'!$C$44</f>
        <v>PFSA</v>
      </c>
      <c r="J710" s="2" t="str">
        <f>'PFAS Properties'!$D$44</f>
        <v>C6F13O3SH</v>
      </c>
      <c r="K710" s="25">
        <f>'PFAS Properties'!$P$44</f>
        <v>399.94379999999995</v>
      </c>
      <c r="L710" s="2">
        <f>'PFAS Properties'!$X$44</f>
        <v>0.1</v>
      </c>
      <c r="M710" s="2" t="str">
        <f>'PFAS Properties'!$Y$44</f>
        <v>-</v>
      </c>
      <c r="N710" s="33">
        <v>0</v>
      </c>
      <c r="O710" s="33">
        <v>0</v>
      </c>
      <c r="P710" s="33">
        <v>0</v>
      </c>
      <c r="Q710" s="33">
        <f t="shared" si="358"/>
        <v>0.99999979107043058</v>
      </c>
      <c r="R710" s="33">
        <v>0</v>
      </c>
      <c r="S710" s="33">
        <f t="shared" si="359"/>
        <v>2.0892956943382908E-7</v>
      </c>
      <c r="T710" s="8">
        <f t="shared" si="368"/>
        <v>1</v>
      </c>
      <c r="U710" s="33">
        <f t="shared" si="369"/>
        <v>0</v>
      </c>
      <c r="V710" s="33">
        <f t="shared" si="370"/>
        <v>-0.99999979107043058</v>
      </c>
      <c r="W710" s="33">
        <f t="shared" si="371"/>
        <v>398.94380020892953</v>
      </c>
      <c r="X710" s="33">
        <v>96485</v>
      </c>
      <c r="Y710" s="16">
        <f t="shared" si="372"/>
        <v>-241.85105719377182</v>
      </c>
      <c r="Z710" s="16">
        <v>6</v>
      </c>
      <c r="AA710" s="16">
        <v>13</v>
      </c>
      <c r="AB710" s="8">
        <f t="shared" si="373"/>
        <v>0.291497975708502</v>
      </c>
      <c r="AC710" s="16">
        <f t="shared" si="383"/>
        <v>61.758677094131734</v>
      </c>
      <c r="AD710" s="20">
        <f>'PFAS Properties'!$W$44</f>
        <v>6</v>
      </c>
      <c r="AE710" s="8">
        <f>'PFAS Properties'!$S$44</f>
        <v>3.7905666251460763</v>
      </c>
      <c r="AF710" s="15">
        <f>'PFAS Properties'!$V$44</f>
        <v>3.6</v>
      </c>
      <c r="AG710" s="24">
        <v>6.78</v>
      </c>
      <c r="AH710" s="2" t="s">
        <v>661</v>
      </c>
      <c r="AI710" s="2">
        <v>21</v>
      </c>
      <c r="AJ710" s="15">
        <f t="shared" si="376"/>
        <v>376.04082728982007</v>
      </c>
      <c r="AK710" s="15">
        <f t="shared" si="377"/>
        <v>2.1</v>
      </c>
      <c r="AL710" s="2">
        <v>1.8</v>
      </c>
      <c r="AM710" s="15">
        <f t="shared" si="378"/>
        <v>66.716085989621945</v>
      </c>
      <c r="AN710" s="15">
        <f t="shared" si="379"/>
        <v>0.18</v>
      </c>
      <c r="AO710" s="2" t="s">
        <v>710</v>
      </c>
      <c r="AP710" s="72">
        <v>5.6660666666666657</v>
      </c>
      <c r="AQ710" s="70" t="s">
        <v>752</v>
      </c>
      <c r="AR710" s="2">
        <v>88</v>
      </c>
      <c r="AS710" s="2">
        <v>2.1</v>
      </c>
      <c r="AT710" s="2">
        <v>5.7</v>
      </c>
      <c r="AU710" s="2" t="s">
        <v>661</v>
      </c>
      <c r="AV710" s="16">
        <f t="shared" si="362"/>
        <v>95.8</v>
      </c>
      <c r="AW710" s="20">
        <v>1.1000000000000001</v>
      </c>
      <c r="AX710" s="8">
        <f t="shared" si="361"/>
        <v>1.1000000000000001E-2</v>
      </c>
      <c r="AY710" s="8" t="s">
        <v>67</v>
      </c>
      <c r="AZ710" s="16">
        <f t="shared" si="382"/>
        <v>20</v>
      </c>
      <c r="BA710" s="16" t="s">
        <v>55</v>
      </c>
      <c r="BB710" s="16">
        <v>10</v>
      </c>
      <c r="BC710" s="16" t="s">
        <v>55</v>
      </c>
      <c r="BD710" s="18">
        <v>1.83</v>
      </c>
      <c r="BE710" s="15">
        <f t="shared" si="381"/>
        <v>166.36363636363635</v>
      </c>
      <c r="BF710" s="15">
        <f t="shared" si="374"/>
        <v>2.2210584045722044</v>
      </c>
      <c r="BG710" s="8">
        <f t="shared" si="375"/>
        <v>0.26245108973042947</v>
      </c>
      <c r="BH710" s="2" t="s">
        <v>841</v>
      </c>
      <c r="BI710" s="2"/>
      <c r="BJ710" s="2"/>
      <c r="BK710" s="2"/>
      <c r="BL710" s="2"/>
      <c r="BM710" s="20"/>
      <c r="BN710" s="20"/>
      <c r="BO710" s="2"/>
    </row>
    <row r="711" spans="1:67" s="14" customFormat="1" x14ac:dyDescent="0.3">
      <c r="A711" s="20">
        <v>709</v>
      </c>
      <c r="B711" s="2" t="s">
        <v>219</v>
      </c>
      <c r="C711" s="2">
        <v>2020</v>
      </c>
      <c r="D711" s="2" t="s">
        <v>201</v>
      </c>
      <c r="E711" s="22" t="s">
        <v>801</v>
      </c>
      <c r="F711" s="20" t="s">
        <v>63</v>
      </c>
      <c r="G711" s="2" t="s">
        <v>73</v>
      </c>
      <c r="H711" s="2" t="str">
        <f>'PFAS Properties'!$B$44</f>
        <v>PFHxS</v>
      </c>
      <c r="I711" s="2" t="str">
        <f>'PFAS Properties'!$C$44</f>
        <v>PFSA</v>
      </c>
      <c r="J711" s="2" t="str">
        <f>'PFAS Properties'!$D$44</f>
        <v>C6F13O3SH</v>
      </c>
      <c r="K711" s="25">
        <f>'PFAS Properties'!$P$44</f>
        <v>399.94379999999995</v>
      </c>
      <c r="L711" s="2">
        <f>'PFAS Properties'!$X$44</f>
        <v>0.1</v>
      </c>
      <c r="M711" s="2" t="str">
        <f>'PFAS Properties'!$Y$44</f>
        <v>-</v>
      </c>
      <c r="N711" s="33">
        <v>0</v>
      </c>
      <c r="O711" s="33">
        <v>0</v>
      </c>
      <c r="P711" s="33">
        <v>0</v>
      </c>
      <c r="Q711" s="33">
        <f t="shared" si="358"/>
        <v>0.99999973697327005</v>
      </c>
      <c r="R711" s="33">
        <v>0</v>
      </c>
      <c r="S711" s="33">
        <f t="shared" si="359"/>
        <v>2.6302673000645904E-7</v>
      </c>
      <c r="T711" s="8">
        <f t="shared" si="368"/>
        <v>1</v>
      </c>
      <c r="U711" s="33">
        <f t="shared" si="369"/>
        <v>0</v>
      </c>
      <c r="V711" s="33">
        <f t="shared" si="370"/>
        <v>-0.99999973697327005</v>
      </c>
      <c r="W711" s="33">
        <f t="shared" si="371"/>
        <v>398.94380026302667</v>
      </c>
      <c r="X711" s="33">
        <v>96485</v>
      </c>
      <c r="Y711" s="16">
        <f t="shared" si="372"/>
        <v>-241.8510440775184</v>
      </c>
      <c r="Z711" s="16">
        <v>6</v>
      </c>
      <c r="AA711" s="16">
        <v>13</v>
      </c>
      <c r="AB711" s="8">
        <f t="shared" si="373"/>
        <v>0.291497975708502</v>
      </c>
      <c r="AC711" s="16">
        <f t="shared" si="383"/>
        <v>61.758677094131734</v>
      </c>
      <c r="AD711" s="20">
        <f>'PFAS Properties'!$W$44</f>
        <v>6</v>
      </c>
      <c r="AE711" s="8">
        <f>'PFAS Properties'!$S$44</f>
        <v>3.7905666251460763</v>
      </c>
      <c r="AF711" s="15">
        <f>'PFAS Properties'!$V$44</f>
        <v>3.6</v>
      </c>
      <c r="AG711" s="24">
        <v>6.68</v>
      </c>
      <c r="AH711" s="2" t="s">
        <v>661</v>
      </c>
      <c r="AI711" s="2">
        <v>0.62</v>
      </c>
      <c r="AJ711" s="15">
        <f t="shared" si="376"/>
        <v>11.102157758080402</v>
      </c>
      <c r="AK711" s="15">
        <f t="shared" si="377"/>
        <v>6.2E-2</v>
      </c>
      <c r="AL711" s="2">
        <v>0.7</v>
      </c>
      <c r="AM711" s="15">
        <f t="shared" si="378"/>
        <v>25.945144551519643</v>
      </c>
      <c r="AN711" s="15">
        <f t="shared" si="379"/>
        <v>6.9999999999999993E-2</v>
      </c>
      <c r="AO711" s="2" t="s">
        <v>710</v>
      </c>
      <c r="AP711" s="72">
        <v>9.8359666666666676</v>
      </c>
      <c r="AQ711" s="70" t="s">
        <v>752</v>
      </c>
      <c r="AR711" s="2">
        <v>96</v>
      </c>
      <c r="AS711" s="2">
        <v>0</v>
      </c>
      <c r="AT711" s="2">
        <v>0.5</v>
      </c>
      <c r="AU711" s="2" t="s">
        <v>661</v>
      </c>
      <c r="AV711" s="16">
        <f t="shared" si="362"/>
        <v>96.5</v>
      </c>
      <c r="AW711" s="20">
        <v>0.3</v>
      </c>
      <c r="AX711" s="8">
        <f t="shared" si="361"/>
        <v>3.0000000000000001E-3</v>
      </c>
      <c r="AY711" s="8" t="s">
        <v>67</v>
      </c>
      <c r="AZ711" s="16">
        <f t="shared" si="382"/>
        <v>20</v>
      </c>
      <c r="BA711" s="16" t="s">
        <v>55</v>
      </c>
      <c r="BB711" s="16">
        <v>10</v>
      </c>
      <c r="BC711" s="16" t="s">
        <v>55</v>
      </c>
      <c r="BD711" s="18">
        <v>0.44</v>
      </c>
      <c r="BE711" s="15">
        <f t="shared" si="381"/>
        <v>146.66666666666666</v>
      </c>
      <c r="BF711" s="15">
        <f t="shared" si="374"/>
        <v>2.1663314217665248</v>
      </c>
      <c r="BG711" s="8">
        <f t="shared" si="375"/>
        <v>-0.35654732351381258</v>
      </c>
      <c r="BH711" s="2" t="s">
        <v>841</v>
      </c>
      <c r="BI711" s="2"/>
      <c r="BJ711" s="2"/>
      <c r="BK711" s="2"/>
      <c r="BL711" s="2"/>
      <c r="BM711" s="20"/>
      <c r="BN711" s="20"/>
      <c r="BO711" s="2"/>
    </row>
    <row r="712" spans="1:67" s="14" customFormat="1" x14ac:dyDescent="0.3">
      <c r="A712" s="20">
        <v>710</v>
      </c>
      <c r="B712" s="2" t="s">
        <v>219</v>
      </c>
      <c r="C712" s="2">
        <v>2020</v>
      </c>
      <c r="D712" s="2" t="s">
        <v>201</v>
      </c>
      <c r="E712" s="10" t="s">
        <v>801</v>
      </c>
      <c r="F712" s="20" t="s">
        <v>63</v>
      </c>
      <c r="G712" s="2" t="s">
        <v>74</v>
      </c>
      <c r="H712" s="2" t="str">
        <f>'PFAS Properties'!$B$44</f>
        <v>PFHxS</v>
      </c>
      <c r="I712" s="2" t="str">
        <f>'PFAS Properties'!$C$44</f>
        <v>PFSA</v>
      </c>
      <c r="J712" s="2" t="str">
        <f>'PFAS Properties'!$D$44</f>
        <v>C6F13O3SH</v>
      </c>
      <c r="K712" s="25">
        <f>'PFAS Properties'!$P$44</f>
        <v>399.94379999999995</v>
      </c>
      <c r="L712" s="2">
        <f>'PFAS Properties'!$X$44</f>
        <v>0.1</v>
      </c>
      <c r="M712" s="2" t="str">
        <f>'PFAS Properties'!$Y$44</f>
        <v>-</v>
      </c>
      <c r="N712" s="33">
        <v>0</v>
      </c>
      <c r="O712" s="33">
        <v>0</v>
      </c>
      <c r="P712" s="33">
        <v>0</v>
      </c>
      <c r="Q712" s="33">
        <f t="shared" si="358"/>
        <v>0.99999925869030826</v>
      </c>
      <c r="R712" s="33">
        <v>0</v>
      </c>
      <c r="S712" s="33">
        <f t="shared" si="359"/>
        <v>7.413096917604484E-7</v>
      </c>
      <c r="T712" s="8">
        <f t="shared" si="368"/>
        <v>1</v>
      </c>
      <c r="U712" s="33">
        <f t="shared" si="369"/>
        <v>0</v>
      </c>
      <c r="V712" s="33">
        <f t="shared" si="370"/>
        <v>-0.99999925869030826</v>
      </c>
      <c r="W712" s="33">
        <f t="shared" si="371"/>
        <v>398.94380074130964</v>
      </c>
      <c r="X712" s="33">
        <v>96485</v>
      </c>
      <c r="Y712" s="16">
        <f t="shared" si="372"/>
        <v>-241.85092811430573</v>
      </c>
      <c r="Z712" s="16">
        <v>6</v>
      </c>
      <c r="AA712" s="16">
        <v>13</v>
      </c>
      <c r="AB712" s="8">
        <f t="shared" si="373"/>
        <v>0.291497975708502</v>
      </c>
      <c r="AC712" s="16">
        <f t="shared" si="383"/>
        <v>61.758677094131734</v>
      </c>
      <c r="AD712" s="20">
        <f>'PFAS Properties'!$W$44</f>
        <v>6</v>
      </c>
      <c r="AE712" s="8">
        <f>'PFAS Properties'!$S$44</f>
        <v>3.7905666251460763</v>
      </c>
      <c r="AF712" s="15">
        <f>'PFAS Properties'!$V$44</f>
        <v>3.6</v>
      </c>
      <c r="AG712" s="24">
        <v>6.23</v>
      </c>
      <c r="AH712" s="2" t="s">
        <v>661</v>
      </c>
      <c r="AI712" s="2">
        <v>25</v>
      </c>
      <c r="AJ712" s="15">
        <f t="shared" si="376"/>
        <v>447.66765153550006</v>
      </c>
      <c r="AK712" s="15">
        <f t="shared" si="377"/>
        <v>2.5</v>
      </c>
      <c r="AL712" s="2">
        <v>11</v>
      </c>
      <c r="AM712" s="15">
        <f t="shared" si="378"/>
        <v>407.70941438102295</v>
      </c>
      <c r="AN712" s="15">
        <f t="shared" si="379"/>
        <v>1.1000000000000001</v>
      </c>
      <c r="AO712" s="2" t="s">
        <v>710</v>
      </c>
      <c r="AP712" s="72">
        <v>5.7400666666666664</v>
      </c>
      <c r="AQ712" s="70" t="s">
        <v>752</v>
      </c>
      <c r="AR712" s="2">
        <v>75</v>
      </c>
      <c r="AS712" s="2">
        <v>8.6</v>
      </c>
      <c r="AT712" s="2">
        <v>8.8000000000000007</v>
      </c>
      <c r="AU712" s="2" t="s">
        <v>661</v>
      </c>
      <c r="AV712" s="16">
        <f t="shared" si="362"/>
        <v>92.399999999999991</v>
      </c>
      <c r="AW712" s="20">
        <v>3.6</v>
      </c>
      <c r="AX712" s="8">
        <f t="shared" si="361"/>
        <v>3.6000000000000004E-2</v>
      </c>
      <c r="AY712" s="8" t="s">
        <v>67</v>
      </c>
      <c r="AZ712" s="16">
        <f t="shared" si="382"/>
        <v>20</v>
      </c>
      <c r="BA712" s="16" t="s">
        <v>55</v>
      </c>
      <c r="BB712" s="16">
        <v>10</v>
      </c>
      <c r="BC712" s="16" t="s">
        <v>55</v>
      </c>
      <c r="BD712" s="18">
        <v>3.19</v>
      </c>
      <c r="BE712" s="15">
        <f t="shared" si="381"/>
        <v>88.6111111111111</v>
      </c>
      <c r="BF712" s="15">
        <f t="shared" si="374"/>
        <v>1.9474881822898937</v>
      </c>
      <c r="BG712" s="8">
        <f t="shared" si="375"/>
        <v>0.50379068305718111</v>
      </c>
      <c r="BH712" s="2" t="s">
        <v>841</v>
      </c>
      <c r="BI712" s="2"/>
      <c r="BJ712" s="2"/>
      <c r="BK712" s="2"/>
      <c r="BL712" s="2"/>
      <c r="BM712" s="20"/>
      <c r="BN712" s="20"/>
      <c r="BO712" s="2"/>
    </row>
    <row r="713" spans="1:67" s="14" customFormat="1" x14ac:dyDescent="0.3">
      <c r="A713" s="20">
        <v>711</v>
      </c>
      <c r="B713" s="2" t="s">
        <v>219</v>
      </c>
      <c r="C713" s="2">
        <v>2020</v>
      </c>
      <c r="D713" s="2" t="s">
        <v>201</v>
      </c>
      <c r="E713" s="10" t="s">
        <v>801</v>
      </c>
      <c r="F713" s="20" t="s">
        <v>63</v>
      </c>
      <c r="G713" s="2" t="s">
        <v>75</v>
      </c>
      <c r="H713" s="2" t="str">
        <f>'PFAS Properties'!$B$44</f>
        <v>PFHxS</v>
      </c>
      <c r="I713" s="2" t="str">
        <f>'PFAS Properties'!$C$44</f>
        <v>PFSA</v>
      </c>
      <c r="J713" s="2" t="str">
        <f>'PFAS Properties'!$D$44</f>
        <v>C6F13O3SH</v>
      </c>
      <c r="K713" s="25">
        <f>'PFAS Properties'!$P$44</f>
        <v>399.94379999999995</v>
      </c>
      <c r="L713" s="2">
        <f>'PFAS Properties'!$X$44</f>
        <v>0.1</v>
      </c>
      <c r="M713" s="2" t="str">
        <f>'PFAS Properties'!$Y$44</f>
        <v>-</v>
      </c>
      <c r="N713" s="33">
        <v>0</v>
      </c>
      <c r="O713" s="33">
        <v>0</v>
      </c>
      <c r="P713" s="33">
        <v>0</v>
      </c>
      <c r="Q713" s="33">
        <f t="shared" si="358"/>
        <v>0.99999993543458121</v>
      </c>
      <c r="R713" s="33">
        <v>0</v>
      </c>
      <c r="S713" s="33">
        <f t="shared" si="359"/>
        <v>6.4565418734771836E-8</v>
      </c>
      <c r="T713" s="8">
        <f t="shared" si="368"/>
        <v>1</v>
      </c>
      <c r="U713" s="33">
        <f t="shared" si="369"/>
        <v>0</v>
      </c>
      <c r="V713" s="33">
        <f t="shared" si="370"/>
        <v>-0.99999993543458121</v>
      </c>
      <c r="W713" s="33">
        <f t="shared" si="371"/>
        <v>398.94380006456538</v>
      </c>
      <c r="X713" s="33">
        <v>96485</v>
      </c>
      <c r="Y713" s="16">
        <f t="shared" si="372"/>
        <v>-241.85109219591922</v>
      </c>
      <c r="Z713" s="16">
        <v>6</v>
      </c>
      <c r="AA713" s="16">
        <v>13</v>
      </c>
      <c r="AB713" s="8">
        <f t="shared" si="373"/>
        <v>0.291497975708502</v>
      </c>
      <c r="AC713" s="16">
        <f t="shared" si="383"/>
        <v>61.758677094131734</v>
      </c>
      <c r="AD713" s="20">
        <f>'PFAS Properties'!$W$44</f>
        <v>6</v>
      </c>
      <c r="AE713" s="8">
        <f>'PFAS Properties'!$S$44</f>
        <v>3.7905666251460763</v>
      </c>
      <c r="AF713" s="15">
        <f>'PFAS Properties'!$V$44</f>
        <v>3.6</v>
      </c>
      <c r="AG713" s="24">
        <v>7.29</v>
      </c>
      <c r="AH713" s="2" t="s">
        <v>661</v>
      </c>
      <c r="AI713" s="2">
        <v>5.3</v>
      </c>
      <c r="AJ713" s="15">
        <f t="shared" si="376"/>
        <v>94.905542125526011</v>
      </c>
      <c r="AK713" s="15">
        <f t="shared" si="377"/>
        <v>0.53</v>
      </c>
      <c r="AL713" s="2">
        <v>2.1</v>
      </c>
      <c r="AM713" s="15">
        <f t="shared" si="378"/>
        <v>77.835433654558926</v>
      </c>
      <c r="AN713" s="15">
        <f t="shared" si="379"/>
        <v>0.21000000000000002</v>
      </c>
      <c r="AO713" s="2" t="s">
        <v>710</v>
      </c>
      <c r="AP713" s="72">
        <v>6.4225666666666674</v>
      </c>
      <c r="AQ713" s="70" t="s">
        <v>752</v>
      </c>
      <c r="AR713" s="2">
        <v>90</v>
      </c>
      <c r="AS713" s="2">
        <v>2.2999999999999998</v>
      </c>
      <c r="AT713" s="2">
        <v>0.3</v>
      </c>
      <c r="AU713" s="2" t="s">
        <v>661</v>
      </c>
      <c r="AV713" s="16">
        <f t="shared" si="362"/>
        <v>92.6</v>
      </c>
      <c r="AW713" s="20">
        <v>0.7</v>
      </c>
      <c r="AX713" s="8">
        <f t="shared" si="361"/>
        <v>6.9999999999999993E-3</v>
      </c>
      <c r="AY713" s="8" t="s">
        <v>67</v>
      </c>
      <c r="AZ713" s="16">
        <f t="shared" si="382"/>
        <v>20</v>
      </c>
      <c r="BA713" s="16" t="s">
        <v>55</v>
      </c>
      <c r="BB713" s="16">
        <v>10</v>
      </c>
      <c r="BC713" s="16" t="s">
        <v>55</v>
      </c>
      <c r="BD713" s="18">
        <v>0.73</v>
      </c>
      <c r="BE713" s="15">
        <f t="shared" si="381"/>
        <v>104.28571428571429</v>
      </c>
      <c r="BF713" s="15">
        <f t="shared" si="374"/>
        <v>2.018224820106199</v>
      </c>
      <c r="BG713" s="8">
        <f t="shared" si="375"/>
        <v>-0.13667713987954411</v>
      </c>
      <c r="BH713" s="2" t="s">
        <v>841</v>
      </c>
      <c r="BI713" s="2"/>
      <c r="BJ713" s="2"/>
      <c r="BK713" s="2"/>
      <c r="BL713" s="2"/>
      <c r="BM713" s="20"/>
      <c r="BN713" s="20"/>
      <c r="BO713" s="2"/>
    </row>
    <row r="714" spans="1:67" s="14" customFormat="1" x14ac:dyDescent="0.3">
      <c r="A714" s="20">
        <v>712</v>
      </c>
      <c r="B714" s="2" t="s">
        <v>219</v>
      </c>
      <c r="C714" s="2">
        <v>2020</v>
      </c>
      <c r="D714" s="2" t="s">
        <v>201</v>
      </c>
      <c r="E714" s="10" t="s">
        <v>801</v>
      </c>
      <c r="F714" s="20" t="s">
        <v>63</v>
      </c>
      <c r="G714" s="2" t="s">
        <v>76</v>
      </c>
      <c r="H714" s="2" t="str">
        <f>'PFAS Properties'!$B$44</f>
        <v>PFHxS</v>
      </c>
      <c r="I714" s="2" t="str">
        <f>'PFAS Properties'!$C$44</f>
        <v>PFSA</v>
      </c>
      <c r="J714" s="2" t="str">
        <f>'PFAS Properties'!$D$44</f>
        <v>C6F13O3SH</v>
      </c>
      <c r="K714" s="25">
        <f>'PFAS Properties'!$P$44</f>
        <v>399.94379999999995</v>
      </c>
      <c r="L714" s="2">
        <f>'PFAS Properties'!$X$44</f>
        <v>0.1</v>
      </c>
      <c r="M714" s="2" t="str">
        <f>'PFAS Properties'!$Y$44</f>
        <v>-</v>
      </c>
      <c r="N714" s="33">
        <v>0</v>
      </c>
      <c r="O714" s="33">
        <v>0</v>
      </c>
      <c r="P714" s="33">
        <v>0</v>
      </c>
      <c r="Q714" s="33">
        <f t="shared" si="358"/>
        <v>0.99999992237529434</v>
      </c>
      <c r="R714" s="33">
        <v>0</v>
      </c>
      <c r="S714" s="33">
        <f t="shared" si="359"/>
        <v>7.7624705637273547E-8</v>
      </c>
      <c r="T714" s="8">
        <f t="shared" si="368"/>
        <v>1</v>
      </c>
      <c r="U714" s="33">
        <f t="shared" si="369"/>
        <v>0</v>
      </c>
      <c r="V714" s="33">
        <f t="shared" si="370"/>
        <v>-0.99999992237529434</v>
      </c>
      <c r="W714" s="33">
        <f t="shared" si="371"/>
        <v>398.94380007762464</v>
      </c>
      <c r="X714" s="33">
        <v>96485</v>
      </c>
      <c r="Y714" s="16">
        <f t="shared" si="372"/>
        <v>-241.85108902959934</v>
      </c>
      <c r="Z714" s="16">
        <v>6</v>
      </c>
      <c r="AA714" s="16">
        <v>13</v>
      </c>
      <c r="AB714" s="8">
        <f t="shared" si="373"/>
        <v>0.291497975708502</v>
      </c>
      <c r="AC714" s="16">
        <f t="shared" si="383"/>
        <v>61.758677094131734</v>
      </c>
      <c r="AD714" s="20">
        <f>'PFAS Properties'!$W$44</f>
        <v>6</v>
      </c>
      <c r="AE714" s="8">
        <f>'PFAS Properties'!$S$44</f>
        <v>3.7905666251460763</v>
      </c>
      <c r="AF714" s="15">
        <f>'PFAS Properties'!$V$44</f>
        <v>3.6</v>
      </c>
      <c r="AG714" s="24">
        <v>7.21</v>
      </c>
      <c r="AH714" s="2" t="s">
        <v>661</v>
      </c>
      <c r="AI714" s="2">
        <v>37</v>
      </c>
      <c r="AJ714" s="15">
        <f t="shared" si="376"/>
        <v>662.54812427254012</v>
      </c>
      <c r="AK714" s="15">
        <f t="shared" si="377"/>
        <v>3.7</v>
      </c>
      <c r="AL714" s="2">
        <v>4.9000000000000004</v>
      </c>
      <c r="AM714" s="15">
        <f t="shared" si="378"/>
        <v>181.61601186063751</v>
      </c>
      <c r="AN714" s="15">
        <f t="shared" si="379"/>
        <v>0.49000000000000005</v>
      </c>
      <c r="AO714" s="2" t="s">
        <v>710</v>
      </c>
      <c r="AP714" s="72">
        <v>8.0642166666666668</v>
      </c>
      <c r="AQ714" s="70" t="s">
        <v>752</v>
      </c>
      <c r="AR714" s="2">
        <v>57</v>
      </c>
      <c r="AS714" s="2">
        <v>8</v>
      </c>
      <c r="AT714" s="2">
        <v>15</v>
      </c>
      <c r="AU714" s="2" t="s">
        <v>661</v>
      </c>
      <c r="AV714" s="16">
        <f t="shared" ref="AV714:AV745" si="384">SUM(AR714:AT714)</f>
        <v>80</v>
      </c>
      <c r="AW714" s="20">
        <v>4.8</v>
      </c>
      <c r="AX714" s="8">
        <f t="shared" si="361"/>
        <v>4.8000000000000001E-2</v>
      </c>
      <c r="AY714" s="8" t="s">
        <v>67</v>
      </c>
      <c r="AZ714" s="16">
        <f t="shared" si="382"/>
        <v>20</v>
      </c>
      <c r="BA714" s="16" t="s">
        <v>55</v>
      </c>
      <c r="BB714" s="16">
        <v>10</v>
      </c>
      <c r="BC714" s="16" t="s">
        <v>55</v>
      </c>
      <c r="BD714" s="18">
        <v>2.41</v>
      </c>
      <c r="BE714" s="15">
        <f t="shared" si="381"/>
        <v>50.208333333333336</v>
      </c>
      <c r="BF714" s="15">
        <f t="shared" si="374"/>
        <v>1.7007758051992812</v>
      </c>
      <c r="BG714" s="8">
        <f t="shared" si="375"/>
        <v>0.3820170425748684</v>
      </c>
      <c r="BH714" s="2" t="s">
        <v>841</v>
      </c>
      <c r="BI714" s="2"/>
      <c r="BJ714" s="2"/>
      <c r="BK714" s="2"/>
      <c r="BL714" s="2"/>
      <c r="BM714" s="20"/>
      <c r="BN714" s="20"/>
      <c r="BO714" s="2"/>
    </row>
    <row r="715" spans="1:67" s="14" customFormat="1" x14ac:dyDescent="0.3">
      <c r="A715" s="20">
        <v>713</v>
      </c>
      <c r="B715" s="2" t="s">
        <v>219</v>
      </c>
      <c r="C715" s="2">
        <v>2020</v>
      </c>
      <c r="D715" s="2" t="s">
        <v>201</v>
      </c>
      <c r="E715" s="10" t="s">
        <v>801</v>
      </c>
      <c r="F715" s="20" t="s">
        <v>63</v>
      </c>
      <c r="G715" s="2" t="s">
        <v>60</v>
      </c>
      <c r="H715" s="2" t="str">
        <f>'PFAS Properties'!$B$44</f>
        <v>PFHxS</v>
      </c>
      <c r="I715" s="2" t="str">
        <f>'PFAS Properties'!$C$44</f>
        <v>PFSA</v>
      </c>
      <c r="J715" s="2" t="str">
        <f>'PFAS Properties'!$D$44</f>
        <v>C6F13O3SH</v>
      </c>
      <c r="K715" s="25">
        <f>'PFAS Properties'!$P$44</f>
        <v>399.94379999999995</v>
      </c>
      <c r="L715" s="2">
        <f>'PFAS Properties'!$X$44</f>
        <v>0.1</v>
      </c>
      <c r="M715" s="2" t="str">
        <f>'PFAS Properties'!$Y$44</f>
        <v>-</v>
      </c>
      <c r="N715" s="33">
        <v>0</v>
      </c>
      <c r="O715" s="33">
        <v>0</v>
      </c>
      <c r="P715" s="33">
        <v>0</v>
      </c>
      <c r="Q715" s="33">
        <f t="shared" si="358"/>
        <v>0.99999987977357097</v>
      </c>
      <c r="R715" s="33">
        <v>0</v>
      </c>
      <c r="S715" s="33">
        <f t="shared" si="359"/>
        <v>1.2022642900734515E-7</v>
      </c>
      <c r="T715" s="8">
        <f t="shared" si="368"/>
        <v>1</v>
      </c>
      <c r="U715" s="33">
        <f t="shared" si="369"/>
        <v>0</v>
      </c>
      <c r="V715" s="33">
        <f t="shared" si="370"/>
        <v>-0.99999987977357097</v>
      </c>
      <c r="W715" s="33">
        <f t="shared" si="371"/>
        <v>398.94380012022634</v>
      </c>
      <c r="X715" s="33">
        <v>96485</v>
      </c>
      <c r="Y715" s="16">
        <f t="shared" si="372"/>
        <v>-241.85107870049899</v>
      </c>
      <c r="Z715" s="16">
        <v>6</v>
      </c>
      <c r="AA715" s="16">
        <v>13</v>
      </c>
      <c r="AB715" s="8">
        <f t="shared" si="373"/>
        <v>0.291497975708502</v>
      </c>
      <c r="AC715" s="16">
        <f t="shared" si="383"/>
        <v>61.758677094131734</v>
      </c>
      <c r="AD715" s="20">
        <f>'PFAS Properties'!$W$44</f>
        <v>6</v>
      </c>
      <c r="AE715" s="8">
        <f>'PFAS Properties'!$S$44</f>
        <v>3.7905666251460763</v>
      </c>
      <c r="AF715" s="15">
        <f>'PFAS Properties'!$V$44</f>
        <v>3.6</v>
      </c>
      <c r="AG715" s="24">
        <v>7.02</v>
      </c>
      <c r="AH715" s="2" t="s">
        <v>661</v>
      </c>
      <c r="AI715" s="2">
        <v>22</v>
      </c>
      <c r="AJ715" s="15">
        <f t="shared" si="376"/>
        <v>393.94753335124005</v>
      </c>
      <c r="AK715" s="15">
        <f t="shared" si="377"/>
        <v>2.2000000000000002</v>
      </c>
      <c r="AL715" s="2">
        <v>5.9</v>
      </c>
      <c r="AM715" s="15">
        <f t="shared" si="378"/>
        <v>218.68050407709413</v>
      </c>
      <c r="AN715" s="15">
        <f t="shared" si="379"/>
        <v>0.59000000000000008</v>
      </c>
      <c r="AO715" s="2" t="s">
        <v>710</v>
      </c>
      <c r="AP715" s="72">
        <v>14.11508666666667</v>
      </c>
      <c r="AQ715" s="70" t="s">
        <v>752</v>
      </c>
      <c r="AR715" s="2">
        <v>45</v>
      </c>
      <c r="AS715" s="2">
        <v>24</v>
      </c>
      <c r="AT715" s="2">
        <v>20</v>
      </c>
      <c r="AU715" s="2" t="s">
        <v>661</v>
      </c>
      <c r="AV715" s="16">
        <f t="shared" si="384"/>
        <v>89</v>
      </c>
      <c r="AW715" s="20">
        <v>2.9</v>
      </c>
      <c r="AX715" s="8">
        <f t="shared" si="361"/>
        <v>2.8999999999999998E-2</v>
      </c>
      <c r="AY715" s="8" t="s">
        <v>67</v>
      </c>
      <c r="AZ715" s="16">
        <f t="shared" si="382"/>
        <v>20</v>
      </c>
      <c r="BA715" s="16" t="s">
        <v>55</v>
      </c>
      <c r="BB715" s="16">
        <v>10</v>
      </c>
      <c r="BC715" s="16" t="s">
        <v>55</v>
      </c>
      <c r="BD715" s="18">
        <v>3.47</v>
      </c>
      <c r="BE715" s="15">
        <f t="shared" si="381"/>
        <v>119.65517241379312</v>
      </c>
      <c r="BF715" s="15">
        <f t="shared" si="374"/>
        <v>2.0779314768919179</v>
      </c>
      <c r="BG715" s="8">
        <f t="shared" si="375"/>
        <v>0.54032947479087379</v>
      </c>
      <c r="BH715" s="2" t="s">
        <v>841</v>
      </c>
      <c r="BI715" s="2"/>
      <c r="BJ715" s="2"/>
      <c r="BK715" s="2"/>
      <c r="BL715" s="2"/>
      <c r="BM715" s="20"/>
      <c r="BN715" s="20"/>
      <c r="BO715" s="2"/>
    </row>
    <row r="716" spans="1:67" s="14" customFormat="1" x14ac:dyDescent="0.3">
      <c r="A716" s="20">
        <v>714</v>
      </c>
      <c r="B716" s="2" t="s">
        <v>219</v>
      </c>
      <c r="C716" s="2">
        <v>2020</v>
      </c>
      <c r="D716" s="2" t="s">
        <v>201</v>
      </c>
      <c r="E716" s="10" t="s">
        <v>801</v>
      </c>
      <c r="F716" s="20" t="s">
        <v>63</v>
      </c>
      <c r="G716" s="2" t="s">
        <v>77</v>
      </c>
      <c r="H716" s="2" t="str">
        <f>'PFAS Properties'!$B$44</f>
        <v>PFHxS</v>
      </c>
      <c r="I716" s="2" t="str">
        <f>'PFAS Properties'!$C$44</f>
        <v>PFSA</v>
      </c>
      <c r="J716" s="2" t="str">
        <f>'PFAS Properties'!$D$44</f>
        <v>C6F13O3SH</v>
      </c>
      <c r="K716" s="25">
        <f>'PFAS Properties'!$P$44</f>
        <v>399.94379999999995</v>
      </c>
      <c r="L716" s="2">
        <f>'PFAS Properties'!$X$44</f>
        <v>0.1</v>
      </c>
      <c r="M716" s="2" t="str">
        <f>'PFAS Properties'!$Y$44</f>
        <v>-</v>
      </c>
      <c r="N716" s="33">
        <v>0</v>
      </c>
      <c r="O716" s="33">
        <v>0</v>
      </c>
      <c r="P716" s="33">
        <v>0</v>
      </c>
      <c r="Q716" s="33">
        <f t="shared" si="358"/>
        <v>0.99999994629682321</v>
      </c>
      <c r="R716" s="33">
        <v>0</v>
      </c>
      <c r="S716" s="33">
        <f t="shared" si="359"/>
        <v>5.3703176752993845E-8</v>
      </c>
      <c r="T716" s="8">
        <f t="shared" si="368"/>
        <v>1</v>
      </c>
      <c r="U716" s="33">
        <f t="shared" si="369"/>
        <v>0</v>
      </c>
      <c r="V716" s="33">
        <f t="shared" si="370"/>
        <v>-0.99999994629682321</v>
      </c>
      <c r="W716" s="33">
        <f t="shared" si="371"/>
        <v>398.94380005370311</v>
      </c>
      <c r="X716" s="33">
        <v>96485</v>
      </c>
      <c r="Y716" s="16">
        <f t="shared" si="372"/>
        <v>-241.85109482954951</v>
      </c>
      <c r="Z716" s="16">
        <v>6</v>
      </c>
      <c r="AA716" s="16">
        <v>13</v>
      </c>
      <c r="AB716" s="8">
        <f t="shared" si="373"/>
        <v>0.291497975708502</v>
      </c>
      <c r="AC716" s="16">
        <f t="shared" si="383"/>
        <v>61.758677094131734</v>
      </c>
      <c r="AD716" s="20">
        <f>'PFAS Properties'!$W$44</f>
        <v>6</v>
      </c>
      <c r="AE716" s="8">
        <f>'PFAS Properties'!$S$44</f>
        <v>3.7905666251460763</v>
      </c>
      <c r="AF716" s="15">
        <f>'PFAS Properties'!$V$44</f>
        <v>3.6</v>
      </c>
      <c r="AG716" s="24">
        <v>7.37</v>
      </c>
      <c r="AH716" s="2" t="s">
        <v>661</v>
      </c>
      <c r="AI716" s="2">
        <v>6.9</v>
      </c>
      <c r="AJ716" s="15">
        <f t="shared" si="376"/>
        <v>123.55627182379801</v>
      </c>
      <c r="AK716" s="15">
        <f t="shared" si="377"/>
        <v>0.69000000000000006</v>
      </c>
      <c r="AL716" s="2">
        <v>3.1</v>
      </c>
      <c r="AM716" s="15">
        <f t="shared" si="378"/>
        <v>114.89992587101557</v>
      </c>
      <c r="AN716" s="15">
        <f t="shared" si="379"/>
        <v>0.31</v>
      </c>
      <c r="AO716" s="2" t="s">
        <v>710</v>
      </c>
      <c r="AP716" s="72">
        <v>15.382516666666669</v>
      </c>
      <c r="AQ716" s="70" t="s">
        <v>752</v>
      </c>
      <c r="AR716" s="2">
        <v>73</v>
      </c>
      <c r="AS716" s="2">
        <v>4</v>
      </c>
      <c r="AT716" s="2">
        <v>9</v>
      </c>
      <c r="AU716" s="2" t="s">
        <v>661</v>
      </c>
      <c r="AV716" s="16">
        <f t="shared" si="384"/>
        <v>86</v>
      </c>
      <c r="AW716" s="20">
        <v>5.7</v>
      </c>
      <c r="AX716" s="8">
        <f t="shared" si="361"/>
        <v>5.7000000000000002E-2</v>
      </c>
      <c r="AY716" s="8" t="s">
        <v>67</v>
      </c>
      <c r="AZ716" s="16">
        <f t="shared" si="382"/>
        <v>20</v>
      </c>
      <c r="BA716" s="16" t="s">
        <v>55</v>
      </c>
      <c r="BB716" s="16">
        <v>10</v>
      </c>
      <c r="BC716" s="16" t="s">
        <v>55</v>
      </c>
      <c r="BD716" s="18">
        <v>3.46</v>
      </c>
      <c r="BE716" s="15">
        <f t="shared" si="381"/>
        <v>60.701754385964911</v>
      </c>
      <c r="BF716" s="15">
        <f t="shared" si="374"/>
        <v>1.7832012431202853</v>
      </c>
      <c r="BG716" s="8">
        <f t="shared" si="375"/>
        <v>0.53907609879277663</v>
      </c>
      <c r="BH716" s="2" t="s">
        <v>841</v>
      </c>
      <c r="BI716" s="2"/>
      <c r="BJ716" s="2"/>
      <c r="BK716" s="2"/>
      <c r="BL716" s="2"/>
      <c r="BM716" s="20"/>
      <c r="BN716" s="20"/>
      <c r="BO716" s="2"/>
    </row>
    <row r="717" spans="1:67" s="14" customFormat="1" x14ac:dyDescent="0.3">
      <c r="A717" s="20">
        <v>715</v>
      </c>
      <c r="B717" s="2" t="s">
        <v>219</v>
      </c>
      <c r="C717" s="2">
        <v>2020</v>
      </c>
      <c r="D717" s="2" t="s">
        <v>201</v>
      </c>
      <c r="E717" s="10" t="s">
        <v>801</v>
      </c>
      <c r="F717" s="20" t="s">
        <v>63</v>
      </c>
      <c r="G717" s="2" t="s">
        <v>78</v>
      </c>
      <c r="H717" s="2" t="str">
        <f>'PFAS Properties'!$B$44</f>
        <v>PFHxS</v>
      </c>
      <c r="I717" s="2" t="str">
        <f>'PFAS Properties'!$C$44</f>
        <v>PFSA</v>
      </c>
      <c r="J717" s="2" t="str">
        <f>'PFAS Properties'!$D$44</f>
        <v>C6F13O3SH</v>
      </c>
      <c r="K717" s="25">
        <f>'PFAS Properties'!$P$44</f>
        <v>399.94379999999995</v>
      </c>
      <c r="L717" s="2">
        <f>'PFAS Properties'!$X$44</f>
        <v>0.1</v>
      </c>
      <c r="M717" s="2" t="str">
        <f>'PFAS Properties'!$Y$44</f>
        <v>-</v>
      </c>
      <c r="N717" s="33">
        <v>0</v>
      </c>
      <c r="O717" s="33">
        <v>0</v>
      </c>
      <c r="P717" s="33">
        <v>0</v>
      </c>
      <c r="Q717" s="33">
        <f t="shared" si="358"/>
        <v>0.99999996532631619</v>
      </c>
      <c r="R717" s="33">
        <v>0</v>
      </c>
      <c r="S717" s="33">
        <f t="shared" si="359"/>
        <v>3.467368384298878E-8</v>
      </c>
      <c r="T717" s="8">
        <f t="shared" si="368"/>
        <v>1</v>
      </c>
      <c r="U717" s="33">
        <f t="shared" si="369"/>
        <v>0</v>
      </c>
      <c r="V717" s="33">
        <f t="shared" si="370"/>
        <v>-0.99999996532631619</v>
      </c>
      <c r="W717" s="33">
        <f t="shared" si="371"/>
        <v>398.9438000346737</v>
      </c>
      <c r="X717" s="33">
        <v>96485</v>
      </c>
      <c r="Y717" s="16">
        <f t="shared" si="372"/>
        <v>-241.85109944338961</v>
      </c>
      <c r="Z717" s="16">
        <v>6</v>
      </c>
      <c r="AA717" s="16">
        <v>13</v>
      </c>
      <c r="AB717" s="8">
        <f t="shared" si="373"/>
        <v>0.291497975708502</v>
      </c>
      <c r="AC717" s="16">
        <f t="shared" si="383"/>
        <v>61.758677094131734</v>
      </c>
      <c r="AD717" s="20">
        <f>'PFAS Properties'!$W$44</f>
        <v>6</v>
      </c>
      <c r="AE717" s="8">
        <f>'PFAS Properties'!$S$44</f>
        <v>3.7905666251460763</v>
      </c>
      <c r="AF717" s="15">
        <f>'PFAS Properties'!$V$44</f>
        <v>3.6</v>
      </c>
      <c r="AG717" s="24">
        <v>7.56</v>
      </c>
      <c r="AH717" s="2" t="s">
        <v>661</v>
      </c>
      <c r="AI717" s="2">
        <v>1.5</v>
      </c>
      <c r="AJ717" s="15">
        <f t="shared" si="376"/>
        <v>26.860059092130005</v>
      </c>
      <c r="AK717" s="15">
        <f t="shared" si="377"/>
        <v>0.15</v>
      </c>
      <c r="AL717" s="2">
        <v>0.6</v>
      </c>
      <c r="AM717" s="15">
        <f t="shared" si="378"/>
        <v>22.23869532987398</v>
      </c>
      <c r="AN717" s="15">
        <f t="shared" si="379"/>
        <v>0.06</v>
      </c>
      <c r="AO717" s="2" t="s">
        <v>710</v>
      </c>
      <c r="AP717" s="72">
        <v>11.48601666666667</v>
      </c>
      <c r="AQ717" s="70" t="s">
        <v>752</v>
      </c>
      <c r="AR717" s="2">
        <v>98</v>
      </c>
      <c r="AS717" s="2">
        <v>0.1</v>
      </c>
      <c r="AT717" s="2">
        <v>0.6</v>
      </c>
      <c r="AU717" s="2" t="s">
        <v>661</v>
      </c>
      <c r="AV717" s="16">
        <f t="shared" si="384"/>
        <v>98.699999999999989</v>
      </c>
      <c r="AW717" s="20">
        <v>0.1</v>
      </c>
      <c r="AX717" s="8">
        <f t="shared" si="361"/>
        <v>1E-3</v>
      </c>
      <c r="AY717" s="8" t="s">
        <v>67</v>
      </c>
      <c r="AZ717" s="16">
        <f t="shared" si="382"/>
        <v>20</v>
      </c>
      <c r="BA717" s="16" t="s">
        <v>55</v>
      </c>
      <c r="BB717" s="16">
        <v>10</v>
      </c>
      <c r="BC717" s="16" t="s">
        <v>55</v>
      </c>
      <c r="BD717" s="18">
        <v>0.35</v>
      </c>
      <c r="BE717" s="15">
        <f t="shared" si="381"/>
        <v>349.99999999999994</v>
      </c>
      <c r="BF717" s="15">
        <f t="shared" si="374"/>
        <v>2.5440680443502757</v>
      </c>
      <c r="BG717" s="8">
        <f t="shared" si="375"/>
        <v>-0.45593195564972439</v>
      </c>
      <c r="BH717" s="2" t="s">
        <v>841</v>
      </c>
      <c r="BI717" s="2"/>
      <c r="BJ717" s="2"/>
      <c r="BK717" s="2"/>
      <c r="BL717" s="2"/>
      <c r="BM717" s="20"/>
      <c r="BN717" s="20"/>
      <c r="BO717" s="2"/>
    </row>
    <row r="718" spans="1:67" s="14" customFormat="1" x14ac:dyDescent="0.3">
      <c r="A718" s="20">
        <v>716</v>
      </c>
      <c r="B718" s="2" t="s">
        <v>219</v>
      </c>
      <c r="C718" s="2">
        <v>2020</v>
      </c>
      <c r="D718" s="2" t="s">
        <v>201</v>
      </c>
      <c r="E718" s="10" t="s">
        <v>801</v>
      </c>
      <c r="F718" s="20" t="s">
        <v>63</v>
      </c>
      <c r="G718" s="2" t="s">
        <v>79</v>
      </c>
      <c r="H718" s="2" t="str">
        <f>'PFAS Properties'!$B$44</f>
        <v>PFHxS</v>
      </c>
      <c r="I718" s="2" t="str">
        <f>'PFAS Properties'!$C$44</f>
        <v>PFSA</v>
      </c>
      <c r="J718" s="2" t="str">
        <f>'PFAS Properties'!$D$44</f>
        <v>C6F13O3SH</v>
      </c>
      <c r="K718" s="25">
        <f>'PFAS Properties'!$P$44</f>
        <v>399.94379999999995</v>
      </c>
      <c r="L718" s="2">
        <f>'PFAS Properties'!$X$44</f>
        <v>0.1</v>
      </c>
      <c r="M718" s="2" t="str">
        <f>'PFAS Properties'!$Y$44</f>
        <v>-</v>
      </c>
      <c r="N718" s="33">
        <v>0</v>
      </c>
      <c r="O718" s="33">
        <v>0</v>
      </c>
      <c r="P718" s="33">
        <v>0</v>
      </c>
      <c r="Q718" s="33">
        <f t="shared" si="358"/>
        <v>0.99999997601167134</v>
      </c>
      <c r="R718" s="33">
        <v>0</v>
      </c>
      <c r="S718" s="33">
        <f t="shared" si="359"/>
        <v>2.3988328614754938E-8</v>
      </c>
      <c r="T718" s="8">
        <f t="shared" si="368"/>
        <v>1</v>
      </c>
      <c r="U718" s="33">
        <f t="shared" si="369"/>
        <v>0</v>
      </c>
      <c r="V718" s="33">
        <f t="shared" si="370"/>
        <v>-0.99999997601167134</v>
      </c>
      <c r="W718" s="33">
        <f t="shared" si="371"/>
        <v>398.94380002398827</v>
      </c>
      <c r="X718" s="33">
        <v>96485</v>
      </c>
      <c r="Y718" s="16">
        <f t="shared" si="372"/>
        <v>-241.85110203413242</v>
      </c>
      <c r="Z718" s="16">
        <v>6</v>
      </c>
      <c r="AA718" s="16">
        <v>13</v>
      </c>
      <c r="AB718" s="8">
        <f t="shared" si="373"/>
        <v>0.291497975708502</v>
      </c>
      <c r="AC718" s="16">
        <f t="shared" si="383"/>
        <v>61.758677094131734</v>
      </c>
      <c r="AD718" s="20">
        <f>'PFAS Properties'!$W$44</f>
        <v>6</v>
      </c>
      <c r="AE718" s="8">
        <f>'PFAS Properties'!$S$44</f>
        <v>3.7905666251460763</v>
      </c>
      <c r="AF718" s="15">
        <f>'PFAS Properties'!$V$44</f>
        <v>3.6</v>
      </c>
      <c r="AG718" s="24">
        <v>7.72</v>
      </c>
      <c r="AH718" s="2" t="s">
        <v>661</v>
      </c>
      <c r="AI718" s="2">
        <v>12</v>
      </c>
      <c r="AJ718" s="15">
        <f t="shared" si="376"/>
        <v>214.88047273704004</v>
      </c>
      <c r="AK718" s="15">
        <f t="shared" si="377"/>
        <v>1.2</v>
      </c>
      <c r="AL718" s="2">
        <v>5.8</v>
      </c>
      <c r="AM718" s="15">
        <f t="shared" si="378"/>
        <v>214.97405485544849</v>
      </c>
      <c r="AN718" s="15">
        <f t="shared" si="379"/>
        <v>0.57999999999999996</v>
      </c>
      <c r="AO718" s="2" t="s">
        <v>710</v>
      </c>
      <c r="AP718" s="72">
        <v>8.416266666666667</v>
      </c>
      <c r="AQ718" s="70" t="s">
        <v>752</v>
      </c>
      <c r="AR718" s="2">
        <v>32</v>
      </c>
      <c r="AS718" s="2">
        <v>31</v>
      </c>
      <c r="AT718" s="2">
        <v>38</v>
      </c>
      <c r="AU718" s="2" t="s">
        <v>661</v>
      </c>
      <c r="AV718" s="16">
        <f t="shared" si="384"/>
        <v>101</v>
      </c>
      <c r="AW718" s="20">
        <v>11</v>
      </c>
      <c r="AX718" s="8">
        <f t="shared" si="361"/>
        <v>0.11</v>
      </c>
      <c r="AY718" s="8" t="s">
        <v>67</v>
      </c>
      <c r="AZ718" s="16">
        <f t="shared" si="382"/>
        <v>20</v>
      </c>
      <c r="BA718" s="16" t="s">
        <v>55</v>
      </c>
      <c r="BB718" s="16">
        <v>10</v>
      </c>
      <c r="BC718" s="16" t="s">
        <v>55</v>
      </c>
      <c r="BD718" s="18">
        <v>7.71</v>
      </c>
      <c r="BE718" s="15">
        <f t="shared" si="381"/>
        <v>70.090909090909093</v>
      </c>
      <c r="BF718" s="15">
        <f t="shared" si="374"/>
        <v>1.8456616928927319</v>
      </c>
      <c r="BG718" s="8">
        <f t="shared" si="375"/>
        <v>0.88705437805095699</v>
      </c>
      <c r="BH718" s="2" t="s">
        <v>841</v>
      </c>
      <c r="BI718" s="2"/>
      <c r="BJ718" s="2"/>
      <c r="BK718" s="2"/>
      <c r="BL718" s="2"/>
      <c r="BM718" s="20"/>
      <c r="BN718" s="20"/>
      <c r="BO718" s="2"/>
    </row>
    <row r="719" spans="1:67" s="14" customFormat="1" x14ac:dyDescent="0.3">
      <c r="A719" s="20">
        <v>717</v>
      </c>
      <c r="B719" s="2" t="s">
        <v>219</v>
      </c>
      <c r="C719" s="2">
        <v>2020</v>
      </c>
      <c r="D719" s="2" t="s">
        <v>201</v>
      </c>
      <c r="E719" s="10" t="s">
        <v>801</v>
      </c>
      <c r="F719" s="20" t="s">
        <v>63</v>
      </c>
      <c r="G719" s="2" t="s">
        <v>80</v>
      </c>
      <c r="H719" s="2" t="str">
        <f>'PFAS Properties'!$B$44</f>
        <v>PFHxS</v>
      </c>
      <c r="I719" s="2" t="str">
        <f>'PFAS Properties'!$C$44</f>
        <v>PFSA</v>
      </c>
      <c r="J719" s="2" t="str">
        <f>'PFAS Properties'!$D$44</f>
        <v>C6F13O3SH</v>
      </c>
      <c r="K719" s="25">
        <f>'PFAS Properties'!$P$44</f>
        <v>399.94379999999995</v>
      </c>
      <c r="L719" s="2">
        <f>'PFAS Properties'!$X$44</f>
        <v>0.1</v>
      </c>
      <c r="M719" s="2" t="str">
        <f>'PFAS Properties'!$Y$44</f>
        <v>-</v>
      </c>
      <c r="N719" s="33">
        <v>0</v>
      </c>
      <c r="O719" s="33">
        <v>0</v>
      </c>
      <c r="P719" s="33">
        <v>0</v>
      </c>
      <c r="Q719" s="33">
        <f t="shared" si="358"/>
        <v>0.99999984151070587</v>
      </c>
      <c r="R719" s="33">
        <v>0</v>
      </c>
      <c r="S719" s="33">
        <f t="shared" si="359"/>
        <v>1.584892941272506E-7</v>
      </c>
      <c r="T719" s="8">
        <f t="shared" si="368"/>
        <v>1</v>
      </c>
      <c r="U719" s="33">
        <f t="shared" si="369"/>
        <v>0</v>
      </c>
      <c r="V719" s="33">
        <f t="shared" si="370"/>
        <v>-0.99999984151070587</v>
      </c>
      <c r="W719" s="33">
        <f t="shared" si="371"/>
        <v>398.94380015848924</v>
      </c>
      <c r="X719" s="33">
        <v>96485</v>
      </c>
      <c r="Y719" s="16">
        <f t="shared" si="372"/>
        <v>-241.8510694233866</v>
      </c>
      <c r="Z719" s="16">
        <v>6</v>
      </c>
      <c r="AA719" s="16">
        <v>13</v>
      </c>
      <c r="AB719" s="8">
        <f t="shared" si="373"/>
        <v>0.291497975708502</v>
      </c>
      <c r="AC719" s="16">
        <f t="shared" si="383"/>
        <v>61.758677094131734</v>
      </c>
      <c r="AD719" s="20">
        <f>'PFAS Properties'!$W$44</f>
        <v>6</v>
      </c>
      <c r="AE719" s="8">
        <f>'PFAS Properties'!$S$44</f>
        <v>3.7905666251460763</v>
      </c>
      <c r="AF719" s="15">
        <f>'PFAS Properties'!$V$44</f>
        <v>3.6</v>
      </c>
      <c r="AG719" s="24">
        <v>6.9</v>
      </c>
      <c r="AH719" s="2" t="s">
        <v>661</v>
      </c>
      <c r="AI719" s="2">
        <v>42</v>
      </c>
      <c r="AJ719" s="15">
        <f t="shared" si="376"/>
        <v>752.08165457964014</v>
      </c>
      <c r="AK719" s="15">
        <f t="shared" si="377"/>
        <v>4.2</v>
      </c>
      <c r="AL719" s="2">
        <v>1</v>
      </c>
      <c r="AM719" s="15">
        <f t="shared" si="378"/>
        <v>37.064492216456635</v>
      </c>
      <c r="AN719" s="15">
        <f t="shared" si="379"/>
        <v>0.1</v>
      </c>
      <c r="AO719" s="2" t="s">
        <v>710</v>
      </c>
      <c r="AP719" s="72">
        <v>5.6875666666666662</v>
      </c>
      <c r="AQ719" s="70" t="s">
        <v>752</v>
      </c>
      <c r="AR719" s="2">
        <v>19</v>
      </c>
      <c r="AS719" s="2">
        <v>36</v>
      </c>
      <c r="AT719" s="2">
        <v>32</v>
      </c>
      <c r="AU719" s="2" t="s">
        <v>661</v>
      </c>
      <c r="AV719" s="16">
        <f t="shared" si="384"/>
        <v>87</v>
      </c>
      <c r="AW719" s="20">
        <v>5.9</v>
      </c>
      <c r="AX719" s="8">
        <f t="shared" si="361"/>
        <v>5.9000000000000004E-2</v>
      </c>
      <c r="AY719" s="8" t="s">
        <v>67</v>
      </c>
      <c r="AZ719" s="16">
        <f t="shared" si="382"/>
        <v>20</v>
      </c>
      <c r="BA719" s="16" t="s">
        <v>55</v>
      </c>
      <c r="BB719" s="16">
        <v>10</v>
      </c>
      <c r="BC719" s="16" t="s">
        <v>55</v>
      </c>
      <c r="BD719" s="18">
        <v>4.18</v>
      </c>
      <c r="BE719" s="15">
        <f t="shared" si="381"/>
        <v>70.847457627118629</v>
      </c>
      <c r="BF719" s="15">
        <f t="shared" si="374"/>
        <v>1.850324270132891</v>
      </c>
      <c r="BG719" s="8">
        <f t="shared" si="375"/>
        <v>0.62117628177503514</v>
      </c>
      <c r="BH719" s="2" t="s">
        <v>841</v>
      </c>
      <c r="BI719" s="2"/>
      <c r="BJ719" s="2"/>
      <c r="BK719" s="2"/>
      <c r="BL719" s="2"/>
      <c r="BM719" s="20"/>
      <c r="BN719" s="20"/>
      <c r="BO719" s="2"/>
    </row>
    <row r="720" spans="1:67" s="14" customFormat="1" x14ac:dyDescent="0.3">
      <c r="A720" s="20">
        <v>718</v>
      </c>
      <c r="B720" s="2" t="s">
        <v>219</v>
      </c>
      <c r="C720" s="2">
        <v>2020</v>
      </c>
      <c r="D720" s="2" t="s">
        <v>201</v>
      </c>
      <c r="E720" s="10" t="s">
        <v>801</v>
      </c>
      <c r="F720" s="20" t="s">
        <v>63</v>
      </c>
      <c r="G720" s="2" t="s">
        <v>81</v>
      </c>
      <c r="H720" s="2" t="str">
        <f>'PFAS Properties'!$B$44</f>
        <v>PFHxS</v>
      </c>
      <c r="I720" s="2" t="str">
        <f>'PFAS Properties'!$C$44</f>
        <v>PFSA</v>
      </c>
      <c r="J720" s="2" t="str">
        <f>'PFAS Properties'!$D$44</f>
        <v>C6F13O3SH</v>
      </c>
      <c r="K720" s="25">
        <f>'PFAS Properties'!$P$44</f>
        <v>399.94379999999995</v>
      </c>
      <c r="L720" s="2">
        <f>'PFAS Properties'!$X$44</f>
        <v>0.1</v>
      </c>
      <c r="M720" s="2" t="str">
        <f>'PFAS Properties'!$Y$44</f>
        <v>-</v>
      </c>
      <c r="N720" s="33">
        <v>0</v>
      </c>
      <c r="O720" s="33">
        <v>0</v>
      </c>
      <c r="P720" s="33">
        <v>0</v>
      </c>
      <c r="Q720" s="33">
        <f t="shared" ref="Q720:Q783" si="385">(10^(AG720-L720))/(1+(10^(AG720-L720)))</f>
        <v>0.99999979107043058</v>
      </c>
      <c r="R720" s="33">
        <v>0</v>
      </c>
      <c r="S720" s="33">
        <f t="shared" ref="S720:S783" si="386">(1/(1+(10^(AG720-L720))))</f>
        <v>2.0892956943382908E-7</v>
      </c>
      <c r="T720" s="8">
        <f t="shared" si="368"/>
        <v>1</v>
      </c>
      <c r="U720" s="33">
        <f t="shared" si="369"/>
        <v>0</v>
      </c>
      <c r="V720" s="33">
        <f t="shared" si="370"/>
        <v>-0.99999979107043058</v>
      </c>
      <c r="W720" s="33">
        <f t="shared" si="371"/>
        <v>398.94380020892953</v>
      </c>
      <c r="X720" s="33">
        <v>96485</v>
      </c>
      <c r="Y720" s="16">
        <f t="shared" si="372"/>
        <v>-241.85105719377182</v>
      </c>
      <c r="Z720" s="16">
        <v>6</v>
      </c>
      <c r="AA720" s="16">
        <v>13</v>
      </c>
      <c r="AB720" s="8">
        <f t="shared" si="373"/>
        <v>0.291497975708502</v>
      </c>
      <c r="AC720" s="16">
        <f t="shared" si="383"/>
        <v>61.758677094131734</v>
      </c>
      <c r="AD720" s="20">
        <f>'PFAS Properties'!$W$44</f>
        <v>6</v>
      </c>
      <c r="AE720" s="8">
        <f>'PFAS Properties'!$S$44</f>
        <v>3.7905666251460763</v>
      </c>
      <c r="AF720" s="15">
        <f>'PFAS Properties'!$V$44</f>
        <v>3.6</v>
      </c>
      <c r="AG720" s="24">
        <v>6.78</v>
      </c>
      <c r="AH720" s="2" t="s">
        <v>661</v>
      </c>
      <c r="AI720" s="2">
        <v>15</v>
      </c>
      <c r="AJ720" s="15">
        <f t="shared" si="376"/>
        <v>268.60059092130001</v>
      </c>
      <c r="AK720" s="15">
        <f t="shared" si="377"/>
        <v>1.5</v>
      </c>
      <c r="AL720" s="2">
        <v>4.9000000000000004</v>
      </c>
      <c r="AM720" s="15">
        <f t="shared" si="378"/>
        <v>181.61601186063751</v>
      </c>
      <c r="AN720" s="15">
        <f t="shared" si="379"/>
        <v>0.49000000000000005</v>
      </c>
      <c r="AO720" s="2" t="s">
        <v>710</v>
      </c>
      <c r="AP720" s="72">
        <v>6.7671166666666656</v>
      </c>
      <c r="AQ720" s="70" t="s">
        <v>752</v>
      </c>
      <c r="AR720" s="2">
        <v>79</v>
      </c>
      <c r="AS720" s="2">
        <v>4</v>
      </c>
      <c r="AT720" s="2">
        <v>9</v>
      </c>
      <c r="AU720" s="2" t="s">
        <v>661</v>
      </c>
      <c r="AV720" s="16">
        <f t="shared" si="384"/>
        <v>92</v>
      </c>
      <c r="AW720" s="20">
        <v>3.2</v>
      </c>
      <c r="AX720" s="8">
        <f t="shared" si="361"/>
        <v>3.2000000000000001E-2</v>
      </c>
      <c r="AY720" s="8" t="s">
        <v>67</v>
      </c>
      <c r="AZ720" s="16">
        <f t="shared" si="382"/>
        <v>20</v>
      </c>
      <c r="BA720" s="16" t="s">
        <v>55</v>
      </c>
      <c r="BB720" s="16">
        <v>10</v>
      </c>
      <c r="BC720" s="16" t="s">
        <v>55</v>
      </c>
      <c r="BD720" s="18">
        <v>2.83</v>
      </c>
      <c r="BE720" s="15">
        <f t="shared" si="381"/>
        <v>88.4375</v>
      </c>
      <c r="BF720" s="15">
        <f t="shared" si="374"/>
        <v>1.9466364572043842</v>
      </c>
      <c r="BG720" s="8">
        <f t="shared" si="375"/>
        <v>0.45178643552429026</v>
      </c>
      <c r="BH720" s="2" t="s">
        <v>841</v>
      </c>
      <c r="BI720" s="2"/>
      <c r="BJ720" s="2"/>
      <c r="BK720" s="2"/>
      <c r="BL720" s="2"/>
      <c r="BM720" s="20"/>
      <c r="BN720" s="20"/>
      <c r="BO720" s="2"/>
    </row>
    <row r="721" spans="1:67" s="14" customFormat="1" x14ac:dyDescent="0.3">
      <c r="A721" s="20">
        <v>719</v>
      </c>
      <c r="B721" s="2" t="s">
        <v>219</v>
      </c>
      <c r="C721" s="2">
        <v>2020</v>
      </c>
      <c r="D721" s="2" t="s">
        <v>201</v>
      </c>
      <c r="E721" s="10" t="s">
        <v>801</v>
      </c>
      <c r="F721" s="20" t="s">
        <v>63</v>
      </c>
      <c r="G721" s="2" t="s">
        <v>82</v>
      </c>
      <c r="H721" s="2" t="str">
        <f>'PFAS Properties'!$B$44</f>
        <v>PFHxS</v>
      </c>
      <c r="I721" s="2" t="str">
        <f>'PFAS Properties'!$C$44</f>
        <v>PFSA</v>
      </c>
      <c r="J721" s="2" t="str">
        <f>'PFAS Properties'!$D$44</f>
        <v>C6F13O3SH</v>
      </c>
      <c r="K721" s="25">
        <f>'PFAS Properties'!$P$44</f>
        <v>399.94379999999995</v>
      </c>
      <c r="L721" s="2">
        <f>'PFAS Properties'!$X$44</f>
        <v>0.1</v>
      </c>
      <c r="M721" s="2" t="str">
        <f>'PFAS Properties'!$Y$44</f>
        <v>-</v>
      </c>
      <c r="N721" s="33">
        <v>0</v>
      </c>
      <c r="O721" s="33">
        <v>0</v>
      </c>
      <c r="P721" s="33">
        <v>0</v>
      </c>
      <c r="Q721" s="33">
        <f t="shared" si="385"/>
        <v>0.99999993081690774</v>
      </c>
      <c r="R721" s="33">
        <v>0</v>
      </c>
      <c r="S721" s="33">
        <f t="shared" si="386"/>
        <v>6.9183092305592872E-8</v>
      </c>
      <c r="T721" s="8">
        <f t="shared" si="368"/>
        <v>1</v>
      </c>
      <c r="U721" s="33">
        <f t="shared" si="369"/>
        <v>0</v>
      </c>
      <c r="V721" s="33">
        <f t="shared" si="370"/>
        <v>-0.99999993081690774</v>
      </c>
      <c r="W721" s="33">
        <f t="shared" si="371"/>
        <v>398.94380006918306</v>
      </c>
      <c r="X721" s="33">
        <v>96485</v>
      </c>
      <c r="Y721" s="16">
        <f t="shared" si="372"/>
        <v>-241.85109107633042</v>
      </c>
      <c r="Z721" s="16">
        <v>6</v>
      </c>
      <c r="AA721" s="16">
        <v>13</v>
      </c>
      <c r="AB721" s="8">
        <f t="shared" si="373"/>
        <v>0.291497975708502</v>
      </c>
      <c r="AC721" s="16">
        <f t="shared" si="383"/>
        <v>61.758677094131734</v>
      </c>
      <c r="AD721" s="20">
        <f>'PFAS Properties'!$W$44</f>
        <v>6</v>
      </c>
      <c r="AE721" s="8">
        <f>'PFAS Properties'!$S$44</f>
        <v>3.7905666251460763</v>
      </c>
      <c r="AF721" s="15">
        <f>'PFAS Properties'!$V$44</f>
        <v>3.6</v>
      </c>
      <c r="AG721" s="24">
        <v>7.26</v>
      </c>
      <c r="AH721" s="2" t="s">
        <v>661</v>
      </c>
      <c r="AI721" s="2">
        <v>26</v>
      </c>
      <c r="AJ721" s="15">
        <f t="shared" si="376"/>
        <v>465.57435759692004</v>
      </c>
      <c r="AK721" s="15">
        <f t="shared" si="377"/>
        <v>2.6</v>
      </c>
      <c r="AL721" s="2">
        <v>9.1999999999999993</v>
      </c>
      <c r="AM721" s="15">
        <f t="shared" si="378"/>
        <v>340.99332839140101</v>
      </c>
      <c r="AN721" s="15">
        <f t="shared" si="379"/>
        <v>0.91999999999999993</v>
      </c>
      <c r="AO721" s="2" t="s">
        <v>710</v>
      </c>
      <c r="AP721" s="72">
        <v>12.88201666666667</v>
      </c>
      <c r="AQ721" s="70" t="s">
        <v>752</v>
      </c>
      <c r="AR721" s="2">
        <v>37</v>
      </c>
      <c r="AS721" s="2">
        <v>14</v>
      </c>
      <c r="AT721" s="2">
        <v>34</v>
      </c>
      <c r="AU721" s="2" t="s">
        <v>661</v>
      </c>
      <c r="AV721" s="16">
        <f t="shared" si="384"/>
        <v>85</v>
      </c>
      <c r="AW721" s="20">
        <v>10</v>
      </c>
      <c r="AX721" s="8">
        <f t="shared" si="361"/>
        <v>0.1</v>
      </c>
      <c r="AY721" s="8" t="s">
        <v>67</v>
      </c>
      <c r="AZ721" s="16">
        <f t="shared" si="382"/>
        <v>20</v>
      </c>
      <c r="BA721" s="16" t="s">
        <v>55</v>
      </c>
      <c r="BB721" s="16">
        <v>10</v>
      </c>
      <c r="BC721" s="16" t="s">
        <v>55</v>
      </c>
      <c r="BD721" s="18">
        <v>8.18</v>
      </c>
      <c r="BE721" s="15">
        <f t="shared" si="381"/>
        <v>81.8</v>
      </c>
      <c r="BF721" s="15">
        <f t="shared" si="374"/>
        <v>1.9127533036713229</v>
      </c>
      <c r="BG721" s="8">
        <f t="shared" si="375"/>
        <v>0.91275330367132301</v>
      </c>
      <c r="BH721" s="2" t="s">
        <v>841</v>
      </c>
      <c r="BI721" s="2"/>
      <c r="BJ721" s="2"/>
      <c r="BK721" s="2"/>
      <c r="BL721" s="2"/>
      <c r="BM721" s="20"/>
      <c r="BN721" s="20"/>
      <c r="BO721" s="2"/>
    </row>
    <row r="722" spans="1:67" s="14" customFormat="1" x14ac:dyDescent="0.3">
      <c r="A722" s="20">
        <v>720</v>
      </c>
      <c r="B722" s="2" t="s">
        <v>219</v>
      </c>
      <c r="C722" s="2">
        <v>2020</v>
      </c>
      <c r="D722" s="2" t="s">
        <v>201</v>
      </c>
      <c r="E722" s="10" t="s">
        <v>801</v>
      </c>
      <c r="F722" s="20" t="s">
        <v>63</v>
      </c>
      <c r="G722" s="2" t="s">
        <v>83</v>
      </c>
      <c r="H722" s="2" t="str">
        <f>'PFAS Properties'!$B$44</f>
        <v>PFHxS</v>
      </c>
      <c r="I722" s="2" t="str">
        <f>'PFAS Properties'!$C$44</f>
        <v>PFSA</v>
      </c>
      <c r="J722" s="2" t="str">
        <f>'PFAS Properties'!$D$44</f>
        <v>C6F13O3SH</v>
      </c>
      <c r="K722" s="25">
        <f>'PFAS Properties'!$P$44</f>
        <v>399.94379999999995</v>
      </c>
      <c r="L722" s="2">
        <f>'PFAS Properties'!$X$44</f>
        <v>0.1</v>
      </c>
      <c r="M722" s="2" t="str">
        <f>'PFAS Properties'!$Y$44</f>
        <v>-</v>
      </c>
      <c r="N722" s="33">
        <v>0</v>
      </c>
      <c r="O722" s="33">
        <v>0</v>
      </c>
      <c r="P722" s="33">
        <v>0</v>
      </c>
      <c r="Q722" s="33">
        <f t="shared" si="385"/>
        <v>0.99999991682362976</v>
      </c>
      <c r="R722" s="33">
        <v>0</v>
      </c>
      <c r="S722" s="33">
        <f t="shared" si="386"/>
        <v>8.3176370191957686E-8</v>
      </c>
      <c r="T722" s="8">
        <f t="shared" si="368"/>
        <v>1</v>
      </c>
      <c r="U722" s="33">
        <f t="shared" si="369"/>
        <v>0</v>
      </c>
      <c r="V722" s="33">
        <f t="shared" si="370"/>
        <v>-0.99999991682362976</v>
      </c>
      <c r="W722" s="33">
        <f t="shared" si="371"/>
        <v>398.94380008317631</v>
      </c>
      <c r="X722" s="33">
        <v>96485</v>
      </c>
      <c r="Y722" s="16">
        <f t="shared" si="372"/>
        <v>-241.85108768355752</v>
      </c>
      <c r="Z722" s="16">
        <v>6</v>
      </c>
      <c r="AA722" s="16">
        <v>13</v>
      </c>
      <c r="AB722" s="8">
        <f t="shared" si="373"/>
        <v>0.291497975708502</v>
      </c>
      <c r="AC722" s="16">
        <f t="shared" si="383"/>
        <v>61.758677094131734</v>
      </c>
      <c r="AD722" s="20">
        <f>'PFAS Properties'!$W$44</f>
        <v>6</v>
      </c>
      <c r="AE722" s="8">
        <f>'PFAS Properties'!$S$44</f>
        <v>3.7905666251460763</v>
      </c>
      <c r="AF722" s="15">
        <f>'PFAS Properties'!$V$44</f>
        <v>3.6</v>
      </c>
      <c r="AG722" s="24">
        <v>7.18</v>
      </c>
      <c r="AH722" s="2" t="s">
        <v>661</v>
      </c>
      <c r="AI722" s="2">
        <v>25</v>
      </c>
      <c r="AJ722" s="15">
        <f t="shared" si="376"/>
        <v>447.66765153550006</v>
      </c>
      <c r="AK722" s="15">
        <f t="shared" si="377"/>
        <v>2.5</v>
      </c>
      <c r="AL722" s="2">
        <v>8.1999999999999993</v>
      </c>
      <c r="AM722" s="15">
        <f t="shared" si="378"/>
        <v>303.92883617494442</v>
      </c>
      <c r="AN722" s="15">
        <f t="shared" si="379"/>
        <v>0.82</v>
      </c>
      <c r="AO722" s="2" t="s">
        <v>710</v>
      </c>
      <c r="AP722" s="72">
        <v>12.04371666666666</v>
      </c>
      <c r="AQ722" s="70" t="s">
        <v>752</v>
      </c>
      <c r="AR722" s="2">
        <v>44</v>
      </c>
      <c r="AS722" s="2">
        <v>14</v>
      </c>
      <c r="AT722" s="2">
        <v>24</v>
      </c>
      <c r="AU722" s="2" t="s">
        <v>661</v>
      </c>
      <c r="AV722" s="16">
        <f t="shared" si="384"/>
        <v>82</v>
      </c>
      <c r="AW722" s="20">
        <v>10.1</v>
      </c>
      <c r="AX722" s="8">
        <f t="shared" si="361"/>
        <v>0.10099999999999999</v>
      </c>
      <c r="AY722" s="8" t="s">
        <v>67</v>
      </c>
      <c r="AZ722" s="16">
        <f t="shared" si="382"/>
        <v>20</v>
      </c>
      <c r="BA722" s="16" t="s">
        <v>55</v>
      </c>
      <c r="BB722" s="16">
        <v>10</v>
      </c>
      <c r="BC722" s="16" t="s">
        <v>55</v>
      </c>
      <c r="BD722" s="18">
        <v>6.21</v>
      </c>
      <c r="BE722" s="15">
        <f t="shared" si="381"/>
        <v>61.485148514851488</v>
      </c>
      <c r="BF722" s="15">
        <f t="shared" si="374"/>
        <v>1.7887702263939376</v>
      </c>
      <c r="BG722" s="8">
        <f t="shared" si="375"/>
        <v>0.7930916001765802</v>
      </c>
      <c r="BH722" s="2" t="s">
        <v>841</v>
      </c>
      <c r="BI722" s="2"/>
      <c r="BJ722" s="2"/>
      <c r="BK722" s="2"/>
      <c r="BL722" s="2"/>
      <c r="BM722" s="20"/>
      <c r="BN722" s="20"/>
      <c r="BO722" s="2"/>
    </row>
    <row r="723" spans="1:67" s="14" customFormat="1" x14ac:dyDescent="0.3">
      <c r="A723" s="20">
        <v>721</v>
      </c>
      <c r="B723" s="2" t="s">
        <v>219</v>
      </c>
      <c r="C723" s="2">
        <v>2020</v>
      </c>
      <c r="D723" s="2" t="s">
        <v>201</v>
      </c>
      <c r="E723" s="10" t="s">
        <v>801</v>
      </c>
      <c r="F723" s="20" t="s">
        <v>63</v>
      </c>
      <c r="G723" s="2" t="s">
        <v>84</v>
      </c>
      <c r="H723" s="2" t="str">
        <f>'PFAS Properties'!$B$44</f>
        <v>PFHxS</v>
      </c>
      <c r="I723" s="2" t="str">
        <f>'PFAS Properties'!$C$44</f>
        <v>PFSA</v>
      </c>
      <c r="J723" s="2" t="str">
        <f>'PFAS Properties'!$D$44</f>
        <v>C6F13O3SH</v>
      </c>
      <c r="K723" s="25">
        <f>'PFAS Properties'!$P$44</f>
        <v>399.94379999999995</v>
      </c>
      <c r="L723" s="2">
        <f>'PFAS Properties'!$X$44</f>
        <v>0.1</v>
      </c>
      <c r="M723" s="2" t="str">
        <f>'PFAS Properties'!$Y$44</f>
        <v>-</v>
      </c>
      <c r="N723" s="33">
        <v>0</v>
      </c>
      <c r="O723" s="33">
        <v>0</v>
      </c>
      <c r="P723" s="33">
        <v>0</v>
      </c>
      <c r="Q723" s="33">
        <f t="shared" si="385"/>
        <v>0.99999989767071129</v>
      </c>
      <c r="R723" s="33">
        <v>0</v>
      </c>
      <c r="S723" s="33">
        <f t="shared" si="386"/>
        <v>1.0232928875679092E-7</v>
      </c>
      <c r="T723" s="8">
        <f t="shared" si="368"/>
        <v>1</v>
      </c>
      <c r="U723" s="33">
        <f t="shared" si="369"/>
        <v>0</v>
      </c>
      <c r="V723" s="33">
        <f t="shared" si="370"/>
        <v>-0.99999989767071129</v>
      </c>
      <c r="W723" s="33">
        <f t="shared" si="371"/>
        <v>398.94380010232925</v>
      </c>
      <c r="X723" s="33">
        <v>96485</v>
      </c>
      <c r="Y723" s="16">
        <f t="shared" si="372"/>
        <v>-241.85108303979192</v>
      </c>
      <c r="Z723" s="16">
        <v>6</v>
      </c>
      <c r="AA723" s="16">
        <v>13</v>
      </c>
      <c r="AB723" s="8">
        <f t="shared" si="373"/>
        <v>0.291497975708502</v>
      </c>
      <c r="AC723" s="16">
        <f t="shared" si="383"/>
        <v>61.758677094131734</v>
      </c>
      <c r="AD723" s="20">
        <f>'PFAS Properties'!$W$44</f>
        <v>6</v>
      </c>
      <c r="AE723" s="8">
        <f>'PFAS Properties'!$S$44</f>
        <v>3.7905666251460763</v>
      </c>
      <c r="AF723" s="15">
        <f>'PFAS Properties'!$V$44</f>
        <v>3.6</v>
      </c>
      <c r="AG723" s="24">
        <v>7.09</v>
      </c>
      <c r="AH723" s="2" t="s">
        <v>661</v>
      </c>
      <c r="AI723" s="2">
        <v>28</v>
      </c>
      <c r="AJ723" s="15">
        <f t="shared" si="376"/>
        <v>501.38776971976006</v>
      </c>
      <c r="AK723" s="15">
        <f t="shared" si="377"/>
        <v>2.8</v>
      </c>
      <c r="AL723" s="2">
        <v>10</v>
      </c>
      <c r="AM723" s="15">
        <f t="shared" si="378"/>
        <v>370.64492216456637</v>
      </c>
      <c r="AN723" s="15">
        <f t="shared" si="379"/>
        <v>1</v>
      </c>
      <c r="AO723" s="2" t="s">
        <v>710</v>
      </c>
      <c r="AP723" s="72">
        <v>15.281916666666669</v>
      </c>
      <c r="AQ723" s="70" t="s">
        <v>752</v>
      </c>
      <c r="AR723" s="2">
        <v>15</v>
      </c>
      <c r="AS723" s="2">
        <v>26</v>
      </c>
      <c r="AT723" s="2">
        <v>42</v>
      </c>
      <c r="AU723" s="2" t="s">
        <v>661</v>
      </c>
      <c r="AV723" s="16">
        <f t="shared" si="384"/>
        <v>83</v>
      </c>
      <c r="AW723" s="20">
        <v>5.6</v>
      </c>
      <c r="AX723" s="8">
        <f t="shared" si="361"/>
        <v>5.5999999999999994E-2</v>
      </c>
      <c r="AY723" s="8" t="s">
        <v>67</v>
      </c>
      <c r="AZ723" s="16">
        <f t="shared" si="382"/>
        <v>20</v>
      </c>
      <c r="BA723" s="16" t="s">
        <v>55</v>
      </c>
      <c r="BB723" s="16">
        <v>10</v>
      </c>
      <c r="BC723" s="16" t="s">
        <v>55</v>
      </c>
      <c r="BD723" s="18">
        <v>6.21</v>
      </c>
      <c r="BE723" s="15">
        <f t="shared" si="381"/>
        <v>110.89285714285715</v>
      </c>
      <c r="BF723" s="15">
        <f t="shared" si="374"/>
        <v>2.0449035731703797</v>
      </c>
      <c r="BG723" s="8">
        <f t="shared" si="375"/>
        <v>0.7930916001765802</v>
      </c>
      <c r="BH723" s="2" t="s">
        <v>841</v>
      </c>
      <c r="BI723" s="2"/>
      <c r="BJ723" s="2"/>
      <c r="BK723" s="2"/>
      <c r="BL723" s="2"/>
      <c r="BM723" s="20"/>
      <c r="BN723" s="20"/>
      <c r="BO723" s="2"/>
    </row>
    <row r="724" spans="1:67" s="14" customFormat="1" x14ac:dyDescent="0.3">
      <c r="A724" s="20">
        <v>722</v>
      </c>
      <c r="B724" s="2" t="s">
        <v>181</v>
      </c>
      <c r="C724" s="2">
        <v>2020</v>
      </c>
      <c r="D724" s="2" t="s">
        <v>203</v>
      </c>
      <c r="E724" s="10" t="s">
        <v>787</v>
      </c>
      <c r="F724" s="20" t="s">
        <v>29</v>
      </c>
      <c r="G724" s="2" t="s">
        <v>62</v>
      </c>
      <c r="H724" s="2" t="str">
        <f>'PFAS Properties'!$B$44</f>
        <v>PFHxS</v>
      </c>
      <c r="I724" s="2" t="str">
        <f>'PFAS Properties'!$C$44</f>
        <v>PFSA</v>
      </c>
      <c r="J724" s="2" t="str">
        <f>'PFAS Properties'!$D$44</f>
        <v>C6F13O3SH</v>
      </c>
      <c r="K724" s="25">
        <f>'PFAS Properties'!$P$44</f>
        <v>399.94379999999995</v>
      </c>
      <c r="L724" s="2">
        <f>'PFAS Properties'!$X$44</f>
        <v>0.1</v>
      </c>
      <c r="M724" s="2" t="str">
        <f>'PFAS Properties'!$Y$44</f>
        <v>-</v>
      </c>
      <c r="N724" s="33">
        <v>0</v>
      </c>
      <c r="O724" s="33">
        <v>0</v>
      </c>
      <c r="P724" s="33">
        <v>0</v>
      </c>
      <c r="Q724" s="33">
        <f t="shared" si="385"/>
        <v>0.9999999601892845</v>
      </c>
      <c r="R724" s="33">
        <v>0</v>
      </c>
      <c r="S724" s="33">
        <f t="shared" si="386"/>
        <v>3.9810715470456442E-8</v>
      </c>
      <c r="T724" s="8">
        <f t="shared" si="368"/>
        <v>1</v>
      </c>
      <c r="U724" s="33">
        <f t="shared" si="369"/>
        <v>0</v>
      </c>
      <c r="V724" s="33">
        <f t="shared" si="370"/>
        <v>-0.9999999601892845</v>
      </c>
      <c r="W724" s="33">
        <f t="shared" si="371"/>
        <v>398.94380003981064</v>
      </c>
      <c r="X724" s="33">
        <v>96485</v>
      </c>
      <c r="Y724" s="16">
        <f t="shared" si="372"/>
        <v>-241.85109819787866</v>
      </c>
      <c r="Z724" s="16">
        <v>6</v>
      </c>
      <c r="AA724" s="16">
        <v>13</v>
      </c>
      <c r="AB724" s="8">
        <f t="shared" si="373"/>
        <v>0.291497975708502</v>
      </c>
      <c r="AC724" s="16">
        <f t="shared" si="383"/>
        <v>61.758677094131734</v>
      </c>
      <c r="AD724" s="20">
        <f>'PFAS Properties'!$W$44</f>
        <v>6</v>
      </c>
      <c r="AE724" s="8">
        <f>'PFAS Properties'!$S$44</f>
        <v>3.7905666251460763</v>
      </c>
      <c r="AF724" s="15">
        <f>'PFAS Properties'!$V$44</f>
        <v>3.6</v>
      </c>
      <c r="AG724" s="24">
        <v>7.5</v>
      </c>
      <c r="AH724" s="2" t="s">
        <v>183</v>
      </c>
      <c r="AI724" s="2" t="s">
        <v>661</v>
      </c>
      <c r="AJ724" s="2" t="s">
        <v>661</v>
      </c>
      <c r="AK724" s="2" t="s">
        <v>661</v>
      </c>
      <c r="AL724" s="2" t="s">
        <v>661</v>
      </c>
      <c r="AM724" s="2" t="s">
        <v>661</v>
      </c>
      <c r="AN724" s="2" t="s">
        <v>661</v>
      </c>
      <c r="AO724" s="2" t="s">
        <v>661</v>
      </c>
      <c r="AP724" s="15">
        <v>41.4</v>
      </c>
      <c r="AQ724" s="2" t="s">
        <v>661</v>
      </c>
      <c r="AR724" s="16">
        <v>16.899999999999999</v>
      </c>
      <c r="AS724" s="16">
        <v>17.5</v>
      </c>
      <c r="AT724" s="16">
        <v>65.599999999999994</v>
      </c>
      <c r="AU724" s="2" t="s">
        <v>661</v>
      </c>
      <c r="AV724" s="16">
        <f t="shared" si="384"/>
        <v>100</v>
      </c>
      <c r="AW724" s="20">
        <v>0.7</v>
      </c>
      <c r="AX724" s="8">
        <v>6.9999999999999993E-3</v>
      </c>
      <c r="AY724" s="13" t="s">
        <v>184</v>
      </c>
      <c r="AZ724" s="16">
        <v>100</v>
      </c>
      <c r="BA724" s="16" t="s">
        <v>55</v>
      </c>
      <c r="BB724" s="16">
        <v>5</v>
      </c>
      <c r="BC724" s="16" t="s">
        <v>55</v>
      </c>
      <c r="BD724" s="18">
        <v>0.77</v>
      </c>
      <c r="BE724" s="15">
        <f t="shared" si="381"/>
        <v>110.00000000000001</v>
      </c>
      <c r="BF724" s="15">
        <f t="shared" si="374"/>
        <v>2.0413926851582249</v>
      </c>
      <c r="BG724" s="8">
        <f t="shared" si="375"/>
        <v>-0.11350927482751812</v>
      </c>
      <c r="BH724" s="13" t="s">
        <v>345</v>
      </c>
      <c r="BI724" s="13"/>
      <c r="BJ724" s="13"/>
      <c r="BK724" s="13"/>
      <c r="BL724" s="13"/>
      <c r="BM724" s="17"/>
      <c r="BN724" s="17"/>
      <c r="BO724" s="2"/>
    </row>
    <row r="725" spans="1:67" s="14" customFormat="1" x14ac:dyDescent="0.3">
      <c r="A725" s="20">
        <v>723</v>
      </c>
      <c r="B725" s="2" t="s">
        <v>181</v>
      </c>
      <c r="C725" s="2">
        <v>2020</v>
      </c>
      <c r="D725" s="2" t="s">
        <v>203</v>
      </c>
      <c r="E725" s="10" t="s">
        <v>787</v>
      </c>
      <c r="F725" s="20" t="s">
        <v>29</v>
      </c>
      <c r="G725" s="2" t="s">
        <v>57</v>
      </c>
      <c r="H725" s="2" t="str">
        <f>'PFAS Properties'!$B$44</f>
        <v>PFHxS</v>
      </c>
      <c r="I725" s="2" t="str">
        <f>'PFAS Properties'!$C$44</f>
        <v>PFSA</v>
      </c>
      <c r="J725" s="2" t="str">
        <f>'PFAS Properties'!$D$44</f>
        <v>C6F13O3SH</v>
      </c>
      <c r="K725" s="25">
        <f>'PFAS Properties'!$P$44</f>
        <v>399.94379999999995</v>
      </c>
      <c r="L725" s="2">
        <f>'PFAS Properties'!$X$44</f>
        <v>0.1</v>
      </c>
      <c r="M725" s="2" t="str">
        <f>'PFAS Properties'!$Y$44</f>
        <v>-</v>
      </c>
      <c r="N725" s="33">
        <v>0</v>
      </c>
      <c r="O725" s="33">
        <v>0</v>
      </c>
      <c r="P725" s="33">
        <v>0</v>
      </c>
      <c r="Q725" s="33">
        <f t="shared" si="385"/>
        <v>0.99999980047380832</v>
      </c>
      <c r="R725" s="33">
        <v>0</v>
      </c>
      <c r="S725" s="33">
        <f t="shared" si="386"/>
        <v>1.9952619168617852E-7</v>
      </c>
      <c r="T725" s="8">
        <f t="shared" si="368"/>
        <v>1</v>
      </c>
      <c r="U725" s="33">
        <f t="shared" si="369"/>
        <v>0</v>
      </c>
      <c r="V725" s="33">
        <f t="shared" si="370"/>
        <v>-0.99999980047380832</v>
      </c>
      <c r="W725" s="33">
        <f t="shared" si="371"/>
        <v>398.94380019952615</v>
      </c>
      <c r="X725" s="33">
        <v>96485</v>
      </c>
      <c r="Y725" s="16">
        <f t="shared" si="372"/>
        <v>-241.85105947368973</v>
      </c>
      <c r="Z725" s="16">
        <v>6</v>
      </c>
      <c r="AA725" s="16">
        <v>13</v>
      </c>
      <c r="AB725" s="8">
        <f t="shared" si="373"/>
        <v>0.291497975708502</v>
      </c>
      <c r="AC725" s="16">
        <f t="shared" si="383"/>
        <v>61.758677094131734</v>
      </c>
      <c r="AD725" s="20">
        <f>'PFAS Properties'!$W$44</f>
        <v>6</v>
      </c>
      <c r="AE725" s="8">
        <f>'PFAS Properties'!$S$44</f>
        <v>3.7905666251460763</v>
      </c>
      <c r="AF725" s="15">
        <f>'PFAS Properties'!$V$44</f>
        <v>3.6</v>
      </c>
      <c r="AG725" s="24">
        <v>6.8</v>
      </c>
      <c r="AH725" s="2" t="s">
        <v>183</v>
      </c>
      <c r="AI725" s="2" t="s">
        <v>661</v>
      </c>
      <c r="AJ725" s="2" t="s">
        <v>661</v>
      </c>
      <c r="AK725" s="2" t="s">
        <v>661</v>
      </c>
      <c r="AL725" s="2" t="s">
        <v>661</v>
      </c>
      <c r="AM725" s="2" t="s">
        <v>661</v>
      </c>
      <c r="AN725" s="2" t="s">
        <v>661</v>
      </c>
      <c r="AO725" s="2" t="s">
        <v>661</v>
      </c>
      <c r="AP725" s="15">
        <v>7.1</v>
      </c>
      <c r="AQ725" s="2" t="s">
        <v>661</v>
      </c>
      <c r="AR725" s="16">
        <v>48.9</v>
      </c>
      <c r="AS725" s="16">
        <v>27</v>
      </c>
      <c r="AT725" s="16">
        <v>24.2</v>
      </c>
      <c r="AU725" s="2" t="s">
        <v>661</v>
      </c>
      <c r="AV725" s="16">
        <f t="shared" si="384"/>
        <v>100.10000000000001</v>
      </c>
      <c r="AW725" s="20">
        <v>0.37</v>
      </c>
      <c r="AX725" s="8">
        <v>3.7000000000000002E-3</v>
      </c>
      <c r="AY725" s="13" t="s">
        <v>184</v>
      </c>
      <c r="AZ725" s="16">
        <v>100</v>
      </c>
      <c r="BA725" s="16" t="s">
        <v>55</v>
      </c>
      <c r="BB725" s="16">
        <v>5</v>
      </c>
      <c r="BC725" s="16" t="s">
        <v>55</v>
      </c>
      <c r="BD725" s="20">
        <v>0.69</v>
      </c>
      <c r="BE725" s="15">
        <f t="shared" si="381"/>
        <v>186.48648648648646</v>
      </c>
      <c r="BF725" s="15">
        <f t="shared" si="374"/>
        <v>2.2706473666702602</v>
      </c>
      <c r="BG725" s="8">
        <f t="shared" ref="BG725:BG756" si="387">LOG(BD725)</f>
        <v>-0.16115090926274472</v>
      </c>
      <c r="BH725" s="13" t="s">
        <v>345</v>
      </c>
      <c r="BI725" s="13"/>
      <c r="BJ725" s="13"/>
      <c r="BK725" s="13"/>
      <c r="BL725" s="13"/>
      <c r="BM725" s="17"/>
      <c r="BN725" s="17"/>
      <c r="BO725" s="2"/>
    </row>
    <row r="726" spans="1:67" s="14" customFormat="1" x14ac:dyDescent="0.3">
      <c r="A726" s="20">
        <v>724</v>
      </c>
      <c r="B726" s="2" t="s">
        <v>181</v>
      </c>
      <c r="C726" s="2">
        <v>2020</v>
      </c>
      <c r="D726" s="2" t="s">
        <v>203</v>
      </c>
      <c r="E726" s="10" t="s">
        <v>787</v>
      </c>
      <c r="F726" s="20" t="s">
        <v>29</v>
      </c>
      <c r="G726" s="2" t="s">
        <v>58</v>
      </c>
      <c r="H726" s="2" t="str">
        <f>'PFAS Properties'!$B$44</f>
        <v>PFHxS</v>
      </c>
      <c r="I726" s="2" t="str">
        <f>'PFAS Properties'!$C$44</f>
        <v>PFSA</v>
      </c>
      <c r="J726" s="2" t="str">
        <f>'PFAS Properties'!$D$44</f>
        <v>C6F13O3SH</v>
      </c>
      <c r="K726" s="25">
        <f>'PFAS Properties'!$P$44</f>
        <v>399.94379999999995</v>
      </c>
      <c r="L726" s="2">
        <f>'PFAS Properties'!$X$44</f>
        <v>0.1</v>
      </c>
      <c r="M726" s="2" t="str">
        <f>'PFAS Properties'!$Y$44</f>
        <v>-</v>
      </c>
      <c r="N726" s="33">
        <v>0</v>
      </c>
      <c r="O726" s="33">
        <v>0</v>
      </c>
      <c r="P726" s="33">
        <v>0</v>
      </c>
      <c r="Q726" s="33">
        <f t="shared" si="385"/>
        <v>0.9999992056723962</v>
      </c>
      <c r="R726" s="33">
        <v>0</v>
      </c>
      <c r="S726" s="33">
        <f t="shared" si="386"/>
        <v>7.9432760376743655E-7</v>
      </c>
      <c r="T726" s="8">
        <f t="shared" si="368"/>
        <v>1</v>
      </c>
      <c r="U726" s="33">
        <f t="shared" si="369"/>
        <v>0</v>
      </c>
      <c r="V726" s="33">
        <f t="shared" si="370"/>
        <v>-0.9999992056723962</v>
      </c>
      <c r="W726" s="33">
        <f t="shared" si="371"/>
        <v>398.94380079432756</v>
      </c>
      <c r="X726" s="33">
        <v>96485</v>
      </c>
      <c r="Y726" s="16">
        <f t="shared" si="372"/>
        <v>-241.85091525972405</v>
      </c>
      <c r="Z726" s="16">
        <v>6</v>
      </c>
      <c r="AA726" s="16">
        <v>13</v>
      </c>
      <c r="AB726" s="8">
        <f t="shared" si="373"/>
        <v>0.291497975708502</v>
      </c>
      <c r="AC726" s="16">
        <f t="shared" si="383"/>
        <v>61.758677094131734</v>
      </c>
      <c r="AD726" s="20">
        <f>'PFAS Properties'!$W$44</f>
        <v>6</v>
      </c>
      <c r="AE726" s="8">
        <f>'PFAS Properties'!$S$44</f>
        <v>3.7905666251460763</v>
      </c>
      <c r="AF726" s="15">
        <f>'PFAS Properties'!$V$44</f>
        <v>3.6</v>
      </c>
      <c r="AG726" s="24">
        <v>6.2</v>
      </c>
      <c r="AH726" s="2" t="s">
        <v>183</v>
      </c>
      <c r="AI726" s="2" t="s">
        <v>661</v>
      </c>
      <c r="AJ726" s="2" t="s">
        <v>661</v>
      </c>
      <c r="AK726" s="2" t="s">
        <v>661</v>
      </c>
      <c r="AL726" s="2" t="s">
        <v>661</v>
      </c>
      <c r="AM726" s="2" t="s">
        <v>661</v>
      </c>
      <c r="AN726" s="2" t="s">
        <v>661</v>
      </c>
      <c r="AO726" s="2" t="s">
        <v>661</v>
      </c>
      <c r="AP726" s="15">
        <v>8</v>
      </c>
      <c r="AQ726" s="2" t="s">
        <v>661</v>
      </c>
      <c r="AR726" s="16">
        <v>51.44</v>
      </c>
      <c r="AS726" s="16">
        <v>10.17</v>
      </c>
      <c r="AT726" s="16">
        <v>38.380000000000003</v>
      </c>
      <c r="AU726" s="2" t="s">
        <v>661</v>
      </c>
      <c r="AV726" s="16">
        <f t="shared" si="384"/>
        <v>99.990000000000009</v>
      </c>
      <c r="AW726" s="20">
        <v>0.08</v>
      </c>
      <c r="AX726" s="8">
        <v>8.0000000000000004E-4</v>
      </c>
      <c r="AY726" s="8" t="s">
        <v>184</v>
      </c>
      <c r="AZ726" s="16">
        <v>100</v>
      </c>
      <c r="BA726" s="16" t="s">
        <v>55</v>
      </c>
      <c r="BB726" s="16">
        <v>5</v>
      </c>
      <c r="BC726" s="16" t="s">
        <v>55</v>
      </c>
      <c r="BD726" s="20">
        <v>0.4</v>
      </c>
      <c r="BE726" s="15">
        <f t="shared" si="381"/>
        <v>500</v>
      </c>
      <c r="BF726" s="15">
        <f t="shared" si="374"/>
        <v>2.6989700043360187</v>
      </c>
      <c r="BG726" s="8">
        <f t="shared" si="387"/>
        <v>-0.3979400086720376</v>
      </c>
      <c r="BH726" s="13" t="s">
        <v>345</v>
      </c>
      <c r="BI726" s="13"/>
      <c r="BJ726" s="13"/>
      <c r="BK726" s="13"/>
      <c r="BL726" s="13"/>
      <c r="BM726" s="17"/>
      <c r="BN726" s="17"/>
      <c r="BO726" s="2"/>
    </row>
    <row r="727" spans="1:67" s="14" customFormat="1" x14ac:dyDescent="0.3">
      <c r="A727" s="20">
        <v>725</v>
      </c>
      <c r="B727" s="2" t="s">
        <v>181</v>
      </c>
      <c r="C727" s="2">
        <v>2020</v>
      </c>
      <c r="D727" s="2" t="s">
        <v>203</v>
      </c>
      <c r="E727" s="10" t="s">
        <v>787</v>
      </c>
      <c r="F727" s="20" t="s">
        <v>29</v>
      </c>
      <c r="G727" s="2" t="s">
        <v>59</v>
      </c>
      <c r="H727" s="2" t="str">
        <f>'PFAS Properties'!$B$44</f>
        <v>PFHxS</v>
      </c>
      <c r="I727" s="2" t="str">
        <f>'PFAS Properties'!$C$44</f>
        <v>PFSA</v>
      </c>
      <c r="J727" s="2" t="str">
        <f>'PFAS Properties'!$D$44</f>
        <v>C6F13O3SH</v>
      </c>
      <c r="K727" s="25">
        <f>'PFAS Properties'!$P$44</f>
        <v>399.94379999999995</v>
      </c>
      <c r="L727" s="2">
        <f>'PFAS Properties'!$X$44</f>
        <v>0.1</v>
      </c>
      <c r="M727" s="2" t="str">
        <f>'PFAS Properties'!$Y$44</f>
        <v>-</v>
      </c>
      <c r="N727" s="33">
        <v>0</v>
      </c>
      <c r="O727" s="33">
        <v>0</v>
      </c>
      <c r="P727" s="33">
        <v>0</v>
      </c>
      <c r="Q727" s="33">
        <f t="shared" si="385"/>
        <v>0.99999997488113634</v>
      </c>
      <c r="R727" s="33">
        <v>0</v>
      </c>
      <c r="S727" s="33">
        <f t="shared" si="386"/>
        <v>2.5118863684138424E-8</v>
      </c>
      <c r="T727" s="8">
        <f t="shared" si="368"/>
        <v>1</v>
      </c>
      <c r="U727" s="33">
        <f t="shared" si="369"/>
        <v>0</v>
      </c>
      <c r="V727" s="33">
        <f t="shared" si="370"/>
        <v>-0.99999997488113634</v>
      </c>
      <c r="W727" s="33">
        <f t="shared" si="371"/>
        <v>398.94380002511883</v>
      </c>
      <c r="X727" s="33">
        <v>96485</v>
      </c>
      <c r="Y727" s="16">
        <f t="shared" si="372"/>
        <v>-241.85110176002593</v>
      </c>
      <c r="Z727" s="16">
        <v>6</v>
      </c>
      <c r="AA727" s="16">
        <v>13</v>
      </c>
      <c r="AB727" s="8">
        <f t="shared" si="373"/>
        <v>0.291497975708502</v>
      </c>
      <c r="AC727" s="16">
        <f t="shared" si="383"/>
        <v>61.758677094131734</v>
      </c>
      <c r="AD727" s="20">
        <f>'PFAS Properties'!$W$44</f>
        <v>6</v>
      </c>
      <c r="AE727" s="8">
        <f>'PFAS Properties'!$S$44</f>
        <v>3.7905666251460763</v>
      </c>
      <c r="AF727" s="15">
        <f>'PFAS Properties'!$V$44</f>
        <v>3.6</v>
      </c>
      <c r="AG727" s="24">
        <v>7.7</v>
      </c>
      <c r="AH727" s="2" t="s">
        <v>183</v>
      </c>
      <c r="AI727" s="2" t="s">
        <v>661</v>
      </c>
      <c r="AJ727" s="2" t="s">
        <v>661</v>
      </c>
      <c r="AK727" s="2" t="s">
        <v>661</v>
      </c>
      <c r="AL727" s="2" t="s">
        <v>661</v>
      </c>
      <c r="AM727" s="2" t="s">
        <v>661</v>
      </c>
      <c r="AN727" s="2" t="s">
        <v>661</v>
      </c>
      <c r="AO727" s="2" t="s">
        <v>661</v>
      </c>
      <c r="AP727" s="15">
        <v>4.8</v>
      </c>
      <c r="AQ727" s="2" t="s">
        <v>661</v>
      </c>
      <c r="AR727" s="16">
        <v>46</v>
      </c>
      <c r="AS727" s="16">
        <v>37</v>
      </c>
      <c r="AT727" s="16">
        <v>17</v>
      </c>
      <c r="AU727" s="2" t="s">
        <v>661</v>
      </c>
      <c r="AV727" s="16">
        <f t="shared" si="384"/>
        <v>100</v>
      </c>
      <c r="AW727" s="20">
        <v>0.25</v>
      </c>
      <c r="AX727" s="8">
        <v>2.5000000000000001E-3</v>
      </c>
      <c r="AY727" s="13" t="s">
        <v>184</v>
      </c>
      <c r="AZ727" s="16">
        <v>100</v>
      </c>
      <c r="BA727" s="16" t="s">
        <v>55</v>
      </c>
      <c r="BB727" s="16">
        <v>5</v>
      </c>
      <c r="BC727" s="16" t="s">
        <v>55</v>
      </c>
      <c r="BD727" s="18">
        <v>0.45</v>
      </c>
      <c r="BE727" s="15">
        <f t="shared" si="381"/>
        <v>180</v>
      </c>
      <c r="BF727" s="15">
        <f t="shared" si="374"/>
        <v>2.255272505103306</v>
      </c>
      <c r="BG727" s="8">
        <f t="shared" si="387"/>
        <v>-0.34678748622465633</v>
      </c>
      <c r="BH727" s="13" t="s">
        <v>345</v>
      </c>
      <c r="BI727" s="13"/>
      <c r="BJ727" s="13"/>
      <c r="BK727" s="13"/>
      <c r="BL727" s="13"/>
      <c r="BM727" s="17"/>
      <c r="BN727" s="17"/>
      <c r="BO727" s="2"/>
    </row>
    <row r="728" spans="1:67" s="14" customFormat="1" x14ac:dyDescent="0.3">
      <c r="A728" s="20">
        <v>726</v>
      </c>
      <c r="B728" s="2" t="s">
        <v>181</v>
      </c>
      <c r="C728" s="2">
        <v>2020</v>
      </c>
      <c r="D728" s="2" t="s">
        <v>203</v>
      </c>
      <c r="E728" s="10" t="s">
        <v>787</v>
      </c>
      <c r="F728" s="20" t="s">
        <v>29</v>
      </c>
      <c r="G728" s="2" t="s">
        <v>61</v>
      </c>
      <c r="H728" s="2" t="str">
        <f>'PFAS Properties'!$B$44</f>
        <v>PFHxS</v>
      </c>
      <c r="I728" s="2" t="str">
        <f>'PFAS Properties'!$C$44</f>
        <v>PFSA</v>
      </c>
      <c r="J728" s="2" t="str">
        <f>'PFAS Properties'!$D$44</f>
        <v>C6F13O3SH</v>
      </c>
      <c r="K728" s="25">
        <f>'PFAS Properties'!$P$44</f>
        <v>399.94379999999995</v>
      </c>
      <c r="L728" s="2">
        <f>'PFAS Properties'!$X$44</f>
        <v>0.1</v>
      </c>
      <c r="M728" s="2" t="str">
        <f>'PFAS Properties'!$Y$44</f>
        <v>-</v>
      </c>
      <c r="N728" s="33">
        <v>0</v>
      </c>
      <c r="O728" s="33">
        <v>0</v>
      </c>
      <c r="P728" s="33">
        <v>0</v>
      </c>
      <c r="Q728" s="33">
        <f t="shared" si="385"/>
        <v>0.99999994988127916</v>
      </c>
      <c r="R728" s="33">
        <v>0</v>
      </c>
      <c r="S728" s="33">
        <f t="shared" si="386"/>
        <v>5.0118720850840682E-8</v>
      </c>
      <c r="T728" s="8">
        <f t="shared" si="368"/>
        <v>1</v>
      </c>
      <c r="U728" s="33">
        <f t="shared" si="369"/>
        <v>0</v>
      </c>
      <c r="V728" s="33">
        <f t="shared" si="370"/>
        <v>-0.99999994988127916</v>
      </c>
      <c r="W728" s="33">
        <f t="shared" si="371"/>
        <v>398.94380005011868</v>
      </c>
      <c r="X728" s="33">
        <v>96485</v>
      </c>
      <c r="Y728" s="16">
        <f t="shared" si="372"/>
        <v>-241.85109569862715</v>
      </c>
      <c r="Z728" s="16">
        <v>6</v>
      </c>
      <c r="AA728" s="16">
        <v>13</v>
      </c>
      <c r="AB728" s="8">
        <f t="shared" si="373"/>
        <v>0.291497975708502</v>
      </c>
      <c r="AC728" s="16">
        <f t="shared" si="383"/>
        <v>61.758677094131734</v>
      </c>
      <c r="AD728" s="20">
        <f>'PFAS Properties'!$W$44</f>
        <v>6</v>
      </c>
      <c r="AE728" s="8">
        <f>'PFAS Properties'!$S$44</f>
        <v>3.7905666251460763</v>
      </c>
      <c r="AF728" s="15">
        <f>'PFAS Properties'!$V$44</f>
        <v>3.6</v>
      </c>
      <c r="AG728" s="24">
        <v>7.4</v>
      </c>
      <c r="AH728" s="2" t="s">
        <v>183</v>
      </c>
      <c r="AI728" s="2" t="s">
        <v>661</v>
      </c>
      <c r="AJ728" s="2" t="s">
        <v>661</v>
      </c>
      <c r="AK728" s="2" t="s">
        <v>661</v>
      </c>
      <c r="AL728" s="2" t="s">
        <v>661</v>
      </c>
      <c r="AM728" s="2" t="s">
        <v>661</v>
      </c>
      <c r="AN728" s="2" t="s">
        <v>661</v>
      </c>
      <c r="AO728" s="2" t="s">
        <v>661</v>
      </c>
      <c r="AP728" s="15">
        <v>29.6</v>
      </c>
      <c r="AQ728" s="2" t="s">
        <v>661</v>
      </c>
      <c r="AR728" s="16">
        <v>39.799999999999997</v>
      </c>
      <c r="AS728" s="16">
        <v>7.7</v>
      </c>
      <c r="AT728" s="16">
        <v>52.5</v>
      </c>
      <c r="AU728" s="2" t="s">
        <v>661</v>
      </c>
      <c r="AV728" s="16">
        <f t="shared" si="384"/>
        <v>100</v>
      </c>
      <c r="AW728" s="20">
        <v>2.23</v>
      </c>
      <c r="AX728" s="8">
        <v>2.23E-2</v>
      </c>
      <c r="AY728" s="8" t="s">
        <v>184</v>
      </c>
      <c r="AZ728" s="16">
        <v>100</v>
      </c>
      <c r="BA728" s="16" t="s">
        <v>55</v>
      </c>
      <c r="BB728" s="16">
        <v>5</v>
      </c>
      <c r="BC728" s="16" t="s">
        <v>55</v>
      </c>
      <c r="BD728" s="20">
        <v>0.52</v>
      </c>
      <c r="BE728" s="15">
        <f t="shared" si="381"/>
        <v>23.318385650224215</v>
      </c>
      <c r="BF728" s="15">
        <f t="shared" si="374"/>
        <v>1.3676984805866386</v>
      </c>
      <c r="BG728" s="8">
        <f t="shared" si="387"/>
        <v>-0.28399665636520083</v>
      </c>
      <c r="BH728" s="13" t="s">
        <v>345</v>
      </c>
      <c r="BI728" s="13"/>
      <c r="BJ728" s="13"/>
      <c r="BK728" s="13"/>
      <c r="BL728" s="13"/>
      <c r="BM728" s="17"/>
      <c r="BN728" s="17"/>
      <c r="BO728" s="2"/>
    </row>
    <row r="729" spans="1:67" s="14" customFormat="1" x14ac:dyDescent="0.3">
      <c r="A729" s="20">
        <v>727</v>
      </c>
      <c r="B729" s="2" t="s">
        <v>181</v>
      </c>
      <c r="C729" s="2">
        <v>2020</v>
      </c>
      <c r="D729" s="2" t="s">
        <v>203</v>
      </c>
      <c r="E729" s="10" t="s">
        <v>787</v>
      </c>
      <c r="F729" s="20" t="s">
        <v>29</v>
      </c>
      <c r="G729" s="2" t="s">
        <v>60</v>
      </c>
      <c r="H729" s="2" t="str">
        <f>'PFAS Properties'!$B$44</f>
        <v>PFHxS</v>
      </c>
      <c r="I729" s="2" t="str">
        <f>'PFAS Properties'!$C$44</f>
        <v>PFSA</v>
      </c>
      <c r="J729" s="2" t="str">
        <f>'PFAS Properties'!$D$44</f>
        <v>C6F13O3SH</v>
      </c>
      <c r="K729" s="25">
        <f>'PFAS Properties'!$P$44</f>
        <v>399.94379999999995</v>
      </c>
      <c r="L729" s="2">
        <f>'PFAS Properties'!$X$44</f>
        <v>0.1</v>
      </c>
      <c r="M729" s="2" t="str">
        <f>'PFAS Properties'!$Y$44</f>
        <v>-</v>
      </c>
      <c r="N729" s="33">
        <v>0</v>
      </c>
      <c r="O729" s="33">
        <v>0</v>
      </c>
      <c r="P729" s="33">
        <v>0</v>
      </c>
      <c r="Q729" s="33">
        <f t="shared" si="385"/>
        <v>0.99999997488113634</v>
      </c>
      <c r="R729" s="33">
        <v>0</v>
      </c>
      <c r="S729" s="33">
        <f t="shared" si="386"/>
        <v>2.5118863684138424E-8</v>
      </c>
      <c r="T729" s="8">
        <f t="shared" si="368"/>
        <v>1</v>
      </c>
      <c r="U729" s="33">
        <f t="shared" si="369"/>
        <v>0</v>
      </c>
      <c r="V729" s="33">
        <f t="shared" si="370"/>
        <v>-0.99999997488113634</v>
      </c>
      <c r="W729" s="33">
        <f t="shared" si="371"/>
        <v>398.94380002511883</v>
      </c>
      <c r="X729" s="33">
        <v>96485</v>
      </c>
      <c r="Y729" s="16">
        <f t="shared" si="372"/>
        <v>-241.85110176002593</v>
      </c>
      <c r="Z729" s="16">
        <v>6</v>
      </c>
      <c r="AA729" s="16">
        <v>13</v>
      </c>
      <c r="AB729" s="8">
        <f t="shared" si="373"/>
        <v>0.291497975708502</v>
      </c>
      <c r="AC729" s="16">
        <f t="shared" si="383"/>
        <v>61.758677094131734</v>
      </c>
      <c r="AD729" s="20">
        <f>'PFAS Properties'!$W$44</f>
        <v>6</v>
      </c>
      <c r="AE729" s="8">
        <f>'PFAS Properties'!$S$44</f>
        <v>3.7905666251460763</v>
      </c>
      <c r="AF729" s="15">
        <f>'PFAS Properties'!$V$44</f>
        <v>3.6</v>
      </c>
      <c r="AG729" s="24">
        <v>7.7</v>
      </c>
      <c r="AH729" s="2" t="s">
        <v>183</v>
      </c>
      <c r="AI729" s="2" t="s">
        <v>661</v>
      </c>
      <c r="AJ729" s="2" t="s">
        <v>661</v>
      </c>
      <c r="AK729" s="2" t="s">
        <v>661</v>
      </c>
      <c r="AL729" s="2" t="s">
        <v>661</v>
      </c>
      <c r="AM729" s="2" t="s">
        <v>661</v>
      </c>
      <c r="AN729" s="2" t="s">
        <v>661</v>
      </c>
      <c r="AO729" s="2" t="s">
        <v>661</v>
      </c>
      <c r="AP729" s="15">
        <v>21.63</v>
      </c>
      <c r="AQ729" s="2" t="s">
        <v>661</v>
      </c>
      <c r="AR729" s="16">
        <v>70</v>
      </c>
      <c r="AS729" s="16">
        <v>11</v>
      </c>
      <c r="AT729" s="16">
        <v>19</v>
      </c>
      <c r="AU729" s="2" t="s">
        <v>661</v>
      </c>
      <c r="AV729" s="16">
        <f t="shared" si="384"/>
        <v>100</v>
      </c>
      <c r="AW729" s="20">
        <v>4.9000000000000004</v>
      </c>
      <c r="AX729" s="8">
        <v>4.9000000000000002E-2</v>
      </c>
      <c r="AY729" s="8" t="s">
        <v>184</v>
      </c>
      <c r="AZ729" s="16">
        <v>100</v>
      </c>
      <c r="BA729" s="16" t="s">
        <v>55</v>
      </c>
      <c r="BB729" s="16">
        <v>5</v>
      </c>
      <c r="BC729" s="16" t="s">
        <v>55</v>
      </c>
      <c r="BD729" s="20">
        <v>2.12</v>
      </c>
      <c r="BE729" s="15">
        <f t="shared" si="381"/>
        <v>43.265306122448983</v>
      </c>
      <c r="BF729" s="15">
        <f t="shared" si="374"/>
        <v>1.6361397809002378</v>
      </c>
      <c r="BG729" s="8">
        <f t="shared" si="387"/>
        <v>0.32633586092875144</v>
      </c>
      <c r="BH729" s="13" t="s">
        <v>345</v>
      </c>
      <c r="BI729" s="13"/>
      <c r="BJ729" s="13"/>
      <c r="BK729" s="13"/>
      <c r="BL729" s="13"/>
      <c r="BM729" s="17"/>
      <c r="BN729" s="17"/>
      <c r="BO729" s="2"/>
    </row>
    <row r="730" spans="1:67" s="14" customFormat="1" x14ac:dyDescent="0.3">
      <c r="A730" s="20">
        <v>728</v>
      </c>
      <c r="B730" s="2" t="s">
        <v>181</v>
      </c>
      <c r="C730" s="2">
        <v>2020</v>
      </c>
      <c r="D730" s="2" t="s">
        <v>203</v>
      </c>
      <c r="E730" s="10" t="s">
        <v>787</v>
      </c>
      <c r="F730" s="20" t="s">
        <v>29</v>
      </c>
      <c r="G730" s="2" t="s">
        <v>77</v>
      </c>
      <c r="H730" s="2" t="str">
        <f>'PFAS Properties'!$B$44</f>
        <v>PFHxS</v>
      </c>
      <c r="I730" s="2" t="str">
        <f>'PFAS Properties'!$C$44</f>
        <v>PFSA</v>
      </c>
      <c r="J730" s="2" t="str">
        <f>'PFAS Properties'!$D$44</f>
        <v>C6F13O3SH</v>
      </c>
      <c r="K730" s="25">
        <f>'PFAS Properties'!$P$44</f>
        <v>399.94379999999995</v>
      </c>
      <c r="L730" s="2">
        <f>'PFAS Properties'!$X$44</f>
        <v>0.1</v>
      </c>
      <c r="M730" s="2" t="str">
        <f>'PFAS Properties'!$Y$44</f>
        <v>-</v>
      </c>
      <c r="N730" s="33">
        <v>0</v>
      </c>
      <c r="O730" s="33">
        <v>0</v>
      </c>
      <c r="P730" s="33">
        <v>0</v>
      </c>
      <c r="Q730" s="33">
        <f t="shared" si="385"/>
        <v>0.99999997488113634</v>
      </c>
      <c r="R730" s="33">
        <v>0</v>
      </c>
      <c r="S730" s="33">
        <f t="shared" si="386"/>
        <v>2.5118863684138424E-8</v>
      </c>
      <c r="T730" s="8">
        <f t="shared" si="368"/>
        <v>1</v>
      </c>
      <c r="U730" s="33">
        <f t="shared" si="369"/>
        <v>0</v>
      </c>
      <c r="V730" s="33">
        <f t="shared" si="370"/>
        <v>-0.99999997488113634</v>
      </c>
      <c r="W730" s="33">
        <f t="shared" si="371"/>
        <v>398.94380002511883</v>
      </c>
      <c r="X730" s="33">
        <v>96485</v>
      </c>
      <c r="Y730" s="16">
        <f t="shared" si="372"/>
        <v>-241.85110176002593</v>
      </c>
      <c r="Z730" s="16">
        <v>6</v>
      </c>
      <c r="AA730" s="16">
        <v>13</v>
      </c>
      <c r="AB730" s="8">
        <f t="shared" si="373"/>
        <v>0.291497975708502</v>
      </c>
      <c r="AC730" s="16">
        <f t="shared" si="383"/>
        <v>61.758677094131734</v>
      </c>
      <c r="AD730" s="20">
        <f>'PFAS Properties'!$W$44</f>
        <v>6</v>
      </c>
      <c r="AE730" s="8">
        <f>'PFAS Properties'!$S$44</f>
        <v>3.7905666251460763</v>
      </c>
      <c r="AF730" s="15">
        <f>'PFAS Properties'!$V$44</f>
        <v>3.6</v>
      </c>
      <c r="AG730" s="24">
        <v>7.7</v>
      </c>
      <c r="AH730" s="2" t="s">
        <v>183</v>
      </c>
      <c r="AI730" s="2" t="s">
        <v>661</v>
      </c>
      <c r="AJ730" s="2" t="s">
        <v>661</v>
      </c>
      <c r="AK730" s="2" t="s">
        <v>661</v>
      </c>
      <c r="AL730" s="2" t="s">
        <v>661</v>
      </c>
      <c r="AM730" s="2" t="s">
        <v>661</v>
      </c>
      <c r="AN730" s="2" t="s">
        <v>661</v>
      </c>
      <c r="AO730" s="2" t="s">
        <v>661</v>
      </c>
      <c r="AP730" s="15">
        <v>7.8</v>
      </c>
      <c r="AQ730" s="2" t="s">
        <v>661</v>
      </c>
      <c r="AR730" s="16">
        <v>48.9</v>
      </c>
      <c r="AS730" s="16">
        <v>32.6</v>
      </c>
      <c r="AT730" s="16">
        <v>18.5</v>
      </c>
      <c r="AU730" s="2" t="s">
        <v>661</v>
      </c>
      <c r="AV730" s="16">
        <f t="shared" si="384"/>
        <v>100</v>
      </c>
      <c r="AW730" s="20">
        <v>0.13</v>
      </c>
      <c r="AX730" s="8">
        <v>1.2999999999999999E-3</v>
      </c>
      <c r="AY730" s="8" t="s">
        <v>184</v>
      </c>
      <c r="AZ730" s="16">
        <v>100</v>
      </c>
      <c r="BA730" s="16" t="s">
        <v>55</v>
      </c>
      <c r="BB730" s="16">
        <v>5</v>
      </c>
      <c r="BC730" s="16" t="s">
        <v>55</v>
      </c>
      <c r="BD730" s="20">
        <v>0.39</v>
      </c>
      <c r="BE730" s="15">
        <f t="shared" si="381"/>
        <v>300</v>
      </c>
      <c r="BF730" s="15">
        <f t="shared" si="374"/>
        <v>2.4771212547196626</v>
      </c>
      <c r="BG730" s="8">
        <f t="shared" si="387"/>
        <v>-0.40893539297350079</v>
      </c>
      <c r="BH730" s="13" t="s">
        <v>345</v>
      </c>
      <c r="BI730" s="13"/>
      <c r="BJ730" s="13"/>
      <c r="BK730" s="13"/>
      <c r="BL730" s="13"/>
      <c r="BM730" s="17"/>
      <c r="BN730" s="17"/>
      <c r="BO730" s="2"/>
    </row>
    <row r="731" spans="1:67" s="14" customFormat="1" x14ac:dyDescent="0.3">
      <c r="A731" s="20">
        <v>729</v>
      </c>
      <c r="B731" s="2" t="s">
        <v>181</v>
      </c>
      <c r="C731" s="2">
        <v>2020</v>
      </c>
      <c r="D731" s="2" t="s">
        <v>203</v>
      </c>
      <c r="E731" s="10" t="s">
        <v>787</v>
      </c>
      <c r="F731" s="20" t="s">
        <v>29</v>
      </c>
      <c r="G731" s="2" t="s">
        <v>182</v>
      </c>
      <c r="H731" s="2" t="str">
        <f>'PFAS Properties'!$B$44</f>
        <v>PFHxS</v>
      </c>
      <c r="I731" s="2" t="str">
        <f>'PFAS Properties'!$C$44</f>
        <v>PFSA</v>
      </c>
      <c r="J731" s="2" t="str">
        <f>'PFAS Properties'!$D$44</f>
        <v>C6F13O3SH</v>
      </c>
      <c r="K731" s="25">
        <f>'PFAS Properties'!$P$44</f>
        <v>399.94379999999995</v>
      </c>
      <c r="L731" s="2">
        <f>'PFAS Properties'!$X$44</f>
        <v>0.1</v>
      </c>
      <c r="M731" s="2" t="str">
        <f>'PFAS Properties'!$Y$44</f>
        <v>-</v>
      </c>
      <c r="N731" s="33">
        <v>0</v>
      </c>
      <c r="O731" s="33">
        <v>0</v>
      </c>
      <c r="P731" s="33">
        <v>0</v>
      </c>
      <c r="Q731" s="33">
        <f t="shared" si="385"/>
        <v>0.9999999601892845</v>
      </c>
      <c r="R731" s="33">
        <v>0</v>
      </c>
      <c r="S731" s="33">
        <f t="shared" si="386"/>
        <v>3.9810715470456442E-8</v>
      </c>
      <c r="T731" s="8">
        <f t="shared" si="368"/>
        <v>1</v>
      </c>
      <c r="U731" s="33">
        <f t="shared" si="369"/>
        <v>0</v>
      </c>
      <c r="V731" s="33">
        <f t="shared" si="370"/>
        <v>-0.9999999601892845</v>
      </c>
      <c r="W731" s="33">
        <f t="shared" si="371"/>
        <v>398.94380003981064</v>
      </c>
      <c r="X731" s="33">
        <v>96485</v>
      </c>
      <c r="Y731" s="16">
        <f t="shared" si="372"/>
        <v>-241.85109819787866</v>
      </c>
      <c r="Z731" s="16">
        <v>6</v>
      </c>
      <c r="AA731" s="16">
        <v>13</v>
      </c>
      <c r="AB731" s="8">
        <f t="shared" si="373"/>
        <v>0.291497975708502</v>
      </c>
      <c r="AC731" s="16">
        <f t="shared" si="383"/>
        <v>61.758677094131734</v>
      </c>
      <c r="AD731" s="20">
        <f>'PFAS Properties'!$W$44</f>
        <v>6</v>
      </c>
      <c r="AE731" s="8">
        <f>'PFAS Properties'!$S$44</f>
        <v>3.7905666251460763</v>
      </c>
      <c r="AF731" s="15">
        <f>'PFAS Properties'!$V$44</f>
        <v>3.6</v>
      </c>
      <c r="AG731" s="24">
        <v>7.5</v>
      </c>
      <c r="AH731" s="2" t="s">
        <v>183</v>
      </c>
      <c r="AI731" s="2" t="s">
        <v>661</v>
      </c>
      <c r="AJ731" s="2" t="s">
        <v>661</v>
      </c>
      <c r="AK731" s="2" t="s">
        <v>661</v>
      </c>
      <c r="AL731" s="2" t="s">
        <v>661</v>
      </c>
      <c r="AM731" s="2" t="s">
        <v>661</v>
      </c>
      <c r="AN731" s="2" t="s">
        <v>661</v>
      </c>
      <c r="AO731" s="2" t="s">
        <v>661</v>
      </c>
      <c r="AP731" s="15">
        <v>2.2799999999999998</v>
      </c>
      <c r="AQ731" s="2" t="s">
        <v>661</v>
      </c>
      <c r="AR731" s="16">
        <v>93</v>
      </c>
      <c r="AS731" s="16">
        <v>1</v>
      </c>
      <c r="AT731" s="16">
        <v>5</v>
      </c>
      <c r="AU731" s="2" t="s">
        <v>661</v>
      </c>
      <c r="AV731" s="16">
        <f t="shared" si="384"/>
        <v>99</v>
      </c>
      <c r="AW731" s="20">
        <v>0.4</v>
      </c>
      <c r="AX731" s="8">
        <v>4.0000000000000001E-3</v>
      </c>
      <c r="AY731" s="8" t="s">
        <v>184</v>
      </c>
      <c r="AZ731" s="16">
        <v>100</v>
      </c>
      <c r="BA731" s="16" t="s">
        <v>55</v>
      </c>
      <c r="BB731" s="16">
        <v>5</v>
      </c>
      <c r="BC731" s="16" t="s">
        <v>55</v>
      </c>
      <c r="BD731" s="20">
        <v>0.28000000000000003</v>
      </c>
      <c r="BE731" s="15">
        <f t="shared" si="381"/>
        <v>70</v>
      </c>
      <c r="BF731" s="15">
        <f t="shared" si="374"/>
        <v>1.8450980400142569</v>
      </c>
      <c r="BG731" s="8">
        <f t="shared" si="387"/>
        <v>-0.55284196865778079</v>
      </c>
      <c r="BH731" s="13" t="s">
        <v>345</v>
      </c>
      <c r="BI731" s="13"/>
      <c r="BJ731" s="13"/>
      <c r="BK731" s="13"/>
      <c r="BL731" s="13"/>
      <c r="BM731" s="17"/>
      <c r="BN731" s="17"/>
      <c r="BO731" s="2"/>
    </row>
    <row r="732" spans="1:67" s="14" customFormat="1" x14ac:dyDescent="0.3">
      <c r="A732" s="20">
        <v>730</v>
      </c>
      <c r="B732" s="2" t="s">
        <v>181</v>
      </c>
      <c r="C732" s="2">
        <v>2020</v>
      </c>
      <c r="D732" s="2" t="s">
        <v>203</v>
      </c>
      <c r="E732" s="10" t="s">
        <v>787</v>
      </c>
      <c r="F732" s="20" t="s">
        <v>29</v>
      </c>
      <c r="G732" s="2" t="s">
        <v>78</v>
      </c>
      <c r="H732" s="2" t="str">
        <f>'PFAS Properties'!$B$44</f>
        <v>PFHxS</v>
      </c>
      <c r="I732" s="2" t="str">
        <f>'PFAS Properties'!$C$44</f>
        <v>PFSA</v>
      </c>
      <c r="J732" s="2" t="str">
        <f>'PFAS Properties'!$D$44</f>
        <v>C6F13O3SH</v>
      </c>
      <c r="K732" s="25">
        <f>'PFAS Properties'!$P$44</f>
        <v>399.94379999999995</v>
      </c>
      <c r="L732" s="2">
        <f>'PFAS Properties'!$X$44</f>
        <v>0.1</v>
      </c>
      <c r="M732" s="2" t="str">
        <f>'PFAS Properties'!$Y$44</f>
        <v>-</v>
      </c>
      <c r="N732" s="33">
        <v>0</v>
      </c>
      <c r="O732" s="33">
        <v>0</v>
      </c>
      <c r="P732" s="33">
        <v>0</v>
      </c>
      <c r="Q732" s="33">
        <f t="shared" si="385"/>
        <v>0.99999990000001004</v>
      </c>
      <c r="R732" s="33">
        <v>0</v>
      </c>
      <c r="S732" s="33">
        <f t="shared" si="386"/>
        <v>9.9999990000001005E-8</v>
      </c>
      <c r="T732" s="8">
        <f t="shared" si="368"/>
        <v>1</v>
      </c>
      <c r="U732" s="33">
        <f t="shared" si="369"/>
        <v>0</v>
      </c>
      <c r="V732" s="33">
        <f t="shared" si="370"/>
        <v>-0.99999990000001004</v>
      </c>
      <c r="W732" s="33">
        <f t="shared" si="371"/>
        <v>398.94380009999992</v>
      </c>
      <c r="X732" s="33">
        <v>96485</v>
      </c>
      <c r="Y732" s="16">
        <f t="shared" si="372"/>
        <v>-241.85108360454748</v>
      </c>
      <c r="Z732" s="16">
        <v>6</v>
      </c>
      <c r="AA732" s="16">
        <v>13</v>
      </c>
      <c r="AB732" s="8">
        <f t="shared" si="373"/>
        <v>0.291497975708502</v>
      </c>
      <c r="AC732" s="16">
        <f t="shared" si="383"/>
        <v>61.758677094131734</v>
      </c>
      <c r="AD732" s="20">
        <f>'PFAS Properties'!$W$44</f>
        <v>6</v>
      </c>
      <c r="AE732" s="8">
        <f>'PFAS Properties'!$S$44</f>
        <v>3.7905666251460763</v>
      </c>
      <c r="AF732" s="15">
        <f>'PFAS Properties'!$V$44</f>
        <v>3.6</v>
      </c>
      <c r="AG732" s="24">
        <v>7.1</v>
      </c>
      <c r="AH732" s="2" t="s">
        <v>183</v>
      </c>
      <c r="AI732" s="2" t="s">
        <v>661</v>
      </c>
      <c r="AJ732" s="2" t="s">
        <v>661</v>
      </c>
      <c r="AK732" s="2" t="s">
        <v>661</v>
      </c>
      <c r="AL732" s="2" t="s">
        <v>661</v>
      </c>
      <c r="AM732" s="2" t="s">
        <v>661</v>
      </c>
      <c r="AN732" s="2" t="s">
        <v>661</v>
      </c>
      <c r="AO732" s="2" t="s">
        <v>661</v>
      </c>
      <c r="AP732" s="15">
        <v>17.420000000000002</v>
      </c>
      <c r="AQ732" s="2" t="s">
        <v>661</v>
      </c>
      <c r="AR732" s="16">
        <v>48.86</v>
      </c>
      <c r="AS732" s="16">
        <v>16.05</v>
      </c>
      <c r="AT732" s="16">
        <v>35.090000000000003</v>
      </c>
      <c r="AU732" s="2" t="s">
        <v>661</v>
      </c>
      <c r="AV732" s="16">
        <f t="shared" si="384"/>
        <v>100</v>
      </c>
      <c r="AW732" s="20">
        <v>1.19</v>
      </c>
      <c r="AX732" s="8">
        <v>1.1899999999999999E-2</v>
      </c>
      <c r="AY732" s="8" t="s">
        <v>184</v>
      </c>
      <c r="AZ732" s="16">
        <v>100</v>
      </c>
      <c r="BA732" s="16" t="s">
        <v>55</v>
      </c>
      <c r="BB732" s="16">
        <v>5</v>
      </c>
      <c r="BC732" s="16" t="s">
        <v>55</v>
      </c>
      <c r="BD732" s="20">
        <v>0.56999999999999995</v>
      </c>
      <c r="BE732" s="15">
        <f t="shared" si="381"/>
        <v>47.899159663865547</v>
      </c>
      <c r="BF732" s="15">
        <f t="shared" si="374"/>
        <v>1.6803278942799607</v>
      </c>
      <c r="BG732" s="8">
        <f t="shared" si="387"/>
        <v>-0.24412514432750865</v>
      </c>
      <c r="BH732" s="13" t="s">
        <v>345</v>
      </c>
      <c r="BI732" s="13"/>
      <c r="BJ732" s="13"/>
      <c r="BK732" s="13"/>
      <c r="BL732" s="13"/>
      <c r="BM732" s="17"/>
      <c r="BN732" s="17"/>
      <c r="BO732" s="2"/>
    </row>
    <row r="733" spans="1:67" s="14" customFormat="1" x14ac:dyDescent="0.3">
      <c r="A733" s="20">
        <v>731</v>
      </c>
      <c r="B733" s="2" t="s">
        <v>181</v>
      </c>
      <c r="C733" s="2">
        <v>2020</v>
      </c>
      <c r="D733" s="2" t="s">
        <v>203</v>
      </c>
      <c r="E733" s="10" t="s">
        <v>787</v>
      </c>
      <c r="F733" s="20" t="s">
        <v>29</v>
      </c>
      <c r="G733" s="2" t="s">
        <v>98</v>
      </c>
      <c r="H733" s="2" t="str">
        <f>'PFAS Properties'!$B$44</f>
        <v>PFHxS</v>
      </c>
      <c r="I733" s="2" t="str">
        <f>'PFAS Properties'!$C$44</f>
        <v>PFSA</v>
      </c>
      <c r="J733" s="2" t="str">
        <f>'PFAS Properties'!$D$44</f>
        <v>C6F13O3SH</v>
      </c>
      <c r="K733" s="25">
        <f>'PFAS Properties'!$P$44</f>
        <v>399.94379999999995</v>
      </c>
      <c r="L733" s="2">
        <f>'PFAS Properties'!$X$44</f>
        <v>0.1</v>
      </c>
      <c r="M733" s="2" t="str">
        <f>'PFAS Properties'!$Y$44</f>
        <v>-</v>
      </c>
      <c r="N733" s="33">
        <v>0</v>
      </c>
      <c r="O733" s="33">
        <v>0</v>
      </c>
      <c r="P733" s="33">
        <v>0</v>
      </c>
      <c r="Q733" s="33">
        <f t="shared" si="385"/>
        <v>0.99999949881301753</v>
      </c>
      <c r="R733" s="33">
        <v>0</v>
      </c>
      <c r="S733" s="33">
        <f t="shared" si="386"/>
        <v>5.0118698243875318E-7</v>
      </c>
      <c r="T733" s="8">
        <f t="shared" si="368"/>
        <v>1</v>
      </c>
      <c r="U733" s="33">
        <f t="shared" si="369"/>
        <v>0</v>
      </c>
      <c r="V733" s="33">
        <f t="shared" si="370"/>
        <v>-0.99999949881301753</v>
      </c>
      <c r="W733" s="33">
        <f t="shared" si="371"/>
        <v>398.9438005011869</v>
      </c>
      <c r="X733" s="33">
        <v>96485</v>
      </c>
      <c r="Y733" s="16">
        <f t="shared" si="372"/>
        <v>-241.85098633381807</v>
      </c>
      <c r="Z733" s="16">
        <v>6</v>
      </c>
      <c r="AA733" s="16">
        <v>13</v>
      </c>
      <c r="AB733" s="8">
        <f t="shared" si="373"/>
        <v>0.291497975708502</v>
      </c>
      <c r="AC733" s="16">
        <f t="shared" si="383"/>
        <v>61.758677094131734</v>
      </c>
      <c r="AD733" s="20">
        <f>'PFAS Properties'!$W$44</f>
        <v>6</v>
      </c>
      <c r="AE733" s="8">
        <f>'PFAS Properties'!$S$44</f>
        <v>3.7905666251460763</v>
      </c>
      <c r="AF733" s="15">
        <f>'PFAS Properties'!$V$44</f>
        <v>3.6</v>
      </c>
      <c r="AG733" s="24">
        <v>6.4</v>
      </c>
      <c r="AH733" s="2" t="s">
        <v>183</v>
      </c>
      <c r="AI733" s="2" t="s">
        <v>661</v>
      </c>
      <c r="AJ733" s="15" t="s">
        <v>661</v>
      </c>
      <c r="AK733" s="8" t="s">
        <v>661</v>
      </c>
      <c r="AL733" s="2" t="s">
        <v>661</v>
      </c>
      <c r="AM733" s="15" t="s">
        <v>661</v>
      </c>
      <c r="AN733" s="8" t="s">
        <v>661</v>
      </c>
      <c r="AO733" s="15" t="s">
        <v>661</v>
      </c>
      <c r="AP733" s="15">
        <v>16.54</v>
      </c>
      <c r="AQ733" s="13" t="s">
        <v>661</v>
      </c>
      <c r="AR733" s="16">
        <v>29.38</v>
      </c>
      <c r="AS733" s="16">
        <v>13.9</v>
      </c>
      <c r="AT733" s="16">
        <v>56.71</v>
      </c>
      <c r="AU733" s="15" t="s">
        <v>661</v>
      </c>
      <c r="AV733" s="16">
        <f t="shared" si="384"/>
        <v>99.990000000000009</v>
      </c>
      <c r="AW733" s="20">
        <v>0.17</v>
      </c>
      <c r="AX733" s="8">
        <v>1.7000000000000001E-3</v>
      </c>
      <c r="AY733" s="8" t="s">
        <v>184</v>
      </c>
      <c r="AZ733" s="16">
        <v>100</v>
      </c>
      <c r="BA733" s="16" t="s">
        <v>55</v>
      </c>
      <c r="BB733" s="16">
        <v>5</v>
      </c>
      <c r="BC733" s="16" t="s">
        <v>55</v>
      </c>
      <c r="BD733" s="20">
        <v>0.63</v>
      </c>
      <c r="BE733" s="15">
        <f t="shared" si="381"/>
        <v>370.58823529411762</v>
      </c>
      <c r="BF733" s="15">
        <f t="shared" si="374"/>
        <v>2.5688916280753076</v>
      </c>
      <c r="BG733" s="8">
        <f t="shared" si="387"/>
        <v>-0.20065945054641829</v>
      </c>
      <c r="BH733" s="13" t="s">
        <v>345</v>
      </c>
      <c r="BI733" s="13"/>
      <c r="BJ733" s="13"/>
      <c r="BK733" s="13"/>
      <c r="BL733" s="13"/>
      <c r="BM733" s="17"/>
      <c r="BN733" s="17"/>
      <c r="BO733" s="2"/>
    </row>
    <row r="734" spans="1:67" s="14" customFormat="1" x14ac:dyDescent="0.3">
      <c r="A734" s="20">
        <v>732</v>
      </c>
      <c r="B734" s="2" t="s">
        <v>214</v>
      </c>
      <c r="C734" s="2">
        <v>2022</v>
      </c>
      <c r="D734" s="2" t="s">
        <v>201</v>
      </c>
      <c r="E734" s="22" t="s">
        <v>808</v>
      </c>
      <c r="F734" s="20" t="s">
        <v>29</v>
      </c>
      <c r="G734" s="2" t="s">
        <v>215</v>
      </c>
      <c r="H734" s="2" t="str">
        <f>'PFAS Properties'!$B$44</f>
        <v>PFHxS</v>
      </c>
      <c r="I734" s="2" t="str">
        <f>'PFAS Properties'!$C$44</f>
        <v>PFSA</v>
      </c>
      <c r="J734" s="2" t="str">
        <f>'PFAS Properties'!$D$44</f>
        <v>C6F13O3SH</v>
      </c>
      <c r="K734" s="25">
        <f>'PFAS Properties'!$P$44</f>
        <v>399.94379999999995</v>
      </c>
      <c r="L734" s="2">
        <f>'PFAS Properties'!$X$44</f>
        <v>0.1</v>
      </c>
      <c r="M734" s="2" t="str">
        <f>'PFAS Properties'!$Y$44</f>
        <v>-</v>
      </c>
      <c r="N734" s="33">
        <v>0</v>
      </c>
      <c r="O734" s="33">
        <v>0</v>
      </c>
      <c r="P734" s="33">
        <v>0</v>
      </c>
      <c r="Q734" s="33">
        <f t="shared" si="385"/>
        <v>0.99998004777494953</v>
      </c>
      <c r="R734" s="33">
        <v>0</v>
      </c>
      <c r="S734" s="33">
        <f t="shared" si="386"/>
        <v>1.9952225050461341E-5</v>
      </c>
      <c r="T734" s="8">
        <f t="shared" si="368"/>
        <v>1</v>
      </c>
      <c r="U734" s="33">
        <f t="shared" si="369"/>
        <v>0</v>
      </c>
      <c r="V734" s="33">
        <f t="shared" si="370"/>
        <v>-0.99998004777494953</v>
      </c>
      <c r="W734" s="33">
        <f t="shared" si="371"/>
        <v>398.943819952225</v>
      </c>
      <c r="X734" s="33">
        <v>96485</v>
      </c>
      <c r="Y734" s="16">
        <f t="shared" si="372"/>
        <v>-241.84627028718029</v>
      </c>
      <c r="Z734" s="16">
        <v>6</v>
      </c>
      <c r="AA734" s="16">
        <v>13</v>
      </c>
      <c r="AB734" s="8">
        <f t="shared" si="373"/>
        <v>0.291497975708502</v>
      </c>
      <c r="AC734" s="16">
        <f t="shared" si="383"/>
        <v>61.758677094131734</v>
      </c>
      <c r="AD734" s="20">
        <f>'PFAS Properties'!$W$44</f>
        <v>6</v>
      </c>
      <c r="AE734" s="8">
        <f>'PFAS Properties'!$S$44</f>
        <v>3.7905666251460763</v>
      </c>
      <c r="AF734" s="15">
        <f>'PFAS Properties'!$V$44</f>
        <v>3.6</v>
      </c>
      <c r="AG734" s="24">
        <v>4.8</v>
      </c>
      <c r="AH734" s="2" t="s">
        <v>216</v>
      </c>
      <c r="AI734" s="2">
        <v>8.3000000000000007</v>
      </c>
      <c r="AJ734" s="15">
        <f t="shared" ref="AJ734:AJ761" si="388">AI734*1000/55.845</f>
        <v>148.62566030978601</v>
      </c>
      <c r="AK734" s="15">
        <f t="shared" ref="AK734:AK767" si="389">AI734/10</f>
        <v>0.83000000000000007</v>
      </c>
      <c r="AL734" s="15">
        <v>7.85</v>
      </c>
      <c r="AM734" s="15">
        <f t="shared" ref="AM734:AM761" si="390">AL734*1000/26.98</f>
        <v>290.95626389918459</v>
      </c>
      <c r="AN734" s="15">
        <f t="shared" ref="AN734:AN767" si="391">AL734/10</f>
        <v>0.78499999999999992</v>
      </c>
      <c r="AO734" s="15" t="s">
        <v>217</v>
      </c>
      <c r="AP734" s="72">
        <v>15.34083666666667</v>
      </c>
      <c r="AQ734" s="70" t="s">
        <v>752</v>
      </c>
      <c r="AR734" s="16">
        <v>32</v>
      </c>
      <c r="AS734" s="16">
        <v>40</v>
      </c>
      <c r="AT734" s="16">
        <v>28</v>
      </c>
      <c r="AU734" s="2" t="s">
        <v>661</v>
      </c>
      <c r="AV734" s="16">
        <f t="shared" si="384"/>
        <v>100</v>
      </c>
      <c r="AW734" s="20">
        <v>4.9000000000000004</v>
      </c>
      <c r="AX734" s="8">
        <f t="shared" ref="AX734:AX767" si="392">AW734/100</f>
        <v>4.9000000000000002E-2</v>
      </c>
      <c r="AY734" s="8" t="s">
        <v>218</v>
      </c>
      <c r="AZ734" s="16">
        <f>1.5/0.075</f>
        <v>20</v>
      </c>
      <c r="BA734" s="16" t="s">
        <v>55</v>
      </c>
      <c r="BB734" s="16">
        <v>10</v>
      </c>
      <c r="BC734" s="16" t="s">
        <v>55</v>
      </c>
      <c r="BD734" s="20">
        <v>1.43</v>
      </c>
      <c r="BE734" s="15">
        <f t="shared" si="381"/>
        <v>29.183673469387752</v>
      </c>
      <c r="BF734" s="15">
        <f t="shared" si="374"/>
        <v>1.465139957436548</v>
      </c>
      <c r="BG734" s="8">
        <f t="shared" si="387"/>
        <v>0.1553360374650618</v>
      </c>
      <c r="BH734" s="2" t="s">
        <v>378</v>
      </c>
      <c r="BI734" s="13"/>
      <c r="BJ734" s="13"/>
      <c r="BK734" s="13"/>
      <c r="BL734" s="13"/>
      <c r="BM734" s="17"/>
      <c r="BN734" s="17"/>
      <c r="BO734" s="2"/>
    </row>
    <row r="735" spans="1:67" s="14" customFormat="1" x14ac:dyDescent="0.3">
      <c r="A735" s="20">
        <v>733</v>
      </c>
      <c r="B735" s="2" t="s">
        <v>214</v>
      </c>
      <c r="C735" s="2">
        <v>2022</v>
      </c>
      <c r="D735" s="2" t="s">
        <v>201</v>
      </c>
      <c r="E735" s="10" t="s">
        <v>808</v>
      </c>
      <c r="F735" s="20" t="s">
        <v>29</v>
      </c>
      <c r="G735" s="2" t="s">
        <v>233</v>
      </c>
      <c r="H735" s="2" t="str">
        <f>'PFAS Properties'!$B$44</f>
        <v>PFHxS</v>
      </c>
      <c r="I735" s="2" t="str">
        <f>'PFAS Properties'!$C$44</f>
        <v>PFSA</v>
      </c>
      <c r="J735" s="2" t="str">
        <f>'PFAS Properties'!$D$44</f>
        <v>C6F13O3SH</v>
      </c>
      <c r="K735" s="25">
        <f>'PFAS Properties'!$P$44</f>
        <v>399.94379999999995</v>
      </c>
      <c r="L735" s="2">
        <f>'PFAS Properties'!$X$44</f>
        <v>0.1</v>
      </c>
      <c r="M735" s="2" t="str">
        <f>'PFAS Properties'!$Y$44</f>
        <v>-</v>
      </c>
      <c r="N735" s="33">
        <v>0</v>
      </c>
      <c r="O735" s="33">
        <v>0</v>
      </c>
      <c r="P735" s="33">
        <v>0</v>
      </c>
      <c r="Q735" s="33">
        <f t="shared" si="385"/>
        <v>0.99999841510931942</v>
      </c>
      <c r="R735" s="33">
        <v>0</v>
      </c>
      <c r="S735" s="33">
        <f t="shared" si="386"/>
        <v>1.5848906805786579E-6</v>
      </c>
      <c r="T735" s="8">
        <f t="shared" si="368"/>
        <v>1</v>
      </c>
      <c r="U735" s="33">
        <f t="shared" si="369"/>
        <v>0</v>
      </c>
      <c r="V735" s="33">
        <f t="shared" si="370"/>
        <v>-0.99999841510931942</v>
      </c>
      <c r="W735" s="33">
        <f t="shared" si="371"/>
        <v>398.94380158489065</v>
      </c>
      <c r="X735" s="33">
        <v>96485</v>
      </c>
      <c r="Y735" s="16">
        <f t="shared" si="372"/>
        <v>-241.85072358190735</v>
      </c>
      <c r="Z735" s="16">
        <v>6</v>
      </c>
      <c r="AA735" s="16">
        <v>13</v>
      </c>
      <c r="AB735" s="8">
        <f t="shared" si="373"/>
        <v>0.291497975708502</v>
      </c>
      <c r="AC735" s="16">
        <f t="shared" si="383"/>
        <v>61.758677094131734</v>
      </c>
      <c r="AD735" s="20">
        <f>'PFAS Properties'!$W$44</f>
        <v>6</v>
      </c>
      <c r="AE735" s="8">
        <f>'PFAS Properties'!$S$44</f>
        <v>3.7905666251460763</v>
      </c>
      <c r="AF735" s="15">
        <f>'PFAS Properties'!$V$44</f>
        <v>3.6</v>
      </c>
      <c r="AG735" s="24">
        <v>5.9</v>
      </c>
      <c r="AH735" s="2" t="s">
        <v>216</v>
      </c>
      <c r="AI735" s="2">
        <v>1.4</v>
      </c>
      <c r="AJ735" s="15">
        <f t="shared" si="388"/>
        <v>25.069388485988004</v>
      </c>
      <c r="AK735" s="15">
        <f t="shared" si="389"/>
        <v>0.13999999999999999</v>
      </c>
      <c r="AL735" s="15">
        <v>0.92</v>
      </c>
      <c r="AM735" s="15">
        <f t="shared" si="390"/>
        <v>34.099332839140104</v>
      </c>
      <c r="AN735" s="15">
        <f t="shared" si="391"/>
        <v>9.1999999999999998E-2</v>
      </c>
      <c r="AO735" s="15" t="s">
        <v>217</v>
      </c>
      <c r="AP735" s="72">
        <v>15.34083666666667</v>
      </c>
      <c r="AQ735" s="70" t="s">
        <v>752</v>
      </c>
      <c r="AR735" s="16">
        <v>37</v>
      </c>
      <c r="AS735" s="16">
        <v>22</v>
      </c>
      <c r="AT735" s="16">
        <v>41</v>
      </c>
      <c r="AU735" s="2" t="s">
        <v>661</v>
      </c>
      <c r="AV735" s="16">
        <f t="shared" si="384"/>
        <v>100</v>
      </c>
      <c r="AW735" s="20">
        <v>2.6</v>
      </c>
      <c r="AX735" s="8">
        <f t="shared" si="392"/>
        <v>2.6000000000000002E-2</v>
      </c>
      <c r="AY735" s="8" t="s">
        <v>218</v>
      </c>
      <c r="AZ735" s="16">
        <f>1.5/0.075</f>
        <v>20</v>
      </c>
      <c r="BA735" s="16" t="s">
        <v>55</v>
      </c>
      <c r="BB735" s="16">
        <v>10</v>
      </c>
      <c r="BC735" s="16" t="s">
        <v>55</v>
      </c>
      <c r="BD735" s="20">
        <v>0.69</v>
      </c>
      <c r="BE735" s="15">
        <f t="shared" si="381"/>
        <v>26.538461538461533</v>
      </c>
      <c r="BF735" s="15">
        <f t="shared" si="374"/>
        <v>1.4238757427664372</v>
      </c>
      <c r="BG735" s="8">
        <f t="shared" si="387"/>
        <v>-0.16115090926274472</v>
      </c>
      <c r="BH735" s="2" t="s">
        <v>378</v>
      </c>
      <c r="BI735" s="13"/>
      <c r="BJ735" s="13"/>
      <c r="BK735" s="13"/>
      <c r="BL735" s="13"/>
      <c r="BM735" s="17"/>
      <c r="BN735" s="17"/>
      <c r="BO735" s="2"/>
    </row>
    <row r="736" spans="1:67" s="14" customFormat="1" x14ac:dyDescent="0.3">
      <c r="A736" s="20">
        <v>734</v>
      </c>
      <c r="B736" s="2" t="s">
        <v>219</v>
      </c>
      <c r="C736" s="2">
        <v>2020</v>
      </c>
      <c r="D736" s="2" t="s">
        <v>205</v>
      </c>
      <c r="E736" s="22" t="s">
        <v>802</v>
      </c>
      <c r="F736" s="20" t="s">
        <v>29</v>
      </c>
      <c r="G736" s="2">
        <v>1</v>
      </c>
      <c r="H736" s="2" t="str">
        <f>'PFAS Properties'!$B$44</f>
        <v>PFHxS</v>
      </c>
      <c r="I736" s="2" t="str">
        <f>'PFAS Properties'!$C$44</f>
        <v>PFSA</v>
      </c>
      <c r="J736" s="2" t="str">
        <f>'PFAS Properties'!$D$44</f>
        <v>C6F13O3SH</v>
      </c>
      <c r="K736" s="25">
        <f>'PFAS Properties'!$P$44</f>
        <v>399.94379999999995</v>
      </c>
      <c r="L736" s="2">
        <f>'PFAS Properties'!$X$44</f>
        <v>0.1</v>
      </c>
      <c r="M736" s="2" t="str">
        <f>'PFAS Properties'!$Y$44</f>
        <v>-</v>
      </c>
      <c r="N736" s="33">
        <v>0</v>
      </c>
      <c r="O736" s="33">
        <v>0</v>
      </c>
      <c r="P736" s="33">
        <v>0</v>
      </c>
      <c r="Q736" s="33">
        <f t="shared" si="385"/>
        <v>0.99999968377233395</v>
      </c>
      <c r="R736" s="33">
        <v>0</v>
      </c>
      <c r="S736" s="33">
        <f t="shared" si="386"/>
        <v>3.1622766601686895E-7</v>
      </c>
      <c r="T736" s="8">
        <f t="shared" si="368"/>
        <v>1</v>
      </c>
      <c r="U736" s="33">
        <f t="shared" si="369"/>
        <v>0</v>
      </c>
      <c r="V736" s="33">
        <f t="shared" si="370"/>
        <v>-0.99999968377233395</v>
      </c>
      <c r="W736" s="33">
        <f t="shared" si="371"/>
        <v>398.94380031622762</v>
      </c>
      <c r="X736" s="33">
        <v>96485</v>
      </c>
      <c r="Y736" s="16">
        <f t="shared" si="372"/>
        <v>-241.85103117856113</v>
      </c>
      <c r="Z736" s="16">
        <v>6</v>
      </c>
      <c r="AA736" s="16">
        <v>13</v>
      </c>
      <c r="AB736" s="8">
        <f t="shared" si="373"/>
        <v>0.291497975708502</v>
      </c>
      <c r="AC736" s="16">
        <f t="shared" si="383"/>
        <v>61.758677094131734</v>
      </c>
      <c r="AD736" s="20">
        <f>'PFAS Properties'!$W$44</f>
        <v>6</v>
      </c>
      <c r="AE736" s="8">
        <f>'PFAS Properties'!$S$44</f>
        <v>3.7905666251460763</v>
      </c>
      <c r="AF736" s="15">
        <f>'PFAS Properties'!$V$44</f>
        <v>3.6</v>
      </c>
      <c r="AG736" s="24">
        <v>6.6</v>
      </c>
      <c r="AH736" s="2" t="s">
        <v>85</v>
      </c>
      <c r="AI736" s="2">
        <v>4.17</v>
      </c>
      <c r="AJ736" s="15">
        <f t="shared" si="388"/>
        <v>74.67096427612141</v>
      </c>
      <c r="AK736" s="8">
        <f t="shared" si="389"/>
        <v>0.41699999999999998</v>
      </c>
      <c r="AL736" s="2">
        <v>2.58</v>
      </c>
      <c r="AM736" s="15">
        <f t="shared" si="390"/>
        <v>95.626389918458116</v>
      </c>
      <c r="AN736" s="8">
        <f t="shared" si="391"/>
        <v>0.25800000000000001</v>
      </c>
      <c r="AO736" s="15" t="s">
        <v>86</v>
      </c>
      <c r="AP736" s="15">
        <v>10</v>
      </c>
      <c r="AQ736" s="15" t="s">
        <v>711</v>
      </c>
      <c r="AR736" s="16">
        <v>43</v>
      </c>
      <c r="AS736" s="2">
        <v>12</v>
      </c>
      <c r="AT736" s="2">
        <v>45</v>
      </c>
      <c r="AU736" s="15" t="s">
        <v>664</v>
      </c>
      <c r="AV736" s="16">
        <f t="shared" si="384"/>
        <v>100</v>
      </c>
      <c r="AW736" s="20">
        <v>1.8</v>
      </c>
      <c r="AX736" s="8">
        <f t="shared" si="392"/>
        <v>1.8000000000000002E-2</v>
      </c>
      <c r="AY736" s="8" t="s">
        <v>87</v>
      </c>
      <c r="AZ736" s="16">
        <v>200</v>
      </c>
      <c r="BA736" s="16" t="s">
        <v>55</v>
      </c>
      <c r="BB736" s="16" t="s">
        <v>391</v>
      </c>
      <c r="BC736" s="16" t="s">
        <v>55</v>
      </c>
      <c r="BD736" s="20">
        <v>0.08</v>
      </c>
      <c r="BE736" s="15">
        <f t="shared" si="381"/>
        <v>4.4444444444444438</v>
      </c>
      <c r="BF736" s="15">
        <f t="shared" si="374"/>
        <v>0.64781748188863741</v>
      </c>
      <c r="BG736" s="8">
        <f t="shared" si="387"/>
        <v>-1.0969100130080565</v>
      </c>
      <c r="BH736" s="13" t="s">
        <v>841</v>
      </c>
      <c r="BI736" s="13"/>
      <c r="BJ736" s="13"/>
      <c r="BK736" s="13"/>
      <c r="BL736" s="13"/>
      <c r="BM736" s="17"/>
      <c r="BN736" s="17"/>
      <c r="BO736" s="2"/>
    </row>
    <row r="737" spans="1:67" s="14" customFormat="1" x14ac:dyDescent="0.3">
      <c r="A737" s="20">
        <v>735</v>
      </c>
      <c r="B737" s="2" t="s">
        <v>219</v>
      </c>
      <c r="C737" s="2">
        <v>2020</v>
      </c>
      <c r="D737" s="2" t="s">
        <v>205</v>
      </c>
      <c r="E737" s="10" t="s">
        <v>802</v>
      </c>
      <c r="F737" s="20" t="s">
        <v>29</v>
      </c>
      <c r="G737" s="2">
        <v>2</v>
      </c>
      <c r="H737" s="2" t="str">
        <f>'PFAS Properties'!$B$44</f>
        <v>PFHxS</v>
      </c>
      <c r="I737" s="2" t="str">
        <f>'PFAS Properties'!$C$44</f>
        <v>PFSA</v>
      </c>
      <c r="J737" s="2" t="str">
        <f>'PFAS Properties'!$D$44</f>
        <v>C6F13O3SH</v>
      </c>
      <c r="K737" s="25">
        <f>'PFAS Properties'!$P$44</f>
        <v>399.94379999999995</v>
      </c>
      <c r="L737" s="2">
        <f>'PFAS Properties'!$X$44</f>
        <v>0.1</v>
      </c>
      <c r="M737" s="2" t="str">
        <f>'PFAS Properties'!$Y$44</f>
        <v>-</v>
      </c>
      <c r="N737" s="33">
        <v>0</v>
      </c>
      <c r="O737" s="33">
        <v>0</v>
      </c>
      <c r="P737" s="33">
        <v>0</v>
      </c>
      <c r="Q737" s="33">
        <f t="shared" si="385"/>
        <v>0.99999968377233395</v>
      </c>
      <c r="R737" s="33">
        <v>0</v>
      </c>
      <c r="S737" s="33">
        <f t="shared" si="386"/>
        <v>3.1622766601686895E-7</v>
      </c>
      <c r="T737" s="8">
        <f t="shared" si="368"/>
        <v>1</v>
      </c>
      <c r="U737" s="33">
        <f t="shared" si="369"/>
        <v>0</v>
      </c>
      <c r="V737" s="33">
        <f t="shared" si="370"/>
        <v>-0.99999968377233395</v>
      </c>
      <c r="W737" s="33">
        <f t="shared" si="371"/>
        <v>398.94380031622762</v>
      </c>
      <c r="X737" s="33">
        <v>96485</v>
      </c>
      <c r="Y737" s="16">
        <f t="shared" si="372"/>
        <v>-241.85103117856113</v>
      </c>
      <c r="Z737" s="16">
        <v>6</v>
      </c>
      <c r="AA737" s="16">
        <v>13</v>
      </c>
      <c r="AB737" s="8">
        <f t="shared" si="373"/>
        <v>0.291497975708502</v>
      </c>
      <c r="AC737" s="16">
        <f t="shared" si="383"/>
        <v>61.758677094131734</v>
      </c>
      <c r="AD737" s="20">
        <f>'PFAS Properties'!$W$44</f>
        <v>6</v>
      </c>
      <c r="AE737" s="8">
        <f>'PFAS Properties'!$S$44</f>
        <v>3.7905666251460763</v>
      </c>
      <c r="AF737" s="15">
        <f>'PFAS Properties'!$V$44</f>
        <v>3.6</v>
      </c>
      <c r="AG737" s="24">
        <v>6.6</v>
      </c>
      <c r="AH737" s="2" t="s">
        <v>85</v>
      </c>
      <c r="AI737" s="2">
        <v>6.06</v>
      </c>
      <c r="AJ737" s="15">
        <f t="shared" si="388"/>
        <v>108.51463873220521</v>
      </c>
      <c r="AK737" s="8">
        <f t="shared" si="389"/>
        <v>0.60599999999999998</v>
      </c>
      <c r="AL737" s="2">
        <v>3.75</v>
      </c>
      <c r="AM737" s="15">
        <f t="shared" si="390"/>
        <v>138.99184581171238</v>
      </c>
      <c r="AN737" s="8">
        <f t="shared" si="391"/>
        <v>0.375</v>
      </c>
      <c r="AO737" s="15" t="s">
        <v>86</v>
      </c>
      <c r="AP737" s="15">
        <v>9.5399999999999991</v>
      </c>
      <c r="AQ737" s="15" t="s">
        <v>711</v>
      </c>
      <c r="AR737" s="16">
        <v>36</v>
      </c>
      <c r="AS737" s="16">
        <v>23</v>
      </c>
      <c r="AT737" s="16">
        <v>41</v>
      </c>
      <c r="AU737" s="15" t="s">
        <v>664</v>
      </c>
      <c r="AV737" s="16">
        <f t="shared" si="384"/>
        <v>100</v>
      </c>
      <c r="AW737" s="20">
        <v>2.1</v>
      </c>
      <c r="AX737" s="8">
        <f t="shared" si="392"/>
        <v>2.1000000000000001E-2</v>
      </c>
      <c r="AY737" s="8" t="s">
        <v>87</v>
      </c>
      <c r="AZ737" s="16">
        <v>20</v>
      </c>
      <c r="BA737" s="16" t="s">
        <v>55</v>
      </c>
      <c r="BB737" s="16" t="s">
        <v>391</v>
      </c>
      <c r="BC737" s="16" t="s">
        <v>55</v>
      </c>
      <c r="BD737" s="20">
        <v>0.06</v>
      </c>
      <c r="BE737" s="15">
        <f t="shared" si="381"/>
        <v>2.8571428571428568</v>
      </c>
      <c r="BF737" s="15">
        <f t="shared" si="374"/>
        <v>0.45593195564972433</v>
      </c>
      <c r="BG737" s="8">
        <f t="shared" si="387"/>
        <v>-1.2218487496163564</v>
      </c>
      <c r="BH737" s="13" t="s">
        <v>841</v>
      </c>
      <c r="BI737" s="13"/>
      <c r="BJ737" s="13"/>
      <c r="BK737" s="13"/>
      <c r="BL737" s="13"/>
      <c r="BM737" s="17"/>
      <c r="BN737" s="17"/>
      <c r="BO737" s="2"/>
    </row>
    <row r="738" spans="1:67" s="14" customFormat="1" x14ac:dyDescent="0.3">
      <c r="A738" s="20">
        <v>736</v>
      </c>
      <c r="B738" s="2" t="s">
        <v>219</v>
      </c>
      <c r="C738" s="2">
        <v>2020</v>
      </c>
      <c r="D738" s="2" t="s">
        <v>205</v>
      </c>
      <c r="E738" s="10" t="s">
        <v>802</v>
      </c>
      <c r="F738" s="20" t="s">
        <v>29</v>
      </c>
      <c r="G738" s="2">
        <v>3</v>
      </c>
      <c r="H738" s="2" t="str">
        <f>'PFAS Properties'!$B$44</f>
        <v>PFHxS</v>
      </c>
      <c r="I738" s="2" t="str">
        <f>'PFAS Properties'!$C$44</f>
        <v>PFSA</v>
      </c>
      <c r="J738" s="2" t="str">
        <f>'PFAS Properties'!$D$44</f>
        <v>C6F13O3SH</v>
      </c>
      <c r="K738" s="25">
        <f>'PFAS Properties'!$P$44</f>
        <v>399.94379999999995</v>
      </c>
      <c r="L738" s="2">
        <f>'PFAS Properties'!$X$44</f>
        <v>0.1</v>
      </c>
      <c r="M738" s="2" t="str">
        <f>'PFAS Properties'!$Y$44</f>
        <v>-</v>
      </c>
      <c r="N738" s="33">
        <v>0</v>
      </c>
      <c r="O738" s="33">
        <v>0</v>
      </c>
      <c r="P738" s="33">
        <v>0</v>
      </c>
      <c r="Q738" s="33">
        <f t="shared" si="385"/>
        <v>0.99999936904305364</v>
      </c>
      <c r="R738" s="33">
        <v>0</v>
      </c>
      <c r="S738" s="33">
        <f t="shared" si="386"/>
        <v>6.309569463732732E-7</v>
      </c>
      <c r="T738" s="8">
        <f t="shared" si="368"/>
        <v>1</v>
      </c>
      <c r="U738" s="33">
        <f t="shared" si="369"/>
        <v>0</v>
      </c>
      <c r="V738" s="33">
        <f t="shared" si="370"/>
        <v>-0.99999936904305364</v>
      </c>
      <c r="W738" s="33">
        <f t="shared" si="371"/>
        <v>398.94380063095696</v>
      </c>
      <c r="X738" s="33">
        <v>96485</v>
      </c>
      <c r="Y738" s="16">
        <f t="shared" si="372"/>
        <v>-241.85095487013834</v>
      </c>
      <c r="Z738" s="16">
        <v>6</v>
      </c>
      <c r="AA738" s="16">
        <v>13</v>
      </c>
      <c r="AB738" s="8">
        <f t="shared" si="373"/>
        <v>0.291497975708502</v>
      </c>
      <c r="AC738" s="16">
        <f t="shared" si="383"/>
        <v>61.758677094131734</v>
      </c>
      <c r="AD738" s="20">
        <f>'PFAS Properties'!$W$44</f>
        <v>6</v>
      </c>
      <c r="AE738" s="8">
        <f>'PFAS Properties'!$S$44</f>
        <v>3.7905666251460763</v>
      </c>
      <c r="AF738" s="15">
        <f>'PFAS Properties'!$V$44</f>
        <v>3.6</v>
      </c>
      <c r="AG738" s="24">
        <v>6.3</v>
      </c>
      <c r="AH738" s="2" t="s">
        <v>85</v>
      </c>
      <c r="AI738" s="2">
        <v>0.46600000000000003</v>
      </c>
      <c r="AJ738" s="15">
        <f t="shared" si="388"/>
        <v>8.3445250246217206</v>
      </c>
      <c r="AK738" s="8">
        <f t="shared" si="389"/>
        <v>4.6600000000000003E-2</v>
      </c>
      <c r="AL738" s="2">
        <v>0.185</v>
      </c>
      <c r="AM738" s="15">
        <f t="shared" si="390"/>
        <v>6.8569310600444773</v>
      </c>
      <c r="AN738" s="8">
        <f t="shared" si="391"/>
        <v>1.8499999999999999E-2</v>
      </c>
      <c r="AO738" s="15" t="s">
        <v>86</v>
      </c>
      <c r="AP738" s="15">
        <v>2.83</v>
      </c>
      <c r="AQ738" s="15" t="s">
        <v>711</v>
      </c>
      <c r="AR738" s="16">
        <v>91</v>
      </c>
      <c r="AS738" s="16">
        <v>2</v>
      </c>
      <c r="AT738" s="16">
        <v>7</v>
      </c>
      <c r="AU738" s="15" t="s">
        <v>664</v>
      </c>
      <c r="AV738" s="16">
        <f t="shared" si="384"/>
        <v>100</v>
      </c>
      <c r="AW738" s="20">
        <v>0.6</v>
      </c>
      <c r="AX738" s="8">
        <f t="shared" si="392"/>
        <v>6.0000000000000001E-3</v>
      </c>
      <c r="AY738" s="8" t="s">
        <v>87</v>
      </c>
      <c r="AZ738" s="16">
        <v>20</v>
      </c>
      <c r="BA738" s="16" t="s">
        <v>55</v>
      </c>
      <c r="BB738" s="16" t="s">
        <v>391</v>
      </c>
      <c r="BC738" s="16" t="s">
        <v>55</v>
      </c>
      <c r="BD738" s="20">
        <v>3.92</v>
      </c>
      <c r="BE738" s="15">
        <f t="shared" si="381"/>
        <v>653.33333333333326</v>
      </c>
      <c r="BF738" s="15">
        <f t="shared" si="374"/>
        <v>2.8151348166368138</v>
      </c>
      <c r="BG738" s="8">
        <f t="shared" si="387"/>
        <v>0.59328606702045728</v>
      </c>
      <c r="BH738" s="13" t="s">
        <v>841</v>
      </c>
      <c r="BI738" s="13"/>
      <c r="BJ738" s="13"/>
      <c r="BK738" s="13"/>
      <c r="BL738" s="13"/>
      <c r="BM738" s="17"/>
      <c r="BN738" s="17"/>
      <c r="BO738" s="2"/>
    </row>
    <row r="739" spans="1:67" s="14" customFormat="1" x14ac:dyDescent="0.3">
      <c r="A739" s="20">
        <v>737</v>
      </c>
      <c r="B739" s="2" t="s">
        <v>219</v>
      </c>
      <c r="C739" s="2">
        <v>2020</v>
      </c>
      <c r="D739" s="2" t="s">
        <v>205</v>
      </c>
      <c r="E739" s="10" t="s">
        <v>802</v>
      </c>
      <c r="F739" s="20" t="s">
        <v>29</v>
      </c>
      <c r="G739" s="2">
        <v>4</v>
      </c>
      <c r="H739" s="2" t="str">
        <f>'PFAS Properties'!$B$44</f>
        <v>PFHxS</v>
      </c>
      <c r="I739" s="2" t="str">
        <f>'PFAS Properties'!$C$44</f>
        <v>PFSA</v>
      </c>
      <c r="J739" s="2" t="str">
        <f>'PFAS Properties'!$D$44</f>
        <v>C6F13O3SH</v>
      </c>
      <c r="K739" s="25">
        <f>'PFAS Properties'!$P$44</f>
        <v>399.94379999999995</v>
      </c>
      <c r="L739" s="2">
        <f>'PFAS Properties'!$X$44</f>
        <v>0.1</v>
      </c>
      <c r="M739" s="2" t="str">
        <f>'PFAS Properties'!$Y$44</f>
        <v>-</v>
      </c>
      <c r="N739" s="33">
        <v>0</v>
      </c>
      <c r="O739" s="33">
        <v>0</v>
      </c>
      <c r="P739" s="33">
        <v>0</v>
      </c>
      <c r="Q739" s="33">
        <f t="shared" si="385"/>
        <v>0.99999993690426958</v>
      </c>
      <c r="R739" s="33">
        <v>0</v>
      </c>
      <c r="S739" s="33">
        <f t="shared" si="386"/>
        <v>6.3095730466947729E-8</v>
      </c>
      <c r="T739" s="8">
        <f t="shared" si="368"/>
        <v>1</v>
      </c>
      <c r="U739" s="33">
        <f t="shared" si="369"/>
        <v>0</v>
      </c>
      <c r="V739" s="33">
        <f t="shared" si="370"/>
        <v>-0.99999993690426958</v>
      </c>
      <c r="W739" s="33">
        <f t="shared" si="371"/>
        <v>398.94380006309569</v>
      </c>
      <c r="X739" s="33">
        <v>96485</v>
      </c>
      <c r="Y739" s="16">
        <f t="shared" si="372"/>
        <v>-241.85109255225598</v>
      </c>
      <c r="Z739" s="16">
        <v>6</v>
      </c>
      <c r="AA739" s="16">
        <v>13</v>
      </c>
      <c r="AB739" s="8">
        <f t="shared" si="373"/>
        <v>0.291497975708502</v>
      </c>
      <c r="AC739" s="16">
        <f t="shared" si="383"/>
        <v>61.758677094131734</v>
      </c>
      <c r="AD739" s="20">
        <f>'PFAS Properties'!$W$44</f>
        <v>6</v>
      </c>
      <c r="AE739" s="8">
        <f>'PFAS Properties'!$S$44</f>
        <v>3.7905666251460763</v>
      </c>
      <c r="AF739" s="15">
        <f>'PFAS Properties'!$V$44</f>
        <v>3.6</v>
      </c>
      <c r="AG739" s="24">
        <v>7.3</v>
      </c>
      <c r="AH739" s="2" t="s">
        <v>85</v>
      </c>
      <c r="AI739" s="2">
        <v>7.87</v>
      </c>
      <c r="AJ739" s="15">
        <f t="shared" si="388"/>
        <v>140.92577670337542</v>
      </c>
      <c r="AK739" s="8">
        <f t="shared" si="389"/>
        <v>0.78700000000000003</v>
      </c>
      <c r="AL739" s="2">
        <v>2.4</v>
      </c>
      <c r="AM739" s="15">
        <f t="shared" si="390"/>
        <v>88.954781319495922</v>
      </c>
      <c r="AN739" s="8">
        <f t="shared" si="391"/>
        <v>0.24</v>
      </c>
      <c r="AO739" s="15" t="s">
        <v>86</v>
      </c>
      <c r="AP739" s="15">
        <v>27.69</v>
      </c>
      <c r="AQ739" s="15" t="s">
        <v>711</v>
      </c>
      <c r="AR739" s="16">
        <v>27</v>
      </c>
      <c r="AS739" s="16">
        <v>21</v>
      </c>
      <c r="AT739" s="16">
        <v>52</v>
      </c>
      <c r="AU739" s="15" t="s">
        <v>664</v>
      </c>
      <c r="AV739" s="16">
        <f t="shared" si="384"/>
        <v>100</v>
      </c>
      <c r="AW739" s="20">
        <v>1.8</v>
      </c>
      <c r="AX739" s="8">
        <f t="shared" si="392"/>
        <v>1.8000000000000002E-2</v>
      </c>
      <c r="AY739" s="8" t="s">
        <v>87</v>
      </c>
      <c r="AZ739" s="16">
        <v>20</v>
      </c>
      <c r="BA739" s="16" t="s">
        <v>55</v>
      </c>
      <c r="BB739" s="16" t="s">
        <v>391</v>
      </c>
      <c r="BC739" s="16" t="s">
        <v>55</v>
      </c>
      <c r="BD739" s="20">
        <v>5.63</v>
      </c>
      <c r="BE739" s="15">
        <f t="shared" si="381"/>
        <v>312.77777777777771</v>
      </c>
      <c r="BF739" s="15">
        <f t="shared" si="374"/>
        <v>2.4952358897480402</v>
      </c>
      <c r="BG739" s="8">
        <f t="shared" si="387"/>
        <v>0.75050839485134624</v>
      </c>
      <c r="BH739" s="13" t="s">
        <v>841</v>
      </c>
      <c r="BI739" s="13"/>
      <c r="BJ739" s="13"/>
      <c r="BK739" s="13"/>
      <c r="BL739" s="13"/>
      <c r="BM739" s="17"/>
      <c r="BN739" s="17"/>
      <c r="BO739" s="2"/>
    </row>
    <row r="740" spans="1:67" s="14" customFormat="1" x14ac:dyDescent="0.3">
      <c r="A740" s="20">
        <v>738</v>
      </c>
      <c r="B740" s="2" t="s">
        <v>219</v>
      </c>
      <c r="C740" s="2">
        <v>2020</v>
      </c>
      <c r="D740" s="2" t="s">
        <v>205</v>
      </c>
      <c r="E740" s="10" t="s">
        <v>802</v>
      </c>
      <c r="F740" s="20" t="s">
        <v>29</v>
      </c>
      <c r="G740" s="2">
        <v>5</v>
      </c>
      <c r="H740" s="2" t="str">
        <f>'PFAS Properties'!$B$44</f>
        <v>PFHxS</v>
      </c>
      <c r="I740" s="2" t="str">
        <f>'PFAS Properties'!$C$44</f>
        <v>PFSA</v>
      </c>
      <c r="J740" s="2" t="str">
        <f>'PFAS Properties'!$D$44</f>
        <v>C6F13O3SH</v>
      </c>
      <c r="K740" s="25">
        <f>'PFAS Properties'!$P$44</f>
        <v>399.94379999999995</v>
      </c>
      <c r="L740" s="2">
        <f>'PFAS Properties'!$X$44</f>
        <v>0.1</v>
      </c>
      <c r="M740" s="2" t="str">
        <f>'PFAS Properties'!$Y$44</f>
        <v>-</v>
      </c>
      <c r="N740" s="33">
        <v>0</v>
      </c>
      <c r="O740" s="33">
        <v>0</v>
      </c>
      <c r="P740" s="33">
        <v>0</v>
      </c>
      <c r="Q740" s="33">
        <f t="shared" si="385"/>
        <v>0.99999936904305364</v>
      </c>
      <c r="R740" s="33">
        <v>0</v>
      </c>
      <c r="S740" s="33">
        <f t="shared" si="386"/>
        <v>6.309569463732732E-7</v>
      </c>
      <c r="T740" s="8">
        <f t="shared" si="368"/>
        <v>1</v>
      </c>
      <c r="U740" s="33">
        <f t="shared" si="369"/>
        <v>0</v>
      </c>
      <c r="V740" s="33">
        <f t="shared" si="370"/>
        <v>-0.99999936904305364</v>
      </c>
      <c r="W740" s="33">
        <f t="shared" si="371"/>
        <v>398.94380063095696</v>
      </c>
      <c r="X740" s="33">
        <v>96485</v>
      </c>
      <c r="Y740" s="16">
        <f t="shared" si="372"/>
        <v>-241.85095487013834</v>
      </c>
      <c r="Z740" s="16">
        <v>6</v>
      </c>
      <c r="AA740" s="16">
        <v>13</v>
      </c>
      <c r="AB740" s="8">
        <f t="shared" si="373"/>
        <v>0.291497975708502</v>
      </c>
      <c r="AC740" s="16">
        <f t="shared" si="383"/>
        <v>61.758677094131734</v>
      </c>
      <c r="AD740" s="20">
        <f>'PFAS Properties'!$W$44</f>
        <v>6</v>
      </c>
      <c r="AE740" s="8">
        <f>'PFAS Properties'!$S$44</f>
        <v>3.7905666251460763</v>
      </c>
      <c r="AF740" s="15">
        <f>'PFAS Properties'!$V$44</f>
        <v>3.6</v>
      </c>
      <c r="AG740" s="24">
        <v>6.3</v>
      </c>
      <c r="AH740" s="2" t="s">
        <v>85</v>
      </c>
      <c r="AI740" s="2">
        <v>4.12</v>
      </c>
      <c r="AJ740" s="15">
        <f t="shared" si="388"/>
        <v>73.775628973050402</v>
      </c>
      <c r="AK740" s="8">
        <f t="shared" si="389"/>
        <v>0.41200000000000003</v>
      </c>
      <c r="AL740" s="2">
        <v>2.57</v>
      </c>
      <c r="AM740" s="15">
        <f t="shared" si="390"/>
        <v>95.255744996293544</v>
      </c>
      <c r="AN740" s="8">
        <f t="shared" si="391"/>
        <v>0.25700000000000001</v>
      </c>
      <c r="AO740" s="15" t="s">
        <v>86</v>
      </c>
      <c r="AP740" s="15">
        <v>7.18</v>
      </c>
      <c r="AQ740" s="15" t="s">
        <v>711</v>
      </c>
      <c r="AR740" s="16">
        <v>40</v>
      </c>
      <c r="AS740" s="16">
        <v>12</v>
      </c>
      <c r="AT740" s="16">
        <v>48</v>
      </c>
      <c r="AU740" s="15" t="s">
        <v>664</v>
      </c>
      <c r="AV740" s="16">
        <f t="shared" si="384"/>
        <v>100</v>
      </c>
      <c r="AW740" s="20">
        <v>1.5</v>
      </c>
      <c r="AX740" s="8">
        <f t="shared" si="392"/>
        <v>1.4999999999999999E-2</v>
      </c>
      <c r="AY740" s="8" t="s">
        <v>87</v>
      </c>
      <c r="AZ740" s="16">
        <v>20</v>
      </c>
      <c r="BA740" s="16" t="s">
        <v>55</v>
      </c>
      <c r="BB740" s="16" t="s">
        <v>391</v>
      </c>
      <c r="BC740" s="16" t="s">
        <v>55</v>
      </c>
      <c r="BD740" s="20">
        <v>3.39</v>
      </c>
      <c r="BE740" s="15">
        <f t="shared" si="381"/>
        <v>226.00000000000003</v>
      </c>
      <c r="BF740" s="15">
        <f t="shared" si="374"/>
        <v>2.3541084391474008</v>
      </c>
      <c r="BG740" s="8">
        <f t="shared" si="387"/>
        <v>0.53019969820308221</v>
      </c>
      <c r="BH740" s="13" t="s">
        <v>841</v>
      </c>
      <c r="BI740" s="13"/>
      <c r="BJ740" s="13"/>
      <c r="BK740" s="13"/>
      <c r="BL740" s="13"/>
      <c r="BM740" s="17"/>
      <c r="BN740" s="17"/>
      <c r="BO740" s="2"/>
    </row>
    <row r="741" spans="1:67" s="14" customFormat="1" x14ac:dyDescent="0.3">
      <c r="A741" s="20">
        <v>739</v>
      </c>
      <c r="B741" s="2" t="s">
        <v>219</v>
      </c>
      <c r="C741" s="2">
        <v>2020</v>
      </c>
      <c r="D741" s="2" t="s">
        <v>205</v>
      </c>
      <c r="E741" s="10" t="s">
        <v>802</v>
      </c>
      <c r="F741" s="20" t="s">
        <v>29</v>
      </c>
      <c r="G741" s="2">
        <v>6</v>
      </c>
      <c r="H741" s="2" t="str">
        <f>'PFAS Properties'!$B$44</f>
        <v>PFHxS</v>
      </c>
      <c r="I741" s="2" t="str">
        <f>'PFAS Properties'!$C$44</f>
        <v>PFSA</v>
      </c>
      <c r="J741" s="2" t="str">
        <f>'PFAS Properties'!$D$44</f>
        <v>C6F13O3SH</v>
      </c>
      <c r="K741" s="25">
        <f>'PFAS Properties'!$P$44</f>
        <v>399.94379999999995</v>
      </c>
      <c r="L741" s="2">
        <f>'PFAS Properties'!$X$44</f>
        <v>0.1</v>
      </c>
      <c r="M741" s="2" t="str">
        <f>'PFAS Properties'!$Y$44</f>
        <v>-</v>
      </c>
      <c r="N741" s="33">
        <v>0</v>
      </c>
      <c r="O741" s="33">
        <v>0</v>
      </c>
      <c r="P741" s="33">
        <v>0</v>
      </c>
      <c r="Q741" s="33">
        <f t="shared" si="385"/>
        <v>0.99999000009999905</v>
      </c>
      <c r="R741" s="33">
        <v>0</v>
      </c>
      <c r="S741" s="33">
        <f t="shared" si="386"/>
        <v>9.9999000009999908E-6</v>
      </c>
      <c r="T741" s="8">
        <f t="shared" si="368"/>
        <v>1</v>
      </c>
      <c r="U741" s="33">
        <f t="shared" si="369"/>
        <v>0</v>
      </c>
      <c r="V741" s="33">
        <f t="shared" si="370"/>
        <v>-0.99999000009999905</v>
      </c>
      <c r="W741" s="33">
        <f t="shared" si="371"/>
        <v>398.9438099999</v>
      </c>
      <c r="X741" s="33">
        <v>96485</v>
      </c>
      <c r="Y741" s="16">
        <f t="shared" si="372"/>
        <v>-241.84868330122129</v>
      </c>
      <c r="Z741" s="16">
        <v>6</v>
      </c>
      <c r="AA741" s="16">
        <v>13</v>
      </c>
      <c r="AB741" s="8">
        <f t="shared" si="373"/>
        <v>0.291497975708502</v>
      </c>
      <c r="AC741" s="16">
        <f t="shared" si="383"/>
        <v>61.758677094131734</v>
      </c>
      <c r="AD741" s="20">
        <f>'PFAS Properties'!$W$44</f>
        <v>6</v>
      </c>
      <c r="AE741" s="8">
        <f>'PFAS Properties'!$S$44</f>
        <v>3.7905666251460763</v>
      </c>
      <c r="AF741" s="15">
        <f>'PFAS Properties'!$V$44</f>
        <v>3.6</v>
      </c>
      <c r="AG741" s="24">
        <v>5.0999999999999996</v>
      </c>
      <c r="AH741" s="2" t="s">
        <v>85</v>
      </c>
      <c r="AI741" s="2">
        <v>2.35</v>
      </c>
      <c r="AJ741" s="15">
        <f t="shared" si="388"/>
        <v>42.080759244337003</v>
      </c>
      <c r="AK741" s="8">
        <f t="shared" si="389"/>
        <v>0.23500000000000001</v>
      </c>
      <c r="AL741" s="2">
        <v>0.92900000000000005</v>
      </c>
      <c r="AM741" s="15">
        <f t="shared" si="390"/>
        <v>34.43291326908821</v>
      </c>
      <c r="AN741" s="8">
        <f t="shared" si="391"/>
        <v>9.290000000000001E-2</v>
      </c>
      <c r="AO741" s="15" t="s">
        <v>86</v>
      </c>
      <c r="AP741" s="15">
        <v>3.64</v>
      </c>
      <c r="AQ741" s="15" t="s">
        <v>711</v>
      </c>
      <c r="AR741" s="16">
        <v>48</v>
      </c>
      <c r="AS741" s="16">
        <v>22</v>
      </c>
      <c r="AT741" s="16">
        <v>30</v>
      </c>
      <c r="AU741" s="15" t="s">
        <v>664</v>
      </c>
      <c r="AV741" s="16">
        <f t="shared" si="384"/>
        <v>100</v>
      </c>
      <c r="AW741" s="20">
        <v>0.9</v>
      </c>
      <c r="AX741" s="8">
        <f t="shared" si="392"/>
        <v>9.0000000000000011E-3</v>
      </c>
      <c r="AY741" s="8" t="s">
        <v>87</v>
      </c>
      <c r="AZ741" s="16">
        <v>20</v>
      </c>
      <c r="BA741" s="16" t="s">
        <v>55</v>
      </c>
      <c r="BB741" s="16" t="s">
        <v>391</v>
      </c>
      <c r="BC741" s="16" t="s">
        <v>55</v>
      </c>
      <c r="BD741" s="20">
        <v>0.32</v>
      </c>
      <c r="BE741" s="15">
        <f t="shared" si="381"/>
        <v>35.55555555555555</v>
      </c>
      <c r="BF741" s="15">
        <f t="shared" si="374"/>
        <v>1.5509074688805811</v>
      </c>
      <c r="BG741" s="8">
        <f t="shared" si="387"/>
        <v>-0.49485002168009401</v>
      </c>
      <c r="BH741" s="13" t="s">
        <v>841</v>
      </c>
      <c r="BI741" s="13"/>
      <c r="BJ741" s="13"/>
      <c r="BK741" s="13"/>
      <c r="BL741" s="13"/>
      <c r="BM741" s="17"/>
      <c r="BN741" s="17"/>
      <c r="BO741" s="2"/>
    </row>
    <row r="742" spans="1:67" s="14" customFormat="1" x14ac:dyDescent="0.3">
      <c r="A742" s="20">
        <v>740</v>
      </c>
      <c r="B742" s="2" t="s">
        <v>219</v>
      </c>
      <c r="C742" s="2">
        <v>2020</v>
      </c>
      <c r="D742" s="2" t="s">
        <v>205</v>
      </c>
      <c r="E742" s="10" t="s">
        <v>802</v>
      </c>
      <c r="F742" s="20" t="s">
        <v>29</v>
      </c>
      <c r="G742" s="2">
        <v>7</v>
      </c>
      <c r="H742" s="2" t="str">
        <f>'PFAS Properties'!$B$44</f>
        <v>PFHxS</v>
      </c>
      <c r="I742" s="2" t="str">
        <f>'PFAS Properties'!$C$44</f>
        <v>PFSA</v>
      </c>
      <c r="J742" s="2" t="str">
        <f>'PFAS Properties'!$D$44</f>
        <v>C6F13O3SH</v>
      </c>
      <c r="K742" s="25">
        <f>'PFAS Properties'!$P$44</f>
        <v>399.94379999999995</v>
      </c>
      <c r="L742" s="2">
        <f>'PFAS Properties'!$X$44</f>
        <v>0.1</v>
      </c>
      <c r="M742" s="2" t="str">
        <f>'PFAS Properties'!$Y$44</f>
        <v>-</v>
      </c>
      <c r="N742" s="33">
        <v>0</v>
      </c>
      <c r="O742" s="33">
        <v>0</v>
      </c>
      <c r="P742" s="33">
        <v>0</v>
      </c>
      <c r="Q742" s="33">
        <f t="shared" si="385"/>
        <v>0.99999949881301753</v>
      </c>
      <c r="R742" s="33">
        <v>0</v>
      </c>
      <c r="S742" s="33">
        <f t="shared" si="386"/>
        <v>5.0118698243875318E-7</v>
      </c>
      <c r="T742" s="8">
        <f t="shared" si="368"/>
        <v>1</v>
      </c>
      <c r="U742" s="33">
        <f t="shared" si="369"/>
        <v>0</v>
      </c>
      <c r="V742" s="33">
        <f t="shared" si="370"/>
        <v>-0.99999949881301753</v>
      </c>
      <c r="W742" s="33">
        <f t="shared" si="371"/>
        <v>398.9438005011869</v>
      </c>
      <c r="X742" s="33">
        <v>96485</v>
      </c>
      <c r="Y742" s="16">
        <f t="shared" si="372"/>
        <v>-241.85098633381807</v>
      </c>
      <c r="Z742" s="16">
        <v>6</v>
      </c>
      <c r="AA742" s="16">
        <v>13</v>
      </c>
      <c r="AB742" s="8">
        <f t="shared" si="373"/>
        <v>0.291497975708502</v>
      </c>
      <c r="AC742" s="16">
        <f t="shared" si="383"/>
        <v>61.758677094131734</v>
      </c>
      <c r="AD742" s="20">
        <f>'PFAS Properties'!$W$44</f>
        <v>6</v>
      </c>
      <c r="AE742" s="8">
        <f>'PFAS Properties'!$S$44</f>
        <v>3.7905666251460763</v>
      </c>
      <c r="AF742" s="15">
        <f>'PFAS Properties'!$V$44</f>
        <v>3.6</v>
      </c>
      <c r="AG742" s="24">
        <v>6.4</v>
      </c>
      <c r="AH742" s="2" t="s">
        <v>85</v>
      </c>
      <c r="AI742" s="2">
        <v>2.2599999999999998</v>
      </c>
      <c r="AJ742" s="15">
        <f t="shared" si="388"/>
        <v>40.469155698809203</v>
      </c>
      <c r="AK742" s="8">
        <f t="shared" si="389"/>
        <v>0.22599999999999998</v>
      </c>
      <c r="AL742" s="2">
        <v>2.06</v>
      </c>
      <c r="AM742" s="15">
        <f t="shared" si="390"/>
        <v>76.352853965900664</v>
      </c>
      <c r="AN742" s="8">
        <f t="shared" si="391"/>
        <v>0.20600000000000002</v>
      </c>
      <c r="AO742" s="15" t="s">
        <v>86</v>
      </c>
      <c r="AP742" s="15">
        <v>5.83</v>
      </c>
      <c r="AQ742" s="15" t="s">
        <v>711</v>
      </c>
      <c r="AR742" s="16">
        <v>66</v>
      </c>
      <c r="AS742" s="16">
        <v>12</v>
      </c>
      <c r="AT742" s="16">
        <v>22</v>
      </c>
      <c r="AU742" s="15" t="s">
        <v>664</v>
      </c>
      <c r="AV742" s="16">
        <f t="shared" si="384"/>
        <v>100</v>
      </c>
      <c r="AW742" s="20">
        <v>0.9</v>
      </c>
      <c r="AX742" s="8">
        <f t="shared" si="392"/>
        <v>9.0000000000000011E-3</v>
      </c>
      <c r="AY742" s="8" t="s">
        <v>87</v>
      </c>
      <c r="AZ742" s="16">
        <v>20</v>
      </c>
      <c r="BA742" s="16" t="s">
        <v>55</v>
      </c>
      <c r="BB742" s="16" t="s">
        <v>391</v>
      </c>
      <c r="BC742" s="16" t="s">
        <v>55</v>
      </c>
      <c r="BD742" s="20">
        <v>0.28000000000000003</v>
      </c>
      <c r="BE742" s="15">
        <f t="shared" si="381"/>
        <v>31.111111111111111</v>
      </c>
      <c r="BF742" s="15">
        <f t="shared" si="374"/>
        <v>1.4929155219028944</v>
      </c>
      <c r="BG742" s="8">
        <f t="shared" si="387"/>
        <v>-0.55284196865778079</v>
      </c>
      <c r="BH742" s="13" t="s">
        <v>841</v>
      </c>
      <c r="BI742" s="13"/>
      <c r="BJ742" s="13"/>
      <c r="BK742" s="13"/>
      <c r="BL742" s="13"/>
      <c r="BM742" s="17"/>
      <c r="BN742" s="17"/>
      <c r="BO742" s="2"/>
    </row>
    <row r="743" spans="1:67" s="14" customFormat="1" x14ac:dyDescent="0.3">
      <c r="A743" s="20">
        <v>741</v>
      </c>
      <c r="B743" s="2" t="s">
        <v>219</v>
      </c>
      <c r="C743" s="2">
        <v>2020</v>
      </c>
      <c r="D743" s="2" t="s">
        <v>205</v>
      </c>
      <c r="E743" s="10" t="s">
        <v>802</v>
      </c>
      <c r="F743" s="20" t="s">
        <v>29</v>
      </c>
      <c r="G743" s="2">
        <v>8</v>
      </c>
      <c r="H743" s="2" t="str">
        <f>'PFAS Properties'!$B$44</f>
        <v>PFHxS</v>
      </c>
      <c r="I743" s="2" t="str">
        <f>'PFAS Properties'!$C$44</f>
        <v>PFSA</v>
      </c>
      <c r="J743" s="2" t="str">
        <f>'PFAS Properties'!$D$44</f>
        <v>C6F13O3SH</v>
      </c>
      <c r="K743" s="25">
        <f>'PFAS Properties'!$P$44</f>
        <v>399.94379999999995</v>
      </c>
      <c r="L743" s="2">
        <f>'PFAS Properties'!$X$44</f>
        <v>0.1</v>
      </c>
      <c r="M743" s="2" t="str">
        <f>'PFAS Properties'!$Y$44</f>
        <v>-</v>
      </c>
      <c r="N743" s="33">
        <v>0</v>
      </c>
      <c r="O743" s="33">
        <v>0</v>
      </c>
      <c r="P743" s="33">
        <v>0</v>
      </c>
      <c r="Q743" s="33">
        <f t="shared" si="385"/>
        <v>0.99999980047380832</v>
      </c>
      <c r="R743" s="33">
        <v>0</v>
      </c>
      <c r="S743" s="33">
        <f t="shared" si="386"/>
        <v>1.9952619168617852E-7</v>
      </c>
      <c r="T743" s="8">
        <f t="shared" si="368"/>
        <v>1</v>
      </c>
      <c r="U743" s="33">
        <f t="shared" si="369"/>
        <v>0</v>
      </c>
      <c r="V743" s="33">
        <f t="shared" si="370"/>
        <v>-0.99999980047380832</v>
      </c>
      <c r="W743" s="33">
        <f t="shared" si="371"/>
        <v>398.94380019952615</v>
      </c>
      <c r="X743" s="33">
        <v>96485</v>
      </c>
      <c r="Y743" s="16">
        <f t="shared" si="372"/>
        <v>-241.85105947368973</v>
      </c>
      <c r="Z743" s="16">
        <v>6</v>
      </c>
      <c r="AA743" s="16">
        <v>13</v>
      </c>
      <c r="AB743" s="8">
        <f t="shared" si="373"/>
        <v>0.291497975708502</v>
      </c>
      <c r="AC743" s="16">
        <f t="shared" si="383"/>
        <v>61.758677094131734</v>
      </c>
      <c r="AD743" s="20">
        <f>'PFAS Properties'!$W$44</f>
        <v>6</v>
      </c>
      <c r="AE743" s="8">
        <f>'PFAS Properties'!$S$44</f>
        <v>3.7905666251460763</v>
      </c>
      <c r="AF743" s="15">
        <f>'PFAS Properties'!$V$44</f>
        <v>3.6</v>
      </c>
      <c r="AG743" s="24">
        <v>6.8</v>
      </c>
      <c r="AH743" s="2" t="s">
        <v>85</v>
      </c>
      <c r="AI743" s="2">
        <v>4.41</v>
      </c>
      <c r="AJ743" s="15">
        <f t="shared" si="388"/>
        <v>78.968573730862204</v>
      </c>
      <c r="AK743" s="8">
        <f t="shared" si="389"/>
        <v>0.441</v>
      </c>
      <c r="AL743" s="2">
        <v>1.85</v>
      </c>
      <c r="AM743" s="15">
        <f t="shared" si="390"/>
        <v>68.56931060044478</v>
      </c>
      <c r="AN743" s="8">
        <f t="shared" si="391"/>
        <v>0.185</v>
      </c>
      <c r="AO743" s="15" t="s">
        <v>86</v>
      </c>
      <c r="AP743" s="15">
        <v>10.86</v>
      </c>
      <c r="AQ743" s="15" t="s">
        <v>711</v>
      </c>
      <c r="AR743" s="16">
        <v>54</v>
      </c>
      <c r="AS743" s="16">
        <v>21</v>
      </c>
      <c r="AT743" s="16">
        <v>25</v>
      </c>
      <c r="AU743" s="15" t="s">
        <v>664</v>
      </c>
      <c r="AV743" s="16">
        <f t="shared" si="384"/>
        <v>100</v>
      </c>
      <c r="AW743" s="20">
        <v>1.1000000000000001</v>
      </c>
      <c r="AX743" s="8">
        <f t="shared" si="392"/>
        <v>1.1000000000000001E-2</v>
      </c>
      <c r="AY743" s="8" t="s">
        <v>87</v>
      </c>
      <c r="AZ743" s="16">
        <v>20</v>
      </c>
      <c r="BA743" s="16" t="s">
        <v>55</v>
      </c>
      <c r="BB743" s="16" t="s">
        <v>391</v>
      </c>
      <c r="BC743" s="16" t="s">
        <v>55</v>
      </c>
      <c r="BD743" s="20">
        <v>2.71</v>
      </c>
      <c r="BE743" s="15">
        <f t="shared" si="381"/>
        <v>246.36363636363635</v>
      </c>
      <c r="BF743" s="15">
        <f t="shared" si="374"/>
        <v>2.3915766057161805</v>
      </c>
      <c r="BG743" s="8">
        <f t="shared" si="387"/>
        <v>0.43296929087440572</v>
      </c>
      <c r="BH743" s="13" t="s">
        <v>841</v>
      </c>
      <c r="BI743" s="13"/>
      <c r="BJ743" s="13"/>
      <c r="BK743" s="13"/>
      <c r="BL743" s="13"/>
      <c r="BM743" s="17"/>
      <c r="BN743" s="17"/>
      <c r="BO743" s="2"/>
    </row>
    <row r="744" spans="1:67" s="14" customFormat="1" x14ac:dyDescent="0.3">
      <c r="A744" s="20">
        <v>742</v>
      </c>
      <c r="B744" s="2" t="s">
        <v>219</v>
      </c>
      <c r="C744" s="2">
        <v>2020</v>
      </c>
      <c r="D744" s="2" t="s">
        <v>205</v>
      </c>
      <c r="E744" s="10" t="s">
        <v>802</v>
      </c>
      <c r="F744" s="20" t="s">
        <v>29</v>
      </c>
      <c r="G744" s="2">
        <v>9</v>
      </c>
      <c r="H744" s="2" t="str">
        <f>'PFAS Properties'!$B$44</f>
        <v>PFHxS</v>
      </c>
      <c r="I744" s="2" t="str">
        <f>'PFAS Properties'!$C$44</f>
        <v>PFSA</v>
      </c>
      <c r="J744" s="2" t="str">
        <f>'PFAS Properties'!$D$44</f>
        <v>C6F13O3SH</v>
      </c>
      <c r="K744" s="25">
        <f>'PFAS Properties'!$P$44</f>
        <v>399.94379999999995</v>
      </c>
      <c r="L744" s="2">
        <f>'PFAS Properties'!$X$44</f>
        <v>0.1</v>
      </c>
      <c r="M744" s="2" t="str">
        <f>'PFAS Properties'!$Y$44</f>
        <v>-</v>
      </c>
      <c r="N744" s="33">
        <v>0</v>
      </c>
      <c r="O744" s="33">
        <v>0</v>
      </c>
      <c r="P744" s="33">
        <v>0</v>
      </c>
      <c r="Q744" s="33">
        <f t="shared" si="385"/>
        <v>0.99999990000001004</v>
      </c>
      <c r="R744" s="33">
        <v>0</v>
      </c>
      <c r="S744" s="33">
        <f t="shared" si="386"/>
        <v>9.9999990000001005E-8</v>
      </c>
      <c r="T744" s="8">
        <f t="shared" si="368"/>
        <v>1</v>
      </c>
      <c r="U744" s="33">
        <f t="shared" si="369"/>
        <v>0</v>
      </c>
      <c r="V744" s="33">
        <f t="shared" si="370"/>
        <v>-0.99999990000001004</v>
      </c>
      <c r="W744" s="33">
        <f t="shared" si="371"/>
        <v>398.94380009999992</v>
      </c>
      <c r="X744" s="33">
        <v>96485</v>
      </c>
      <c r="Y744" s="16">
        <f t="shared" si="372"/>
        <v>-241.85108360454748</v>
      </c>
      <c r="Z744" s="16">
        <v>6</v>
      </c>
      <c r="AA744" s="16">
        <v>13</v>
      </c>
      <c r="AB744" s="8">
        <f t="shared" si="373"/>
        <v>0.291497975708502</v>
      </c>
      <c r="AC744" s="16">
        <f t="shared" si="383"/>
        <v>61.758677094131734</v>
      </c>
      <c r="AD744" s="20">
        <f>'PFAS Properties'!$W$44</f>
        <v>6</v>
      </c>
      <c r="AE744" s="8">
        <f>'PFAS Properties'!$S$44</f>
        <v>3.7905666251460763</v>
      </c>
      <c r="AF744" s="15">
        <f>'PFAS Properties'!$V$44</f>
        <v>3.6</v>
      </c>
      <c r="AG744" s="24">
        <v>7.1</v>
      </c>
      <c r="AH744" s="2" t="s">
        <v>85</v>
      </c>
      <c r="AI744" s="2">
        <v>3.37</v>
      </c>
      <c r="AJ744" s="15">
        <f t="shared" si="388"/>
        <v>60.345599426985409</v>
      </c>
      <c r="AK744" s="8">
        <f t="shared" si="389"/>
        <v>0.33700000000000002</v>
      </c>
      <c r="AL744" s="2">
        <v>1.47</v>
      </c>
      <c r="AM744" s="15">
        <f t="shared" si="390"/>
        <v>54.484803558191253</v>
      </c>
      <c r="AN744" s="8">
        <f t="shared" si="391"/>
        <v>0.14699999999999999</v>
      </c>
      <c r="AO744" s="15" t="s">
        <v>86</v>
      </c>
      <c r="AP744" s="15">
        <v>15.69</v>
      </c>
      <c r="AQ744" s="15" t="s">
        <v>711</v>
      </c>
      <c r="AR744" s="16">
        <v>60</v>
      </c>
      <c r="AS744" s="16">
        <v>16</v>
      </c>
      <c r="AT744" s="16">
        <v>24</v>
      </c>
      <c r="AU744" s="15" t="s">
        <v>664</v>
      </c>
      <c r="AV744" s="16">
        <f t="shared" si="384"/>
        <v>100</v>
      </c>
      <c r="AW744" s="20">
        <v>1.6</v>
      </c>
      <c r="AX744" s="8">
        <f t="shared" si="392"/>
        <v>1.6E-2</v>
      </c>
      <c r="AY744" s="8" t="s">
        <v>87</v>
      </c>
      <c r="AZ744" s="16">
        <v>20</v>
      </c>
      <c r="BA744" s="16" t="s">
        <v>55</v>
      </c>
      <c r="BB744" s="16" t="s">
        <v>391</v>
      </c>
      <c r="BC744" s="16" t="s">
        <v>55</v>
      </c>
      <c r="BD744" s="20">
        <v>0.63</v>
      </c>
      <c r="BE744" s="15">
        <f t="shared" si="381"/>
        <v>39.375</v>
      </c>
      <c r="BF744" s="15">
        <f t="shared" si="374"/>
        <v>1.5952205667976569</v>
      </c>
      <c r="BG744" s="8">
        <f t="shared" si="387"/>
        <v>-0.20065945054641829</v>
      </c>
      <c r="BH744" s="13" t="s">
        <v>841</v>
      </c>
      <c r="BI744" s="13"/>
      <c r="BJ744" s="13"/>
      <c r="BK744" s="13"/>
      <c r="BL744" s="13"/>
      <c r="BM744" s="17"/>
      <c r="BN744" s="17"/>
      <c r="BO744" s="2"/>
    </row>
    <row r="745" spans="1:67" s="14" customFormat="1" x14ac:dyDescent="0.3">
      <c r="A745" s="20">
        <v>743</v>
      </c>
      <c r="B745" s="2" t="s">
        <v>219</v>
      </c>
      <c r="C745" s="2">
        <v>2020</v>
      </c>
      <c r="D745" s="2" t="s">
        <v>205</v>
      </c>
      <c r="E745" s="10" t="s">
        <v>802</v>
      </c>
      <c r="F745" s="20" t="s">
        <v>29</v>
      </c>
      <c r="G745" s="2">
        <v>11</v>
      </c>
      <c r="H745" s="2" t="str">
        <f>'PFAS Properties'!$B$44</f>
        <v>PFHxS</v>
      </c>
      <c r="I745" s="2" t="str">
        <f>'PFAS Properties'!$C$44</f>
        <v>PFSA</v>
      </c>
      <c r="J745" s="2" t="str">
        <f>'PFAS Properties'!$D$44</f>
        <v>C6F13O3SH</v>
      </c>
      <c r="K745" s="25">
        <f>'PFAS Properties'!$P$44</f>
        <v>399.94379999999995</v>
      </c>
      <c r="L745" s="2">
        <f>'PFAS Properties'!$X$44</f>
        <v>0.1</v>
      </c>
      <c r="M745" s="2" t="str">
        <f>'PFAS Properties'!$Y$44</f>
        <v>-</v>
      </c>
      <c r="N745" s="33">
        <v>0</v>
      </c>
      <c r="O745" s="33">
        <v>0</v>
      </c>
      <c r="P745" s="33">
        <v>0</v>
      </c>
      <c r="Q745" s="33">
        <f t="shared" si="385"/>
        <v>0.99999498815278243</v>
      </c>
      <c r="R745" s="33">
        <v>0</v>
      </c>
      <c r="S745" s="33">
        <f t="shared" si="386"/>
        <v>5.011847217534286E-6</v>
      </c>
      <c r="T745" s="8">
        <f t="shared" si="368"/>
        <v>1</v>
      </c>
      <c r="U745" s="33">
        <f t="shared" si="369"/>
        <v>0</v>
      </c>
      <c r="V745" s="33">
        <f t="shared" si="370"/>
        <v>-0.99999498815278243</v>
      </c>
      <c r="W745" s="33">
        <f t="shared" si="371"/>
        <v>398.94380501184713</v>
      </c>
      <c r="X745" s="33">
        <v>96485</v>
      </c>
      <c r="Y745" s="16">
        <f t="shared" si="372"/>
        <v>-241.8498926911673</v>
      </c>
      <c r="Z745" s="16">
        <v>6</v>
      </c>
      <c r="AA745" s="16">
        <v>13</v>
      </c>
      <c r="AB745" s="8">
        <f t="shared" si="373"/>
        <v>0.291497975708502</v>
      </c>
      <c r="AC745" s="16">
        <f t="shared" si="383"/>
        <v>61.758677094131734</v>
      </c>
      <c r="AD745" s="20">
        <f>'PFAS Properties'!$W$44</f>
        <v>6</v>
      </c>
      <c r="AE745" s="8">
        <f>'PFAS Properties'!$S$44</f>
        <v>3.7905666251460763</v>
      </c>
      <c r="AF745" s="15">
        <f>'PFAS Properties'!$V$44</f>
        <v>3.6</v>
      </c>
      <c r="AG745" s="24">
        <v>5.4</v>
      </c>
      <c r="AH745" s="2" t="s">
        <v>85</v>
      </c>
      <c r="AI745" s="2">
        <v>2.72</v>
      </c>
      <c r="AJ745" s="15">
        <f t="shared" si="388"/>
        <v>48.706240487062409</v>
      </c>
      <c r="AK745" s="8">
        <f t="shared" si="389"/>
        <v>0.27200000000000002</v>
      </c>
      <c r="AL745" s="2">
        <v>2.65</v>
      </c>
      <c r="AM745" s="15">
        <f t="shared" si="390"/>
        <v>98.220904373610082</v>
      </c>
      <c r="AN745" s="8">
        <f t="shared" si="391"/>
        <v>0.26500000000000001</v>
      </c>
      <c r="AO745" s="15" t="s">
        <v>86</v>
      </c>
      <c r="AP745" s="15">
        <v>7.61</v>
      </c>
      <c r="AQ745" s="15" t="s">
        <v>711</v>
      </c>
      <c r="AR745" s="16">
        <v>34</v>
      </c>
      <c r="AS745" s="16">
        <v>22</v>
      </c>
      <c r="AT745" s="16">
        <v>44</v>
      </c>
      <c r="AU745" s="15" t="s">
        <v>664</v>
      </c>
      <c r="AV745" s="16">
        <f t="shared" si="384"/>
        <v>100</v>
      </c>
      <c r="AW745" s="20">
        <v>1.7</v>
      </c>
      <c r="AX745" s="8">
        <f t="shared" si="392"/>
        <v>1.7000000000000001E-2</v>
      </c>
      <c r="AY745" s="8" t="s">
        <v>87</v>
      </c>
      <c r="AZ745" s="16">
        <v>20</v>
      </c>
      <c r="BA745" s="16" t="s">
        <v>55</v>
      </c>
      <c r="BB745" s="16" t="s">
        <v>391</v>
      </c>
      <c r="BC745" s="16" t="s">
        <v>55</v>
      </c>
      <c r="BD745" s="20">
        <v>0.13</v>
      </c>
      <c r="BE745" s="15">
        <f t="shared" si="381"/>
        <v>7.6470588235294112</v>
      </c>
      <c r="BF745" s="15">
        <f t="shared" si="374"/>
        <v>0.88349443092856283</v>
      </c>
      <c r="BG745" s="8">
        <f t="shared" si="387"/>
        <v>-0.88605664769316317</v>
      </c>
      <c r="BH745" s="13" t="s">
        <v>841</v>
      </c>
      <c r="BI745" s="13"/>
      <c r="BJ745" s="13"/>
      <c r="BK745" s="13"/>
      <c r="BL745" s="13"/>
      <c r="BM745" s="17"/>
      <c r="BN745" s="17"/>
      <c r="BO745" s="2"/>
    </row>
    <row r="746" spans="1:67" s="14" customFormat="1" x14ac:dyDescent="0.3">
      <c r="A746" s="20">
        <v>744</v>
      </c>
      <c r="B746" s="2" t="s">
        <v>219</v>
      </c>
      <c r="C746" s="2">
        <v>2020</v>
      </c>
      <c r="D746" s="2" t="s">
        <v>205</v>
      </c>
      <c r="E746" s="10" t="s">
        <v>802</v>
      </c>
      <c r="F746" s="20" t="s">
        <v>29</v>
      </c>
      <c r="G746" s="2">
        <v>13</v>
      </c>
      <c r="H746" s="2" t="str">
        <f>'PFAS Properties'!$B$44</f>
        <v>PFHxS</v>
      </c>
      <c r="I746" s="2" t="str">
        <f>'PFAS Properties'!$C$44</f>
        <v>PFSA</v>
      </c>
      <c r="J746" s="2" t="str">
        <f>'PFAS Properties'!$D$44</f>
        <v>C6F13O3SH</v>
      </c>
      <c r="K746" s="25">
        <f>'PFAS Properties'!$P$44</f>
        <v>399.94379999999995</v>
      </c>
      <c r="L746" s="2">
        <f>'PFAS Properties'!$X$44</f>
        <v>0.1</v>
      </c>
      <c r="M746" s="2" t="str">
        <f>'PFAS Properties'!$Y$44</f>
        <v>-</v>
      </c>
      <c r="N746" s="33">
        <v>0</v>
      </c>
      <c r="O746" s="33">
        <v>0</v>
      </c>
      <c r="P746" s="33">
        <v>0</v>
      </c>
      <c r="Q746" s="33">
        <f t="shared" si="385"/>
        <v>0.9999992056723962</v>
      </c>
      <c r="R746" s="33">
        <v>0</v>
      </c>
      <c r="S746" s="33">
        <f t="shared" si="386"/>
        <v>7.9432760376743655E-7</v>
      </c>
      <c r="T746" s="8">
        <f t="shared" si="368"/>
        <v>1</v>
      </c>
      <c r="U746" s="33">
        <f t="shared" si="369"/>
        <v>0</v>
      </c>
      <c r="V746" s="33">
        <f t="shared" si="370"/>
        <v>-0.9999992056723962</v>
      </c>
      <c r="W746" s="33">
        <f t="shared" si="371"/>
        <v>398.94380079432756</v>
      </c>
      <c r="X746" s="33">
        <v>96485</v>
      </c>
      <c r="Y746" s="16">
        <f t="shared" si="372"/>
        <v>-241.85091525972405</v>
      </c>
      <c r="Z746" s="16">
        <v>6</v>
      </c>
      <c r="AA746" s="16">
        <v>13</v>
      </c>
      <c r="AB746" s="8">
        <f t="shared" si="373"/>
        <v>0.291497975708502</v>
      </c>
      <c r="AC746" s="16">
        <f t="shared" si="383"/>
        <v>61.758677094131734</v>
      </c>
      <c r="AD746" s="20">
        <f>'PFAS Properties'!$W$44</f>
        <v>6</v>
      </c>
      <c r="AE746" s="8">
        <f>'PFAS Properties'!$S$44</f>
        <v>3.7905666251460763</v>
      </c>
      <c r="AF746" s="15">
        <f>'PFAS Properties'!$V$44</f>
        <v>3.6</v>
      </c>
      <c r="AG746" s="24">
        <v>6.2</v>
      </c>
      <c r="AH746" s="2" t="s">
        <v>85</v>
      </c>
      <c r="AI746" s="2">
        <v>2.71</v>
      </c>
      <c r="AJ746" s="15">
        <f t="shared" si="388"/>
        <v>48.527173426448208</v>
      </c>
      <c r="AK746" s="8">
        <f t="shared" si="389"/>
        <v>0.27100000000000002</v>
      </c>
      <c r="AL746" s="2">
        <v>1.63</v>
      </c>
      <c r="AM746" s="15">
        <f t="shared" si="390"/>
        <v>60.415122312824316</v>
      </c>
      <c r="AN746" s="8">
        <f t="shared" si="391"/>
        <v>0.16299999999999998</v>
      </c>
      <c r="AO746" s="15" t="s">
        <v>86</v>
      </c>
      <c r="AP746" s="15">
        <v>5.24</v>
      </c>
      <c r="AQ746" s="15" t="s">
        <v>711</v>
      </c>
      <c r="AR746" s="16">
        <v>55</v>
      </c>
      <c r="AS746" s="16">
        <v>13</v>
      </c>
      <c r="AT746" s="16">
        <v>32</v>
      </c>
      <c r="AU746" s="15" t="s">
        <v>664</v>
      </c>
      <c r="AV746" s="16">
        <f t="shared" ref="AV746:AV762" si="393">SUM(AR746:AT746)</f>
        <v>100</v>
      </c>
      <c r="AW746" s="20">
        <v>1.6</v>
      </c>
      <c r="AX746" s="8">
        <f t="shared" si="392"/>
        <v>1.6E-2</v>
      </c>
      <c r="AY746" s="8" t="s">
        <v>87</v>
      </c>
      <c r="AZ746" s="16">
        <v>20</v>
      </c>
      <c r="BA746" s="16" t="s">
        <v>55</v>
      </c>
      <c r="BB746" s="16" t="s">
        <v>391</v>
      </c>
      <c r="BC746" s="16" t="s">
        <v>55</v>
      </c>
      <c r="BD746" s="20">
        <v>0.2</v>
      </c>
      <c r="BE746" s="15">
        <f t="shared" si="381"/>
        <v>12.5</v>
      </c>
      <c r="BF746" s="15">
        <f t="shared" si="374"/>
        <v>1.0969100130080565</v>
      </c>
      <c r="BG746" s="8">
        <f t="shared" si="387"/>
        <v>-0.69897000433601875</v>
      </c>
      <c r="BH746" s="13" t="s">
        <v>841</v>
      </c>
      <c r="BI746" s="13"/>
      <c r="BJ746" s="13"/>
      <c r="BK746" s="13"/>
      <c r="BL746" s="13"/>
      <c r="BM746" s="17"/>
      <c r="BN746" s="17"/>
      <c r="BO746" s="2"/>
    </row>
    <row r="747" spans="1:67" s="14" customFormat="1" x14ac:dyDescent="0.3">
      <c r="A747" s="20">
        <v>745</v>
      </c>
      <c r="B747" s="2" t="s">
        <v>219</v>
      </c>
      <c r="C747" s="2">
        <v>2020</v>
      </c>
      <c r="D747" s="2" t="s">
        <v>205</v>
      </c>
      <c r="E747" s="10" t="s">
        <v>802</v>
      </c>
      <c r="F747" s="20" t="s">
        <v>29</v>
      </c>
      <c r="G747" s="2">
        <v>14</v>
      </c>
      <c r="H747" s="2" t="str">
        <f>'PFAS Properties'!$B$44</f>
        <v>PFHxS</v>
      </c>
      <c r="I747" s="2" t="str">
        <f>'PFAS Properties'!$C$44</f>
        <v>PFSA</v>
      </c>
      <c r="J747" s="2" t="str">
        <f>'PFAS Properties'!$D$44</f>
        <v>C6F13O3SH</v>
      </c>
      <c r="K747" s="25">
        <f>'PFAS Properties'!$P$44</f>
        <v>399.94379999999995</v>
      </c>
      <c r="L747" s="2">
        <f>'PFAS Properties'!$X$44</f>
        <v>0.1</v>
      </c>
      <c r="M747" s="2" t="str">
        <f>'PFAS Properties'!$Y$44</f>
        <v>-</v>
      </c>
      <c r="N747" s="33">
        <v>0</v>
      </c>
      <c r="O747" s="33">
        <v>0</v>
      </c>
      <c r="P747" s="33">
        <v>0</v>
      </c>
      <c r="Q747" s="33">
        <f t="shared" si="385"/>
        <v>0.99999987410747471</v>
      </c>
      <c r="R747" s="33">
        <v>0</v>
      </c>
      <c r="S747" s="33">
        <f t="shared" si="386"/>
        <v>1.2589252533048661E-7</v>
      </c>
      <c r="T747" s="8">
        <f t="shared" si="368"/>
        <v>1</v>
      </c>
      <c r="U747" s="33">
        <f t="shared" si="369"/>
        <v>0</v>
      </c>
      <c r="V747" s="33">
        <f t="shared" si="370"/>
        <v>-0.99999987410747471</v>
      </c>
      <c r="W747" s="33">
        <f t="shared" si="371"/>
        <v>398.94380012589249</v>
      </c>
      <c r="X747" s="33">
        <v>96485</v>
      </c>
      <c r="Y747" s="16">
        <f t="shared" si="372"/>
        <v>-241.85107732671233</v>
      </c>
      <c r="Z747" s="16">
        <v>6</v>
      </c>
      <c r="AA747" s="16">
        <v>13</v>
      </c>
      <c r="AB747" s="8">
        <f t="shared" si="373"/>
        <v>0.291497975708502</v>
      </c>
      <c r="AC747" s="16">
        <f t="shared" si="383"/>
        <v>61.758677094131734</v>
      </c>
      <c r="AD747" s="20">
        <f>'PFAS Properties'!$W$44</f>
        <v>6</v>
      </c>
      <c r="AE747" s="8">
        <f>'PFAS Properties'!$S$44</f>
        <v>3.7905666251460763</v>
      </c>
      <c r="AF747" s="15">
        <f>'PFAS Properties'!$V$44</f>
        <v>3.6</v>
      </c>
      <c r="AG747" s="24">
        <v>7</v>
      </c>
      <c r="AH747" s="2" t="s">
        <v>85</v>
      </c>
      <c r="AI747" s="2">
        <v>3.22</v>
      </c>
      <c r="AJ747" s="15">
        <f t="shared" si="388"/>
        <v>57.659593517772407</v>
      </c>
      <c r="AK747" s="8">
        <f t="shared" si="389"/>
        <v>0.32200000000000001</v>
      </c>
      <c r="AL747" s="2">
        <v>1.79</v>
      </c>
      <c r="AM747" s="15">
        <f t="shared" si="390"/>
        <v>66.345441067457372</v>
      </c>
      <c r="AN747" s="8">
        <f t="shared" si="391"/>
        <v>0.17899999999999999</v>
      </c>
      <c r="AO747" s="15" t="s">
        <v>86</v>
      </c>
      <c r="AP747" s="15">
        <v>17.75</v>
      </c>
      <c r="AQ747" s="15" t="s">
        <v>711</v>
      </c>
      <c r="AR747" s="16">
        <v>36</v>
      </c>
      <c r="AS747" s="16">
        <v>8</v>
      </c>
      <c r="AT747" s="16">
        <v>56</v>
      </c>
      <c r="AU747" s="15" t="s">
        <v>664</v>
      </c>
      <c r="AV747" s="16">
        <f t="shared" si="393"/>
        <v>100</v>
      </c>
      <c r="AW747" s="20">
        <v>1.2</v>
      </c>
      <c r="AX747" s="8">
        <f t="shared" si="392"/>
        <v>1.2E-2</v>
      </c>
      <c r="AY747" s="8" t="s">
        <v>87</v>
      </c>
      <c r="AZ747" s="16">
        <v>20</v>
      </c>
      <c r="BA747" s="16" t="s">
        <v>55</v>
      </c>
      <c r="BB747" s="16" t="s">
        <v>391</v>
      </c>
      <c r="BC747" s="16" t="s">
        <v>55</v>
      </c>
      <c r="BD747" s="20">
        <v>1.47</v>
      </c>
      <c r="BE747" s="15">
        <f t="shared" si="381"/>
        <v>122.5</v>
      </c>
      <c r="BF747" s="15">
        <f t="shared" si="374"/>
        <v>2.0881360887005513</v>
      </c>
      <c r="BG747" s="8">
        <f t="shared" si="387"/>
        <v>0.16731733474817609</v>
      </c>
      <c r="BH747" s="13" t="s">
        <v>841</v>
      </c>
      <c r="BI747" s="13"/>
      <c r="BJ747" s="13"/>
      <c r="BK747" s="13"/>
      <c r="BL747" s="13"/>
      <c r="BM747" s="17"/>
      <c r="BN747" s="17"/>
      <c r="BO747" s="2"/>
    </row>
    <row r="748" spans="1:67" s="14" customFormat="1" x14ac:dyDescent="0.3">
      <c r="A748" s="20">
        <v>746</v>
      </c>
      <c r="B748" s="2" t="s">
        <v>219</v>
      </c>
      <c r="C748" s="2">
        <v>2020</v>
      </c>
      <c r="D748" s="2" t="s">
        <v>205</v>
      </c>
      <c r="E748" s="34" t="s">
        <v>802</v>
      </c>
      <c r="F748" s="20" t="s">
        <v>29</v>
      </c>
      <c r="G748" s="2">
        <v>15</v>
      </c>
      <c r="H748" s="2" t="str">
        <f>'PFAS Properties'!$B$44</f>
        <v>PFHxS</v>
      </c>
      <c r="I748" s="2" t="str">
        <f>'PFAS Properties'!$C$44</f>
        <v>PFSA</v>
      </c>
      <c r="J748" s="2" t="str">
        <f>'PFAS Properties'!$D$44</f>
        <v>C6F13O3SH</v>
      </c>
      <c r="K748" s="25">
        <f>'PFAS Properties'!$P$44</f>
        <v>399.94379999999995</v>
      </c>
      <c r="L748" s="2">
        <f>'PFAS Properties'!$X$44</f>
        <v>0.1</v>
      </c>
      <c r="M748" s="2" t="str">
        <f>'PFAS Properties'!$Y$44</f>
        <v>-</v>
      </c>
      <c r="N748" s="33">
        <v>0</v>
      </c>
      <c r="O748" s="33">
        <v>0</v>
      </c>
      <c r="P748" s="33">
        <v>0</v>
      </c>
      <c r="Q748" s="33">
        <f t="shared" si="385"/>
        <v>0.99999992056718279</v>
      </c>
      <c r="R748" s="33">
        <v>0</v>
      </c>
      <c r="S748" s="33">
        <f t="shared" si="386"/>
        <v>7.9432817162854954E-8</v>
      </c>
      <c r="T748" s="8">
        <f t="shared" si="368"/>
        <v>1</v>
      </c>
      <c r="U748" s="33">
        <f t="shared" si="369"/>
        <v>0</v>
      </c>
      <c r="V748" s="33">
        <f t="shared" si="370"/>
        <v>-0.99999992056718279</v>
      </c>
      <c r="W748" s="33">
        <f t="shared" si="371"/>
        <v>398.94380007943272</v>
      </c>
      <c r="X748" s="33">
        <v>96485</v>
      </c>
      <c r="Y748" s="16">
        <f t="shared" si="372"/>
        <v>-241.85108859120945</v>
      </c>
      <c r="Z748" s="16">
        <v>6</v>
      </c>
      <c r="AA748" s="16">
        <v>13</v>
      </c>
      <c r="AB748" s="8">
        <f t="shared" si="373"/>
        <v>0.291497975708502</v>
      </c>
      <c r="AC748" s="16">
        <f t="shared" si="383"/>
        <v>61.758677094131734</v>
      </c>
      <c r="AD748" s="20">
        <f>'PFAS Properties'!$W$44</f>
        <v>6</v>
      </c>
      <c r="AE748" s="8">
        <f>'PFAS Properties'!$S$44</f>
        <v>3.7905666251460763</v>
      </c>
      <c r="AF748" s="15">
        <f>'PFAS Properties'!$V$44</f>
        <v>3.6</v>
      </c>
      <c r="AG748" s="24">
        <v>7.2</v>
      </c>
      <c r="AH748" s="2" t="s">
        <v>85</v>
      </c>
      <c r="AI748" s="2">
        <v>2.4300000000000002</v>
      </c>
      <c r="AJ748" s="15">
        <f t="shared" si="388"/>
        <v>43.513295729250608</v>
      </c>
      <c r="AK748" s="8">
        <f t="shared" si="389"/>
        <v>0.24300000000000002</v>
      </c>
      <c r="AL748" s="2">
        <v>2.08</v>
      </c>
      <c r="AM748" s="15">
        <f t="shared" si="390"/>
        <v>77.094143810229795</v>
      </c>
      <c r="AN748" s="8">
        <f t="shared" si="391"/>
        <v>0.20800000000000002</v>
      </c>
      <c r="AO748" s="15" t="s">
        <v>86</v>
      </c>
      <c r="AP748" s="15">
        <v>10.81</v>
      </c>
      <c r="AQ748" s="15" t="s">
        <v>711</v>
      </c>
      <c r="AR748" s="16">
        <v>67</v>
      </c>
      <c r="AS748" s="16">
        <v>4</v>
      </c>
      <c r="AT748" s="16">
        <v>29</v>
      </c>
      <c r="AU748" s="15" t="s">
        <v>664</v>
      </c>
      <c r="AV748" s="16">
        <f t="shared" si="393"/>
        <v>100</v>
      </c>
      <c r="AW748" s="20">
        <v>1.5</v>
      </c>
      <c r="AX748" s="8">
        <f t="shared" si="392"/>
        <v>1.4999999999999999E-2</v>
      </c>
      <c r="AY748" s="8" t="s">
        <v>87</v>
      </c>
      <c r="AZ748" s="16">
        <v>20</v>
      </c>
      <c r="BA748" s="16" t="s">
        <v>55</v>
      </c>
      <c r="BB748" s="16" t="s">
        <v>391</v>
      </c>
      <c r="BC748" s="16" t="s">
        <v>55</v>
      </c>
      <c r="BD748" s="20">
        <v>1.85</v>
      </c>
      <c r="BE748" s="15">
        <f t="shared" si="381"/>
        <v>123.33333333333334</v>
      </c>
      <c r="BF748" s="15">
        <f t="shared" si="374"/>
        <v>2.0910804693473324</v>
      </c>
      <c r="BG748" s="8">
        <f t="shared" si="387"/>
        <v>0.26717172840301384</v>
      </c>
      <c r="BH748" s="13" t="s">
        <v>841</v>
      </c>
      <c r="BI748" s="13"/>
      <c r="BJ748" s="13"/>
      <c r="BK748" s="13"/>
      <c r="BL748" s="13"/>
      <c r="BM748" s="17"/>
      <c r="BN748" s="17"/>
      <c r="BO748" s="2"/>
    </row>
    <row r="749" spans="1:67" s="14" customFormat="1" x14ac:dyDescent="0.3">
      <c r="A749" s="20">
        <v>747</v>
      </c>
      <c r="B749" s="2" t="s">
        <v>219</v>
      </c>
      <c r="C749" s="2">
        <v>2020</v>
      </c>
      <c r="D749" s="2" t="s">
        <v>205</v>
      </c>
      <c r="E749" s="10" t="s">
        <v>802</v>
      </c>
      <c r="F749" s="20" t="s">
        <v>29</v>
      </c>
      <c r="G749" s="2">
        <v>16</v>
      </c>
      <c r="H749" s="2" t="str">
        <f>'PFAS Properties'!$B$44</f>
        <v>PFHxS</v>
      </c>
      <c r="I749" s="2" t="str">
        <f>'PFAS Properties'!$C$44</f>
        <v>PFSA</v>
      </c>
      <c r="J749" s="2" t="str">
        <f>'PFAS Properties'!$D$44</f>
        <v>C6F13O3SH</v>
      </c>
      <c r="K749" s="25">
        <f>'PFAS Properties'!$P$44</f>
        <v>399.94379999999995</v>
      </c>
      <c r="L749" s="2">
        <f>'PFAS Properties'!$X$44</f>
        <v>0.1</v>
      </c>
      <c r="M749" s="2" t="str">
        <f>'PFAS Properties'!$Y$44</f>
        <v>-</v>
      </c>
      <c r="N749" s="33">
        <v>0</v>
      </c>
      <c r="O749" s="33">
        <v>0</v>
      </c>
      <c r="P749" s="33">
        <v>0</v>
      </c>
      <c r="Q749" s="33">
        <f t="shared" si="385"/>
        <v>0.99999990000001004</v>
      </c>
      <c r="R749" s="33">
        <v>0</v>
      </c>
      <c r="S749" s="33">
        <f t="shared" si="386"/>
        <v>9.9999990000001005E-8</v>
      </c>
      <c r="T749" s="8">
        <f t="shared" si="368"/>
        <v>1</v>
      </c>
      <c r="U749" s="33">
        <f t="shared" si="369"/>
        <v>0</v>
      </c>
      <c r="V749" s="33">
        <f t="shared" si="370"/>
        <v>-0.99999990000001004</v>
      </c>
      <c r="W749" s="33">
        <f t="shared" si="371"/>
        <v>398.94380009999992</v>
      </c>
      <c r="X749" s="33">
        <v>96485</v>
      </c>
      <c r="Y749" s="16">
        <f t="shared" si="372"/>
        <v>-241.85108360454748</v>
      </c>
      <c r="Z749" s="16">
        <v>6</v>
      </c>
      <c r="AA749" s="16">
        <v>13</v>
      </c>
      <c r="AB749" s="8">
        <f t="shared" si="373"/>
        <v>0.291497975708502</v>
      </c>
      <c r="AC749" s="16">
        <f t="shared" si="383"/>
        <v>61.758677094131734</v>
      </c>
      <c r="AD749" s="20">
        <f>'PFAS Properties'!$W$44</f>
        <v>6</v>
      </c>
      <c r="AE749" s="8">
        <f>'PFAS Properties'!$S$44</f>
        <v>3.7905666251460763</v>
      </c>
      <c r="AF749" s="15">
        <f>'PFAS Properties'!$V$44</f>
        <v>3.6</v>
      </c>
      <c r="AG749" s="24">
        <v>7.1</v>
      </c>
      <c r="AH749" s="2" t="s">
        <v>85</v>
      </c>
      <c r="AI749" s="2">
        <v>1.82</v>
      </c>
      <c r="AJ749" s="15">
        <f t="shared" si="388"/>
        <v>32.590205031784407</v>
      </c>
      <c r="AK749" s="8">
        <f t="shared" si="389"/>
        <v>0.182</v>
      </c>
      <c r="AL749" s="2">
        <v>1.61</v>
      </c>
      <c r="AM749" s="15">
        <f t="shared" si="390"/>
        <v>59.673832468495178</v>
      </c>
      <c r="AN749" s="8">
        <f t="shared" si="391"/>
        <v>0.161</v>
      </c>
      <c r="AO749" s="15" t="s">
        <v>86</v>
      </c>
      <c r="AP749" s="15">
        <v>14.74</v>
      </c>
      <c r="AQ749" s="15" t="s">
        <v>711</v>
      </c>
      <c r="AR749" s="16">
        <v>60</v>
      </c>
      <c r="AS749" s="16">
        <v>9</v>
      </c>
      <c r="AT749" s="16">
        <v>31</v>
      </c>
      <c r="AU749" s="15" t="s">
        <v>664</v>
      </c>
      <c r="AV749" s="16">
        <f t="shared" si="393"/>
        <v>100</v>
      </c>
      <c r="AW749" s="20">
        <v>1</v>
      </c>
      <c r="AX749" s="8">
        <f t="shared" si="392"/>
        <v>0.01</v>
      </c>
      <c r="AY749" s="8" t="s">
        <v>87</v>
      </c>
      <c r="AZ749" s="16">
        <v>20</v>
      </c>
      <c r="BA749" s="16" t="s">
        <v>55</v>
      </c>
      <c r="BB749" s="16" t="s">
        <v>391</v>
      </c>
      <c r="BC749" s="16" t="s">
        <v>55</v>
      </c>
      <c r="BD749" s="20">
        <v>1.7</v>
      </c>
      <c r="BE749" s="15">
        <f t="shared" si="381"/>
        <v>170</v>
      </c>
      <c r="BF749" s="15">
        <f t="shared" si="374"/>
        <v>2.2304489213782741</v>
      </c>
      <c r="BG749" s="8">
        <f t="shared" si="387"/>
        <v>0.23044892137827391</v>
      </c>
      <c r="BH749" s="13" t="s">
        <v>841</v>
      </c>
      <c r="BI749" s="13"/>
      <c r="BJ749" s="13"/>
      <c r="BK749" s="13"/>
      <c r="BL749" s="13"/>
      <c r="BM749" s="17"/>
      <c r="BN749" s="17"/>
      <c r="BO749" s="2"/>
    </row>
    <row r="750" spans="1:67" s="14" customFormat="1" x14ac:dyDescent="0.3">
      <c r="A750" s="20">
        <v>748</v>
      </c>
      <c r="B750" s="2" t="s">
        <v>219</v>
      </c>
      <c r="C750" s="2">
        <v>2020</v>
      </c>
      <c r="D750" s="2" t="s">
        <v>205</v>
      </c>
      <c r="E750" s="10" t="s">
        <v>802</v>
      </c>
      <c r="F750" s="20" t="s">
        <v>29</v>
      </c>
      <c r="G750" s="2">
        <v>17</v>
      </c>
      <c r="H750" s="2" t="str">
        <f>'PFAS Properties'!$B$44</f>
        <v>PFHxS</v>
      </c>
      <c r="I750" s="2" t="str">
        <f>'PFAS Properties'!$C$44</f>
        <v>PFSA</v>
      </c>
      <c r="J750" s="2" t="str">
        <f>'PFAS Properties'!$D$44</f>
        <v>C6F13O3SH</v>
      </c>
      <c r="K750" s="25">
        <f>'PFAS Properties'!$P$44</f>
        <v>399.94379999999995</v>
      </c>
      <c r="L750" s="2">
        <f>'PFAS Properties'!$X$44</f>
        <v>0.1</v>
      </c>
      <c r="M750" s="2" t="str">
        <f>'PFAS Properties'!$Y$44</f>
        <v>-</v>
      </c>
      <c r="N750" s="33">
        <v>0</v>
      </c>
      <c r="O750" s="33">
        <v>0</v>
      </c>
      <c r="P750" s="33">
        <v>0</v>
      </c>
      <c r="Q750" s="33">
        <f t="shared" si="385"/>
        <v>0.99998741090436938</v>
      </c>
      <c r="R750" s="33">
        <v>0</v>
      </c>
      <c r="S750" s="33">
        <f t="shared" si="386"/>
        <v>1.258909563061765E-5</v>
      </c>
      <c r="T750" s="8">
        <f t="shared" si="368"/>
        <v>1</v>
      </c>
      <c r="U750" s="33">
        <f t="shared" si="369"/>
        <v>0</v>
      </c>
      <c r="V750" s="33">
        <f t="shared" si="370"/>
        <v>-0.99998741090436938</v>
      </c>
      <c r="W750" s="33">
        <f t="shared" si="371"/>
        <v>398.94381258909556</v>
      </c>
      <c r="X750" s="33">
        <v>96485</v>
      </c>
      <c r="Y750" s="16">
        <f t="shared" si="372"/>
        <v>-241.84805553178114</v>
      </c>
      <c r="Z750" s="16">
        <v>6</v>
      </c>
      <c r="AA750" s="16">
        <v>13</v>
      </c>
      <c r="AB750" s="8">
        <f t="shared" si="373"/>
        <v>0.291497975708502</v>
      </c>
      <c r="AC750" s="16">
        <f t="shared" si="383"/>
        <v>61.758677094131734</v>
      </c>
      <c r="AD750" s="20">
        <f>'PFAS Properties'!$W$44</f>
        <v>6</v>
      </c>
      <c r="AE750" s="8">
        <f>'PFAS Properties'!$S$44</f>
        <v>3.7905666251460763</v>
      </c>
      <c r="AF750" s="15">
        <f>'PFAS Properties'!$V$44</f>
        <v>3.6</v>
      </c>
      <c r="AG750" s="24">
        <v>5</v>
      </c>
      <c r="AH750" s="2" t="s">
        <v>85</v>
      </c>
      <c r="AI750" s="2">
        <v>3.66</v>
      </c>
      <c r="AJ750" s="15">
        <f t="shared" si="388"/>
        <v>65.538544184797203</v>
      </c>
      <c r="AK750" s="8">
        <f t="shared" si="389"/>
        <v>0.36599999999999999</v>
      </c>
      <c r="AL750" s="2">
        <v>2.37</v>
      </c>
      <c r="AM750" s="15">
        <f t="shared" si="390"/>
        <v>87.842846553002218</v>
      </c>
      <c r="AN750" s="8">
        <f t="shared" si="391"/>
        <v>0.23700000000000002</v>
      </c>
      <c r="AO750" s="15" t="s">
        <v>86</v>
      </c>
      <c r="AP750" s="15">
        <v>5.42</v>
      </c>
      <c r="AQ750" s="15" t="s">
        <v>711</v>
      </c>
      <c r="AR750" s="16">
        <v>38</v>
      </c>
      <c r="AS750" s="16">
        <v>16</v>
      </c>
      <c r="AT750" s="16">
        <v>46</v>
      </c>
      <c r="AU750" s="15" t="s">
        <v>664</v>
      </c>
      <c r="AV750" s="16">
        <f t="shared" si="393"/>
        <v>100</v>
      </c>
      <c r="AW750" s="20">
        <v>1.6</v>
      </c>
      <c r="AX750" s="8">
        <f t="shared" si="392"/>
        <v>1.6E-2</v>
      </c>
      <c r="AY750" s="8" t="s">
        <v>87</v>
      </c>
      <c r="AZ750" s="16">
        <v>20</v>
      </c>
      <c r="BA750" s="16" t="s">
        <v>55</v>
      </c>
      <c r="BB750" s="16" t="s">
        <v>391</v>
      </c>
      <c r="BC750" s="16" t="s">
        <v>55</v>
      </c>
      <c r="BD750" s="20">
        <v>0.21</v>
      </c>
      <c r="BE750" s="15">
        <f t="shared" si="381"/>
        <v>13.125</v>
      </c>
      <c r="BF750" s="15">
        <f t="shared" si="374"/>
        <v>1.1180993120779945</v>
      </c>
      <c r="BG750" s="8">
        <f t="shared" si="387"/>
        <v>-0.6777807052660807</v>
      </c>
      <c r="BH750" s="13" t="s">
        <v>841</v>
      </c>
      <c r="BI750" s="13"/>
      <c r="BJ750" s="13"/>
      <c r="BK750" s="13"/>
      <c r="BL750" s="13"/>
      <c r="BM750" s="17"/>
      <c r="BN750" s="17"/>
      <c r="BO750" s="2"/>
    </row>
    <row r="751" spans="1:67" s="14" customFormat="1" x14ac:dyDescent="0.3">
      <c r="A751" s="20">
        <v>749</v>
      </c>
      <c r="B751" s="2" t="s">
        <v>219</v>
      </c>
      <c r="C751" s="2">
        <v>2020</v>
      </c>
      <c r="D751" s="2" t="s">
        <v>205</v>
      </c>
      <c r="E751" s="10" t="s">
        <v>802</v>
      </c>
      <c r="F751" s="20" t="s">
        <v>29</v>
      </c>
      <c r="G751" s="2">
        <v>18</v>
      </c>
      <c r="H751" s="2" t="str">
        <f>'PFAS Properties'!$B$44</f>
        <v>PFHxS</v>
      </c>
      <c r="I751" s="2" t="str">
        <f>'PFAS Properties'!$C$44</f>
        <v>PFSA</v>
      </c>
      <c r="J751" s="2" t="str">
        <f>'PFAS Properties'!$D$44</f>
        <v>C6F13O3SH</v>
      </c>
      <c r="K751" s="25">
        <f>'PFAS Properties'!$P$44</f>
        <v>399.94379999999995</v>
      </c>
      <c r="L751" s="2">
        <f>'PFAS Properties'!$X$44</f>
        <v>0.1</v>
      </c>
      <c r="M751" s="2" t="str">
        <f>'PFAS Properties'!$Y$44</f>
        <v>-</v>
      </c>
      <c r="N751" s="33">
        <v>0</v>
      </c>
      <c r="O751" s="33">
        <v>0</v>
      </c>
      <c r="P751" s="33">
        <v>0</v>
      </c>
      <c r="Q751" s="33">
        <f t="shared" si="385"/>
        <v>0.99998741090436938</v>
      </c>
      <c r="R751" s="33">
        <v>0</v>
      </c>
      <c r="S751" s="33">
        <f t="shared" si="386"/>
        <v>1.258909563061765E-5</v>
      </c>
      <c r="T751" s="8">
        <f t="shared" ref="T751:T814" si="394">SUM(N751:S751)</f>
        <v>1</v>
      </c>
      <c r="U751" s="33">
        <f t="shared" ref="U751:U814" si="395">((1*N751)+(1*O751)+(1*P751))</f>
        <v>0</v>
      </c>
      <c r="V751" s="33">
        <f t="shared" ref="V751:V814" si="396">-((1*O751)+(2*P751)+(1*Q751)+(2*R751))</f>
        <v>-0.99998741090436938</v>
      </c>
      <c r="W751" s="33">
        <f t="shared" ref="W751:W814" si="397">(N751*(K751+1))+(O751*K751)+(P751*(K751-1))+(Q751*(K751-1))+(R751*(K751-2))+(S751*K751)</f>
        <v>398.94381258909556</v>
      </c>
      <c r="X751" s="33">
        <v>96485</v>
      </c>
      <c r="Y751" s="16">
        <f t="shared" ref="Y751:Y814" si="398">((V751+U751)/W751)*X751</f>
        <v>-241.84805553178114</v>
      </c>
      <c r="Z751" s="16">
        <v>6</v>
      </c>
      <c r="AA751" s="16">
        <v>13</v>
      </c>
      <c r="AB751" s="8">
        <f t="shared" ref="AB751:AB814" si="399">(Z751/AA751)*(12/19)</f>
        <v>0.291497975708502</v>
      </c>
      <c r="AC751" s="16">
        <f t="shared" si="383"/>
        <v>61.758677094131734</v>
      </c>
      <c r="AD751" s="20">
        <f>'PFAS Properties'!$W$44</f>
        <v>6</v>
      </c>
      <c r="AE751" s="8">
        <f>'PFAS Properties'!$S$44</f>
        <v>3.7905666251460763</v>
      </c>
      <c r="AF751" s="15">
        <f>'PFAS Properties'!$V$44</f>
        <v>3.6</v>
      </c>
      <c r="AG751" s="24">
        <v>5</v>
      </c>
      <c r="AH751" s="2" t="s">
        <v>85</v>
      </c>
      <c r="AI751" s="2">
        <v>4.32</v>
      </c>
      <c r="AJ751" s="15">
        <f t="shared" si="388"/>
        <v>77.356970185334404</v>
      </c>
      <c r="AK751" s="8">
        <f t="shared" si="389"/>
        <v>0.43200000000000005</v>
      </c>
      <c r="AL751" s="2">
        <v>19.399999999999999</v>
      </c>
      <c r="AM751" s="15">
        <f t="shared" si="390"/>
        <v>719.05114899925866</v>
      </c>
      <c r="AN751" s="8">
        <f t="shared" si="391"/>
        <v>1.94</v>
      </c>
      <c r="AO751" s="15" t="s">
        <v>86</v>
      </c>
      <c r="AP751" s="15">
        <v>17.3</v>
      </c>
      <c r="AQ751" s="15" t="s">
        <v>711</v>
      </c>
      <c r="AR751" s="16">
        <v>49</v>
      </c>
      <c r="AS751" s="16">
        <v>38</v>
      </c>
      <c r="AT751" s="16">
        <v>13</v>
      </c>
      <c r="AU751" s="15" t="s">
        <v>664</v>
      </c>
      <c r="AV751" s="16">
        <f t="shared" si="393"/>
        <v>100</v>
      </c>
      <c r="AW751" s="20">
        <v>4.8</v>
      </c>
      <c r="AX751" s="8">
        <f t="shared" si="392"/>
        <v>4.8000000000000001E-2</v>
      </c>
      <c r="AY751" s="8" t="s">
        <v>87</v>
      </c>
      <c r="AZ751" s="16">
        <v>20</v>
      </c>
      <c r="BA751" s="16" t="s">
        <v>55</v>
      </c>
      <c r="BB751" s="16" t="s">
        <v>391</v>
      </c>
      <c r="BC751" s="16" t="s">
        <v>55</v>
      </c>
      <c r="BD751" s="20">
        <v>1.96</v>
      </c>
      <c r="BE751" s="15">
        <f t="shared" si="381"/>
        <v>40.833333333333329</v>
      </c>
      <c r="BF751" s="15">
        <f t="shared" ref="BF751:BF814" si="400">LOG(BE751)</f>
        <v>1.6110148339808887</v>
      </c>
      <c r="BG751" s="8">
        <f t="shared" si="387"/>
        <v>0.29225607135647602</v>
      </c>
      <c r="BH751" s="13" t="s">
        <v>841</v>
      </c>
      <c r="BI751" s="13"/>
      <c r="BJ751" s="13"/>
      <c r="BK751" s="13"/>
      <c r="BL751" s="13"/>
      <c r="BM751" s="17"/>
      <c r="BN751" s="17"/>
      <c r="BO751" s="2"/>
    </row>
    <row r="752" spans="1:67" s="14" customFormat="1" x14ac:dyDescent="0.3">
      <c r="A752" s="20">
        <v>750</v>
      </c>
      <c r="B752" s="2" t="s">
        <v>219</v>
      </c>
      <c r="C752" s="2">
        <v>2020</v>
      </c>
      <c r="D752" s="2" t="s">
        <v>205</v>
      </c>
      <c r="E752" s="10" t="s">
        <v>802</v>
      </c>
      <c r="F752" s="20" t="s">
        <v>29</v>
      </c>
      <c r="G752" s="2">
        <v>19</v>
      </c>
      <c r="H752" s="2" t="str">
        <f>'PFAS Properties'!$B$44</f>
        <v>PFHxS</v>
      </c>
      <c r="I752" s="2" t="str">
        <f>'PFAS Properties'!$C$44</f>
        <v>PFSA</v>
      </c>
      <c r="J752" s="2" t="str">
        <f>'PFAS Properties'!$D$44</f>
        <v>C6F13O3SH</v>
      </c>
      <c r="K752" s="25">
        <f>'PFAS Properties'!$P$44</f>
        <v>399.94379999999995</v>
      </c>
      <c r="L752" s="2">
        <f>'PFAS Properties'!$X$44</f>
        <v>0.1</v>
      </c>
      <c r="M752" s="2" t="str">
        <f>'PFAS Properties'!$Y$44</f>
        <v>-</v>
      </c>
      <c r="N752" s="33">
        <v>0</v>
      </c>
      <c r="O752" s="33">
        <v>0</v>
      </c>
      <c r="P752" s="33">
        <v>0</v>
      </c>
      <c r="Q752" s="33">
        <f t="shared" si="385"/>
        <v>0.99999800474166611</v>
      </c>
      <c r="R752" s="33">
        <v>0</v>
      </c>
      <c r="S752" s="33">
        <f t="shared" si="386"/>
        <v>1.9952583339051124E-6</v>
      </c>
      <c r="T752" s="8">
        <f t="shared" si="394"/>
        <v>1</v>
      </c>
      <c r="U752" s="33">
        <f t="shared" si="395"/>
        <v>0</v>
      </c>
      <c r="V752" s="33">
        <f t="shared" si="396"/>
        <v>-0.99999800474166611</v>
      </c>
      <c r="W752" s="33">
        <f t="shared" si="397"/>
        <v>398.9438019952583</v>
      </c>
      <c r="X752" s="33">
        <v>96485</v>
      </c>
      <c r="Y752" s="16">
        <f t="shared" si="398"/>
        <v>-241.85062408526008</v>
      </c>
      <c r="Z752" s="16">
        <v>6</v>
      </c>
      <c r="AA752" s="16">
        <v>13</v>
      </c>
      <c r="AB752" s="8">
        <f t="shared" si="399"/>
        <v>0.291497975708502</v>
      </c>
      <c r="AC752" s="16">
        <f t="shared" si="383"/>
        <v>61.758677094131734</v>
      </c>
      <c r="AD752" s="20">
        <f>'PFAS Properties'!$W$44</f>
        <v>6</v>
      </c>
      <c r="AE752" s="8">
        <f>'PFAS Properties'!$S$44</f>
        <v>3.7905666251460763</v>
      </c>
      <c r="AF752" s="15">
        <f>'PFAS Properties'!$V$44</f>
        <v>3.6</v>
      </c>
      <c r="AG752" s="24">
        <v>5.8</v>
      </c>
      <c r="AH752" s="2" t="s">
        <v>85</v>
      </c>
      <c r="AI752" s="2">
        <v>1.58</v>
      </c>
      <c r="AJ752" s="15">
        <f t="shared" si="388"/>
        <v>28.292595577043603</v>
      </c>
      <c r="AK752" s="8">
        <f t="shared" si="389"/>
        <v>0.158</v>
      </c>
      <c r="AL752" s="2">
        <v>0.65500000000000003</v>
      </c>
      <c r="AM752" s="15">
        <f t="shared" si="390"/>
        <v>24.277242401779095</v>
      </c>
      <c r="AN752" s="8">
        <f t="shared" si="391"/>
        <v>6.5500000000000003E-2</v>
      </c>
      <c r="AO752" s="15" t="s">
        <v>86</v>
      </c>
      <c r="AP752" s="15">
        <v>4.34</v>
      </c>
      <c r="AQ752" s="15" t="s">
        <v>711</v>
      </c>
      <c r="AR752" s="16">
        <v>74</v>
      </c>
      <c r="AS752" s="16">
        <v>5</v>
      </c>
      <c r="AT752" s="16">
        <v>21</v>
      </c>
      <c r="AU752" s="15" t="s">
        <v>664</v>
      </c>
      <c r="AV752" s="16">
        <f t="shared" si="393"/>
        <v>100</v>
      </c>
      <c r="AW752" s="20">
        <v>0.8</v>
      </c>
      <c r="AX752" s="8">
        <f t="shared" si="392"/>
        <v>8.0000000000000002E-3</v>
      </c>
      <c r="AY752" s="8" t="s">
        <v>87</v>
      </c>
      <c r="AZ752" s="16">
        <v>20</v>
      </c>
      <c r="BA752" s="16" t="s">
        <v>55</v>
      </c>
      <c r="BB752" s="16" t="s">
        <v>391</v>
      </c>
      <c r="BC752" s="16" t="s">
        <v>55</v>
      </c>
      <c r="BD752" s="20">
        <v>0.67</v>
      </c>
      <c r="BE752" s="15">
        <f t="shared" si="381"/>
        <v>83.75</v>
      </c>
      <c r="BF752" s="15">
        <f t="shared" si="400"/>
        <v>1.9229848157088829</v>
      </c>
      <c r="BG752" s="8">
        <f t="shared" si="387"/>
        <v>-0.17392519729917355</v>
      </c>
      <c r="BH752" s="13" t="s">
        <v>841</v>
      </c>
      <c r="BI752" s="13"/>
      <c r="BJ752" s="13"/>
      <c r="BK752" s="13"/>
      <c r="BL752" s="13"/>
      <c r="BM752" s="17"/>
      <c r="BN752" s="17"/>
      <c r="BO752" s="2"/>
    </row>
    <row r="753" spans="1:67" s="14" customFormat="1" x14ac:dyDescent="0.3">
      <c r="A753" s="20">
        <v>751</v>
      </c>
      <c r="B753" s="2" t="s">
        <v>219</v>
      </c>
      <c r="C753" s="2">
        <v>2020</v>
      </c>
      <c r="D753" s="2" t="s">
        <v>205</v>
      </c>
      <c r="E753" s="10" t="s">
        <v>802</v>
      </c>
      <c r="F753" s="20" t="s">
        <v>29</v>
      </c>
      <c r="G753" s="2">
        <v>20</v>
      </c>
      <c r="H753" s="2" t="str">
        <f>'PFAS Properties'!$B$44</f>
        <v>PFHxS</v>
      </c>
      <c r="I753" s="2" t="str">
        <f>'PFAS Properties'!$C$44</f>
        <v>PFSA</v>
      </c>
      <c r="J753" s="2" t="str">
        <f>'PFAS Properties'!$D$44</f>
        <v>C6F13O3SH</v>
      </c>
      <c r="K753" s="25">
        <f>'PFAS Properties'!$P$44</f>
        <v>399.94379999999995</v>
      </c>
      <c r="L753" s="2">
        <f>'PFAS Properties'!$X$44</f>
        <v>0.1</v>
      </c>
      <c r="M753" s="2" t="str">
        <f>'PFAS Properties'!$Y$44</f>
        <v>-</v>
      </c>
      <c r="N753" s="33">
        <v>0</v>
      </c>
      <c r="O753" s="33">
        <v>0</v>
      </c>
      <c r="P753" s="33">
        <v>0</v>
      </c>
      <c r="Q753" s="33">
        <f t="shared" si="385"/>
        <v>0.99999601894414336</v>
      </c>
      <c r="R753" s="33">
        <v>0</v>
      </c>
      <c r="S753" s="33">
        <f t="shared" si="386"/>
        <v>3.981055856666137E-6</v>
      </c>
      <c r="T753" s="8">
        <f t="shared" si="394"/>
        <v>1</v>
      </c>
      <c r="U753" s="33">
        <f t="shared" si="395"/>
        <v>0</v>
      </c>
      <c r="V753" s="33">
        <f t="shared" si="396"/>
        <v>-0.99999601894414336</v>
      </c>
      <c r="W753" s="33">
        <f t="shared" si="397"/>
        <v>398.94380398105585</v>
      </c>
      <c r="X753" s="33">
        <v>96485</v>
      </c>
      <c r="Y753" s="16">
        <f t="shared" si="398"/>
        <v>-241.85014261408938</v>
      </c>
      <c r="Z753" s="16">
        <v>6</v>
      </c>
      <c r="AA753" s="16">
        <v>13</v>
      </c>
      <c r="AB753" s="8">
        <f t="shared" si="399"/>
        <v>0.291497975708502</v>
      </c>
      <c r="AC753" s="16">
        <f t="shared" si="383"/>
        <v>61.758677094131734</v>
      </c>
      <c r="AD753" s="20">
        <f>'PFAS Properties'!$W$44</f>
        <v>6</v>
      </c>
      <c r="AE753" s="8">
        <f>'PFAS Properties'!$S$44</f>
        <v>3.7905666251460763</v>
      </c>
      <c r="AF753" s="15">
        <f>'PFAS Properties'!$V$44</f>
        <v>3.6</v>
      </c>
      <c r="AG753" s="24">
        <v>5.5</v>
      </c>
      <c r="AH753" s="2" t="s">
        <v>85</v>
      </c>
      <c r="AI753" s="2">
        <v>2.91</v>
      </c>
      <c r="AJ753" s="15">
        <f t="shared" si="388"/>
        <v>52.10851463873221</v>
      </c>
      <c r="AK753" s="8">
        <f t="shared" si="389"/>
        <v>0.29100000000000004</v>
      </c>
      <c r="AL753" s="2">
        <v>2.72</v>
      </c>
      <c r="AM753" s="15">
        <f t="shared" si="390"/>
        <v>100.81541882876205</v>
      </c>
      <c r="AN753" s="8">
        <f t="shared" si="391"/>
        <v>0.27200000000000002</v>
      </c>
      <c r="AO753" s="15" t="s">
        <v>86</v>
      </c>
      <c r="AP753" s="15">
        <v>16.3</v>
      </c>
      <c r="AQ753" s="15" t="s">
        <v>711</v>
      </c>
      <c r="AR753" s="16">
        <v>21</v>
      </c>
      <c r="AS753" s="16">
        <v>21</v>
      </c>
      <c r="AT753" s="16">
        <v>58</v>
      </c>
      <c r="AU753" s="15" t="s">
        <v>664</v>
      </c>
      <c r="AV753" s="16">
        <f t="shared" si="393"/>
        <v>100</v>
      </c>
      <c r="AW753" s="20">
        <v>1</v>
      </c>
      <c r="AX753" s="8">
        <f t="shared" si="392"/>
        <v>0.01</v>
      </c>
      <c r="AY753" s="8" t="s">
        <v>87</v>
      </c>
      <c r="AZ753" s="16">
        <v>20</v>
      </c>
      <c r="BA753" s="16" t="s">
        <v>55</v>
      </c>
      <c r="BB753" s="16" t="s">
        <v>391</v>
      </c>
      <c r="BC753" s="16" t="s">
        <v>55</v>
      </c>
      <c r="BD753" s="20">
        <v>2.5</v>
      </c>
      <c r="BE753" s="15">
        <f t="shared" si="381"/>
        <v>250</v>
      </c>
      <c r="BF753" s="15">
        <f t="shared" si="400"/>
        <v>2.3979400086720375</v>
      </c>
      <c r="BG753" s="8">
        <f t="shared" si="387"/>
        <v>0.3979400086720376</v>
      </c>
      <c r="BH753" s="13" t="s">
        <v>841</v>
      </c>
      <c r="BI753" s="13"/>
      <c r="BJ753" s="13"/>
      <c r="BK753" s="13"/>
      <c r="BL753" s="13"/>
      <c r="BM753" s="17"/>
      <c r="BN753" s="17"/>
      <c r="BO753" s="2"/>
    </row>
    <row r="754" spans="1:67" s="14" customFormat="1" x14ac:dyDescent="0.3">
      <c r="A754" s="20">
        <v>752</v>
      </c>
      <c r="B754" s="2" t="s">
        <v>219</v>
      </c>
      <c r="C754" s="2">
        <v>2020</v>
      </c>
      <c r="D754" s="2" t="s">
        <v>205</v>
      </c>
      <c r="E754" s="10" t="s">
        <v>802</v>
      </c>
      <c r="F754" s="20" t="s">
        <v>29</v>
      </c>
      <c r="G754" s="2">
        <v>21</v>
      </c>
      <c r="H754" s="2" t="str">
        <f>'PFAS Properties'!$B$44</f>
        <v>PFHxS</v>
      </c>
      <c r="I754" s="2" t="str">
        <f>'PFAS Properties'!$C$44</f>
        <v>PFSA</v>
      </c>
      <c r="J754" s="2" t="str">
        <f>'PFAS Properties'!$D$44</f>
        <v>C6F13O3SH</v>
      </c>
      <c r="K754" s="25">
        <f>'PFAS Properties'!$P$44</f>
        <v>399.94379999999995</v>
      </c>
      <c r="L754" s="2">
        <f>'PFAS Properties'!$X$44</f>
        <v>0.1</v>
      </c>
      <c r="M754" s="2" t="str">
        <f>'PFAS Properties'!$Y$44</f>
        <v>-</v>
      </c>
      <c r="N754" s="33">
        <v>0</v>
      </c>
      <c r="O754" s="33">
        <v>0</v>
      </c>
      <c r="P754" s="33">
        <v>0</v>
      </c>
      <c r="Q754" s="33">
        <f t="shared" si="385"/>
        <v>0.9999974881198781</v>
      </c>
      <c r="R754" s="33">
        <v>0</v>
      </c>
      <c r="S754" s="33">
        <f t="shared" si="386"/>
        <v>2.5118801219519806E-6</v>
      </c>
      <c r="T754" s="8">
        <f t="shared" si="394"/>
        <v>1</v>
      </c>
      <c r="U754" s="33">
        <f t="shared" si="395"/>
        <v>0</v>
      </c>
      <c r="V754" s="33">
        <f t="shared" si="396"/>
        <v>-0.9999974881198781</v>
      </c>
      <c r="W754" s="33">
        <f t="shared" si="397"/>
        <v>398.94380251188011</v>
      </c>
      <c r="X754" s="33">
        <v>96485</v>
      </c>
      <c r="Y754" s="16">
        <f t="shared" si="398"/>
        <v>-241.85049882651887</v>
      </c>
      <c r="Z754" s="16">
        <v>6</v>
      </c>
      <c r="AA754" s="16">
        <v>13</v>
      </c>
      <c r="AB754" s="8">
        <f t="shared" si="399"/>
        <v>0.291497975708502</v>
      </c>
      <c r="AC754" s="16">
        <f t="shared" si="383"/>
        <v>61.758677094131734</v>
      </c>
      <c r="AD754" s="20">
        <f>'PFAS Properties'!$W$44</f>
        <v>6</v>
      </c>
      <c r="AE754" s="8">
        <f>'PFAS Properties'!$S$44</f>
        <v>3.7905666251460763</v>
      </c>
      <c r="AF754" s="15">
        <f>'PFAS Properties'!$V$44</f>
        <v>3.6</v>
      </c>
      <c r="AG754" s="24">
        <v>5.7</v>
      </c>
      <c r="AH754" s="2" t="s">
        <v>85</v>
      </c>
      <c r="AI754" s="2">
        <v>2.2599999999999998</v>
      </c>
      <c r="AJ754" s="15">
        <f t="shared" si="388"/>
        <v>40.469155698809203</v>
      </c>
      <c r="AK754" s="8">
        <f t="shared" si="389"/>
        <v>0.22599999999999998</v>
      </c>
      <c r="AL754" s="2">
        <v>5.72</v>
      </c>
      <c r="AM754" s="15">
        <f t="shared" si="390"/>
        <v>212.00889547813193</v>
      </c>
      <c r="AN754" s="8">
        <f t="shared" si="391"/>
        <v>0.57199999999999995</v>
      </c>
      <c r="AO754" s="15" t="s">
        <v>86</v>
      </c>
      <c r="AP754" s="15">
        <v>9.98</v>
      </c>
      <c r="AQ754" s="15" t="s">
        <v>711</v>
      </c>
      <c r="AR754" s="16">
        <v>70</v>
      </c>
      <c r="AS754" s="16">
        <v>8</v>
      </c>
      <c r="AT754" s="16">
        <v>22</v>
      </c>
      <c r="AU754" s="15" t="s">
        <v>664</v>
      </c>
      <c r="AV754" s="16">
        <f t="shared" si="393"/>
        <v>100</v>
      </c>
      <c r="AW754" s="20">
        <v>3.5</v>
      </c>
      <c r="AX754" s="8">
        <f t="shared" si="392"/>
        <v>3.5000000000000003E-2</v>
      </c>
      <c r="AY754" s="8" t="s">
        <v>87</v>
      </c>
      <c r="AZ754" s="16">
        <v>20</v>
      </c>
      <c r="BA754" s="16" t="s">
        <v>55</v>
      </c>
      <c r="BB754" s="16" t="s">
        <v>391</v>
      </c>
      <c r="BC754" s="16" t="s">
        <v>55</v>
      </c>
      <c r="BD754" s="20">
        <v>0.52</v>
      </c>
      <c r="BE754" s="15">
        <f t="shared" si="381"/>
        <v>14.857142857142856</v>
      </c>
      <c r="BF754" s="15">
        <f t="shared" si="400"/>
        <v>1.1719352992845236</v>
      </c>
      <c r="BG754" s="8">
        <f t="shared" si="387"/>
        <v>-0.28399665636520083</v>
      </c>
      <c r="BH754" s="13" t="s">
        <v>841</v>
      </c>
      <c r="BI754" s="13"/>
      <c r="BJ754" s="13"/>
      <c r="BK754" s="13"/>
      <c r="BL754" s="13"/>
      <c r="BM754" s="17"/>
      <c r="BN754" s="17"/>
      <c r="BO754" s="2"/>
    </row>
    <row r="755" spans="1:67" s="14" customFormat="1" x14ac:dyDescent="0.3">
      <c r="A755" s="20">
        <v>753</v>
      </c>
      <c r="B755" s="2" t="s">
        <v>219</v>
      </c>
      <c r="C755" s="2">
        <v>2020</v>
      </c>
      <c r="D755" s="2" t="s">
        <v>205</v>
      </c>
      <c r="E755" s="10" t="s">
        <v>802</v>
      </c>
      <c r="F755" s="20" t="s">
        <v>29</v>
      </c>
      <c r="G755" s="2">
        <v>22</v>
      </c>
      <c r="H755" s="2" t="str">
        <f>'PFAS Properties'!$B$44</f>
        <v>PFHxS</v>
      </c>
      <c r="I755" s="2" t="str">
        <f>'PFAS Properties'!$C$44</f>
        <v>PFSA</v>
      </c>
      <c r="J755" s="2" t="str">
        <f>'PFAS Properties'!$D$44</f>
        <v>C6F13O3SH</v>
      </c>
      <c r="K755" s="25">
        <f>'PFAS Properties'!$P$44</f>
        <v>399.94379999999995</v>
      </c>
      <c r="L755" s="2">
        <f>'PFAS Properties'!$X$44</f>
        <v>0.1</v>
      </c>
      <c r="M755" s="2" t="str">
        <f>'PFAS Properties'!$Y$44</f>
        <v>-</v>
      </c>
      <c r="N755" s="33">
        <v>0</v>
      </c>
      <c r="O755" s="33">
        <v>0</v>
      </c>
      <c r="P755" s="33">
        <v>0</v>
      </c>
      <c r="Q755" s="33">
        <f t="shared" si="385"/>
        <v>0.99999987410747471</v>
      </c>
      <c r="R755" s="33">
        <v>0</v>
      </c>
      <c r="S755" s="33">
        <f t="shared" si="386"/>
        <v>1.2589252533048661E-7</v>
      </c>
      <c r="T755" s="8">
        <f t="shared" si="394"/>
        <v>1</v>
      </c>
      <c r="U755" s="33">
        <f t="shared" si="395"/>
        <v>0</v>
      </c>
      <c r="V755" s="33">
        <f t="shared" si="396"/>
        <v>-0.99999987410747471</v>
      </c>
      <c r="W755" s="33">
        <f t="shared" si="397"/>
        <v>398.94380012589249</v>
      </c>
      <c r="X755" s="33">
        <v>96485</v>
      </c>
      <c r="Y755" s="16">
        <f t="shared" si="398"/>
        <v>-241.85107732671233</v>
      </c>
      <c r="Z755" s="16">
        <v>6</v>
      </c>
      <c r="AA755" s="16">
        <v>13</v>
      </c>
      <c r="AB755" s="8">
        <f t="shared" si="399"/>
        <v>0.291497975708502</v>
      </c>
      <c r="AC755" s="16">
        <f t="shared" si="383"/>
        <v>61.758677094131734</v>
      </c>
      <c r="AD755" s="20">
        <f>'PFAS Properties'!$W$44</f>
        <v>6</v>
      </c>
      <c r="AE755" s="8">
        <f>'PFAS Properties'!$S$44</f>
        <v>3.7905666251460763</v>
      </c>
      <c r="AF755" s="15">
        <f>'PFAS Properties'!$V$44</f>
        <v>3.6</v>
      </c>
      <c r="AG755" s="24">
        <v>7</v>
      </c>
      <c r="AH755" s="2" t="s">
        <v>85</v>
      </c>
      <c r="AI755" s="2">
        <v>3.78</v>
      </c>
      <c r="AJ755" s="15">
        <f t="shared" si="388"/>
        <v>67.687348912167607</v>
      </c>
      <c r="AK755" s="8">
        <f t="shared" si="389"/>
        <v>0.378</v>
      </c>
      <c r="AL755" s="2">
        <v>2.46</v>
      </c>
      <c r="AM755" s="15">
        <f t="shared" si="390"/>
        <v>91.178650852483315</v>
      </c>
      <c r="AN755" s="8">
        <f t="shared" si="391"/>
        <v>0.246</v>
      </c>
      <c r="AO755" s="15" t="s">
        <v>86</v>
      </c>
      <c r="AP755" s="15">
        <v>19.12</v>
      </c>
      <c r="AQ755" s="15" t="s">
        <v>711</v>
      </c>
      <c r="AR755" s="16">
        <v>35</v>
      </c>
      <c r="AS755" s="16">
        <v>13</v>
      </c>
      <c r="AT755" s="16">
        <v>52</v>
      </c>
      <c r="AU755" s="15" t="s">
        <v>664</v>
      </c>
      <c r="AV755" s="16">
        <f t="shared" si="393"/>
        <v>100</v>
      </c>
      <c r="AW755" s="20">
        <v>1.1000000000000001</v>
      </c>
      <c r="AX755" s="8">
        <f t="shared" si="392"/>
        <v>1.1000000000000001E-2</v>
      </c>
      <c r="AY755" s="8" t="s">
        <v>87</v>
      </c>
      <c r="AZ755" s="16">
        <v>20</v>
      </c>
      <c r="BA755" s="16" t="s">
        <v>55</v>
      </c>
      <c r="BB755" s="16" t="s">
        <v>391</v>
      </c>
      <c r="BC755" s="16" t="s">
        <v>55</v>
      </c>
      <c r="BD755" s="20">
        <v>0.24</v>
      </c>
      <c r="BE755" s="15">
        <f t="shared" si="381"/>
        <v>21.818181818181817</v>
      </c>
      <c r="BF755" s="15">
        <f t="shared" si="400"/>
        <v>1.338818556553381</v>
      </c>
      <c r="BG755" s="8">
        <f t="shared" si="387"/>
        <v>-0.61978875828839397</v>
      </c>
      <c r="BH755" s="13" t="s">
        <v>841</v>
      </c>
      <c r="BI755" s="13"/>
      <c r="BJ755" s="13"/>
      <c r="BK755" s="13"/>
      <c r="BL755" s="13"/>
      <c r="BM755" s="17"/>
      <c r="BN755" s="17"/>
      <c r="BO755" s="2"/>
    </row>
    <row r="756" spans="1:67" s="14" customFormat="1" x14ac:dyDescent="0.3">
      <c r="A756" s="20">
        <v>754</v>
      </c>
      <c r="B756" s="2" t="s">
        <v>219</v>
      </c>
      <c r="C756" s="2">
        <v>2020</v>
      </c>
      <c r="D756" s="2" t="s">
        <v>205</v>
      </c>
      <c r="E756" s="10" t="s">
        <v>802</v>
      </c>
      <c r="F756" s="20" t="s">
        <v>29</v>
      </c>
      <c r="G756" s="2">
        <v>23</v>
      </c>
      <c r="H756" s="2" t="str">
        <f>'PFAS Properties'!$B$44</f>
        <v>PFHxS</v>
      </c>
      <c r="I756" s="2" t="str">
        <f>'PFAS Properties'!$C$44</f>
        <v>PFSA</v>
      </c>
      <c r="J756" s="2" t="str">
        <f>'PFAS Properties'!$D$44</f>
        <v>C6F13O3SH</v>
      </c>
      <c r="K756" s="25">
        <f>'PFAS Properties'!$P$44</f>
        <v>399.94379999999995</v>
      </c>
      <c r="L756" s="2">
        <f>'PFAS Properties'!$X$44</f>
        <v>0.1</v>
      </c>
      <c r="M756" s="2" t="str">
        <f>'PFAS Properties'!$Y$44</f>
        <v>-</v>
      </c>
      <c r="N756" s="33">
        <v>0</v>
      </c>
      <c r="O756" s="33">
        <v>0</v>
      </c>
      <c r="P756" s="33">
        <v>0</v>
      </c>
      <c r="Q756" s="33">
        <f t="shared" si="385"/>
        <v>0.99999960189298798</v>
      </c>
      <c r="R756" s="33">
        <v>0</v>
      </c>
      <c r="S756" s="33">
        <f t="shared" si="386"/>
        <v>3.9810701206424001E-7</v>
      </c>
      <c r="T756" s="8">
        <f t="shared" si="394"/>
        <v>1</v>
      </c>
      <c r="U756" s="33">
        <f t="shared" si="395"/>
        <v>0</v>
      </c>
      <c r="V756" s="33">
        <f t="shared" si="396"/>
        <v>-0.99999960189298798</v>
      </c>
      <c r="W756" s="33">
        <f t="shared" si="397"/>
        <v>398.94380039810699</v>
      </c>
      <c r="X756" s="33">
        <v>96485</v>
      </c>
      <c r="Y756" s="16">
        <f t="shared" si="398"/>
        <v>-241.85101132631303</v>
      </c>
      <c r="Z756" s="16">
        <v>6</v>
      </c>
      <c r="AA756" s="16">
        <v>13</v>
      </c>
      <c r="AB756" s="8">
        <f t="shared" si="399"/>
        <v>0.291497975708502</v>
      </c>
      <c r="AC756" s="16">
        <f t="shared" si="383"/>
        <v>61.758677094131734</v>
      </c>
      <c r="AD756" s="20">
        <f>'PFAS Properties'!$W$44</f>
        <v>6</v>
      </c>
      <c r="AE756" s="8">
        <f>'PFAS Properties'!$S$44</f>
        <v>3.7905666251460763</v>
      </c>
      <c r="AF756" s="15">
        <f>'PFAS Properties'!$V$44</f>
        <v>3.6</v>
      </c>
      <c r="AG756" s="24">
        <v>6.5</v>
      </c>
      <c r="AH756" s="2" t="s">
        <v>85</v>
      </c>
      <c r="AI756" s="2">
        <v>2.0299999999999998</v>
      </c>
      <c r="AJ756" s="15">
        <f t="shared" si="388"/>
        <v>36.350613304682604</v>
      </c>
      <c r="AK756" s="8">
        <f t="shared" si="389"/>
        <v>0.20299999999999999</v>
      </c>
      <c r="AL756" s="2">
        <v>1.53</v>
      </c>
      <c r="AM756" s="15">
        <f t="shared" si="390"/>
        <v>56.708673091178653</v>
      </c>
      <c r="AN756" s="8">
        <f t="shared" si="391"/>
        <v>0.153</v>
      </c>
      <c r="AO756" s="15" t="s">
        <v>86</v>
      </c>
      <c r="AP756" s="15">
        <v>7.1</v>
      </c>
      <c r="AQ756" s="15" t="s">
        <v>711</v>
      </c>
      <c r="AR756" s="16">
        <v>60</v>
      </c>
      <c r="AS756" s="16">
        <v>16</v>
      </c>
      <c r="AT756" s="16">
        <v>24</v>
      </c>
      <c r="AU756" s="15" t="s">
        <v>664</v>
      </c>
      <c r="AV756" s="16">
        <f t="shared" si="393"/>
        <v>100</v>
      </c>
      <c r="AW756" s="20">
        <v>1.3</v>
      </c>
      <c r="AX756" s="8">
        <f t="shared" si="392"/>
        <v>1.3000000000000001E-2</v>
      </c>
      <c r="AY756" s="8" t="s">
        <v>87</v>
      </c>
      <c r="AZ756" s="16">
        <v>20</v>
      </c>
      <c r="BA756" s="16" t="s">
        <v>55</v>
      </c>
      <c r="BB756" s="16" t="s">
        <v>391</v>
      </c>
      <c r="BC756" s="16" t="s">
        <v>55</v>
      </c>
      <c r="BD756" s="20">
        <v>0.05</v>
      </c>
      <c r="BE756" s="15">
        <f t="shared" si="381"/>
        <v>3.8461538461538458</v>
      </c>
      <c r="BF756" s="15">
        <f t="shared" si="400"/>
        <v>0.58502665202918203</v>
      </c>
      <c r="BG756" s="8">
        <f t="shared" si="387"/>
        <v>-1.3010299956639813</v>
      </c>
      <c r="BH756" s="13" t="s">
        <v>841</v>
      </c>
      <c r="BI756" s="13"/>
      <c r="BJ756" s="13"/>
      <c r="BK756" s="13"/>
      <c r="BL756" s="13"/>
      <c r="BM756" s="17"/>
      <c r="BN756" s="17"/>
      <c r="BO756" s="2"/>
    </row>
    <row r="757" spans="1:67" s="14" customFormat="1" x14ac:dyDescent="0.3">
      <c r="A757" s="20">
        <v>755</v>
      </c>
      <c r="B757" s="2" t="s">
        <v>219</v>
      </c>
      <c r="C757" s="2">
        <v>2020</v>
      </c>
      <c r="D757" s="2" t="s">
        <v>205</v>
      </c>
      <c r="E757" s="10" t="s">
        <v>802</v>
      </c>
      <c r="F757" s="20" t="s">
        <v>29</v>
      </c>
      <c r="G757" s="2">
        <v>24</v>
      </c>
      <c r="H757" s="2" t="str">
        <f>'PFAS Properties'!$B$44</f>
        <v>PFHxS</v>
      </c>
      <c r="I757" s="2" t="str">
        <f>'PFAS Properties'!$C$44</f>
        <v>PFSA</v>
      </c>
      <c r="J757" s="2" t="str">
        <f>'PFAS Properties'!$D$44</f>
        <v>C6F13O3SH</v>
      </c>
      <c r="K757" s="25">
        <f>'PFAS Properties'!$P$44</f>
        <v>399.94379999999995</v>
      </c>
      <c r="L757" s="2">
        <f>'PFAS Properties'!$X$44</f>
        <v>0.1</v>
      </c>
      <c r="M757" s="2" t="str">
        <f>'PFAS Properties'!$Y$44</f>
        <v>-</v>
      </c>
      <c r="N757" s="33">
        <v>0</v>
      </c>
      <c r="O757" s="33">
        <v>0</v>
      </c>
      <c r="P757" s="33">
        <v>0</v>
      </c>
      <c r="Q757" s="33">
        <f t="shared" si="385"/>
        <v>0.99999968377233395</v>
      </c>
      <c r="R757" s="33">
        <v>0</v>
      </c>
      <c r="S757" s="33">
        <f t="shared" si="386"/>
        <v>3.1622766601686895E-7</v>
      </c>
      <c r="T757" s="8">
        <f t="shared" si="394"/>
        <v>1</v>
      </c>
      <c r="U757" s="33">
        <f t="shared" si="395"/>
        <v>0</v>
      </c>
      <c r="V757" s="33">
        <f t="shared" si="396"/>
        <v>-0.99999968377233395</v>
      </c>
      <c r="W757" s="33">
        <f t="shared" si="397"/>
        <v>398.94380031622762</v>
      </c>
      <c r="X757" s="33">
        <v>96485</v>
      </c>
      <c r="Y757" s="16">
        <f t="shared" si="398"/>
        <v>-241.85103117856113</v>
      </c>
      <c r="Z757" s="16">
        <v>6</v>
      </c>
      <c r="AA757" s="16">
        <v>13</v>
      </c>
      <c r="AB757" s="8">
        <f t="shared" si="399"/>
        <v>0.291497975708502</v>
      </c>
      <c r="AC757" s="16">
        <f t="shared" si="383"/>
        <v>61.758677094131734</v>
      </c>
      <c r="AD757" s="20">
        <f>'PFAS Properties'!$W$44</f>
        <v>6</v>
      </c>
      <c r="AE757" s="8">
        <f>'PFAS Properties'!$S$44</f>
        <v>3.7905666251460763</v>
      </c>
      <c r="AF757" s="15">
        <f>'PFAS Properties'!$V$44</f>
        <v>3.6</v>
      </c>
      <c r="AG757" s="24">
        <v>6.6</v>
      </c>
      <c r="AH757" s="2" t="s">
        <v>85</v>
      </c>
      <c r="AI757" s="2">
        <v>1.82</v>
      </c>
      <c r="AJ757" s="15">
        <f t="shared" si="388"/>
        <v>32.590205031784407</v>
      </c>
      <c r="AK757" s="8">
        <f t="shared" si="389"/>
        <v>0.182</v>
      </c>
      <c r="AL757" s="2">
        <v>2.0699999999999998</v>
      </c>
      <c r="AM757" s="15">
        <f t="shared" si="390"/>
        <v>76.723498888065237</v>
      </c>
      <c r="AN757" s="8">
        <f t="shared" si="391"/>
        <v>0.20699999999999999</v>
      </c>
      <c r="AO757" s="15" t="s">
        <v>86</v>
      </c>
      <c r="AP757" s="15">
        <v>7.54</v>
      </c>
      <c r="AQ757" s="15" t="s">
        <v>711</v>
      </c>
      <c r="AR757" s="16">
        <v>67</v>
      </c>
      <c r="AS757" s="16">
        <v>11</v>
      </c>
      <c r="AT757" s="16">
        <v>22</v>
      </c>
      <c r="AU757" s="15" t="s">
        <v>664</v>
      </c>
      <c r="AV757" s="16">
        <f t="shared" si="393"/>
        <v>100</v>
      </c>
      <c r="AW757" s="20">
        <v>1.3</v>
      </c>
      <c r="AX757" s="8">
        <f t="shared" si="392"/>
        <v>1.3000000000000001E-2</v>
      </c>
      <c r="AY757" s="8" t="s">
        <v>87</v>
      </c>
      <c r="AZ757" s="16">
        <v>20</v>
      </c>
      <c r="BA757" s="16" t="s">
        <v>55</v>
      </c>
      <c r="BB757" s="16" t="s">
        <v>391</v>
      </c>
      <c r="BC757" s="16" t="s">
        <v>55</v>
      </c>
      <c r="BD757" s="20">
        <v>0.12</v>
      </c>
      <c r="BE757" s="15">
        <f t="shared" si="381"/>
        <v>9.2307692307692299</v>
      </c>
      <c r="BF757" s="15">
        <f t="shared" si="400"/>
        <v>0.96523789374078806</v>
      </c>
      <c r="BG757" s="8">
        <f t="shared" ref="BG757:BG788" si="401">LOG(BD757)</f>
        <v>-0.92081875395237522</v>
      </c>
      <c r="BH757" s="13" t="s">
        <v>841</v>
      </c>
      <c r="BI757" s="13"/>
      <c r="BJ757" s="13"/>
      <c r="BK757" s="13"/>
      <c r="BL757" s="13"/>
      <c r="BM757" s="17"/>
      <c r="BN757" s="17"/>
      <c r="BO757" s="2"/>
    </row>
    <row r="758" spans="1:67" s="14" customFormat="1" x14ac:dyDescent="0.3">
      <c r="A758" s="20">
        <v>756</v>
      </c>
      <c r="B758" s="2" t="s">
        <v>219</v>
      </c>
      <c r="C758" s="2">
        <v>2020</v>
      </c>
      <c r="D758" s="2" t="s">
        <v>205</v>
      </c>
      <c r="E758" s="10" t="s">
        <v>802</v>
      </c>
      <c r="F758" s="20" t="s">
        <v>29</v>
      </c>
      <c r="G758" s="2">
        <v>25</v>
      </c>
      <c r="H758" s="2" t="str">
        <f>'PFAS Properties'!$B$44</f>
        <v>PFHxS</v>
      </c>
      <c r="I758" s="2" t="str">
        <f>'PFAS Properties'!$C$44</f>
        <v>PFSA</v>
      </c>
      <c r="J758" s="2" t="str">
        <f>'PFAS Properties'!$D$44</f>
        <v>C6F13O3SH</v>
      </c>
      <c r="K758" s="25">
        <f>'PFAS Properties'!$P$44</f>
        <v>399.94379999999995</v>
      </c>
      <c r="L758" s="2">
        <f>'PFAS Properties'!$X$44</f>
        <v>0.1</v>
      </c>
      <c r="M758" s="2" t="str">
        <f>'PFAS Properties'!$Y$44</f>
        <v>-</v>
      </c>
      <c r="N758" s="33">
        <v>0</v>
      </c>
      <c r="O758" s="33">
        <v>0</v>
      </c>
      <c r="P758" s="33">
        <v>0</v>
      </c>
      <c r="Q758" s="33">
        <f t="shared" si="385"/>
        <v>0.99999800474166611</v>
      </c>
      <c r="R758" s="33">
        <v>0</v>
      </c>
      <c r="S758" s="33">
        <f t="shared" si="386"/>
        <v>1.9952583339051124E-6</v>
      </c>
      <c r="T758" s="8">
        <f t="shared" si="394"/>
        <v>1</v>
      </c>
      <c r="U758" s="33">
        <f t="shared" si="395"/>
        <v>0</v>
      </c>
      <c r="V758" s="33">
        <f t="shared" si="396"/>
        <v>-0.99999800474166611</v>
      </c>
      <c r="W758" s="33">
        <f t="shared" si="397"/>
        <v>398.9438019952583</v>
      </c>
      <c r="X758" s="33">
        <v>96485</v>
      </c>
      <c r="Y758" s="16">
        <f t="shared" si="398"/>
        <v>-241.85062408526008</v>
      </c>
      <c r="Z758" s="16">
        <v>6</v>
      </c>
      <c r="AA758" s="16">
        <v>13</v>
      </c>
      <c r="AB758" s="8">
        <f t="shared" si="399"/>
        <v>0.291497975708502</v>
      </c>
      <c r="AC758" s="16">
        <f t="shared" si="383"/>
        <v>61.758677094131734</v>
      </c>
      <c r="AD758" s="20">
        <f>'PFAS Properties'!$W$44</f>
        <v>6</v>
      </c>
      <c r="AE758" s="8">
        <f>'PFAS Properties'!$S$44</f>
        <v>3.7905666251460763</v>
      </c>
      <c r="AF758" s="15">
        <f>'PFAS Properties'!$V$44</f>
        <v>3.6</v>
      </c>
      <c r="AG758" s="24">
        <v>5.8</v>
      </c>
      <c r="AH758" s="2" t="s">
        <v>85</v>
      </c>
      <c r="AI758" s="2">
        <v>2.56</v>
      </c>
      <c r="AJ758" s="15">
        <f t="shared" si="388"/>
        <v>45.841167517235206</v>
      </c>
      <c r="AK758" s="8">
        <f t="shared" si="389"/>
        <v>0.25600000000000001</v>
      </c>
      <c r="AL758" s="2">
        <v>1.68</v>
      </c>
      <c r="AM758" s="15">
        <f t="shared" si="390"/>
        <v>62.268346923647144</v>
      </c>
      <c r="AN758" s="8">
        <f t="shared" si="391"/>
        <v>0.16799999999999998</v>
      </c>
      <c r="AO758" s="15" t="s">
        <v>86</v>
      </c>
      <c r="AP758" s="15">
        <v>6.17</v>
      </c>
      <c r="AQ758" s="15" t="s">
        <v>711</v>
      </c>
      <c r="AR758" s="16">
        <v>59</v>
      </c>
      <c r="AS758" s="16">
        <v>15</v>
      </c>
      <c r="AT758" s="16">
        <v>26</v>
      </c>
      <c r="AU758" s="15" t="s">
        <v>664</v>
      </c>
      <c r="AV758" s="16">
        <f t="shared" si="393"/>
        <v>100</v>
      </c>
      <c r="AW758" s="20">
        <v>0.9</v>
      </c>
      <c r="AX758" s="8">
        <f t="shared" si="392"/>
        <v>9.0000000000000011E-3</v>
      </c>
      <c r="AY758" s="8" t="s">
        <v>87</v>
      </c>
      <c r="AZ758" s="16">
        <v>20</v>
      </c>
      <c r="BA758" s="16" t="s">
        <v>55</v>
      </c>
      <c r="BB758" s="16" t="s">
        <v>391</v>
      </c>
      <c r="BC758" s="16" t="s">
        <v>55</v>
      </c>
      <c r="BD758" s="20">
        <v>0.66</v>
      </c>
      <c r="BE758" s="15">
        <f t="shared" si="381"/>
        <v>73.333333333333329</v>
      </c>
      <c r="BF758" s="15">
        <f t="shared" si="400"/>
        <v>1.8653014261025438</v>
      </c>
      <c r="BG758" s="8">
        <f t="shared" si="401"/>
        <v>-0.18045606445813131</v>
      </c>
      <c r="BH758" s="13" t="s">
        <v>841</v>
      </c>
      <c r="BI758" s="13"/>
      <c r="BJ758" s="13"/>
      <c r="BK758" s="13"/>
      <c r="BL758" s="13"/>
      <c r="BM758" s="17"/>
      <c r="BN758" s="17"/>
      <c r="BO758" s="2"/>
    </row>
    <row r="759" spans="1:67" s="14" customFormat="1" x14ac:dyDescent="0.3">
      <c r="A759" s="20">
        <v>757</v>
      </c>
      <c r="B759" s="2" t="s">
        <v>219</v>
      </c>
      <c r="C759" s="2">
        <v>2020</v>
      </c>
      <c r="D759" s="2" t="s">
        <v>205</v>
      </c>
      <c r="E759" s="10" t="s">
        <v>802</v>
      </c>
      <c r="F759" s="20" t="s">
        <v>29</v>
      </c>
      <c r="G759" s="2">
        <v>26</v>
      </c>
      <c r="H759" s="2" t="str">
        <f>'PFAS Properties'!$B$44</f>
        <v>PFHxS</v>
      </c>
      <c r="I759" s="2" t="str">
        <f>'PFAS Properties'!$C$44</f>
        <v>PFSA</v>
      </c>
      <c r="J759" s="2" t="str">
        <f>'PFAS Properties'!$D$44</f>
        <v>C6F13O3SH</v>
      </c>
      <c r="K759" s="25">
        <f>'PFAS Properties'!$P$44</f>
        <v>399.94379999999995</v>
      </c>
      <c r="L759" s="2">
        <f>'PFAS Properties'!$X$44</f>
        <v>0.1</v>
      </c>
      <c r="M759" s="2" t="str">
        <f>'PFAS Properties'!$Y$44</f>
        <v>-</v>
      </c>
      <c r="N759" s="33">
        <v>0</v>
      </c>
      <c r="O759" s="33">
        <v>0</v>
      </c>
      <c r="P759" s="33">
        <v>0</v>
      </c>
      <c r="Q759" s="33">
        <f t="shared" si="385"/>
        <v>0.99999960189298798</v>
      </c>
      <c r="R759" s="33">
        <v>0</v>
      </c>
      <c r="S759" s="33">
        <f t="shared" si="386"/>
        <v>3.9810701206424001E-7</v>
      </c>
      <c r="T759" s="8">
        <f t="shared" si="394"/>
        <v>1</v>
      </c>
      <c r="U759" s="33">
        <f t="shared" si="395"/>
        <v>0</v>
      </c>
      <c r="V759" s="33">
        <f t="shared" si="396"/>
        <v>-0.99999960189298798</v>
      </c>
      <c r="W759" s="33">
        <f t="shared" si="397"/>
        <v>398.94380039810699</v>
      </c>
      <c r="X759" s="33">
        <v>96485</v>
      </c>
      <c r="Y759" s="16">
        <f t="shared" si="398"/>
        <v>-241.85101132631303</v>
      </c>
      <c r="Z759" s="16">
        <v>6</v>
      </c>
      <c r="AA759" s="16">
        <v>13</v>
      </c>
      <c r="AB759" s="8">
        <f t="shared" si="399"/>
        <v>0.291497975708502</v>
      </c>
      <c r="AC759" s="16">
        <f t="shared" si="383"/>
        <v>61.758677094131734</v>
      </c>
      <c r="AD759" s="20">
        <f>'PFAS Properties'!$W$44</f>
        <v>6</v>
      </c>
      <c r="AE759" s="8">
        <f>'PFAS Properties'!$S$44</f>
        <v>3.7905666251460763</v>
      </c>
      <c r="AF759" s="15">
        <f>'PFAS Properties'!$V$44</f>
        <v>3.6</v>
      </c>
      <c r="AG759" s="24">
        <v>6.5</v>
      </c>
      <c r="AH759" s="2" t="s">
        <v>85</v>
      </c>
      <c r="AI759" s="2">
        <v>3.27</v>
      </c>
      <c r="AJ759" s="15">
        <f t="shared" si="388"/>
        <v>58.554928820843408</v>
      </c>
      <c r="AK759" s="8">
        <f t="shared" si="389"/>
        <v>0.32700000000000001</v>
      </c>
      <c r="AL759" s="2">
        <v>1.42</v>
      </c>
      <c r="AM759" s="15">
        <f t="shared" si="390"/>
        <v>52.631578947368418</v>
      </c>
      <c r="AN759" s="8">
        <f t="shared" si="391"/>
        <v>0.14199999999999999</v>
      </c>
      <c r="AO759" s="15" t="s">
        <v>86</v>
      </c>
      <c r="AP759" s="15">
        <v>12.67</v>
      </c>
      <c r="AQ759" s="15" t="s">
        <v>711</v>
      </c>
      <c r="AR759" s="16">
        <v>49</v>
      </c>
      <c r="AS759" s="16">
        <v>8</v>
      </c>
      <c r="AT759" s="16">
        <v>43</v>
      </c>
      <c r="AU759" s="15" t="s">
        <v>664</v>
      </c>
      <c r="AV759" s="16">
        <f t="shared" si="393"/>
        <v>100</v>
      </c>
      <c r="AW759" s="20">
        <v>1.3</v>
      </c>
      <c r="AX759" s="8">
        <f t="shared" si="392"/>
        <v>1.3000000000000001E-2</v>
      </c>
      <c r="AY759" s="8" t="s">
        <v>87</v>
      </c>
      <c r="AZ759" s="16">
        <v>20</v>
      </c>
      <c r="BA759" s="16" t="s">
        <v>55</v>
      </c>
      <c r="BB759" s="16" t="s">
        <v>391</v>
      </c>
      <c r="BC759" s="16" t="s">
        <v>55</v>
      </c>
      <c r="BD759" s="20">
        <v>0.52</v>
      </c>
      <c r="BE759" s="15">
        <f t="shared" si="381"/>
        <v>40</v>
      </c>
      <c r="BF759" s="15">
        <f t="shared" si="400"/>
        <v>1.6020599913279623</v>
      </c>
      <c r="BG759" s="8">
        <f t="shared" si="401"/>
        <v>-0.28399665636520083</v>
      </c>
      <c r="BH759" s="13" t="s">
        <v>841</v>
      </c>
      <c r="BI759" s="2"/>
      <c r="BJ759" s="2"/>
      <c r="BK759" s="2"/>
      <c r="BL759" s="2"/>
      <c r="BM759" s="2"/>
      <c r="BN759" s="2"/>
      <c r="BO759" s="2"/>
    </row>
    <row r="760" spans="1:67" s="14" customFormat="1" x14ac:dyDescent="0.3">
      <c r="A760" s="20">
        <v>758</v>
      </c>
      <c r="B760" s="2" t="s">
        <v>219</v>
      </c>
      <c r="C760" s="2">
        <v>2020</v>
      </c>
      <c r="D760" s="2" t="s">
        <v>205</v>
      </c>
      <c r="E760" s="10" t="s">
        <v>802</v>
      </c>
      <c r="F760" s="20" t="s">
        <v>29</v>
      </c>
      <c r="G760" s="2">
        <v>27</v>
      </c>
      <c r="H760" s="2" t="str">
        <f>'PFAS Properties'!$B$44</f>
        <v>PFHxS</v>
      </c>
      <c r="I760" s="2" t="str">
        <f>'PFAS Properties'!$C$44</f>
        <v>PFSA</v>
      </c>
      <c r="J760" s="2" t="str">
        <f>'PFAS Properties'!$D$44</f>
        <v>C6F13O3SH</v>
      </c>
      <c r="K760" s="25">
        <f>'PFAS Properties'!$P$44</f>
        <v>399.94379999999995</v>
      </c>
      <c r="L760" s="2">
        <f>'PFAS Properties'!$X$44</f>
        <v>0.1</v>
      </c>
      <c r="M760" s="2" t="str">
        <f>'PFAS Properties'!$Y$44</f>
        <v>-</v>
      </c>
      <c r="N760" s="33">
        <v>0</v>
      </c>
      <c r="O760" s="33">
        <v>0</v>
      </c>
      <c r="P760" s="33">
        <v>0</v>
      </c>
      <c r="Q760" s="33">
        <f t="shared" si="385"/>
        <v>0.99998741090436938</v>
      </c>
      <c r="R760" s="33">
        <v>0</v>
      </c>
      <c r="S760" s="33">
        <f t="shared" si="386"/>
        <v>1.258909563061765E-5</v>
      </c>
      <c r="T760" s="8">
        <f t="shared" si="394"/>
        <v>1</v>
      </c>
      <c r="U760" s="33">
        <f t="shared" si="395"/>
        <v>0</v>
      </c>
      <c r="V760" s="33">
        <f t="shared" si="396"/>
        <v>-0.99998741090436938</v>
      </c>
      <c r="W760" s="33">
        <f t="shared" si="397"/>
        <v>398.94381258909556</v>
      </c>
      <c r="X760" s="33">
        <v>96485</v>
      </c>
      <c r="Y760" s="16">
        <f t="shared" si="398"/>
        <v>-241.84805553178114</v>
      </c>
      <c r="Z760" s="16">
        <v>6</v>
      </c>
      <c r="AA760" s="16">
        <v>13</v>
      </c>
      <c r="AB760" s="8">
        <f t="shared" si="399"/>
        <v>0.291497975708502</v>
      </c>
      <c r="AC760" s="16">
        <f t="shared" si="383"/>
        <v>61.758677094131734</v>
      </c>
      <c r="AD760" s="20">
        <f>'PFAS Properties'!$W$44</f>
        <v>6</v>
      </c>
      <c r="AE760" s="8">
        <f>'PFAS Properties'!$S$44</f>
        <v>3.7905666251460763</v>
      </c>
      <c r="AF760" s="15">
        <f>'PFAS Properties'!$V$44</f>
        <v>3.6</v>
      </c>
      <c r="AG760" s="24">
        <v>5</v>
      </c>
      <c r="AH760" s="2" t="s">
        <v>85</v>
      </c>
      <c r="AI760" s="2">
        <v>10.4</v>
      </c>
      <c r="AJ760" s="15">
        <f t="shared" si="388"/>
        <v>186.22974303876802</v>
      </c>
      <c r="AK760" s="8">
        <f t="shared" si="389"/>
        <v>1.04</v>
      </c>
      <c r="AL760" s="2">
        <v>4.1500000000000004</v>
      </c>
      <c r="AM760" s="15">
        <f t="shared" si="390"/>
        <v>153.81764269829503</v>
      </c>
      <c r="AN760" s="8">
        <f t="shared" si="391"/>
        <v>0.41500000000000004</v>
      </c>
      <c r="AO760" s="15" t="s">
        <v>86</v>
      </c>
      <c r="AP760" s="15">
        <v>6.82</v>
      </c>
      <c r="AQ760" s="15" t="s">
        <v>711</v>
      </c>
      <c r="AR760" s="16">
        <v>24</v>
      </c>
      <c r="AS760" s="16">
        <v>29</v>
      </c>
      <c r="AT760" s="16">
        <v>47</v>
      </c>
      <c r="AU760" s="15" t="s">
        <v>664</v>
      </c>
      <c r="AV760" s="16">
        <f t="shared" si="393"/>
        <v>100</v>
      </c>
      <c r="AW760" s="20">
        <v>2</v>
      </c>
      <c r="AX760" s="8">
        <f t="shared" si="392"/>
        <v>0.02</v>
      </c>
      <c r="AY760" s="8" t="s">
        <v>87</v>
      </c>
      <c r="AZ760" s="16">
        <v>20</v>
      </c>
      <c r="BA760" s="16" t="s">
        <v>55</v>
      </c>
      <c r="BB760" s="16" t="s">
        <v>391</v>
      </c>
      <c r="BC760" s="16" t="s">
        <v>55</v>
      </c>
      <c r="BD760" s="20">
        <v>1.37</v>
      </c>
      <c r="BE760" s="15">
        <f t="shared" si="381"/>
        <v>68.5</v>
      </c>
      <c r="BF760" s="15">
        <f t="shared" si="400"/>
        <v>1.8356905714924256</v>
      </c>
      <c r="BG760" s="8">
        <f t="shared" si="401"/>
        <v>0.13672056715640679</v>
      </c>
      <c r="BH760" s="13" t="s">
        <v>841</v>
      </c>
      <c r="BI760" s="48"/>
      <c r="BJ760" s="48"/>
      <c r="BK760" s="48"/>
      <c r="BL760" s="48"/>
      <c r="BM760" s="60"/>
      <c r="BN760" s="60"/>
      <c r="BO760" s="61"/>
    </row>
    <row r="761" spans="1:67" s="14" customFormat="1" x14ac:dyDescent="0.3">
      <c r="A761" s="20">
        <v>759</v>
      </c>
      <c r="B761" s="2" t="s">
        <v>219</v>
      </c>
      <c r="C761" s="2">
        <v>2020</v>
      </c>
      <c r="D761" s="2" t="s">
        <v>205</v>
      </c>
      <c r="E761" s="10" t="s">
        <v>802</v>
      </c>
      <c r="F761" s="20" t="s">
        <v>29</v>
      </c>
      <c r="G761" s="2">
        <v>28</v>
      </c>
      <c r="H761" s="2" t="str">
        <f>'PFAS Properties'!$B$44</f>
        <v>PFHxS</v>
      </c>
      <c r="I761" s="2" t="str">
        <f>'PFAS Properties'!$C$44</f>
        <v>PFSA</v>
      </c>
      <c r="J761" s="2" t="str">
        <f>'PFAS Properties'!$D$44</f>
        <v>C6F13O3SH</v>
      </c>
      <c r="K761" s="25">
        <f>'PFAS Properties'!$P$44</f>
        <v>399.94379999999995</v>
      </c>
      <c r="L761" s="2">
        <f>'PFAS Properties'!$X$44</f>
        <v>0.1</v>
      </c>
      <c r="M761" s="2" t="str">
        <f>'PFAS Properties'!$Y$44</f>
        <v>-</v>
      </c>
      <c r="N761" s="33">
        <v>0</v>
      </c>
      <c r="O761" s="33">
        <v>0</v>
      </c>
      <c r="P761" s="33">
        <v>0</v>
      </c>
      <c r="Q761" s="33">
        <f t="shared" si="385"/>
        <v>0.99999984151070587</v>
      </c>
      <c r="R761" s="33">
        <v>0</v>
      </c>
      <c r="S761" s="33">
        <f t="shared" si="386"/>
        <v>1.584892941272506E-7</v>
      </c>
      <c r="T761" s="8">
        <f t="shared" si="394"/>
        <v>1</v>
      </c>
      <c r="U761" s="33">
        <f t="shared" si="395"/>
        <v>0</v>
      </c>
      <c r="V761" s="33">
        <f t="shared" si="396"/>
        <v>-0.99999984151070587</v>
      </c>
      <c r="W761" s="33">
        <f t="shared" si="397"/>
        <v>398.94380015848924</v>
      </c>
      <c r="X761" s="33">
        <v>96485</v>
      </c>
      <c r="Y761" s="16">
        <f t="shared" si="398"/>
        <v>-241.8510694233866</v>
      </c>
      <c r="Z761" s="16">
        <v>6</v>
      </c>
      <c r="AA761" s="16">
        <v>13</v>
      </c>
      <c r="AB761" s="8">
        <f t="shared" si="399"/>
        <v>0.291497975708502</v>
      </c>
      <c r="AC761" s="16">
        <f t="shared" si="383"/>
        <v>61.758677094131734</v>
      </c>
      <c r="AD761" s="20">
        <f>'PFAS Properties'!$W$44</f>
        <v>6</v>
      </c>
      <c r="AE761" s="8">
        <f>'PFAS Properties'!$S$44</f>
        <v>3.7905666251460763</v>
      </c>
      <c r="AF761" s="15">
        <f>'PFAS Properties'!$V$44</f>
        <v>3.6</v>
      </c>
      <c r="AG761" s="24">
        <v>6.9</v>
      </c>
      <c r="AH761" s="2" t="s">
        <v>85</v>
      </c>
      <c r="AI761" s="2">
        <v>4.2</v>
      </c>
      <c r="AJ761" s="15">
        <f t="shared" si="388"/>
        <v>75.208165457964014</v>
      </c>
      <c r="AK761" s="8">
        <f t="shared" si="389"/>
        <v>0.42000000000000004</v>
      </c>
      <c r="AL761" s="2">
        <v>1.48</v>
      </c>
      <c r="AM761" s="15">
        <f t="shared" si="390"/>
        <v>54.855448480355818</v>
      </c>
      <c r="AN761" s="8">
        <f t="shared" si="391"/>
        <v>0.14799999999999999</v>
      </c>
      <c r="AO761" s="15" t="s">
        <v>86</v>
      </c>
      <c r="AP761" s="15">
        <v>20.41</v>
      </c>
      <c r="AQ761" s="15" t="s">
        <v>711</v>
      </c>
      <c r="AR761" s="16">
        <v>42</v>
      </c>
      <c r="AS761" s="16">
        <v>6</v>
      </c>
      <c r="AT761" s="16">
        <v>52</v>
      </c>
      <c r="AU761" s="15" t="s">
        <v>664</v>
      </c>
      <c r="AV761" s="16">
        <f t="shared" si="393"/>
        <v>100</v>
      </c>
      <c r="AW761" s="20">
        <v>1.8</v>
      </c>
      <c r="AX761" s="8">
        <f t="shared" si="392"/>
        <v>1.8000000000000002E-2</v>
      </c>
      <c r="AY761" s="8" t="s">
        <v>87</v>
      </c>
      <c r="AZ761" s="16">
        <v>20</v>
      </c>
      <c r="BA761" s="16" t="s">
        <v>55</v>
      </c>
      <c r="BB761" s="16" t="s">
        <v>391</v>
      </c>
      <c r="BC761" s="16" t="s">
        <v>55</v>
      </c>
      <c r="BD761" s="20">
        <v>1.28</v>
      </c>
      <c r="BE761" s="15">
        <f t="shared" si="381"/>
        <v>71.1111111111111</v>
      </c>
      <c r="BF761" s="15">
        <f t="shared" si="400"/>
        <v>1.8519374645445623</v>
      </c>
      <c r="BG761" s="8">
        <f t="shared" si="401"/>
        <v>0.10720996964786837</v>
      </c>
      <c r="BH761" s="13" t="s">
        <v>841</v>
      </c>
      <c r="BI761" s="48"/>
      <c r="BJ761" s="48"/>
      <c r="BK761" s="48"/>
      <c r="BL761" s="48"/>
      <c r="BM761" s="60"/>
      <c r="BN761" s="60"/>
      <c r="BO761" s="61"/>
    </row>
    <row r="762" spans="1:67" s="14" customFormat="1" x14ac:dyDescent="0.3">
      <c r="A762" s="20">
        <v>760</v>
      </c>
      <c r="B762" s="2" t="s">
        <v>195</v>
      </c>
      <c r="C762" s="2">
        <v>2018</v>
      </c>
      <c r="D762" s="2" t="s">
        <v>199</v>
      </c>
      <c r="E762" s="22" t="s">
        <v>795</v>
      </c>
      <c r="F762" s="20" t="s">
        <v>29</v>
      </c>
      <c r="G762" s="2" t="s">
        <v>47</v>
      </c>
      <c r="H762" s="2" t="str">
        <f>'PFAS Properties'!$B$44</f>
        <v>PFHxS</v>
      </c>
      <c r="I762" s="2" t="str">
        <f>'PFAS Properties'!$C$44</f>
        <v>PFSA</v>
      </c>
      <c r="J762" s="2" t="str">
        <f>'PFAS Properties'!$D$44</f>
        <v>C6F13O3SH</v>
      </c>
      <c r="K762" s="25">
        <f>'PFAS Properties'!$P$44</f>
        <v>399.94379999999995</v>
      </c>
      <c r="L762" s="2">
        <f>'PFAS Properties'!$X$44</f>
        <v>0.1</v>
      </c>
      <c r="M762" s="2" t="str">
        <f>'PFAS Properties'!$Y$44</f>
        <v>-</v>
      </c>
      <c r="N762" s="33">
        <v>0</v>
      </c>
      <c r="O762" s="33">
        <v>0</v>
      </c>
      <c r="P762" s="33">
        <v>0</v>
      </c>
      <c r="Q762" s="33">
        <f t="shared" si="385"/>
        <v>0.99996019086777477</v>
      </c>
      <c r="R762" s="33">
        <v>0</v>
      </c>
      <c r="S762" s="33">
        <f t="shared" si="386"/>
        <v>3.9809132225250393E-5</v>
      </c>
      <c r="T762" s="8">
        <f t="shared" si="394"/>
        <v>1</v>
      </c>
      <c r="U762" s="33">
        <f t="shared" si="395"/>
        <v>0</v>
      </c>
      <c r="V762" s="33">
        <f t="shared" si="396"/>
        <v>-0.99996019086777477</v>
      </c>
      <c r="W762" s="33">
        <f t="shared" si="397"/>
        <v>398.94383980913216</v>
      </c>
      <c r="X762" s="33">
        <v>96485</v>
      </c>
      <c r="Y762" s="16">
        <f t="shared" si="398"/>
        <v>-241.84145583507944</v>
      </c>
      <c r="Z762" s="16">
        <v>6</v>
      </c>
      <c r="AA762" s="16">
        <v>13</v>
      </c>
      <c r="AB762" s="8">
        <f t="shared" si="399"/>
        <v>0.291497975708502</v>
      </c>
      <c r="AC762" s="16">
        <f t="shared" si="383"/>
        <v>61.758677094131734</v>
      </c>
      <c r="AD762" s="20">
        <f>'PFAS Properties'!$W$44</f>
        <v>6</v>
      </c>
      <c r="AE762" s="8">
        <f>'PFAS Properties'!$S$44</f>
        <v>3.7905666251460763</v>
      </c>
      <c r="AF762" s="15">
        <f>'PFAS Properties'!$V$44</f>
        <v>3.6</v>
      </c>
      <c r="AG762" s="24">
        <v>4.5</v>
      </c>
      <c r="AH762" s="2" t="s">
        <v>658</v>
      </c>
      <c r="AI762" s="8">
        <f>AJ762*55.845/1000</f>
        <v>5.8637250000000002E-2</v>
      </c>
      <c r="AJ762" s="16">
        <v>1.05</v>
      </c>
      <c r="AK762" s="8">
        <f t="shared" si="389"/>
        <v>5.8637250000000002E-3</v>
      </c>
      <c r="AL762" s="15">
        <f>AM762*26.98/1000</f>
        <v>0.18454320000000002</v>
      </c>
      <c r="AM762" s="16">
        <v>6.84</v>
      </c>
      <c r="AN762" s="8">
        <f t="shared" si="391"/>
        <v>1.8454320000000003E-2</v>
      </c>
      <c r="AO762" s="2" t="s">
        <v>48</v>
      </c>
      <c r="AP762" s="72">
        <v>21.496500000000001</v>
      </c>
      <c r="AQ762" s="70" t="s">
        <v>752</v>
      </c>
      <c r="AR762" s="71">
        <v>41.737499999999997</v>
      </c>
      <c r="AS762" s="71">
        <v>35.036999999999999</v>
      </c>
      <c r="AT762" s="71">
        <v>21.971</v>
      </c>
      <c r="AU762" s="70" t="s">
        <v>752</v>
      </c>
      <c r="AV762" s="16">
        <f t="shared" si="393"/>
        <v>98.745499999999993</v>
      </c>
      <c r="AW762" s="20">
        <v>45</v>
      </c>
      <c r="AX762" s="8">
        <f t="shared" si="392"/>
        <v>0.45</v>
      </c>
      <c r="AY762" s="8" t="s">
        <v>49</v>
      </c>
      <c r="AZ762" s="16">
        <f>0.45/0.04</f>
        <v>11.25</v>
      </c>
      <c r="BA762" s="16" t="s">
        <v>55</v>
      </c>
      <c r="BB762" s="8">
        <v>1.25</v>
      </c>
      <c r="BC762" s="8" t="s">
        <v>55</v>
      </c>
      <c r="BD762" s="25">
        <f>(10^(1.9)*AX762)</f>
        <v>35.744770562592691</v>
      </c>
      <c r="BE762" s="15">
        <f t="shared" si="381"/>
        <v>79.432823472428197</v>
      </c>
      <c r="BF762" s="15">
        <f t="shared" si="400"/>
        <v>1.9000000000000004</v>
      </c>
      <c r="BG762" s="8">
        <f t="shared" si="401"/>
        <v>1.5532125137753439</v>
      </c>
      <c r="BH762" s="2" t="s">
        <v>827</v>
      </c>
      <c r="BI762" s="13"/>
      <c r="BJ762" s="13"/>
      <c r="BK762" s="17"/>
      <c r="BL762" s="17"/>
      <c r="BM762" s="13"/>
      <c r="BN762" s="15"/>
      <c r="BO762" s="2"/>
    </row>
    <row r="763" spans="1:67" s="14" customFormat="1" x14ac:dyDescent="0.3">
      <c r="A763" s="20">
        <v>761</v>
      </c>
      <c r="B763" s="2" t="s">
        <v>195</v>
      </c>
      <c r="C763" s="2">
        <v>2022</v>
      </c>
      <c r="D763" s="2" t="s">
        <v>199</v>
      </c>
      <c r="E763" s="10" t="s">
        <v>798</v>
      </c>
      <c r="F763" s="20" t="s">
        <v>29</v>
      </c>
      <c r="G763" s="2" t="s">
        <v>237</v>
      </c>
      <c r="H763" s="2" t="str">
        <f>'PFAS Properties'!$B$44</f>
        <v>PFHxS</v>
      </c>
      <c r="I763" s="2" t="str">
        <f>'PFAS Properties'!$C$44</f>
        <v>PFSA</v>
      </c>
      <c r="J763" s="2" t="str">
        <f>'PFAS Properties'!$D$44</f>
        <v>C6F13O3SH</v>
      </c>
      <c r="K763" s="25">
        <f>'PFAS Properties'!$P$44</f>
        <v>399.94379999999995</v>
      </c>
      <c r="L763" s="2">
        <f>'PFAS Properties'!$X$44</f>
        <v>0.1</v>
      </c>
      <c r="M763" s="2" t="str">
        <f>'PFAS Properties'!$Y$44</f>
        <v>-</v>
      </c>
      <c r="N763" s="33">
        <v>0</v>
      </c>
      <c r="O763" s="33">
        <v>0</v>
      </c>
      <c r="P763" s="33">
        <v>0</v>
      </c>
      <c r="Q763" s="33">
        <f t="shared" si="385"/>
        <v>0.99968387220237043</v>
      </c>
      <c r="R763" s="33">
        <v>0</v>
      </c>
      <c r="S763" s="33">
        <f t="shared" si="386"/>
        <v>3.1612779762961761E-4</v>
      </c>
      <c r="T763" s="8">
        <f t="shared" si="394"/>
        <v>1</v>
      </c>
      <c r="U763" s="33">
        <f t="shared" si="395"/>
        <v>0</v>
      </c>
      <c r="V763" s="33">
        <f t="shared" si="396"/>
        <v>-0.99968387220237043</v>
      </c>
      <c r="W763" s="33">
        <f t="shared" si="397"/>
        <v>398.9441161277976</v>
      </c>
      <c r="X763" s="33">
        <v>96485</v>
      </c>
      <c r="Y763" s="16">
        <f t="shared" si="398"/>
        <v>-241.77446040725039</v>
      </c>
      <c r="Z763" s="16">
        <v>6</v>
      </c>
      <c r="AA763" s="16">
        <v>13</v>
      </c>
      <c r="AB763" s="8">
        <f t="shared" si="399"/>
        <v>0.291497975708502</v>
      </c>
      <c r="AC763" s="16">
        <f t="shared" si="383"/>
        <v>61.758677094131734</v>
      </c>
      <c r="AD763" s="20">
        <f>'PFAS Properties'!$W$44</f>
        <v>6</v>
      </c>
      <c r="AE763" s="8">
        <f>'PFAS Properties'!$S$44</f>
        <v>3.7905666251460763</v>
      </c>
      <c r="AF763" s="15">
        <f>'PFAS Properties'!$V$44</f>
        <v>3.6</v>
      </c>
      <c r="AG763" s="24">
        <v>3.6</v>
      </c>
      <c r="AH763" s="2" t="s">
        <v>832</v>
      </c>
      <c r="AI763" s="8">
        <f>(6.8*55.845)/1000</f>
        <v>0.37974599999999997</v>
      </c>
      <c r="AJ763" s="15">
        <f>AI763*1000/55.845</f>
        <v>6.8</v>
      </c>
      <c r="AK763" s="8">
        <f t="shared" si="389"/>
        <v>3.7974599999999997E-2</v>
      </c>
      <c r="AL763" s="8">
        <f>(4*26.982)/1000</f>
        <v>0.107928</v>
      </c>
      <c r="AM763" s="15">
        <f>AL763*1000/55.845</f>
        <v>1.932634971796938</v>
      </c>
      <c r="AN763" s="8">
        <f t="shared" si="391"/>
        <v>1.07928E-2</v>
      </c>
      <c r="AO763" s="2" t="s">
        <v>86</v>
      </c>
      <c r="AP763" s="72">
        <v>14.768748</v>
      </c>
      <c r="AQ763" s="70" t="s">
        <v>752</v>
      </c>
      <c r="AR763" s="71">
        <v>37.396533331999997</v>
      </c>
      <c r="AS763" s="71">
        <v>37.430266667999987</v>
      </c>
      <c r="AT763" s="71">
        <v>24.989000000000001</v>
      </c>
      <c r="AU763" s="70" t="s">
        <v>752</v>
      </c>
      <c r="AV763" s="16">
        <f t="shared" ref="AV763:AV765" si="402">SUM(AR763:AT763)</f>
        <v>99.815799999999996</v>
      </c>
      <c r="AW763" s="20">
        <v>44.9</v>
      </c>
      <c r="AX763" s="8">
        <f t="shared" si="392"/>
        <v>0.44900000000000001</v>
      </c>
      <c r="AY763" s="8" t="s">
        <v>240</v>
      </c>
      <c r="AZ763" s="16">
        <f t="shared" ref="AZ763:AZ765" si="403">0.75/0.03</f>
        <v>25</v>
      </c>
      <c r="BA763" s="16" t="s">
        <v>55</v>
      </c>
      <c r="BB763" s="16">
        <f>56*K763/1000</f>
        <v>22.396852799999998</v>
      </c>
      <c r="BC763" s="16" t="s">
        <v>55</v>
      </c>
      <c r="BD763" s="25">
        <f>(10^(1.54)*AX763)</f>
        <v>15.568484585318679</v>
      </c>
      <c r="BE763" s="15">
        <f t="shared" si="381"/>
        <v>34.67368504525318</v>
      </c>
      <c r="BF763" s="15">
        <f t="shared" si="400"/>
        <v>1.5400000000000003</v>
      </c>
      <c r="BG763" s="8">
        <f t="shared" si="401"/>
        <v>1.1922463410033235</v>
      </c>
      <c r="BH763" s="2" t="s">
        <v>828</v>
      </c>
      <c r="BI763" s="48"/>
      <c r="BJ763" s="48"/>
      <c r="BK763" s="48"/>
      <c r="BL763" s="47"/>
      <c r="BM763" s="50"/>
      <c r="BN763" s="47"/>
      <c r="BO763" s="52"/>
    </row>
    <row r="764" spans="1:67" s="14" customFormat="1" x14ac:dyDescent="0.3">
      <c r="A764" s="20">
        <v>762</v>
      </c>
      <c r="B764" s="2" t="s">
        <v>195</v>
      </c>
      <c r="C764" s="2">
        <v>2022</v>
      </c>
      <c r="D764" s="2" t="s">
        <v>199</v>
      </c>
      <c r="E764" s="10" t="s">
        <v>798</v>
      </c>
      <c r="F764" s="20" t="s">
        <v>29</v>
      </c>
      <c r="G764" s="2" t="s">
        <v>238</v>
      </c>
      <c r="H764" s="2" t="str">
        <f>'PFAS Properties'!$B$44</f>
        <v>PFHxS</v>
      </c>
      <c r="I764" s="2" t="str">
        <f>'PFAS Properties'!$C$44</f>
        <v>PFSA</v>
      </c>
      <c r="J764" s="2" t="str">
        <f>'PFAS Properties'!$D$44</f>
        <v>C6F13O3SH</v>
      </c>
      <c r="K764" s="25">
        <f>'PFAS Properties'!$P$44</f>
        <v>399.94379999999995</v>
      </c>
      <c r="L764" s="2">
        <f>'PFAS Properties'!$X$44</f>
        <v>0.1</v>
      </c>
      <c r="M764" s="2" t="str">
        <f>'PFAS Properties'!$Y$44</f>
        <v>-</v>
      </c>
      <c r="N764" s="33">
        <v>0</v>
      </c>
      <c r="O764" s="33">
        <v>0</v>
      </c>
      <c r="P764" s="33">
        <v>0</v>
      </c>
      <c r="Q764" s="33">
        <f t="shared" si="385"/>
        <v>0.99990000999900008</v>
      </c>
      <c r="R764" s="33">
        <v>0</v>
      </c>
      <c r="S764" s="33">
        <f t="shared" si="386"/>
        <v>9.9990000999900097E-5</v>
      </c>
      <c r="T764" s="8">
        <f t="shared" si="394"/>
        <v>1</v>
      </c>
      <c r="U764" s="33">
        <f t="shared" si="395"/>
        <v>0</v>
      </c>
      <c r="V764" s="33">
        <f t="shared" si="396"/>
        <v>-0.99990000999900008</v>
      </c>
      <c r="W764" s="33">
        <f t="shared" si="397"/>
        <v>398.94389999000094</v>
      </c>
      <c r="X764" s="33">
        <v>96485</v>
      </c>
      <c r="Y764" s="16">
        <f t="shared" si="398"/>
        <v>-241.82686454704927</v>
      </c>
      <c r="Z764" s="16">
        <v>6</v>
      </c>
      <c r="AA764" s="16">
        <v>13</v>
      </c>
      <c r="AB764" s="8">
        <f t="shared" si="399"/>
        <v>0.291497975708502</v>
      </c>
      <c r="AC764" s="16">
        <f t="shared" si="383"/>
        <v>61.758677094131734</v>
      </c>
      <c r="AD764" s="20">
        <f>'PFAS Properties'!$W$44</f>
        <v>6</v>
      </c>
      <c r="AE764" s="8">
        <f>'PFAS Properties'!$S$44</f>
        <v>3.7905666251460763</v>
      </c>
      <c r="AF764" s="15">
        <f>'PFAS Properties'!$V$44</f>
        <v>3.6</v>
      </c>
      <c r="AG764" s="24">
        <v>4.0999999999999996</v>
      </c>
      <c r="AH764" s="2" t="s">
        <v>832</v>
      </c>
      <c r="AI764" s="8">
        <f>(28*55.845)/1000</f>
        <v>1.5636599999999998</v>
      </c>
      <c r="AJ764" s="15">
        <f>AI764*1000/55.845</f>
        <v>27.999999999999996</v>
      </c>
      <c r="AK764" s="8">
        <f t="shared" si="389"/>
        <v>0.15636599999999998</v>
      </c>
      <c r="AL764" s="8">
        <f>(17*26.982)/1000</f>
        <v>0.45869399999999994</v>
      </c>
      <c r="AM764" s="15">
        <f>AL764*1000/55.845</f>
        <v>8.2136986301369852</v>
      </c>
      <c r="AN764" s="8">
        <f t="shared" si="391"/>
        <v>4.5869399999999991E-2</v>
      </c>
      <c r="AO764" s="2" t="s">
        <v>86</v>
      </c>
      <c r="AP764" s="72">
        <v>14.715147999999999</v>
      </c>
      <c r="AQ764" s="70" t="s">
        <v>752</v>
      </c>
      <c r="AR764" s="71">
        <v>37.490533331999998</v>
      </c>
      <c r="AS764" s="71">
        <v>37.393866668000001</v>
      </c>
      <c r="AT764" s="71">
        <v>24.9392</v>
      </c>
      <c r="AU764" s="70" t="s">
        <v>752</v>
      </c>
      <c r="AV764" s="16">
        <f t="shared" si="402"/>
        <v>99.823599999999999</v>
      </c>
      <c r="AW764" s="20">
        <v>46.6</v>
      </c>
      <c r="AX764" s="8">
        <f t="shared" si="392"/>
        <v>0.46600000000000003</v>
      </c>
      <c r="AY764" s="8" t="s">
        <v>240</v>
      </c>
      <c r="AZ764" s="16">
        <f t="shared" si="403"/>
        <v>25</v>
      </c>
      <c r="BA764" s="16" t="s">
        <v>55</v>
      </c>
      <c r="BB764" s="16">
        <f>56*K764/1000</f>
        <v>22.396852799999998</v>
      </c>
      <c r="BC764" s="16" t="s">
        <v>55</v>
      </c>
      <c r="BD764" s="25">
        <f>(10^(1.51)*AX764)</f>
        <v>15.079464412920681</v>
      </c>
      <c r="BE764" s="15">
        <f t="shared" si="381"/>
        <v>32.359365692962832</v>
      </c>
      <c r="BF764" s="15">
        <f t="shared" si="400"/>
        <v>1.51</v>
      </c>
      <c r="BG764" s="8">
        <f t="shared" si="401"/>
        <v>1.1783859166900004</v>
      </c>
      <c r="BH764" s="2" t="s">
        <v>828</v>
      </c>
      <c r="BI764" s="61"/>
      <c r="BJ764" s="61"/>
      <c r="BK764" s="61"/>
      <c r="BL764" s="61"/>
      <c r="BM764" s="62"/>
      <c r="BN764" s="62"/>
      <c r="BO764" s="61"/>
    </row>
    <row r="765" spans="1:67" s="14" customFormat="1" x14ac:dyDescent="0.3">
      <c r="A765" s="20">
        <v>763</v>
      </c>
      <c r="B765" s="2" t="s">
        <v>195</v>
      </c>
      <c r="C765" s="2">
        <v>2022</v>
      </c>
      <c r="D765" s="2" t="s">
        <v>199</v>
      </c>
      <c r="E765" s="10" t="s">
        <v>798</v>
      </c>
      <c r="F765" s="20" t="s">
        <v>29</v>
      </c>
      <c r="G765" s="2" t="s">
        <v>239</v>
      </c>
      <c r="H765" s="2" t="str">
        <f>'PFAS Properties'!$B$44</f>
        <v>PFHxS</v>
      </c>
      <c r="I765" s="2" t="str">
        <f>'PFAS Properties'!$C$44</f>
        <v>PFSA</v>
      </c>
      <c r="J765" s="2" t="str">
        <f>'PFAS Properties'!$D$44</f>
        <v>C6F13O3SH</v>
      </c>
      <c r="K765" s="25">
        <f>'PFAS Properties'!$P$44</f>
        <v>399.94379999999995</v>
      </c>
      <c r="L765" s="2">
        <f>'PFAS Properties'!$X$44</f>
        <v>0.1</v>
      </c>
      <c r="M765" s="2" t="str">
        <f>'PFAS Properties'!$Y$44</f>
        <v>-</v>
      </c>
      <c r="N765" s="33">
        <v>0</v>
      </c>
      <c r="O765" s="33">
        <v>0</v>
      </c>
      <c r="P765" s="33">
        <v>0</v>
      </c>
      <c r="Q765" s="33">
        <f t="shared" si="385"/>
        <v>0.99987412330575753</v>
      </c>
      <c r="R765" s="33">
        <v>0</v>
      </c>
      <c r="S765" s="33">
        <f t="shared" si="386"/>
        <v>1.2587669424250327E-4</v>
      </c>
      <c r="T765" s="8">
        <f t="shared" si="394"/>
        <v>1</v>
      </c>
      <c r="U765" s="33">
        <f t="shared" si="395"/>
        <v>0</v>
      </c>
      <c r="V765" s="33">
        <f t="shared" si="396"/>
        <v>-0.99987412330575753</v>
      </c>
      <c r="W765" s="33">
        <f t="shared" si="397"/>
        <v>398.94392587669421</v>
      </c>
      <c r="X765" s="33">
        <v>96485</v>
      </c>
      <c r="Y765" s="16">
        <f t="shared" si="398"/>
        <v>-241.82058813191176</v>
      </c>
      <c r="Z765" s="16">
        <v>6</v>
      </c>
      <c r="AA765" s="16">
        <v>13</v>
      </c>
      <c r="AB765" s="8">
        <f t="shared" si="399"/>
        <v>0.291497975708502</v>
      </c>
      <c r="AC765" s="16">
        <f t="shared" si="383"/>
        <v>61.758677094131734</v>
      </c>
      <c r="AD765" s="20">
        <f>'PFAS Properties'!$W$44</f>
        <v>6</v>
      </c>
      <c r="AE765" s="8">
        <f>'PFAS Properties'!$S$44</f>
        <v>3.7905666251460763</v>
      </c>
      <c r="AF765" s="15">
        <f>'PFAS Properties'!$V$44</f>
        <v>3.6</v>
      </c>
      <c r="AG765" s="24">
        <v>4</v>
      </c>
      <c r="AH765" s="2" t="s">
        <v>832</v>
      </c>
      <c r="AI765" s="8">
        <f>(5*55.845)/1000</f>
        <v>0.279225</v>
      </c>
      <c r="AJ765" s="15">
        <f>AI765*1000/55.845</f>
        <v>5.0000000000000009</v>
      </c>
      <c r="AK765" s="8">
        <f t="shared" si="389"/>
        <v>2.7922499999999999E-2</v>
      </c>
      <c r="AL765" s="8">
        <f>(15*26.982)/1000</f>
        <v>0.40473000000000003</v>
      </c>
      <c r="AM765" s="15">
        <f>AL765*1000/55.845</f>
        <v>7.2473811442385179</v>
      </c>
      <c r="AN765" s="8">
        <f t="shared" si="391"/>
        <v>4.0473000000000002E-2</v>
      </c>
      <c r="AO765" s="2" t="s">
        <v>86</v>
      </c>
      <c r="AP765" s="72">
        <v>14.763688</v>
      </c>
      <c r="AQ765" s="70" t="s">
        <v>752</v>
      </c>
      <c r="AR765" s="71">
        <v>37.414333332000012</v>
      </c>
      <c r="AS765" s="71">
        <v>37.430866668</v>
      </c>
      <c r="AT765" s="71">
        <v>24.970400000000001</v>
      </c>
      <c r="AU765" s="70" t="s">
        <v>752</v>
      </c>
      <c r="AV765" s="16">
        <f t="shared" si="402"/>
        <v>99.815600000000003</v>
      </c>
      <c r="AW765" s="20">
        <v>53.6</v>
      </c>
      <c r="AX765" s="8">
        <f t="shared" si="392"/>
        <v>0.53600000000000003</v>
      </c>
      <c r="AY765" s="8" t="s">
        <v>240</v>
      </c>
      <c r="AZ765" s="16">
        <f t="shared" si="403"/>
        <v>25</v>
      </c>
      <c r="BA765" s="16" t="s">
        <v>55</v>
      </c>
      <c r="BB765" s="16">
        <f>56*K765/1000</f>
        <v>22.396852799999998</v>
      </c>
      <c r="BC765" s="16" t="s">
        <v>55</v>
      </c>
      <c r="BD765" s="25">
        <f>(10^(1.72)*AX765)</f>
        <v>28.129679869387825</v>
      </c>
      <c r="BE765" s="15">
        <f t="shared" si="381"/>
        <v>52.480746024977286</v>
      </c>
      <c r="BF765" s="15">
        <f t="shared" si="400"/>
        <v>1.7200000000000002</v>
      </c>
      <c r="BG765" s="8">
        <f t="shared" si="401"/>
        <v>1.4491647896927702</v>
      </c>
      <c r="BH765" s="2" t="s">
        <v>828</v>
      </c>
      <c r="BI765" s="48"/>
      <c r="BJ765" s="48"/>
      <c r="BK765" s="48"/>
      <c r="BL765" s="47"/>
      <c r="BM765" s="50"/>
      <c r="BN765" s="47"/>
      <c r="BO765" s="53"/>
    </row>
    <row r="766" spans="1:67" s="14" customFormat="1" x14ac:dyDescent="0.3">
      <c r="A766" s="20">
        <v>764</v>
      </c>
      <c r="B766" s="2" t="s">
        <v>214</v>
      </c>
      <c r="C766" s="2">
        <v>2022</v>
      </c>
      <c r="D766" s="2" t="s">
        <v>201</v>
      </c>
      <c r="E766" s="10" t="s">
        <v>808</v>
      </c>
      <c r="F766" s="20" t="s">
        <v>29</v>
      </c>
      <c r="G766" s="2" t="s">
        <v>215</v>
      </c>
      <c r="H766" s="2" t="str">
        <f>'PFAS Properties'!$B$45</f>
        <v>PFHpS</v>
      </c>
      <c r="I766" s="2" t="str">
        <f>'PFAS Properties'!$C$45</f>
        <v>PFSA</v>
      </c>
      <c r="J766" s="2" t="str">
        <f>'PFAS Properties'!$D$45</f>
        <v>C7HF15O3S</v>
      </c>
      <c r="K766" s="25">
        <f>'PFAS Properties'!$P$45</f>
        <v>449.94059999999996</v>
      </c>
      <c r="L766" s="2">
        <f>'PFAS Properties'!$X$45</f>
        <v>0.1</v>
      </c>
      <c r="M766" s="2" t="str">
        <f>'PFAS Properties'!$Y$45</f>
        <v>-</v>
      </c>
      <c r="N766" s="33">
        <v>0</v>
      </c>
      <c r="O766" s="33">
        <v>0</v>
      </c>
      <c r="P766" s="33">
        <v>0</v>
      </c>
      <c r="Q766" s="33">
        <f t="shared" si="385"/>
        <v>0.99998004777494953</v>
      </c>
      <c r="R766" s="33">
        <v>0</v>
      </c>
      <c r="S766" s="33">
        <f t="shared" si="386"/>
        <v>1.9952225050461341E-5</v>
      </c>
      <c r="T766" s="8">
        <f t="shared" si="394"/>
        <v>1</v>
      </c>
      <c r="U766" s="33">
        <f t="shared" si="395"/>
        <v>0</v>
      </c>
      <c r="V766" s="33">
        <f t="shared" si="396"/>
        <v>-0.99998004777494953</v>
      </c>
      <c r="W766" s="33">
        <f t="shared" si="397"/>
        <v>448.94061995222501</v>
      </c>
      <c r="X766" s="33">
        <v>96485</v>
      </c>
      <c r="Y766" s="16">
        <f t="shared" si="398"/>
        <v>-214.91277603669158</v>
      </c>
      <c r="Z766" s="16">
        <v>7</v>
      </c>
      <c r="AA766" s="16">
        <v>15</v>
      </c>
      <c r="AB766" s="8">
        <f t="shared" si="399"/>
        <v>0.29473684210526313</v>
      </c>
      <c r="AC766" s="16">
        <f t="shared" si="383"/>
        <v>63.34169443699902</v>
      </c>
      <c r="AD766" s="20">
        <f>'PFAS Properties'!$W$45</f>
        <v>7</v>
      </c>
      <c r="AE766" s="8">
        <f>'PFAS Properties'!$S$45</f>
        <v>2.9063350418050908</v>
      </c>
      <c r="AF766" s="15">
        <f>'PFAS Properties'!$V$45</f>
        <v>4.3</v>
      </c>
      <c r="AG766" s="24">
        <v>4.8</v>
      </c>
      <c r="AH766" s="2" t="s">
        <v>216</v>
      </c>
      <c r="AI766" s="2">
        <v>8.3000000000000007</v>
      </c>
      <c r="AJ766" s="15">
        <f>AI766*1000/55.845</f>
        <v>148.62566030978601</v>
      </c>
      <c r="AK766" s="15">
        <f t="shared" si="389"/>
        <v>0.83000000000000007</v>
      </c>
      <c r="AL766" s="15">
        <v>7.85</v>
      </c>
      <c r="AM766" s="15">
        <f>AL766*1000/26.98</f>
        <v>290.95626389918459</v>
      </c>
      <c r="AN766" s="15">
        <f t="shared" si="391"/>
        <v>0.78499999999999992</v>
      </c>
      <c r="AO766" s="15" t="s">
        <v>217</v>
      </c>
      <c r="AP766" s="72">
        <v>15.34083666666667</v>
      </c>
      <c r="AQ766" s="70" t="s">
        <v>752</v>
      </c>
      <c r="AR766" s="16">
        <v>32</v>
      </c>
      <c r="AS766" s="16">
        <v>40</v>
      </c>
      <c r="AT766" s="16">
        <v>28</v>
      </c>
      <c r="AU766" s="2" t="s">
        <v>661</v>
      </c>
      <c r="AV766" s="16">
        <f t="shared" ref="AV766:AV784" si="404">SUM(AR766:AT766)</f>
        <v>100</v>
      </c>
      <c r="AW766" s="20">
        <v>4.9000000000000004</v>
      </c>
      <c r="AX766" s="8">
        <f t="shared" si="392"/>
        <v>4.9000000000000002E-2</v>
      </c>
      <c r="AY766" s="8" t="s">
        <v>218</v>
      </c>
      <c r="AZ766" s="16">
        <f>1.5/0.075</f>
        <v>20</v>
      </c>
      <c r="BA766" s="16" t="s">
        <v>55</v>
      </c>
      <c r="BB766" s="16">
        <v>10</v>
      </c>
      <c r="BC766" s="16" t="s">
        <v>55</v>
      </c>
      <c r="BD766" s="20">
        <v>11.21</v>
      </c>
      <c r="BE766" s="15">
        <f t="shared" si="381"/>
        <v>228.77551020408166</v>
      </c>
      <c r="BF766" s="15">
        <f t="shared" si="400"/>
        <v>2.3594095325664597</v>
      </c>
      <c r="BG766" s="8">
        <f t="shared" si="401"/>
        <v>1.0496056125949731</v>
      </c>
      <c r="BH766" s="2" t="s">
        <v>380</v>
      </c>
      <c r="BI766" s="2"/>
      <c r="BJ766" s="2"/>
      <c r="BK766" s="2"/>
      <c r="BL766" s="2"/>
      <c r="BM766" s="20"/>
      <c r="BN766" s="20"/>
      <c r="BO766" s="2"/>
    </row>
    <row r="767" spans="1:67" s="14" customFormat="1" x14ac:dyDescent="0.3">
      <c r="A767" s="20">
        <v>765</v>
      </c>
      <c r="B767" s="2" t="s">
        <v>214</v>
      </c>
      <c r="C767" s="2">
        <v>2022</v>
      </c>
      <c r="D767" s="2" t="s">
        <v>201</v>
      </c>
      <c r="E767" s="10" t="s">
        <v>808</v>
      </c>
      <c r="F767" s="20" t="s">
        <v>29</v>
      </c>
      <c r="G767" s="2" t="s">
        <v>233</v>
      </c>
      <c r="H767" s="2" t="str">
        <f>'PFAS Properties'!$B$45</f>
        <v>PFHpS</v>
      </c>
      <c r="I767" s="2" t="str">
        <f>'PFAS Properties'!$C$45</f>
        <v>PFSA</v>
      </c>
      <c r="J767" s="2" t="str">
        <f>'PFAS Properties'!$D$45</f>
        <v>C7HF15O3S</v>
      </c>
      <c r="K767" s="25">
        <f>'PFAS Properties'!$P$45</f>
        <v>449.94059999999996</v>
      </c>
      <c r="L767" s="2">
        <f>'PFAS Properties'!$X$45</f>
        <v>0.1</v>
      </c>
      <c r="M767" s="2" t="str">
        <f>'PFAS Properties'!$Y$45</f>
        <v>-</v>
      </c>
      <c r="N767" s="33">
        <v>0</v>
      </c>
      <c r="O767" s="33">
        <v>0</v>
      </c>
      <c r="P767" s="33">
        <v>0</v>
      </c>
      <c r="Q767" s="33">
        <f t="shared" si="385"/>
        <v>0.99999841510931942</v>
      </c>
      <c r="R767" s="33">
        <v>0</v>
      </c>
      <c r="S767" s="33">
        <f t="shared" si="386"/>
        <v>1.5848906805786579E-6</v>
      </c>
      <c r="T767" s="8">
        <f t="shared" si="394"/>
        <v>1</v>
      </c>
      <c r="U767" s="33">
        <f t="shared" si="395"/>
        <v>0</v>
      </c>
      <c r="V767" s="33">
        <f t="shared" si="396"/>
        <v>-0.99999841510931942</v>
      </c>
      <c r="W767" s="33">
        <f t="shared" si="397"/>
        <v>448.9406015848906</v>
      </c>
      <c r="X767" s="33">
        <v>96485</v>
      </c>
      <c r="Y767" s="16">
        <f t="shared" si="398"/>
        <v>-214.91673228307528</v>
      </c>
      <c r="Z767" s="16">
        <v>7</v>
      </c>
      <c r="AA767" s="16">
        <v>15</v>
      </c>
      <c r="AB767" s="8">
        <f t="shared" si="399"/>
        <v>0.29473684210526313</v>
      </c>
      <c r="AC767" s="16">
        <f t="shared" si="383"/>
        <v>63.34169443699902</v>
      </c>
      <c r="AD767" s="20">
        <f>'PFAS Properties'!$W$45</f>
        <v>7</v>
      </c>
      <c r="AE767" s="8">
        <f>'PFAS Properties'!$S$45</f>
        <v>2.9063350418050908</v>
      </c>
      <c r="AF767" s="15">
        <f>'PFAS Properties'!$V$45</f>
        <v>4.3</v>
      </c>
      <c r="AG767" s="24">
        <v>5.9</v>
      </c>
      <c r="AH767" s="2" t="s">
        <v>216</v>
      </c>
      <c r="AI767" s="2">
        <v>1.4</v>
      </c>
      <c r="AJ767" s="15">
        <f>AI767*1000/55.845</f>
        <v>25.069388485988004</v>
      </c>
      <c r="AK767" s="15">
        <f t="shared" si="389"/>
        <v>0.13999999999999999</v>
      </c>
      <c r="AL767" s="15">
        <v>0.92</v>
      </c>
      <c r="AM767" s="15">
        <f>AL767*1000/26.98</f>
        <v>34.099332839140104</v>
      </c>
      <c r="AN767" s="15">
        <f t="shared" si="391"/>
        <v>9.1999999999999998E-2</v>
      </c>
      <c r="AO767" s="15" t="s">
        <v>217</v>
      </c>
      <c r="AP767" s="72">
        <v>15.34083666666667</v>
      </c>
      <c r="AQ767" s="70" t="s">
        <v>752</v>
      </c>
      <c r="AR767" s="16">
        <v>37</v>
      </c>
      <c r="AS767" s="16">
        <v>22</v>
      </c>
      <c r="AT767" s="16">
        <v>41</v>
      </c>
      <c r="AU767" s="2" t="s">
        <v>661</v>
      </c>
      <c r="AV767" s="16">
        <f t="shared" si="404"/>
        <v>100</v>
      </c>
      <c r="AW767" s="20">
        <v>2.6</v>
      </c>
      <c r="AX767" s="8">
        <f t="shared" si="392"/>
        <v>2.6000000000000002E-2</v>
      </c>
      <c r="AY767" s="8" t="s">
        <v>218</v>
      </c>
      <c r="AZ767" s="16">
        <f>1.5/0.075</f>
        <v>20</v>
      </c>
      <c r="BA767" s="16" t="s">
        <v>55</v>
      </c>
      <c r="BB767" s="16">
        <v>10</v>
      </c>
      <c r="BC767" s="16" t="s">
        <v>55</v>
      </c>
      <c r="BD767" s="20">
        <v>8.6</v>
      </c>
      <c r="BE767" s="15">
        <f t="shared" ref="BE767:BE830" si="405">BD767/AX767</f>
        <v>330.76923076923072</v>
      </c>
      <c r="BF767" s="15">
        <f t="shared" si="400"/>
        <v>2.5195251032727497</v>
      </c>
      <c r="BG767" s="8">
        <f t="shared" si="401"/>
        <v>0.93449845124356767</v>
      </c>
      <c r="BH767" s="2" t="s">
        <v>380</v>
      </c>
      <c r="BI767" s="2"/>
      <c r="BJ767" s="2"/>
      <c r="BK767" s="2"/>
      <c r="BL767" s="2"/>
      <c r="BM767" s="20"/>
      <c r="BN767" s="20"/>
      <c r="BO767" s="2"/>
    </row>
    <row r="768" spans="1:67" s="14" customFormat="1" x14ac:dyDescent="0.3">
      <c r="A768" s="20">
        <v>766</v>
      </c>
      <c r="B768" s="2" t="s">
        <v>234</v>
      </c>
      <c r="C768" s="2">
        <v>2022</v>
      </c>
      <c r="D768" s="2" t="s">
        <v>205</v>
      </c>
      <c r="E768" s="10" t="s">
        <v>799</v>
      </c>
      <c r="F768" s="20" t="s">
        <v>63</v>
      </c>
      <c r="G768" s="2" t="s">
        <v>63</v>
      </c>
      <c r="H768" s="2" t="str">
        <f>'PFAS Properties'!$B$45</f>
        <v>PFHpS</v>
      </c>
      <c r="I768" s="2" t="str">
        <f>'PFAS Properties'!$C$45</f>
        <v>PFSA</v>
      </c>
      <c r="J768" s="2" t="str">
        <f>'PFAS Properties'!$D$45</f>
        <v>C7HF15O3S</v>
      </c>
      <c r="K768" s="25">
        <f>'PFAS Properties'!$P$45</f>
        <v>449.94059999999996</v>
      </c>
      <c r="L768" s="2">
        <f>'PFAS Properties'!$X$45</f>
        <v>0.1</v>
      </c>
      <c r="M768" s="2" t="str">
        <f>'PFAS Properties'!$Y$45</f>
        <v>-</v>
      </c>
      <c r="N768" s="33">
        <v>0</v>
      </c>
      <c r="O768" s="33">
        <v>0</v>
      </c>
      <c r="P768" s="33">
        <v>0</v>
      </c>
      <c r="Q768" s="33">
        <f t="shared" si="385"/>
        <v>0.99999998797735579</v>
      </c>
      <c r="R768" s="33">
        <v>0</v>
      </c>
      <c r="S768" s="33">
        <f t="shared" si="386"/>
        <v>1.2022644201630123E-8</v>
      </c>
      <c r="T768" s="8">
        <f t="shared" si="394"/>
        <v>1</v>
      </c>
      <c r="U768" s="33">
        <f t="shared" si="395"/>
        <v>0</v>
      </c>
      <c r="V768" s="33">
        <f t="shared" si="396"/>
        <v>-0.99999998797735579</v>
      </c>
      <c r="W768" s="33">
        <f t="shared" si="397"/>
        <v>448.94060001202263</v>
      </c>
      <c r="X768" s="33">
        <v>96485</v>
      </c>
      <c r="Y768" s="16">
        <f t="shared" si="398"/>
        <v>-214.91707107223385</v>
      </c>
      <c r="Z768" s="16">
        <v>7</v>
      </c>
      <c r="AA768" s="16">
        <v>15</v>
      </c>
      <c r="AB768" s="8">
        <f t="shared" si="399"/>
        <v>0.29473684210526313</v>
      </c>
      <c r="AC768" s="16">
        <f t="shared" si="383"/>
        <v>63.34169443699902</v>
      </c>
      <c r="AD768" s="20">
        <f>'PFAS Properties'!$W$45</f>
        <v>7</v>
      </c>
      <c r="AE768" s="8">
        <f>'PFAS Properties'!$S$45</f>
        <v>2.9063350418050908</v>
      </c>
      <c r="AF768" s="15">
        <f>'PFAS Properties'!$V$45</f>
        <v>4.3</v>
      </c>
      <c r="AG768" s="24">
        <v>8.02</v>
      </c>
      <c r="AH768" s="2" t="s">
        <v>661</v>
      </c>
      <c r="AI768" s="2" t="s">
        <v>661</v>
      </c>
      <c r="AJ768" s="2" t="s">
        <v>661</v>
      </c>
      <c r="AK768" s="2" t="s">
        <v>661</v>
      </c>
      <c r="AL768" s="2" t="s">
        <v>661</v>
      </c>
      <c r="AM768" s="2" t="s">
        <v>661</v>
      </c>
      <c r="AN768" s="2" t="s">
        <v>661</v>
      </c>
      <c r="AO768" s="2" t="s">
        <v>661</v>
      </c>
      <c r="AP768" s="72">
        <v>11.934691666666669</v>
      </c>
      <c r="AQ768" s="70" t="s">
        <v>752</v>
      </c>
      <c r="AR768" s="16">
        <v>6.34</v>
      </c>
      <c r="AS768" s="16">
        <v>85.56</v>
      </c>
      <c r="AT768" s="16">
        <v>8.08</v>
      </c>
      <c r="AU768" s="2" t="s">
        <v>661</v>
      </c>
      <c r="AV768" s="16">
        <f t="shared" si="404"/>
        <v>99.98</v>
      </c>
      <c r="AW768" s="20">
        <v>0.37</v>
      </c>
      <c r="AX768" s="8">
        <v>3.7000000000000002E-3</v>
      </c>
      <c r="AY768" s="13" t="s">
        <v>392</v>
      </c>
      <c r="AZ768" s="16">
        <f>1/0.02</f>
        <v>50</v>
      </c>
      <c r="BA768" s="16" t="s">
        <v>55</v>
      </c>
      <c r="BB768" s="16">
        <v>10</v>
      </c>
      <c r="BC768" s="16" t="s">
        <v>55</v>
      </c>
      <c r="BD768" s="18">
        <f>BO768</f>
        <v>1.8058753075728713</v>
      </c>
      <c r="BE768" s="15">
        <f t="shared" si="405"/>
        <v>488.07440745212733</v>
      </c>
      <c r="BF768" s="15">
        <f t="shared" si="400"/>
        <v>2.6884860356964357</v>
      </c>
      <c r="BG768" s="8">
        <f t="shared" si="401"/>
        <v>0.25668775976343078</v>
      </c>
      <c r="BH768" s="13" t="s">
        <v>782</v>
      </c>
      <c r="BI768" s="13">
        <v>2.35</v>
      </c>
      <c r="BJ768" s="13" t="s">
        <v>366</v>
      </c>
      <c r="BK768" s="15">
        <v>0.94</v>
      </c>
      <c r="BL768" s="8">
        <f>BI768</f>
        <v>2.35</v>
      </c>
      <c r="BM768" s="18">
        <f>'PFAS Properties'!$U$45</f>
        <v>80.600000000000009</v>
      </c>
      <c r="BN768" s="8">
        <f>(BL768*(BM768^BK768))</f>
        <v>145.55354979037344</v>
      </c>
      <c r="BO768" s="24">
        <f>BN768/BM768</f>
        <v>1.8058753075728713</v>
      </c>
    </row>
    <row r="769" spans="1:67" s="14" customFormat="1" x14ac:dyDescent="0.3">
      <c r="A769" s="20">
        <v>767</v>
      </c>
      <c r="B769" s="2" t="s">
        <v>181</v>
      </c>
      <c r="C769" s="2">
        <v>2020</v>
      </c>
      <c r="D769" s="2" t="s">
        <v>203</v>
      </c>
      <c r="E769" s="10" t="s">
        <v>787</v>
      </c>
      <c r="F769" s="20" t="s">
        <v>29</v>
      </c>
      <c r="G769" s="2" t="s">
        <v>62</v>
      </c>
      <c r="H769" s="2" t="str">
        <f>'PFAS Properties'!$B$45</f>
        <v>PFHpS</v>
      </c>
      <c r="I769" s="2" t="str">
        <f>'PFAS Properties'!$C$45</f>
        <v>PFSA</v>
      </c>
      <c r="J769" s="2" t="str">
        <f>'PFAS Properties'!$D$45</f>
        <v>C7HF15O3S</v>
      </c>
      <c r="K769" s="25">
        <f>'PFAS Properties'!$P$45</f>
        <v>449.94059999999996</v>
      </c>
      <c r="L769" s="2">
        <f>'PFAS Properties'!$X$45</f>
        <v>0.1</v>
      </c>
      <c r="M769" s="2" t="str">
        <f>'PFAS Properties'!$Y$45</f>
        <v>-</v>
      </c>
      <c r="N769" s="33">
        <v>0</v>
      </c>
      <c r="O769" s="33">
        <v>0</v>
      </c>
      <c r="P769" s="33">
        <v>0</v>
      </c>
      <c r="Q769" s="33">
        <f t="shared" si="385"/>
        <v>0.9999999601892845</v>
      </c>
      <c r="R769" s="33">
        <v>0</v>
      </c>
      <c r="S769" s="33">
        <f t="shared" si="386"/>
        <v>3.9810715470456442E-8</v>
      </c>
      <c r="T769" s="8">
        <f t="shared" si="394"/>
        <v>1</v>
      </c>
      <c r="U769" s="33">
        <f t="shared" si="395"/>
        <v>0</v>
      </c>
      <c r="V769" s="33">
        <f t="shared" si="396"/>
        <v>-0.9999999601892845</v>
      </c>
      <c r="W769" s="33">
        <f t="shared" si="397"/>
        <v>448.9406000398107</v>
      </c>
      <c r="X769" s="33">
        <v>96485</v>
      </c>
      <c r="Y769" s="16">
        <f t="shared" si="398"/>
        <v>-214.91706508680016</v>
      </c>
      <c r="Z769" s="16">
        <v>7</v>
      </c>
      <c r="AA769" s="16">
        <v>15</v>
      </c>
      <c r="AB769" s="8">
        <f t="shared" si="399"/>
        <v>0.29473684210526313</v>
      </c>
      <c r="AC769" s="16">
        <f t="shared" si="383"/>
        <v>63.34169443699902</v>
      </c>
      <c r="AD769" s="20">
        <f>'PFAS Properties'!$W$45</f>
        <v>7</v>
      </c>
      <c r="AE769" s="8">
        <f>'PFAS Properties'!$S$45</f>
        <v>2.9063350418050908</v>
      </c>
      <c r="AF769" s="15">
        <f>'PFAS Properties'!$V$45</f>
        <v>4.3</v>
      </c>
      <c r="AG769" s="24">
        <v>7.5</v>
      </c>
      <c r="AH769" s="2" t="s">
        <v>183</v>
      </c>
      <c r="AI769" s="2" t="s">
        <v>661</v>
      </c>
      <c r="AJ769" s="2" t="s">
        <v>661</v>
      </c>
      <c r="AK769" s="2" t="s">
        <v>661</v>
      </c>
      <c r="AL769" s="2" t="s">
        <v>661</v>
      </c>
      <c r="AM769" s="2" t="s">
        <v>661</v>
      </c>
      <c r="AN769" s="2" t="s">
        <v>661</v>
      </c>
      <c r="AO769" s="2" t="s">
        <v>661</v>
      </c>
      <c r="AP769" s="15">
        <v>41.4</v>
      </c>
      <c r="AQ769" s="2" t="s">
        <v>661</v>
      </c>
      <c r="AR769" s="16">
        <v>16.899999999999999</v>
      </c>
      <c r="AS769" s="16">
        <v>17.5</v>
      </c>
      <c r="AT769" s="16">
        <v>65.599999999999994</v>
      </c>
      <c r="AU769" s="2" t="s">
        <v>661</v>
      </c>
      <c r="AV769" s="16">
        <f t="shared" si="404"/>
        <v>100</v>
      </c>
      <c r="AW769" s="20">
        <v>0.7</v>
      </c>
      <c r="AX769" s="8">
        <v>6.9999999999999993E-3</v>
      </c>
      <c r="AY769" s="13" t="s">
        <v>184</v>
      </c>
      <c r="AZ769" s="16">
        <v>100</v>
      </c>
      <c r="BA769" s="16" t="s">
        <v>55</v>
      </c>
      <c r="BB769" s="16">
        <v>5</v>
      </c>
      <c r="BC769" s="16" t="s">
        <v>55</v>
      </c>
      <c r="BD769" s="18">
        <v>2.02</v>
      </c>
      <c r="BE769" s="15">
        <f t="shared" si="405"/>
        <v>288.57142857142861</v>
      </c>
      <c r="BF769" s="15">
        <f t="shared" si="400"/>
        <v>2.460253329432367</v>
      </c>
      <c r="BG769" s="8">
        <f t="shared" si="401"/>
        <v>0.30535136944662378</v>
      </c>
      <c r="BH769" s="13" t="s">
        <v>345</v>
      </c>
      <c r="BI769" s="13"/>
      <c r="BJ769" s="13"/>
      <c r="BK769" s="13"/>
      <c r="BL769" s="13"/>
      <c r="BM769" s="17"/>
      <c r="BN769" s="17"/>
      <c r="BO769" s="2"/>
    </row>
    <row r="770" spans="1:67" s="14" customFormat="1" x14ac:dyDescent="0.3">
      <c r="A770" s="20">
        <v>768</v>
      </c>
      <c r="B770" s="2" t="s">
        <v>181</v>
      </c>
      <c r="C770" s="2">
        <v>2020</v>
      </c>
      <c r="D770" s="2" t="s">
        <v>203</v>
      </c>
      <c r="E770" s="10" t="s">
        <v>787</v>
      </c>
      <c r="F770" s="20" t="s">
        <v>29</v>
      </c>
      <c r="G770" s="2" t="s">
        <v>57</v>
      </c>
      <c r="H770" s="2" t="str">
        <f>'PFAS Properties'!$B$45</f>
        <v>PFHpS</v>
      </c>
      <c r="I770" s="2" t="str">
        <f>'PFAS Properties'!$C$45</f>
        <v>PFSA</v>
      </c>
      <c r="J770" s="2" t="str">
        <f>'PFAS Properties'!$D$45</f>
        <v>C7HF15O3S</v>
      </c>
      <c r="K770" s="25">
        <f>'PFAS Properties'!$P$45</f>
        <v>449.94059999999996</v>
      </c>
      <c r="L770" s="2">
        <f>'PFAS Properties'!$X$45</f>
        <v>0.1</v>
      </c>
      <c r="M770" s="2" t="str">
        <f>'PFAS Properties'!$Y$45</f>
        <v>-</v>
      </c>
      <c r="N770" s="33">
        <v>0</v>
      </c>
      <c r="O770" s="33">
        <v>0</v>
      </c>
      <c r="P770" s="33">
        <v>0</v>
      </c>
      <c r="Q770" s="33">
        <f t="shared" si="385"/>
        <v>0.99999980047380832</v>
      </c>
      <c r="R770" s="33">
        <v>0</v>
      </c>
      <c r="S770" s="33">
        <f t="shared" si="386"/>
        <v>1.9952619168617852E-7</v>
      </c>
      <c r="T770" s="8">
        <f t="shared" si="394"/>
        <v>1</v>
      </c>
      <c r="U770" s="33">
        <f t="shared" si="395"/>
        <v>0</v>
      </c>
      <c r="V770" s="33">
        <f t="shared" si="396"/>
        <v>-0.99999980047380832</v>
      </c>
      <c r="W770" s="33">
        <f t="shared" si="397"/>
        <v>448.94060019952616</v>
      </c>
      <c r="X770" s="33">
        <v>96485</v>
      </c>
      <c r="Y770" s="16">
        <f t="shared" si="398"/>
        <v>-214.91703068475834</v>
      </c>
      <c r="Z770" s="16">
        <v>7</v>
      </c>
      <c r="AA770" s="16">
        <v>15</v>
      </c>
      <c r="AB770" s="8">
        <f t="shared" si="399"/>
        <v>0.29473684210526313</v>
      </c>
      <c r="AC770" s="16">
        <f t="shared" si="383"/>
        <v>63.34169443699902</v>
      </c>
      <c r="AD770" s="20">
        <f>'PFAS Properties'!$W$45</f>
        <v>7</v>
      </c>
      <c r="AE770" s="8">
        <f>'PFAS Properties'!$S$45</f>
        <v>2.9063350418050908</v>
      </c>
      <c r="AF770" s="15">
        <f>'PFAS Properties'!$V$45</f>
        <v>4.3</v>
      </c>
      <c r="AG770" s="24">
        <v>6.8</v>
      </c>
      <c r="AH770" s="2" t="s">
        <v>183</v>
      </c>
      <c r="AI770" s="2" t="s">
        <v>661</v>
      </c>
      <c r="AJ770" s="2" t="s">
        <v>661</v>
      </c>
      <c r="AK770" s="2" t="s">
        <v>661</v>
      </c>
      <c r="AL770" s="2" t="s">
        <v>661</v>
      </c>
      <c r="AM770" s="2" t="s">
        <v>661</v>
      </c>
      <c r="AN770" s="2" t="s">
        <v>661</v>
      </c>
      <c r="AO770" s="2" t="s">
        <v>661</v>
      </c>
      <c r="AP770" s="15">
        <v>7.1</v>
      </c>
      <c r="AQ770" s="2" t="s">
        <v>661</v>
      </c>
      <c r="AR770" s="16">
        <v>48.9</v>
      </c>
      <c r="AS770" s="16">
        <v>27</v>
      </c>
      <c r="AT770" s="16">
        <v>24.2</v>
      </c>
      <c r="AU770" s="2" t="s">
        <v>661</v>
      </c>
      <c r="AV770" s="16">
        <f t="shared" si="404"/>
        <v>100.10000000000001</v>
      </c>
      <c r="AW770" s="20">
        <v>0.37</v>
      </c>
      <c r="AX770" s="8">
        <v>3.7000000000000002E-3</v>
      </c>
      <c r="AY770" s="13" t="s">
        <v>184</v>
      </c>
      <c r="AZ770" s="16">
        <v>100</v>
      </c>
      <c r="BA770" s="16" t="s">
        <v>55</v>
      </c>
      <c r="BB770" s="16">
        <v>5</v>
      </c>
      <c r="BC770" s="16" t="s">
        <v>55</v>
      </c>
      <c r="BD770" s="20">
        <v>1.89</v>
      </c>
      <c r="BE770" s="15">
        <f t="shared" si="405"/>
        <v>510.81081081081078</v>
      </c>
      <c r="BF770" s="15">
        <f t="shared" si="400"/>
        <v>2.7082600801062493</v>
      </c>
      <c r="BG770" s="8">
        <f t="shared" si="401"/>
        <v>0.27646180417324412</v>
      </c>
      <c r="BH770" s="13" t="s">
        <v>345</v>
      </c>
      <c r="BI770" s="13"/>
      <c r="BJ770" s="13"/>
      <c r="BK770" s="13"/>
      <c r="BL770" s="13"/>
      <c r="BM770" s="17"/>
      <c r="BN770" s="17"/>
      <c r="BO770" s="2"/>
    </row>
    <row r="771" spans="1:67" s="14" customFormat="1" x14ac:dyDescent="0.3">
      <c r="A771" s="20">
        <v>769</v>
      </c>
      <c r="B771" s="2" t="s">
        <v>181</v>
      </c>
      <c r="C771" s="2">
        <v>2020</v>
      </c>
      <c r="D771" s="2" t="s">
        <v>203</v>
      </c>
      <c r="E771" s="10" t="s">
        <v>787</v>
      </c>
      <c r="F771" s="20" t="s">
        <v>29</v>
      </c>
      <c r="G771" s="2" t="s">
        <v>58</v>
      </c>
      <c r="H771" s="2" t="str">
        <f>'PFAS Properties'!$B$45</f>
        <v>PFHpS</v>
      </c>
      <c r="I771" s="2" t="str">
        <f>'PFAS Properties'!$C$45</f>
        <v>PFSA</v>
      </c>
      <c r="J771" s="2" t="str">
        <f>'PFAS Properties'!$D$45</f>
        <v>C7HF15O3S</v>
      </c>
      <c r="K771" s="25">
        <f>'PFAS Properties'!$P$45</f>
        <v>449.94059999999996</v>
      </c>
      <c r="L771" s="2">
        <f>'PFAS Properties'!$X$45</f>
        <v>0.1</v>
      </c>
      <c r="M771" s="2" t="str">
        <f>'PFAS Properties'!$Y$45</f>
        <v>-</v>
      </c>
      <c r="N771" s="33">
        <v>0</v>
      </c>
      <c r="O771" s="33">
        <v>0</v>
      </c>
      <c r="P771" s="33">
        <v>0</v>
      </c>
      <c r="Q771" s="33">
        <f t="shared" si="385"/>
        <v>0.9999992056723962</v>
      </c>
      <c r="R771" s="33">
        <v>0</v>
      </c>
      <c r="S771" s="33">
        <f t="shared" si="386"/>
        <v>7.9432760376743655E-7</v>
      </c>
      <c r="T771" s="8">
        <f t="shared" si="394"/>
        <v>1</v>
      </c>
      <c r="U771" s="33">
        <f t="shared" si="395"/>
        <v>0</v>
      </c>
      <c r="V771" s="33">
        <f t="shared" si="396"/>
        <v>-0.9999992056723962</v>
      </c>
      <c r="W771" s="33">
        <f t="shared" si="397"/>
        <v>448.94060079432751</v>
      </c>
      <c r="X771" s="33">
        <v>96485</v>
      </c>
      <c r="Y771" s="16">
        <f t="shared" si="398"/>
        <v>-214.91690256703615</v>
      </c>
      <c r="Z771" s="16">
        <v>7</v>
      </c>
      <c r="AA771" s="16">
        <v>15</v>
      </c>
      <c r="AB771" s="8">
        <f t="shared" si="399"/>
        <v>0.29473684210526313</v>
      </c>
      <c r="AC771" s="16">
        <f t="shared" ref="AC771:AC834" si="406">((AA771*19)/K771)*100</f>
        <v>63.34169443699902</v>
      </c>
      <c r="AD771" s="20">
        <f>'PFAS Properties'!$W$45</f>
        <v>7</v>
      </c>
      <c r="AE771" s="8">
        <f>'PFAS Properties'!$S$45</f>
        <v>2.9063350418050908</v>
      </c>
      <c r="AF771" s="15">
        <f>'PFAS Properties'!$V$45</f>
        <v>4.3</v>
      </c>
      <c r="AG771" s="24">
        <v>6.2</v>
      </c>
      <c r="AH771" s="2" t="s">
        <v>183</v>
      </c>
      <c r="AI771" s="2" t="s">
        <v>661</v>
      </c>
      <c r="AJ771" s="2" t="s">
        <v>661</v>
      </c>
      <c r="AK771" s="2" t="s">
        <v>661</v>
      </c>
      <c r="AL771" s="2" t="s">
        <v>661</v>
      </c>
      <c r="AM771" s="2" t="s">
        <v>661</v>
      </c>
      <c r="AN771" s="2" t="s">
        <v>661</v>
      </c>
      <c r="AO771" s="2" t="s">
        <v>661</v>
      </c>
      <c r="AP771" s="15">
        <v>8</v>
      </c>
      <c r="AQ771" s="2" t="s">
        <v>661</v>
      </c>
      <c r="AR771" s="16">
        <v>51.44</v>
      </c>
      <c r="AS771" s="16">
        <v>10.17</v>
      </c>
      <c r="AT771" s="16">
        <v>38.380000000000003</v>
      </c>
      <c r="AU771" s="2" t="s">
        <v>661</v>
      </c>
      <c r="AV771" s="16">
        <f t="shared" si="404"/>
        <v>99.990000000000009</v>
      </c>
      <c r="AW771" s="20">
        <v>0.08</v>
      </c>
      <c r="AX771" s="8">
        <v>8.0000000000000004E-4</v>
      </c>
      <c r="AY771" s="8" t="s">
        <v>184</v>
      </c>
      <c r="AZ771" s="16">
        <v>100</v>
      </c>
      <c r="BA771" s="16" t="s">
        <v>55</v>
      </c>
      <c r="BB771" s="16">
        <v>5</v>
      </c>
      <c r="BC771" s="16" t="s">
        <v>55</v>
      </c>
      <c r="BD771" s="20">
        <v>0.84</v>
      </c>
      <c r="BE771" s="15">
        <f t="shared" si="405"/>
        <v>1050</v>
      </c>
      <c r="BF771" s="15">
        <f t="shared" si="400"/>
        <v>3.0211892990699383</v>
      </c>
      <c r="BG771" s="8">
        <f t="shared" si="401"/>
        <v>-7.5720713938118356E-2</v>
      </c>
      <c r="BH771" s="13" t="s">
        <v>345</v>
      </c>
      <c r="BI771" s="13"/>
      <c r="BJ771" s="13"/>
      <c r="BK771" s="13"/>
      <c r="BL771" s="13"/>
      <c r="BM771" s="17"/>
      <c r="BN771" s="17"/>
      <c r="BO771" s="2"/>
    </row>
    <row r="772" spans="1:67" s="14" customFormat="1" x14ac:dyDescent="0.3">
      <c r="A772" s="20">
        <v>770</v>
      </c>
      <c r="B772" s="2" t="s">
        <v>181</v>
      </c>
      <c r="C772" s="2">
        <v>2020</v>
      </c>
      <c r="D772" s="2" t="s">
        <v>203</v>
      </c>
      <c r="E772" s="10" t="s">
        <v>787</v>
      </c>
      <c r="F772" s="20" t="s">
        <v>29</v>
      </c>
      <c r="G772" s="2" t="s">
        <v>59</v>
      </c>
      <c r="H772" s="2" t="str">
        <f>'PFAS Properties'!$B$45</f>
        <v>PFHpS</v>
      </c>
      <c r="I772" s="2" t="str">
        <f>'PFAS Properties'!$C$45</f>
        <v>PFSA</v>
      </c>
      <c r="J772" s="2" t="str">
        <f>'PFAS Properties'!$D$45</f>
        <v>C7HF15O3S</v>
      </c>
      <c r="K772" s="25">
        <f>'PFAS Properties'!$P$45</f>
        <v>449.94059999999996</v>
      </c>
      <c r="L772" s="2">
        <f>'PFAS Properties'!$X$45</f>
        <v>0.1</v>
      </c>
      <c r="M772" s="2" t="str">
        <f>'PFAS Properties'!$Y$45</f>
        <v>-</v>
      </c>
      <c r="N772" s="33">
        <v>0</v>
      </c>
      <c r="O772" s="33">
        <v>0</v>
      </c>
      <c r="P772" s="33">
        <v>0</v>
      </c>
      <c r="Q772" s="33">
        <f t="shared" si="385"/>
        <v>0.99999997488113634</v>
      </c>
      <c r="R772" s="33">
        <v>0</v>
      </c>
      <c r="S772" s="33">
        <f t="shared" si="386"/>
        <v>2.5118863684138424E-8</v>
      </c>
      <c r="T772" s="8">
        <f t="shared" si="394"/>
        <v>1</v>
      </c>
      <c r="U772" s="33">
        <f t="shared" si="395"/>
        <v>0</v>
      </c>
      <c r="V772" s="33">
        <f t="shared" si="396"/>
        <v>-0.99999997488113634</v>
      </c>
      <c r="W772" s="33">
        <f t="shared" si="397"/>
        <v>448.94060002511884</v>
      </c>
      <c r="X772" s="33">
        <v>96485</v>
      </c>
      <c r="Y772" s="16">
        <f t="shared" si="398"/>
        <v>-214.91706825136325</v>
      </c>
      <c r="Z772" s="16">
        <v>7</v>
      </c>
      <c r="AA772" s="16">
        <v>15</v>
      </c>
      <c r="AB772" s="8">
        <f t="shared" si="399"/>
        <v>0.29473684210526313</v>
      </c>
      <c r="AC772" s="16">
        <f t="shared" si="406"/>
        <v>63.34169443699902</v>
      </c>
      <c r="AD772" s="20">
        <f>'PFAS Properties'!$W$45</f>
        <v>7</v>
      </c>
      <c r="AE772" s="8">
        <f>'PFAS Properties'!$S$45</f>
        <v>2.9063350418050908</v>
      </c>
      <c r="AF772" s="15">
        <f>'PFAS Properties'!$V$45</f>
        <v>4.3</v>
      </c>
      <c r="AG772" s="24">
        <v>7.7</v>
      </c>
      <c r="AH772" s="2" t="s">
        <v>183</v>
      </c>
      <c r="AI772" s="2" t="s">
        <v>661</v>
      </c>
      <c r="AJ772" s="2" t="s">
        <v>661</v>
      </c>
      <c r="AK772" s="2" t="s">
        <v>661</v>
      </c>
      <c r="AL772" s="2" t="s">
        <v>661</v>
      </c>
      <c r="AM772" s="2" t="s">
        <v>661</v>
      </c>
      <c r="AN772" s="2" t="s">
        <v>661</v>
      </c>
      <c r="AO772" s="2" t="s">
        <v>661</v>
      </c>
      <c r="AP772" s="15">
        <v>4.8</v>
      </c>
      <c r="AQ772" s="2" t="s">
        <v>661</v>
      </c>
      <c r="AR772" s="16">
        <v>46</v>
      </c>
      <c r="AS772" s="16">
        <v>37</v>
      </c>
      <c r="AT772" s="16">
        <v>17</v>
      </c>
      <c r="AU772" s="2" t="s">
        <v>661</v>
      </c>
      <c r="AV772" s="16">
        <f t="shared" si="404"/>
        <v>100</v>
      </c>
      <c r="AW772" s="20">
        <v>0.25</v>
      </c>
      <c r="AX772" s="8">
        <v>2.5000000000000001E-3</v>
      </c>
      <c r="AY772" s="13" t="s">
        <v>184</v>
      </c>
      <c r="AZ772" s="16">
        <v>100</v>
      </c>
      <c r="BA772" s="16" t="s">
        <v>55</v>
      </c>
      <c r="BB772" s="16">
        <v>5</v>
      </c>
      <c r="BC772" s="16" t="s">
        <v>55</v>
      </c>
      <c r="BD772" s="18">
        <v>1.53</v>
      </c>
      <c r="BE772" s="15">
        <f t="shared" si="405"/>
        <v>612</v>
      </c>
      <c r="BF772" s="15">
        <f t="shared" si="400"/>
        <v>2.7867514221455614</v>
      </c>
      <c r="BG772" s="8">
        <f t="shared" si="401"/>
        <v>0.18469143081759881</v>
      </c>
      <c r="BH772" s="13" t="s">
        <v>345</v>
      </c>
      <c r="BI772" s="13"/>
      <c r="BJ772" s="13"/>
      <c r="BK772" s="13"/>
      <c r="BL772" s="13"/>
      <c r="BM772" s="17"/>
      <c r="BN772" s="17"/>
      <c r="BO772" s="2"/>
    </row>
    <row r="773" spans="1:67" s="94" customFormat="1" x14ac:dyDescent="0.3">
      <c r="A773" s="83">
        <v>771</v>
      </c>
      <c r="B773" s="84" t="s">
        <v>181</v>
      </c>
      <c r="C773" s="84">
        <v>2020</v>
      </c>
      <c r="D773" s="84" t="s">
        <v>203</v>
      </c>
      <c r="E773" s="85" t="s">
        <v>787</v>
      </c>
      <c r="F773" s="83" t="s">
        <v>29</v>
      </c>
      <c r="G773" s="84" t="s">
        <v>61</v>
      </c>
      <c r="H773" s="84" t="str">
        <f>'PFAS Properties'!$B$45</f>
        <v>PFHpS</v>
      </c>
      <c r="I773" s="84" t="str">
        <f>'PFAS Properties'!$C$45</f>
        <v>PFSA</v>
      </c>
      <c r="J773" s="84" t="str">
        <f>'PFAS Properties'!$D$45</f>
        <v>C7HF15O3S</v>
      </c>
      <c r="K773" s="99">
        <f>'PFAS Properties'!$P$45</f>
        <v>449.94059999999996</v>
      </c>
      <c r="L773" s="84">
        <f>'PFAS Properties'!$X$45</f>
        <v>0.1</v>
      </c>
      <c r="M773" s="84" t="str">
        <f>'PFAS Properties'!$Y$45</f>
        <v>-</v>
      </c>
      <c r="N773" s="87">
        <v>0</v>
      </c>
      <c r="O773" s="87">
        <v>0</v>
      </c>
      <c r="P773" s="87">
        <v>0</v>
      </c>
      <c r="Q773" s="87">
        <f t="shared" si="385"/>
        <v>0.99999994988127916</v>
      </c>
      <c r="R773" s="87">
        <v>0</v>
      </c>
      <c r="S773" s="87">
        <f t="shared" si="386"/>
        <v>5.0118720850840682E-8</v>
      </c>
      <c r="T773" s="88">
        <f t="shared" si="394"/>
        <v>1</v>
      </c>
      <c r="U773" s="87">
        <f t="shared" si="395"/>
        <v>0</v>
      </c>
      <c r="V773" s="87">
        <f t="shared" si="396"/>
        <v>-0.99999994988127916</v>
      </c>
      <c r="W773" s="87">
        <f t="shared" si="397"/>
        <v>448.94060005011869</v>
      </c>
      <c r="X773" s="87">
        <v>96485</v>
      </c>
      <c r="Y773" s="89">
        <f t="shared" si="398"/>
        <v>-214.91706286649918</v>
      </c>
      <c r="Z773" s="89">
        <v>7</v>
      </c>
      <c r="AA773" s="89">
        <v>15</v>
      </c>
      <c r="AB773" s="88">
        <f t="shared" si="399"/>
        <v>0.29473684210526313</v>
      </c>
      <c r="AC773" s="89">
        <f t="shared" si="406"/>
        <v>63.34169443699902</v>
      </c>
      <c r="AD773" s="83">
        <f>'PFAS Properties'!$W$45</f>
        <v>7</v>
      </c>
      <c r="AE773" s="88">
        <f>'PFAS Properties'!$S$45</f>
        <v>2.9063350418050908</v>
      </c>
      <c r="AF773" s="90">
        <f>'PFAS Properties'!$V$45</f>
        <v>4.3</v>
      </c>
      <c r="AG773" s="93">
        <v>7.4</v>
      </c>
      <c r="AH773" s="84" t="s">
        <v>183</v>
      </c>
      <c r="AI773" s="84" t="s">
        <v>661</v>
      </c>
      <c r="AJ773" s="84" t="s">
        <v>661</v>
      </c>
      <c r="AK773" s="84" t="s">
        <v>661</v>
      </c>
      <c r="AL773" s="84" t="s">
        <v>661</v>
      </c>
      <c r="AM773" s="84" t="s">
        <v>661</v>
      </c>
      <c r="AN773" s="84" t="s">
        <v>661</v>
      </c>
      <c r="AO773" s="84" t="s">
        <v>661</v>
      </c>
      <c r="AP773" s="90">
        <v>29.6</v>
      </c>
      <c r="AQ773" s="84" t="s">
        <v>661</v>
      </c>
      <c r="AR773" s="89">
        <v>39.799999999999997</v>
      </c>
      <c r="AS773" s="89">
        <v>7.7</v>
      </c>
      <c r="AT773" s="89">
        <v>52.5</v>
      </c>
      <c r="AU773" s="84" t="s">
        <v>661</v>
      </c>
      <c r="AV773" s="89">
        <f t="shared" si="404"/>
        <v>100</v>
      </c>
      <c r="AW773" s="83">
        <v>2.23</v>
      </c>
      <c r="AX773" s="88">
        <v>2.23E-2</v>
      </c>
      <c r="AY773" s="88" t="s">
        <v>184</v>
      </c>
      <c r="AZ773" s="89">
        <v>100</v>
      </c>
      <c r="BA773" s="89" t="s">
        <v>55</v>
      </c>
      <c r="BB773" s="89">
        <v>5</v>
      </c>
      <c r="BC773" s="89" t="s">
        <v>55</v>
      </c>
      <c r="BD773" s="83">
        <v>1.08</v>
      </c>
      <c r="BE773" s="90">
        <f t="shared" si="405"/>
        <v>48.430493273542602</v>
      </c>
      <c r="BF773" s="90">
        <f t="shared" si="400"/>
        <v>1.685118892438789</v>
      </c>
      <c r="BG773" s="88">
        <f t="shared" si="401"/>
        <v>3.342375548694973E-2</v>
      </c>
      <c r="BH773" s="91" t="s">
        <v>345</v>
      </c>
      <c r="BI773" s="91"/>
      <c r="BJ773" s="91"/>
      <c r="BK773" s="91"/>
      <c r="BL773" s="91"/>
      <c r="BM773" s="97"/>
      <c r="BN773" s="97"/>
      <c r="BO773" s="84"/>
    </row>
    <row r="774" spans="1:67" s="14" customFormat="1" x14ac:dyDescent="0.3">
      <c r="A774" s="20">
        <v>772</v>
      </c>
      <c r="B774" s="2" t="s">
        <v>181</v>
      </c>
      <c r="C774" s="2">
        <v>2020</v>
      </c>
      <c r="D774" s="2" t="s">
        <v>203</v>
      </c>
      <c r="E774" s="10" t="s">
        <v>787</v>
      </c>
      <c r="F774" s="20" t="s">
        <v>29</v>
      </c>
      <c r="G774" s="2" t="s">
        <v>60</v>
      </c>
      <c r="H774" s="2" t="str">
        <f>'PFAS Properties'!$B$45</f>
        <v>PFHpS</v>
      </c>
      <c r="I774" s="2" t="str">
        <f>'PFAS Properties'!$C$45</f>
        <v>PFSA</v>
      </c>
      <c r="J774" s="2" t="str">
        <f>'PFAS Properties'!$D$45</f>
        <v>C7HF15O3S</v>
      </c>
      <c r="K774" s="25">
        <f>'PFAS Properties'!$P$45</f>
        <v>449.94059999999996</v>
      </c>
      <c r="L774" s="2">
        <f>'PFAS Properties'!$X$45</f>
        <v>0.1</v>
      </c>
      <c r="M774" s="2" t="str">
        <f>'PFAS Properties'!$Y$45</f>
        <v>-</v>
      </c>
      <c r="N774" s="33">
        <v>0</v>
      </c>
      <c r="O774" s="33">
        <v>0</v>
      </c>
      <c r="P774" s="33">
        <v>0</v>
      </c>
      <c r="Q774" s="33">
        <f t="shared" si="385"/>
        <v>0.99999997488113634</v>
      </c>
      <c r="R774" s="33">
        <v>0</v>
      </c>
      <c r="S774" s="33">
        <f t="shared" si="386"/>
        <v>2.5118863684138424E-8</v>
      </c>
      <c r="T774" s="8">
        <f t="shared" si="394"/>
        <v>1</v>
      </c>
      <c r="U774" s="33">
        <f t="shared" si="395"/>
        <v>0</v>
      </c>
      <c r="V774" s="33">
        <f t="shared" si="396"/>
        <v>-0.99999997488113634</v>
      </c>
      <c r="W774" s="33">
        <f t="shared" si="397"/>
        <v>448.94060002511884</v>
      </c>
      <c r="X774" s="33">
        <v>96485</v>
      </c>
      <c r="Y774" s="16">
        <f t="shared" si="398"/>
        <v>-214.91706825136325</v>
      </c>
      <c r="Z774" s="16">
        <v>7</v>
      </c>
      <c r="AA774" s="16">
        <v>15</v>
      </c>
      <c r="AB774" s="8">
        <f t="shared" si="399"/>
        <v>0.29473684210526313</v>
      </c>
      <c r="AC774" s="16">
        <f t="shared" si="406"/>
        <v>63.34169443699902</v>
      </c>
      <c r="AD774" s="20">
        <f>'PFAS Properties'!$W$45</f>
        <v>7</v>
      </c>
      <c r="AE774" s="8">
        <f>'PFAS Properties'!$S$45</f>
        <v>2.9063350418050908</v>
      </c>
      <c r="AF774" s="15">
        <f>'PFAS Properties'!$V$45</f>
        <v>4.3</v>
      </c>
      <c r="AG774" s="24">
        <v>7.7</v>
      </c>
      <c r="AH774" s="2" t="s">
        <v>183</v>
      </c>
      <c r="AI774" s="2" t="s">
        <v>661</v>
      </c>
      <c r="AJ774" s="2" t="s">
        <v>661</v>
      </c>
      <c r="AK774" s="2" t="s">
        <v>661</v>
      </c>
      <c r="AL774" s="2" t="s">
        <v>661</v>
      </c>
      <c r="AM774" s="2" t="s">
        <v>661</v>
      </c>
      <c r="AN774" s="2" t="s">
        <v>661</v>
      </c>
      <c r="AO774" s="2" t="s">
        <v>661</v>
      </c>
      <c r="AP774" s="15">
        <v>21.63</v>
      </c>
      <c r="AQ774" s="2" t="s">
        <v>661</v>
      </c>
      <c r="AR774" s="16">
        <v>70</v>
      </c>
      <c r="AS774" s="16">
        <v>11</v>
      </c>
      <c r="AT774" s="16">
        <v>19</v>
      </c>
      <c r="AU774" s="2" t="s">
        <v>661</v>
      </c>
      <c r="AV774" s="16">
        <f t="shared" si="404"/>
        <v>100</v>
      </c>
      <c r="AW774" s="20">
        <v>4.9000000000000004</v>
      </c>
      <c r="AX774" s="8">
        <v>4.9000000000000002E-2</v>
      </c>
      <c r="AY774" s="8" t="s">
        <v>184</v>
      </c>
      <c r="AZ774" s="16">
        <v>100</v>
      </c>
      <c r="BA774" s="16" t="s">
        <v>55</v>
      </c>
      <c r="BB774" s="16">
        <v>5</v>
      </c>
      <c r="BC774" s="16" t="s">
        <v>55</v>
      </c>
      <c r="BD774" s="20">
        <v>7.48</v>
      </c>
      <c r="BE774" s="15">
        <f t="shared" si="405"/>
        <v>152.65306122448979</v>
      </c>
      <c r="BF774" s="15">
        <f t="shared" si="400"/>
        <v>2.1837055178359477</v>
      </c>
      <c r="BG774" s="8">
        <f t="shared" si="401"/>
        <v>0.87390159786446142</v>
      </c>
      <c r="BH774" s="13" t="s">
        <v>345</v>
      </c>
      <c r="BI774" s="13"/>
      <c r="BJ774" s="13"/>
      <c r="BK774" s="13"/>
      <c r="BL774" s="13"/>
      <c r="BM774" s="17"/>
      <c r="BN774" s="17"/>
      <c r="BO774" s="2"/>
    </row>
    <row r="775" spans="1:67" s="14" customFormat="1" x14ac:dyDescent="0.3">
      <c r="A775" s="20">
        <v>773</v>
      </c>
      <c r="B775" s="2" t="s">
        <v>181</v>
      </c>
      <c r="C775" s="2">
        <v>2020</v>
      </c>
      <c r="D775" s="2" t="s">
        <v>203</v>
      </c>
      <c r="E775" s="10" t="s">
        <v>787</v>
      </c>
      <c r="F775" s="20" t="s">
        <v>29</v>
      </c>
      <c r="G775" s="2" t="s">
        <v>77</v>
      </c>
      <c r="H775" s="2" t="str">
        <f>'PFAS Properties'!$B$45</f>
        <v>PFHpS</v>
      </c>
      <c r="I775" s="2" t="str">
        <f>'PFAS Properties'!$C$45</f>
        <v>PFSA</v>
      </c>
      <c r="J775" s="2" t="str">
        <f>'PFAS Properties'!$D$45</f>
        <v>C7HF15O3S</v>
      </c>
      <c r="K775" s="25">
        <f>'PFAS Properties'!$P$45</f>
        <v>449.94059999999996</v>
      </c>
      <c r="L775" s="2">
        <f>'PFAS Properties'!$X$45</f>
        <v>0.1</v>
      </c>
      <c r="M775" s="2" t="str">
        <f>'PFAS Properties'!$Y$45</f>
        <v>-</v>
      </c>
      <c r="N775" s="33">
        <v>0</v>
      </c>
      <c r="O775" s="33">
        <v>0</v>
      </c>
      <c r="P775" s="33">
        <v>0</v>
      </c>
      <c r="Q775" s="33">
        <f t="shared" si="385"/>
        <v>0.99999997488113634</v>
      </c>
      <c r="R775" s="33">
        <v>0</v>
      </c>
      <c r="S775" s="33">
        <f t="shared" si="386"/>
        <v>2.5118863684138424E-8</v>
      </c>
      <c r="T775" s="8">
        <f t="shared" si="394"/>
        <v>1</v>
      </c>
      <c r="U775" s="33">
        <f t="shared" si="395"/>
        <v>0</v>
      </c>
      <c r="V775" s="33">
        <f t="shared" si="396"/>
        <v>-0.99999997488113634</v>
      </c>
      <c r="W775" s="33">
        <f t="shared" si="397"/>
        <v>448.94060002511884</v>
      </c>
      <c r="X775" s="33">
        <v>96485</v>
      </c>
      <c r="Y775" s="16">
        <f t="shared" si="398"/>
        <v>-214.91706825136325</v>
      </c>
      <c r="Z775" s="16">
        <v>7</v>
      </c>
      <c r="AA775" s="16">
        <v>15</v>
      </c>
      <c r="AB775" s="8">
        <f t="shared" si="399"/>
        <v>0.29473684210526313</v>
      </c>
      <c r="AC775" s="16">
        <f t="shared" si="406"/>
        <v>63.34169443699902</v>
      </c>
      <c r="AD775" s="20">
        <f>'PFAS Properties'!$W$45</f>
        <v>7</v>
      </c>
      <c r="AE775" s="8">
        <f>'PFAS Properties'!$S$45</f>
        <v>2.9063350418050908</v>
      </c>
      <c r="AF775" s="15">
        <f>'PFAS Properties'!$V$45</f>
        <v>4.3</v>
      </c>
      <c r="AG775" s="24">
        <v>7.7</v>
      </c>
      <c r="AH775" s="2" t="s">
        <v>183</v>
      </c>
      <c r="AI775" s="2" t="s">
        <v>661</v>
      </c>
      <c r="AJ775" s="2" t="s">
        <v>661</v>
      </c>
      <c r="AK775" s="2" t="s">
        <v>661</v>
      </c>
      <c r="AL775" s="2" t="s">
        <v>661</v>
      </c>
      <c r="AM775" s="2" t="s">
        <v>661</v>
      </c>
      <c r="AN775" s="2" t="s">
        <v>661</v>
      </c>
      <c r="AO775" s="2" t="s">
        <v>661</v>
      </c>
      <c r="AP775" s="15">
        <v>7.8</v>
      </c>
      <c r="AQ775" s="2" t="s">
        <v>661</v>
      </c>
      <c r="AR775" s="16">
        <v>48.9</v>
      </c>
      <c r="AS775" s="16">
        <v>32.6</v>
      </c>
      <c r="AT775" s="16">
        <v>18.5</v>
      </c>
      <c r="AU775" s="2" t="s">
        <v>661</v>
      </c>
      <c r="AV775" s="16">
        <f t="shared" si="404"/>
        <v>100</v>
      </c>
      <c r="AW775" s="20">
        <v>0.13</v>
      </c>
      <c r="AX775" s="8">
        <v>1.2999999999999999E-3</v>
      </c>
      <c r="AY775" s="8" t="s">
        <v>184</v>
      </c>
      <c r="AZ775" s="16">
        <v>100</v>
      </c>
      <c r="BA775" s="16" t="s">
        <v>55</v>
      </c>
      <c r="BB775" s="16">
        <v>5</v>
      </c>
      <c r="BC775" s="16" t="s">
        <v>55</v>
      </c>
      <c r="BD775" s="20">
        <v>1.1399999999999999</v>
      </c>
      <c r="BE775" s="15">
        <f t="shared" si="405"/>
        <v>876.92307692307691</v>
      </c>
      <c r="BF775" s="15">
        <f t="shared" si="400"/>
        <v>2.9429614990296358</v>
      </c>
      <c r="BG775" s="8">
        <f t="shared" si="401"/>
        <v>5.6904851336472557E-2</v>
      </c>
      <c r="BH775" s="13" t="s">
        <v>345</v>
      </c>
      <c r="BI775" s="13"/>
      <c r="BJ775" s="13"/>
      <c r="BK775" s="13"/>
      <c r="BL775" s="13"/>
      <c r="BM775" s="17"/>
      <c r="BN775" s="17"/>
      <c r="BO775" s="2"/>
    </row>
    <row r="776" spans="1:67" s="14" customFormat="1" x14ac:dyDescent="0.3">
      <c r="A776" s="20">
        <v>774</v>
      </c>
      <c r="B776" s="2" t="s">
        <v>181</v>
      </c>
      <c r="C776" s="2">
        <v>2020</v>
      </c>
      <c r="D776" s="2" t="s">
        <v>203</v>
      </c>
      <c r="E776" s="10" t="s">
        <v>787</v>
      </c>
      <c r="F776" s="20" t="s">
        <v>29</v>
      </c>
      <c r="G776" s="2" t="s">
        <v>182</v>
      </c>
      <c r="H776" s="2" t="str">
        <f>'PFAS Properties'!$B$45</f>
        <v>PFHpS</v>
      </c>
      <c r="I776" s="2" t="str">
        <f>'PFAS Properties'!$C$45</f>
        <v>PFSA</v>
      </c>
      <c r="J776" s="2" t="str">
        <f>'PFAS Properties'!$D$45</f>
        <v>C7HF15O3S</v>
      </c>
      <c r="K776" s="25">
        <f>'PFAS Properties'!$P$45</f>
        <v>449.94059999999996</v>
      </c>
      <c r="L776" s="2">
        <f>'PFAS Properties'!$X$45</f>
        <v>0.1</v>
      </c>
      <c r="M776" s="2" t="str">
        <f>'PFAS Properties'!$Y$45</f>
        <v>-</v>
      </c>
      <c r="N776" s="33">
        <v>0</v>
      </c>
      <c r="O776" s="33">
        <v>0</v>
      </c>
      <c r="P776" s="33">
        <v>0</v>
      </c>
      <c r="Q776" s="33">
        <f t="shared" si="385"/>
        <v>0.9999999601892845</v>
      </c>
      <c r="R776" s="33">
        <v>0</v>
      </c>
      <c r="S776" s="33">
        <f t="shared" si="386"/>
        <v>3.9810715470456442E-8</v>
      </c>
      <c r="T776" s="8">
        <f t="shared" si="394"/>
        <v>1</v>
      </c>
      <c r="U776" s="33">
        <f t="shared" si="395"/>
        <v>0</v>
      </c>
      <c r="V776" s="33">
        <f t="shared" si="396"/>
        <v>-0.9999999601892845</v>
      </c>
      <c r="W776" s="33">
        <f t="shared" si="397"/>
        <v>448.9406000398107</v>
      </c>
      <c r="X776" s="33">
        <v>96485</v>
      </c>
      <c r="Y776" s="16">
        <f t="shared" si="398"/>
        <v>-214.91706508680016</v>
      </c>
      <c r="Z776" s="16">
        <v>7</v>
      </c>
      <c r="AA776" s="16">
        <v>15</v>
      </c>
      <c r="AB776" s="8">
        <f t="shared" si="399"/>
        <v>0.29473684210526313</v>
      </c>
      <c r="AC776" s="16">
        <f t="shared" si="406"/>
        <v>63.34169443699902</v>
      </c>
      <c r="AD776" s="20">
        <f>'PFAS Properties'!$W$45</f>
        <v>7</v>
      </c>
      <c r="AE776" s="8">
        <f>'PFAS Properties'!$S$45</f>
        <v>2.9063350418050908</v>
      </c>
      <c r="AF776" s="15">
        <f>'PFAS Properties'!$V$45</f>
        <v>4.3</v>
      </c>
      <c r="AG776" s="24">
        <v>7.5</v>
      </c>
      <c r="AH776" s="2" t="s">
        <v>183</v>
      </c>
      <c r="AI776" s="2" t="s">
        <v>661</v>
      </c>
      <c r="AJ776" s="2" t="s">
        <v>661</v>
      </c>
      <c r="AK776" s="2" t="s">
        <v>661</v>
      </c>
      <c r="AL776" s="2" t="s">
        <v>661</v>
      </c>
      <c r="AM776" s="2" t="s">
        <v>661</v>
      </c>
      <c r="AN776" s="2" t="s">
        <v>661</v>
      </c>
      <c r="AO776" s="2" t="s">
        <v>661</v>
      </c>
      <c r="AP776" s="15">
        <v>2.2799999999999998</v>
      </c>
      <c r="AQ776" s="2" t="s">
        <v>661</v>
      </c>
      <c r="AR776" s="16">
        <v>93</v>
      </c>
      <c r="AS776" s="16">
        <v>1</v>
      </c>
      <c r="AT776" s="16">
        <v>5</v>
      </c>
      <c r="AU776" s="2" t="s">
        <v>661</v>
      </c>
      <c r="AV776" s="16">
        <f t="shared" si="404"/>
        <v>99</v>
      </c>
      <c r="AW776" s="20">
        <v>0.4</v>
      </c>
      <c r="AX776" s="8">
        <v>4.0000000000000001E-3</v>
      </c>
      <c r="AY776" s="8" t="s">
        <v>184</v>
      </c>
      <c r="AZ776" s="16">
        <v>100</v>
      </c>
      <c r="BA776" s="16" t="s">
        <v>55</v>
      </c>
      <c r="BB776" s="16">
        <v>5</v>
      </c>
      <c r="BC776" s="16" t="s">
        <v>55</v>
      </c>
      <c r="BD776" s="20">
        <v>0.95</v>
      </c>
      <c r="BE776" s="15">
        <f t="shared" si="405"/>
        <v>237.49999999999997</v>
      </c>
      <c r="BF776" s="15">
        <f t="shared" si="400"/>
        <v>2.3756636139608855</v>
      </c>
      <c r="BG776" s="8">
        <f t="shared" si="401"/>
        <v>-2.2276394711152253E-2</v>
      </c>
      <c r="BH776" s="13" t="s">
        <v>345</v>
      </c>
      <c r="BI776" s="13"/>
      <c r="BJ776" s="13"/>
      <c r="BK776" s="13"/>
      <c r="BL776" s="13"/>
      <c r="BM776" s="17"/>
      <c r="BN776" s="17"/>
      <c r="BO776" s="2"/>
    </row>
    <row r="777" spans="1:67" s="14" customFormat="1" x14ac:dyDescent="0.3">
      <c r="A777" s="20">
        <v>775</v>
      </c>
      <c r="B777" s="2" t="s">
        <v>181</v>
      </c>
      <c r="C777" s="2">
        <v>2020</v>
      </c>
      <c r="D777" s="2" t="s">
        <v>203</v>
      </c>
      <c r="E777" s="10" t="s">
        <v>787</v>
      </c>
      <c r="F777" s="20" t="s">
        <v>29</v>
      </c>
      <c r="G777" s="2" t="s">
        <v>78</v>
      </c>
      <c r="H777" s="2" t="str">
        <f>'PFAS Properties'!$B$45</f>
        <v>PFHpS</v>
      </c>
      <c r="I777" s="2" t="str">
        <f>'PFAS Properties'!$C$45</f>
        <v>PFSA</v>
      </c>
      <c r="J777" s="2" t="str">
        <f>'PFAS Properties'!$D$45</f>
        <v>C7HF15O3S</v>
      </c>
      <c r="K777" s="25">
        <f>'PFAS Properties'!$P$45</f>
        <v>449.94059999999996</v>
      </c>
      <c r="L777" s="2">
        <f>'PFAS Properties'!$X$45</f>
        <v>0.1</v>
      </c>
      <c r="M777" s="2" t="str">
        <f>'PFAS Properties'!$Y$45</f>
        <v>-</v>
      </c>
      <c r="N777" s="33">
        <v>0</v>
      </c>
      <c r="O777" s="33">
        <v>0</v>
      </c>
      <c r="P777" s="33">
        <v>0</v>
      </c>
      <c r="Q777" s="33">
        <f t="shared" si="385"/>
        <v>0.99999990000001004</v>
      </c>
      <c r="R777" s="33">
        <v>0</v>
      </c>
      <c r="S777" s="33">
        <f t="shared" si="386"/>
        <v>9.9999990000001005E-8</v>
      </c>
      <c r="T777" s="8">
        <f t="shared" si="394"/>
        <v>1</v>
      </c>
      <c r="U777" s="33">
        <f t="shared" si="395"/>
        <v>0</v>
      </c>
      <c r="V777" s="33">
        <f t="shared" si="396"/>
        <v>-0.99999990000001004</v>
      </c>
      <c r="W777" s="33">
        <f t="shared" si="397"/>
        <v>448.94060009999998</v>
      </c>
      <c r="X777" s="33">
        <v>96485</v>
      </c>
      <c r="Y777" s="16">
        <f t="shared" si="398"/>
        <v>-214.91705212228359</v>
      </c>
      <c r="Z777" s="16">
        <v>7</v>
      </c>
      <c r="AA777" s="16">
        <v>15</v>
      </c>
      <c r="AB777" s="8">
        <f t="shared" si="399"/>
        <v>0.29473684210526313</v>
      </c>
      <c r="AC777" s="16">
        <f t="shared" si="406"/>
        <v>63.34169443699902</v>
      </c>
      <c r="AD777" s="20">
        <f>'PFAS Properties'!$W$45</f>
        <v>7</v>
      </c>
      <c r="AE777" s="8">
        <f>'PFAS Properties'!$S$45</f>
        <v>2.9063350418050908</v>
      </c>
      <c r="AF777" s="15">
        <f>'PFAS Properties'!$V$45</f>
        <v>4.3</v>
      </c>
      <c r="AG777" s="24">
        <v>7.1</v>
      </c>
      <c r="AH777" s="2" t="s">
        <v>183</v>
      </c>
      <c r="AI777" s="2" t="s">
        <v>661</v>
      </c>
      <c r="AJ777" s="2" t="s">
        <v>661</v>
      </c>
      <c r="AK777" s="2" t="s">
        <v>661</v>
      </c>
      <c r="AL777" s="2" t="s">
        <v>661</v>
      </c>
      <c r="AM777" s="2" t="s">
        <v>661</v>
      </c>
      <c r="AN777" s="2" t="s">
        <v>661</v>
      </c>
      <c r="AO777" s="2" t="s">
        <v>661</v>
      </c>
      <c r="AP777" s="15">
        <v>17.420000000000002</v>
      </c>
      <c r="AQ777" s="2" t="s">
        <v>661</v>
      </c>
      <c r="AR777" s="16">
        <v>48.86</v>
      </c>
      <c r="AS777" s="16">
        <v>16.05</v>
      </c>
      <c r="AT777" s="16">
        <v>35.090000000000003</v>
      </c>
      <c r="AU777" s="2" t="s">
        <v>661</v>
      </c>
      <c r="AV777" s="16">
        <f t="shared" si="404"/>
        <v>100</v>
      </c>
      <c r="AW777" s="20">
        <v>1.19</v>
      </c>
      <c r="AX777" s="8">
        <v>1.1899999999999999E-2</v>
      </c>
      <c r="AY777" s="8" t="s">
        <v>184</v>
      </c>
      <c r="AZ777" s="16">
        <v>100</v>
      </c>
      <c r="BA777" s="16" t="s">
        <v>55</v>
      </c>
      <c r="BB777" s="16">
        <v>5</v>
      </c>
      <c r="BC777" s="16" t="s">
        <v>55</v>
      </c>
      <c r="BD777" s="20">
        <v>1.88</v>
      </c>
      <c r="BE777" s="15">
        <f t="shared" si="405"/>
        <v>157.98319327731093</v>
      </c>
      <c r="BF777" s="15">
        <f t="shared" si="400"/>
        <v>2.198610887871149</v>
      </c>
      <c r="BG777" s="8">
        <f t="shared" si="401"/>
        <v>0.27415784926367981</v>
      </c>
      <c r="BH777" s="13" t="s">
        <v>345</v>
      </c>
      <c r="BI777" s="13"/>
      <c r="BJ777" s="13"/>
      <c r="BK777" s="13"/>
      <c r="BL777" s="13"/>
      <c r="BM777" s="17"/>
      <c r="BN777" s="17"/>
      <c r="BO777" s="2"/>
    </row>
    <row r="778" spans="1:67" s="14" customFormat="1" x14ac:dyDescent="0.3">
      <c r="A778" s="20">
        <v>776</v>
      </c>
      <c r="B778" s="2" t="s">
        <v>181</v>
      </c>
      <c r="C778" s="2">
        <v>2020</v>
      </c>
      <c r="D778" s="2" t="s">
        <v>203</v>
      </c>
      <c r="E778" s="10" t="s">
        <v>787</v>
      </c>
      <c r="F778" s="20" t="s">
        <v>29</v>
      </c>
      <c r="G778" s="2" t="s">
        <v>98</v>
      </c>
      <c r="H778" s="2" t="str">
        <f>'PFAS Properties'!$B$45</f>
        <v>PFHpS</v>
      </c>
      <c r="I778" s="2" t="str">
        <f>'PFAS Properties'!$C$45</f>
        <v>PFSA</v>
      </c>
      <c r="J778" s="2" t="str">
        <f>'PFAS Properties'!$D$45</f>
        <v>C7HF15O3S</v>
      </c>
      <c r="K778" s="25">
        <f>'PFAS Properties'!$P$45</f>
        <v>449.94059999999996</v>
      </c>
      <c r="L778" s="2">
        <f>'PFAS Properties'!$X$45</f>
        <v>0.1</v>
      </c>
      <c r="M778" s="2" t="str">
        <f>'PFAS Properties'!$Y$45</f>
        <v>-</v>
      </c>
      <c r="N778" s="33">
        <v>0</v>
      </c>
      <c r="O778" s="33">
        <v>0</v>
      </c>
      <c r="P778" s="33">
        <v>0</v>
      </c>
      <c r="Q778" s="33">
        <f t="shared" si="385"/>
        <v>0.99999949881301753</v>
      </c>
      <c r="R778" s="33">
        <v>0</v>
      </c>
      <c r="S778" s="33">
        <f t="shared" si="386"/>
        <v>5.0118698243875318E-7</v>
      </c>
      <c r="T778" s="8">
        <f t="shared" si="394"/>
        <v>1</v>
      </c>
      <c r="U778" s="33">
        <f t="shared" si="395"/>
        <v>0</v>
      </c>
      <c r="V778" s="33">
        <f t="shared" si="396"/>
        <v>-0.99999949881301753</v>
      </c>
      <c r="W778" s="33">
        <f t="shared" si="397"/>
        <v>448.94060050118696</v>
      </c>
      <c r="X778" s="33">
        <v>96485</v>
      </c>
      <c r="Y778" s="16">
        <f t="shared" si="398"/>
        <v>-214.91696570829285</v>
      </c>
      <c r="Z778" s="16">
        <v>7</v>
      </c>
      <c r="AA778" s="16">
        <v>15</v>
      </c>
      <c r="AB778" s="8">
        <f t="shared" si="399"/>
        <v>0.29473684210526313</v>
      </c>
      <c r="AC778" s="16">
        <f t="shared" si="406"/>
        <v>63.34169443699902</v>
      </c>
      <c r="AD778" s="20">
        <f>'PFAS Properties'!$W$45</f>
        <v>7</v>
      </c>
      <c r="AE778" s="8">
        <f>'PFAS Properties'!$S$45</f>
        <v>2.9063350418050908</v>
      </c>
      <c r="AF778" s="15">
        <f>'PFAS Properties'!$V$45</f>
        <v>4.3</v>
      </c>
      <c r="AG778" s="24">
        <v>6.4</v>
      </c>
      <c r="AH778" s="2" t="s">
        <v>183</v>
      </c>
      <c r="AI778" s="2" t="s">
        <v>661</v>
      </c>
      <c r="AJ778" s="15" t="s">
        <v>661</v>
      </c>
      <c r="AK778" s="8" t="s">
        <v>661</v>
      </c>
      <c r="AL778" s="2" t="s">
        <v>661</v>
      </c>
      <c r="AM778" s="15" t="s">
        <v>661</v>
      </c>
      <c r="AN778" s="8" t="s">
        <v>661</v>
      </c>
      <c r="AO778" s="15" t="s">
        <v>661</v>
      </c>
      <c r="AP778" s="15">
        <v>16.54</v>
      </c>
      <c r="AQ778" s="13" t="s">
        <v>661</v>
      </c>
      <c r="AR778" s="16">
        <v>29.38</v>
      </c>
      <c r="AS778" s="16">
        <v>13.9</v>
      </c>
      <c r="AT778" s="16">
        <v>56.71</v>
      </c>
      <c r="AU778" s="15" t="s">
        <v>661</v>
      </c>
      <c r="AV778" s="16">
        <f t="shared" si="404"/>
        <v>99.990000000000009</v>
      </c>
      <c r="AW778" s="20">
        <v>0.17</v>
      </c>
      <c r="AX778" s="8">
        <v>1.7000000000000001E-3</v>
      </c>
      <c r="AY778" s="8" t="s">
        <v>184</v>
      </c>
      <c r="AZ778" s="16">
        <v>100</v>
      </c>
      <c r="BA778" s="16" t="s">
        <v>55</v>
      </c>
      <c r="BB778" s="16">
        <v>5</v>
      </c>
      <c r="BC778" s="16" t="s">
        <v>55</v>
      </c>
      <c r="BD778" s="20">
        <v>2.73</v>
      </c>
      <c r="BE778" s="15">
        <f t="shared" si="405"/>
        <v>1605.8823529411764</v>
      </c>
      <c r="BF778" s="15">
        <f t="shared" si="400"/>
        <v>3.2057137256624819</v>
      </c>
      <c r="BG778" s="8">
        <f t="shared" si="401"/>
        <v>0.43616264704075602</v>
      </c>
      <c r="BH778" s="13" t="s">
        <v>345</v>
      </c>
      <c r="BI778" s="13"/>
      <c r="BJ778" s="13"/>
      <c r="BK778" s="13"/>
      <c r="BL778" s="13"/>
      <c r="BM778" s="17"/>
      <c r="BN778" s="17"/>
      <c r="BO778" s="2"/>
    </row>
    <row r="779" spans="1:67" s="14" customFormat="1" x14ac:dyDescent="0.3">
      <c r="A779" s="20">
        <v>777</v>
      </c>
      <c r="B779" s="2" t="s">
        <v>253</v>
      </c>
      <c r="C779" s="2">
        <v>2012</v>
      </c>
      <c r="D779" s="2" t="s">
        <v>254</v>
      </c>
      <c r="E779" s="10" t="s">
        <v>812</v>
      </c>
      <c r="F779" s="20" t="s">
        <v>63</v>
      </c>
      <c r="G779" s="2" t="s">
        <v>61</v>
      </c>
      <c r="H779" s="2" t="str">
        <f>'PFAS Properties'!$B$46</f>
        <v>PFOS</v>
      </c>
      <c r="I779" s="2" t="str">
        <f>'PFAS Properties'!$C$46</f>
        <v>PFSA</v>
      </c>
      <c r="J779" s="2" t="str">
        <f>'PFAS Properties'!$D$46</f>
        <v>C8HF17O3S</v>
      </c>
      <c r="K779" s="25">
        <f>'PFAS Properties'!$P$46</f>
        <v>499.93739999999997</v>
      </c>
      <c r="L779" s="2">
        <f>'PFAS Properties'!$X$46</f>
        <v>0.1</v>
      </c>
      <c r="M779" s="2" t="str">
        <f>'PFAS Properties'!$Y$46</f>
        <v>-</v>
      </c>
      <c r="N779" s="33">
        <v>0</v>
      </c>
      <c r="O779" s="33">
        <v>0</v>
      </c>
      <c r="P779" s="33">
        <v>0</v>
      </c>
      <c r="Q779" s="33">
        <f t="shared" si="385"/>
        <v>0.99999689973616968</v>
      </c>
      <c r="R779" s="33">
        <v>0</v>
      </c>
      <c r="S779" s="33">
        <f t="shared" si="386"/>
        <v>3.1002638303325702E-6</v>
      </c>
      <c r="T779" s="8">
        <f t="shared" si="394"/>
        <v>1</v>
      </c>
      <c r="U779" s="33">
        <f t="shared" si="395"/>
        <v>0</v>
      </c>
      <c r="V779" s="33">
        <f t="shared" si="396"/>
        <v>-0.99999689973616968</v>
      </c>
      <c r="W779" s="33">
        <f t="shared" si="397"/>
        <v>498.93740310026379</v>
      </c>
      <c r="X779" s="33">
        <v>96485</v>
      </c>
      <c r="Y779" s="16">
        <f t="shared" si="398"/>
        <v>-193.38037251068803</v>
      </c>
      <c r="Z779" s="16">
        <v>8</v>
      </c>
      <c r="AA779" s="16">
        <v>17</v>
      </c>
      <c r="AB779" s="8">
        <f t="shared" si="399"/>
        <v>0.29721362229102166</v>
      </c>
      <c r="AC779" s="16">
        <f t="shared" si="406"/>
        <v>64.60808893273439</v>
      </c>
      <c r="AD779" s="20">
        <f>'PFAS Properties'!$W$46</f>
        <v>8</v>
      </c>
      <c r="AE779" s="8">
        <f>'PFAS Properties'!$S$46</f>
        <v>2.0166155475571776</v>
      </c>
      <c r="AF779" s="15">
        <f>'PFAS Properties'!$V$46</f>
        <v>5</v>
      </c>
      <c r="AG779" s="124">
        <v>5.6086</v>
      </c>
      <c r="AH779" s="70" t="s">
        <v>752</v>
      </c>
      <c r="AI779" s="2" t="s">
        <v>661</v>
      </c>
      <c r="AJ779" s="2" t="s">
        <v>661</v>
      </c>
      <c r="AK779" s="2" t="s">
        <v>661</v>
      </c>
      <c r="AL779" s="2" t="s">
        <v>661</v>
      </c>
      <c r="AM779" s="2" t="s">
        <v>661</v>
      </c>
      <c r="AN779" s="2" t="s">
        <v>661</v>
      </c>
      <c r="AO779" s="2" t="s">
        <v>661</v>
      </c>
      <c r="AP779" s="72">
        <v>11.85494166666667</v>
      </c>
      <c r="AQ779" s="70" t="s">
        <v>752</v>
      </c>
      <c r="AR779" s="16">
        <v>11</v>
      </c>
      <c r="AS779" s="16">
        <v>77.099999999999994</v>
      </c>
      <c r="AT779" s="16">
        <v>11.9</v>
      </c>
      <c r="AU779" s="2" t="s">
        <v>661</v>
      </c>
      <c r="AV779" s="16">
        <f t="shared" si="404"/>
        <v>100</v>
      </c>
      <c r="AW779" s="20">
        <v>0.42</v>
      </c>
      <c r="AX779" s="8">
        <f>AW779/100</f>
        <v>4.1999999999999997E-3</v>
      </c>
      <c r="AY779" s="8" t="s">
        <v>138</v>
      </c>
      <c r="AZ779" s="16">
        <f>0.7/0.01</f>
        <v>70</v>
      </c>
      <c r="BA779" s="16" t="s">
        <v>55</v>
      </c>
      <c r="BB779" s="16">
        <v>2</v>
      </c>
      <c r="BC779" s="16">
        <v>200</v>
      </c>
      <c r="BD779" s="24">
        <f>10^1.58</f>
        <v>38.018939632056139</v>
      </c>
      <c r="BE779" s="16">
        <f t="shared" si="405"/>
        <v>9052.1284838228912</v>
      </c>
      <c r="BF779" s="16">
        <f t="shared" si="400"/>
        <v>3.9567507096020997</v>
      </c>
      <c r="BG779" s="8">
        <f t="shared" si="401"/>
        <v>1.5800000000000003</v>
      </c>
      <c r="BH779" s="13" t="s">
        <v>782</v>
      </c>
      <c r="BI779" s="16">
        <f>10^1.62</f>
        <v>41.686938347033561</v>
      </c>
      <c r="BJ779" s="13" t="s">
        <v>377</v>
      </c>
      <c r="BK779" s="15">
        <v>0.96</v>
      </c>
      <c r="BL779" s="8">
        <f t="shared" ref="BL779:BL784" si="407">BI779</f>
        <v>41.686938347033561</v>
      </c>
      <c r="BM779" s="18">
        <f>'PFAS Properties'!$U$46</f>
        <v>10.39</v>
      </c>
      <c r="BN779" s="8">
        <f t="shared" ref="BN779:BN784" si="408">(BL779*(BM779^BK779))</f>
        <v>394.41273176428075</v>
      </c>
      <c r="BO779" s="24">
        <f t="shared" ref="BO779:BO784" si="409">BN779/BM779</f>
        <v>37.960801902240689</v>
      </c>
    </row>
    <row r="780" spans="1:67" s="14" customFormat="1" x14ac:dyDescent="0.3">
      <c r="A780" s="20">
        <v>778</v>
      </c>
      <c r="B780" s="2" t="s">
        <v>253</v>
      </c>
      <c r="C780" s="2">
        <v>2012</v>
      </c>
      <c r="D780" s="2" t="s">
        <v>254</v>
      </c>
      <c r="E780" s="10" t="s">
        <v>812</v>
      </c>
      <c r="F780" s="20" t="s">
        <v>63</v>
      </c>
      <c r="G780" s="2" t="s">
        <v>59</v>
      </c>
      <c r="H780" s="2" t="str">
        <f>'PFAS Properties'!$B$46</f>
        <v>PFOS</v>
      </c>
      <c r="I780" s="2" t="str">
        <f>'PFAS Properties'!$C$46</f>
        <v>PFSA</v>
      </c>
      <c r="J780" s="2" t="str">
        <f>'PFAS Properties'!$D$46</f>
        <v>C8HF17O3S</v>
      </c>
      <c r="K780" s="25">
        <f>'PFAS Properties'!$P$46</f>
        <v>499.93739999999997</v>
      </c>
      <c r="L780" s="2">
        <f>'PFAS Properties'!$X$46</f>
        <v>0.1</v>
      </c>
      <c r="M780" s="2" t="str">
        <f>'PFAS Properties'!$Y$46</f>
        <v>-</v>
      </c>
      <c r="N780" s="33">
        <v>0</v>
      </c>
      <c r="O780" s="33">
        <v>0</v>
      </c>
      <c r="P780" s="33">
        <v>0</v>
      </c>
      <c r="Q780" s="33">
        <f t="shared" si="385"/>
        <v>0.99999690116356077</v>
      </c>
      <c r="R780" s="33">
        <v>0</v>
      </c>
      <c r="S780" s="33">
        <f t="shared" si="386"/>
        <v>3.0988364391950209E-6</v>
      </c>
      <c r="T780" s="8">
        <f t="shared" si="394"/>
        <v>1</v>
      </c>
      <c r="U780" s="33">
        <f t="shared" si="395"/>
        <v>0</v>
      </c>
      <c r="V780" s="33">
        <f t="shared" si="396"/>
        <v>-0.99999690116356077</v>
      </c>
      <c r="W780" s="33">
        <f t="shared" si="397"/>
        <v>498.9374030988364</v>
      </c>
      <c r="X780" s="33">
        <v>96485</v>
      </c>
      <c r="Y780" s="16">
        <f t="shared" si="398"/>
        <v>-193.38037278727154</v>
      </c>
      <c r="Z780" s="16">
        <v>8</v>
      </c>
      <c r="AA780" s="16">
        <v>17</v>
      </c>
      <c r="AB780" s="8">
        <f t="shared" si="399"/>
        <v>0.29721362229102166</v>
      </c>
      <c r="AC780" s="16">
        <f t="shared" si="406"/>
        <v>64.60808893273439</v>
      </c>
      <c r="AD780" s="20">
        <f>'PFAS Properties'!$W$46</f>
        <v>8</v>
      </c>
      <c r="AE780" s="8">
        <f>'PFAS Properties'!$S$46</f>
        <v>2.0166155475571776</v>
      </c>
      <c r="AF780" s="15">
        <f>'PFAS Properties'!$V$46</f>
        <v>5</v>
      </c>
      <c r="AG780" s="124">
        <v>5.6087999999999996</v>
      </c>
      <c r="AH780" s="70" t="s">
        <v>752</v>
      </c>
      <c r="AI780" s="2" t="s">
        <v>661</v>
      </c>
      <c r="AJ780" s="2" t="s">
        <v>661</v>
      </c>
      <c r="AK780" s="2" t="s">
        <v>661</v>
      </c>
      <c r="AL780" s="2" t="s">
        <v>661</v>
      </c>
      <c r="AM780" s="2" t="s">
        <v>661</v>
      </c>
      <c r="AN780" s="2" t="s">
        <v>661</v>
      </c>
      <c r="AO780" s="2" t="s">
        <v>661</v>
      </c>
      <c r="AP780" s="72">
        <v>12.21964166666667</v>
      </c>
      <c r="AQ780" s="70" t="s">
        <v>752</v>
      </c>
      <c r="AR780" s="16">
        <v>10.4</v>
      </c>
      <c r="AS780" s="16">
        <v>73</v>
      </c>
      <c r="AT780" s="16">
        <v>16.600000000000001</v>
      </c>
      <c r="AU780" s="2" t="s">
        <v>661</v>
      </c>
      <c r="AV780" s="16">
        <f t="shared" si="404"/>
        <v>100</v>
      </c>
      <c r="AW780" s="20">
        <v>0.75</v>
      </c>
      <c r="AX780" s="8">
        <f>AW780/100</f>
        <v>7.4999999999999997E-3</v>
      </c>
      <c r="AY780" s="8" t="s">
        <v>138</v>
      </c>
      <c r="AZ780" s="16">
        <f>0.7/0.01</f>
        <v>70</v>
      </c>
      <c r="BA780" s="16" t="s">
        <v>55</v>
      </c>
      <c r="BB780" s="16">
        <v>2</v>
      </c>
      <c r="BC780" s="16">
        <v>200</v>
      </c>
      <c r="BD780" s="24">
        <f>10^1.41</f>
        <v>25.703957827688647</v>
      </c>
      <c r="BE780" s="16">
        <f t="shared" si="405"/>
        <v>3427.1943770251532</v>
      </c>
      <c r="BF780" s="16">
        <f t="shared" si="400"/>
        <v>3.5349387366083</v>
      </c>
      <c r="BG780" s="8">
        <f t="shared" si="401"/>
        <v>1.4100000000000001</v>
      </c>
      <c r="BH780" s="13" t="s">
        <v>782</v>
      </c>
      <c r="BI780" s="16">
        <f>10^1.56</f>
        <v>36.307805477010156</v>
      </c>
      <c r="BJ780" s="13" t="s">
        <v>377</v>
      </c>
      <c r="BK780" s="15">
        <v>0.85</v>
      </c>
      <c r="BL780" s="8">
        <f t="shared" si="407"/>
        <v>36.307805477010156</v>
      </c>
      <c r="BM780" s="18">
        <f>'PFAS Properties'!$U$46</f>
        <v>10.39</v>
      </c>
      <c r="BN780" s="8">
        <f t="shared" si="408"/>
        <v>265.53588175811342</v>
      </c>
      <c r="BO780" s="24">
        <f t="shared" si="409"/>
        <v>25.556870236584544</v>
      </c>
    </row>
    <row r="781" spans="1:67" s="14" customFormat="1" x14ac:dyDescent="0.3">
      <c r="A781" s="20">
        <v>779</v>
      </c>
      <c r="B781" s="2" t="s">
        <v>253</v>
      </c>
      <c r="C781" s="2">
        <v>2012</v>
      </c>
      <c r="D781" s="2" t="s">
        <v>254</v>
      </c>
      <c r="E781" s="10" t="s">
        <v>812</v>
      </c>
      <c r="F781" s="20" t="s">
        <v>63</v>
      </c>
      <c r="G781" s="2" t="s">
        <v>58</v>
      </c>
      <c r="H781" s="2" t="str">
        <f>'PFAS Properties'!$B$46</f>
        <v>PFOS</v>
      </c>
      <c r="I781" s="2" t="str">
        <f>'PFAS Properties'!$C$46</f>
        <v>PFSA</v>
      </c>
      <c r="J781" s="2" t="str">
        <f>'PFAS Properties'!$D$46</f>
        <v>C8HF17O3S</v>
      </c>
      <c r="K781" s="25">
        <f>'PFAS Properties'!$P$46</f>
        <v>499.93739999999997</v>
      </c>
      <c r="L781" s="2">
        <f>'PFAS Properties'!$X$46</f>
        <v>0.1</v>
      </c>
      <c r="M781" s="2" t="str">
        <f>'PFAS Properties'!$Y$46</f>
        <v>-</v>
      </c>
      <c r="N781" s="33">
        <v>0</v>
      </c>
      <c r="O781" s="33">
        <v>0</v>
      </c>
      <c r="P781" s="33">
        <v>0</v>
      </c>
      <c r="Q781" s="33">
        <f t="shared" si="385"/>
        <v>0.9999969021623436</v>
      </c>
      <c r="R781" s="33">
        <v>0</v>
      </c>
      <c r="S781" s="33">
        <f t="shared" si="386"/>
        <v>3.0978376564403322E-6</v>
      </c>
      <c r="T781" s="8">
        <f t="shared" si="394"/>
        <v>1</v>
      </c>
      <c r="U781" s="33">
        <f t="shared" si="395"/>
        <v>0</v>
      </c>
      <c r="V781" s="33">
        <f t="shared" si="396"/>
        <v>-0.9999969021623436</v>
      </c>
      <c r="W781" s="33">
        <f t="shared" si="397"/>
        <v>498.9374030978376</v>
      </c>
      <c r="X781" s="33">
        <v>96485</v>
      </c>
      <c r="Y781" s="16">
        <f t="shared" si="398"/>
        <v>-193.38037298080425</v>
      </c>
      <c r="Z781" s="16">
        <v>8</v>
      </c>
      <c r="AA781" s="16">
        <v>17</v>
      </c>
      <c r="AB781" s="8">
        <f t="shared" si="399"/>
        <v>0.29721362229102166</v>
      </c>
      <c r="AC781" s="16">
        <f t="shared" si="406"/>
        <v>64.60808893273439</v>
      </c>
      <c r="AD781" s="20">
        <f>'PFAS Properties'!$W$46</f>
        <v>8</v>
      </c>
      <c r="AE781" s="8">
        <f>'PFAS Properties'!$S$46</f>
        <v>2.0166155475571776</v>
      </c>
      <c r="AF781" s="15">
        <f>'PFAS Properties'!$V$46</f>
        <v>5</v>
      </c>
      <c r="AG781" s="124">
        <v>5.6089399999999996</v>
      </c>
      <c r="AH781" s="70" t="s">
        <v>752</v>
      </c>
      <c r="AI781" s="2" t="s">
        <v>661</v>
      </c>
      <c r="AJ781" s="2" t="s">
        <v>661</v>
      </c>
      <c r="AK781" s="2" t="s">
        <v>661</v>
      </c>
      <c r="AL781" s="2" t="s">
        <v>661</v>
      </c>
      <c r="AM781" s="2" t="s">
        <v>661</v>
      </c>
      <c r="AN781" s="2" t="s">
        <v>661</v>
      </c>
      <c r="AO781" s="2" t="s">
        <v>661</v>
      </c>
      <c r="AP781" s="72">
        <v>12.203891666666671</v>
      </c>
      <c r="AQ781" s="70" t="s">
        <v>752</v>
      </c>
      <c r="AR781" s="16">
        <v>12.7</v>
      </c>
      <c r="AS781" s="16">
        <v>71.5</v>
      </c>
      <c r="AT781" s="16">
        <v>15.8</v>
      </c>
      <c r="AU781" s="2" t="s">
        <v>661</v>
      </c>
      <c r="AV781" s="16">
        <f t="shared" si="404"/>
        <v>100</v>
      </c>
      <c r="AW781" s="20">
        <v>0.81</v>
      </c>
      <c r="AX781" s="8">
        <f>AW781/100</f>
        <v>8.1000000000000013E-3</v>
      </c>
      <c r="AY781" s="8" t="s">
        <v>138</v>
      </c>
      <c r="AZ781" s="16">
        <f>0.7/0.01</f>
        <v>70</v>
      </c>
      <c r="BA781" s="16" t="s">
        <v>55</v>
      </c>
      <c r="BB781" s="16">
        <v>2</v>
      </c>
      <c r="BC781" s="16">
        <v>200</v>
      </c>
      <c r="BD781" s="24">
        <f>10^1.4</f>
        <v>25.118864315095799</v>
      </c>
      <c r="BE781" s="16">
        <f t="shared" si="405"/>
        <v>3101.0943598883696</v>
      </c>
      <c r="BF781" s="16">
        <f t="shared" si="400"/>
        <v>3.4915149811213499</v>
      </c>
      <c r="BG781" s="8">
        <f t="shared" si="401"/>
        <v>1.4</v>
      </c>
      <c r="BH781" s="13" t="s">
        <v>782</v>
      </c>
      <c r="BI781" s="16">
        <f>10^1.63</f>
        <v>42.657951880159267</v>
      </c>
      <c r="BJ781" s="13" t="s">
        <v>377</v>
      </c>
      <c r="BK781" s="15">
        <v>0.77</v>
      </c>
      <c r="BL781" s="8">
        <f t="shared" si="407"/>
        <v>42.657951880159267</v>
      </c>
      <c r="BM781" s="18">
        <f>'PFAS Properties'!$U$46</f>
        <v>10.39</v>
      </c>
      <c r="BN781" s="8">
        <f t="shared" si="408"/>
        <v>258.69853636332965</v>
      </c>
      <c r="BO781" s="24">
        <f t="shared" si="409"/>
        <v>24.898800419954728</v>
      </c>
    </row>
    <row r="782" spans="1:67" s="14" customFormat="1" x14ac:dyDescent="0.3">
      <c r="A782" s="20">
        <v>780</v>
      </c>
      <c r="B782" s="2" t="s">
        <v>253</v>
      </c>
      <c r="C782" s="2">
        <v>2012</v>
      </c>
      <c r="D782" s="2" t="s">
        <v>254</v>
      </c>
      <c r="E782" s="10" t="s">
        <v>812</v>
      </c>
      <c r="F782" s="20" t="s">
        <v>63</v>
      </c>
      <c r="G782" s="2" t="s">
        <v>57</v>
      </c>
      <c r="H782" s="2" t="str">
        <f>'PFAS Properties'!$B$46</f>
        <v>PFOS</v>
      </c>
      <c r="I782" s="2" t="str">
        <f>'PFAS Properties'!$C$46</f>
        <v>PFSA</v>
      </c>
      <c r="J782" s="2" t="str">
        <f>'PFAS Properties'!$D$46</f>
        <v>C8HF17O3S</v>
      </c>
      <c r="K782" s="25">
        <f>'PFAS Properties'!$P$46</f>
        <v>499.93739999999997</v>
      </c>
      <c r="L782" s="2">
        <f>'PFAS Properties'!$X$46</f>
        <v>0.1</v>
      </c>
      <c r="M782" s="2" t="str">
        <f>'PFAS Properties'!$Y$46</f>
        <v>-</v>
      </c>
      <c r="N782" s="33">
        <v>0</v>
      </c>
      <c r="O782" s="33">
        <v>0</v>
      </c>
      <c r="P782" s="33">
        <v>0</v>
      </c>
      <c r="Q782" s="33">
        <f t="shared" si="385"/>
        <v>0.99999684950618206</v>
      </c>
      <c r="R782" s="33">
        <v>0</v>
      </c>
      <c r="S782" s="33">
        <f t="shared" si="386"/>
        <v>3.1504938179299317E-6</v>
      </c>
      <c r="T782" s="8">
        <f t="shared" si="394"/>
        <v>1</v>
      </c>
      <c r="U782" s="33">
        <f t="shared" si="395"/>
        <v>0</v>
      </c>
      <c r="V782" s="33">
        <f t="shared" si="396"/>
        <v>-0.99999684950618206</v>
      </c>
      <c r="W782" s="33">
        <f t="shared" si="397"/>
        <v>498.93740315049376</v>
      </c>
      <c r="X782" s="33">
        <v>96485</v>
      </c>
      <c r="Y782" s="16">
        <f t="shared" si="398"/>
        <v>-193.38036277769586</v>
      </c>
      <c r="Z782" s="16">
        <v>8</v>
      </c>
      <c r="AA782" s="16">
        <v>17</v>
      </c>
      <c r="AB782" s="8">
        <f t="shared" si="399"/>
        <v>0.29721362229102166</v>
      </c>
      <c r="AC782" s="16">
        <f t="shared" si="406"/>
        <v>64.60808893273439</v>
      </c>
      <c r="AD782" s="20">
        <f>'PFAS Properties'!$W$46</f>
        <v>8</v>
      </c>
      <c r="AE782" s="8">
        <f>'PFAS Properties'!$S$46</f>
        <v>2.0166155475571776</v>
      </c>
      <c r="AF782" s="15">
        <f>'PFAS Properties'!$V$46</f>
        <v>5</v>
      </c>
      <c r="AG782" s="124">
        <v>5.6016199999999996</v>
      </c>
      <c r="AH782" s="70" t="s">
        <v>752</v>
      </c>
      <c r="AI782" s="2" t="s">
        <v>661</v>
      </c>
      <c r="AJ782" s="2" t="s">
        <v>661</v>
      </c>
      <c r="AK782" s="2" t="s">
        <v>661</v>
      </c>
      <c r="AL782" s="2" t="s">
        <v>661</v>
      </c>
      <c r="AM782" s="2" t="s">
        <v>661</v>
      </c>
      <c r="AN782" s="2" t="s">
        <v>661</v>
      </c>
      <c r="AO782" s="2" t="s">
        <v>661</v>
      </c>
      <c r="AP782" s="72">
        <v>11.879191666666671</v>
      </c>
      <c r="AQ782" s="70" t="s">
        <v>752</v>
      </c>
      <c r="AR782" s="16">
        <v>5.8</v>
      </c>
      <c r="AS782" s="16">
        <v>82</v>
      </c>
      <c r="AT782" s="16">
        <v>12.2</v>
      </c>
      <c r="AU782" s="2" t="s">
        <v>661</v>
      </c>
      <c r="AV782" s="16">
        <f t="shared" si="404"/>
        <v>100</v>
      </c>
      <c r="AW782" s="20">
        <v>0.99</v>
      </c>
      <c r="AX782" s="8">
        <f>AW782/100</f>
        <v>9.8999999999999991E-3</v>
      </c>
      <c r="AY782" s="8" t="s">
        <v>138</v>
      </c>
      <c r="AZ782" s="16">
        <f>0.7/0.01</f>
        <v>70</v>
      </c>
      <c r="BA782" s="16" t="s">
        <v>55</v>
      </c>
      <c r="BB782" s="16">
        <v>2</v>
      </c>
      <c r="BC782" s="16">
        <v>200</v>
      </c>
      <c r="BD782" s="24">
        <f>10^1.3</f>
        <v>19.952623149688804</v>
      </c>
      <c r="BE782" s="16">
        <f t="shared" si="405"/>
        <v>2015.416479766546</v>
      </c>
      <c r="BF782" s="16">
        <f t="shared" si="400"/>
        <v>3.3043648054024501</v>
      </c>
      <c r="BG782" s="8">
        <f t="shared" si="401"/>
        <v>1.3000000000000003</v>
      </c>
      <c r="BH782" s="13" t="s">
        <v>782</v>
      </c>
      <c r="BI782" s="16">
        <f>10^1.45</f>
        <v>28.183829312644548</v>
      </c>
      <c r="BJ782" s="13" t="s">
        <v>377</v>
      </c>
      <c r="BK782" s="15">
        <v>0.85</v>
      </c>
      <c r="BL782" s="8">
        <f t="shared" si="407"/>
        <v>28.183829312644548</v>
      </c>
      <c r="BM782" s="18">
        <f>'PFAS Properties'!$U$46</f>
        <v>10.39</v>
      </c>
      <c r="BN782" s="8">
        <f t="shared" si="408"/>
        <v>206.1214625761927</v>
      </c>
      <c r="BO782" s="24">
        <f t="shared" si="409"/>
        <v>19.838446831202376</v>
      </c>
    </row>
    <row r="783" spans="1:67" s="14" customFormat="1" x14ac:dyDescent="0.3">
      <c r="A783" s="20">
        <v>781</v>
      </c>
      <c r="B783" s="2" t="s">
        <v>253</v>
      </c>
      <c r="C783" s="2">
        <v>2012</v>
      </c>
      <c r="D783" s="2" t="s">
        <v>254</v>
      </c>
      <c r="E783" s="10" t="s">
        <v>812</v>
      </c>
      <c r="F783" s="20" t="s">
        <v>63</v>
      </c>
      <c r="G783" s="2" t="s">
        <v>62</v>
      </c>
      <c r="H783" s="2" t="str">
        <f>'PFAS Properties'!$B$46</f>
        <v>PFOS</v>
      </c>
      <c r="I783" s="2" t="str">
        <f>'PFAS Properties'!$C$46</f>
        <v>PFSA</v>
      </c>
      <c r="J783" s="2" t="str">
        <f>'PFAS Properties'!$D$46</f>
        <v>C8HF17O3S</v>
      </c>
      <c r="K783" s="25">
        <f>'PFAS Properties'!$P$46</f>
        <v>499.93739999999997</v>
      </c>
      <c r="L783" s="2">
        <f>'PFAS Properties'!$X$46</f>
        <v>0.1</v>
      </c>
      <c r="M783" s="2" t="str">
        <f>'PFAS Properties'!$Y$46</f>
        <v>-</v>
      </c>
      <c r="N783" s="33">
        <v>0</v>
      </c>
      <c r="O783" s="33">
        <v>0</v>
      </c>
      <c r="P783" s="33">
        <v>0</v>
      </c>
      <c r="Q783" s="33">
        <f t="shared" si="385"/>
        <v>0.99999683744107171</v>
      </c>
      <c r="R783" s="33">
        <v>0</v>
      </c>
      <c r="S783" s="33">
        <f t="shared" si="386"/>
        <v>3.1625589283070445E-6</v>
      </c>
      <c r="T783" s="8">
        <f t="shared" si="394"/>
        <v>1</v>
      </c>
      <c r="U783" s="33">
        <f t="shared" si="395"/>
        <v>0</v>
      </c>
      <c r="V783" s="33">
        <f t="shared" si="396"/>
        <v>-0.99999683744107171</v>
      </c>
      <c r="W783" s="33">
        <f t="shared" si="397"/>
        <v>498.93740316255895</v>
      </c>
      <c r="X783" s="33">
        <v>96485</v>
      </c>
      <c r="Y783" s="16">
        <f t="shared" si="398"/>
        <v>-193.38036043985684</v>
      </c>
      <c r="Z783" s="16">
        <v>8</v>
      </c>
      <c r="AA783" s="16">
        <v>17</v>
      </c>
      <c r="AB783" s="8">
        <f t="shared" si="399"/>
        <v>0.29721362229102166</v>
      </c>
      <c r="AC783" s="16">
        <f t="shared" si="406"/>
        <v>64.60808893273439</v>
      </c>
      <c r="AD783" s="20">
        <f>'PFAS Properties'!$W$46</f>
        <v>8</v>
      </c>
      <c r="AE783" s="8">
        <f>'PFAS Properties'!$S$46</f>
        <v>2.0166155475571776</v>
      </c>
      <c r="AF783" s="15">
        <f>'PFAS Properties'!$V$46</f>
        <v>5</v>
      </c>
      <c r="AG783" s="124">
        <v>5.5999600000000003</v>
      </c>
      <c r="AH783" s="70" t="s">
        <v>752</v>
      </c>
      <c r="AI783" s="2" t="s">
        <v>661</v>
      </c>
      <c r="AJ783" s="15" t="s">
        <v>661</v>
      </c>
      <c r="AK783" s="8" t="s">
        <v>661</v>
      </c>
      <c r="AL783" s="2" t="s">
        <v>661</v>
      </c>
      <c r="AM783" s="15" t="s">
        <v>661</v>
      </c>
      <c r="AN783" s="8" t="s">
        <v>661</v>
      </c>
      <c r="AO783" s="15" t="s">
        <v>661</v>
      </c>
      <c r="AP783" s="72">
        <v>11.982891666666671</v>
      </c>
      <c r="AQ783" s="70" t="s">
        <v>752</v>
      </c>
      <c r="AR783" s="16">
        <v>2.7</v>
      </c>
      <c r="AS783" s="16">
        <v>84.8</v>
      </c>
      <c r="AT783" s="16">
        <v>12.5</v>
      </c>
      <c r="AU783" s="13" t="s">
        <v>661</v>
      </c>
      <c r="AV783" s="16">
        <f t="shared" si="404"/>
        <v>100</v>
      </c>
      <c r="AW783" s="20">
        <v>1.43</v>
      </c>
      <c r="AX783" s="8">
        <f>AW783/100</f>
        <v>1.43E-2</v>
      </c>
      <c r="AY783" s="8" t="s">
        <v>138</v>
      </c>
      <c r="AZ783" s="16">
        <f>0.7/0.01</f>
        <v>70</v>
      </c>
      <c r="BA783" s="16" t="s">
        <v>55</v>
      </c>
      <c r="BB783" s="16">
        <v>2</v>
      </c>
      <c r="BC783" s="16">
        <v>200</v>
      </c>
      <c r="BD783" s="24">
        <f>10^1.2</f>
        <v>15.848931924611136</v>
      </c>
      <c r="BE783" s="16">
        <f t="shared" si="405"/>
        <v>1108.3169178049745</v>
      </c>
      <c r="BF783" s="16">
        <f t="shared" si="400"/>
        <v>3.0446639625349383</v>
      </c>
      <c r="BG783" s="8">
        <f t="shared" si="401"/>
        <v>1.2</v>
      </c>
      <c r="BH783" s="13" t="s">
        <v>782</v>
      </c>
      <c r="BI783" s="16">
        <f>10^1.37</f>
        <v>23.442288153199236</v>
      </c>
      <c r="BJ783" s="13" t="s">
        <v>377</v>
      </c>
      <c r="BK783" s="15">
        <v>0.83</v>
      </c>
      <c r="BL783" s="8">
        <f t="shared" si="407"/>
        <v>23.442288153199236</v>
      </c>
      <c r="BM783" s="18">
        <f>'PFAS Properties'!$U$46</f>
        <v>10.39</v>
      </c>
      <c r="BN783" s="8">
        <f t="shared" si="408"/>
        <v>163.60286490246614</v>
      </c>
      <c r="BO783" s="24">
        <f t="shared" si="409"/>
        <v>15.746185264914931</v>
      </c>
    </row>
    <row r="784" spans="1:67" s="14" customFormat="1" x14ac:dyDescent="0.3">
      <c r="A784" s="20">
        <v>782</v>
      </c>
      <c r="B784" s="2" t="s">
        <v>234</v>
      </c>
      <c r="C784" s="2">
        <v>2022</v>
      </c>
      <c r="D784" s="2" t="s">
        <v>205</v>
      </c>
      <c r="E784" s="10" t="s">
        <v>799</v>
      </c>
      <c r="F784" s="20" t="s">
        <v>63</v>
      </c>
      <c r="G784" s="2" t="s">
        <v>63</v>
      </c>
      <c r="H784" s="2" t="str">
        <f>'PFAS Properties'!$B$46</f>
        <v>PFOS</v>
      </c>
      <c r="I784" s="2" t="str">
        <f>'PFAS Properties'!$C$46</f>
        <v>PFSA</v>
      </c>
      <c r="J784" s="2" t="str">
        <f>'PFAS Properties'!$D$46</f>
        <v>C8HF17O3S</v>
      </c>
      <c r="K784" s="25">
        <f>'PFAS Properties'!$P$46</f>
        <v>499.93739999999997</v>
      </c>
      <c r="L784" s="2">
        <f>'PFAS Properties'!$X$46</f>
        <v>0.1</v>
      </c>
      <c r="M784" s="2" t="str">
        <f>'PFAS Properties'!$Y$46</f>
        <v>-</v>
      </c>
      <c r="N784" s="33">
        <v>0</v>
      </c>
      <c r="O784" s="33">
        <v>0</v>
      </c>
      <c r="P784" s="33">
        <v>0</v>
      </c>
      <c r="Q784" s="33">
        <f t="shared" ref="Q784:Q847" si="410">(10^(AG784-L784))/(1+(10^(AG784-L784)))</f>
        <v>0.99999998797735579</v>
      </c>
      <c r="R784" s="33">
        <v>0</v>
      </c>
      <c r="S784" s="33">
        <f t="shared" ref="S784:S847" si="411">(1/(1+(10^(AG784-L784))))</f>
        <v>1.2022644201630123E-8</v>
      </c>
      <c r="T784" s="8">
        <f t="shared" si="394"/>
        <v>1</v>
      </c>
      <c r="U784" s="33">
        <f t="shared" si="395"/>
        <v>0</v>
      </c>
      <c r="V784" s="33">
        <f t="shared" si="396"/>
        <v>-0.99999998797735579</v>
      </c>
      <c r="W784" s="33">
        <f t="shared" si="397"/>
        <v>498.93740001202264</v>
      </c>
      <c r="X784" s="33">
        <v>96485</v>
      </c>
      <c r="Y784" s="16">
        <f t="shared" si="398"/>
        <v>-193.38097091472844</v>
      </c>
      <c r="Z784" s="16">
        <v>8</v>
      </c>
      <c r="AA784" s="16">
        <v>17</v>
      </c>
      <c r="AB784" s="8">
        <f t="shared" si="399"/>
        <v>0.29721362229102166</v>
      </c>
      <c r="AC784" s="16">
        <f t="shared" si="406"/>
        <v>64.60808893273439</v>
      </c>
      <c r="AD784" s="20">
        <f>'PFAS Properties'!$W$46</f>
        <v>8</v>
      </c>
      <c r="AE784" s="8">
        <f>'PFAS Properties'!$S$46</f>
        <v>2.0166155475571776</v>
      </c>
      <c r="AF784" s="15">
        <f>'PFAS Properties'!$V$46</f>
        <v>5</v>
      </c>
      <c r="AG784" s="24">
        <v>8.02</v>
      </c>
      <c r="AH784" s="2" t="s">
        <v>661</v>
      </c>
      <c r="AI784" s="2" t="s">
        <v>661</v>
      </c>
      <c r="AJ784" s="2" t="s">
        <v>661</v>
      </c>
      <c r="AK784" s="2" t="s">
        <v>661</v>
      </c>
      <c r="AL784" s="2" t="s">
        <v>661</v>
      </c>
      <c r="AM784" s="2" t="s">
        <v>661</v>
      </c>
      <c r="AN784" s="2" t="s">
        <v>661</v>
      </c>
      <c r="AO784" s="2" t="s">
        <v>661</v>
      </c>
      <c r="AP784" s="72">
        <v>11.934691666666669</v>
      </c>
      <c r="AQ784" s="70" t="s">
        <v>752</v>
      </c>
      <c r="AR784" s="16">
        <v>6.34</v>
      </c>
      <c r="AS784" s="16">
        <v>85.56</v>
      </c>
      <c r="AT784" s="16">
        <v>8.08</v>
      </c>
      <c r="AU784" s="2" t="s">
        <v>661</v>
      </c>
      <c r="AV784" s="16">
        <f t="shared" si="404"/>
        <v>99.98</v>
      </c>
      <c r="AW784" s="20">
        <v>0.37</v>
      </c>
      <c r="AX784" s="8">
        <v>3.7000000000000002E-3</v>
      </c>
      <c r="AY784" s="13" t="s">
        <v>392</v>
      </c>
      <c r="AZ784" s="16">
        <f>1/0.02</f>
        <v>50</v>
      </c>
      <c r="BA784" s="16" t="s">
        <v>55</v>
      </c>
      <c r="BB784" s="16">
        <v>10</v>
      </c>
      <c r="BC784" s="16" t="s">
        <v>55</v>
      </c>
      <c r="BD784" s="18">
        <f>BO784</f>
        <v>6.7908931729122619</v>
      </c>
      <c r="BE784" s="16">
        <f t="shared" si="405"/>
        <v>1835.3765332195301</v>
      </c>
      <c r="BF784" s="16">
        <f t="shared" si="400"/>
        <v>3.2637251745959461</v>
      </c>
      <c r="BG784" s="8">
        <f t="shared" si="401"/>
        <v>0.83192689866294123</v>
      </c>
      <c r="BH784" s="13" t="s">
        <v>782</v>
      </c>
      <c r="BI784" s="8">
        <v>8</v>
      </c>
      <c r="BJ784" s="13" t="s">
        <v>366</v>
      </c>
      <c r="BK784" s="8">
        <v>0.93</v>
      </c>
      <c r="BL784" s="8">
        <f t="shared" si="407"/>
        <v>8</v>
      </c>
      <c r="BM784" s="18">
        <f>'PFAS Properties'!$U$46</f>
        <v>10.39</v>
      </c>
      <c r="BN784" s="8">
        <f t="shared" si="408"/>
        <v>70.557380066558409</v>
      </c>
      <c r="BO784" s="24">
        <f t="shared" si="409"/>
        <v>6.7908931729122619</v>
      </c>
    </row>
    <row r="785" spans="1:69" s="94" customFormat="1" x14ac:dyDescent="0.3">
      <c r="A785" s="83">
        <v>783</v>
      </c>
      <c r="B785" s="84" t="s">
        <v>224</v>
      </c>
      <c r="C785" s="84">
        <v>2013</v>
      </c>
      <c r="D785" s="84" t="s">
        <v>223</v>
      </c>
      <c r="E785" s="85" t="s">
        <v>222</v>
      </c>
      <c r="F785" s="83" t="s">
        <v>29</v>
      </c>
      <c r="G785" s="84" t="s">
        <v>90</v>
      </c>
      <c r="H785" s="84" t="str">
        <f>'PFAS Properties'!$B$46</f>
        <v>PFOS</v>
      </c>
      <c r="I785" s="84" t="str">
        <f>'PFAS Properties'!$C$46</f>
        <v>PFSA</v>
      </c>
      <c r="J785" s="84" t="str">
        <f>'PFAS Properties'!$D$46</f>
        <v>C8HF17O3S</v>
      </c>
      <c r="K785" s="99">
        <f>'PFAS Properties'!$P$46</f>
        <v>499.93739999999997</v>
      </c>
      <c r="L785" s="84">
        <f>'PFAS Properties'!$X$46</f>
        <v>0.1</v>
      </c>
      <c r="M785" s="84" t="str">
        <f>'PFAS Properties'!$Y$46</f>
        <v>-</v>
      </c>
      <c r="N785" s="87">
        <v>0</v>
      </c>
      <c r="O785" s="87">
        <v>0</v>
      </c>
      <c r="P785" s="87">
        <v>0</v>
      </c>
      <c r="Q785" s="87">
        <f t="shared" si="410"/>
        <v>0.99999788933609435</v>
      </c>
      <c r="R785" s="87">
        <v>0</v>
      </c>
      <c r="S785" s="87">
        <f t="shared" si="411"/>
        <v>2.1106639056048072E-6</v>
      </c>
      <c r="T785" s="88">
        <f t="shared" si="394"/>
        <v>1</v>
      </c>
      <c r="U785" s="87">
        <f t="shared" si="395"/>
        <v>0</v>
      </c>
      <c r="V785" s="87">
        <f t="shared" si="396"/>
        <v>-0.99999788933609435</v>
      </c>
      <c r="W785" s="87">
        <f t="shared" si="397"/>
        <v>498.93740211066387</v>
      </c>
      <c r="X785" s="87">
        <v>96485</v>
      </c>
      <c r="Y785" s="89">
        <f t="shared" si="398"/>
        <v>-193.3805642640373</v>
      </c>
      <c r="Z785" s="89">
        <v>8</v>
      </c>
      <c r="AA785" s="89">
        <v>17</v>
      </c>
      <c r="AB785" s="88">
        <f t="shared" si="399"/>
        <v>0.29721362229102166</v>
      </c>
      <c r="AC785" s="89">
        <f t="shared" si="406"/>
        <v>64.60808893273439</v>
      </c>
      <c r="AD785" s="83">
        <f>'PFAS Properties'!$W$46</f>
        <v>8</v>
      </c>
      <c r="AE785" s="88">
        <f>'PFAS Properties'!$S$46</f>
        <v>2.0166155475571776</v>
      </c>
      <c r="AF785" s="90">
        <f>'PFAS Properties'!$V$46</f>
        <v>5</v>
      </c>
      <c r="AG785" s="125">
        <v>5.7755799999999997</v>
      </c>
      <c r="AH785" s="84" t="s">
        <v>752</v>
      </c>
      <c r="AI785" s="84" t="s">
        <v>661</v>
      </c>
      <c r="AJ785" s="84" t="s">
        <v>661</v>
      </c>
      <c r="AK785" s="84" t="s">
        <v>661</v>
      </c>
      <c r="AL785" s="84" t="s">
        <v>661</v>
      </c>
      <c r="AM785" s="84" t="s">
        <v>661</v>
      </c>
      <c r="AN785" s="84" t="s">
        <v>661</v>
      </c>
      <c r="AO785" s="84" t="s">
        <v>661</v>
      </c>
      <c r="AP785" s="90">
        <v>3.83</v>
      </c>
      <c r="AQ785" s="84" t="s">
        <v>661</v>
      </c>
      <c r="AR785" s="84">
        <v>42</v>
      </c>
      <c r="AS785" s="84">
        <v>37</v>
      </c>
      <c r="AT785" s="84">
        <v>22</v>
      </c>
      <c r="AU785" s="84" t="s">
        <v>661</v>
      </c>
      <c r="AV785" s="89">
        <f t="shared" ref="AV785:AV789" si="412">SUM(AR785:AT785)</f>
        <v>101</v>
      </c>
      <c r="AW785" s="83">
        <v>16</v>
      </c>
      <c r="AX785" s="88">
        <f t="shared" ref="AX785:AX816" si="413">AW785/100</f>
        <v>0.16</v>
      </c>
      <c r="AY785" s="95" t="s">
        <v>839</v>
      </c>
      <c r="AZ785" s="89">
        <f>4/0.04</f>
        <v>100</v>
      </c>
      <c r="BA785" s="89" t="s">
        <v>55</v>
      </c>
      <c r="BB785" s="89">
        <v>5</v>
      </c>
      <c r="BC785" s="89">
        <v>100</v>
      </c>
      <c r="BD785" s="86">
        <v>16.100000000000001</v>
      </c>
      <c r="BE785" s="89">
        <f t="shared" si="405"/>
        <v>100.625</v>
      </c>
      <c r="BF785" s="89">
        <f t="shared" si="400"/>
        <v>2.002705893375925</v>
      </c>
      <c r="BG785" s="88">
        <f t="shared" si="401"/>
        <v>1.2068258760318498</v>
      </c>
      <c r="BH785" s="91" t="s">
        <v>837</v>
      </c>
      <c r="BI785" s="91"/>
      <c r="BJ785" s="91"/>
      <c r="BK785" s="97"/>
      <c r="BL785" s="97"/>
      <c r="BM785" s="91"/>
      <c r="BN785" s="91"/>
      <c r="BO785" s="84"/>
    </row>
    <row r="786" spans="1:69" s="14" customFormat="1" x14ac:dyDescent="0.3">
      <c r="A786" s="20">
        <v>784</v>
      </c>
      <c r="B786" s="2" t="s">
        <v>224</v>
      </c>
      <c r="C786" s="2">
        <v>2013</v>
      </c>
      <c r="D786" s="2" t="s">
        <v>223</v>
      </c>
      <c r="E786" s="10" t="s">
        <v>222</v>
      </c>
      <c r="F786" s="20" t="s">
        <v>29</v>
      </c>
      <c r="G786" s="2" t="s">
        <v>88</v>
      </c>
      <c r="H786" s="2" t="str">
        <f>'PFAS Properties'!$B$46</f>
        <v>PFOS</v>
      </c>
      <c r="I786" s="2" t="str">
        <f>'PFAS Properties'!$C$46</f>
        <v>PFSA</v>
      </c>
      <c r="J786" s="2" t="str">
        <f>'PFAS Properties'!$D$46</f>
        <v>C8HF17O3S</v>
      </c>
      <c r="K786" s="25">
        <f>'PFAS Properties'!$P$46</f>
        <v>499.93739999999997</v>
      </c>
      <c r="L786" s="2">
        <f>'PFAS Properties'!$X$46</f>
        <v>0.1</v>
      </c>
      <c r="M786" s="2" t="str">
        <f>'PFAS Properties'!$Y$46</f>
        <v>-</v>
      </c>
      <c r="N786" s="33">
        <v>0</v>
      </c>
      <c r="O786" s="33">
        <v>0</v>
      </c>
      <c r="P786" s="33">
        <v>0</v>
      </c>
      <c r="Q786" s="33">
        <f t="shared" si="410"/>
        <v>0.99999788933609435</v>
      </c>
      <c r="R786" s="33">
        <v>0</v>
      </c>
      <c r="S786" s="33">
        <f t="shared" si="411"/>
        <v>2.1106639056048072E-6</v>
      </c>
      <c r="T786" s="8">
        <f t="shared" si="394"/>
        <v>1</v>
      </c>
      <c r="U786" s="33">
        <f t="shared" si="395"/>
        <v>0</v>
      </c>
      <c r="V786" s="33">
        <f t="shared" si="396"/>
        <v>-0.99999788933609435</v>
      </c>
      <c r="W786" s="33">
        <f t="shared" si="397"/>
        <v>498.93740211066387</v>
      </c>
      <c r="X786" s="33">
        <v>96485</v>
      </c>
      <c r="Y786" s="16">
        <f t="shared" si="398"/>
        <v>-193.3805642640373</v>
      </c>
      <c r="Z786" s="16">
        <v>8</v>
      </c>
      <c r="AA786" s="16">
        <v>17</v>
      </c>
      <c r="AB786" s="8">
        <f t="shared" si="399"/>
        <v>0.29721362229102166</v>
      </c>
      <c r="AC786" s="16">
        <f t="shared" si="406"/>
        <v>64.60808893273439</v>
      </c>
      <c r="AD786" s="20">
        <f>'PFAS Properties'!$W$46</f>
        <v>8</v>
      </c>
      <c r="AE786" s="8">
        <f>'PFAS Properties'!$S$46</f>
        <v>2.0166155475571776</v>
      </c>
      <c r="AF786" s="15">
        <f>'PFAS Properties'!$V$46</f>
        <v>5</v>
      </c>
      <c r="AG786" s="124">
        <v>5.7755799999999997</v>
      </c>
      <c r="AH786" s="70" t="s">
        <v>752</v>
      </c>
      <c r="AI786" s="2" t="s">
        <v>661</v>
      </c>
      <c r="AJ786" s="2" t="s">
        <v>661</v>
      </c>
      <c r="AK786" s="2" t="s">
        <v>661</v>
      </c>
      <c r="AL786" s="2" t="s">
        <v>661</v>
      </c>
      <c r="AM786" s="2" t="s">
        <v>661</v>
      </c>
      <c r="AN786" s="2" t="s">
        <v>661</v>
      </c>
      <c r="AO786" s="2" t="s">
        <v>661</v>
      </c>
      <c r="AP786" s="15">
        <v>12.5</v>
      </c>
      <c r="AQ786" s="2" t="s">
        <v>661</v>
      </c>
      <c r="AR786" s="2">
        <v>27</v>
      </c>
      <c r="AS786" s="2">
        <v>47</v>
      </c>
      <c r="AT786" s="2">
        <v>27</v>
      </c>
      <c r="AU786" s="2" t="s">
        <v>661</v>
      </c>
      <c r="AV786" s="16">
        <f t="shared" si="412"/>
        <v>101</v>
      </c>
      <c r="AW786" s="20">
        <v>2.5</v>
      </c>
      <c r="AX786" s="8">
        <f t="shared" si="413"/>
        <v>2.5000000000000001E-2</v>
      </c>
      <c r="AY786" s="12" t="s">
        <v>839</v>
      </c>
      <c r="AZ786" s="16">
        <f>4/0.04</f>
        <v>100</v>
      </c>
      <c r="BA786" s="16" t="s">
        <v>55</v>
      </c>
      <c r="BB786" s="16">
        <v>5</v>
      </c>
      <c r="BC786" s="16">
        <v>100</v>
      </c>
      <c r="BD786" s="18">
        <v>7.28</v>
      </c>
      <c r="BE786" s="16">
        <f t="shared" si="405"/>
        <v>291.2</v>
      </c>
      <c r="BF786" s="16">
        <f t="shared" si="400"/>
        <v>2.4641913706409997</v>
      </c>
      <c r="BG786" s="8">
        <f t="shared" si="401"/>
        <v>0.86213137931303718</v>
      </c>
      <c r="BH786" s="13" t="s">
        <v>837</v>
      </c>
      <c r="BI786" s="13"/>
      <c r="BJ786" s="13"/>
      <c r="BK786" s="13"/>
      <c r="BL786" s="13"/>
      <c r="BM786" s="17"/>
      <c r="BN786" s="17"/>
      <c r="BO786" s="2"/>
    </row>
    <row r="787" spans="1:69" s="14" customFormat="1" x14ac:dyDescent="0.3">
      <c r="A787" s="20">
        <v>785</v>
      </c>
      <c r="B787" s="2" t="s">
        <v>224</v>
      </c>
      <c r="C787" s="2">
        <v>2013</v>
      </c>
      <c r="D787" s="2" t="s">
        <v>223</v>
      </c>
      <c r="E787" s="10" t="s">
        <v>222</v>
      </c>
      <c r="F787" s="20" t="s">
        <v>29</v>
      </c>
      <c r="G787" s="2" t="s">
        <v>89</v>
      </c>
      <c r="H787" s="2" t="str">
        <f>'PFAS Properties'!$B$46</f>
        <v>PFOS</v>
      </c>
      <c r="I787" s="2" t="str">
        <f>'PFAS Properties'!$C$46</f>
        <v>PFSA</v>
      </c>
      <c r="J787" s="2" t="str">
        <f>'PFAS Properties'!$D$46</f>
        <v>C8HF17O3S</v>
      </c>
      <c r="K787" s="25">
        <f>'PFAS Properties'!$P$46</f>
        <v>499.93739999999997</v>
      </c>
      <c r="L787" s="2">
        <f>'PFAS Properties'!$X$46</f>
        <v>0.1</v>
      </c>
      <c r="M787" s="2" t="str">
        <f>'PFAS Properties'!$Y$46</f>
        <v>-</v>
      </c>
      <c r="N787" s="33">
        <v>0</v>
      </c>
      <c r="O787" s="33">
        <v>0</v>
      </c>
      <c r="P787" s="33">
        <v>0</v>
      </c>
      <c r="Q787" s="33">
        <f t="shared" si="410"/>
        <v>0.9999921133982993</v>
      </c>
      <c r="R787" s="33">
        <v>0</v>
      </c>
      <c r="S787" s="33">
        <f t="shared" si="411"/>
        <v>7.8866017006526701E-6</v>
      </c>
      <c r="T787" s="8">
        <f t="shared" si="394"/>
        <v>1</v>
      </c>
      <c r="U787" s="33">
        <f t="shared" si="395"/>
        <v>0</v>
      </c>
      <c r="V787" s="33">
        <f t="shared" si="396"/>
        <v>-0.9999921133982993</v>
      </c>
      <c r="W787" s="33">
        <f t="shared" si="397"/>
        <v>498.93740788660165</v>
      </c>
      <c r="X787" s="33">
        <v>96485</v>
      </c>
      <c r="Y787" s="16">
        <f t="shared" si="398"/>
        <v>-193.37944506891699</v>
      </c>
      <c r="Z787" s="16">
        <v>8</v>
      </c>
      <c r="AA787" s="16">
        <v>17</v>
      </c>
      <c r="AB787" s="8">
        <f t="shared" si="399"/>
        <v>0.29721362229102166</v>
      </c>
      <c r="AC787" s="16">
        <f t="shared" si="406"/>
        <v>64.60808893273439</v>
      </c>
      <c r="AD787" s="20">
        <f>'PFAS Properties'!$W$46</f>
        <v>8</v>
      </c>
      <c r="AE787" s="8">
        <f>'PFAS Properties'!$S$46</f>
        <v>2.0166155475571776</v>
      </c>
      <c r="AF787" s="15">
        <f>'PFAS Properties'!$V$46</f>
        <v>5</v>
      </c>
      <c r="AG787" s="124">
        <v>5.2031066668000001</v>
      </c>
      <c r="AH787" s="70" t="s">
        <v>752</v>
      </c>
      <c r="AI787" s="2" t="s">
        <v>661</v>
      </c>
      <c r="AJ787" s="2" t="s">
        <v>661</v>
      </c>
      <c r="AK787" s="2" t="s">
        <v>661</v>
      </c>
      <c r="AL787" s="2" t="s">
        <v>661</v>
      </c>
      <c r="AM787" s="2" t="s">
        <v>661</v>
      </c>
      <c r="AN787" s="2" t="s">
        <v>661</v>
      </c>
      <c r="AO787" s="2" t="s">
        <v>661</v>
      </c>
      <c r="AP787" s="15">
        <v>3.22</v>
      </c>
      <c r="AQ787" s="2" t="s">
        <v>661</v>
      </c>
      <c r="AR787" s="2">
        <v>45</v>
      </c>
      <c r="AS787" s="2">
        <v>34</v>
      </c>
      <c r="AT787" s="2">
        <v>21</v>
      </c>
      <c r="AU787" s="2" t="s">
        <v>661</v>
      </c>
      <c r="AV787" s="16">
        <f t="shared" si="412"/>
        <v>100</v>
      </c>
      <c r="AW787" s="20">
        <v>5.2</v>
      </c>
      <c r="AX787" s="8">
        <f t="shared" si="413"/>
        <v>5.2000000000000005E-2</v>
      </c>
      <c r="AY787" s="12" t="s">
        <v>839</v>
      </c>
      <c r="AZ787" s="16">
        <f>4/0.04</f>
        <v>100</v>
      </c>
      <c r="BA787" s="16" t="s">
        <v>55</v>
      </c>
      <c r="BB787" s="16">
        <v>5</v>
      </c>
      <c r="BC787" s="16">
        <v>100</v>
      </c>
      <c r="BD787" s="18">
        <v>14.2</v>
      </c>
      <c r="BE787" s="16">
        <f t="shared" si="405"/>
        <v>273.07692307692304</v>
      </c>
      <c r="BF787" s="16">
        <f t="shared" si="400"/>
        <v>2.4362850007482573</v>
      </c>
      <c r="BG787" s="8">
        <f t="shared" si="401"/>
        <v>1.1522883443830565</v>
      </c>
      <c r="BH787" s="13" t="s">
        <v>837</v>
      </c>
      <c r="BI787" s="13"/>
      <c r="BJ787" s="13"/>
      <c r="BK787" s="13"/>
      <c r="BL787" s="13"/>
      <c r="BM787" s="17"/>
      <c r="BN787" s="17"/>
      <c r="BO787" s="2"/>
    </row>
    <row r="788" spans="1:69" s="14" customFormat="1" x14ac:dyDescent="0.3">
      <c r="A788" s="20">
        <v>786</v>
      </c>
      <c r="B788" s="2" t="s">
        <v>224</v>
      </c>
      <c r="C788" s="2">
        <v>2013</v>
      </c>
      <c r="D788" s="2" t="s">
        <v>223</v>
      </c>
      <c r="E788" s="10" t="s">
        <v>222</v>
      </c>
      <c r="F788" s="20" t="s">
        <v>29</v>
      </c>
      <c r="G788" s="2" t="s">
        <v>91</v>
      </c>
      <c r="H788" s="2" t="str">
        <f>'PFAS Properties'!$B$46</f>
        <v>PFOS</v>
      </c>
      <c r="I788" s="2" t="str">
        <f>'PFAS Properties'!$C$46</f>
        <v>PFSA</v>
      </c>
      <c r="J788" s="2" t="str">
        <f>'PFAS Properties'!$D$46</f>
        <v>C8HF17O3S</v>
      </c>
      <c r="K788" s="25">
        <f>'PFAS Properties'!$P$46</f>
        <v>499.93739999999997</v>
      </c>
      <c r="L788" s="2">
        <f>'PFAS Properties'!$X$46</f>
        <v>0.1</v>
      </c>
      <c r="M788" s="2" t="str">
        <f>'PFAS Properties'!$Y$46</f>
        <v>-</v>
      </c>
      <c r="N788" s="33">
        <v>0</v>
      </c>
      <c r="O788" s="33">
        <v>0</v>
      </c>
      <c r="P788" s="33">
        <v>0</v>
      </c>
      <c r="Q788" s="33">
        <f t="shared" si="410"/>
        <v>0.99999657596249569</v>
      </c>
      <c r="R788" s="33">
        <v>0</v>
      </c>
      <c r="S788" s="33">
        <f t="shared" si="411"/>
        <v>3.424037504257256E-6</v>
      </c>
      <c r="T788" s="8">
        <f t="shared" si="394"/>
        <v>1</v>
      </c>
      <c r="U788" s="33">
        <f t="shared" si="395"/>
        <v>0</v>
      </c>
      <c r="V788" s="33">
        <f t="shared" si="396"/>
        <v>-0.99999657596249569</v>
      </c>
      <c r="W788" s="33">
        <f t="shared" si="397"/>
        <v>498.93740342403743</v>
      </c>
      <c r="X788" s="33">
        <v>96485</v>
      </c>
      <c r="Y788" s="16">
        <f t="shared" si="398"/>
        <v>-193.38030977353066</v>
      </c>
      <c r="Z788" s="16">
        <v>8</v>
      </c>
      <c r="AA788" s="16">
        <v>17</v>
      </c>
      <c r="AB788" s="8">
        <f t="shared" si="399"/>
        <v>0.29721362229102166</v>
      </c>
      <c r="AC788" s="16">
        <f t="shared" si="406"/>
        <v>64.60808893273439</v>
      </c>
      <c r="AD788" s="20">
        <f>'PFAS Properties'!$W$46</f>
        <v>8</v>
      </c>
      <c r="AE788" s="8">
        <f>'PFAS Properties'!$S$46</f>
        <v>2.0166155475571776</v>
      </c>
      <c r="AF788" s="15">
        <f>'PFAS Properties'!$V$46</f>
        <v>5</v>
      </c>
      <c r="AG788" s="124">
        <v>5.5654599999999999</v>
      </c>
      <c r="AH788" s="70" t="s">
        <v>752</v>
      </c>
      <c r="AI788" s="2" t="s">
        <v>661</v>
      </c>
      <c r="AJ788" s="2" t="s">
        <v>661</v>
      </c>
      <c r="AK788" s="2" t="s">
        <v>661</v>
      </c>
      <c r="AL788" s="2" t="s">
        <v>661</v>
      </c>
      <c r="AM788" s="2" t="s">
        <v>661</v>
      </c>
      <c r="AN788" s="2" t="s">
        <v>661</v>
      </c>
      <c r="AO788" s="2" t="s">
        <v>661</v>
      </c>
      <c r="AP788" s="15">
        <v>6.13</v>
      </c>
      <c r="AQ788" s="2" t="s">
        <v>661</v>
      </c>
      <c r="AR788" s="2">
        <v>41</v>
      </c>
      <c r="AS788" s="2">
        <v>36</v>
      </c>
      <c r="AT788" s="2">
        <v>24</v>
      </c>
      <c r="AU788" s="2" t="s">
        <v>661</v>
      </c>
      <c r="AV788" s="16">
        <f t="shared" si="412"/>
        <v>101</v>
      </c>
      <c r="AW788" s="20">
        <v>0.52</v>
      </c>
      <c r="AX788" s="8">
        <f t="shared" si="413"/>
        <v>5.1999999999999998E-3</v>
      </c>
      <c r="AY788" s="12" t="s">
        <v>839</v>
      </c>
      <c r="AZ788" s="16">
        <f>4/0.04</f>
        <v>100</v>
      </c>
      <c r="BA788" s="16" t="s">
        <v>55</v>
      </c>
      <c r="BB788" s="16">
        <v>5</v>
      </c>
      <c r="BC788" s="16">
        <v>100</v>
      </c>
      <c r="BD788" s="18">
        <v>40.299999999999997</v>
      </c>
      <c r="BE788" s="16">
        <f t="shared" si="405"/>
        <v>7750</v>
      </c>
      <c r="BF788" s="16">
        <f t="shared" si="400"/>
        <v>3.8893017025063101</v>
      </c>
      <c r="BG788" s="8">
        <f t="shared" si="401"/>
        <v>1.6053050461411094</v>
      </c>
      <c r="BH788" s="13" t="s">
        <v>837</v>
      </c>
      <c r="BI788" s="13"/>
      <c r="BJ788" s="13"/>
      <c r="BK788" s="13"/>
      <c r="BL788" s="13"/>
      <c r="BM788" s="17"/>
      <c r="BN788" s="17"/>
      <c r="BO788" s="2"/>
    </row>
    <row r="789" spans="1:69" s="14" customFormat="1" x14ac:dyDescent="0.3">
      <c r="A789" s="20">
        <v>787</v>
      </c>
      <c r="B789" s="2" t="s">
        <v>224</v>
      </c>
      <c r="C789" s="2">
        <v>2013</v>
      </c>
      <c r="D789" s="2" t="s">
        <v>223</v>
      </c>
      <c r="E789" s="10" t="s">
        <v>222</v>
      </c>
      <c r="F789" s="20" t="s">
        <v>29</v>
      </c>
      <c r="G789" s="2" t="s">
        <v>92</v>
      </c>
      <c r="H789" s="2" t="str">
        <f>'PFAS Properties'!$B$46</f>
        <v>PFOS</v>
      </c>
      <c r="I789" s="2" t="str">
        <f>'PFAS Properties'!$C$46</f>
        <v>PFSA</v>
      </c>
      <c r="J789" s="2" t="str">
        <f>'PFAS Properties'!$D$46</f>
        <v>C8HF17O3S</v>
      </c>
      <c r="K789" s="25">
        <f>'PFAS Properties'!$P$46</f>
        <v>499.93739999999997</v>
      </c>
      <c r="L789" s="2">
        <f>'PFAS Properties'!$X$46</f>
        <v>0.1</v>
      </c>
      <c r="M789" s="2" t="str">
        <f>'PFAS Properties'!$Y$46</f>
        <v>-</v>
      </c>
      <c r="N789" s="33">
        <v>0</v>
      </c>
      <c r="O789" s="33">
        <v>0</v>
      </c>
      <c r="P789" s="33">
        <v>0</v>
      </c>
      <c r="Q789" s="33">
        <f t="shared" si="410"/>
        <v>0.99999917756867784</v>
      </c>
      <c r="R789" s="33">
        <v>0</v>
      </c>
      <c r="S789" s="33">
        <f t="shared" si="411"/>
        <v>8.2243132220402384E-7</v>
      </c>
      <c r="T789" s="8">
        <f t="shared" si="394"/>
        <v>1</v>
      </c>
      <c r="U789" s="33">
        <f t="shared" si="395"/>
        <v>0</v>
      </c>
      <c r="V789" s="33">
        <f t="shared" si="396"/>
        <v>-0.99999917756867784</v>
      </c>
      <c r="W789" s="33">
        <f t="shared" si="397"/>
        <v>498.9374008224313</v>
      </c>
      <c r="X789" s="33">
        <v>96485</v>
      </c>
      <c r="Y789" s="16">
        <f t="shared" si="398"/>
        <v>-193.38081388300708</v>
      </c>
      <c r="Z789" s="16">
        <v>8</v>
      </c>
      <c r="AA789" s="16">
        <v>17</v>
      </c>
      <c r="AB789" s="8">
        <f t="shared" si="399"/>
        <v>0.29721362229102166</v>
      </c>
      <c r="AC789" s="16">
        <f t="shared" si="406"/>
        <v>64.60808893273439</v>
      </c>
      <c r="AD789" s="20">
        <f>'PFAS Properties'!$W$46</f>
        <v>8</v>
      </c>
      <c r="AE789" s="8">
        <f>'PFAS Properties'!$S$46</f>
        <v>2.0166155475571776</v>
      </c>
      <c r="AF789" s="15">
        <f>'PFAS Properties'!$V$46</f>
        <v>5</v>
      </c>
      <c r="AG789" s="124">
        <v>6.1849000007999999</v>
      </c>
      <c r="AH789" s="70" t="s">
        <v>752</v>
      </c>
      <c r="AI789" s="2" t="s">
        <v>661</v>
      </c>
      <c r="AJ789" s="2" t="s">
        <v>661</v>
      </c>
      <c r="AK789" s="2" t="s">
        <v>661</v>
      </c>
      <c r="AL789" s="2" t="s">
        <v>661</v>
      </c>
      <c r="AM789" s="2" t="s">
        <v>661</v>
      </c>
      <c r="AN789" s="2" t="s">
        <v>661</v>
      </c>
      <c r="AO789" s="2" t="s">
        <v>661</v>
      </c>
      <c r="AP789" s="15">
        <v>44.5</v>
      </c>
      <c r="AQ789" s="2" t="s">
        <v>661</v>
      </c>
      <c r="AR789" s="2">
        <v>35</v>
      </c>
      <c r="AS789" s="2">
        <v>33</v>
      </c>
      <c r="AT789" s="2">
        <v>31</v>
      </c>
      <c r="AU789" s="2" t="s">
        <v>661</v>
      </c>
      <c r="AV789" s="16">
        <f t="shared" si="412"/>
        <v>99</v>
      </c>
      <c r="AW789" s="20">
        <v>2.1</v>
      </c>
      <c r="AX789" s="8">
        <f t="shared" si="413"/>
        <v>2.1000000000000001E-2</v>
      </c>
      <c r="AY789" s="12" t="s">
        <v>839</v>
      </c>
      <c r="AZ789" s="16">
        <f>4/0.04</f>
        <v>100</v>
      </c>
      <c r="BA789" s="16" t="s">
        <v>55</v>
      </c>
      <c r="BB789" s="16">
        <v>5</v>
      </c>
      <c r="BC789" s="16">
        <v>100</v>
      </c>
      <c r="BD789" s="18">
        <v>115</v>
      </c>
      <c r="BE789" s="16">
        <f t="shared" si="405"/>
        <v>5476.1904761904761</v>
      </c>
      <c r="BF789" s="16">
        <f t="shared" si="400"/>
        <v>3.7384785456196923</v>
      </c>
      <c r="BG789" s="8">
        <f t="shared" ref="BG789:BG820" si="414">LOG(BD789)</f>
        <v>2.0606978403536118</v>
      </c>
      <c r="BH789" s="13" t="s">
        <v>837</v>
      </c>
      <c r="BI789" s="13"/>
      <c r="BJ789" s="13"/>
      <c r="BK789" s="13"/>
      <c r="BL789" s="13"/>
      <c r="BM789" s="17"/>
      <c r="BN789" s="17"/>
      <c r="BO789" s="2"/>
    </row>
    <row r="790" spans="1:69" s="14" customFormat="1" x14ac:dyDescent="0.3">
      <c r="A790" s="20">
        <v>788</v>
      </c>
      <c r="B790" s="2" t="s">
        <v>210</v>
      </c>
      <c r="C790" s="2">
        <v>2010</v>
      </c>
      <c r="D790" s="2" t="s">
        <v>209</v>
      </c>
      <c r="E790" s="10" t="s">
        <v>208</v>
      </c>
      <c r="F790" s="20" t="s">
        <v>29</v>
      </c>
      <c r="G790" s="2" t="s">
        <v>52</v>
      </c>
      <c r="H790" s="2" t="str">
        <f>'PFAS Properties'!$B$46</f>
        <v>PFOS</v>
      </c>
      <c r="I790" s="2" t="str">
        <f>'PFAS Properties'!$C$46</f>
        <v>PFSA</v>
      </c>
      <c r="J790" s="2" t="str">
        <f>'PFAS Properties'!$D$46</f>
        <v>C8HF17O3S</v>
      </c>
      <c r="K790" s="25">
        <f>'PFAS Properties'!$P$46</f>
        <v>499.93739999999997</v>
      </c>
      <c r="L790" s="2">
        <f>'PFAS Properties'!$X$46</f>
        <v>0.1</v>
      </c>
      <c r="M790" s="2" t="str">
        <f>'PFAS Properties'!$Y$46</f>
        <v>-</v>
      </c>
      <c r="N790" s="33">
        <v>0</v>
      </c>
      <c r="O790" s="33">
        <v>0</v>
      </c>
      <c r="P790" s="33">
        <v>0</v>
      </c>
      <c r="Q790" s="33">
        <f t="shared" si="410"/>
        <v>0.99999996837722438</v>
      </c>
      <c r="R790" s="33">
        <v>0</v>
      </c>
      <c r="S790" s="33">
        <f t="shared" si="411"/>
        <v>3.1622775601683729E-8</v>
      </c>
      <c r="T790" s="8">
        <f t="shared" si="394"/>
        <v>1</v>
      </c>
      <c r="U790" s="33">
        <f t="shared" si="395"/>
        <v>0</v>
      </c>
      <c r="V790" s="33">
        <f t="shared" si="396"/>
        <v>-0.99999996837722438</v>
      </c>
      <c r="W790" s="33">
        <f t="shared" si="397"/>
        <v>498.93740003162276</v>
      </c>
      <c r="X790" s="33">
        <v>96485</v>
      </c>
      <c r="Y790" s="16">
        <f t="shared" si="398"/>
        <v>-193.38096711683923</v>
      </c>
      <c r="Z790" s="16">
        <v>8</v>
      </c>
      <c r="AA790" s="16">
        <v>17</v>
      </c>
      <c r="AB790" s="8">
        <f t="shared" si="399"/>
        <v>0.29721362229102166</v>
      </c>
      <c r="AC790" s="16">
        <f t="shared" si="406"/>
        <v>64.60808893273439</v>
      </c>
      <c r="AD790" s="20">
        <f>'PFAS Properties'!$W$46</f>
        <v>8</v>
      </c>
      <c r="AE790" s="8">
        <f>'PFAS Properties'!$S$46</f>
        <v>2.0166155475571776</v>
      </c>
      <c r="AF790" s="15">
        <f>'PFAS Properties'!$V$46</f>
        <v>5</v>
      </c>
      <c r="AG790" s="24">
        <v>7.6</v>
      </c>
      <c r="AH790" s="2" t="s">
        <v>661</v>
      </c>
      <c r="AI790" s="2">
        <v>8.1199999999999992</v>
      </c>
      <c r="AJ790" s="15">
        <f>AI790*1000/55.845</f>
        <v>145.40245321873041</v>
      </c>
      <c r="AK790" s="8">
        <f t="shared" ref="AK790:AK798" si="415">AI790/10</f>
        <v>0.81199999999999994</v>
      </c>
      <c r="AL790" s="2">
        <v>1.294</v>
      </c>
      <c r="AM790" s="15">
        <f>AL790*1000/26.98</f>
        <v>47.961452928094886</v>
      </c>
      <c r="AN790" s="8">
        <f t="shared" ref="AN790:AN798" si="416">AL790/10</f>
        <v>0.12940000000000002</v>
      </c>
      <c r="AO790" s="15" t="s">
        <v>41</v>
      </c>
      <c r="AP790" s="72">
        <v>5.6985666666666646</v>
      </c>
      <c r="AQ790" s="70" t="s">
        <v>752</v>
      </c>
      <c r="AR790" s="2">
        <v>41</v>
      </c>
      <c r="AS790" s="2">
        <v>22</v>
      </c>
      <c r="AT790" s="2">
        <v>37</v>
      </c>
      <c r="AU790" s="16" t="s">
        <v>661</v>
      </c>
      <c r="AV790" s="16">
        <f t="shared" ref="AV790:AV798" si="417">SUM(AR790:AT790)</f>
        <v>100</v>
      </c>
      <c r="AW790" s="20">
        <v>0.42</v>
      </c>
      <c r="AX790" s="8">
        <f t="shared" si="413"/>
        <v>4.1999999999999997E-3</v>
      </c>
      <c r="AY790" s="13" t="s">
        <v>53</v>
      </c>
      <c r="AZ790" s="16">
        <f>12/0.025</f>
        <v>480</v>
      </c>
      <c r="BA790" s="16" t="s">
        <v>55</v>
      </c>
      <c r="BB790" s="8">
        <v>0.02</v>
      </c>
      <c r="BC790" s="8">
        <v>1</v>
      </c>
      <c r="BD790" s="18">
        <v>15</v>
      </c>
      <c r="BE790" s="16">
        <f t="shared" si="405"/>
        <v>3571.4285714285716</v>
      </c>
      <c r="BF790" s="16">
        <f t="shared" si="400"/>
        <v>3.552841968657781</v>
      </c>
      <c r="BG790" s="8">
        <f t="shared" si="414"/>
        <v>1.1760912590556813</v>
      </c>
      <c r="BH790" s="13" t="s">
        <v>837</v>
      </c>
      <c r="BI790" s="13"/>
      <c r="BJ790" s="13"/>
      <c r="BK790" s="13"/>
      <c r="BL790" s="13"/>
      <c r="BM790" s="17"/>
      <c r="BN790" s="17"/>
      <c r="BO790" s="2"/>
    </row>
    <row r="791" spans="1:69" s="14" customFormat="1" x14ac:dyDescent="0.3">
      <c r="A791" s="20">
        <v>789</v>
      </c>
      <c r="B791" s="2" t="s">
        <v>210</v>
      </c>
      <c r="C791" s="2">
        <v>2010</v>
      </c>
      <c r="D791" s="2" t="s">
        <v>209</v>
      </c>
      <c r="E791" s="10" t="s">
        <v>208</v>
      </c>
      <c r="F791" s="20" t="s">
        <v>29</v>
      </c>
      <c r="G791" s="2" t="s">
        <v>54</v>
      </c>
      <c r="H791" s="2" t="str">
        <f>'PFAS Properties'!$B$46</f>
        <v>PFOS</v>
      </c>
      <c r="I791" s="2" t="str">
        <f>'PFAS Properties'!$C$46</f>
        <v>PFSA</v>
      </c>
      <c r="J791" s="2" t="str">
        <f>'PFAS Properties'!$D$46</f>
        <v>C8HF17O3S</v>
      </c>
      <c r="K791" s="25">
        <f>'PFAS Properties'!$P$46</f>
        <v>499.93739999999997</v>
      </c>
      <c r="L791" s="2">
        <f>'PFAS Properties'!$X$46</f>
        <v>0.1</v>
      </c>
      <c r="M791" s="2" t="str">
        <f>'PFAS Properties'!$Y$46</f>
        <v>-</v>
      </c>
      <c r="N791" s="33">
        <v>0</v>
      </c>
      <c r="O791" s="33">
        <v>0</v>
      </c>
      <c r="P791" s="33">
        <v>0</v>
      </c>
      <c r="Q791" s="33">
        <f t="shared" si="410"/>
        <v>0.99999900000099995</v>
      </c>
      <c r="R791" s="33">
        <v>0</v>
      </c>
      <c r="S791" s="33">
        <f t="shared" si="411"/>
        <v>9.9999900000100006E-7</v>
      </c>
      <c r="T791" s="8">
        <f t="shared" si="394"/>
        <v>1</v>
      </c>
      <c r="U791" s="33">
        <f t="shared" si="395"/>
        <v>0</v>
      </c>
      <c r="V791" s="33">
        <f t="shared" si="396"/>
        <v>-0.99999900000099995</v>
      </c>
      <c r="W791" s="33">
        <f t="shared" si="397"/>
        <v>498.93740099999894</v>
      </c>
      <c r="X791" s="33">
        <v>96485</v>
      </c>
      <c r="Y791" s="16">
        <f t="shared" si="398"/>
        <v>-193.38077947597415</v>
      </c>
      <c r="Z791" s="16">
        <v>8</v>
      </c>
      <c r="AA791" s="16">
        <v>17</v>
      </c>
      <c r="AB791" s="8">
        <f t="shared" si="399"/>
        <v>0.29721362229102166</v>
      </c>
      <c r="AC791" s="16">
        <f t="shared" si="406"/>
        <v>64.60808893273439</v>
      </c>
      <c r="AD791" s="20">
        <f>'PFAS Properties'!$W$46</f>
        <v>8</v>
      </c>
      <c r="AE791" s="8">
        <f>'PFAS Properties'!$S$46</f>
        <v>2.0166155475571776</v>
      </c>
      <c r="AF791" s="15">
        <f>'PFAS Properties'!$V$46</f>
        <v>5</v>
      </c>
      <c r="AG791" s="24">
        <v>6.1</v>
      </c>
      <c r="AH791" s="2" t="s">
        <v>661</v>
      </c>
      <c r="AI791" s="2">
        <v>2.73</v>
      </c>
      <c r="AJ791" s="15">
        <f>AI791*1000/55.845</f>
        <v>48.885307547676604</v>
      </c>
      <c r="AK791" s="8">
        <f t="shared" si="415"/>
        <v>0.27300000000000002</v>
      </c>
      <c r="AL791" s="2">
        <v>2.6320000000000001</v>
      </c>
      <c r="AM791" s="15">
        <f>AL791*1000/26.98</f>
        <v>97.553743513713854</v>
      </c>
      <c r="AN791" s="8">
        <f t="shared" si="416"/>
        <v>0.26319999999999999</v>
      </c>
      <c r="AO791" s="15" t="s">
        <v>41</v>
      </c>
      <c r="AP791" s="72">
        <v>12.81991666666667</v>
      </c>
      <c r="AQ791" s="70" t="s">
        <v>752</v>
      </c>
      <c r="AR791" s="2">
        <v>94</v>
      </c>
      <c r="AS791" s="2">
        <v>1</v>
      </c>
      <c r="AT791" s="2">
        <v>5</v>
      </c>
      <c r="AU791" s="16" t="s">
        <v>661</v>
      </c>
      <c r="AV791" s="16">
        <f t="shared" si="417"/>
        <v>100</v>
      </c>
      <c r="AW791" s="20">
        <v>1</v>
      </c>
      <c r="AX791" s="8">
        <f t="shared" si="413"/>
        <v>0.01</v>
      </c>
      <c r="AY791" s="13" t="s">
        <v>53</v>
      </c>
      <c r="AZ791" s="16">
        <f>12/0.025</f>
        <v>480</v>
      </c>
      <c r="BA791" s="16" t="s">
        <v>55</v>
      </c>
      <c r="BB791" s="8">
        <v>0.02</v>
      </c>
      <c r="BC791" s="8">
        <v>1</v>
      </c>
      <c r="BD791" s="18">
        <v>17</v>
      </c>
      <c r="BE791" s="16">
        <f t="shared" si="405"/>
        <v>1700</v>
      </c>
      <c r="BF791" s="16">
        <f t="shared" si="400"/>
        <v>3.2304489213782741</v>
      </c>
      <c r="BG791" s="8">
        <f t="shared" si="414"/>
        <v>1.2304489213782739</v>
      </c>
      <c r="BH791" s="13" t="s">
        <v>837</v>
      </c>
      <c r="BI791" s="2"/>
      <c r="BJ791" s="2"/>
      <c r="BK791" s="2"/>
      <c r="BL791" s="2"/>
      <c r="BM791" s="2"/>
      <c r="BN791" s="2"/>
      <c r="BO791" s="2"/>
    </row>
    <row r="792" spans="1:69" s="14" customFormat="1" x14ac:dyDescent="0.3">
      <c r="A792" s="20">
        <v>790</v>
      </c>
      <c r="B792" s="2" t="s">
        <v>204</v>
      </c>
      <c r="C792" s="2">
        <v>2013</v>
      </c>
      <c r="D792" s="2" t="s">
        <v>203</v>
      </c>
      <c r="E792" s="10" t="s">
        <v>792</v>
      </c>
      <c r="F792" s="20" t="s">
        <v>29</v>
      </c>
      <c r="G792" s="2" t="s">
        <v>46</v>
      </c>
      <c r="H792" s="2" t="str">
        <f>'PFAS Properties'!$B$46</f>
        <v>PFOS</v>
      </c>
      <c r="I792" s="2" t="str">
        <f>'PFAS Properties'!$C$46</f>
        <v>PFSA</v>
      </c>
      <c r="J792" s="2" t="str">
        <f>'PFAS Properties'!$D$46</f>
        <v>C8HF17O3S</v>
      </c>
      <c r="K792" s="25">
        <f>'PFAS Properties'!$P$46</f>
        <v>499.93739999999997</v>
      </c>
      <c r="L792" s="2">
        <f>'PFAS Properties'!$X$46</f>
        <v>0.1</v>
      </c>
      <c r="M792" s="2" t="str">
        <f>'PFAS Properties'!$Y$46</f>
        <v>-</v>
      </c>
      <c r="N792" s="33">
        <v>0</v>
      </c>
      <c r="O792" s="33">
        <v>0</v>
      </c>
      <c r="P792" s="33">
        <v>0</v>
      </c>
      <c r="Q792" s="33">
        <f t="shared" si="410"/>
        <v>0.99999900000099995</v>
      </c>
      <c r="R792" s="33">
        <v>0</v>
      </c>
      <c r="S792" s="33">
        <f t="shared" si="411"/>
        <v>9.9999900000100006E-7</v>
      </c>
      <c r="T792" s="8">
        <f t="shared" si="394"/>
        <v>1</v>
      </c>
      <c r="U792" s="33">
        <f t="shared" si="395"/>
        <v>0</v>
      </c>
      <c r="V792" s="33">
        <f t="shared" si="396"/>
        <v>-0.99999900000099995</v>
      </c>
      <c r="W792" s="33">
        <f t="shared" si="397"/>
        <v>498.93740099999894</v>
      </c>
      <c r="X792" s="33">
        <v>96485</v>
      </c>
      <c r="Y792" s="16">
        <f t="shared" si="398"/>
        <v>-193.38077947597415</v>
      </c>
      <c r="Z792" s="16">
        <v>8</v>
      </c>
      <c r="AA792" s="16">
        <v>17</v>
      </c>
      <c r="AB792" s="8">
        <f t="shared" si="399"/>
        <v>0.29721362229102166</v>
      </c>
      <c r="AC792" s="16">
        <f t="shared" si="406"/>
        <v>64.60808893273439</v>
      </c>
      <c r="AD792" s="20">
        <f>'PFAS Properties'!$W$46</f>
        <v>8</v>
      </c>
      <c r="AE792" s="8">
        <f>'PFAS Properties'!$S$46</f>
        <v>2.0166155475571776</v>
      </c>
      <c r="AF792" s="15">
        <f>'PFAS Properties'!$V$46</f>
        <v>5</v>
      </c>
      <c r="AG792" s="24">
        <v>6.1</v>
      </c>
      <c r="AH792" s="2" t="s">
        <v>661</v>
      </c>
      <c r="AI792" s="15">
        <v>2.21</v>
      </c>
      <c r="AJ792" s="16">
        <f>AI792*1000/55.845</f>
        <v>39.573820395738203</v>
      </c>
      <c r="AK792" s="8">
        <f>AI792/10</f>
        <v>0.221</v>
      </c>
      <c r="AL792" s="15">
        <v>0.93</v>
      </c>
      <c r="AM792" s="16">
        <f>AL792*1000/26.98</f>
        <v>34.469977761304669</v>
      </c>
      <c r="AN792" s="8">
        <f>AL792/10</f>
        <v>9.2999999999999999E-2</v>
      </c>
      <c r="AO792" s="15" t="s">
        <v>41</v>
      </c>
      <c r="AP792" s="72">
        <v>14.27683666666667</v>
      </c>
      <c r="AQ792" s="2" t="s">
        <v>752</v>
      </c>
      <c r="AR792" s="16">
        <v>81</v>
      </c>
      <c r="AS792" s="16">
        <v>1</v>
      </c>
      <c r="AT792" s="16">
        <v>9</v>
      </c>
      <c r="AU792" s="16" t="s">
        <v>661</v>
      </c>
      <c r="AV792" s="16">
        <f t="shared" ref="AV792:AV794" si="418">SUM(AR792:AT792)</f>
        <v>91</v>
      </c>
      <c r="AW792" s="18">
        <v>1.7</v>
      </c>
      <c r="AX792" s="13">
        <f t="shared" si="413"/>
        <v>1.7000000000000001E-2</v>
      </c>
      <c r="AY792" s="13" t="s">
        <v>42</v>
      </c>
      <c r="AZ792" s="16">
        <f>15/0.04</f>
        <v>375</v>
      </c>
      <c r="BA792" s="16" t="s">
        <v>55</v>
      </c>
      <c r="BB792" s="15">
        <v>0.5</v>
      </c>
      <c r="BC792" s="16">
        <v>1000</v>
      </c>
      <c r="BD792" s="18">
        <v>4.6500000000000004</v>
      </c>
      <c r="BE792" s="16">
        <f t="shared" si="405"/>
        <v>273.52941176470586</v>
      </c>
      <c r="BF792" s="16">
        <f t="shared" si="400"/>
        <v>2.4370040315116799</v>
      </c>
      <c r="BG792" s="8">
        <f t="shared" si="414"/>
        <v>0.66745295288995399</v>
      </c>
      <c r="BH792" s="13" t="s">
        <v>844</v>
      </c>
      <c r="BI792" s="13"/>
      <c r="BJ792" s="13"/>
      <c r="BK792" s="8"/>
      <c r="BL792" s="8"/>
      <c r="BM792" s="18"/>
      <c r="BN792" s="8"/>
      <c r="BO792" s="24"/>
    </row>
    <row r="793" spans="1:69" s="14" customFormat="1" x14ac:dyDescent="0.3">
      <c r="A793" s="20">
        <v>791</v>
      </c>
      <c r="B793" s="2" t="s">
        <v>204</v>
      </c>
      <c r="C793" s="2">
        <v>2013</v>
      </c>
      <c r="D793" s="2" t="s">
        <v>203</v>
      </c>
      <c r="E793" s="10" t="s">
        <v>792</v>
      </c>
      <c r="F793" s="20" t="s">
        <v>29</v>
      </c>
      <c r="G793" s="2" t="s">
        <v>50</v>
      </c>
      <c r="H793" s="2" t="str">
        <f>'PFAS Properties'!$B$46</f>
        <v>PFOS</v>
      </c>
      <c r="I793" s="2" t="str">
        <f>'PFAS Properties'!$C$46</f>
        <v>PFSA</v>
      </c>
      <c r="J793" s="2" t="str">
        <f>'PFAS Properties'!$D$46</f>
        <v>C8HF17O3S</v>
      </c>
      <c r="K793" s="25">
        <f>'PFAS Properties'!$P$46</f>
        <v>499.93739999999997</v>
      </c>
      <c r="L793" s="2">
        <f>'PFAS Properties'!$X$46</f>
        <v>0.1</v>
      </c>
      <c r="M793" s="2" t="str">
        <f>'PFAS Properties'!$Y$46</f>
        <v>-</v>
      </c>
      <c r="N793" s="33">
        <v>0</v>
      </c>
      <c r="O793" s="33">
        <v>0</v>
      </c>
      <c r="P793" s="33">
        <v>0</v>
      </c>
      <c r="Q793" s="33">
        <f t="shared" si="410"/>
        <v>0.99999998004737722</v>
      </c>
      <c r="R793" s="33">
        <v>0</v>
      </c>
      <c r="S793" s="33">
        <f t="shared" si="411"/>
        <v>1.995262275158161E-8</v>
      </c>
      <c r="T793" s="8">
        <f t="shared" si="394"/>
        <v>1</v>
      </c>
      <c r="U793" s="33">
        <f t="shared" si="395"/>
        <v>0</v>
      </c>
      <c r="V793" s="33">
        <f t="shared" si="396"/>
        <v>-0.99999998004737722</v>
      </c>
      <c r="W793" s="33">
        <f t="shared" si="397"/>
        <v>498.93740001995263</v>
      </c>
      <c r="X793" s="33">
        <v>96485</v>
      </c>
      <c r="Y793" s="16">
        <f t="shared" si="398"/>
        <v>-193.38096937814788</v>
      </c>
      <c r="Z793" s="16">
        <v>8</v>
      </c>
      <c r="AA793" s="16">
        <v>17</v>
      </c>
      <c r="AB793" s="8">
        <f t="shared" si="399"/>
        <v>0.29721362229102166</v>
      </c>
      <c r="AC793" s="16">
        <f t="shared" si="406"/>
        <v>64.60808893273439</v>
      </c>
      <c r="AD793" s="20">
        <f>'PFAS Properties'!$W$46</f>
        <v>8</v>
      </c>
      <c r="AE793" s="8">
        <f>'PFAS Properties'!$S$46</f>
        <v>2.0166155475571776</v>
      </c>
      <c r="AF793" s="15">
        <f>'PFAS Properties'!$V$46</f>
        <v>5</v>
      </c>
      <c r="AG793" s="24">
        <v>7.8</v>
      </c>
      <c r="AH793" s="2" t="s">
        <v>661</v>
      </c>
      <c r="AI793" s="15">
        <v>6.14</v>
      </c>
      <c r="AJ793" s="16">
        <f>AI793/10</f>
        <v>0.61399999999999999</v>
      </c>
      <c r="AK793" s="8">
        <f>AI793/10</f>
        <v>0.61399999999999999</v>
      </c>
      <c r="AL793" s="15">
        <v>1.67</v>
      </c>
      <c r="AM793" s="15">
        <f>AL793/10</f>
        <v>0.16699999999999998</v>
      </c>
      <c r="AN793" s="8">
        <f>AL793/10</f>
        <v>0.16699999999999998</v>
      </c>
      <c r="AO793" s="15" t="s">
        <v>41</v>
      </c>
      <c r="AP793" s="72">
        <v>6.4956666666666676</v>
      </c>
      <c r="AQ793" s="2" t="s">
        <v>752</v>
      </c>
      <c r="AR793" s="16">
        <v>33</v>
      </c>
      <c r="AS793" s="16">
        <v>42</v>
      </c>
      <c r="AT793" s="16">
        <v>25</v>
      </c>
      <c r="AU793" s="16" t="s">
        <v>661</v>
      </c>
      <c r="AV793" s="16">
        <f t="shared" si="418"/>
        <v>100</v>
      </c>
      <c r="AW793" s="18">
        <v>4.5</v>
      </c>
      <c r="AX793" s="13">
        <f t="shared" si="413"/>
        <v>4.4999999999999998E-2</v>
      </c>
      <c r="AY793" s="13" t="s">
        <v>42</v>
      </c>
      <c r="AZ793" s="16">
        <f>15/0.04</f>
        <v>375</v>
      </c>
      <c r="BA793" s="16" t="s">
        <v>55</v>
      </c>
      <c r="BB793" s="15">
        <v>0.5</v>
      </c>
      <c r="BC793" s="16">
        <v>1000</v>
      </c>
      <c r="BD793" s="18">
        <v>36.630000000000003</v>
      </c>
      <c r="BE793" s="16">
        <f t="shared" si="405"/>
        <v>814.00000000000011</v>
      </c>
      <c r="BF793" s="16">
        <f t="shared" si="400"/>
        <v>2.9106244048892012</v>
      </c>
      <c r="BG793" s="8">
        <f t="shared" si="414"/>
        <v>1.5638369186645449</v>
      </c>
      <c r="BH793" s="13" t="s">
        <v>844</v>
      </c>
      <c r="BI793" s="13"/>
      <c r="BJ793" s="13"/>
      <c r="BK793" s="8"/>
      <c r="BL793" s="8"/>
      <c r="BM793" s="18"/>
      <c r="BN793" s="8"/>
      <c r="BO793" s="24"/>
    </row>
    <row r="794" spans="1:69" s="14" customFormat="1" x14ac:dyDescent="0.3">
      <c r="A794" s="20">
        <v>792</v>
      </c>
      <c r="B794" s="2" t="s">
        <v>204</v>
      </c>
      <c r="C794" s="2">
        <v>2013</v>
      </c>
      <c r="D794" s="2" t="s">
        <v>203</v>
      </c>
      <c r="E794" s="10" t="s">
        <v>792</v>
      </c>
      <c r="F794" s="20" t="s">
        <v>29</v>
      </c>
      <c r="G794" s="2" t="s">
        <v>40</v>
      </c>
      <c r="H794" s="2" t="str">
        <f>'PFAS Properties'!$B$46</f>
        <v>PFOS</v>
      </c>
      <c r="I794" s="2" t="str">
        <f>'PFAS Properties'!$C$46</f>
        <v>PFSA</v>
      </c>
      <c r="J794" s="2" t="str">
        <f>'PFAS Properties'!$D$46</f>
        <v>C8HF17O3S</v>
      </c>
      <c r="K794" s="25">
        <f>'PFAS Properties'!$P$46</f>
        <v>499.93739999999997</v>
      </c>
      <c r="L794" s="2">
        <f>'PFAS Properties'!$X$46</f>
        <v>0.1</v>
      </c>
      <c r="M794" s="2" t="str">
        <f>'PFAS Properties'!$Y$46</f>
        <v>-</v>
      </c>
      <c r="N794" s="33">
        <v>0</v>
      </c>
      <c r="O794" s="33">
        <v>0</v>
      </c>
      <c r="P794" s="33">
        <v>0</v>
      </c>
      <c r="Q794" s="33">
        <f t="shared" si="410"/>
        <v>0.99999205678074798</v>
      </c>
      <c r="R794" s="33">
        <v>0</v>
      </c>
      <c r="S794" s="33">
        <f t="shared" si="411"/>
        <v>7.9432192520095278E-6</v>
      </c>
      <c r="T794" s="8">
        <f t="shared" si="394"/>
        <v>1</v>
      </c>
      <c r="U794" s="33">
        <f t="shared" si="395"/>
        <v>0</v>
      </c>
      <c r="V794" s="33">
        <f t="shared" si="396"/>
        <v>-0.99999205678074798</v>
      </c>
      <c r="W794" s="33">
        <f t="shared" si="397"/>
        <v>498.93740794321923</v>
      </c>
      <c r="X794" s="33">
        <v>96485</v>
      </c>
      <c r="Y794" s="16">
        <f t="shared" si="398"/>
        <v>-193.37943409821597</v>
      </c>
      <c r="Z794" s="16">
        <v>8</v>
      </c>
      <c r="AA794" s="16">
        <v>17</v>
      </c>
      <c r="AB794" s="8">
        <f t="shared" si="399"/>
        <v>0.29721362229102166</v>
      </c>
      <c r="AC794" s="16">
        <f t="shared" si="406"/>
        <v>64.60808893273439</v>
      </c>
      <c r="AD794" s="20">
        <f>'PFAS Properties'!$W$46</f>
        <v>8</v>
      </c>
      <c r="AE794" s="8">
        <f>'PFAS Properties'!$S$46</f>
        <v>2.0166155475571776</v>
      </c>
      <c r="AF794" s="15">
        <f>'PFAS Properties'!$V$46</f>
        <v>5</v>
      </c>
      <c r="AG794" s="24">
        <v>5.2</v>
      </c>
      <c r="AH794" s="2" t="s">
        <v>661</v>
      </c>
      <c r="AI794" s="15">
        <v>24.17</v>
      </c>
      <c r="AJ794" s="16">
        <f>AI794*1000/55.845</f>
        <v>432.80508550452146</v>
      </c>
      <c r="AK794" s="8">
        <f>AI794/10</f>
        <v>2.4170000000000003</v>
      </c>
      <c r="AL794" s="15">
        <v>3.99</v>
      </c>
      <c r="AM794" s="16">
        <f>AL794*1000/26.98</f>
        <v>147.88732394366198</v>
      </c>
      <c r="AN794" s="8">
        <f>AL794/10</f>
        <v>0.39900000000000002</v>
      </c>
      <c r="AO794" s="15" t="s">
        <v>41</v>
      </c>
      <c r="AP794" s="72">
        <v>12.009766666666669</v>
      </c>
      <c r="AQ794" s="2" t="s">
        <v>752</v>
      </c>
      <c r="AR794" s="16">
        <v>47</v>
      </c>
      <c r="AS794" s="16">
        <v>20</v>
      </c>
      <c r="AT794" s="16">
        <v>33</v>
      </c>
      <c r="AU794" s="16" t="s">
        <v>661</v>
      </c>
      <c r="AV794" s="16">
        <f t="shared" si="418"/>
        <v>100</v>
      </c>
      <c r="AW794" s="18">
        <v>0.8</v>
      </c>
      <c r="AX794" s="13">
        <f t="shared" si="413"/>
        <v>8.0000000000000002E-3</v>
      </c>
      <c r="AY794" s="13" t="s">
        <v>42</v>
      </c>
      <c r="AZ794" s="16">
        <f>15/0.04</f>
        <v>375</v>
      </c>
      <c r="BA794" s="16" t="s">
        <v>55</v>
      </c>
      <c r="BB794" s="15">
        <v>0.5</v>
      </c>
      <c r="BC794" s="16">
        <v>1000</v>
      </c>
      <c r="BD794" s="18">
        <v>5.1100000000000003</v>
      </c>
      <c r="BE794" s="16">
        <f t="shared" si="405"/>
        <v>638.75</v>
      </c>
      <c r="BF794" s="16">
        <f t="shared" si="400"/>
        <v>2.8053309131427691</v>
      </c>
      <c r="BG794" s="8">
        <f t="shared" si="414"/>
        <v>0.70842090013471271</v>
      </c>
      <c r="BH794" s="13" t="s">
        <v>844</v>
      </c>
      <c r="BI794" s="13"/>
      <c r="BJ794" s="13"/>
      <c r="BK794" s="8"/>
      <c r="BL794" s="8"/>
      <c r="BM794" s="18"/>
      <c r="BN794" s="8"/>
      <c r="BO794" s="24"/>
    </row>
    <row r="795" spans="1:69" x14ac:dyDescent="0.3">
      <c r="A795" s="20">
        <v>793</v>
      </c>
      <c r="B795" s="1" t="s">
        <v>873</v>
      </c>
      <c r="C795" s="1">
        <v>2007</v>
      </c>
      <c r="D795" s="1" t="s">
        <v>203</v>
      </c>
      <c r="E795" s="10" t="s">
        <v>225</v>
      </c>
      <c r="F795" s="7" t="s">
        <v>63</v>
      </c>
      <c r="G795" s="4">
        <v>1</v>
      </c>
      <c r="H795" s="2" t="str">
        <f>'PFAS Properties'!$B$46</f>
        <v>PFOS</v>
      </c>
      <c r="I795" s="2" t="str">
        <f>'PFAS Properties'!$C$46</f>
        <v>PFSA</v>
      </c>
      <c r="J795" s="2" t="str">
        <f>'PFAS Properties'!$D$46</f>
        <v>C8HF17O3S</v>
      </c>
      <c r="K795" s="25">
        <f>'PFAS Properties'!$P$46</f>
        <v>499.93739999999997</v>
      </c>
      <c r="L795" s="2">
        <f>'PFAS Properties'!$X$46</f>
        <v>0.1</v>
      </c>
      <c r="M795" s="2" t="str">
        <f>'PFAS Properties'!$Y$46</f>
        <v>-</v>
      </c>
      <c r="N795" s="33">
        <v>0</v>
      </c>
      <c r="O795" s="33">
        <v>0</v>
      </c>
      <c r="P795" s="33">
        <v>0</v>
      </c>
      <c r="Q795" s="33">
        <f t="shared" si="410"/>
        <v>0.99999987410747471</v>
      </c>
      <c r="R795" s="33">
        <v>0</v>
      </c>
      <c r="S795" s="33">
        <f t="shared" si="411"/>
        <v>1.2589252533048661E-7</v>
      </c>
      <c r="T795" s="8">
        <f t="shared" si="394"/>
        <v>1</v>
      </c>
      <c r="U795" s="33">
        <f t="shared" si="395"/>
        <v>0</v>
      </c>
      <c r="V795" s="33">
        <f t="shared" si="396"/>
        <v>-0.99999987410747471</v>
      </c>
      <c r="W795" s="33">
        <f t="shared" si="397"/>
        <v>498.93740012589251</v>
      </c>
      <c r="X795" s="33">
        <v>96485</v>
      </c>
      <c r="Y795" s="16">
        <f t="shared" si="398"/>
        <v>-193.38094885032569</v>
      </c>
      <c r="Z795" s="16">
        <v>8</v>
      </c>
      <c r="AA795" s="16">
        <v>17</v>
      </c>
      <c r="AB795" s="8">
        <f t="shared" si="399"/>
        <v>0.29721362229102166</v>
      </c>
      <c r="AC795" s="16">
        <f t="shared" si="406"/>
        <v>64.60808893273439</v>
      </c>
      <c r="AD795" s="20">
        <f>'PFAS Properties'!$W$46</f>
        <v>8</v>
      </c>
      <c r="AE795" s="8">
        <f>'PFAS Properties'!$S$46</f>
        <v>2.0166155475571776</v>
      </c>
      <c r="AF795" s="15">
        <f>'PFAS Properties'!$V$46</f>
        <v>5</v>
      </c>
      <c r="AG795" s="26">
        <v>7</v>
      </c>
      <c r="AH795" s="1" t="s">
        <v>363</v>
      </c>
      <c r="AI795" s="6">
        <f>334*55.85/1000</f>
        <v>18.6539</v>
      </c>
      <c r="AJ795" s="3">
        <f t="shared" ref="AJ795:AJ798" si="419">AI795*1000/55.845</f>
        <v>334.0299041991226</v>
      </c>
      <c r="AK795" s="8">
        <f t="shared" si="415"/>
        <v>1.8653900000000001</v>
      </c>
      <c r="AL795" s="6">
        <f>41*26.98/1000</f>
        <v>1.1061800000000002</v>
      </c>
      <c r="AM795" s="3">
        <f t="shared" ref="AM795:AM798" si="420">AL795*1000/26.98</f>
        <v>41</v>
      </c>
      <c r="AN795" s="8">
        <f t="shared" si="416"/>
        <v>0.11061800000000002</v>
      </c>
      <c r="AO795" s="3" t="s">
        <v>93</v>
      </c>
      <c r="AP795" s="15">
        <v>38.6</v>
      </c>
      <c r="AQ795" s="1" t="s">
        <v>363</v>
      </c>
      <c r="AR795" s="4">
        <v>11</v>
      </c>
      <c r="AS795" s="4">
        <v>36</v>
      </c>
      <c r="AT795" s="4">
        <v>53</v>
      </c>
      <c r="AU795" s="1" t="s">
        <v>363</v>
      </c>
      <c r="AV795" s="16">
        <f t="shared" si="417"/>
        <v>100</v>
      </c>
      <c r="AW795" s="7">
        <v>2.48</v>
      </c>
      <c r="AX795" s="31">
        <f t="shared" si="413"/>
        <v>2.4799999999999999E-2</v>
      </c>
      <c r="AY795" s="5" t="s">
        <v>87</v>
      </c>
      <c r="AZ795" s="39">
        <f>5/0.05</f>
        <v>100</v>
      </c>
      <c r="BA795" s="30" t="s">
        <v>55</v>
      </c>
      <c r="BB795" s="15">
        <f>1*K795/1000</f>
        <v>0.49993739999999998</v>
      </c>
      <c r="BC795" s="16">
        <f>200*K795/1000</f>
        <v>99.987479999999991</v>
      </c>
      <c r="BD795" s="26">
        <v>17.16</v>
      </c>
      <c r="BE795" s="16">
        <f t="shared" si="405"/>
        <v>691.9354838709678</v>
      </c>
      <c r="BF795" s="16">
        <f t="shared" si="400"/>
        <v>2.8400656026864706</v>
      </c>
      <c r="BG795" s="8">
        <f t="shared" si="414"/>
        <v>1.2345172835126867</v>
      </c>
      <c r="BH795" s="13" t="s">
        <v>844</v>
      </c>
      <c r="BI795" s="13"/>
      <c r="BJ795" s="13"/>
      <c r="BK795" s="8"/>
      <c r="BL795" s="8"/>
      <c r="BM795" s="18"/>
      <c r="BN795" s="8"/>
      <c r="BO795" s="24"/>
      <c r="BP795" s="11"/>
      <c r="BQ795" s="11"/>
    </row>
    <row r="796" spans="1:69" x14ac:dyDescent="0.3">
      <c r="A796" s="20">
        <v>794</v>
      </c>
      <c r="B796" s="1" t="s">
        <v>873</v>
      </c>
      <c r="C796" s="1">
        <v>2007</v>
      </c>
      <c r="D796" s="1" t="s">
        <v>203</v>
      </c>
      <c r="E796" s="10" t="s">
        <v>225</v>
      </c>
      <c r="F796" s="7" t="s">
        <v>63</v>
      </c>
      <c r="G796" s="4">
        <v>2</v>
      </c>
      <c r="H796" s="2" t="str">
        <f>'PFAS Properties'!$B$46</f>
        <v>PFOS</v>
      </c>
      <c r="I796" s="2" t="str">
        <f>'PFAS Properties'!$C$46</f>
        <v>PFSA</v>
      </c>
      <c r="J796" s="2" t="str">
        <f>'PFAS Properties'!$D$46</f>
        <v>C8HF17O3S</v>
      </c>
      <c r="K796" s="25">
        <f>'PFAS Properties'!$P$46</f>
        <v>499.93739999999997</v>
      </c>
      <c r="L796" s="2">
        <f>'PFAS Properties'!$X$46</f>
        <v>0.1</v>
      </c>
      <c r="M796" s="2" t="str">
        <f>'PFAS Properties'!$Y$46</f>
        <v>-</v>
      </c>
      <c r="N796" s="33">
        <v>0</v>
      </c>
      <c r="O796" s="33">
        <v>0</v>
      </c>
      <c r="P796" s="33">
        <v>0</v>
      </c>
      <c r="Q796" s="33">
        <f t="shared" si="410"/>
        <v>0.9999999601892845</v>
      </c>
      <c r="R796" s="33">
        <v>0</v>
      </c>
      <c r="S796" s="33">
        <f t="shared" si="411"/>
        <v>3.9810715470456442E-8</v>
      </c>
      <c r="T796" s="8">
        <f t="shared" si="394"/>
        <v>1</v>
      </c>
      <c r="U796" s="33">
        <f t="shared" si="395"/>
        <v>0</v>
      </c>
      <c r="V796" s="33">
        <f t="shared" si="396"/>
        <v>-0.9999999601892845</v>
      </c>
      <c r="W796" s="33">
        <f t="shared" si="397"/>
        <v>498.93740003981065</v>
      </c>
      <c r="X796" s="33">
        <v>96485</v>
      </c>
      <c r="Y796" s="16">
        <f t="shared" si="398"/>
        <v>-193.38096553027393</v>
      </c>
      <c r="Z796" s="16">
        <v>8</v>
      </c>
      <c r="AA796" s="16">
        <v>17</v>
      </c>
      <c r="AB796" s="8">
        <f t="shared" si="399"/>
        <v>0.29721362229102166</v>
      </c>
      <c r="AC796" s="16">
        <f t="shared" si="406"/>
        <v>64.60808893273439</v>
      </c>
      <c r="AD796" s="20">
        <f>'PFAS Properties'!$W$46</f>
        <v>8</v>
      </c>
      <c r="AE796" s="8">
        <f>'PFAS Properties'!$S$46</f>
        <v>2.0166155475571776</v>
      </c>
      <c r="AF796" s="15">
        <f>'PFAS Properties'!$V$46</f>
        <v>5</v>
      </c>
      <c r="AG796" s="26">
        <v>7.5</v>
      </c>
      <c r="AH796" s="1" t="s">
        <v>363</v>
      </c>
      <c r="AI796" s="6">
        <f>116*55.845/1000</f>
        <v>6.4780199999999999</v>
      </c>
      <c r="AJ796" s="3">
        <f t="shared" si="419"/>
        <v>116</v>
      </c>
      <c r="AK796" s="8">
        <f t="shared" si="415"/>
        <v>0.64780199999999999</v>
      </c>
      <c r="AL796" s="6">
        <f>7*26.98/1000</f>
        <v>0.18886</v>
      </c>
      <c r="AM796" s="3">
        <f t="shared" si="420"/>
        <v>7</v>
      </c>
      <c r="AN796" s="8">
        <f t="shared" si="416"/>
        <v>1.8886E-2</v>
      </c>
      <c r="AO796" s="3" t="s">
        <v>93</v>
      </c>
      <c r="AP796" s="15">
        <v>30</v>
      </c>
      <c r="AQ796" s="1" t="s">
        <v>363</v>
      </c>
      <c r="AR796" s="4">
        <v>49</v>
      </c>
      <c r="AS796" s="4">
        <v>25</v>
      </c>
      <c r="AT796" s="4">
        <v>26</v>
      </c>
      <c r="AU796" s="1" t="s">
        <v>363</v>
      </c>
      <c r="AV796" s="16">
        <f t="shared" si="417"/>
        <v>100</v>
      </c>
      <c r="AW796" s="7">
        <v>1.02</v>
      </c>
      <c r="AX796" s="6">
        <f t="shared" si="413"/>
        <v>1.0200000000000001E-2</v>
      </c>
      <c r="AY796" s="5" t="s">
        <v>87</v>
      </c>
      <c r="AZ796" s="39">
        <f>5/0.05</f>
        <v>100</v>
      </c>
      <c r="BA796" s="30" t="s">
        <v>55</v>
      </c>
      <c r="BB796" s="15">
        <f>1*K796/1000</f>
        <v>0.49993739999999998</v>
      </c>
      <c r="BC796" s="16">
        <f>200*K796/1000</f>
        <v>99.987479999999991</v>
      </c>
      <c r="BD796" s="26">
        <v>1.82</v>
      </c>
      <c r="BE796" s="16">
        <f t="shared" si="405"/>
        <v>178.43137254901961</v>
      </c>
      <c r="BF796" s="16">
        <f t="shared" si="400"/>
        <v>2.2514712162231572</v>
      </c>
      <c r="BG796" s="8">
        <f t="shared" si="414"/>
        <v>0.26007138798507479</v>
      </c>
      <c r="BH796" s="13" t="s">
        <v>844</v>
      </c>
      <c r="BI796" s="13"/>
      <c r="BJ796" s="13"/>
      <c r="BK796" s="8"/>
      <c r="BL796" s="8"/>
      <c r="BM796" s="18"/>
      <c r="BN796" s="8"/>
      <c r="BO796" s="24"/>
      <c r="BP796" s="11"/>
      <c r="BQ796" s="11"/>
    </row>
    <row r="797" spans="1:69" x14ac:dyDescent="0.3">
      <c r="A797" s="20">
        <v>795</v>
      </c>
      <c r="B797" s="1" t="s">
        <v>873</v>
      </c>
      <c r="C797" s="1">
        <v>2007</v>
      </c>
      <c r="D797" s="1" t="s">
        <v>203</v>
      </c>
      <c r="E797" s="10" t="s">
        <v>225</v>
      </c>
      <c r="F797" s="7" t="s">
        <v>63</v>
      </c>
      <c r="G797" s="4">
        <v>3</v>
      </c>
      <c r="H797" s="2" t="str">
        <f>'PFAS Properties'!$B$46</f>
        <v>PFOS</v>
      </c>
      <c r="I797" s="2" t="str">
        <f>'PFAS Properties'!$C$46</f>
        <v>PFSA</v>
      </c>
      <c r="J797" s="2" t="str">
        <f>'PFAS Properties'!$D$46</f>
        <v>C8HF17O3S</v>
      </c>
      <c r="K797" s="25">
        <f>'PFAS Properties'!$P$46</f>
        <v>499.93739999999997</v>
      </c>
      <c r="L797" s="2">
        <f>'PFAS Properties'!$X$46</f>
        <v>0.1</v>
      </c>
      <c r="M797" s="2" t="str">
        <f>'PFAS Properties'!$Y$46</f>
        <v>-</v>
      </c>
      <c r="N797" s="33">
        <v>0</v>
      </c>
      <c r="O797" s="33">
        <v>0</v>
      </c>
      <c r="P797" s="33">
        <v>0</v>
      </c>
      <c r="Q797" s="33">
        <f t="shared" si="410"/>
        <v>0.99999996837722438</v>
      </c>
      <c r="R797" s="33">
        <v>0</v>
      </c>
      <c r="S797" s="33">
        <f t="shared" si="411"/>
        <v>3.1622775601683729E-8</v>
      </c>
      <c r="T797" s="8">
        <f t="shared" si="394"/>
        <v>1</v>
      </c>
      <c r="U797" s="33">
        <f t="shared" si="395"/>
        <v>0</v>
      </c>
      <c r="V797" s="33">
        <f t="shared" si="396"/>
        <v>-0.99999996837722438</v>
      </c>
      <c r="W797" s="33">
        <f t="shared" si="397"/>
        <v>498.93740003162276</v>
      </c>
      <c r="X797" s="33">
        <v>96485</v>
      </c>
      <c r="Y797" s="16">
        <f t="shared" si="398"/>
        <v>-193.38096711683923</v>
      </c>
      <c r="Z797" s="16">
        <v>8</v>
      </c>
      <c r="AA797" s="16">
        <v>17</v>
      </c>
      <c r="AB797" s="8">
        <f t="shared" si="399"/>
        <v>0.29721362229102166</v>
      </c>
      <c r="AC797" s="16">
        <f t="shared" si="406"/>
        <v>64.60808893273439</v>
      </c>
      <c r="AD797" s="20">
        <f>'PFAS Properties'!$W$46</f>
        <v>8</v>
      </c>
      <c r="AE797" s="8">
        <f>'PFAS Properties'!$S$46</f>
        <v>2.0166155475571776</v>
      </c>
      <c r="AF797" s="15">
        <f>'PFAS Properties'!$V$46</f>
        <v>5</v>
      </c>
      <c r="AG797" s="26">
        <v>7.6</v>
      </c>
      <c r="AH797" s="1" t="s">
        <v>363</v>
      </c>
      <c r="AI797" s="6">
        <f>121*55.85/1000</f>
        <v>6.7578500000000004</v>
      </c>
      <c r="AJ797" s="3">
        <f t="shared" si="419"/>
        <v>121.01083355716717</v>
      </c>
      <c r="AK797" s="8">
        <f t="shared" si="415"/>
        <v>0.67578500000000008</v>
      </c>
      <c r="AL797" s="6">
        <f>14*26.98/1000</f>
        <v>0.37772</v>
      </c>
      <c r="AM797" s="3">
        <f t="shared" si="420"/>
        <v>14</v>
      </c>
      <c r="AN797" s="8">
        <f t="shared" si="416"/>
        <v>3.7772E-2</v>
      </c>
      <c r="AO797" s="3" t="s">
        <v>93</v>
      </c>
      <c r="AP797" s="15">
        <v>32.1</v>
      </c>
      <c r="AQ797" s="1" t="s">
        <v>363</v>
      </c>
      <c r="AR797" s="4">
        <v>31</v>
      </c>
      <c r="AS797" s="4">
        <v>38</v>
      </c>
      <c r="AT797" s="4">
        <v>31</v>
      </c>
      <c r="AU797" s="1" t="s">
        <v>363</v>
      </c>
      <c r="AV797" s="16">
        <f t="shared" si="417"/>
        <v>100</v>
      </c>
      <c r="AW797" s="7">
        <v>4.34</v>
      </c>
      <c r="AX797" s="6">
        <f t="shared" si="413"/>
        <v>4.3400000000000001E-2</v>
      </c>
      <c r="AY797" s="5" t="s">
        <v>87</v>
      </c>
      <c r="AZ797" s="39">
        <f>5/0.05</f>
        <v>100</v>
      </c>
      <c r="BA797" s="30" t="s">
        <v>55</v>
      </c>
      <c r="BB797" s="15">
        <f>1*K797/1000</f>
        <v>0.49993739999999998</v>
      </c>
      <c r="BC797" s="16">
        <f>200*K797/1000</f>
        <v>99.987479999999991</v>
      </c>
      <c r="BD797" s="26">
        <v>14.24</v>
      </c>
      <c r="BE797" s="16">
        <f t="shared" si="405"/>
        <v>328.11059907834101</v>
      </c>
      <c r="BF797" s="16">
        <f t="shared" si="400"/>
        <v>2.516020259788327</v>
      </c>
      <c r="BG797" s="8">
        <f t="shared" si="414"/>
        <v>1.1535099893008376</v>
      </c>
      <c r="BH797" s="13" t="s">
        <v>844</v>
      </c>
      <c r="BI797" s="13"/>
      <c r="BJ797" s="13"/>
      <c r="BK797" s="8"/>
      <c r="BL797" s="8"/>
      <c r="BM797" s="18"/>
      <c r="BN797" s="8"/>
      <c r="BO797" s="24"/>
      <c r="BP797" s="11"/>
      <c r="BQ797" s="11"/>
    </row>
    <row r="798" spans="1:69" x14ac:dyDescent="0.3">
      <c r="A798" s="20">
        <v>796</v>
      </c>
      <c r="B798" s="1" t="s">
        <v>873</v>
      </c>
      <c r="C798" s="1">
        <v>2007</v>
      </c>
      <c r="D798" s="1" t="s">
        <v>203</v>
      </c>
      <c r="E798" s="10" t="s">
        <v>225</v>
      </c>
      <c r="F798" s="7" t="s">
        <v>63</v>
      </c>
      <c r="G798" s="4">
        <v>5</v>
      </c>
      <c r="H798" s="2" t="str">
        <f>'PFAS Properties'!$B$46</f>
        <v>PFOS</v>
      </c>
      <c r="I798" s="2" t="str">
        <f>'PFAS Properties'!$C$46</f>
        <v>PFSA</v>
      </c>
      <c r="J798" s="2" t="str">
        <f>'PFAS Properties'!$D$46</f>
        <v>C8HF17O3S</v>
      </c>
      <c r="K798" s="25">
        <f>'PFAS Properties'!$P$46</f>
        <v>499.93739999999997</v>
      </c>
      <c r="L798" s="2">
        <f>'PFAS Properties'!$X$46</f>
        <v>0.1</v>
      </c>
      <c r="M798" s="2" t="str">
        <f>'PFAS Properties'!$Y$46</f>
        <v>-</v>
      </c>
      <c r="N798" s="33">
        <v>0</v>
      </c>
      <c r="O798" s="33">
        <v>0</v>
      </c>
      <c r="P798" s="33">
        <v>0</v>
      </c>
      <c r="Q798" s="33">
        <f t="shared" si="410"/>
        <v>0.9999974881198781</v>
      </c>
      <c r="R798" s="33">
        <v>0</v>
      </c>
      <c r="S798" s="33">
        <f t="shared" si="411"/>
        <v>2.5118801219519806E-6</v>
      </c>
      <c r="T798" s="8">
        <f t="shared" si="394"/>
        <v>1</v>
      </c>
      <c r="U798" s="33">
        <f t="shared" si="395"/>
        <v>0</v>
      </c>
      <c r="V798" s="33">
        <f t="shared" si="396"/>
        <v>-0.9999974881198781</v>
      </c>
      <c r="W798" s="33">
        <f t="shared" si="397"/>
        <v>498.93740251188012</v>
      </c>
      <c r="X798" s="33">
        <v>96485</v>
      </c>
      <c r="Y798" s="16">
        <f t="shared" si="398"/>
        <v>-193.38048652094997</v>
      </c>
      <c r="Z798" s="16">
        <v>8</v>
      </c>
      <c r="AA798" s="16">
        <v>17</v>
      </c>
      <c r="AB798" s="8">
        <f t="shared" si="399"/>
        <v>0.29721362229102166</v>
      </c>
      <c r="AC798" s="16">
        <f t="shared" si="406"/>
        <v>64.60808893273439</v>
      </c>
      <c r="AD798" s="20">
        <f>'PFAS Properties'!$W$46</f>
        <v>8</v>
      </c>
      <c r="AE798" s="8">
        <f>'PFAS Properties'!$S$46</f>
        <v>2.0166155475571776</v>
      </c>
      <c r="AF798" s="15">
        <f>'PFAS Properties'!$V$46</f>
        <v>5</v>
      </c>
      <c r="AG798" s="26">
        <v>5.7</v>
      </c>
      <c r="AH798" s="1" t="s">
        <v>363</v>
      </c>
      <c r="AI798" s="6">
        <f>268*55.85/1000</f>
        <v>14.9678</v>
      </c>
      <c r="AJ798" s="3">
        <f t="shared" si="419"/>
        <v>268.02399498612232</v>
      </c>
      <c r="AK798" s="8">
        <f t="shared" si="415"/>
        <v>1.49678</v>
      </c>
      <c r="AL798" s="6">
        <f>90*26.98/1000</f>
        <v>2.4281999999999999</v>
      </c>
      <c r="AM798" s="3">
        <f t="shared" si="420"/>
        <v>89.999999999999986</v>
      </c>
      <c r="AN798" s="8">
        <f t="shared" si="416"/>
        <v>0.24281999999999998</v>
      </c>
      <c r="AO798" s="3" t="s">
        <v>93</v>
      </c>
      <c r="AP798" s="15">
        <v>22</v>
      </c>
      <c r="AQ798" s="1" t="s">
        <v>363</v>
      </c>
      <c r="AR798" s="4">
        <v>80</v>
      </c>
      <c r="AS798" s="4">
        <v>15</v>
      </c>
      <c r="AT798" s="4">
        <v>5</v>
      </c>
      <c r="AU798" s="1" t="s">
        <v>363</v>
      </c>
      <c r="AV798" s="16">
        <f t="shared" si="417"/>
        <v>100</v>
      </c>
      <c r="AW798" s="7">
        <v>9.66</v>
      </c>
      <c r="AX798" s="6">
        <f t="shared" si="413"/>
        <v>9.6600000000000005E-2</v>
      </c>
      <c r="AY798" s="5" t="s">
        <v>87</v>
      </c>
      <c r="AZ798" s="39">
        <f>5/0.05</f>
        <v>100</v>
      </c>
      <c r="BA798" s="30" t="s">
        <v>55</v>
      </c>
      <c r="BB798" s="15">
        <f>1*K798/1000</f>
        <v>0.49993739999999998</v>
      </c>
      <c r="BC798" s="16">
        <f>200*K798/1000</f>
        <v>99.987479999999991</v>
      </c>
      <c r="BD798" s="26">
        <v>45.83</v>
      </c>
      <c r="BE798" s="16">
        <f t="shared" si="405"/>
        <v>474.43064182194615</v>
      </c>
      <c r="BF798" s="16">
        <f t="shared" si="400"/>
        <v>2.6761727308292933</v>
      </c>
      <c r="BG798" s="8">
        <f t="shared" si="414"/>
        <v>1.6611498572447867</v>
      </c>
      <c r="BH798" s="13" t="s">
        <v>844</v>
      </c>
      <c r="BI798" s="13"/>
      <c r="BJ798" s="13"/>
      <c r="BK798" s="8"/>
      <c r="BL798" s="8"/>
      <c r="BM798" s="18"/>
      <c r="BN798" s="8"/>
      <c r="BO798" s="24"/>
      <c r="BP798" s="11"/>
      <c r="BQ798" s="11"/>
    </row>
    <row r="799" spans="1:69" s="14" customFormat="1" x14ac:dyDescent="0.3">
      <c r="A799" s="20">
        <v>797</v>
      </c>
      <c r="B799" s="2" t="s">
        <v>220</v>
      </c>
      <c r="C799" s="2">
        <v>2011</v>
      </c>
      <c r="D799" s="2" t="s">
        <v>227</v>
      </c>
      <c r="E799" s="10" t="s">
        <v>226</v>
      </c>
      <c r="F799" s="20" t="s">
        <v>63</v>
      </c>
      <c r="G799" s="2" t="s">
        <v>94</v>
      </c>
      <c r="H799" s="2" t="str">
        <f>'PFAS Properties'!$B$46</f>
        <v>PFOS</v>
      </c>
      <c r="I799" s="2" t="str">
        <f>'PFAS Properties'!$C$46</f>
        <v>PFSA</v>
      </c>
      <c r="J799" s="2" t="str">
        <f>'PFAS Properties'!$D$46</f>
        <v>C8HF17O3S</v>
      </c>
      <c r="K799" s="25">
        <f>'PFAS Properties'!$P$46</f>
        <v>499.93739999999997</v>
      </c>
      <c r="L799" s="2">
        <f>'PFAS Properties'!$X$46</f>
        <v>0.1</v>
      </c>
      <c r="M799" s="2" t="str">
        <f>'PFAS Properties'!$Y$46</f>
        <v>-</v>
      </c>
      <c r="N799" s="33">
        <v>0</v>
      </c>
      <c r="O799" s="33">
        <v>0</v>
      </c>
      <c r="P799" s="33">
        <v>0</v>
      </c>
      <c r="Q799" s="33">
        <f t="shared" si="410"/>
        <v>0.99999973016400467</v>
      </c>
      <c r="R799" s="33">
        <v>0</v>
      </c>
      <c r="S799" s="33">
        <f t="shared" si="411"/>
        <v>2.6983599533114543E-7</v>
      </c>
      <c r="T799" s="8">
        <f t="shared" si="394"/>
        <v>1</v>
      </c>
      <c r="U799" s="33">
        <f t="shared" si="395"/>
        <v>0</v>
      </c>
      <c r="V799" s="33">
        <f t="shared" si="396"/>
        <v>-0.99999973016400467</v>
      </c>
      <c r="W799" s="33">
        <f t="shared" si="397"/>
        <v>498.93740026983596</v>
      </c>
      <c r="X799" s="33">
        <v>96485</v>
      </c>
      <c r="Y799" s="16">
        <f t="shared" si="398"/>
        <v>-193.38092095860696</v>
      </c>
      <c r="Z799" s="16">
        <v>8</v>
      </c>
      <c r="AA799" s="16">
        <v>17</v>
      </c>
      <c r="AB799" s="8">
        <f t="shared" si="399"/>
        <v>0.29721362229102166</v>
      </c>
      <c r="AC799" s="16">
        <f t="shared" si="406"/>
        <v>64.60808893273439</v>
      </c>
      <c r="AD799" s="20">
        <f>'PFAS Properties'!$W$46</f>
        <v>8</v>
      </c>
      <c r="AE799" s="8">
        <f>'PFAS Properties'!$S$46</f>
        <v>2.0166155475571776</v>
      </c>
      <c r="AF799" s="15">
        <f>'PFAS Properties'!$V$46</f>
        <v>5</v>
      </c>
      <c r="AG799" s="124">
        <v>6.6688999999999998</v>
      </c>
      <c r="AH799" s="70" t="s">
        <v>752</v>
      </c>
      <c r="AI799" s="2" t="s">
        <v>661</v>
      </c>
      <c r="AJ799" s="15" t="s">
        <v>661</v>
      </c>
      <c r="AK799" s="8" t="s">
        <v>661</v>
      </c>
      <c r="AL799" s="2" t="s">
        <v>661</v>
      </c>
      <c r="AM799" s="15" t="s">
        <v>661</v>
      </c>
      <c r="AN799" s="8" t="s">
        <v>661</v>
      </c>
      <c r="AO799" s="15" t="s">
        <v>661</v>
      </c>
      <c r="AP799" s="72">
        <v>11.78125</v>
      </c>
      <c r="AQ799" s="70" t="s">
        <v>752</v>
      </c>
      <c r="AR799" s="71">
        <v>30.648</v>
      </c>
      <c r="AS799" s="71">
        <v>36.685000000000002</v>
      </c>
      <c r="AT799" s="71">
        <v>33.302500000000002</v>
      </c>
      <c r="AU799" s="70" t="s">
        <v>752</v>
      </c>
      <c r="AV799" s="16">
        <f t="shared" ref="AV799:AV801" si="421">SUM(AR799:AT799)</f>
        <v>100.63550000000001</v>
      </c>
      <c r="AW799" s="20">
        <v>0.21</v>
      </c>
      <c r="AX799" s="8">
        <f t="shared" si="413"/>
        <v>2.0999999999999999E-3</v>
      </c>
      <c r="AY799" s="13" t="s">
        <v>95</v>
      </c>
      <c r="AZ799" s="16">
        <f>1/0.005</f>
        <v>200</v>
      </c>
      <c r="BA799" s="30" t="s">
        <v>55</v>
      </c>
      <c r="BB799" s="16">
        <v>100</v>
      </c>
      <c r="BC799" s="12" t="s">
        <v>55</v>
      </c>
      <c r="BD799" s="24">
        <v>2.6</v>
      </c>
      <c r="BE799" s="16">
        <f t="shared" si="405"/>
        <v>1238.0952380952383</v>
      </c>
      <c r="BF799" s="16">
        <f t="shared" si="400"/>
        <v>3.0927540532368987</v>
      </c>
      <c r="BG799" s="8">
        <f t="shared" si="414"/>
        <v>0.41497334797081797</v>
      </c>
      <c r="BH799" s="13" t="s">
        <v>860</v>
      </c>
      <c r="BI799" s="13"/>
      <c r="BJ799" s="13"/>
      <c r="BK799" s="13"/>
      <c r="BL799" s="13"/>
      <c r="BM799" s="17"/>
      <c r="BN799" s="17"/>
      <c r="BO799" s="2"/>
    </row>
    <row r="800" spans="1:69" s="14" customFormat="1" x14ac:dyDescent="0.3">
      <c r="A800" s="20">
        <v>798</v>
      </c>
      <c r="B800" s="2" t="s">
        <v>220</v>
      </c>
      <c r="C800" s="2">
        <v>2011</v>
      </c>
      <c r="D800" s="2" t="s">
        <v>227</v>
      </c>
      <c r="E800" s="10" t="s">
        <v>226</v>
      </c>
      <c r="F800" s="20" t="s">
        <v>63</v>
      </c>
      <c r="G800" s="2" t="s">
        <v>96</v>
      </c>
      <c r="H800" s="2" t="str">
        <f>'PFAS Properties'!$B$46</f>
        <v>PFOS</v>
      </c>
      <c r="I800" s="2" t="str">
        <f>'PFAS Properties'!$C$46</f>
        <v>PFSA</v>
      </c>
      <c r="J800" s="2" t="str">
        <f>'PFAS Properties'!$D$46</f>
        <v>C8HF17O3S</v>
      </c>
      <c r="K800" s="25">
        <f>'PFAS Properties'!$P$46</f>
        <v>499.93739999999997</v>
      </c>
      <c r="L800" s="2">
        <f>'PFAS Properties'!$X$46</f>
        <v>0.1</v>
      </c>
      <c r="M800" s="2" t="str">
        <f>'PFAS Properties'!$Y$46</f>
        <v>-</v>
      </c>
      <c r="N800" s="33">
        <v>0</v>
      </c>
      <c r="O800" s="33">
        <v>0</v>
      </c>
      <c r="P800" s="33">
        <v>0</v>
      </c>
      <c r="Q800" s="33">
        <f t="shared" si="410"/>
        <v>0.99999986185030199</v>
      </c>
      <c r="R800" s="33">
        <v>0</v>
      </c>
      <c r="S800" s="33">
        <f t="shared" si="411"/>
        <v>1.381496980418233E-7</v>
      </c>
      <c r="T800" s="8">
        <f t="shared" si="394"/>
        <v>1</v>
      </c>
      <c r="U800" s="33">
        <f t="shared" si="395"/>
        <v>0</v>
      </c>
      <c r="V800" s="33">
        <f t="shared" si="396"/>
        <v>-0.99999986185030199</v>
      </c>
      <c r="W800" s="33">
        <f t="shared" si="397"/>
        <v>498.93740013814971</v>
      </c>
      <c r="X800" s="33">
        <v>96485</v>
      </c>
      <c r="Y800" s="16">
        <f t="shared" si="398"/>
        <v>-193.38094647527097</v>
      </c>
      <c r="Z800" s="16">
        <v>8</v>
      </c>
      <c r="AA800" s="16">
        <v>17</v>
      </c>
      <c r="AB800" s="8">
        <f t="shared" si="399"/>
        <v>0.29721362229102166</v>
      </c>
      <c r="AC800" s="16">
        <f t="shared" si="406"/>
        <v>64.60808893273439</v>
      </c>
      <c r="AD800" s="20">
        <f>'PFAS Properties'!$W$46</f>
        <v>8</v>
      </c>
      <c r="AE800" s="8">
        <f>'PFAS Properties'!$S$46</f>
        <v>2.0166155475571776</v>
      </c>
      <c r="AF800" s="15">
        <f>'PFAS Properties'!$V$46</f>
        <v>5</v>
      </c>
      <c r="AG800" s="124">
        <v>6.959649999999999</v>
      </c>
      <c r="AH800" s="70" t="s">
        <v>752</v>
      </c>
      <c r="AI800" s="2" t="s">
        <v>661</v>
      </c>
      <c r="AJ800" s="15" t="s">
        <v>661</v>
      </c>
      <c r="AK800" s="8" t="s">
        <v>661</v>
      </c>
      <c r="AL800" s="2" t="s">
        <v>661</v>
      </c>
      <c r="AM800" s="15" t="s">
        <v>661</v>
      </c>
      <c r="AN800" s="8" t="s">
        <v>661</v>
      </c>
      <c r="AO800" s="15" t="s">
        <v>661</v>
      </c>
      <c r="AP800" s="72">
        <v>10.6485</v>
      </c>
      <c r="AQ800" s="70" t="s">
        <v>752</v>
      </c>
      <c r="AR800" s="71">
        <v>38.113900000000001</v>
      </c>
      <c r="AS800" s="71">
        <v>32.762700000000002</v>
      </c>
      <c r="AT800" s="71">
        <v>28.4998</v>
      </c>
      <c r="AU800" s="70" t="s">
        <v>752</v>
      </c>
      <c r="AV800" s="16">
        <f t="shared" si="421"/>
        <v>99.37639999999999</v>
      </c>
      <c r="AW800" s="20">
        <v>0.43</v>
      </c>
      <c r="AX800" s="8">
        <f t="shared" si="413"/>
        <v>4.3E-3</v>
      </c>
      <c r="AY800" s="13" t="s">
        <v>95</v>
      </c>
      <c r="AZ800" s="16">
        <f>1/0.005</f>
        <v>200</v>
      </c>
      <c r="BA800" s="30" t="s">
        <v>55</v>
      </c>
      <c r="BB800" s="16">
        <v>100</v>
      </c>
      <c r="BC800" s="12" t="s">
        <v>55</v>
      </c>
      <c r="BD800" s="24">
        <v>2.6</v>
      </c>
      <c r="BE800" s="16">
        <f t="shared" si="405"/>
        <v>604.65116279069764</v>
      </c>
      <c r="BF800" s="16">
        <f t="shared" si="400"/>
        <v>2.7815048923912316</v>
      </c>
      <c r="BG800" s="8">
        <f t="shared" si="414"/>
        <v>0.41497334797081797</v>
      </c>
      <c r="BH800" s="13" t="s">
        <v>860</v>
      </c>
      <c r="BI800" s="13"/>
      <c r="BJ800" s="13"/>
      <c r="BK800" s="13"/>
      <c r="BL800" s="13"/>
      <c r="BM800" s="17"/>
      <c r="BN800" s="17"/>
      <c r="BO800" s="2"/>
    </row>
    <row r="801" spans="1:67" s="14" customFormat="1" x14ac:dyDescent="0.3">
      <c r="A801" s="20">
        <v>799</v>
      </c>
      <c r="B801" s="2" t="s">
        <v>220</v>
      </c>
      <c r="C801" s="2">
        <v>2011</v>
      </c>
      <c r="D801" s="2" t="s">
        <v>227</v>
      </c>
      <c r="E801" s="10" t="s">
        <v>226</v>
      </c>
      <c r="F801" s="20" t="s">
        <v>63</v>
      </c>
      <c r="G801" s="2" t="s">
        <v>97</v>
      </c>
      <c r="H801" s="2" t="str">
        <f>'PFAS Properties'!$B$46</f>
        <v>PFOS</v>
      </c>
      <c r="I801" s="2" t="str">
        <f>'PFAS Properties'!$C$46</f>
        <v>PFSA</v>
      </c>
      <c r="J801" s="2" t="str">
        <f>'PFAS Properties'!$D$46</f>
        <v>C8HF17O3S</v>
      </c>
      <c r="K801" s="25">
        <f>'PFAS Properties'!$P$46</f>
        <v>499.93739999999997</v>
      </c>
      <c r="L801" s="2">
        <f>'PFAS Properties'!$X$46</f>
        <v>0.1</v>
      </c>
      <c r="M801" s="2" t="str">
        <f>'PFAS Properties'!$Y$46</f>
        <v>-</v>
      </c>
      <c r="N801" s="33">
        <v>0</v>
      </c>
      <c r="O801" s="33">
        <v>0</v>
      </c>
      <c r="P801" s="33">
        <v>0</v>
      </c>
      <c r="Q801" s="33">
        <f t="shared" si="410"/>
        <v>0.99999984834737432</v>
      </c>
      <c r="R801" s="33">
        <v>0</v>
      </c>
      <c r="S801" s="33">
        <f t="shared" si="411"/>
        <v>1.5165262573159975E-7</v>
      </c>
      <c r="T801" s="8">
        <f t="shared" si="394"/>
        <v>1</v>
      </c>
      <c r="U801" s="33">
        <f t="shared" si="395"/>
        <v>0</v>
      </c>
      <c r="V801" s="33">
        <f t="shared" si="396"/>
        <v>-0.99999984834737432</v>
      </c>
      <c r="W801" s="33">
        <f t="shared" si="397"/>
        <v>498.93740015165258</v>
      </c>
      <c r="X801" s="33">
        <v>96485</v>
      </c>
      <c r="Y801" s="16">
        <f t="shared" si="398"/>
        <v>-193.38094385882818</v>
      </c>
      <c r="Z801" s="16">
        <v>8</v>
      </c>
      <c r="AA801" s="16">
        <v>17</v>
      </c>
      <c r="AB801" s="8">
        <f t="shared" si="399"/>
        <v>0.29721362229102166</v>
      </c>
      <c r="AC801" s="16">
        <f t="shared" si="406"/>
        <v>64.60808893273439</v>
      </c>
      <c r="AD801" s="20">
        <f>'PFAS Properties'!$W$46</f>
        <v>8</v>
      </c>
      <c r="AE801" s="8">
        <f>'PFAS Properties'!$S$46</f>
        <v>2.0166155475571776</v>
      </c>
      <c r="AF801" s="15">
        <f>'PFAS Properties'!$V$46</f>
        <v>5</v>
      </c>
      <c r="AG801" s="124">
        <v>6.919150000000001</v>
      </c>
      <c r="AH801" s="70" t="s">
        <v>752</v>
      </c>
      <c r="AI801" s="2" t="s">
        <v>661</v>
      </c>
      <c r="AJ801" s="15" t="s">
        <v>661</v>
      </c>
      <c r="AK801" s="8" t="s">
        <v>661</v>
      </c>
      <c r="AL801" s="2" t="s">
        <v>661</v>
      </c>
      <c r="AM801" s="15" t="s">
        <v>661</v>
      </c>
      <c r="AN801" s="8" t="s">
        <v>661</v>
      </c>
      <c r="AO801" s="15" t="s">
        <v>661</v>
      </c>
      <c r="AP801" s="72">
        <v>12.094250000000001</v>
      </c>
      <c r="AQ801" s="70" t="s">
        <v>752</v>
      </c>
      <c r="AR801" s="71">
        <v>38.112499999999997</v>
      </c>
      <c r="AS801" s="71">
        <v>31.469200000000001</v>
      </c>
      <c r="AT801" s="71">
        <v>29.446650000000002</v>
      </c>
      <c r="AU801" s="70" t="s">
        <v>752</v>
      </c>
      <c r="AV801" s="16">
        <f t="shared" si="421"/>
        <v>99.028350000000003</v>
      </c>
      <c r="AW801" s="20">
        <v>0.54999999999999993</v>
      </c>
      <c r="AX801" s="8">
        <f t="shared" si="413"/>
        <v>5.4999999999999997E-3</v>
      </c>
      <c r="AY801" s="13" t="s">
        <v>95</v>
      </c>
      <c r="AZ801" s="16">
        <f>1/0.005</f>
        <v>200</v>
      </c>
      <c r="BA801" s="30" t="s">
        <v>55</v>
      </c>
      <c r="BB801" s="16">
        <v>100</v>
      </c>
      <c r="BC801" s="12" t="s">
        <v>55</v>
      </c>
      <c r="BD801" s="24">
        <v>3</v>
      </c>
      <c r="BE801" s="16">
        <f t="shared" si="405"/>
        <v>545.4545454545455</v>
      </c>
      <c r="BF801" s="16">
        <f t="shared" si="400"/>
        <v>2.7367585652254185</v>
      </c>
      <c r="BG801" s="8">
        <f t="shared" si="414"/>
        <v>0.47712125471966244</v>
      </c>
      <c r="BH801" s="13" t="s">
        <v>860</v>
      </c>
      <c r="BI801" s="13"/>
      <c r="BJ801" s="13"/>
      <c r="BK801" s="13"/>
      <c r="BL801" s="13"/>
      <c r="BM801" s="17"/>
      <c r="BN801" s="17"/>
      <c r="BO801" s="2"/>
    </row>
    <row r="802" spans="1:67" s="14" customFormat="1" x14ac:dyDescent="0.3">
      <c r="A802" s="20">
        <v>800</v>
      </c>
      <c r="B802" s="2" t="s">
        <v>257</v>
      </c>
      <c r="C802" s="2">
        <v>2007</v>
      </c>
      <c r="D802" s="2" t="s">
        <v>255</v>
      </c>
      <c r="E802" s="10" t="s">
        <v>256</v>
      </c>
      <c r="F802" s="20" t="s">
        <v>63</v>
      </c>
      <c r="G802" s="2" t="s">
        <v>139</v>
      </c>
      <c r="H802" s="2" t="str">
        <f>'PFAS Properties'!$B$46</f>
        <v>PFOS</v>
      </c>
      <c r="I802" s="2" t="str">
        <f>'PFAS Properties'!$C$46</f>
        <v>PFSA</v>
      </c>
      <c r="J802" s="2" t="str">
        <f>'PFAS Properties'!$D$46</f>
        <v>C8HF17O3S</v>
      </c>
      <c r="K802" s="25">
        <f>'PFAS Properties'!$P$46</f>
        <v>499.93739999999997</v>
      </c>
      <c r="L802" s="2">
        <f>'PFAS Properties'!$X$46</f>
        <v>0.1</v>
      </c>
      <c r="M802" s="2" t="str">
        <f>'PFAS Properties'!$Y$46</f>
        <v>-</v>
      </c>
      <c r="N802" s="33">
        <v>0</v>
      </c>
      <c r="O802" s="33">
        <v>0</v>
      </c>
      <c r="P802" s="33">
        <v>0</v>
      </c>
      <c r="Q802" s="33">
        <f t="shared" si="410"/>
        <v>0.99999667086131472</v>
      </c>
      <c r="R802" s="33">
        <v>0</v>
      </c>
      <c r="S802" s="33">
        <f t="shared" si="411"/>
        <v>3.3291386852439612E-6</v>
      </c>
      <c r="T802" s="8">
        <f t="shared" si="394"/>
        <v>1</v>
      </c>
      <c r="U802" s="33">
        <f t="shared" si="395"/>
        <v>0</v>
      </c>
      <c r="V802" s="33">
        <f t="shared" si="396"/>
        <v>-0.99999667086131472</v>
      </c>
      <c r="W802" s="33">
        <f t="shared" si="397"/>
        <v>498.93740332913865</v>
      </c>
      <c r="X802" s="33">
        <v>96485</v>
      </c>
      <c r="Y802" s="16">
        <f t="shared" si="398"/>
        <v>-193.3803281619378</v>
      </c>
      <c r="Z802" s="16">
        <v>8</v>
      </c>
      <c r="AA802" s="16">
        <v>17</v>
      </c>
      <c r="AB802" s="8">
        <f t="shared" si="399"/>
        <v>0.29721362229102166</v>
      </c>
      <c r="AC802" s="16">
        <f t="shared" si="406"/>
        <v>64.60808893273439</v>
      </c>
      <c r="AD802" s="20">
        <f>'PFAS Properties'!$W$46</f>
        <v>8</v>
      </c>
      <c r="AE802" s="8">
        <f>'PFAS Properties'!$S$46</f>
        <v>2.0166155475571776</v>
      </c>
      <c r="AF802" s="15">
        <f>'PFAS Properties'!$V$46</f>
        <v>5</v>
      </c>
      <c r="AG802" s="124">
        <v>5.5776666667999999</v>
      </c>
      <c r="AH802" s="70" t="s">
        <v>752</v>
      </c>
      <c r="AI802" s="2" t="s">
        <v>661</v>
      </c>
      <c r="AJ802" s="15" t="s">
        <v>661</v>
      </c>
      <c r="AK802" s="8" t="s">
        <v>661</v>
      </c>
      <c r="AL802" s="2" t="s">
        <v>661</v>
      </c>
      <c r="AM802" s="15" t="s">
        <v>661</v>
      </c>
      <c r="AN802" s="8" t="s">
        <v>661</v>
      </c>
      <c r="AO802" s="15" t="s">
        <v>661</v>
      </c>
      <c r="AP802" s="72">
        <v>12.69249466666666</v>
      </c>
      <c r="AQ802" s="70" t="s">
        <v>752</v>
      </c>
      <c r="AR802" s="71">
        <v>35.851753331999987</v>
      </c>
      <c r="AS802" s="71">
        <v>38.789946668000013</v>
      </c>
      <c r="AT802" s="71">
        <v>25.304600000000001</v>
      </c>
      <c r="AU802" s="70" t="s">
        <v>752</v>
      </c>
      <c r="AV802" s="16">
        <f t="shared" ref="AV802" si="422">SUM(AR802:AT802)</f>
        <v>99.946300000000008</v>
      </c>
      <c r="AW802" s="20">
        <v>2.5</v>
      </c>
      <c r="AX802" s="8">
        <f t="shared" si="413"/>
        <v>2.5000000000000001E-2</v>
      </c>
      <c r="AY802" s="13" t="s">
        <v>140</v>
      </c>
      <c r="AZ802" s="16">
        <f>0.01/0.015</f>
        <v>0.66666666666666674</v>
      </c>
      <c r="BA802" s="16">
        <f>0.08/0.015</f>
        <v>5.3333333333333339</v>
      </c>
      <c r="BB802" s="16">
        <v>120</v>
      </c>
      <c r="BC802" s="16">
        <v>8000</v>
      </c>
      <c r="BD802" s="24">
        <v>7.52</v>
      </c>
      <c r="BE802" s="16">
        <f t="shared" si="405"/>
        <v>300.79999999999995</v>
      </c>
      <c r="BF802" s="16">
        <f t="shared" si="400"/>
        <v>2.4782778319196046</v>
      </c>
      <c r="BG802" s="8">
        <f t="shared" si="414"/>
        <v>0.87621784059164221</v>
      </c>
      <c r="BH802" s="13" t="s">
        <v>394</v>
      </c>
      <c r="BI802" s="13"/>
      <c r="BJ802" s="13"/>
      <c r="BK802" s="13"/>
      <c r="BL802" s="13"/>
      <c r="BM802" s="17"/>
      <c r="BN802" s="17"/>
      <c r="BO802" s="2"/>
    </row>
    <row r="803" spans="1:67" s="14" customFormat="1" x14ac:dyDescent="0.3">
      <c r="A803" s="20">
        <v>801</v>
      </c>
      <c r="B803" s="2" t="s">
        <v>207</v>
      </c>
      <c r="C803" s="2">
        <v>2015</v>
      </c>
      <c r="D803" s="2" t="s">
        <v>201</v>
      </c>
      <c r="E803" s="10" t="s">
        <v>810</v>
      </c>
      <c r="F803" s="20" t="s">
        <v>29</v>
      </c>
      <c r="G803" s="2" t="s">
        <v>51</v>
      </c>
      <c r="H803" s="2" t="str">
        <f>'PFAS Properties'!$B$46</f>
        <v>PFOS</v>
      </c>
      <c r="I803" s="2" t="str">
        <f>'PFAS Properties'!$C$46</f>
        <v>PFSA</v>
      </c>
      <c r="J803" s="2" t="str">
        <f>'PFAS Properties'!$D$46</f>
        <v>C8HF17O3S</v>
      </c>
      <c r="K803" s="25">
        <f>'PFAS Properties'!$P$46</f>
        <v>499.93739999999997</v>
      </c>
      <c r="L803" s="2">
        <f>'PFAS Properties'!$X$46</f>
        <v>0.1</v>
      </c>
      <c r="M803" s="2" t="str">
        <f>'PFAS Properties'!$Y$46</f>
        <v>-</v>
      </c>
      <c r="N803" s="33">
        <v>0</v>
      </c>
      <c r="O803" s="33">
        <v>0</v>
      </c>
      <c r="P803" s="33">
        <v>0</v>
      </c>
      <c r="Q803" s="33">
        <f t="shared" si="410"/>
        <v>0.99999999498812764</v>
      </c>
      <c r="R803" s="33">
        <v>0</v>
      </c>
      <c r="S803" s="33">
        <f t="shared" si="411"/>
        <v>5.0118723111538468E-9</v>
      </c>
      <c r="T803" s="8">
        <f t="shared" si="394"/>
        <v>1</v>
      </c>
      <c r="U803" s="33">
        <f t="shared" si="395"/>
        <v>0</v>
      </c>
      <c r="V803" s="33">
        <f t="shared" si="396"/>
        <v>-0.99999999498812764</v>
      </c>
      <c r="W803" s="33">
        <f t="shared" si="397"/>
        <v>498.93740000501185</v>
      </c>
      <c r="X803" s="33">
        <v>96485</v>
      </c>
      <c r="Y803" s="16">
        <f t="shared" si="398"/>
        <v>-193.38097227319562</v>
      </c>
      <c r="Z803" s="16">
        <v>8</v>
      </c>
      <c r="AA803" s="16">
        <v>17</v>
      </c>
      <c r="AB803" s="8">
        <f t="shared" si="399"/>
        <v>0.29721362229102166</v>
      </c>
      <c r="AC803" s="16">
        <f t="shared" si="406"/>
        <v>64.60808893273439</v>
      </c>
      <c r="AD803" s="20">
        <f>'PFAS Properties'!$W$46</f>
        <v>8</v>
      </c>
      <c r="AE803" s="8">
        <f>'PFAS Properties'!$S$46</f>
        <v>2.0166155475571776</v>
      </c>
      <c r="AF803" s="15">
        <f>'PFAS Properties'!$V$46</f>
        <v>5</v>
      </c>
      <c r="AG803" s="24">
        <v>8.4</v>
      </c>
      <c r="AH803" s="2" t="s">
        <v>834</v>
      </c>
      <c r="AI803" s="2">
        <v>0.40699999999999997</v>
      </c>
      <c r="AJ803" s="15">
        <f t="shared" ref="AJ803:AJ815" si="423">AI803*1000/55.845</f>
        <v>7.2880293669979412</v>
      </c>
      <c r="AK803" s="8">
        <f t="shared" ref="AK803:AK815" si="424">AI803/10</f>
        <v>4.07E-2</v>
      </c>
      <c r="AL803" s="2">
        <v>0.504</v>
      </c>
      <c r="AM803" s="15">
        <f t="shared" ref="AM803:AM815" si="425">AL803*1000/26.98</f>
        <v>18.680504077094145</v>
      </c>
      <c r="AN803" s="8">
        <f t="shared" ref="AN803:AN815" si="426">AL803/10</f>
        <v>5.04E-2</v>
      </c>
      <c r="AO803" s="15" t="s">
        <v>31</v>
      </c>
      <c r="AP803" s="15">
        <v>42.8</v>
      </c>
      <c r="AQ803" s="16" t="s">
        <v>689</v>
      </c>
      <c r="AR803" s="2">
        <v>18.5</v>
      </c>
      <c r="AS803" s="2">
        <v>64.599999999999994</v>
      </c>
      <c r="AT803" s="2">
        <v>16.899999999999999</v>
      </c>
      <c r="AU803" s="16" t="s">
        <v>664</v>
      </c>
      <c r="AV803" s="16">
        <f t="shared" ref="AV803:AV834" si="427">SUM(AR803:AT803)</f>
        <v>100</v>
      </c>
      <c r="AW803" s="20">
        <v>0.2</v>
      </c>
      <c r="AX803" s="8">
        <f t="shared" si="413"/>
        <v>2E-3</v>
      </c>
      <c r="AY803" s="8" t="s">
        <v>32</v>
      </c>
      <c r="AZ803" s="16">
        <f t="shared" ref="AZ803:AZ815" si="428">3/0.03</f>
        <v>100</v>
      </c>
      <c r="BA803" s="16" t="s">
        <v>55</v>
      </c>
      <c r="BB803" s="16">
        <v>5</v>
      </c>
      <c r="BC803" s="16">
        <v>1000</v>
      </c>
      <c r="BD803" s="25">
        <v>19</v>
      </c>
      <c r="BE803" s="16">
        <f t="shared" si="405"/>
        <v>9500</v>
      </c>
      <c r="BF803" s="16">
        <f t="shared" si="400"/>
        <v>3.9777236052888476</v>
      </c>
      <c r="BG803" s="8">
        <f t="shared" si="414"/>
        <v>1.2787536009528289</v>
      </c>
      <c r="BH803" s="2" t="s">
        <v>837</v>
      </c>
      <c r="BI803" s="2"/>
      <c r="BJ803" s="2"/>
      <c r="BK803" s="2"/>
      <c r="BL803" s="2"/>
      <c r="BM803" s="20"/>
      <c r="BN803" s="20"/>
      <c r="BO803" s="2"/>
    </row>
    <row r="804" spans="1:67" s="14" customFormat="1" x14ac:dyDescent="0.3">
      <c r="A804" s="20">
        <v>802</v>
      </c>
      <c r="B804" s="2" t="s">
        <v>207</v>
      </c>
      <c r="C804" s="2">
        <v>2015</v>
      </c>
      <c r="D804" s="2" t="s">
        <v>201</v>
      </c>
      <c r="E804" s="10" t="s">
        <v>810</v>
      </c>
      <c r="F804" s="20" t="s">
        <v>29</v>
      </c>
      <c r="G804" s="2" t="s">
        <v>30</v>
      </c>
      <c r="H804" s="2" t="str">
        <f>'PFAS Properties'!$B$46</f>
        <v>PFOS</v>
      </c>
      <c r="I804" s="2" t="str">
        <f>'PFAS Properties'!$C$46</f>
        <v>PFSA</v>
      </c>
      <c r="J804" s="2" t="str">
        <f>'PFAS Properties'!$D$46</f>
        <v>C8HF17O3S</v>
      </c>
      <c r="K804" s="25">
        <f>'PFAS Properties'!$P$46</f>
        <v>499.93739999999997</v>
      </c>
      <c r="L804" s="2">
        <f>'PFAS Properties'!$X$46</f>
        <v>0.1</v>
      </c>
      <c r="M804" s="2" t="str">
        <f>'PFAS Properties'!$Y$46</f>
        <v>-</v>
      </c>
      <c r="N804" s="33">
        <v>0</v>
      </c>
      <c r="O804" s="33">
        <v>0</v>
      </c>
      <c r="P804" s="33">
        <v>0</v>
      </c>
      <c r="Q804" s="33">
        <f t="shared" si="410"/>
        <v>0.99999601894414336</v>
      </c>
      <c r="R804" s="33">
        <v>0</v>
      </c>
      <c r="S804" s="33">
        <f t="shared" si="411"/>
        <v>3.981055856666137E-6</v>
      </c>
      <c r="T804" s="8">
        <f t="shared" si="394"/>
        <v>1</v>
      </c>
      <c r="U804" s="33">
        <f t="shared" si="395"/>
        <v>0</v>
      </c>
      <c r="V804" s="33">
        <f t="shared" si="396"/>
        <v>-0.99999601894414336</v>
      </c>
      <c r="W804" s="33">
        <f t="shared" si="397"/>
        <v>498.93740398105581</v>
      </c>
      <c r="X804" s="33">
        <v>96485</v>
      </c>
      <c r="Y804" s="16">
        <f t="shared" si="398"/>
        <v>-193.38020184088887</v>
      </c>
      <c r="Z804" s="16">
        <v>8</v>
      </c>
      <c r="AA804" s="16">
        <v>17</v>
      </c>
      <c r="AB804" s="8">
        <f t="shared" si="399"/>
        <v>0.29721362229102166</v>
      </c>
      <c r="AC804" s="16">
        <f t="shared" si="406"/>
        <v>64.60808893273439</v>
      </c>
      <c r="AD804" s="20">
        <f>'PFAS Properties'!$W$46</f>
        <v>8</v>
      </c>
      <c r="AE804" s="8">
        <f>'PFAS Properties'!$S$46</f>
        <v>2.0166155475571776</v>
      </c>
      <c r="AF804" s="15">
        <f>'PFAS Properties'!$V$46</f>
        <v>5</v>
      </c>
      <c r="AG804" s="24">
        <v>5.5</v>
      </c>
      <c r="AH804" s="2" t="s">
        <v>834</v>
      </c>
      <c r="AI804" s="15">
        <v>1.0129999999999999</v>
      </c>
      <c r="AJ804" s="15">
        <f t="shared" si="423"/>
        <v>18.13949324021846</v>
      </c>
      <c r="AK804" s="15">
        <f t="shared" si="424"/>
        <v>0.10129999999999999</v>
      </c>
      <c r="AL804" s="15">
        <v>0.40400000000000003</v>
      </c>
      <c r="AM804" s="15">
        <f t="shared" si="425"/>
        <v>14.974054855448481</v>
      </c>
      <c r="AN804" s="15">
        <f t="shared" si="426"/>
        <v>4.0400000000000005E-2</v>
      </c>
      <c r="AO804" s="2" t="s">
        <v>31</v>
      </c>
      <c r="AP804" s="15">
        <v>23.4</v>
      </c>
      <c r="AQ804" s="16" t="s">
        <v>689</v>
      </c>
      <c r="AR804" s="2">
        <v>54.4</v>
      </c>
      <c r="AS804" s="2">
        <v>35</v>
      </c>
      <c r="AT804" s="2">
        <v>10.6</v>
      </c>
      <c r="AU804" s="16" t="s">
        <v>664</v>
      </c>
      <c r="AV804" s="16">
        <f t="shared" si="427"/>
        <v>100</v>
      </c>
      <c r="AW804" s="20">
        <v>1.6</v>
      </c>
      <c r="AX804" s="8">
        <f t="shared" si="413"/>
        <v>1.6E-2</v>
      </c>
      <c r="AY804" s="8" t="s">
        <v>32</v>
      </c>
      <c r="AZ804" s="16">
        <f t="shared" si="428"/>
        <v>100</v>
      </c>
      <c r="BA804" s="16" t="s">
        <v>55</v>
      </c>
      <c r="BB804" s="16">
        <v>5</v>
      </c>
      <c r="BC804" s="16">
        <v>1000</v>
      </c>
      <c r="BD804" s="25">
        <v>32</v>
      </c>
      <c r="BE804" s="16">
        <f t="shared" si="405"/>
        <v>2000</v>
      </c>
      <c r="BF804" s="16">
        <f t="shared" si="400"/>
        <v>3.3010299956639813</v>
      </c>
      <c r="BG804" s="8">
        <f t="shared" si="414"/>
        <v>1.505149978319906</v>
      </c>
      <c r="BH804" s="2" t="s">
        <v>837</v>
      </c>
      <c r="BI804" s="2"/>
      <c r="BJ804" s="2"/>
      <c r="BK804" s="2"/>
      <c r="BL804" s="2"/>
      <c r="BM804" s="20"/>
      <c r="BN804" s="20"/>
      <c r="BO804" s="2"/>
    </row>
    <row r="805" spans="1:67" s="14" customFormat="1" x14ac:dyDescent="0.3">
      <c r="A805" s="20">
        <v>803</v>
      </c>
      <c r="B805" s="2" t="s">
        <v>207</v>
      </c>
      <c r="C805" s="2">
        <v>2015</v>
      </c>
      <c r="D805" s="2" t="s">
        <v>201</v>
      </c>
      <c r="E805" s="10" t="s">
        <v>810</v>
      </c>
      <c r="F805" s="20" t="s">
        <v>29</v>
      </c>
      <c r="G805" s="2" t="s">
        <v>56</v>
      </c>
      <c r="H805" s="2" t="str">
        <f>'PFAS Properties'!$B$46</f>
        <v>PFOS</v>
      </c>
      <c r="I805" s="2" t="str">
        <f>'PFAS Properties'!$C$46</f>
        <v>PFSA</v>
      </c>
      <c r="J805" s="2" t="str">
        <f>'PFAS Properties'!$D$46</f>
        <v>C8HF17O3S</v>
      </c>
      <c r="K805" s="25">
        <f>'PFAS Properties'!$P$46</f>
        <v>499.93739999999997</v>
      </c>
      <c r="L805" s="2">
        <f>'PFAS Properties'!$X$46</f>
        <v>0.1</v>
      </c>
      <c r="M805" s="2" t="str">
        <f>'PFAS Properties'!$Y$46</f>
        <v>-</v>
      </c>
      <c r="N805" s="33">
        <v>0</v>
      </c>
      <c r="O805" s="33">
        <v>0</v>
      </c>
      <c r="P805" s="33">
        <v>0</v>
      </c>
      <c r="Q805" s="33">
        <f t="shared" si="410"/>
        <v>0.99999841510931942</v>
      </c>
      <c r="R805" s="33">
        <v>0</v>
      </c>
      <c r="S805" s="33">
        <f t="shared" si="411"/>
        <v>1.5848906805786579E-6</v>
      </c>
      <c r="T805" s="8">
        <f t="shared" si="394"/>
        <v>1</v>
      </c>
      <c r="U805" s="33">
        <f t="shared" si="395"/>
        <v>0</v>
      </c>
      <c r="V805" s="33">
        <f t="shared" si="396"/>
        <v>-0.99999841510931942</v>
      </c>
      <c r="W805" s="33">
        <f t="shared" si="397"/>
        <v>498.93740158489061</v>
      </c>
      <c r="X805" s="33">
        <v>96485</v>
      </c>
      <c r="Y805" s="16">
        <f t="shared" si="398"/>
        <v>-193.38066614235672</v>
      </c>
      <c r="Z805" s="16">
        <v>8</v>
      </c>
      <c r="AA805" s="16">
        <v>17</v>
      </c>
      <c r="AB805" s="8">
        <f t="shared" si="399"/>
        <v>0.29721362229102166</v>
      </c>
      <c r="AC805" s="16">
        <f t="shared" si="406"/>
        <v>64.60808893273439</v>
      </c>
      <c r="AD805" s="20">
        <f>'PFAS Properties'!$W$46</f>
        <v>8</v>
      </c>
      <c r="AE805" s="8">
        <f>'PFAS Properties'!$S$46</f>
        <v>2.0166155475571776</v>
      </c>
      <c r="AF805" s="15">
        <f>'PFAS Properties'!$V$46</f>
        <v>5</v>
      </c>
      <c r="AG805" s="24">
        <v>5.9</v>
      </c>
      <c r="AH805" s="2" t="s">
        <v>834</v>
      </c>
      <c r="AI805" s="2">
        <v>0.13800000000000001</v>
      </c>
      <c r="AJ805" s="15">
        <f t="shared" si="423"/>
        <v>2.4711254364759605</v>
      </c>
      <c r="AK805" s="8">
        <f t="shared" si="424"/>
        <v>1.3800000000000002E-2</v>
      </c>
      <c r="AL805" s="2">
        <v>0.32500000000000001</v>
      </c>
      <c r="AM805" s="15">
        <f t="shared" si="425"/>
        <v>12.045959970348406</v>
      </c>
      <c r="AN805" s="8">
        <f t="shared" si="426"/>
        <v>3.2500000000000001E-2</v>
      </c>
      <c r="AO805" s="15" t="s">
        <v>31</v>
      </c>
      <c r="AP805" s="15">
        <v>72.400000000000006</v>
      </c>
      <c r="AQ805" s="16" t="s">
        <v>689</v>
      </c>
      <c r="AR805" s="2">
        <v>73.400000000000006</v>
      </c>
      <c r="AS805" s="2">
        <v>16.8</v>
      </c>
      <c r="AT805" s="2">
        <v>9.8000000000000007</v>
      </c>
      <c r="AU805" s="16" t="s">
        <v>664</v>
      </c>
      <c r="AV805" s="16">
        <f t="shared" si="427"/>
        <v>100</v>
      </c>
      <c r="AW805" s="20">
        <v>3.9</v>
      </c>
      <c r="AX805" s="8">
        <f t="shared" si="413"/>
        <v>3.9E-2</v>
      </c>
      <c r="AY805" s="8" t="s">
        <v>32</v>
      </c>
      <c r="AZ805" s="16">
        <f t="shared" si="428"/>
        <v>100</v>
      </c>
      <c r="BA805" s="16" t="s">
        <v>55</v>
      </c>
      <c r="BB805" s="16">
        <v>5</v>
      </c>
      <c r="BC805" s="16">
        <v>1000</v>
      </c>
      <c r="BD805" s="25">
        <v>38</v>
      </c>
      <c r="BE805" s="16">
        <f t="shared" si="405"/>
        <v>974.35897435897436</v>
      </c>
      <c r="BF805" s="16">
        <f t="shared" si="400"/>
        <v>2.988718989590311</v>
      </c>
      <c r="BG805" s="8">
        <f t="shared" si="414"/>
        <v>1.5797835966168101</v>
      </c>
      <c r="BH805" s="2" t="s">
        <v>837</v>
      </c>
      <c r="BI805" s="2"/>
      <c r="BJ805" s="2"/>
      <c r="BK805" s="2"/>
      <c r="BL805" s="2"/>
      <c r="BM805" s="20"/>
      <c r="BN805" s="20"/>
      <c r="BO805" s="2"/>
    </row>
    <row r="806" spans="1:67" s="14" customFormat="1" x14ac:dyDescent="0.3">
      <c r="A806" s="20">
        <v>804</v>
      </c>
      <c r="B806" s="2" t="s">
        <v>207</v>
      </c>
      <c r="C806" s="2">
        <v>2015</v>
      </c>
      <c r="D806" s="2" t="s">
        <v>201</v>
      </c>
      <c r="E806" s="10" t="s">
        <v>810</v>
      </c>
      <c r="F806" s="20" t="s">
        <v>29</v>
      </c>
      <c r="G806" s="2" t="s">
        <v>33</v>
      </c>
      <c r="H806" s="2" t="str">
        <f>'PFAS Properties'!$B$46</f>
        <v>PFOS</v>
      </c>
      <c r="I806" s="2" t="str">
        <f>'PFAS Properties'!$C$46</f>
        <v>PFSA</v>
      </c>
      <c r="J806" s="2" t="str">
        <f>'PFAS Properties'!$D$46</f>
        <v>C8HF17O3S</v>
      </c>
      <c r="K806" s="25">
        <f>'PFAS Properties'!$P$46</f>
        <v>499.93739999999997</v>
      </c>
      <c r="L806" s="2">
        <f>'PFAS Properties'!$X$46</f>
        <v>0.1</v>
      </c>
      <c r="M806" s="2" t="str">
        <f>'PFAS Properties'!$Y$46</f>
        <v>-</v>
      </c>
      <c r="N806" s="33">
        <v>0</v>
      </c>
      <c r="O806" s="33">
        <v>0</v>
      </c>
      <c r="P806" s="33">
        <v>0</v>
      </c>
      <c r="Q806" s="33">
        <f t="shared" si="410"/>
        <v>0.99999998741074603</v>
      </c>
      <c r="R806" s="33">
        <v>0</v>
      </c>
      <c r="S806" s="33">
        <f t="shared" si="411"/>
        <v>1.258925395945232E-8</v>
      </c>
      <c r="T806" s="8">
        <f t="shared" si="394"/>
        <v>1</v>
      </c>
      <c r="U806" s="33">
        <f t="shared" si="395"/>
        <v>0</v>
      </c>
      <c r="V806" s="33">
        <f t="shared" si="396"/>
        <v>-0.99999998741074603</v>
      </c>
      <c r="W806" s="33">
        <f t="shared" si="397"/>
        <v>498.93740001258925</v>
      </c>
      <c r="X806" s="33">
        <v>96485</v>
      </c>
      <c r="Y806" s="16">
        <f t="shared" si="398"/>
        <v>-193.38097080493725</v>
      </c>
      <c r="Z806" s="16">
        <v>8</v>
      </c>
      <c r="AA806" s="16">
        <v>17</v>
      </c>
      <c r="AB806" s="8">
        <f t="shared" si="399"/>
        <v>0.29721362229102166</v>
      </c>
      <c r="AC806" s="16">
        <f t="shared" si="406"/>
        <v>64.60808893273439</v>
      </c>
      <c r="AD806" s="20">
        <f>'PFAS Properties'!$W$46</f>
        <v>8</v>
      </c>
      <c r="AE806" s="8">
        <f>'PFAS Properties'!$S$46</f>
        <v>2.0166155475571776</v>
      </c>
      <c r="AF806" s="15">
        <f>'PFAS Properties'!$V$46</f>
        <v>5</v>
      </c>
      <c r="AG806" s="24">
        <v>8</v>
      </c>
      <c r="AH806" s="2" t="s">
        <v>834</v>
      </c>
      <c r="AI806" s="15">
        <v>2.9660000000000002</v>
      </c>
      <c r="AJ806" s="15">
        <f t="shared" si="423"/>
        <v>53.111290178171728</v>
      </c>
      <c r="AK806" s="15">
        <f t="shared" si="424"/>
        <v>0.29660000000000003</v>
      </c>
      <c r="AL806" s="15">
        <v>0.23</v>
      </c>
      <c r="AM806" s="15">
        <f t="shared" si="425"/>
        <v>8.5248332097850259</v>
      </c>
      <c r="AN806" s="15">
        <f t="shared" si="426"/>
        <v>2.3E-2</v>
      </c>
      <c r="AO806" s="2" t="s">
        <v>31</v>
      </c>
      <c r="AP806" s="15">
        <v>89.3</v>
      </c>
      <c r="AQ806" s="16" t="s">
        <v>689</v>
      </c>
      <c r="AR806" s="2">
        <v>12.2</v>
      </c>
      <c r="AS806" s="2">
        <v>54.3</v>
      </c>
      <c r="AT806" s="2">
        <v>33.5</v>
      </c>
      <c r="AU806" s="16" t="s">
        <v>664</v>
      </c>
      <c r="AV806" s="16">
        <f t="shared" si="427"/>
        <v>100</v>
      </c>
      <c r="AW806" s="20">
        <v>7.7</v>
      </c>
      <c r="AX806" s="8">
        <f t="shared" si="413"/>
        <v>7.6999999999999999E-2</v>
      </c>
      <c r="AY806" s="8" t="s">
        <v>32</v>
      </c>
      <c r="AZ806" s="16">
        <f t="shared" si="428"/>
        <v>100</v>
      </c>
      <c r="BA806" s="16" t="s">
        <v>55</v>
      </c>
      <c r="BB806" s="16">
        <v>5</v>
      </c>
      <c r="BC806" s="16">
        <v>1000</v>
      </c>
      <c r="BD806" s="25">
        <v>76</v>
      </c>
      <c r="BE806" s="16">
        <f t="shared" si="405"/>
        <v>987.01298701298708</v>
      </c>
      <c r="BF806" s="16">
        <f t="shared" si="400"/>
        <v>2.9943228671083095</v>
      </c>
      <c r="BG806" s="8">
        <f t="shared" si="414"/>
        <v>1.8808135922807914</v>
      </c>
      <c r="BH806" s="2" t="s">
        <v>837</v>
      </c>
      <c r="BI806" s="2"/>
      <c r="BJ806" s="2"/>
      <c r="BK806" s="2"/>
      <c r="BL806" s="2"/>
      <c r="BM806" s="20"/>
      <c r="BN806" s="20"/>
      <c r="BO806" s="2"/>
    </row>
    <row r="807" spans="1:67" s="14" customFormat="1" x14ac:dyDescent="0.3">
      <c r="A807" s="20">
        <v>805</v>
      </c>
      <c r="B807" s="2" t="s">
        <v>207</v>
      </c>
      <c r="C807" s="2">
        <v>2015</v>
      </c>
      <c r="D807" s="2" t="s">
        <v>201</v>
      </c>
      <c r="E807" s="10" t="s">
        <v>810</v>
      </c>
      <c r="F807" s="20" t="s">
        <v>29</v>
      </c>
      <c r="G807" s="2" t="s">
        <v>34</v>
      </c>
      <c r="H807" s="2" t="str">
        <f>'PFAS Properties'!$B$46</f>
        <v>PFOS</v>
      </c>
      <c r="I807" s="2" t="str">
        <f>'PFAS Properties'!$C$46</f>
        <v>PFSA</v>
      </c>
      <c r="J807" s="2" t="str">
        <f>'PFAS Properties'!$D$46</f>
        <v>C8HF17O3S</v>
      </c>
      <c r="K807" s="25">
        <f>'PFAS Properties'!$P$46</f>
        <v>499.93739999999997</v>
      </c>
      <c r="L807" s="2">
        <f>'PFAS Properties'!$X$46</f>
        <v>0.1</v>
      </c>
      <c r="M807" s="2" t="str">
        <f>'PFAS Properties'!$Y$46</f>
        <v>-</v>
      </c>
      <c r="N807" s="33">
        <v>0</v>
      </c>
      <c r="O807" s="33">
        <v>0</v>
      </c>
      <c r="P807" s="33">
        <v>0</v>
      </c>
      <c r="Q807" s="33">
        <f t="shared" si="410"/>
        <v>0.99999205678074798</v>
      </c>
      <c r="R807" s="33">
        <v>0</v>
      </c>
      <c r="S807" s="33">
        <f t="shared" si="411"/>
        <v>7.9432192520095278E-6</v>
      </c>
      <c r="T807" s="8">
        <f t="shared" si="394"/>
        <v>1</v>
      </c>
      <c r="U807" s="33">
        <f t="shared" si="395"/>
        <v>0</v>
      </c>
      <c r="V807" s="33">
        <f t="shared" si="396"/>
        <v>-0.99999205678074798</v>
      </c>
      <c r="W807" s="33">
        <f t="shared" si="397"/>
        <v>498.93740794321923</v>
      </c>
      <c r="X807" s="33">
        <v>96485</v>
      </c>
      <c r="Y807" s="16">
        <f t="shared" si="398"/>
        <v>-193.37943409821597</v>
      </c>
      <c r="Z807" s="16">
        <v>8</v>
      </c>
      <c r="AA807" s="16">
        <v>17</v>
      </c>
      <c r="AB807" s="8">
        <f t="shared" si="399"/>
        <v>0.29721362229102166</v>
      </c>
      <c r="AC807" s="16">
        <f t="shared" si="406"/>
        <v>64.60808893273439</v>
      </c>
      <c r="AD807" s="20">
        <f>'PFAS Properties'!$W$46</f>
        <v>8</v>
      </c>
      <c r="AE807" s="8">
        <f>'PFAS Properties'!$S$46</f>
        <v>2.0166155475571776</v>
      </c>
      <c r="AF807" s="15">
        <f>'PFAS Properties'!$V$46</f>
        <v>5</v>
      </c>
      <c r="AG807" s="24">
        <v>5.2</v>
      </c>
      <c r="AH807" s="2" t="s">
        <v>834</v>
      </c>
      <c r="AI807" s="15">
        <v>4.5149999999999997</v>
      </c>
      <c r="AJ807" s="15">
        <f t="shared" si="423"/>
        <v>80.848777867311313</v>
      </c>
      <c r="AK807" s="15">
        <f t="shared" si="424"/>
        <v>0.45149999999999996</v>
      </c>
      <c r="AL807" s="15">
        <v>0.377</v>
      </c>
      <c r="AM807" s="15">
        <f t="shared" si="425"/>
        <v>13.973313565604151</v>
      </c>
      <c r="AN807" s="15">
        <f t="shared" si="426"/>
        <v>3.7699999999999997E-2</v>
      </c>
      <c r="AO807" s="2" t="s">
        <v>31</v>
      </c>
      <c r="AP807" s="15">
        <v>46.3</v>
      </c>
      <c r="AQ807" s="16" t="s">
        <v>689</v>
      </c>
      <c r="AR807" s="2">
        <v>41.3</v>
      </c>
      <c r="AS807" s="2">
        <v>39.799999999999997</v>
      </c>
      <c r="AT807" s="2">
        <v>18.899999999999999</v>
      </c>
      <c r="AU807" s="16" t="s">
        <v>664</v>
      </c>
      <c r="AV807" s="16">
        <f t="shared" si="427"/>
        <v>100</v>
      </c>
      <c r="AW807" s="20">
        <v>9.4</v>
      </c>
      <c r="AX807" s="8">
        <f t="shared" si="413"/>
        <v>9.4E-2</v>
      </c>
      <c r="AY807" s="8" t="s">
        <v>32</v>
      </c>
      <c r="AZ807" s="16">
        <f t="shared" si="428"/>
        <v>100</v>
      </c>
      <c r="BA807" s="16" t="s">
        <v>55</v>
      </c>
      <c r="BB807" s="16">
        <v>5</v>
      </c>
      <c r="BC807" s="16">
        <v>1000</v>
      </c>
      <c r="BD807" s="25">
        <v>110</v>
      </c>
      <c r="BE807" s="16">
        <f t="shared" si="405"/>
        <v>1170.2127659574469</v>
      </c>
      <c r="BF807" s="16">
        <f t="shared" si="400"/>
        <v>3.0682648315585266</v>
      </c>
      <c r="BG807" s="8">
        <f t="shared" si="414"/>
        <v>2.0413926851582249</v>
      </c>
      <c r="BH807" s="2" t="s">
        <v>837</v>
      </c>
      <c r="BI807" s="2"/>
      <c r="BJ807" s="2"/>
      <c r="BK807" s="2"/>
      <c r="BL807" s="2"/>
      <c r="BM807" s="20"/>
      <c r="BN807" s="20"/>
      <c r="BO807" s="2"/>
    </row>
    <row r="808" spans="1:67" s="14" customFormat="1" x14ac:dyDescent="0.3">
      <c r="A808" s="20">
        <v>806</v>
      </c>
      <c r="B808" s="2" t="s">
        <v>207</v>
      </c>
      <c r="C808" s="2">
        <v>2015</v>
      </c>
      <c r="D808" s="2" t="s">
        <v>201</v>
      </c>
      <c r="E808" s="10" t="s">
        <v>810</v>
      </c>
      <c r="F808" s="20" t="s">
        <v>29</v>
      </c>
      <c r="G808" s="2" t="s">
        <v>37</v>
      </c>
      <c r="H808" s="2" t="str">
        <f>'PFAS Properties'!$B$46</f>
        <v>PFOS</v>
      </c>
      <c r="I808" s="2" t="str">
        <f>'PFAS Properties'!$C$46</f>
        <v>PFSA</v>
      </c>
      <c r="J808" s="2" t="str">
        <f>'PFAS Properties'!$D$46</f>
        <v>C8HF17O3S</v>
      </c>
      <c r="K808" s="25">
        <f>'PFAS Properties'!$P$46</f>
        <v>499.93739999999997</v>
      </c>
      <c r="L808" s="2">
        <f>'PFAS Properties'!$X$46</f>
        <v>0.1</v>
      </c>
      <c r="M808" s="2" t="str">
        <f>'PFAS Properties'!$Y$46</f>
        <v>-</v>
      </c>
      <c r="N808" s="33">
        <v>0</v>
      </c>
      <c r="O808" s="33">
        <v>0</v>
      </c>
      <c r="P808" s="33">
        <v>0</v>
      </c>
      <c r="Q808" s="33">
        <f t="shared" si="410"/>
        <v>0.9999974881198781</v>
      </c>
      <c r="R808" s="33">
        <v>0</v>
      </c>
      <c r="S808" s="33">
        <f t="shared" si="411"/>
        <v>2.5118801219519806E-6</v>
      </c>
      <c r="T808" s="8">
        <f t="shared" si="394"/>
        <v>1</v>
      </c>
      <c r="U808" s="33">
        <f t="shared" si="395"/>
        <v>0</v>
      </c>
      <c r="V808" s="33">
        <f t="shared" si="396"/>
        <v>-0.9999974881198781</v>
      </c>
      <c r="W808" s="33">
        <f t="shared" si="397"/>
        <v>498.93740251188012</v>
      </c>
      <c r="X808" s="33">
        <v>96485</v>
      </c>
      <c r="Y808" s="16">
        <f t="shared" si="398"/>
        <v>-193.38048652094997</v>
      </c>
      <c r="Z808" s="16">
        <v>8</v>
      </c>
      <c r="AA808" s="16">
        <v>17</v>
      </c>
      <c r="AB808" s="8">
        <f t="shared" si="399"/>
        <v>0.29721362229102166</v>
      </c>
      <c r="AC808" s="16">
        <f t="shared" si="406"/>
        <v>64.60808893273439</v>
      </c>
      <c r="AD808" s="20">
        <f>'PFAS Properties'!$W$46</f>
        <v>8</v>
      </c>
      <c r="AE808" s="8">
        <f>'PFAS Properties'!$S$46</f>
        <v>2.0166155475571776</v>
      </c>
      <c r="AF808" s="15">
        <f>'PFAS Properties'!$V$46</f>
        <v>5</v>
      </c>
      <c r="AG808" s="24">
        <v>5.7</v>
      </c>
      <c r="AH808" s="2" t="s">
        <v>834</v>
      </c>
      <c r="AI808" s="15">
        <v>10.64</v>
      </c>
      <c r="AJ808" s="15">
        <f t="shared" si="423"/>
        <v>190.52735249350883</v>
      </c>
      <c r="AK808" s="15">
        <f t="shared" si="424"/>
        <v>1.0640000000000001</v>
      </c>
      <c r="AL808" s="15">
        <v>0.16700000000000001</v>
      </c>
      <c r="AM808" s="15">
        <f t="shared" si="425"/>
        <v>6.1897702001482582</v>
      </c>
      <c r="AN808" s="15">
        <f t="shared" si="426"/>
        <v>1.67E-2</v>
      </c>
      <c r="AO808" s="2" t="s">
        <v>31</v>
      </c>
      <c r="AP808" s="15">
        <v>130</v>
      </c>
      <c r="AQ808" s="16" t="s">
        <v>689</v>
      </c>
      <c r="AR808" s="2">
        <v>20.7</v>
      </c>
      <c r="AS808" s="2">
        <v>78</v>
      </c>
      <c r="AT808" s="2">
        <v>1.3</v>
      </c>
      <c r="AU808" s="16" t="s">
        <v>664</v>
      </c>
      <c r="AV808" s="16">
        <f t="shared" si="427"/>
        <v>100</v>
      </c>
      <c r="AW808" s="20">
        <v>39</v>
      </c>
      <c r="AX808" s="8">
        <f t="shared" si="413"/>
        <v>0.39</v>
      </c>
      <c r="AY808" s="8" t="s">
        <v>32</v>
      </c>
      <c r="AZ808" s="16">
        <f t="shared" si="428"/>
        <v>100</v>
      </c>
      <c r="BA808" s="16" t="s">
        <v>55</v>
      </c>
      <c r="BB808" s="16">
        <v>5</v>
      </c>
      <c r="BC808" s="16">
        <v>1000</v>
      </c>
      <c r="BD808" s="25">
        <v>295</v>
      </c>
      <c r="BE808" s="16">
        <f t="shared" si="405"/>
        <v>756.41025641025635</v>
      </c>
      <c r="BF808" s="16">
        <f t="shared" si="400"/>
        <v>2.8787574089516639</v>
      </c>
      <c r="BG808" s="8">
        <f t="shared" si="414"/>
        <v>2.469822015978163</v>
      </c>
      <c r="BH808" s="2" t="s">
        <v>837</v>
      </c>
      <c r="BI808" s="2"/>
      <c r="BJ808" s="2"/>
      <c r="BK808" s="2"/>
      <c r="BL808" s="2"/>
      <c r="BM808" s="20"/>
      <c r="BN808" s="20"/>
      <c r="BO808" s="2"/>
    </row>
    <row r="809" spans="1:67" s="14" customFormat="1" x14ac:dyDescent="0.3">
      <c r="A809" s="20">
        <v>807</v>
      </c>
      <c r="B809" s="2" t="s">
        <v>200</v>
      </c>
      <c r="C809" s="2">
        <v>2021</v>
      </c>
      <c r="D809" s="2" t="s">
        <v>201</v>
      </c>
      <c r="E809" s="10" t="s">
        <v>794</v>
      </c>
      <c r="F809" s="20" t="s">
        <v>29</v>
      </c>
      <c r="G809" s="2" t="s">
        <v>30</v>
      </c>
      <c r="H809" s="2" t="str">
        <f>'PFAS Properties'!$B$46</f>
        <v>PFOS</v>
      </c>
      <c r="I809" s="2" t="str">
        <f>'PFAS Properties'!$C$46</f>
        <v>PFSA</v>
      </c>
      <c r="J809" s="2" t="str">
        <f>'PFAS Properties'!$D$46</f>
        <v>C8HF17O3S</v>
      </c>
      <c r="K809" s="25">
        <f>'PFAS Properties'!$P$46</f>
        <v>499.93739999999997</v>
      </c>
      <c r="L809" s="2">
        <f>'PFAS Properties'!$X$46</f>
        <v>0.1</v>
      </c>
      <c r="M809" s="2" t="str">
        <f>'PFAS Properties'!$Y$46</f>
        <v>-</v>
      </c>
      <c r="N809" s="33">
        <v>0</v>
      </c>
      <c r="O809" s="33">
        <v>0</v>
      </c>
      <c r="P809" s="33">
        <v>0</v>
      </c>
      <c r="Q809" s="33">
        <f t="shared" si="410"/>
        <v>0.99999601894414336</v>
      </c>
      <c r="R809" s="33">
        <v>0</v>
      </c>
      <c r="S809" s="33">
        <f t="shared" si="411"/>
        <v>3.981055856666137E-6</v>
      </c>
      <c r="T809" s="8">
        <f t="shared" si="394"/>
        <v>1</v>
      </c>
      <c r="U809" s="33">
        <f t="shared" si="395"/>
        <v>0</v>
      </c>
      <c r="V809" s="33">
        <f t="shared" si="396"/>
        <v>-0.99999601894414336</v>
      </c>
      <c r="W809" s="33">
        <f t="shared" si="397"/>
        <v>498.93740398105581</v>
      </c>
      <c r="X809" s="33">
        <v>96485</v>
      </c>
      <c r="Y809" s="16">
        <f t="shared" si="398"/>
        <v>-193.38020184088887</v>
      </c>
      <c r="Z809" s="16">
        <v>8</v>
      </c>
      <c r="AA809" s="16">
        <v>17</v>
      </c>
      <c r="AB809" s="8">
        <f t="shared" si="399"/>
        <v>0.29721362229102166</v>
      </c>
      <c r="AC809" s="16">
        <f t="shared" si="406"/>
        <v>64.60808893273439</v>
      </c>
      <c r="AD809" s="20">
        <f>'PFAS Properties'!$W$46</f>
        <v>8</v>
      </c>
      <c r="AE809" s="8">
        <f>'PFAS Properties'!$S$46</f>
        <v>2.0166155475571776</v>
      </c>
      <c r="AF809" s="15">
        <f>'PFAS Properties'!$V$46</f>
        <v>5</v>
      </c>
      <c r="AG809" s="24">
        <v>5.5</v>
      </c>
      <c r="AH809" s="2" t="s">
        <v>834</v>
      </c>
      <c r="AI809" s="15">
        <v>1.0129999999999999</v>
      </c>
      <c r="AJ809" s="16">
        <f t="shared" si="423"/>
        <v>18.13949324021846</v>
      </c>
      <c r="AK809" s="8">
        <f t="shared" si="424"/>
        <v>0.10129999999999999</v>
      </c>
      <c r="AL809" s="15">
        <v>0.40400000000000003</v>
      </c>
      <c r="AM809" s="16">
        <f t="shared" si="425"/>
        <v>14.974054855448481</v>
      </c>
      <c r="AN809" s="8">
        <f t="shared" si="426"/>
        <v>4.0400000000000005E-2</v>
      </c>
      <c r="AO809" s="15" t="s">
        <v>31</v>
      </c>
      <c r="AP809" s="15">
        <v>23.4</v>
      </c>
      <c r="AQ809" s="16" t="s">
        <v>689</v>
      </c>
      <c r="AR809" s="16">
        <v>54.4</v>
      </c>
      <c r="AS809" s="16">
        <v>35</v>
      </c>
      <c r="AT809" s="16">
        <v>10.6</v>
      </c>
      <c r="AU809" s="16" t="s">
        <v>664</v>
      </c>
      <c r="AV809" s="16">
        <f t="shared" si="427"/>
        <v>100</v>
      </c>
      <c r="AW809" s="20">
        <v>1.6</v>
      </c>
      <c r="AX809" s="8">
        <f t="shared" si="413"/>
        <v>1.6E-2</v>
      </c>
      <c r="AY809" s="8" t="s">
        <v>32</v>
      </c>
      <c r="AZ809" s="16">
        <f t="shared" si="428"/>
        <v>100</v>
      </c>
      <c r="BA809" s="16" t="s">
        <v>55</v>
      </c>
      <c r="BB809" s="16">
        <v>170</v>
      </c>
      <c r="BC809" s="16" t="s">
        <v>55</v>
      </c>
      <c r="BD809" s="25">
        <v>32</v>
      </c>
      <c r="BE809" s="16">
        <f t="shared" si="405"/>
        <v>2000</v>
      </c>
      <c r="BF809" s="16">
        <f t="shared" si="400"/>
        <v>3.3010299956639813</v>
      </c>
      <c r="BG809" s="8">
        <f t="shared" si="414"/>
        <v>1.505149978319906</v>
      </c>
      <c r="BH809" s="2" t="s">
        <v>841</v>
      </c>
      <c r="BI809" s="2"/>
      <c r="BJ809" s="2"/>
      <c r="BK809" s="2"/>
      <c r="BL809" s="2"/>
      <c r="BM809" s="20"/>
      <c r="BN809" s="20"/>
      <c r="BO809" s="2"/>
    </row>
    <row r="810" spans="1:67" s="14" customFormat="1" x14ac:dyDescent="0.3">
      <c r="A810" s="20">
        <v>808</v>
      </c>
      <c r="B810" s="2" t="s">
        <v>200</v>
      </c>
      <c r="C810" s="2">
        <v>2021</v>
      </c>
      <c r="D810" s="2" t="s">
        <v>201</v>
      </c>
      <c r="E810" s="10" t="s">
        <v>794</v>
      </c>
      <c r="F810" s="20" t="s">
        <v>29</v>
      </c>
      <c r="G810" s="2" t="s">
        <v>33</v>
      </c>
      <c r="H810" s="2" t="str">
        <f>'PFAS Properties'!$B$46</f>
        <v>PFOS</v>
      </c>
      <c r="I810" s="2" t="str">
        <f>'PFAS Properties'!$C$46</f>
        <v>PFSA</v>
      </c>
      <c r="J810" s="2" t="str">
        <f>'PFAS Properties'!$D$46</f>
        <v>C8HF17O3S</v>
      </c>
      <c r="K810" s="25">
        <f>'PFAS Properties'!$P$46</f>
        <v>499.93739999999997</v>
      </c>
      <c r="L810" s="2">
        <f>'PFAS Properties'!$X$46</f>
        <v>0.1</v>
      </c>
      <c r="M810" s="2" t="str">
        <f>'PFAS Properties'!$Y$46</f>
        <v>-</v>
      </c>
      <c r="N810" s="33">
        <v>0</v>
      </c>
      <c r="O810" s="33">
        <v>0</v>
      </c>
      <c r="P810" s="33">
        <v>0</v>
      </c>
      <c r="Q810" s="33">
        <f t="shared" si="410"/>
        <v>0.99999998741074603</v>
      </c>
      <c r="R810" s="33">
        <v>0</v>
      </c>
      <c r="S810" s="33">
        <f t="shared" si="411"/>
        <v>1.258925395945232E-8</v>
      </c>
      <c r="T810" s="8">
        <f t="shared" si="394"/>
        <v>1</v>
      </c>
      <c r="U810" s="33">
        <f t="shared" si="395"/>
        <v>0</v>
      </c>
      <c r="V810" s="33">
        <f t="shared" si="396"/>
        <v>-0.99999998741074603</v>
      </c>
      <c r="W810" s="33">
        <f t="shared" si="397"/>
        <v>498.93740001258925</v>
      </c>
      <c r="X810" s="33">
        <v>96485</v>
      </c>
      <c r="Y810" s="16">
        <f t="shared" si="398"/>
        <v>-193.38097080493725</v>
      </c>
      <c r="Z810" s="16">
        <v>8</v>
      </c>
      <c r="AA810" s="16">
        <v>17</v>
      </c>
      <c r="AB810" s="8">
        <f t="shared" si="399"/>
        <v>0.29721362229102166</v>
      </c>
      <c r="AC810" s="16">
        <f t="shared" si="406"/>
        <v>64.60808893273439</v>
      </c>
      <c r="AD810" s="20">
        <f>'PFAS Properties'!$W$46</f>
        <v>8</v>
      </c>
      <c r="AE810" s="8">
        <f>'PFAS Properties'!$S$46</f>
        <v>2.0166155475571776</v>
      </c>
      <c r="AF810" s="15">
        <f>'PFAS Properties'!$V$46</f>
        <v>5</v>
      </c>
      <c r="AG810" s="24">
        <v>8</v>
      </c>
      <c r="AH810" s="2" t="s">
        <v>834</v>
      </c>
      <c r="AI810" s="15">
        <v>2.9660000000000002</v>
      </c>
      <c r="AJ810" s="16">
        <f t="shared" si="423"/>
        <v>53.111290178171728</v>
      </c>
      <c r="AK810" s="8">
        <f t="shared" si="424"/>
        <v>0.29660000000000003</v>
      </c>
      <c r="AL810" s="15">
        <v>0.23</v>
      </c>
      <c r="AM810" s="16">
        <f t="shared" si="425"/>
        <v>8.5248332097850259</v>
      </c>
      <c r="AN810" s="8">
        <f t="shared" si="426"/>
        <v>2.3E-2</v>
      </c>
      <c r="AO810" s="15" t="s">
        <v>31</v>
      </c>
      <c r="AP810" s="15">
        <v>87.3</v>
      </c>
      <c r="AQ810" s="16" t="s">
        <v>689</v>
      </c>
      <c r="AR810" s="16">
        <v>12.2</v>
      </c>
      <c r="AS810" s="16">
        <v>54.3</v>
      </c>
      <c r="AT810" s="16">
        <v>33.5</v>
      </c>
      <c r="AU810" s="16" t="s">
        <v>664</v>
      </c>
      <c r="AV810" s="16">
        <f t="shared" si="427"/>
        <v>100</v>
      </c>
      <c r="AW810" s="20">
        <v>7.7</v>
      </c>
      <c r="AX810" s="8">
        <f t="shared" si="413"/>
        <v>7.6999999999999999E-2</v>
      </c>
      <c r="AY810" s="8" t="s">
        <v>32</v>
      </c>
      <c r="AZ810" s="16">
        <f t="shared" si="428"/>
        <v>100</v>
      </c>
      <c r="BA810" s="16" t="s">
        <v>55</v>
      </c>
      <c r="BB810" s="16">
        <v>170</v>
      </c>
      <c r="BC810" s="16" t="s">
        <v>55</v>
      </c>
      <c r="BD810" s="25">
        <v>76</v>
      </c>
      <c r="BE810" s="16">
        <f t="shared" si="405"/>
        <v>987.01298701298708</v>
      </c>
      <c r="BF810" s="16">
        <f t="shared" si="400"/>
        <v>2.9943228671083095</v>
      </c>
      <c r="BG810" s="8">
        <f t="shared" si="414"/>
        <v>1.8808135922807914</v>
      </c>
      <c r="BH810" s="2" t="s">
        <v>841</v>
      </c>
      <c r="BI810" s="2"/>
      <c r="BJ810" s="2"/>
      <c r="BK810" s="2"/>
      <c r="BL810" s="2"/>
      <c r="BM810" s="20"/>
      <c r="BN810" s="20"/>
      <c r="BO810" s="2"/>
    </row>
    <row r="811" spans="1:67" s="14" customFormat="1" x14ac:dyDescent="0.3">
      <c r="A811" s="20">
        <v>809</v>
      </c>
      <c r="B811" s="2" t="s">
        <v>200</v>
      </c>
      <c r="C811" s="2">
        <v>2021</v>
      </c>
      <c r="D811" s="2" t="s">
        <v>201</v>
      </c>
      <c r="E811" s="10" t="s">
        <v>794</v>
      </c>
      <c r="F811" s="20" t="s">
        <v>29</v>
      </c>
      <c r="G811" s="2" t="s">
        <v>34</v>
      </c>
      <c r="H811" s="2" t="str">
        <f>'PFAS Properties'!$B$46</f>
        <v>PFOS</v>
      </c>
      <c r="I811" s="2" t="str">
        <f>'PFAS Properties'!$C$46</f>
        <v>PFSA</v>
      </c>
      <c r="J811" s="2" t="str">
        <f>'PFAS Properties'!$D$46</f>
        <v>C8HF17O3S</v>
      </c>
      <c r="K811" s="25">
        <f>'PFAS Properties'!$P$46</f>
        <v>499.93739999999997</v>
      </c>
      <c r="L811" s="2">
        <f>'PFAS Properties'!$X$46</f>
        <v>0.1</v>
      </c>
      <c r="M811" s="2" t="str">
        <f>'PFAS Properties'!$Y$46</f>
        <v>-</v>
      </c>
      <c r="N811" s="33">
        <v>0</v>
      </c>
      <c r="O811" s="33">
        <v>0</v>
      </c>
      <c r="P811" s="33">
        <v>0</v>
      </c>
      <c r="Q811" s="33">
        <f t="shared" si="410"/>
        <v>0.99999205678074798</v>
      </c>
      <c r="R811" s="33">
        <v>0</v>
      </c>
      <c r="S811" s="33">
        <f t="shared" si="411"/>
        <v>7.9432192520095278E-6</v>
      </c>
      <c r="T811" s="8">
        <f t="shared" si="394"/>
        <v>1</v>
      </c>
      <c r="U811" s="33">
        <f t="shared" si="395"/>
        <v>0</v>
      </c>
      <c r="V811" s="33">
        <f t="shared" si="396"/>
        <v>-0.99999205678074798</v>
      </c>
      <c r="W811" s="33">
        <f t="shared" si="397"/>
        <v>498.93740794321923</v>
      </c>
      <c r="X811" s="33">
        <v>96485</v>
      </c>
      <c r="Y811" s="16">
        <f t="shared" si="398"/>
        <v>-193.37943409821597</v>
      </c>
      <c r="Z811" s="16">
        <v>8</v>
      </c>
      <c r="AA811" s="16">
        <v>17</v>
      </c>
      <c r="AB811" s="8">
        <f t="shared" si="399"/>
        <v>0.29721362229102166</v>
      </c>
      <c r="AC811" s="16">
        <f t="shared" si="406"/>
        <v>64.60808893273439</v>
      </c>
      <c r="AD811" s="20">
        <f>'PFAS Properties'!$W$46</f>
        <v>8</v>
      </c>
      <c r="AE811" s="8">
        <f>'PFAS Properties'!$S$46</f>
        <v>2.0166155475571776</v>
      </c>
      <c r="AF811" s="15">
        <f>'PFAS Properties'!$V$46</f>
        <v>5</v>
      </c>
      <c r="AG811" s="24">
        <v>5.2</v>
      </c>
      <c r="AH811" s="2" t="s">
        <v>834</v>
      </c>
      <c r="AI811" s="15">
        <v>4.5149999999999997</v>
      </c>
      <c r="AJ811" s="16">
        <f t="shared" si="423"/>
        <v>80.848777867311313</v>
      </c>
      <c r="AK811" s="8">
        <f t="shared" si="424"/>
        <v>0.45149999999999996</v>
      </c>
      <c r="AL811" s="15">
        <v>0.377</v>
      </c>
      <c r="AM811" s="16">
        <f t="shared" si="425"/>
        <v>13.973313565604151</v>
      </c>
      <c r="AN811" s="8">
        <f t="shared" si="426"/>
        <v>3.7699999999999997E-2</v>
      </c>
      <c r="AO811" s="15" t="s">
        <v>31</v>
      </c>
      <c r="AP811" s="15">
        <v>44.3</v>
      </c>
      <c r="AQ811" s="16" t="s">
        <v>689</v>
      </c>
      <c r="AR811" s="16">
        <v>41.3</v>
      </c>
      <c r="AS811" s="16">
        <v>39.799999999999997</v>
      </c>
      <c r="AT811" s="16">
        <v>18.899999999999999</v>
      </c>
      <c r="AU811" s="16" t="s">
        <v>664</v>
      </c>
      <c r="AV811" s="16">
        <f t="shared" si="427"/>
        <v>100</v>
      </c>
      <c r="AW811" s="20">
        <v>9.4</v>
      </c>
      <c r="AX811" s="8">
        <f t="shared" si="413"/>
        <v>9.4E-2</v>
      </c>
      <c r="AY811" s="8" t="s">
        <v>32</v>
      </c>
      <c r="AZ811" s="16">
        <f t="shared" si="428"/>
        <v>100</v>
      </c>
      <c r="BA811" s="16" t="s">
        <v>55</v>
      </c>
      <c r="BB811" s="16">
        <v>170</v>
      </c>
      <c r="BC811" s="16" t="s">
        <v>55</v>
      </c>
      <c r="BD811" s="25">
        <v>110</v>
      </c>
      <c r="BE811" s="16">
        <f t="shared" si="405"/>
        <v>1170.2127659574469</v>
      </c>
      <c r="BF811" s="16">
        <f t="shared" si="400"/>
        <v>3.0682648315585266</v>
      </c>
      <c r="BG811" s="8">
        <f t="shared" si="414"/>
        <v>2.0413926851582249</v>
      </c>
      <c r="BH811" s="2" t="s">
        <v>841</v>
      </c>
      <c r="BI811" s="2"/>
      <c r="BJ811" s="2"/>
      <c r="BK811" s="2"/>
      <c r="BL811" s="2"/>
      <c r="BM811" s="20"/>
      <c r="BN811" s="20"/>
      <c r="BO811" s="2"/>
    </row>
    <row r="812" spans="1:67" s="14" customFormat="1" x14ac:dyDescent="0.3">
      <c r="A812" s="20">
        <v>810</v>
      </c>
      <c r="B812" s="2" t="s">
        <v>200</v>
      </c>
      <c r="C812" s="2">
        <v>2021</v>
      </c>
      <c r="D812" s="2" t="s">
        <v>201</v>
      </c>
      <c r="E812" s="10" t="s">
        <v>794</v>
      </c>
      <c r="F812" s="20" t="s">
        <v>29</v>
      </c>
      <c r="G812" s="2" t="s">
        <v>37</v>
      </c>
      <c r="H812" s="2" t="str">
        <f>'PFAS Properties'!$B$46</f>
        <v>PFOS</v>
      </c>
      <c r="I812" s="2" t="str">
        <f>'PFAS Properties'!$C$46</f>
        <v>PFSA</v>
      </c>
      <c r="J812" s="2" t="str">
        <f>'PFAS Properties'!$D$46</f>
        <v>C8HF17O3S</v>
      </c>
      <c r="K812" s="25">
        <f>'PFAS Properties'!$P$46</f>
        <v>499.93739999999997</v>
      </c>
      <c r="L812" s="2">
        <f>'PFAS Properties'!$X$46</f>
        <v>0.1</v>
      </c>
      <c r="M812" s="2" t="str">
        <f>'PFAS Properties'!$Y$46</f>
        <v>-</v>
      </c>
      <c r="N812" s="33">
        <v>0</v>
      </c>
      <c r="O812" s="33">
        <v>0</v>
      </c>
      <c r="P812" s="33">
        <v>0</v>
      </c>
      <c r="Q812" s="33">
        <f t="shared" si="410"/>
        <v>0.99999800474166611</v>
      </c>
      <c r="R812" s="33">
        <v>0</v>
      </c>
      <c r="S812" s="33">
        <f t="shared" si="411"/>
        <v>1.9952583339051124E-6</v>
      </c>
      <c r="T812" s="8">
        <f t="shared" si="394"/>
        <v>1</v>
      </c>
      <c r="U812" s="33">
        <f t="shared" si="395"/>
        <v>0</v>
      </c>
      <c r="V812" s="33">
        <f t="shared" si="396"/>
        <v>-0.99999800474166611</v>
      </c>
      <c r="W812" s="33">
        <f t="shared" si="397"/>
        <v>498.93740199525831</v>
      </c>
      <c r="X812" s="33">
        <v>96485</v>
      </c>
      <c r="Y812" s="16">
        <f t="shared" si="398"/>
        <v>-193.38058662600847</v>
      </c>
      <c r="Z812" s="16">
        <v>8</v>
      </c>
      <c r="AA812" s="16">
        <v>17</v>
      </c>
      <c r="AB812" s="8">
        <f t="shared" si="399"/>
        <v>0.29721362229102166</v>
      </c>
      <c r="AC812" s="16">
        <f t="shared" si="406"/>
        <v>64.60808893273439</v>
      </c>
      <c r="AD812" s="20">
        <f>'PFAS Properties'!$W$46</f>
        <v>8</v>
      </c>
      <c r="AE812" s="8">
        <f>'PFAS Properties'!$S$46</f>
        <v>2.0166155475571776</v>
      </c>
      <c r="AF812" s="15">
        <f>'PFAS Properties'!$V$46</f>
        <v>5</v>
      </c>
      <c r="AG812" s="24">
        <v>5.8</v>
      </c>
      <c r="AH812" s="2" t="s">
        <v>834</v>
      </c>
      <c r="AI812" s="15">
        <v>6.5019999999999998</v>
      </c>
      <c r="AJ812" s="16">
        <f t="shared" si="423"/>
        <v>116.42940281135286</v>
      </c>
      <c r="AK812" s="8">
        <f t="shared" si="424"/>
        <v>0.6502</v>
      </c>
      <c r="AL812" s="15">
        <v>1.732</v>
      </c>
      <c r="AM812" s="16">
        <f t="shared" si="425"/>
        <v>64.195700518902896</v>
      </c>
      <c r="AN812" s="8">
        <f t="shared" si="426"/>
        <v>0.17319999999999999</v>
      </c>
      <c r="AO812" s="15" t="s">
        <v>31</v>
      </c>
      <c r="AP812" s="15">
        <v>90</v>
      </c>
      <c r="AQ812" s="16" t="s">
        <v>689</v>
      </c>
      <c r="AR812" s="16">
        <v>46</v>
      </c>
      <c r="AS812" s="16">
        <v>51</v>
      </c>
      <c r="AT812" s="16">
        <v>3</v>
      </c>
      <c r="AU812" s="16" t="s">
        <v>664</v>
      </c>
      <c r="AV812" s="16">
        <f t="shared" si="427"/>
        <v>100</v>
      </c>
      <c r="AW812" s="20">
        <v>27</v>
      </c>
      <c r="AX812" s="8">
        <f t="shared" si="413"/>
        <v>0.27</v>
      </c>
      <c r="AY812" s="8" t="s">
        <v>32</v>
      </c>
      <c r="AZ812" s="16">
        <f t="shared" si="428"/>
        <v>100</v>
      </c>
      <c r="BA812" s="16" t="s">
        <v>55</v>
      </c>
      <c r="BB812" s="16">
        <v>670</v>
      </c>
      <c r="BC812" s="16" t="s">
        <v>55</v>
      </c>
      <c r="BD812" s="25">
        <v>144</v>
      </c>
      <c r="BE812" s="16">
        <f t="shared" si="405"/>
        <v>533.33333333333326</v>
      </c>
      <c r="BF812" s="16">
        <f t="shared" si="400"/>
        <v>2.7269987279362624</v>
      </c>
      <c r="BG812" s="8">
        <f t="shared" si="414"/>
        <v>2.1583624920952498</v>
      </c>
      <c r="BH812" s="2" t="s">
        <v>841</v>
      </c>
      <c r="BI812" s="2"/>
      <c r="BJ812" s="2"/>
      <c r="BK812" s="2"/>
      <c r="BL812" s="2"/>
      <c r="BM812" s="20"/>
      <c r="BN812" s="20"/>
      <c r="BO812" s="2"/>
    </row>
    <row r="813" spans="1:67" s="14" customFormat="1" x14ac:dyDescent="0.3">
      <c r="A813" s="20">
        <v>811</v>
      </c>
      <c r="B813" s="2" t="s">
        <v>200</v>
      </c>
      <c r="C813" s="2">
        <v>2021</v>
      </c>
      <c r="D813" s="2" t="s">
        <v>201</v>
      </c>
      <c r="E813" s="10" t="s">
        <v>794</v>
      </c>
      <c r="F813" s="20" t="s">
        <v>29</v>
      </c>
      <c r="G813" s="2" t="s">
        <v>35</v>
      </c>
      <c r="H813" s="2" t="str">
        <f>'PFAS Properties'!$B$46</f>
        <v>PFOS</v>
      </c>
      <c r="I813" s="2" t="str">
        <f>'PFAS Properties'!$C$46</f>
        <v>PFSA</v>
      </c>
      <c r="J813" s="2" t="str">
        <f>'PFAS Properties'!$D$46</f>
        <v>C8HF17O3S</v>
      </c>
      <c r="K813" s="25">
        <f>'PFAS Properties'!$P$46</f>
        <v>499.93739999999997</v>
      </c>
      <c r="L813" s="2">
        <f>'PFAS Properties'!$X$46</f>
        <v>0.1</v>
      </c>
      <c r="M813" s="2" t="str">
        <f>'PFAS Properties'!$Y$46</f>
        <v>-</v>
      </c>
      <c r="N813" s="33">
        <v>0</v>
      </c>
      <c r="O813" s="33">
        <v>0</v>
      </c>
      <c r="P813" s="33">
        <v>0</v>
      </c>
      <c r="Q813" s="33">
        <f t="shared" si="410"/>
        <v>0.9999974881198781</v>
      </c>
      <c r="R813" s="33">
        <v>0</v>
      </c>
      <c r="S813" s="33">
        <f t="shared" si="411"/>
        <v>2.5118801219519806E-6</v>
      </c>
      <c r="T813" s="8">
        <f t="shared" si="394"/>
        <v>1</v>
      </c>
      <c r="U813" s="33">
        <f t="shared" si="395"/>
        <v>0</v>
      </c>
      <c r="V813" s="33">
        <f t="shared" si="396"/>
        <v>-0.9999974881198781</v>
      </c>
      <c r="W813" s="33">
        <f t="shared" si="397"/>
        <v>498.93740251188012</v>
      </c>
      <c r="X813" s="33">
        <v>96485</v>
      </c>
      <c r="Y813" s="16">
        <f t="shared" si="398"/>
        <v>-193.38048652094997</v>
      </c>
      <c r="Z813" s="16">
        <v>8</v>
      </c>
      <c r="AA813" s="16">
        <v>17</v>
      </c>
      <c r="AB813" s="8">
        <f t="shared" si="399"/>
        <v>0.29721362229102166</v>
      </c>
      <c r="AC813" s="16">
        <f t="shared" si="406"/>
        <v>64.60808893273439</v>
      </c>
      <c r="AD813" s="20">
        <f>'PFAS Properties'!$W$46</f>
        <v>8</v>
      </c>
      <c r="AE813" s="8">
        <f>'PFAS Properties'!$S$46</f>
        <v>2.0166155475571776</v>
      </c>
      <c r="AF813" s="15">
        <f>'PFAS Properties'!$V$46</f>
        <v>5</v>
      </c>
      <c r="AG813" s="24">
        <v>5.7</v>
      </c>
      <c r="AH813" s="2" t="s">
        <v>834</v>
      </c>
      <c r="AI813" s="15">
        <v>12.358000000000001</v>
      </c>
      <c r="AJ813" s="16">
        <f t="shared" si="423"/>
        <v>221.29107350702839</v>
      </c>
      <c r="AK813" s="8">
        <f t="shared" si="424"/>
        <v>1.2358</v>
      </c>
      <c r="AL813" s="15">
        <v>1.0269999999999999</v>
      </c>
      <c r="AM813" s="16">
        <f t="shared" si="425"/>
        <v>38.065233506300963</v>
      </c>
      <c r="AN813" s="8">
        <f t="shared" si="426"/>
        <v>0.10269999999999999</v>
      </c>
      <c r="AO813" s="15" t="s">
        <v>31</v>
      </c>
      <c r="AP813" s="15">
        <v>103</v>
      </c>
      <c r="AQ813" s="16" t="s">
        <v>689</v>
      </c>
      <c r="AR813" s="16">
        <v>35</v>
      </c>
      <c r="AS813" s="16">
        <v>63</v>
      </c>
      <c r="AT813" s="16">
        <v>2</v>
      </c>
      <c r="AU813" s="16" t="s">
        <v>664</v>
      </c>
      <c r="AV813" s="16">
        <f t="shared" si="427"/>
        <v>100</v>
      </c>
      <c r="AW813" s="20">
        <v>32</v>
      </c>
      <c r="AX813" s="8">
        <f t="shared" si="413"/>
        <v>0.32</v>
      </c>
      <c r="AY813" s="8" t="s">
        <v>32</v>
      </c>
      <c r="AZ813" s="16">
        <f t="shared" si="428"/>
        <v>100</v>
      </c>
      <c r="BA813" s="16" t="s">
        <v>55</v>
      </c>
      <c r="BB813" s="16">
        <v>670</v>
      </c>
      <c r="BC813" s="16" t="s">
        <v>55</v>
      </c>
      <c r="BD813" s="25">
        <v>171</v>
      </c>
      <c r="BE813" s="16">
        <f t="shared" si="405"/>
        <v>534.375</v>
      </c>
      <c r="BF813" s="16">
        <f t="shared" si="400"/>
        <v>2.7278461320722478</v>
      </c>
      <c r="BG813" s="8">
        <f t="shared" si="414"/>
        <v>2.2329961103921536</v>
      </c>
      <c r="BH813" s="2" t="s">
        <v>841</v>
      </c>
      <c r="BI813" s="2"/>
      <c r="BJ813" s="2"/>
      <c r="BK813" s="2"/>
      <c r="BL813" s="2"/>
      <c r="BM813" s="20"/>
      <c r="BN813" s="20"/>
      <c r="BO813" s="2"/>
    </row>
    <row r="814" spans="1:67" s="14" customFormat="1" x14ac:dyDescent="0.3">
      <c r="A814" s="20">
        <v>812</v>
      </c>
      <c r="B814" s="2" t="s">
        <v>200</v>
      </c>
      <c r="C814" s="2">
        <v>2021</v>
      </c>
      <c r="D814" s="2" t="s">
        <v>201</v>
      </c>
      <c r="E814" s="10" t="s">
        <v>794</v>
      </c>
      <c r="F814" s="20" t="s">
        <v>29</v>
      </c>
      <c r="G814" s="2" t="s">
        <v>36</v>
      </c>
      <c r="H814" s="2" t="str">
        <f>'PFAS Properties'!$B$46</f>
        <v>PFOS</v>
      </c>
      <c r="I814" s="2" t="str">
        <f>'PFAS Properties'!$C$46</f>
        <v>PFSA</v>
      </c>
      <c r="J814" s="2" t="str">
        <f>'PFAS Properties'!$D$46</f>
        <v>C8HF17O3S</v>
      </c>
      <c r="K814" s="25">
        <f>'PFAS Properties'!$P$46</f>
        <v>499.93739999999997</v>
      </c>
      <c r="L814" s="2">
        <f>'PFAS Properties'!$X$46</f>
        <v>0.1</v>
      </c>
      <c r="M814" s="2" t="str">
        <f>'PFAS Properties'!$Y$46</f>
        <v>-</v>
      </c>
      <c r="N814" s="33">
        <v>0</v>
      </c>
      <c r="O814" s="33">
        <v>0</v>
      </c>
      <c r="P814" s="33">
        <v>0</v>
      </c>
      <c r="Q814" s="33">
        <f t="shared" si="410"/>
        <v>0.9999974881198781</v>
      </c>
      <c r="R814" s="33">
        <v>0</v>
      </c>
      <c r="S814" s="33">
        <f t="shared" si="411"/>
        <v>2.5118801219519806E-6</v>
      </c>
      <c r="T814" s="8">
        <f t="shared" si="394"/>
        <v>1</v>
      </c>
      <c r="U814" s="33">
        <f t="shared" si="395"/>
        <v>0</v>
      </c>
      <c r="V814" s="33">
        <f t="shared" si="396"/>
        <v>-0.9999974881198781</v>
      </c>
      <c r="W814" s="33">
        <f t="shared" si="397"/>
        <v>498.93740251188012</v>
      </c>
      <c r="X814" s="33">
        <v>96485</v>
      </c>
      <c r="Y814" s="16">
        <f t="shared" si="398"/>
        <v>-193.38048652094997</v>
      </c>
      <c r="Z814" s="16">
        <v>8</v>
      </c>
      <c r="AA814" s="16">
        <v>17</v>
      </c>
      <c r="AB814" s="8">
        <f t="shared" si="399"/>
        <v>0.29721362229102166</v>
      </c>
      <c r="AC814" s="16">
        <f t="shared" si="406"/>
        <v>64.60808893273439</v>
      </c>
      <c r="AD814" s="20">
        <f>'PFAS Properties'!$W$46</f>
        <v>8</v>
      </c>
      <c r="AE814" s="8">
        <f>'PFAS Properties'!$S$46</f>
        <v>2.0166155475571776</v>
      </c>
      <c r="AF814" s="15">
        <f>'PFAS Properties'!$V$46</f>
        <v>5</v>
      </c>
      <c r="AG814" s="24">
        <v>5.7</v>
      </c>
      <c r="AH814" s="2" t="s">
        <v>834</v>
      </c>
      <c r="AI814" s="15">
        <v>10.64</v>
      </c>
      <c r="AJ814" s="16">
        <f t="shared" si="423"/>
        <v>190.52735249350883</v>
      </c>
      <c r="AK814" s="8">
        <f t="shared" si="424"/>
        <v>1.0640000000000001</v>
      </c>
      <c r="AL814" s="15">
        <v>0.16700000000000001</v>
      </c>
      <c r="AM814" s="16">
        <f t="shared" si="425"/>
        <v>6.1897702001482582</v>
      </c>
      <c r="AN814" s="8">
        <f t="shared" si="426"/>
        <v>1.67E-2</v>
      </c>
      <c r="AO814" s="15" t="s">
        <v>31</v>
      </c>
      <c r="AP814" s="15">
        <v>140</v>
      </c>
      <c r="AQ814" s="16" t="s">
        <v>689</v>
      </c>
      <c r="AR814" s="16">
        <v>20.7</v>
      </c>
      <c r="AS814" s="16">
        <v>78</v>
      </c>
      <c r="AT814" s="16">
        <v>1.3</v>
      </c>
      <c r="AU814" s="16" t="s">
        <v>664</v>
      </c>
      <c r="AV814" s="16">
        <f t="shared" si="427"/>
        <v>100</v>
      </c>
      <c r="AW814" s="20">
        <v>39</v>
      </c>
      <c r="AX814" s="8">
        <f t="shared" si="413"/>
        <v>0.39</v>
      </c>
      <c r="AY814" s="8" t="s">
        <v>32</v>
      </c>
      <c r="AZ814" s="16">
        <f t="shared" si="428"/>
        <v>100</v>
      </c>
      <c r="BA814" s="16" t="s">
        <v>55</v>
      </c>
      <c r="BB814" s="16">
        <v>670</v>
      </c>
      <c r="BC814" s="16" t="s">
        <v>55</v>
      </c>
      <c r="BD814" s="25">
        <v>295</v>
      </c>
      <c r="BE814" s="16">
        <f t="shared" si="405"/>
        <v>756.41025641025635</v>
      </c>
      <c r="BF814" s="16">
        <f t="shared" si="400"/>
        <v>2.8787574089516639</v>
      </c>
      <c r="BG814" s="8">
        <f t="shared" si="414"/>
        <v>2.469822015978163</v>
      </c>
      <c r="BH814" s="2" t="s">
        <v>841</v>
      </c>
      <c r="BI814" s="2"/>
      <c r="BJ814" s="2"/>
      <c r="BK814" s="2"/>
      <c r="BL814" s="2"/>
      <c r="BM814" s="20"/>
      <c r="BN814" s="20"/>
      <c r="BO814" s="2"/>
    </row>
    <row r="815" spans="1:67" s="14" customFormat="1" x14ac:dyDescent="0.3">
      <c r="A815" s="20">
        <v>813</v>
      </c>
      <c r="B815" s="2" t="s">
        <v>200</v>
      </c>
      <c r="C815" s="2">
        <v>2021</v>
      </c>
      <c r="D815" s="2" t="s">
        <v>201</v>
      </c>
      <c r="E815" s="10" t="s">
        <v>794</v>
      </c>
      <c r="F815" s="20" t="s">
        <v>29</v>
      </c>
      <c r="G815" s="2" t="s">
        <v>38</v>
      </c>
      <c r="H815" s="2" t="str">
        <f>'PFAS Properties'!$B$46</f>
        <v>PFOS</v>
      </c>
      <c r="I815" s="2" t="str">
        <f>'PFAS Properties'!$C$46</f>
        <v>PFSA</v>
      </c>
      <c r="J815" s="2" t="str">
        <f>'PFAS Properties'!$D$46</f>
        <v>C8HF17O3S</v>
      </c>
      <c r="K815" s="25">
        <f>'PFAS Properties'!$P$46</f>
        <v>499.93739999999997</v>
      </c>
      <c r="L815" s="2">
        <f>'PFAS Properties'!$X$46</f>
        <v>0.1</v>
      </c>
      <c r="M815" s="2" t="str">
        <f>'PFAS Properties'!$Y$46</f>
        <v>-</v>
      </c>
      <c r="N815" s="33">
        <v>0</v>
      </c>
      <c r="O815" s="33">
        <v>0</v>
      </c>
      <c r="P815" s="33">
        <v>0</v>
      </c>
      <c r="Q815" s="33">
        <f t="shared" si="410"/>
        <v>0.9999974881198781</v>
      </c>
      <c r="R815" s="33">
        <v>0</v>
      </c>
      <c r="S815" s="33">
        <f t="shared" si="411"/>
        <v>2.5118801219519806E-6</v>
      </c>
      <c r="T815" s="8">
        <f t="shared" ref="T815:T878" si="429">SUM(N815:S815)</f>
        <v>1</v>
      </c>
      <c r="U815" s="33">
        <f t="shared" ref="U815:U878" si="430">((1*N815)+(1*O815)+(1*P815))</f>
        <v>0</v>
      </c>
      <c r="V815" s="33">
        <f t="shared" ref="V815:V878" si="431">-((1*O815)+(2*P815)+(1*Q815)+(2*R815))</f>
        <v>-0.9999974881198781</v>
      </c>
      <c r="W815" s="33">
        <f t="shared" ref="W815:W878" si="432">(N815*(K815+1))+(O815*K815)+(P815*(K815-1))+(Q815*(K815-1))+(R815*(K815-2))+(S815*K815)</f>
        <v>498.93740251188012</v>
      </c>
      <c r="X815" s="33">
        <v>96485</v>
      </c>
      <c r="Y815" s="16">
        <f t="shared" ref="Y815:Y878" si="433">((V815+U815)/W815)*X815</f>
        <v>-193.38048652094997</v>
      </c>
      <c r="Z815" s="16">
        <v>8</v>
      </c>
      <c r="AA815" s="16">
        <v>17</v>
      </c>
      <c r="AB815" s="8">
        <f t="shared" ref="AB815:AB878" si="434">(Z815/AA815)*(12/19)</f>
        <v>0.29721362229102166</v>
      </c>
      <c r="AC815" s="16">
        <f t="shared" si="406"/>
        <v>64.60808893273439</v>
      </c>
      <c r="AD815" s="20">
        <f>'PFAS Properties'!$W$46</f>
        <v>8</v>
      </c>
      <c r="AE815" s="8">
        <f>'PFAS Properties'!$S$46</f>
        <v>2.0166155475571776</v>
      </c>
      <c r="AF815" s="15">
        <f>'PFAS Properties'!$V$46</f>
        <v>5</v>
      </c>
      <c r="AG815" s="24">
        <v>5.7</v>
      </c>
      <c r="AH815" s="2" t="s">
        <v>834</v>
      </c>
      <c r="AI815" s="15">
        <v>19.667999999999999</v>
      </c>
      <c r="AJ815" s="16">
        <f t="shared" si="423"/>
        <v>352.18909481600861</v>
      </c>
      <c r="AK815" s="8">
        <f t="shared" si="424"/>
        <v>1.9667999999999999</v>
      </c>
      <c r="AL815" s="15">
        <v>0.48099999999999998</v>
      </c>
      <c r="AM815" s="16">
        <f t="shared" si="425"/>
        <v>17.828020756115642</v>
      </c>
      <c r="AN815" s="8">
        <f t="shared" si="426"/>
        <v>4.8099999999999997E-2</v>
      </c>
      <c r="AO815" s="15" t="s">
        <v>31</v>
      </c>
      <c r="AP815" s="15">
        <v>114</v>
      </c>
      <c r="AQ815" s="16" t="s">
        <v>689</v>
      </c>
      <c r="AR815" s="16">
        <v>20</v>
      </c>
      <c r="AS815" s="16">
        <v>78.900000000000006</v>
      </c>
      <c r="AT815" s="16">
        <v>1.1000000000000001</v>
      </c>
      <c r="AU815" s="16" t="s">
        <v>664</v>
      </c>
      <c r="AV815" s="16">
        <f t="shared" si="427"/>
        <v>100</v>
      </c>
      <c r="AW815" s="20">
        <v>41</v>
      </c>
      <c r="AX815" s="8">
        <f t="shared" si="413"/>
        <v>0.41</v>
      </c>
      <c r="AY815" s="8" t="s">
        <v>32</v>
      </c>
      <c r="AZ815" s="16">
        <f t="shared" si="428"/>
        <v>100</v>
      </c>
      <c r="BA815" s="16" t="s">
        <v>55</v>
      </c>
      <c r="BB815" s="16">
        <v>670</v>
      </c>
      <c r="BC815" s="16" t="s">
        <v>55</v>
      </c>
      <c r="BD815" s="25">
        <v>207</v>
      </c>
      <c r="BE815" s="16">
        <f t="shared" si="405"/>
        <v>504.87804878048786</v>
      </c>
      <c r="BF815" s="16">
        <f t="shared" ref="BF815:BF878" si="435">LOG(BE815)</f>
        <v>2.7031864887371824</v>
      </c>
      <c r="BG815" s="8">
        <f t="shared" si="414"/>
        <v>2.3159703454569178</v>
      </c>
      <c r="BH815" s="2" t="s">
        <v>841</v>
      </c>
      <c r="BI815" s="2"/>
      <c r="BJ815" s="2"/>
      <c r="BK815" s="2"/>
      <c r="BL815" s="2"/>
      <c r="BM815" s="20"/>
      <c r="BN815" s="20"/>
      <c r="BO815" s="2"/>
    </row>
    <row r="816" spans="1:67" s="14" customFormat="1" x14ac:dyDescent="0.3">
      <c r="A816" s="20">
        <v>814</v>
      </c>
      <c r="B816" s="2" t="s">
        <v>258</v>
      </c>
      <c r="C816" s="2">
        <v>2010</v>
      </c>
      <c r="D816" s="2" t="s">
        <v>205</v>
      </c>
      <c r="E816" s="10" t="s">
        <v>259</v>
      </c>
      <c r="F816" s="20" t="s">
        <v>63</v>
      </c>
      <c r="G816" s="2" t="s">
        <v>156</v>
      </c>
      <c r="H816" s="2" t="str">
        <f>'PFAS Properties'!$B$46</f>
        <v>PFOS</v>
      </c>
      <c r="I816" s="2" t="str">
        <f>'PFAS Properties'!$C$46</f>
        <v>PFSA</v>
      </c>
      <c r="J816" s="2" t="str">
        <f>'PFAS Properties'!$D$46</f>
        <v>C8HF17O3S</v>
      </c>
      <c r="K816" s="25">
        <f>'PFAS Properties'!$P$46</f>
        <v>499.93739999999997</v>
      </c>
      <c r="L816" s="2">
        <f>'PFAS Properties'!$X$46</f>
        <v>0.1</v>
      </c>
      <c r="M816" s="2" t="str">
        <f>'PFAS Properties'!$Y$46</f>
        <v>-</v>
      </c>
      <c r="N816" s="33">
        <v>0</v>
      </c>
      <c r="O816" s="33">
        <v>0</v>
      </c>
      <c r="P816" s="33">
        <v>0</v>
      </c>
      <c r="Q816" s="33">
        <f t="shared" si="410"/>
        <v>0.99999630734787115</v>
      </c>
      <c r="R816" s="33">
        <v>0</v>
      </c>
      <c r="S816" s="33">
        <f t="shared" si="411"/>
        <v>3.6926521288789129E-6</v>
      </c>
      <c r="T816" s="8">
        <f t="shared" si="429"/>
        <v>1</v>
      </c>
      <c r="U816" s="33">
        <f t="shared" si="430"/>
        <v>0</v>
      </c>
      <c r="V816" s="33">
        <f t="shared" si="431"/>
        <v>-0.99999630734787115</v>
      </c>
      <c r="W816" s="33">
        <f t="shared" si="432"/>
        <v>498.93740369265208</v>
      </c>
      <c r="X816" s="33">
        <v>96485</v>
      </c>
      <c r="Y816" s="16">
        <f t="shared" si="433"/>
        <v>-193.38025772446272</v>
      </c>
      <c r="Z816" s="16">
        <v>8</v>
      </c>
      <c r="AA816" s="16">
        <v>17</v>
      </c>
      <c r="AB816" s="8">
        <f t="shared" si="434"/>
        <v>0.29721362229102166</v>
      </c>
      <c r="AC816" s="16">
        <f t="shared" si="406"/>
        <v>64.60808893273439</v>
      </c>
      <c r="AD816" s="20">
        <f>'PFAS Properties'!$W$46</f>
        <v>8</v>
      </c>
      <c r="AE816" s="8">
        <f>'PFAS Properties'!$S$46</f>
        <v>2.0166155475571776</v>
      </c>
      <c r="AF816" s="15">
        <f>'PFAS Properties'!$V$46</f>
        <v>5</v>
      </c>
      <c r="AG816" s="124">
        <v>5.5326599999999999</v>
      </c>
      <c r="AH816" s="70" t="s">
        <v>752</v>
      </c>
      <c r="AI816" s="2" t="s">
        <v>661</v>
      </c>
      <c r="AJ816" s="15" t="s">
        <v>661</v>
      </c>
      <c r="AK816" s="8" t="s">
        <v>661</v>
      </c>
      <c r="AL816" s="2" t="s">
        <v>661</v>
      </c>
      <c r="AM816" s="15" t="s">
        <v>661</v>
      </c>
      <c r="AN816" s="8" t="s">
        <v>661</v>
      </c>
      <c r="AO816" s="15" t="s">
        <v>661</v>
      </c>
      <c r="AP816" s="15">
        <v>7.55</v>
      </c>
      <c r="AQ816" s="13" t="s">
        <v>661</v>
      </c>
      <c r="AR816" s="16">
        <v>12.9</v>
      </c>
      <c r="AS816" s="16">
        <f>3.86+15.1+65.2</f>
        <v>84.16</v>
      </c>
      <c r="AT816" s="16">
        <v>2.95</v>
      </c>
      <c r="AU816" s="13" t="s">
        <v>661</v>
      </c>
      <c r="AV816" s="16">
        <f t="shared" si="427"/>
        <v>100.01</v>
      </c>
      <c r="AW816" s="20">
        <v>1.49</v>
      </c>
      <c r="AX816" s="8">
        <f t="shared" si="413"/>
        <v>1.49E-2</v>
      </c>
      <c r="AY816" s="8" t="s">
        <v>142</v>
      </c>
      <c r="AZ816" s="16">
        <f t="shared" ref="AZ816:AZ830" si="436">5/0.04</f>
        <v>125</v>
      </c>
      <c r="BA816" s="16" t="s">
        <v>55</v>
      </c>
      <c r="BB816" s="15">
        <v>0.5</v>
      </c>
      <c r="BC816" s="16">
        <v>100</v>
      </c>
      <c r="BD816" s="24">
        <v>23.5</v>
      </c>
      <c r="BE816" s="16">
        <f t="shared" si="405"/>
        <v>1577.1812080536913</v>
      </c>
      <c r="BF816" s="16">
        <f t="shared" si="435"/>
        <v>3.1978815938594622</v>
      </c>
      <c r="BG816" s="8">
        <f t="shared" si="414"/>
        <v>1.3710678622717363</v>
      </c>
      <c r="BH816" s="13" t="s">
        <v>837</v>
      </c>
      <c r="BI816" s="13"/>
      <c r="BJ816" s="13"/>
      <c r="BK816" s="13"/>
      <c r="BL816" s="13"/>
      <c r="BM816" s="17"/>
      <c r="BN816" s="17"/>
      <c r="BO816" s="2"/>
    </row>
    <row r="817" spans="1:67" s="14" customFormat="1" x14ac:dyDescent="0.3">
      <c r="A817" s="20">
        <v>815</v>
      </c>
      <c r="B817" s="2" t="s">
        <v>258</v>
      </c>
      <c r="C817" s="2">
        <v>2010</v>
      </c>
      <c r="D817" s="2" t="s">
        <v>205</v>
      </c>
      <c r="E817" s="10" t="s">
        <v>259</v>
      </c>
      <c r="F817" s="20" t="s">
        <v>63</v>
      </c>
      <c r="G817" s="2" t="s">
        <v>147</v>
      </c>
      <c r="H817" s="2" t="str">
        <f>'PFAS Properties'!$B$46</f>
        <v>PFOS</v>
      </c>
      <c r="I817" s="2" t="str">
        <f>'PFAS Properties'!$C$46</f>
        <v>PFSA</v>
      </c>
      <c r="J817" s="2" t="str">
        <f>'PFAS Properties'!$D$46</f>
        <v>C8HF17O3S</v>
      </c>
      <c r="K817" s="25">
        <f>'PFAS Properties'!$P$46</f>
        <v>499.93739999999997</v>
      </c>
      <c r="L817" s="2">
        <f>'PFAS Properties'!$X$46</f>
        <v>0.1</v>
      </c>
      <c r="M817" s="2" t="str">
        <f>'PFAS Properties'!$Y$46</f>
        <v>-</v>
      </c>
      <c r="N817" s="33">
        <v>0</v>
      </c>
      <c r="O817" s="33">
        <v>0</v>
      </c>
      <c r="P817" s="33">
        <v>0</v>
      </c>
      <c r="Q817" s="33">
        <f t="shared" si="410"/>
        <v>0.99999457760715693</v>
      </c>
      <c r="R817" s="33">
        <v>0</v>
      </c>
      <c r="S817" s="33">
        <f t="shared" si="411"/>
        <v>5.4223928431076608E-6</v>
      </c>
      <c r="T817" s="8">
        <f t="shared" si="429"/>
        <v>1</v>
      </c>
      <c r="U817" s="33">
        <f t="shared" si="430"/>
        <v>0</v>
      </c>
      <c r="V817" s="33">
        <f t="shared" si="431"/>
        <v>-0.99999457760715693</v>
      </c>
      <c r="W817" s="33">
        <f t="shared" si="432"/>
        <v>498.93740542239283</v>
      </c>
      <c r="X817" s="33">
        <v>96485</v>
      </c>
      <c r="Y817" s="16">
        <f t="shared" si="433"/>
        <v>-193.37992255510338</v>
      </c>
      <c r="Z817" s="16">
        <v>8</v>
      </c>
      <c r="AA817" s="16">
        <v>17</v>
      </c>
      <c r="AB817" s="8">
        <f t="shared" si="434"/>
        <v>0.29721362229102166</v>
      </c>
      <c r="AC817" s="16">
        <f t="shared" si="406"/>
        <v>64.60808893273439</v>
      </c>
      <c r="AD817" s="20">
        <f>'PFAS Properties'!$W$46</f>
        <v>8</v>
      </c>
      <c r="AE817" s="8">
        <f>'PFAS Properties'!$S$46</f>
        <v>2.0166155475571776</v>
      </c>
      <c r="AF817" s="15">
        <f>'PFAS Properties'!$V$46</f>
        <v>5</v>
      </c>
      <c r="AG817" s="124">
        <v>5.3658066668000002</v>
      </c>
      <c r="AH817" s="70" t="s">
        <v>752</v>
      </c>
      <c r="AI817" s="2" t="s">
        <v>661</v>
      </c>
      <c r="AJ817" s="15" t="s">
        <v>661</v>
      </c>
      <c r="AK817" s="8" t="s">
        <v>661</v>
      </c>
      <c r="AL817" s="2" t="s">
        <v>661</v>
      </c>
      <c r="AM817" s="15" t="s">
        <v>661</v>
      </c>
      <c r="AN817" s="8" t="s">
        <v>661</v>
      </c>
      <c r="AO817" s="15" t="s">
        <v>661</v>
      </c>
      <c r="AP817" s="15">
        <v>5.12</v>
      </c>
      <c r="AQ817" s="13" t="s">
        <v>661</v>
      </c>
      <c r="AR817" s="16">
        <v>60.5</v>
      </c>
      <c r="AS817" s="16">
        <f>0.93+3.58+34.1</f>
        <v>38.61</v>
      </c>
      <c r="AT817" s="16">
        <v>0.94</v>
      </c>
      <c r="AU817" s="13" t="s">
        <v>661</v>
      </c>
      <c r="AV817" s="16">
        <f t="shared" si="427"/>
        <v>100.05</v>
      </c>
      <c r="AW817" s="20">
        <v>0.67</v>
      </c>
      <c r="AX817" s="8">
        <f t="shared" ref="AX817:AX848" si="437">AW817/100</f>
        <v>6.7000000000000002E-3</v>
      </c>
      <c r="AY817" s="8" t="s">
        <v>142</v>
      </c>
      <c r="AZ817" s="16">
        <f t="shared" si="436"/>
        <v>125</v>
      </c>
      <c r="BA817" s="16" t="s">
        <v>55</v>
      </c>
      <c r="BB817" s="15">
        <v>0.5</v>
      </c>
      <c r="BC817" s="16">
        <v>100</v>
      </c>
      <c r="BD817" s="24">
        <v>10</v>
      </c>
      <c r="BE817" s="16">
        <f t="shared" si="405"/>
        <v>1492.5373134328358</v>
      </c>
      <c r="BF817" s="16">
        <f t="shared" si="435"/>
        <v>3.1739251972991736</v>
      </c>
      <c r="BG817" s="8">
        <f t="shared" si="414"/>
        <v>1</v>
      </c>
      <c r="BH817" s="13" t="s">
        <v>837</v>
      </c>
      <c r="BI817" s="13"/>
      <c r="BJ817" s="13"/>
      <c r="BK817" s="13"/>
      <c r="BL817" s="13"/>
      <c r="BM817" s="17"/>
      <c r="BN817" s="17"/>
      <c r="BO817" s="2"/>
    </row>
    <row r="818" spans="1:67" s="14" customFormat="1" x14ac:dyDescent="0.3">
      <c r="A818" s="20">
        <v>816</v>
      </c>
      <c r="B818" s="2" t="s">
        <v>258</v>
      </c>
      <c r="C818" s="2">
        <v>2010</v>
      </c>
      <c r="D818" s="2" t="s">
        <v>205</v>
      </c>
      <c r="E818" s="10" t="s">
        <v>259</v>
      </c>
      <c r="F818" s="20" t="s">
        <v>63</v>
      </c>
      <c r="G818" s="2" t="s">
        <v>148</v>
      </c>
      <c r="H818" s="2" t="str">
        <f>'PFAS Properties'!$B$46</f>
        <v>PFOS</v>
      </c>
      <c r="I818" s="2" t="str">
        <f>'PFAS Properties'!$C$46</f>
        <v>PFSA</v>
      </c>
      <c r="J818" s="2" t="str">
        <f>'PFAS Properties'!$D$46</f>
        <v>C8HF17O3S</v>
      </c>
      <c r="K818" s="25">
        <f>'PFAS Properties'!$P$46</f>
        <v>499.93739999999997</v>
      </c>
      <c r="L818" s="2">
        <f>'PFAS Properties'!$X$46</f>
        <v>0.1</v>
      </c>
      <c r="M818" s="2" t="str">
        <f>'PFAS Properties'!$Y$46</f>
        <v>-</v>
      </c>
      <c r="N818" s="33">
        <v>0</v>
      </c>
      <c r="O818" s="33">
        <v>0</v>
      </c>
      <c r="P818" s="33">
        <v>0</v>
      </c>
      <c r="Q818" s="33">
        <f t="shared" si="410"/>
        <v>0.99999451784952031</v>
      </c>
      <c r="R818" s="33">
        <v>0</v>
      </c>
      <c r="S818" s="33">
        <f t="shared" si="411"/>
        <v>5.4821504796677426E-6</v>
      </c>
      <c r="T818" s="8">
        <f t="shared" si="429"/>
        <v>1</v>
      </c>
      <c r="U818" s="33">
        <f t="shared" si="430"/>
        <v>0</v>
      </c>
      <c r="V818" s="33">
        <f t="shared" si="431"/>
        <v>-0.99999451784952031</v>
      </c>
      <c r="W818" s="33">
        <f t="shared" si="432"/>
        <v>498.93740548215044</v>
      </c>
      <c r="X818" s="33">
        <v>96485</v>
      </c>
      <c r="Y818" s="16">
        <f t="shared" si="433"/>
        <v>-193.3799109759525</v>
      </c>
      <c r="Z818" s="16">
        <v>8</v>
      </c>
      <c r="AA818" s="16">
        <v>17</v>
      </c>
      <c r="AB818" s="8">
        <f t="shared" si="434"/>
        <v>0.29721362229102166</v>
      </c>
      <c r="AC818" s="16">
        <f t="shared" si="406"/>
        <v>64.60808893273439</v>
      </c>
      <c r="AD818" s="20">
        <f>'PFAS Properties'!$W$46</f>
        <v>8</v>
      </c>
      <c r="AE818" s="8">
        <f>'PFAS Properties'!$S$46</f>
        <v>2.0166155475571776</v>
      </c>
      <c r="AF818" s="15">
        <f>'PFAS Properties'!$V$46</f>
        <v>5</v>
      </c>
      <c r="AG818" s="124">
        <v>5.3610466668000001</v>
      </c>
      <c r="AH818" s="70" t="s">
        <v>752</v>
      </c>
      <c r="AI818" s="2" t="s">
        <v>661</v>
      </c>
      <c r="AJ818" s="15" t="s">
        <v>661</v>
      </c>
      <c r="AK818" s="8" t="s">
        <v>661</v>
      </c>
      <c r="AL818" s="2" t="s">
        <v>661</v>
      </c>
      <c r="AM818" s="15" t="s">
        <v>661</v>
      </c>
      <c r="AN818" s="8" t="s">
        <v>661</v>
      </c>
      <c r="AO818" s="15" t="s">
        <v>661</v>
      </c>
      <c r="AP818" s="15">
        <v>6.87</v>
      </c>
      <c r="AQ818" s="13" t="s">
        <v>661</v>
      </c>
      <c r="AR818" s="16">
        <v>46.2</v>
      </c>
      <c r="AS818" s="16">
        <f>4.17+11.8+35.3</f>
        <v>51.269999999999996</v>
      </c>
      <c r="AT818" s="16">
        <v>2.61</v>
      </c>
      <c r="AU818" s="13" t="s">
        <v>661</v>
      </c>
      <c r="AV818" s="16">
        <f t="shared" si="427"/>
        <v>100.08</v>
      </c>
      <c r="AW818" s="20">
        <v>0.75</v>
      </c>
      <c r="AX818" s="8">
        <f t="shared" si="437"/>
        <v>7.4999999999999997E-3</v>
      </c>
      <c r="AY818" s="8" t="s">
        <v>142</v>
      </c>
      <c r="AZ818" s="16">
        <f t="shared" si="436"/>
        <v>125</v>
      </c>
      <c r="BA818" s="16" t="s">
        <v>55</v>
      </c>
      <c r="BB818" s="15">
        <v>0.5</v>
      </c>
      <c r="BC818" s="16">
        <v>100</v>
      </c>
      <c r="BD818" s="24">
        <v>6.93</v>
      </c>
      <c r="BE818" s="16">
        <f t="shared" si="405"/>
        <v>924</v>
      </c>
      <c r="BF818" s="16">
        <f t="shared" si="435"/>
        <v>2.9656719712201065</v>
      </c>
      <c r="BG818" s="8">
        <f t="shared" si="414"/>
        <v>0.84073323461180671</v>
      </c>
      <c r="BH818" s="13" t="s">
        <v>837</v>
      </c>
      <c r="BI818" s="13"/>
      <c r="BJ818" s="13"/>
      <c r="BK818" s="13"/>
      <c r="BL818" s="13"/>
      <c r="BM818" s="17"/>
      <c r="BN818" s="17"/>
      <c r="BO818" s="2"/>
    </row>
    <row r="819" spans="1:67" s="14" customFormat="1" x14ac:dyDescent="0.3">
      <c r="A819" s="20">
        <v>817</v>
      </c>
      <c r="B819" s="2" t="s">
        <v>258</v>
      </c>
      <c r="C819" s="2">
        <v>2010</v>
      </c>
      <c r="D819" s="2" t="s">
        <v>205</v>
      </c>
      <c r="E819" s="10" t="s">
        <v>259</v>
      </c>
      <c r="F819" s="20" t="s">
        <v>63</v>
      </c>
      <c r="G819" s="2" t="s">
        <v>149</v>
      </c>
      <c r="H819" s="2" t="str">
        <f>'PFAS Properties'!$B$46</f>
        <v>PFOS</v>
      </c>
      <c r="I819" s="2" t="str">
        <f>'PFAS Properties'!$C$46</f>
        <v>PFSA</v>
      </c>
      <c r="J819" s="2" t="str">
        <f>'PFAS Properties'!$D$46</f>
        <v>C8HF17O3S</v>
      </c>
      <c r="K819" s="25">
        <f>'PFAS Properties'!$P$46</f>
        <v>499.93739999999997</v>
      </c>
      <c r="L819" s="2">
        <f>'PFAS Properties'!$X$46</f>
        <v>0.1</v>
      </c>
      <c r="M819" s="2" t="str">
        <f>'PFAS Properties'!$Y$46</f>
        <v>-</v>
      </c>
      <c r="N819" s="33">
        <v>0</v>
      </c>
      <c r="O819" s="33">
        <v>0</v>
      </c>
      <c r="P819" s="33">
        <v>0</v>
      </c>
      <c r="Q819" s="33">
        <f t="shared" si="410"/>
        <v>0.99999489434910782</v>
      </c>
      <c r="R819" s="33">
        <v>0</v>
      </c>
      <c r="S819" s="33">
        <f t="shared" si="411"/>
        <v>5.1056508921866872E-6</v>
      </c>
      <c r="T819" s="8">
        <f t="shared" si="429"/>
        <v>1</v>
      </c>
      <c r="U819" s="33">
        <f t="shared" si="430"/>
        <v>0</v>
      </c>
      <c r="V819" s="33">
        <f t="shared" si="431"/>
        <v>-0.99999489434910782</v>
      </c>
      <c r="W819" s="33">
        <f t="shared" si="432"/>
        <v>498.93740510565084</v>
      </c>
      <c r="X819" s="33">
        <v>96485</v>
      </c>
      <c r="Y819" s="16">
        <f t="shared" si="433"/>
        <v>-193.37998392973347</v>
      </c>
      <c r="Z819" s="16">
        <v>8</v>
      </c>
      <c r="AA819" s="16">
        <v>17</v>
      </c>
      <c r="AB819" s="8">
        <f t="shared" si="434"/>
        <v>0.29721362229102166</v>
      </c>
      <c r="AC819" s="16">
        <f t="shared" si="406"/>
        <v>64.60808893273439</v>
      </c>
      <c r="AD819" s="20">
        <f>'PFAS Properties'!$W$46</f>
        <v>8</v>
      </c>
      <c r="AE819" s="8">
        <f>'PFAS Properties'!$S$46</f>
        <v>2.0166155475571776</v>
      </c>
      <c r="AF819" s="15">
        <f>'PFAS Properties'!$V$46</f>
        <v>5</v>
      </c>
      <c r="AG819" s="124">
        <v>5.3919466668000009</v>
      </c>
      <c r="AH819" s="70" t="s">
        <v>752</v>
      </c>
      <c r="AI819" s="2" t="s">
        <v>661</v>
      </c>
      <c r="AJ819" s="15" t="s">
        <v>661</v>
      </c>
      <c r="AK819" s="8" t="s">
        <v>661</v>
      </c>
      <c r="AL819" s="2" t="s">
        <v>661</v>
      </c>
      <c r="AM819" s="15" t="s">
        <v>661</v>
      </c>
      <c r="AN819" s="8" t="s">
        <v>661</v>
      </c>
      <c r="AO819" s="15" t="s">
        <v>661</v>
      </c>
      <c r="AP819" s="15">
        <v>6.35</v>
      </c>
      <c r="AQ819" s="13" t="s">
        <v>661</v>
      </c>
      <c r="AR819" s="16">
        <v>37.299999999999997</v>
      </c>
      <c r="AS819" s="16">
        <f>2.84+10.6+47.2</f>
        <v>60.64</v>
      </c>
      <c r="AT819" s="16">
        <v>2.15</v>
      </c>
      <c r="AU819" s="13" t="s">
        <v>661</v>
      </c>
      <c r="AV819" s="16">
        <f t="shared" si="427"/>
        <v>100.09</v>
      </c>
      <c r="AW819" s="20">
        <v>0.85</v>
      </c>
      <c r="AX819" s="8">
        <f t="shared" si="437"/>
        <v>8.5000000000000006E-3</v>
      </c>
      <c r="AY819" s="8" t="s">
        <v>142</v>
      </c>
      <c r="AZ819" s="16">
        <f t="shared" si="436"/>
        <v>125</v>
      </c>
      <c r="BA819" s="16" t="s">
        <v>55</v>
      </c>
      <c r="BB819" s="15">
        <v>0.5</v>
      </c>
      <c r="BC819" s="16">
        <v>100</v>
      </c>
      <c r="BD819" s="24">
        <v>10.5</v>
      </c>
      <c r="BE819" s="16">
        <f t="shared" si="405"/>
        <v>1235.2941176470588</v>
      </c>
      <c r="BF819" s="16">
        <f t="shared" si="435"/>
        <v>3.0917703733556454</v>
      </c>
      <c r="BG819" s="8">
        <f t="shared" si="414"/>
        <v>1.0211892990699381</v>
      </c>
      <c r="BH819" s="13" t="s">
        <v>837</v>
      </c>
      <c r="BI819" s="13"/>
      <c r="BJ819" s="13"/>
      <c r="BK819" s="13"/>
      <c r="BL819" s="13"/>
      <c r="BM819" s="17"/>
      <c r="BN819" s="17"/>
      <c r="BO819" s="2"/>
    </row>
    <row r="820" spans="1:67" s="14" customFormat="1" x14ac:dyDescent="0.3">
      <c r="A820" s="20">
        <v>818</v>
      </c>
      <c r="B820" s="2" t="s">
        <v>258</v>
      </c>
      <c r="C820" s="2">
        <v>2010</v>
      </c>
      <c r="D820" s="2" t="s">
        <v>205</v>
      </c>
      <c r="E820" s="10" t="s">
        <v>259</v>
      </c>
      <c r="F820" s="20" t="s">
        <v>63</v>
      </c>
      <c r="G820" s="2" t="s">
        <v>146</v>
      </c>
      <c r="H820" s="2" t="str">
        <f>'PFAS Properties'!$B$46</f>
        <v>PFOS</v>
      </c>
      <c r="I820" s="2" t="str">
        <f>'PFAS Properties'!$C$46</f>
        <v>PFSA</v>
      </c>
      <c r="J820" s="2" t="str">
        <f>'PFAS Properties'!$D$46</f>
        <v>C8HF17O3S</v>
      </c>
      <c r="K820" s="25">
        <f>'PFAS Properties'!$P$46</f>
        <v>499.93739999999997</v>
      </c>
      <c r="L820" s="2">
        <f>'PFAS Properties'!$X$46</f>
        <v>0.1</v>
      </c>
      <c r="M820" s="2" t="str">
        <f>'PFAS Properties'!$Y$46</f>
        <v>-</v>
      </c>
      <c r="N820" s="33">
        <v>0</v>
      </c>
      <c r="O820" s="33">
        <v>0</v>
      </c>
      <c r="P820" s="33">
        <v>0</v>
      </c>
      <c r="Q820" s="33">
        <f t="shared" si="410"/>
        <v>0.99999437851712725</v>
      </c>
      <c r="R820" s="33">
        <v>0</v>
      </c>
      <c r="S820" s="33">
        <f t="shared" si="411"/>
        <v>5.6214828727314409E-6</v>
      </c>
      <c r="T820" s="8">
        <f t="shared" si="429"/>
        <v>1</v>
      </c>
      <c r="U820" s="33">
        <f t="shared" si="430"/>
        <v>0</v>
      </c>
      <c r="V820" s="33">
        <f t="shared" si="431"/>
        <v>-0.99999437851712725</v>
      </c>
      <c r="W820" s="33">
        <f t="shared" si="432"/>
        <v>498.93740562148281</v>
      </c>
      <c r="X820" s="33">
        <v>96485</v>
      </c>
      <c r="Y820" s="16">
        <f t="shared" si="433"/>
        <v>-193.3798839777161</v>
      </c>
      <c r="Z820" s="16">
        <v>8</v>
      </c>
      <c r="AA820" s="16">
        <v>17</v>
      </c>
      <c r="AB820" s="8">
        <f t="shared" si="434"/>
        <v>0.29721362229102166</v>
      </c>
      <c r="AC820" s="16">
        <f t="shared" si="406"/>
        <v>64.60808893273439</v>
      </c>
      <c r="AD820" s="20">
        <f>'PFAS Properties'!$W$46</f>
        <v>8</v>
      </c>
      <c r="AE820" s="8">
        <f>'PFAS Properties'!$S$46</f>
        <v>2.0166155475571776</v>
      </c>
      <c r="AF820" s="15">
        <f>'PFAS Properties'!$V$46</f>
        <v>5</v>
      </c>
      <c r="AG820" s="124">
        <v>5.3501466668000006</v>
      </c>
      <c r="AH820" s="70" t="s">
        <v>752</v>
      </c>
      <c r="AI820" s="2" t="s">
        <v>661</v>
      </c>
      <c r="AJ820" s="15" t="s">
        <v>661</v>
      </c>
      <c r="AK820" s="8" t="s">
        <v>661</v>
      </c>
      <c r="AL820" s="2" t="s">
        <v>661</v>
      </c>
      <c r="AM820" s="15" t="s">
        <v>661</v>
      </c>
      <c r="AN820" s="8" t="s">
        <v>661</v>
      </c>
      <c r="AO820" s="15" t="s">
        <v>661</v>
      </c>
      <c r="AP820" s="15">
        <v>6.96</v>
      </c>
      <c r="AQ820" s="13" t="s">
        <v>661</v>
      </c>
      <c r="AR820" s="16">
        <v>41.5</v>
      </c>
      <c r="AS820" s="16">
        <f>2.74+10.6+43.2</f>
        <v>56.540000000000006</v>
      </c>
      <c r="AT820" s="16">
        <v>2</v>
      </c>
      <c r="AU820" s="13" t="s">
        <v>661</v>
      </c>
      <c r="AV820" s="16">
        <f t="shared" si="427"/>
        <v>100.04</v>
      </c>
      <c r="AW820" s="20">
        <v>0.63</v>
      </c>
      <c r="AX820" s="8">
        <f t="shared" si="437"/>
        <v>6.3E-3</v>
      </c>
      <c r="AY820" s="8" t="s">
        <v>142</v>
      </c>
      <c r="AZ820" s="16">
        <f t="shared" si="436"/>
        <v>125</v>
      </c>
      <c r="BA820" s="16" t="s">
        <v>55</v>
      </c>
      <c r="BB820" s="15">
        <v>0.5</v>
      </c>
      <c r="BC820" s="16">
        <v>100</v>
      </c>
      <c r="BD820" s="24">
        <v>8.23</v>
      </c>
      <c r="BE820" s="16">
        <f t="shared" si="405"/>
        <v>1306.3492063492065</v>
      </c>
      <c r="BF820" s="16">
        <f t="shared" si="435"/>
        <v>3.1160592857586882</v>
      </c>
      <c r="BG820" s="8">
        <f t="shared" si="414"/>
        <v>0.91539983521226986</v>
      </c>
      <c r="BH820" s="13" t="s">
        <v>837</v>
      </c>
      <c r="BI820" s="13"/>
      <c r="BJ820" s="13"/>
      <c r="BK820" s="13"/>
      <c r="BL820" s="13"/>
      <c r="BM820" s="17"/>
      <c r="BN820" s="17"/>
      <c r="BO820" s="2"/>
    </row>
    <row r="821" spans="1:67" s="14" customFormat="1" x14ac:dyDescent="0.3">
      <c r="A821" s="20">
        <v>819</v>
      </c>
      <c r="B821" s="2" t="s">
        <v>258</v>
      </c>
      <c r="C821" s="2">
        <v>2010</v>
      </c>
      <c r="D821" s="2" t="s">
        <v>205</v>
      </c>
      <c r="E821" s="10" t="s">
        <v>259</v>
      </c>
      <c r="F821" s="20" t="s">
        <v>63</v>
      </c>
      <c r="G821" s="2" t="s">
        <v>154</v>
      </c>
      <c r="H821" s="2" t="str">
        <f>'PFAS Properties'!$B$46</f>
        <v>PFOS</v>
      </c>
      <c r="I821" s="2" t="str">
        <f>'PFAS Properties'!$C$46</f>
        <v>PFSA</v>
      </c>
      <c r="J821" s="2" t="str">
        <f>'PFAS Properties'!$D$46</f>
        <v>C8HF17O3S</v>
      </c>
      <c r="K821" s="25">
        <f>'PFAS Properties'!$P$46</f>
        <v>499.93739999999997</v>
      </c>
      <c r="L821" s="2">
        <f>'PFAS Properties'!$X$46</f>
        <v>0.1</v>
      </c>
      <c r="M821" s="2" t="str">
        <f>'PFAS Properties'!$Y$46</f>
        <v>-</v>
      </c>
      <c r="N821" s="33">
        <v>0</v>
      </c>
      <c r="O821" s="33">
        <v>0</v>
      </c>
      <c r="P821" s="33">
        <v>0</v>
      </c>
      <c r="Q821" s="33">
        <f t="shared" si="410"/>
        <v>0.9999953532285204</v>
      </c>
      <c r="R821" s="33">
        <v>0</v>
      </c>
      <c r="S821" s="33">
        <f t="shared" si="411"/>
        <v>4.6467714795539728E-6</v>
      </c>
      <c r="T821" s="8">
        <f t="shared" si="429"/>
        <v>1</v>
      </c>
      <c r="U821" s="33">
        <f t="shared" si="430"/>
        <v>0</v>
      </c>
      <c r="V821" s="33">
        <f t="shared" si="431"/>
        <v>-0.9999953532285204</v>
      </c>
      <c r="W821" s="33">
        <f t="shared" si="432"/>
        <v>498.93740464677143</v>
      </c>
      <c r="X821" s="33">
        <v>96485</v>
      </c>
      <c r="Y821" s="16">
        <f t="shared" si="433"/>
        <v>-193.3800728461342</v>
      </c>
      <c r="Z821" s="16">
        <v>8</v>
      </c>
      <c r="AA821" s="16">
        <v>17</v>
      </c>
      <c r="AB821" s="8">
        <f t="shared" si="434"/>
        <v>0.29721362229102166</v>
      </c>
      <c r="AC821" s="16">
        <f t="shared" si="406"/>
        <v>64.60808893273439</v>
      </c>
      <c r="AD821" s="20">
        <f>'PFAS Properties'!$W$46</f>
        <v>8</v>
      </c>
      <c r="AE821" s="8">
        <f>'PFAS Properties'!$S$46</f>
        <v>2.0166155475571776</v>
      </c>
      <c r="AF821" s="15">
        <f>'PFAS Properties'!$V$46</f>
        <v>5</v>
      </c>
      <c r="AG821" s="124">
        <v>5.4328466667999997</v>
      </c>
      <c r="AH821" s="70" t="s">
        <v>752</v>
      </c>
      <c r="AI821" s="2" t="s">
        <v>661</v>
      </c>
      <c r="AJ821" s="15" t="s">
        <v>661</v>
      </c>
      <c r="AK821" s="8" t="s">
        <v>661</v>
      </c>
      <c r="AL821" s="2" t="s">
        <v>661</v>
      </c>
      <c r="AM821" s="15" t="s">
        <v>661</v>
      </c>
      <c r="AN821" s="8" t="s">
        <v>661</v>
      </c>
      <c r="AO821" s="15" t="s">
        <v>661</v>
      </c>
      <c r="AP821" s="15">
        <v>9.52</v>
      </c>
      <c r="AQ821" s="13" t="s">
        <v>661</v>
      </c>
      <c r="AR821" s="16">
        <v>30.1</v>
      </c>
      <c r="AS821" s="16">
        <f>8.43+25.3+31.8</f>
        <v>65.53</v>
      </c>
      <c r="AT821" s="16">
        <v>4.37</v>
      </c>
      <c r="AU821" s="13" t="s">
        <v>661</v>
      </c>
      <c r="AV821" s="16">
        <f t="shared" si="427"/>
        <v>100</v>
      </c>
      <c r="AW821" s="20">
        <v>1.27</v>
      </c>
      <c r="AX821" s="8">
        <f t="shared" si="437"/>
        <v>1.2699999999999999E-2</v>
      </c>
      <c r="AY821" s="8" t="s">
        <v>142</v>
      </c>
      <c r="AZ821" s="16">
        <f t="shared" si="436"/>
        <v>125</v>
      </c>
      <c r="BA821" s="16" t="s">
        <v>55</v>
      </c>
      <c r="BB821" s="15">
        <v>0.5</v>
      </c>
      <c r="BC821" s="16">
        <v>100</v>
      </c>
      <c r="BD821" s="24">
        <v>15.4</v>
      </c>
      <c r="BE821" s="16">
        <f t="shared" si="405"/>
        <v>1212.5984251968505</v>
      </c>
      <c r="BF821" s="16">
        <f t="shared" si="435"/>
        <v>3.0837169998805063</v>
      </c>
      <c r="BG821" s="8">
        <f t="shared" ref="BG821:BG852" si="438">LOG(BD821)</f>
        <v>1.1875207208364631</v>
      </c>
      <c r="BH821" s="13" t="s">
        <v>837</v>
      </c>
      <c r="BI821" s="13"/>
      <c r="BJ821" s="13"/>
      <c r="BK821" s="13"/>
      <c r="BL821" s="13"/>
      <c r="BM821" s="17"/>
      <c r="BN821" s="17"/>
      <c r="BO821" s="2"/>
    </row>
    <row r="822" spans="1:67" s="14" customFormat="1" x14ac:dyDescent="0.3">
      <c r="A822" s="20">
        <v>820</v>
      </c>
      <c r="B822" s="2" t="s">
        <v>258</v>
      </c>
      <c r="C822" s="2">
        <v>2010</v>
      </c>
      <c r="D822" s="2" t="s">
        <v>205</v>
      </c>
      <c r="E822" s="10" t="s">
        <v>259</v>
      </c>
      <c r="F822" s="20" t="s">
        <v>63</v>
      </c>
      <c r="G822" s="2" t="s">
        <v>155</v>
      </c>
      <c r="H822" s="2" t="str">
        <f>'PFAS Properties'!$B$46</f>
        <v>PFOS</v>
      </c>
      <c r="I822" s="2" t="str">
        <f>'PFAS Properties'!$C$46</f>
        <v>PFSA</v>
      </c>
      <c r="J822" s="2" t="str">
        <f>'PFAS Properties'!$D$46</f>
        <v>C8HF17O3S</v>
      </c>
      <c r="K822" s="25">
        <f>'PFAS Properties'!$P$46</f>
        <v>499.93739999999997</v>
      </c>
      <c r="L822" s="2">
        <f>'PFAS Properties'!$X$46</f>
        <v>0.1</v>
      </c>
      <c r="M822" s="2" t="str">
        <f>'PFAS Properties'!$Y$46</f>
        <v>-</v>
      </c>
      <c r="N822" s="33">
        <v>0</v>
      </c>
      <c r="O822" s="33">
        <v>0</v>
      </c>
      <c r="P822" s="33">
        <v>0</v>
      </c>
      <c r="Q822" s="33">
        <f t="shared" si="410"/>
        <v>0.99999602724660142</v>
      </c>
      <c r="R822" s="33">
        <v>0</v>
      </c>
      <c r="S822" s="33">
        <f t="shared" si="411"/>
        <v>3.9727533985561331E-6</v>
      </c>
      <c r="T822" s="8">
        <f t="shared" si="429"/>
        <v>1</v>
      </c>
      <c r="U822" s="33">
        <f t="shared" si="430"/>
        <v>0</v>
      </c>
      <c r="V822" s="33">
        <f t="shared" si="431"/>
        <v>-0.99999602724660142</v>
      </c>
      <c r="W822" s="33">
        <f t="shared" si="432"/>
        <v>498.93740397275332</v>
      </c>
      <c r="X822" s="33">
        <v>96485</v>
      </c>
      <c r="Y822" s="16">
        <f t="shared" si="433"/>
        <v>-193.38020344964417</v>
      </c>
      <c r="Z822" s="16">
        <v>8</v>
      </c>
      <c r="AA822" s="16">
        <v>17</v>
      </c>
      <c r="AB822" s="8">
        <f t="shared" si="434"/>
        <v>0.29721362229102166</v>
      </c>
      <c r="AC822" s="16">
        <f t="shared" si="406"/>
        <v>64.60808893273439</v>
      </c>
      <c r="AD822" s="20">
        <f>'PFAS Properties'!$W$46</f>
        <v>8</v>
      </c>
      <c r="AE822" s="8">
        <f>'PFAS Properties'!$S$46</f>
        <v>2.0166155475571776</v>
      </c>
      <c r="AF822" s="15">
        <f>'PFAS Properties'!$V$46</f>
        <v>5</v>
      </c>
      <c r="AG822" s="124">
        <v>5.5009066667999997</v>
      </c>
      <c r="AH822" s="70" t="s">
        <v>752</v>
      </c>
      <c r="AI822" s="2" t="s">
        <v>661</v>
      </c>
      <c r="AJ822" s="15" t="s">
        <v>661</v>
      </c>
      <c r="AK822" s="8" t="s">
        <v>661</v>
      </c>
      <c r="AL822" s="2" t="s">
        <v>661</v>
      </c>
      <c r="AM822" s="15" t="s">
        <v>661</v>
      </c>
      <c r="AN822" s="8" t="s">
        <v>661</v>
      </c>
      <c r="AO822" s="15" t="s">
        <v>661</v>
      </c>
      <c r="AP822" s="15">
        <v>9.82</v>
      </c>
      <c r="AQ822" s="13" t="s">
        <v>661</v>
      </c>
      <c r="AR822" s="16">
        <v>24.1</v>
      </c>
      <c r="AS822" s="16">
        <f>9.3+27.3+34.1</f>
        <v>70.7</v>
      </c>
      <c r="AT822" s="16">
        <v>4.82</v>
      </c>
      <c r="AU822" s="13" t="s">
        <v>661</v>
      </c>
      <c r="AV822" s="16">
        <f t="shared" si="427"/>
        <v>99.62</v>
      </c>
      <c r="AW822" s="20">
        <v>1.31</v>
      </c>
      <c r="AX822" s="8">
        <f t="shared" si="437"/>
        <v>1.3100000000000001E-2</v>
      </c>
      <c r="AY822" s="8" t="s">
        <v>142</v>
      </c>
      <c r="AZ822" s="16">
        <f t="shared" si="436"/>
        <v>125</v>
      </c>
      <c r="BA822" s="16" t="s">
        <v>55</v>
      </c>
      <c r="BB822" s="15">
        <v>0.5</v>
      </c>
      <c r="BC822" s="16">
        <v>100</v>
      </c>
      <c r="BD822" s="24">
        <v>19.8</v>
      </c>
      <c r="BE822" s="16">
        <f t="shared" si="405"/>
        <v>1511.4503816793892</v>
      </c>
      <c r="BF822" s="16">
        <f t="shared" si="435"/>
        <v>3.1793938946057669</v>
      </c>
      <c r="BG822" s="8">
        <f t="shared" si="438"/>
        <v>1.2966651902615312</v>
      </c>
      <c r="BH822" s="13" t="s">
        <v>837</v>
      </c>
      <c r="BI822" s="13"/>
      <c r="BJ822" s="13"/>
      <c r="BK822" s="13"/>
      <c r="BL822" s="13"/>
      <c r="BM822" s="17"/>
      <c r="BN822" s="17"/>
      <c r="BO822" s="2"/>
    </row>
    <row r="823" spans="1:67" s="14" customFormat="1" x14ac:dyDescent="0.3">
      <c r="A823" s="20">
        <v>821</v>
      </c>
      <c r="B823" s="2" t="s">
        <v>258</v>
      </c>
      <c r="C823" s="2">
        <v>2010</v>
      </c>
      <c r="D823" s="2" t="s">
        <v>205</v>
      </c>
      <c r="E823" s="10" t="s">
        <v>259</v>
      </c>
      <c r="F823" s="20" t="s">
        <v>63</v>
      </c>
      <c r="G823" s="2" t="s">
        <v>153</v>
      </c>
      <c r="H823" s="2" t="str">
        <f>'PFAS Properties'!$B$46</f>
        <v>PFOS</v>
      </c>
      <c r="I823" s="2" t="str">
        <f>'PFAS Properties'!$C$46</f>
        <v>PFSA</v>
      </c>
      <c r="J823" s="2" t="str">
        <f>'PFAS Properties'!$D$46</f>
        <v>C8HF17O3S</v>
      </c>
      <c r="K823" s="25">
        <f>'PFAS Properties'!$P$46</f>
        <v>499.93739999999997</v>
      </c>
      <c r="L823" s="2">
        <f>'PFAS Properties'!$X$46</f>
        <v>0.1</v>
      </c>
      <c r="M823" s="2" t="str">
        <f>'PFAS Properties'!$Y$46</f>
        <v>-</v>
      </c>
      <c r="N823" s="33">
        <v>0</v>
      </c>
      <c r="O823" s="33">
        <v>0</v>
      </c>
      <c r="P823" s="33">
        <v>0</v>
      </c>
      <c r="Q823" s="33">
        <f t="shared" si="410"/>
        <v>0.99999482904108139</v>
      </c>
      <c r="R823" s="33">
        <v>0</v>
      </c>
      <c r="S823" s="33">
        <f t="shared" si="411"/>
        <v>5.1709589186263423E-6</v>
      </c>
      <c r="T823" s="8">
        <f t="shared" si="429"/>
        <v>1</v>
      </c>
      <c r="U823" s="33">
        <f t="shared" si="430"/>
        <v>0</v>
      </c>
      <c r="V823" s="33">
        <f t="shared" si="431"/>
        <v>-0.99999482904108139</v>
      </c>
      <c r="W823" s="33">
        <f t="shared" si="432"/>
        <v>498.93740517095893</v>
      </c>
      <c r="X823" s="33">
        <v>96485</v>
      </c>
      <c r="Y823" s="16">
        <f t="shared" si="433"/>
        <v>-193.37997127509152</v>
      </c>
      <c r="Z823" s="16">
        <v>8</v>
      </c>
      <c r="AA823" s="16">
        <v>17</v>
      </c>
      <c r="AB823" s="8">
        <f t="shared" si="434"/>
        <v>0.29721362229102166</v>
      </c>
      <c r="AC823" s="16">
        <f t="shared" si="406"/>
        <v>64.60808893273439</v>
      </c>
      <c r="AD823" s="20">
        <f>'PFAS Properties'!$W$46</f>
        <v>8</v>
      </c>
      <c r="AE823" s="8">
        <f>'PFAS Properties'!$S$46</f>
        <v>2.0166155475571776</v>
      </c>
      <c r="AF823" s="15">
        <f>'PFAS Properties'!$V$46</f>
        <v>5</v>
      </c>
      <c r="AG823" s="124">
        <v>5.3864266668000003</v>
      </c>
      <c r="AH823" s="70" t="s">
        <v>752</v>
      </c>
      <c r="AI823" s="2" t="s">
        <v>661</v>
      </c>
      <c r="AJ823" s="15" t="s">
        <v>661</v>
      </c>
      <c r="AK823" s="8" t="s">
        <v>661</v>
      </c>
      <c r="AL823" s="2" t="s">
        <v>661</v>
      </c>
      <c r="AM823" s="15" t="s">
        <v>661</v>
      </c>
      <c r="AN823" s="8" t="s">
        <v>661</v>
      </c>
      <c r="AO823" s="15" t="s">
        <v>661</v>
      </c>
      <c r="AP823" s="15">
        <v>9.69</v>
      </c>
      <c r="AQ823" s="13" t="s">
        <v>661</v>
      </c>
      <c r="AR823" s="16">
        <v>37</v>
      </c>
      <c r="AS823" s="16">
        <f>8.29+23.8+26.9</f>
        <v>58.99</v>
      </c>
      <c r="AT823" s="16">
        <v>4.09</v>
      </c>
      <c r="AU823" s="13" t="s">
        <v>661</v>
      </c>
      <c r="AV823" s="16">
        <f t="shared" si="427"/>
        <v>100.08000000000001</v>
      </c>
      <c r="AW823" s="20">
        <v>1.25</v>
      </c>
      <c r="AX823" s="8">
        <f t="shared" si="437"/>
        <v>1.2500000000000001E-2</v>
      </c>
      <c r="AY823" s="8" t="s">
        <v>142</v>
      </c>
      <c r="AZ823" s="16">
        <f t="shared" si="436"/>
        <v>125</v>
      </c>
      <c r="BA823" s="16" t="s">
        <v>55</v>
      </c>
      <c r="BB823" s="15">
        <v>0.5</v>
      </c>
      <c r="BC823" s="16">
        <v>100</v>
      </c>
      <c r="BD823" s="24">
        <v>15.9</v>
      </c>
      <c r="BE823" s="16">
        <f t="shared" si="405"/>
        <v>1272</v>
      </c>
      <c r="BF823" s="16">
        <f t="shared" si="435"/>
        <v>3.1044871113123951</v>
      </c>
      <c r="BG823" s="8">
        <f t="shared" si="438"/>
        <v>1.2013971243204515</v>
      </c>
      <c r="BH823" s="13" t="s">
        <v>837</v>
      </c>
      <c r="BI823" s="13"/>
      <c r="BJ823" s="13"/>
      <c r="BK823" s="13"/>
      <c r="BL823" s="13"/>
      <c r="BM823" s="17"/>
      <c r="BN823" s="17"/>
      <c r="BO823" s="2"/>
    </row>
    <row r="824" spans="1:67" s="14" customFormat="1" x14ac:dyDescent="0.3">
      <c r="A824" s="20">
        <v>822</v>
      </c>
      <c r="B824" s="2" t="s">
        <v>258</v>
      </c>
      <c r="C824" s="2">
        <v>2010</v>
      </c>
      <c r="D824" s="2" t="s">
        <v>205</v>
      </c>
      <c r="E824" s="10" t="s">
        <v>259</v>
      </c>
      <c r="F824" s="20" t="s">
        <v>63</v>
      </c>
      <c r="G824" s="2" t="s">
        <v>152</v>
      </c>
      <c r="H824" s="2" t="str">
        <f>'PFAS Properties'!$B$46</f>
        <v>PFOS</v>
      </c>
      <c r="I824" s="2" t="str">
        <f>'PFAS Properties'!$C$46</f>
        <v>PFSA</v>
      </c>
      <c r="J824" s="2" t="str">
        <f>'PFAS Properties'!$D$46</f>
        <v>C8HF17O3S</v>
      </c>
      <c r="K824" s="25">
        <f>'PFAS Properties'!$P$46</f>
        <v>499.93739999999997</v>
      </c>
      <c r="L824" s="2">
        <f>'PFAS Properties'!$X$46</f>
        <v>0.1</v>
      </c>
      <c r="M824" s="2" t="str">
        <f>'PFAS Properties'!$Y$46</f>
        <v>-</v>
      </c>
      <c r="N824" s="33">
        <v>0</v>
      </c>
      <c r="O824" s="33">
        <v>0</v>
      </c>
      <c r="P824" s="33">
        <v>0</v>
      </c>
      <c r="Q824" s="33">
        <f t="shared" si="410"/>
        <v>0.99999455684164429</v>
      </c>
      <c r="R824" s="33">
        <v>0</v>
      </c>
      <c r="S824" s="33">
        <f t="shared" si="411"/>
        <v>5.443158355671601E-6</v>
      </c>
      <c r="T824" s="8">
        <f t="shared" si="429"/>
        <v>1</v>
      </c>
      <c r="U824" s="33">
        <f t="shared" si="430"/>
        <v>0</v>
      </c>
      <c r="V824" s="33">
        <f t="shared" si="431"/>
        <v>-0.99999455684164429</v>
      </c>
      <c r="W824" s="33">
        <f t="shared" si="432"/>
        <v>498.9374054431583</v>
      </c>
      <c r="X824" s="33">
        <v>96485</v>
      </c>
      <c r="Y824" s="16">
        <f t="shared" si="433"/>
        <v>-193.37991853140002</v>
      </c>
      <c r="Z824" s="16">
        <v>8</v>
      </c>
      <c r="AA824" s="16">
        <v>17</v>
      </c>
      <c r="AB824" s="8">
        <f t="shared" si="434"/>
        <v>0.29721362229102166</v>
      </c>
      <c r="AC824" s="16">
        <f t="shared" si="406"/>
        <v>64.60808893273439</v>
      </c>
      <c r="AD824" s="20">
        <f>'PFAS Properties'!$W$46</f>
        <v>8</v>
      </c>
      <c r="AE824" s="8">
        <f>'PFAS Properties'!$S$46</f>
        <v>2.0166155475571776</v>
      </c>
      <c r="AF824" s="15">
        <f>'PFAS Properties'!$V$46</f>
        <v>5</v>
      </c>
      <c r="AG824" s="124">
        <v>5.3641466668</v>
      </c>
      <c r="AH824" s="70" t="s">
        <v>752</v>
      </c>
      <c r="AI824" s="2" t="s">
        <v>661</v>
      </c>
      <c r="AJ824" s="15" t="s">
        <v>661</v>
      </c>
      <c r="AK824" s="8" t="s">
        <v>661</v>
      </c>
      <c r="AL824" s="2" t="s">
        <v>661</v>
      </c>
      <c r="AM824" s="15" t="s">
        <v>661</v>
      </c>
      <c r="AN824" s="8" t="s">
        <v>661</v>
      </c>
      <c r="AO824" s="15" t="s">
        <v>661</v>
      </c>
      <c r="AP824" s="15">
        <v>9</v>
      </c>
      <c r="AQ824" s="13" t="s">
        <v>661</v>
      </c>
      <c r="AR824" s="16">
        <v>58.3</v>
      </c>
      <c r="AS824" s="16">
        <f>4.91+15.2+19.2</f>
        <v>39.31</v>
      </c>
      <c r="AT824" s="16">
        <v>2.38</v>
      </c>
      <c r="AU824" s="13" t="s">
        <v>661</v>
      </c>
      <c r="AV824" s="16">
        <f t="shared" si="427"/>
        <v>99.99</v>
      </c>
      <c r="AW824" s="20">
        <v>1.21</v>
      </c>
      <c r="AX824" s="8">
        <f t="shared" si="437"/>
        <v>1.21E-2</v>
      </c>
      <c r="AY824" s="8" t="s">
        <v>142</v>
      </c>
      <c r="AZ824" s="16">
        <f t="shared" si="436"/>
        <v>125</v>
      </c>
      <c r="BA824" s="16" t="s">
        <v>55</v>
      </c>
      <c r="BB824" s="15">
        <v>0.5</v>
      </c>
      <c r="BC824" s="16">
        <v>100</v>
      </c>
      <c r="BD824" s="24">
        <v>13.5</v>
      </c>
      <c r="BE824" s="16">
        <f t="shared" si="405"/>
        <v>1115.702479338843</v>
      </c>
      <c r="BF824" s="16">
        <f t="shared" si="435"/>
        <v>3.0475483981785558</v>
      </c>
      <c r="BG824" s="8">
        <f t="shared" si="438"/>
        <v>1.1303337684950061</v>
      </c>
      <c r="BH824" s="13" t="s">
        <v>837</v>
      </c>
      <c r="BI824" s="13"/>
      <c r="BJ824" s="13"/>
      <c r="BK824" s="13"/>
      <c r="BL824" s="13"/>
      <c r="BM824" s="17"/>
      <c r="BN824" s="17"/>
      <c r="BO824" s="2"/>
    </row>
    <row r="825" spans="1:67" s="14" customFormat="1" x14ac:dyDescent="0.3">
      <c r="A825" s="20">
        <v>823</v>
      </c>
      <c r="B825" s="2" t="s">
        <v>258</v>
      </c>
      <c r="C825" s="2">
        <v>2010</v>
      </c>
      <c r="D825" s="2" t="s">
        <v>205</v>
      </c>
      <c r="E825" s="10" t="s">
        <v>259</v>
      </c>
      <c r="F825" s="20" t="s">
        <v>63</v>
      </c>
      <c r="G825" s="2" t="s">
        <v>151</v>
      </c>
      <c r="H825" s="2" t="str">
        <f>'PFAS Properties'!$B$46</f>
        <v>PFOS</v>
      </c>
      <c r="I825" s="2" t="str">
        <f>'PFAS Properties'!$C$46</f>
        <v>PFSA</v>
      </c>
      <c r="J825" s="2" t="str">
        <f>'PFAS Properties'!$D$46</f>
        <v>C8HF17O3S</v>
      </c>
      <c r="K825" s="25">
        <f>'PFAS Properties'!$P$46</f>
        <v>499.93739999999997</v>
      </c>
      <c r="L825" s="2">
        <f>'PFAS Properties'!$X$46</f>
        <v>0.1</v>
      </c>
      <c r="M825" s="2" t="str">
        <f>'PFAS Properties'!$Y$46</f>
        <v>-</v>
      </c>
      <c r="N825" s="33">
        <v>0</v>
      </c>
      <c r="O825" s="33">
        <v>0</v>
      </c>
      <c r="P825" s="33">
        <v>0</v>
      </c>
      <c r="Q825" s="33">
        <f t="shared" si="410"/>
        <v>0.99999596269481228</v>
      </c>
      <c r="R825" s="33">
        <v>0</v>
      </c>
      <c r="S825" s="33">
        <f t="shared" si="411"/>
        <v>4.0373051877639565E-6</v>
      </c>
      <c r="T825" s="8">
        <f t="shared" si="429"/>
        <v>1</v>
      </c>
      <c r="U825" s="33">
        <f t="shared" si="430"/>
        <v>0</v>
      </c>
      <c r="V825" s="33">
        <f t="shared" si="431"/>
        <v>-0.99999596269481228</v>
      </c>
      <c r="W825" s="33">
        <f t="shared" si="432"/>
        <v>498.93740403730516</v>
      </c>
      <c r="X825" s="33">
        <v>96485</v>
      </c>
      <c r="Y825" s="16">
        <f t="shared" si="433"/>
        <v>-193.38019094153719</v>
      </c>
      <c r="Z825" s="16">
        <v>8</v>
      </c>
      <c r="AA825" s="16">
        <v>17</v>
      </c>
      <c r="AB825" s="8">
        <f t="shared" si="434"/>
        <v>0.29721362229102166</v>
      </c>
      <c r="AC825" s="16">
        <f t="shared" si="406"/>
        <v>64.60808893273439</v>
      </c>
      <c r="AD825" s="20">
        <f>'PFAS Properties'!$W$46</f>
        <v>8</v>
      </c>
      <c r="AE825" s="8">
        <f>'PFAS Properties'!$S$46</f>
        <v>2.0166155475571776</v>
      </c>
      <c r="AF825" s="15">
        <f>'PFAS Properties'!$V$46</f>
        <v>5</v>
      </c>
      <c r="AG825" s="124">
        <v>5.4939066667999992</v>
      </c>
      <c r="AH825" s="70" t="s">
        <v>752</v>
      </c>
      <c r="AI825" s="2" t="s">
        <v>661</v>
      </c>
      <c r="AJ825" s="15" t="s">
        <v>661</v>
      </c>
      <c r="AK825" s="8" t="s">
        <v>661</v>
      </c>
      <c r="AL825" s="2" t="s">
        <v>661</v>
      </c>
      <c r="AM825" s="15" t="s">
        <v>661</v>
      </c>
      <c r="AN825" s="8" t="s">
        <v>661</v>
      </c>
      <c r="AO825" s="15" t="s">
        <v>661</v>
      </c>
      <c r="AP825" s="15">
        <v>8.9</v>
      </c>
      <c r="AQ825" s="13" t="s">
        <v>661</v>
      </c>
      <c r="AR825" s="16">
        <v>24.1</v>
      </c>
      <c r="AS825" s="16">
        <f>9.41+26.7+34.9</f>
        <v>71.009999999999991</v>
      </c>
      <c r="AT825" s="16">
        <v>4.91</v>
      </c>
      <c r="AU825" s="13" t="s">
        <v>661</v>
      </c>
      <c r="AV825" s="16">
        <f t="shared" si="427"/>
        <v>100.01999999999998</v>
      </c>
      <c r="AW825" s="20">
        <v>1.1399999999999999</v>
      </c>
      <c r="AX825" s="8">
        <f t="shared" si="437"/>
        <v>1.1399999999999999E-2</v>
      </c>
      <c r="AY825" s="8" t="s">
        <v>142</v>
      </c>
      <c r="AZ825" s="16">
        <f t="shared" si="436"/>
        <v>125</v>
      </c>
      <c r="BA825" s="16" t="s">
        <v>55</v>
      </c>
      <c r="BB825" s="15">
        <v>0.5</v>
      </c>
      <c r="BC825" s="16">
        <v>100</v>
      </c>
      <c r="BD825" s="24">
        <v>14.1</v>
      </c>
      <c r="BE825" s="16">
        <f t="shared" si="405"/>
        <v>1236.8421052631579</v>
      </c>
      <c r="BF825" s="16">
        <f t="shared" si="435"/>
        <v>3.0923142613189074</v>
      </c>
      <c r="BG825" s="8">
        <f t="shared" si="438"/>
        <v>1.1492191126553799</v>
      </c>
      <c r="BH825" s="13" t="s">
        <v>837</v>
      </c>
      <c r="BI825" s="13"/>
      <c r="BJ825" s="13"/>
      <c r="BK825" s="13"/>
      <c r="BL825" s="13"/>
      <c r="BM825" s="17"/>
      <c r="BN825" s="17"/>
      <c r="BO825" s="2"/>
    </row>
    <row r="826" spans="1:67" s="14" customFormat="1" x14ac:dyDescent="0.3">
      <c r="A826" s="20">
        <v>824</v>
      </c>
      <c r="B826" s="2" t="s">
        <v>258</v>
      </c>
      <c r="C826" s="2">
        <v>2010</v>
      </c>
      <c r="D826" s="2" t="s">
        <v>205</v>
      </c>
      <c r="E826" s="10" t="s">
        <v>259</v>
      </c>
      <c r="F826" s="20" t="s">
        <v>63</v>
      </c>
      <c r="G826" s="2" t="s">
        <v>150</v>
      </c>
      <c r="H826" s="2" t="str">
        <f>'PFAS Properties'!$B$46</f>
        <v>PFOS</v>
      </c>
      <c r="I826" s="2" t="str">
        <f>'PFAS Properties'!$C$46</f>
        <v>PFSA</v>
      </c>
      <c r="J826" s="2" t="str">
        <f>'PFAS Properties'!$D$46</f>
        <v>C8HF17O3S</v>
      </c>
      <c r="K826" s="25">
        <f>'PFAS Properties'!$P$46</f>
        <v>499.93739999999997</v>
      </c>
      <c r="L826" s="2">
        <f>'PFAS Properties'!$X$46</f>
        <v>0.1</v>
      </c>
      <c r="M826" s="2" t="str">
        <f>'PFAS Properties'!$Y$46</f>
        <v>-</v>
      </c>
      <c r="N826" s="33">
        <v>0</v>
      </c>
      <c r="O826" s="33">
        <v>0</v>
      </c>
      <c r="P826" s="33">
        <v>0</v>
      </c>
      <c r="Q826" s="33">
        <f t="shared" si="410"/>
        <v>0.999996249075082</v>
      </c>
      <c r="R826" s="33">
        <v>0</v>
      </c>
      <c r="S826" s="33">
        <f t="shared" si="411"/>
        <v>3.7509249179593157E-6</v>
      </c>
      <c r="T826" s="8">
        <f t="shared" si="429"/>
        <v>1</v>
      </c>
      <c r="U826" s="33">
        <f t="shared" si="430"/>
        <v>0</v>
      </c>
      <c r="V826" s="33">
        <f t="shared" si="431"/>
        <v>-0.999996249075082</v>
      </c>
      <c r="W826" s="33">
        <f t="shared" si="432"/>
        <v>498.93740375092483</v>
      </c>
      <c r="X826" s="33">
        <v>96485</v>
      </c>
      <c r="Y826" s="16">
        <f t="shared" si="433"/>
        <v>-193.3802464330285</v>
      </c>
      <c r="Z826" s="16">
        <v>8</v>
      </c>
      <c r="AA826" s="16">
        <v>17</v>
      </c>
      <c r="AB826" s="8">
        <f t="shared" si="434"/>
        <v>0.29721362229102166</v>
      </c>
      <c r="AC826" s="16">
        <f t="shared" si="406"/>
        <v>64.60808893273439</v>
      </c>
      <c r="AD826" s="20">
        <f>'PFAS Properties'!$W$46</f>
        <v>8</v>
      </c>
      <c r="AE826" s="8">
        <f>'PFAS Properties'!$S$46</f>
        <v>2.0166155475571776</v>
      </c>
      <c r="AF826" s="15">
        <f>'PFAS Properties'!$V$46</f>
        <v>5</v>
      </c>
      <c r="AG826" s="124">
        <v>5.5258600000000007</v>
      </c>
      <c r="AH826" s="70" t="s">
        <v>752</v>
      </c>
      <c r="AI826" s="2" t="s">
        <v>661</v>
      </c>
      <c r="AJ826" s="15" t="s">
        <v>661</v>
      </c>
      <c r="AK826" s="8" t="s">
        <v>661</v>
      </c>
      <c r="AL826" s="2" t="s">
        <v>661</v>
      </c>
      <c r="AM826" s="15" t="s">
        <v>661</v>
      </c>
      <c r="AN826" s="8" t="s">
        <v>661</v>
      </c>
      <c r="AO826" s="15" t="s">
        <v>661</v>
      </c>
      <c r="AP826" s="15">
        <v>7.72</v>
      </c>
      <c r="AQ826" s="13" t="s">
        <v>661</v>
      </c>
      <c r="AR826" s="16">
        <v>11.1</v>
      </c>
      <c r="AS826" s="16">
        <f>15+34.8+31.8</f>
        <v>81.599999999999994</v>
      </c>
      <c r="AT826" s="16">
        <v>7.38</v>
      </c>
      <c r="AU826" s="13" t="s">
        <v>661</v>
      </c>
      <c r="AV826" s="16">
        <f t="shared" si="427"/>
        <v>100.07999999999998</v>
      </c>
      <c r="AW826" s="20">
        <v>0.93</v>
      </c>
      <c r="AX826" s="8">
        <f t="shared" si="437"/>
        <v>9.300000000000001E-3</v>
      </c>
      <c r="AY826" s="8" t="s">
        <v>142</v>
      </c>
      <c r="AZ826" s="16">
        <f t="shared" si="436"/>
        <v>125</v>
      </c>
      <c r="BA826" s="16" t="s">
        <v>55</v>
      </c>
      <c r="BB826" s="15">
        <v>0.5</v>
      </c>
      <c r="BC826" s="16">
        <v>100</v>
      </c>
      <c r="BD826" s="24">
        <v>10.199999999999999</v>
      </c>
      <c r="BE826" s="16">
        <f t="shared" si="405"/>
        <v>1096.7741935483868</v>
      </c>
      <c r="BF826" s="16">
        <f t="shared" si="435"/>
        <v>3.0401172232079823</v>
      </c>
      <c r="BG826" s="8">
        <f t="shared" si="438"/>
        <v>1.0086001717619175</v>
      </c>
      <c r="BH826" s="13" t="s">
        <v>837</v>
      </c>
      <c r="BI826" s="13"/>
      <c r="BJ826" s="13"/>
      <c r="BK826" s="13"/>
      <c r="BL826" s="13"/>
      <c r="BM826" s="17"/>
      <c r="BN826" s="17"/>
      <c r="BO826" s="2"/>
    </row>
    <row r="827" spans="1:67" s="14" customFormat="1" x14ac:dyDescent="0.3">
      <c r="A827" s="20">
        <v>825</v>
      </c>
      <c r="B827" s="2" t="s">
        <v>258</v>
      </c>
      <c r="C827" s="2">
        <v>2010</v>
      </c>
      <c r="D827" s="2" t="s">
        <v>205</v>
      </c>
      <c r="E827" s="10" t="s">
        <v>259</v>
      </c>
      <c r="F827" s="20" t="s">
        <v>63</v>
      </c>
      <c r="G827" s="2" t="s">
        <v>145</v>
      </c>
      <c r="H827" s="2" t="str">
        <f>'PFAS Properties'!$B$46</f>
        <v>PFOS</v>
      </c>
      <c r="I827" s="2" t="str">
        <f>'PFAS Properties'!$C$46</f>
        <v>PFSA</v>
      </c>
      <c r="J827" s="2" t="str">
        <f>'PFAS Properties'!$D$46</f>
        <v>C8HF17O3S</v>
      </c>
      <c r="K827" s="25">
        <f>'PFAS Properties'!$P$46</f>
        <v>499.93739999999997</v>
      </c>
      <c r="L827" s="2">
        <f>'PFAS Properties'!$X$46</f>
        <v>0.1</v>
      </c>
      <c r="M827" s="2" t="str">
        <f>'PFAS Properties'!$Y$46</f>
        <v>-</v>
      </c>
      <c r="N827" s="33">
        <v>0</v>
      </c>
      <c r="O827" s="33">
        <v>0</v>
      </c>
      <c r="P827" s="33">
        <v>0</v>
      </c>
      <c r="Q827" s="33">
        <f t="shared" si="410"/>
        <v>0.99999638541509817</v>
      </c>
      <c r="R827" s="33">
        <v>0</v>
      </c>
      <c r="S827" s="33">
        <f t="shared" si="411"/>
        <v>3.6145849017946273E-6</v>
      </c>
      <c r="T827" s="8">
        <f t="shared" si="429"/>
        <v>1</v>
      </c>
      <c r="U827" s="33">
        <f t="shared" si="430"/>
        <v>0</v>
      </c>
      <c r="V827" s="33">
        <f t="shared" si="431"/>
        <v>-0.99999638541509817</v>
      </c>
      <c r="W827" s="33">
        <f t="shared" si="432"/>
        <v>498.93740361458487</v>
      </c>
      <c r="X827" s="33">
        <v>96485</v>
      </c>
      <c r="Y827" s="16">
        <f t="shared" si="433"/>
        <v>-193.38027285143653</v>
      </c>
      <c r="Z827" s="16">
        <v>8</v>
      </c>
      <c r="AA827" s="16">
        <v>17</v>
      </c>
      <c r="AB827" s="8">
        <f t="shared" si="434"/>
        <v>0.29721362229102166</v>
      </c>
      <c r="AC827" s="16">
        <f t="shared" si="406"/>
        <v>64.60808893273439</v>
      </c>
      <c r="AD827" s="20">
        <f>'PFAS Properties'!$W$46</f>
        <v>8</v>
      </c>
      <c r="AE827" s="8">
        <f>'PFAS Properties'!$S$46</f>
        <v>2.0166155475571776</v>
      </c>
      <c r="AF827" s="15">
        <f>'PFAS Properties'!$V$46</f>
        <v>5</v>
      </c>
      <c r="AG827" s="124">
        <v>5.5419400000000003</v>
      </c>
      <c r="AH827" s="70" t="s">
        <v>752</v>
      </c>
      <c r="AI827" s="2" t="s">
        <v>661</v>
      </c>
      <c r="AJ827" s="15" t="s">
        <v>661</v>
      </c>
      <c r="AK827" s="8" t="s">
        <v>661</v>
      </c>
      <c r="AL827" s="2" t="s">
        <v>661</v>
      </c>
      <c r="AM827" s="15" t="s">
        <v>661</v>
      </c>
      <c r="AN827" s="8" t="s">
        <v>661</v>
      </c>
      <c r="AO827" s="15" t="s">
        <v>661</v>
      </c>
      <c r="AP827" s="15">
        <v>9.33</v>
      </c>
      <c r="AQ827" s="13" t="s">
        <v>661</v>
      </c>
      <c r="AR827" s="16">
        <v>13.6</v>
      </c>
      <c r="AS827" s="16">
        <f>12.1+28.7+39.4</f>
        <v>80.199999999999989</v>
      </c>
      <c r="AT827" s="16">
        <v>6.23</v>
      </c>
      <c r="AU827" s="13" t="s">
        <v>661</v>
      </c>
      <c r="AV827" s="16">
        <f t="shared" si="427"/>
        <v>100.02999999999999</v>
      </c>
      <c r="AW827" s="20">
        <v>0.55000000000000004</v>
      </c>
      <c r="AX827" s="8">
        <f t="shared" si="437"/>
        <v>5.5000000000000005E-3</v>
      </c>
      <c r="AY827" s="8" t="s">
        <v>142</v>
      </c>
      <c r="AZ827" s="16">
        <f t="shared" si="436"/>
        <v>125</v>
      </c>
      <c r="BA827" s="16" t="s">
        <v>55</v>
      </c>
      <c r="BB827" s="15">
        <v>0.5</v>
      </c>
      <c r="BC827" s="16">
        <v>100</v>
      </c>
      <c r="BD827" s="24">
        <v>7.54</v>
      </c>
      <c r="BE827" s="16">
        <f t="shared" si="405"/>
        <v>1370.9090909090908</v>
      </c>
      <c r="BF827" s="16">
        <f t="shared" si="435"/>
        <v>3.1370086563755302</v>
      </c>
      <c r="BG827" s="8">
        <f t="shared" si="438"/>
        <v>0.87737134586977406</v>
      </c>
      <c r="BH827" s="13" t="s">
        <v>837</v>
      </c>
      <c r="BI827" s="13"/>
      <c r="BJ827" s="13"/>
      <c r="BK827" s="13"/>
      <c r="BL827" s="13"/>
      <c r="BM827" s="17"/>
      <c r="BN827" s="17"/>
      <c r="BO827" s="2"/>
    </row>
    <row r="828" spans="1:67" s="14" customFormat="1" x14ac:dyDescent="0.3">
      <c r="A828" s="20">
        <v>826</v>
      </c>
      <c r="B828" s="2" t="s">
        <v>258</v>
      </c>
      <c r="C828" s="2">
        <v>2010</v>
      </c>
      <c r="D828" s="2" t="s">
        <v>205</v>
      </c>
      <c r="E828" s="10" t="s">
        <v>259</v>
      </c>
      <c r="F828" s="20" t="s">
        <v>63</v>
      </c>
      <c r="G828" s="2" t="s">
        <v>144</v>
      </c>
      <c r="H828" s="2" t="str">
        <f>'PFAS Properties'!$B$46</f>
        <v>PFOS</v>
      </c>
      <c r="I828" s="2" t="str">
        <f>'PFAS Properties'!$C$46</f>
        <v>PFSA</v>
      </c>
      <c r="J828" s="2" t="str">
        <f>'PFAS Properties'!$D$46</f>
        <v>C8HF17O3S</v>
      </c>
      <c r="K828" s="25">
        <f>'PFAS Properties'!$P$46</f>
        <v>499.93739999999997</v>
      </c>
      <c r="L828" s="2">
        <f>'PFAS Properties'!$X$46</f>
        <v>0.1</v>
      </c>
      <c r="M828" s="2" t="str">
        <f>'PFAS Properties'!$Y$46</f>
        <v>-</v>
      </c>
      <c r="N828" s="33">
        <v>0</v>
      </c>
      <c r="O828" s="33">
        <v>0</v>
      </c>
      <c r="P828" s="33">
        <v>0</v>
      </c>
      <c r="Q828" s="33">
        <f t="shared" si="410"/>
        <v>0.99999622620451056</v>
      </c>
      <c r="R828" s="33">
        <v>0</v>
      </c>
      <c r="S828" s="33">
        <f t="shared" si="411"/>
        <v>3.7737954894173753E-6</v>
      </c>
      <c r="T828" s="8">
        <f t="shared" si="429"/>
        <v>1</v>
      </c>
      <c r="U828" s="33">
        <f t="shared" si="430"/>
        <v>0</v>
      </c>
      <c r="V828" s="33">
        <f t="shared" si="431"/>
        <v>-0.99999622620451056</v>
      </c>
      <c r="W828" s="33">
        <f t="shared" si="432"/>
        <v>498.93740377379544</v>
      </c>
      <c r="X828" s="33">
        <v>96485</v>
      </c>
      <c r="Y828" s="16">
        <f t="shared" si="433"/>
        <v>-193.38024200143087</v>
      </c>
      <c r="Z828" s="16">
        <v>8</v>
      </c>
      <c r="AA828" s="16">
        <v>17</v>
      </c>
      <c r="AB828" s="8">
        <f t="shared" si="434"/>
        <v>0.29721362229102166</v>
      </c>
      <c r="AC828" s="16">
        <f t="shared" si="406"/>
        <v>64.60808893273439</v>
      </c>
      <c r="AD828" s="20">
        <f>'PFAS Properties'!$W$46</f>
        <v>8</v>
      </c>
      <c r="AE828" s="8">
        <f>'PFAS Properties'!$S$46</f>
        <v>2.0166155475571776</v>
      </c>
      <c r="AF828" s="15">
        <f>'PFAS Properties'!$V$46</f>
        <v>5</v>
      </c>
      <c r="AG828" s="124">
        <v>5.5232199999999994</v>
      </c>
      <c r="AH828" s="70" t="s">
        <v>752</v>
      </c>
      <c r="AI828" s="2" t="s">
        <v>661</v>
      </c>
      <c r="AJ828" s="15" t="s">
        <v>661</v>
      </c>
      <c r="AK828" s="8" t="s">
        <v>661</v>
      </c>
      <c r="AL828" s="2" t="s">
        <v>661</v>
      </c>
      <c r="AM828" s="15" t="s">
        <v>661</v>
      </c>
      <c r="AN828" s="8" t="s">
        <v>661</v>
      </c>
      <c r="AO828" s="15" t="s">
        <v>661</v>
      </c>
      <c r="AP828" s="15">
        <v>9.66</v>
      </c>
      <c r="AQ828" s="13" t="s">
        <v>661</v>
      </c>
      <c r="AR828" s="16">
        <v>18.899999999999999</v>
      </c>
      <c r="AS828" s="16">
        <f>13+26.5+36</f>
        <v>75.5</v>
      </c>
      <c r="AT828" s="16">
        <v>5.59</v>
      </c>
      <c r="AU828" s="13" t="s">
        <v>661</v>
      </c>
      <c r="AV828" s="16">
        <f t="shared" si="427"/>
        <v>99.990000000000009</v>
      </c>
      <c r="AW828" s="20">
        <v>0.18</v>
      </c>
      <c r="AX828" s="8">
        <f t="shared" si="437"/>
        <v>1.8E-3</v>
      </c>
      <c r="AY828" s="8" t="s">
        <v>142</v>
      </c>
      <c r="AZ828" s="16">
        <f t="shared" si="436"/>
        <v>125</v>
      </c>
      <c r="BA828" s="16" t="s">
        <v>55</v>
      </c>
      <c r="BB828" s="15">
        <v>0.5</v>
      </c>
      <c r="BC828" s="16">
        <v>100</v>
      </c>
      <c r="BD828" s="24">
        <v>2.0099999999999998</v>
      </c>
      <c r="BE828" s="16">
        <f t="shared" si="405"/>
        <v>1116.6666666666665</v>
      </c>
      <c r="BF828" s="16">
        <f t="shared" si="435"/>
        <v>3.0479235523171826</v>
      </c>
      <c r="BG828" s="8">
        <f t="shared" si="438"/>
        <v>0.30319605742048883</v>
      </c>
      <c r="BH828" s="13" t="s">
        <v>837</v>
      </c>
      <c r="BI828" s="13"/>
      <c r="BJ828" s="13"/>
      <c r="BK828" s="13"/>
      <c r="BL828" s="13"/>
      <c r="BM828" s="17"/>
      <c r="BN828" s="17"/>
      <c r="BO828" s="2"/>
    </row>
    <row r="829" spans="1:67" s="14" customFormat="1" x14ac:dyDescent="0.3">
      <c r="A829" s="20">
        <v>827</v>
      </c>
      <c r="B829" s="2" t="s">
        <v>258</v>
      </c>
      <c r="C829" s="2">
        <v>2010</v>
      </c>
      <c r="D829" s="2" t="s">
        <v>205</v>
      </c>
      <c r="E829" s="10" t="s">
        <v>259</v>
      </c>
      <c r="F829" s="20" t="s">
        <v>63</v>
      </c>
      <c r="G829" s="2" t="s">
        <v>141</v>
      </c>
      <c r="H829" s="2" t="str">
        <f>'PFAS Properties'!$B$46</f>
        <v>PFOS</v>
      </c>
      <c r="I829" s="2" t="str">
        <f>'PFAS Properties'!$C$46</f>
        <v>PFSA</v>
      </c>
      <c r="J829" s="2" t="str">
        <f>'PFAS Properties'!$D$46</f>
        <v>C8HF17O3S</v>
      </c>
      <c r="K829" s="25">
        <f>'PFAS Properties'!$P$46</f>
        <v>499.93739999999997</v>
      </c>
      <c r="L829" s="2">
        <f>'PFAS Properties'!$X$46</f>
        <v>0.1</v>
      </c>
      <c r="M829" s="2" t="str">
        <f>'PFAS Properties'!$Y$46</f>
        <v>-</v>
      </c>
      <c r="N829" s="33">
        <v>0</v>
      </c>
      <c r="O829" s="33">
        <v>0</v>
      </c>
      <c r="P829" s="33">
        <v>0</v>
      </c>
      <c r="Q829" s="33">
        <f t="shared" si="410"/>
        <v>0.99999632499102564</v>
      </c>
      <c r="R829" s="33">
        <v>0</v>
      </c>
      <c r="S829" s="33">
        <f t="shared" si="411"/>
        <v>3.6750089743068768E-6</v>
      </c>
      <c r="T829" s="8">
        <f t="shared" si="429"/>
        <v>1</v>
      </c>
      <c r="U829" s="33">
        <f t="shared" si="430"/>
        <v>0</v>
      </c>
      <c r="V829" s="33">
        <f t="shared" si="431"/>
        <v>-0.99999632499102564</v>
      </c>
      <c r="W829" s="33">
        <f t="shared" si="432"/>
        <v>498.93740367500891</v>
      </c>
      <c r="X829" s="33">
        <v>96485</v>
      </c>
      <c r="Y829" s="16">
        <f t="shared" si="433"/>
        <v>-193.38026114315127</v>
      </c>
      <c r="Z829" s="16">
        <v>8</v>
      </c>
      <c r="AA829" s="16">
        <v>17</v>
      </c>
      <c r="AB829" s="8">
        <f t="shared" si="434"/>
        <v>0.29721362229102166</v>
      </c>
      <c r="AC829" s="16">
        <f t="shared" si="406"/>
        <v>64.60808893273439</v>
      </c>
      <c r="AD829" s="20">
        <f>'PFAS Properties'!$W$46</f>
        <v>8</v>
      </c>
      <c r="AE829" s="8">
        <f>'PFAS Properties'!$S$46</f>
        <v>2.0166155475571776</v>
      </c>
      <c r="AF829" s="15">
        <f>'PFAS Properties'!$V$46</f>
        <v>5</v>
      </c>
      <c r="AG829" s="124">
        <v>5.5347400000000002</v>
      </c>
      <c r="AH829" s="70" t="s">
        <v>752</v>
      </c>
      <c r="AI829" s="2" t="s">
        <v>661</v>
      </c>
      <c r="AJ829" s="15" t="s">
        <v>661</v>
      </c>
      <c r="AK829" s="8" t="s">
        <v>661</v>
      </c>
      <c r="AL829" s="2" t="s">
        <v>661</v>
      </c>
      <c r="AM829" s="15" t="s">
        <v>661</v>
      </c>
      <c r="AN829" s="8" t="s">
        <v>661</v>
      </c>
      <c r="AO829" s="15" t="s">
        <v>661</v>
      </c>
      <c r="AP829" s="15">
        <v>10.1</v>
      </c>
      <c r="AQ829" s="13" t="s">
        <v>661</v>
      </c>
      <c r="AR829" s="16">
        <v>14.9</v>
      </c>
      <c r="AS829" s="16">
        <f>15.5+28.3+34.3</f>
        <v>78.099999999999994</v>
      </c>
      <c r="AT829" s="16">
        <v>7.16</v>
      </c>
      <c r="AU829" s="13" t="s">
        <v>661</v>
      </c>
      <c r="AV829" s="16">
        <f t="shared" si="427"/>
        <v>100.16</v>
      </c>
      <c r="AW829" s="20">
        <v>0.16</v>
      </c>
      <c r="AX829" s="8">
        <f t="shared" si="437"/>
        <v>1.6000000000000001E-3</v>
      </c>
      <c r="AY829" s="8" t="s">
        <v>142</v>
      </c>
      <c r="AZ829" s="16">
        <f t="shared" si="436"/>
        <v>125</v>
      </c>
      <c r="BA829" s="16" t="s">
        <v>55</v>
      </c>
      <c r="BB829" s="15">
        <v>0.5</v>
      </c>
      <c r="BC829" s="16">
        <v>100</v>
      </c>
      <c r="BD829" s="24">
        <v>1.85</v>
      </c>
      <c r="BE829" s="16">
        <f t="shared" si="405"/>
        <v>1156.25</v>
      </c>
      <c r="BF829" s="16">
        <f t="shared" si="435"/>
        <v>3.0630517457470892</v>
      </c>
      <c r="BG829" s="8">
        <f t="shared" si="438"/>
        <v>0.26717172840301384</v>
      </c>
      <c r="BH829" s="13" t="s">
        <v>837</v>
      </c>
      <c r="BI829" s="13"/>
      <c r="BJ829" s="13"/>
      <c r="BK829" s="13"/>
      <c r="BL829" s="13"/>
      <c r="BM829" s="17"/>
      <c r="BN829" s="17"/>
      <c r="BO829" s="2"/>
    </row>
    <row r="830" spans="1:67" s="14" customFormat="1" x14ac:dyDescent="0.3">
      <c r="A830" s="20">
        <v>828</v>
      </c>
      <c r="B830" s="2" t="s">
        <v>258</v>
      </c>
      <c r="C830" s="2">
        <v>2010</v>
      </c>
      <c r="D830" s="2" t="s">
        <v>205</v>
      </c>
      <c r="E830" s="10" t="s">
        <v>259</v>
      </c>
      <c r="F830" s="20" t="s">
        <v>63</v>
      </c>
      <c r="G830" s="2" t="s">
        <v>143</v>
      </c>
      <c r="H830" s="2" t="str">
        <f>'PFAS Properties'!$B$46</f>
        <v>PFOS</v>
      </c>
      <c r="I830" s="2" t="str">
        <f>'PFAS Properties'!$C$46</f>
        <v>PFSA</v>
      </c>
      <c r="J830" s="2" t="str">
        <f>'PFAS Properties'!$D$46</f>
        <v>C8HF17O3S</v>
      </c>
      <c r="K830" s="25">
        <f>'PFAS Properties'!$P$46</f>
        <v>499.93739999999997</v>
      </c>
      <c r="L830" s="2">
        <f>'PFAS Properties'!$X$46</f>
        <v>0.1</v>
      </c>
      <c r="M830" s="2" t="str">
        <f>'PFAS Properties'!$Y$46</f>
        <v>-</v>
      </c>
      <c r="N830" s="33">
        <v>0</v>
      </c>
      <c r="O830" s="33">
        <v>0</v>
      </c>
      <c r="P830" s="33">
        <v>0</v>
      </c>
      <c r="Q830" s="33">
        <f t="shared" si="410"/>
        <v>0.99999634187609643</v>
      </c>
      <c r="R830" s="33">
        <v>0</v>
      </c>
      <c r="S830" s="33">
        <f t="shared" si="411"/>
        <v>3.6581239036084515E-6</v>
      </c>
      <c r="T830" s="8">
        <f t="shared" si="429"/>
        <v>1</v>
      </c>
      <c r="U830" s="33">
        <f t="shared" si="430"/>
        <v>0</v>
      </c>
      <c r="V830" s="33">
        <f t="shared" si="431"/>
        <v>-0.99999634187609643</v>
      </c>
      <c r="W830" s="33">
        <f t="shared" si="432"/>
        <v>498.93740365812391</v>
      </c>
      <c r="X830" s="33">
        <v>96485</v>
      </c>
      <c r="Y830" s="16">
        <f t="shared" si="433"/>
        <v>-193.38026441494705</v>
      </c>
      <c r="Z830" s="16">
        <v>8</v>
      </c>
      <c r="AA830" s="16">
        <v>17</v>
      </c>
      <c r="AB830" s="8">
        <f t="shared" si="434"/>
        <v>0.29721362229102166</v>
      </c>
      <c r="AC830" s="16">
        <f t="shared" si="406"/>
        <v>64.60808893273439</v>
      </c>
      <c r="AD830" s="20">
        <f>'PFAS Properties'!$W$46</f>
        <v>8</v>
      </c>
      <c r="AE830" s="8">
        <f>'PFAS Properties'!$S$46</f>
        <v>2.0166155475571776</v>
      </c>
      <c r="AF830" s="15">
        <f>'PFAS Properties'!$V$46</f>
        <v>5</v>
      </c>
      <c r="AG830" s="124">
        <v>5.53674</v>
      </c>
      <c r="AH830" s="70" t="s">
        <v>752</v>
      </c>
      <c r="AI830" s="2" t="s">
        <v>661</v>
      </c>
      <c r="AJ830" s="15" t="s">
        <v>661</v>
      </c>
      <c r="AK830" s="8" t="s">
        <v>661</v>
      </c>
      <c r="AL830" s="2" t="s">
        <v>661</v>
      </c>
      <c r="AM830" s="15" t="s">
        <v>661</v>
      </c>
      <c r="AN830" s="8" t="s">
        <v>661</v>
      </c>
      <c r="AO830" s="15" t="s">
        <v>661</v>
      </c>
      <c r="AP830" s="15">
        <v>10.3</v>
      </c>
      <c r="AQ830" s="13" t="s">
        <v>661</v>
      </c>
      <c r="AR830" s="16">
        <v>14.9</v>
      </c>
      <c r="AS830" s="16">
        <f>13.8+27.9+36.9</f>
        <v>78.599999999999994</v>
      </c>
      <c r="AT830" s="16">
        <v>6.61</v>
      </c>
      <c r="AU830" s="13" t="s">
        <v>661</v>
      </c>
      <c r="AV830" s="16">
        <f t="shared" si="427"/>
        <v>100.11</v>
      </c>
      <c r="AW830" s="20">
        <v>0.16</v>
      </c>
      <c r="AX830" s="8">
        <f t="shared" si="437"/>
        <v>1.6000000000000001E-3</v>
      </c>
      <c r="AY830" s="8" t="s">
        <v>142</v>
      </c>
      <c r="AZ830" s="16">
        <f t="shared" si="436"/>
        <v>125</v>
      </c>
      <c r="BA830" s="16" t="s">
        <v>55</v>
      </c>
      <c r="BB830" s="15">
        <v>0.5</v>
      </c>
      <c r="BC830" s="16">
        <v>100</v>
      </c>
      <c r="BD830" s="24">
        <v>2.23</v>
      </c>
      <c r="BE830" s="16">
        <f t="shared" si="405"/>
        <v>1393.75</v>
      </c>
      <c r="BF830" s="16">
        <f t="shared" si="435"/>
        <v>3.1441848803922361</v>
      </c>
      <c r="BG830" s="8">
        <f t="shared" si="438"/>
        <v>0.34830486304816066</v>
      </c>
      <c r="BH830" s="13" t="s">
        <v>837</v>
      </c>
      <c r="BI830" s="13"/>
      <c r="BJ830" s="13"/>
      <c r="BK830" s="13"/>
      <c r="BL830" s="13"/>
      <c r="BM830" s="17"/>
      <c r="BN830" s="17"/>
      <c r="BO830" s="2"/>
    </row>
    <row r="831" spans="1:67" s="14" customFormat="1" x14ac:dyDescent="0.3">
      <c r="A831" s="20">
        <v>829</v>
      </c>
      <c r="B831" s="2" t="s">
        <v>261</v>
      </c>
      <c r="C831" s="2">
        <v>2017</v>
      </c>
      <c r="D831" s="2" t="s">
        <v>229</v>
      </c>
      <c r="E831" s="10" t="s">
        <v>813</v>
      </c>
      <c r="F831" s="20" t="s">
        <v>29</v>
      </c>
      <c r="G831" s="2" t="s">
        <v>158</v>
      </c>
      <c r="H831" s="2" t="str">
        <f>'PFAS Properties'!$B$46</f>
        <v>PFOS</v>
      </c>
      <c r="I831" s="2" t="str">
        <f>'PFAS Properties'!$C$46</f>
        <v>PFSA</v>
      </c>
      <c r="J831" s="2" t="str">
        <f>'PFAS Properties'!$D$46</f>
        <v>C8HF17O3S</v>
      </c>
      <c r="K831" s="25">
        <f>'PFAS Properties'!$P$46</f>
        <v>499.93739999999997</v>
      </c>
      <c r="L831" s="2">
        <f>'PFAS Properties'!$X$46</f>
        <v>0.1</v>
      </c>
      <c r="M831" s="2" t="str">
        <f>'PFAS Properties'!$Y$46</f>
        <v>-</v>
      </c>
      <c r="N831" s="33">
        <v>0</v>
      </c>
      <c r="O831" s="33">
        <v>0</v>
      </c>
      <c r="P831" s="33">
        <v>0</v>
      </c>
      <c r="Q831" s="33">
        <f t="shared" si="410"/>
        <v>0.99999998415106828</v>
      </c>
      <c r="R831" s="33">
        <v>0</v>
      </c>
      <c r="S831" s="33">
        <f t="shared" si="411"/>
        <v>1.5848931673422437E-8</v>
      </c>
      <c r="T831" s="8">
        <f t="shared" si="429"/>
        <v>1</v>
      </c>
      <c r="U831" s="33">
        <f t="shared" si="430"/>
        <v>0</v>
      </c>
      <c r="V831" s="33">
        <f t="shared" si="431"/>
        <v>-0.99999998415106828</v>
      </c>
      <c r="W831" s="33">
        <f t="shared" si="432"/>
        <v>498.93740001584888</v>
      </c>
      <c r="X831" s="33">
        <v>96485</v>
      </c>
      <c r="Y831" s="16">
        <f t="shared" si="433"/>
        <v>-193.38097017331424</v>
      </c>
      <c r="Z831" s="16">
        <v>8</v>
      </c>
      <c r="AA831" s="16">
        <v>17</v>
      </c>
      <c r="AB831" s="8">
        <f t="shared" si="434"/>
        <v>0.29721362229102166</v>
      </c>
      <c r="AC831" s="16">
        <f t="shared" si="406"/>
        <v>64.60808893273439</v>
      </c>
      <c r="AD831" s="20">
        <f>'PFAS Properties'!$W$46</f>
        <v>8</v>
      </c>
      <c r="AE831" s="8">
        <f>'PFAS Properties'!$S$46</f>
        <v>2.0166155475571776</v>
      </c>
      <c r="AF831" s="15">
        <f>'PFAS Properties'!$V$46</f>
        <v>5</v>
      </c>
      <c r="AG831" s="24">
        <v>7.9</v>
      </c>
      <c r="AH831" s="2" t="s">
        <v>833</v>
      </c>
      <c r="AI831" s="15">
        <f>9.57*2*55.85/159.69</f>
        <v>6.6940259252301342</v>
      </c>
      <c r="AJ831" s="15">
        <f t="shared" ref="AJ831:AJ836" si="439">AI831*1000/55.845</f>
        <v>119.86795461062108</v>
      </c>
      <c r="AK831" s="8">
        <f t="shared" ref="AK831:AK836" si="440">AI831/10</f>
        <v>0.66940259252301337</v>
      </c>
      <c r="AL831" s="8">
        <f>0.75*2*26.98/101.96</f>
        <v>0.39692036092585331</v>
      </c>
      <c r="AM831" s="15">
        <f t="shared" ref="AM831:AM836" si="441">AL831*1000/26.98</f>
        <v>14.711651628089447</v>
      </c>
      <c r="AN831" s="8">
        <f t="shared" ref="AN831:AN836" si="442">AL831/10</f>
        <v>3.9692036092585328E-2</v>
      </c>
      <c r="AO831" s="15" t="s">
        <v>93</v>
      </c>
      <c r="AP831" s="15">
        <v>8</v>
      </c>
      <c r="AQ831" s="13" t="s">
        <v>661</v>
      </c>
      <c r="AR831" s="2">
        <v>46</v>
      </c>
      <c r="AS831" s="2">
        <v>48</v>
      </c>
      <c r="AT831" s="2">
        <v>6</v>
      </c>
      <c r="AU831" s="13" t="s">
        <v>661</v>
      </c>
      <c r="AV831" s="16">
        <f t="shared" si="427"/>
        <v>100</v>
      </c>
      <c r="AW831" s="20">
        <v>0.87</v>
      </c>
      <c r="AX831" s="8">
        <f t="shared" si="437"/>
        <v>8.6999999999999994E-3</v>
      </c>
      <c r="AY831" s="12" t="s">
        <v>127</v>
      </c>
      <c r="AZ831" s="16">
        <f t="shared" ref="AZ831:AZ836" si="443">0.2/0.02</f>
        <v>10</v>
      </c>
      <c r="BA831" s="16" t="s">
        <v>55</v>
      </c>
      <c r="BB831" s="16">
        <v>10</v>
      </c>
      <c r="BC831" s="16">
        <v>1000</v>
      </c>
      <c r="BD831" s="24">
        <v>18</v>
      </c>
      <c r="BE831" s="16">
        <f t="shared" ref="BE831:BE891" si="444">BD831/AX831</f>
        <v>2068.9655172413795</v>
      </c>
      <c r="BF831" s="16">
        <f t="shared" si="435"/>
        <v>3.3157532524846878</v>
      </c>
      <c r="BG831" s="8">
        <f t="shared" si="438"/>
        <v>1.255272505103306</v>
      </c>
      <c r="BH831" s="13" t="s">
        <v>861</v>
      </c>
      <c r="BI831" s="12"/>
      <c r="BJ831" s="13"/>
      <c r="BK831" s="15"/>
      <c r="BL831" s="8"/>
      <c r="BM831" s="18"/>
      <c r="BN831" s="8"/>
      <c r="BO831" s="24"/>
    </row>
    <row r="832" spans="1:67" s="14" customFormat="1" x14ac:dyDescent="0.3">
      <c r="A832" s="20">
        <v>830</v>
      </c>
      <c r="B832" s="2" t="s">
        <v>261</v>
      </c>
      <c r="C832" s="2">
        <v>2017</v>
      </c>
      <c r="D832" s="2" t="s">
        <v>229</v>
      </c>
      <c r="E832" s="10" t="s">
        <v>813</v>
      </c>
      <c r="F832" s="20" t="s">
        <v>29</v>
      </c>
      <c r="G832" s="2" t="s">
        <v>133</v>
      </c>
      <c r="H832" s="2" t="str">
        <f>'PFAS Properties'!$B$46</f>
        <v>PFOS</v>
      </c>
      <c r="I832" s="2" t="str">
        <f>'PFAS Properties'!$C$46</f>
        <v>PFSA</v>
      </c>
      <c r="J832" s="2" t="str">
        <f>'PFAS Properties'!$D$46</f>
        <v>C8HF17O3S</v>
      </c>
      <c r="K832" s="25">
        <f>'PFAS Properties'!$P$46</f>
        <v>499.93739999999997</v>
      </c>
      <c r="L832" s="2">
        <f>'PFAS Properties'!$X$46</f>
        <v>0.1</v>
      </c>
      <c r="M832" s="2" t="str">
        <f>'PFAS Properties'!$Y$46</f>
        <v>-</v>
      </c>
      <c r="N832" s="33">
        <v>0</v>
      </c>
      <c r="O832" s="33">
        <v>0</v>
      </c>
      <c r="P832" s="33">
        <v>0</v>
      </c>
      <c r="Q832" s="33">
        <f t="shared" si="410"/>
        <v>0.99998711767043957</v>
      </c>
      <c r="R832" s="33">
        <v>0</v>
      </c>
      <c r="S832" s="33">
        <f t="shared" si="411"/>
        <v>1.2882329560378492E-5</v>
      </c>
      <c r="T832" s="8">
        <f t="shared" si="429"/>
        <v>1</v>
      </c>
      <c r="U832" s="33">
        <f t="shared" si="430"/>
        <v>0</v>
      </c>
      <c r="V832" s="33">
        <f t="shared" si="431"/>
        <v>-0.99998711767043957</v>
      </c>
      <c r="W832" s="33">
        <f t="shared" si="432"/>
        <v>498.93741288232951</v>
      </c>
      <c r="X832" s="33">
        <v>96485</v>
      </c>
      <c r="Y832" s="16">
        <f t="shared" si="433"/>
        <v>-193.37847705396931</v>
      </c>
      <c r="Z832" s="16">
        <v>8</v>
      </c>
      <c r="AA832" s="16">
        <v>17</v>
      </c>
      <c r="AB832" s="8">
        <f t="shared" si="434"/>
        <v>0.29721362229102166</v>
      </c>
      <c r="AC832" s="16">
        <f t="shared" si="406"/>
        <v>64.60808893273439</v>
      </c>
      <c r="AD832" s="20">
        <f>'PFAS Properties'!$W$46</f>
        <v>8</v>
      </c>
      <c r="AE832" s="8">
        <f>'PFAS Properties'!$S$46</f>
        <v>2.0166155475571776</v>
      </c>
      <c r="AF832" s="15">
        <f>'PFAS Properties'!$V$46</f>
        <v>5</v>
      </c>
      <c r="AG832" s="24">
        <v>4.99</v>
      </c>
      <c r="AH832" s="2" t="s">
        <v>833</v>
      </c>
      <c r="AI832" s="15">
        <f>18.35*2*55.85/159.69</f>
        <v>12.835462458513371</v>
      </c>
      <c r="AJ832" s="15">
        <f t="shared" si="439"/>
        <v>229.84085340699028</v>
      </c>
      <c r="AK832" s="8">
        <f t="shared" si="440"/>
        <v>1.2835462458513371</v>
      </c>
      <c r="AL832" s="8">
        <f>0.69*2*26.98/101.96</f>
        <v>0.36516673205178501</v>
      </c>
      <c r="AM832" s="15">
        <f t="shared" si="441"/>
        <v>13.534719497842291</v>
      </c>
      <c r="AN832" s="8">
        <f t="shared" si="442"/>
        <v>3.6516673205178499E-2</v>
      </c>
      <c r="AO832" s="15" t="s">
        <v>93</v>
      </c>
      <c r="AP832" s="15">
        <v>33.299999999999997</v>
      </c>
      <c r="AQ832" s="13" t="s">
        <v>661</v>
      </c>
      <c r="AR832" s="2">
        <v>51</v>
      </c>
      <c r="AS832" s="2">
        <v>29</v>
      </c>
      <c r="AT832" s="2">
        <v>20</v>
      </c>
      <c r="AU832" s="13" t="s">
        <v>661</v>
      </c>
      <c r="AV832" s="16">
        <f t="shared" si="427"/>
        <v>100</v>
      </c>
      <c r="AW832" s="20">
        <v>0.99</v>
      </c>
      <c r="AX832" s="8">
        <f t="shared" si="437"/>
        <v>9.8999999999999991E-3</v>
      </c>
      <c r="AY832" s="12" t="s">
        <v>127</v>
      </c>
      <c r="AZ832" s="16">
        <f t="shared" si="443"/>
        <v>10</v>
      </c>
      <c r="BA832" s="16" t="s">
        <v>55</v>
      </c>
      <c r="BB832" s="16">
        <v>10</v>
      </c>
      <c r="BC832" s="16">
        <v>1000</v>
      </c>
      <c r="BD832" s="24">
        <v>29</v>
      </c>
      <c r="BE832" s="16">
        <f t="shared" si="444"/>
        <v>2929.2929292929298</v>
      </c>
      <c r="BF832" s="16">
        <f t="shared" si="435"/>
        <v>3.4667628033014064</v>
      </c>
      <c r="BG832" s="8">
        <f t="shared" si="438"/>
        <v>1.4623979978989561</v>
      </c>
      <c r="BH832" s="13" t="s">
        <v>861</v>
      </c>
      <c r="BI832" s="12"/>
      <c r="BJ832" s="13"/>
      <c r="BK832" s="15"/>
      <c r="BL832" s="8"/>
      <c r="BM832" s="18"/>
      <c r="BN832" s="8"/>
      <c r="BO832" s="24"/>
    </row>
    <row r="833" spans="1:67" s="14" customFormat="1" x14ac:dyDescent="0.3">
      <c r="A833" s="20">
        <v>831</v>
      </c>
      <c r="B833" s="2" t="s">
        <v>261</v>
      </c>
      <c r="C833" s="2">
        <v>2017</v>
      </c>
      <c r="D833" s="2" t="s">
        <v>229</v>
      </c>
      <c r="E833" s="22" t="s">
        <v>813</v>
      </c>
      <c r="F833" s="20" t="s">
        <v>29</v>
      </c>
      <c r="G833" s="2" t="s">
        <v>159</v>
      </c>
      <c r="H833" s="2" t="str">
        <f>'PFAS Properties'!$B$46</f>
        <v>PFOS</v>
      </c>
      <c r="I833" s="2" t="str">
        <f>'PFAS Properties'!$C$46</f>
        <v>PFSA</v>
      </c>
      <c r="J833" s="2" t="str">
        <f>'PFAS Properties'!$D$46</f>
        <v>C8HF17O3S</v>
      </c>
      <c r="K833" s="25">
        <f>'PFAS Properties'!$P$46</f>
        <v>499.93739999999997</v>
      </c>
      <c r="L833" s="2">
        <f>'PFAS Properties'!$X$46</f>
        <v>0.1</v>
      </c>
      <c r="M833" s="2" t="str">
        <f>'PFAS Properties'!$Y$46</f>
        <v>-</v>
      </c>
      <c r="N833" s="33">
        <v>0</v>
      </c>
      <c r="O833" s="33">
        <v>0</v>
      </c>
      <c r="P833" s="33">
        <v>0</v>
      </c>
      <c r="Q833" s="33">
        <f t="shared" si="410"/>
        <v>0.99999563486073217</v>
      </c>
      <c r="R833" s="33">
        <v>0</v>
      </c>
      <c r="S833" s="33">
        <f t="shared" si="411"/>
        <v>4.3651392678776466E-6</v>
      </c>
      <c r="T833" s="8">
        <f t="shared" si="429"/>
        <v>1</v>
      </c>
      <c r="U833" s="33">
        <f t="shared" si="430"/>
        <v>0</v>
      </c>
      <c r="V833" s="33">
        <f t="shared" si="431"/>
        <v>-0.99999563486073217</v>
      </c>
      <c r="W833" s="33">
        <f t="shared" si="432"/>
        <v>498.93740436513929</v>
      </c>
      <c r="X833" s="33">
        <v>96485</v>
      </c>
      <c r="Y833" s="16">
        <f t="shared" si="433"/>
        <v>-193.38012741760102</v>
      </c>
      <c r="Z833" s="16">
        <v>8</v>
      </c>
      <c r="AA833" s="16">
        <v>17</v>
      </c>
      <c r="AB833" s="8">
        <f t="shared" si="434"/>
        <v>0.29721362229102166</v>
      </c>
      <c r="AC833" s="16">
        <f t="shared" si="406"/>
        <v>64.60808893273439</v>
      </c>
      <c r="AD833" s="20">
        <f>'PFAS Properties'!$W$46</f>
        <v>8</v>
      </c>
      <c r="AE833" s="8">
        <f>'PFAS Properties'!$S$46</f>
        <v>2.0166155475571776</v>
      </c>
      <c r="AF833" s="15">
        <f>'PFAS Properties'!$V$46</f>
        <v>5</v>
      </c>
      <c r="AG833" s="24">
        <v>5.46</v>
      </c>
      <c r="AH833" s="2" t="s">
        <v>833</v>
      </c>
      <c r="AI833" s="15">
        <f>49.58*2*55.85/159.69</f>
        <v>34.680230446490079</v>
      </c>
      <c r="AJ833" s="15">
        <f t="shared" si="439"/>
        <v>621.00869274760646</v>
      </c>
      <c r="AK833" s="8">
        <f t="shared" si="440"/>
        <v>3.4680230446490077</v>
      </c>
      <c r="AL833" s="8">
        <f>6.26*2*26.98/101.96</f>
        <v>3.3129619458611224</v>
      </c>
      <c r="AM833" s="15">
        <f t="shared" si="441"/>
        <v>122.7932522557866</v>
      </c>
      <c r="AN833" s="8">
        <f t="shared" si="442"/>
        <v>0.33129619458611226</v>
      </c>
      <c r="AO833" s="15" t="s">
        <v>93</v>
      </c>
      <c r="AP833" s="15">
        <v>5.58</v>
      </c>
      <c r="AQ833" s="13" t="s">
        <v>661</v>
      </c>
      <c r="AR833" s="2">
        <v>14</v>
      </c>
      <c r="AS833" s="2">
        <v>76</v>
      </c>
      <c r="AT833" s="2">
        <v>10</v>
      </c>
      <c r="AU833" s="13" t="s">
        <v>661</v>
      </c>
      <c r="AV833" s="16">
        <f t="shared" si="427"/>
        <v>100</v>
      </c>
      <c r="AW833" s="20">
        <v>1.27</v>
      </c>
      <c r="AX833" s="8">
        <f t="shared" si="437"/>
        <v>1.2699999999999999E-2</v>
      </c>
      <c r="AY833" s="12" t="s">
        <v>127</v>
      </c>
      <c r="AZ833" s="16">
        <f t="shared" si="443"/>
        <v>10</v>
      </c>
      <c r="BA833" s="16" t="s">
        <v>55</v>
      </c>
      <c r="BB833" s="16">
        <v>10</v>
      </c>
      <c r="BC833" s="16">
        <v>1000</v>
      </c>
      <c r="BD833" s="24">
        <v>48</v>
      </c>
      <c r="BE833" s="16">
        <f t="shared" si="444"/>
        <v>3779.5275590551182</v>
      </c>
      <c r="BF833" s="16">
        <f t="shared" si="435"/>
        <v>3.5774375164196304</v>
      </c>
      <c r="BG833" s="8">
        <f t="shared" si="438"/>
        <v>1.6812412373755872</v>
      </c>
      <c r="BH833" s="13" t="s">
        <v>861</v>
      </c>
      <c r="BI833" s="12"/>
      <c r="BJ833" s="13"/>
      <c r="BK833" s="15"/>
      <c r="BL833" s="8"/>
      <c r="BM833" s="18"/>
      <c r="BN833" s="8"/>
      <c r="BO833" s="24"/>
    </row>
    <row r="834" spans="1:67" s="14" customFormat="1" x14ac:dyDescent="0.3">
      <c r="A834" s="20">
        <v>832</v>
      </c>
      <c r="B834" s="2" t="s">
        <v>261</v>
      </c>
      <c r="C834" s="2">
        <v>2017</v>
      </c>
      <c r="D834" s="2" t="s">
        <v>229</v>
      </c>
      <c r="E834" s="10" t="s">
        <v>813</v>
      </c>
      <c r="F834" s="20" t="s">
        <v>29</v>
      </c>
      <c r="G834" s="2" t="s">
        <v>160</v>
      </c>
      <c r="H834" s="2" t="str">
        <f>'PFAS Properties'!$B$46</f>
        <v>PFOS</v>
      </c>
      <c r="I834" s="2" t="str">
        <f>'PFAS Properties'!$C$46</f>
        <v>PFSA</v>
      </c>
      <c r="J834" s="2" t="str">
        <f>'PFAS Properties'!$D$46</f>
        <v>C8HF17O3S</v>
      </c>
      <c r="K834" s="25">
        <f>'PFAS Properties'!$P$46</f>
        <v>499.93739999999997</v>
      </c>
      <c r="L834" s="2">
        <f>'PFAS Properties'!$X$46</f>
        <v>0.1</v>
      </c>
      <c r="M834" s="2" t="str">
        <f>'PFAS Properties'!$Y$46</f>
        <v>-</v>
      </c>
      <c r="N834" s="33">
        <v>0</v>
      </c>
      <c r="O834" s="33">
        <v>0</v>
      </c>
      <c r="P834" s="33">
        <v>0</v>
      </c>
      <c r="Q834" s="33">
        <f t="shared" si="410"/>
        <v>0.99998050193418442</v>
      </c>
      <c r="R834" s="33">
        <v>0</v>
      </c>
      <c r="S834" s="33">
        <f t="shared" si="411"/>
        <v>1.9498065815597068E-5</v>
      </c>
      <c r="T834" s="8">
        <f t="shared" si="429"/>
        <v>1</v>
      </c>
      <c r="U834" s="33">
        <f t="shared" si="430"/>
        <v>0</v>
      </c>
      <c r="V834" s="33">
        <f t="shared" si="431"/>
        <v>-0.99998050193418442</v>
      </c>
      <c r="W834" s="33">
        <f t="shared" si="432"/>
        <v>498.93741949806582</v>
      </c>
      <c r="X834" s="33">
        <v>96485</v>
      </c>
      <c r="Y834" s="16">
        <f t="shared" si="433"/>
        <v>-193.37719513237235</v>
      </c>
      <c r="Z834" s="16">
        <v>8</v>
      </c>
      <c r="AA834" s="16">
        <v>17</v>
      </c>
      <c r="AB834" s="8">
        <f t="shared" si="434"/>
        <v>0.29721362229102166</v>
      </c>
      <c r="AC834" s="16">
        <f t="shared" si="406"/>
        <v>64.60808893273439</v>
      </c>
      <c r="AD834" s="20">
        <f>'PFAS Properties'!$W$46</f>
        <v>8</v>
      </c>
      <c r="AE834" s="8">
        <f>'PFAS Properties'!$S$46</f>
        <v>2.0166155475571776</v>
      </c>
      <c r="AF834" s="15">
        <f>'PFAS Properties'!$V$46</f>
        <v>5</v>
      </c>
      <c r="AG834" s="24">
        <v>4.8099999999999996</v>
      </c>
      <c r="AH834" s="2" t="s">
        <v>833</v>
      </c>
      <c r="AI834" s="15">
        <f>62.6*2*55.85/159.69</f>
        <v>43.787463209969317</v>
      </c>
      <c r="AJ834" s="15">
        <f t="shared" si="439"/>
        <v>784.0892328761629</v>
      </c>
      <c r="AK834" s="8">
        <f t="shared" si="440"/>
        <v>4.3787463209969317</v>
      </c>
      <c r="AL834" s="8">
        <f>3.78*2*26.98/101.96</f>
        <v>2.0004786190663006</v>
      </c>
      <c r="AM834" s="15">
        <f t="shared" si="441"/>
        <v>74.146724205570806</v>
      </c>
      <c r="AN834" s="8">
        <f t="shared" si="442"/>
        <v>0.20004786190663007</v>
      </c>
      <c r="AO834" s="15" t="s">
        <v>93</v>
      </c>
      <c r="AP834" s="15">
        <v>16.899999999999999</v>
      </c>
      <c r="AQ834" s="13" t="s">
        <v>661</v>
      </c>
      <c r="AR834" s="2">
        <v>47</v>
      </c>
      <c r="AS834" s="2">
        <v>16</v>
      </c>
      <c r="AT834" s="2">
        <v>37</v>
      </c>
      <c r="AU834" s="13" t="s">
        <v>661</v>
      </c>
      <c r="AV834" s="16">
        <f t="shared" si="427"/>
        <v>100</v>
      </c>
      <c r="AW834" s="20">
        <v>1.46</v>
      </c>
      <c r="AX834" s="8">
        <f t="shared" si="437"/>
        <v>1.46E-2</v>
      </c>
      <c r="AY834" s="12" t="s">
        <v>127</v>
      </c>
      <c r="AZ834" s="16">
        <f t="shared" si="443"/>
        <v>10</v>
      </c>
      <c r="BA834" s="16" t="s">
        <v>55</v>
      </c>
      <c r="BB834" s="16">
        <v>10</v>
      </c>
      <c r="BC834" s="16">
        <v>1000</v>
      </c>
      <c r="BD834" s="24">
        <v>14</v>
      </c>
      <c r="BE834" s="16">
        <f t="shared" si="444"/>
        <v>958.90410958904113</v>
      </c>
      <c r="BF834" s="16">
        <f t="shared" si="435"/>
        <v>2.981775179893801</v>
      </c>
      <c r="BG834" s="8">
        <f t="shared" si="438"/>
        <v>1.146128035678238</v>
      </c>
      <c r="BH834" s="13" t="s">
        <v>861</v>
      </c>
      <c r="BI834" s="12"/>
      <c r="BJ834" s="13"/>
      <c r="BK834" s="15"/>
      <c r="BL834" s="8"/>
      <c r="BM834" s="18"/>
      <c r="BN834" s="8"/>
      <c r="BO834" s="24"/>
    </row>
    <row r="835" spans="1:67" s="14" customFormat="1" x14ac:dyDescent="0.3">
      <c r="A835" s="20">
        <v>833</v>
      </c>
      <c r="B835" s="2" t="s">
        <v>261</v>
      </c>
      <c r="C835" s="2">
        <v>2017</v>
      </c>
      <c r="D835" s="2" t="s">
        <v>229</v>
      </c>
      <c r="E835" s="10" t="s">
        <v>813</v>
      </c>
      <c r="F835" s="20" t="s">
        <v>29</v>
      </c>
      <c r="G835" s="2" t="s">
        <v>161</v>
      </c>
      <c r="H835" s="2" t="str">
        <f>'PFAS Properties'!$B$46</f>
        <v>PFOS</v>
      </c>
      <c r="I835" s="2" t="str">
        <f>'PFAS Properties'!$C$46</f>
        <v>PFSA</v>
      </c>
      <c r="J835" s="2" t="str">
        <f>'PFAS Properties'!$D$46</f>
        <v>C8HF17O3S</v>
      </c>
      <c r="K835" s="25">
        <f>'PFAS Properties'!$P$46</f>
        <v>499.93739999999997</v>
      </c>
      <c r="L835" s="2">
        <f>'PFAS Properties'!$X$46</f>
        <v>0.1</v>
      </c>
      <c r="M835" s="2" t="str">
        <f>'PFAS Properties'!$Y$46</f>
        <v>-</v>
      </c>
      <c r="N835" s="33">
        <v>0</v>
      </c>
      <c r="O835" s="33">
        <v>0</v>
      </c>
      <c r="P835" s="33">
        <v>0</v>
      </c>
      <c r="Q835" s="33">
        <f t="shared" si="410"/>
        <v>0.99999998415106828</v>
      </c>
      <c r="R835" s="33">
        <v>0</v>
      </c>
      <c r="S835" s="33">
        <f t="shared" si="411"/>
        <v>1.5848931673422437E-8</v>
      </c>
      <c r="T835" s="8">
        <f t="shared" si="429"/>
        <v>1</v>
      </c>
      <c r="U835" s="33">
        <f t="shared" si="430"/>
        <v>0</v>
      </c>
      <c r="V835" s="33">
        <f t="shared" si="431"/>
        <v>-0.99999998415106828</v>
      </c>
      <c r="W835" s="33">
        <f t="shared" si="432"/>
        <v>498.93740001584888</v>
      </c>
      <c r="X835" s="33">
        <v>96485</v>
      </c>
      <c r="Y835" s="16">
        <f t="shared" si="433"/>
        <v>-193.38097017331424</v>
      </c>
      <c r="Z835" s="16">
        <v>8</v>
      </c>
      <c r="AA835" s="16">
        <v>17</v>
      </c>
      <c r="AB835" s="8">
        <f t="shared" si="434"/>
        <v>0.29721362229102166</v>
      </c>
      <c r="AC835" s="16">
        <f t="shared" ref="AC835:AC898" si="445">((AA835*19)/K835)*100</f>
        <v>64.60808893273439</v>
      </c>
      <c r="AD835" s="20">
        <f>'PFAS Properties'!$W$46</f>
        <v>8</v>
      </c>
      <c r="AE835" s="8">
        <f>'PFAS Properties'!$S$46</f>
        <v>2.0166155475571776</v>
      </c>
      <c r="AF835" s="15">
        <f>'PFAS Properties'!$V$46</f>
        <v>5</v>
      </c>
      <c r="AG835" s="24">
        <v>7.9</v>
      </c>
      <c r="AH835" s="2" t="s">
        <v>833</v>
      </c>
      <c r="AI835" s="15">
        <f>8.44*2*55.85/159.69</f>
        <v>5.9036132506731791</v>
      </c>
      <c r="AJ835" s="15">
        <f t="shared" si="439"/>
        <v>105.71426718010886</v>
      </c>
      <c r="AK835" s="8">
        <f t="shared" si="440"/>
        <v>0.59036132506731787</v>
      </c>
      <c r="AL835" s="8">
        <f>2.19*2*26.98/101.96</f>
        <v>1.1590074539034916</v>
      </c>
      <c r="AM835" s="15">
        <f t="shared" si="441"/>
        <v>42.958022754021179</v>
      </c>
      <c r="AN835" s="8">
        <f t="shared" si="442"/>
        <v>0.11590074539034916</v>
      </c>
      <c r="AO835" s="15" t="s">
        <v>93</v>
      </c>
      <c r="AP835" s="15">
        <v>10.7</v>
      </c>
      <c r="AQ835" s="13" t="s">
        <v>661</v>
      </c>
      <c r="AR835" s="2">
        <v>16</v>
      </c>
      <c r="AS835" s="2">
        <v>50</v>
      </c>
      <c r="AT835" s="2">
        <v>34</v>
      </c>
      <c r="AU835" s="13" t="s">
        <v>661</v>
      </c>
      <c r="AV835" s="16">
        <f t="shared" ref="AV835:AV866" si="446">SUM(AR835:AT835)</f>
        <v>100</v>
      </c>
      <c r="AW835" s="20">
        <v>2.25</v>
      </c>
      <c r="AX835" s="8">
        <f t="shared" si="437"/>
        <v>2.2499999999999999E-2</v>
      </c>
      <c r="AY835" s="12" t="s">
        <v>127</v>
      </c>
      <c r="AZ835" s="16">
        <f t="shared" si="443"/>
        <v>10</v>
      </c>
      <c r="BA835" s="16" t="s">
        <v>55</v>
      </c>
      <c r="BB835" s="16">
        <v>10</v>
      </c>
      <c r="BC835" s="16">
        <v>1000</v>
      </c>
      <c r="BD835" s="24">
        <v>66</v>
      </c>
      <c r="BE835" s="16">
        <f t="shared" si="444"/>
        <v>2933.3333333333335</v>
      </c>
      <c r="BF835" s="16">
        <f t="shared" si="435"/>
        <v>3.4673614174305061</v>
      </c>
      <c r="BG835" s="8">
        <f t="shared" si="438"/>
        <v>1.8195439355418688</v>
      </c>
      <c r="BH835" s="13" t="s">
        <v>861</v>
      </c>
      <c r="BI835" s="12"/>
      <c r="BJ835" s="13"/>
      <c r="BK835" s="15"/>
      <c r="BL835" s="8"/>
      <c r="BM835" s="18"/>
      <c r="BN835" s="8"/>
      <c r="BO835" s="24"/>
    </row>
    <row r="836" spans="1:67" s="14" customFormat="1" x14ac:dyDescent="0.3">
      <c r="A836" s="20">
        <v>834</v>
      </c>
      <c r="B836" s="2" t="s">
        <v>261</v>
      </c>
      <c r="C836" s="2">
        <v>2017</v>
      </c>
      <c r="D836" s="2" t="s">
        <v>229</v>
      </c>
      <c r="E836" s="10" t="s">
        <v>813</v>
      </c>
      <c r="F836" s="20" t="s">
        <v>29</v>
      </c>
      <c r="G836" s="2" t="s">
        <v>162</v>
      </c>
      <c r="H836" s="2" t="str">
        <f>'PFAS Properties'!$B$46</f>
        <v>PFOS</v>
      </c>
      <c r="I836" s="2" t="str">
        <f>'PFAS Properties'!$C$46</f>
        <v>PFSA</v>
      </c>
      <c r="J836" s="2" t="str">
        <f>'PFAS Properties'!$D$46</f>
        <v>C8HF17O3S</v>
      </c>
      <c r="K836" s="25">
        <f>'PFAS Properties'!$P$46</f>
        <v>499.93739999999997</v>
      </c>
      <c r="L836" s="2">
        <f>'PFAS Properties'!$X$46</f>
        <v>0.1</v>
      </c>
      <c r="M836" s="2" t="str">
        <f>'PFAS Properties'!$Y$46</f>
        <v>-</v>
      </c>
      <c r="N836" s="33">
        <v>0</v>
      </c>
      <c r="O836" s="33">
        <v>0</v>
      </c>
      <c r="P836" s="33">
        <v>0</v>
      </c>
      <c r="Q836" s="33">
        <f t="shared" si="410"/>
        <v>0.99993834430147344</v>
      </c>
      <c r="R836" s="33">
        <v>0</v>
      </c>
      <c r="S836" s="33">
        <f t="shared" si="411"/>
        <v>6.1655698526593398E-5</v>
      </c>
      <c r="T836" s="8">
        <f t="shared" si="429"/>
        <v>1</v>
      </c>
      <c r="U836" s="33">
        <f t="shared" si="430"/>
        <v>0</v>
      </c>
      <c r="V836" s="33">
        <f t="shared" si="431"/>
        <v>-0.99993834430147344</v>
      </c>
      <c r="W836" s="33">
        <f t="shared" si="432"/>
        <v>498.93746165569854</v>
      </c>
      <c r="X836" s="33">
        <v>96485</v>
      </c>
      <c r="Y836" s="16">
        <f t="shared" si="433"/>
        <v>-193.36902630996445</v>
      </c>
      <c r="Z836" s="16">
        <v>8</v>
      </c>
      <c r="AA836" s="16">
        <v>17</v>
      </c>
      <c r="AB836" s="8">
        <f t="shared" si="434"/>
        <v>0.29721362229102166</v>
      </c>
      <c r="AC836" s="16">
        <f t="shared" si="445"/>
        <v>64.60808893273439</v>
      </c>
      <c r="AD836" s="20">
        <f>'PFAS Properties'!$W$46</f>
        <v>8</v>
      </c>
      <c r="AE836" s="8">
        <f>'PFAS Properties'!$S$46</f>
        <v>2.0166155475571776</v>
      </c>
      <c r="AF836" s="15">
        <f>'PFAS Properties'!$V$46</f>
        <v>5</v>
      </c>
      <c r="AG836" s="24">
        <v>4.3099999999999996</v>
      </c>
      <c r="AH836" s="2" t="s">
        <v>833</v>
      </c>
      <c r="AI836" s="15">
        <f>80.66*2*55.85/159.69</f>
        <v>56.420076398021166</v>
      </c>
      <c r="AJ836" s="15">
        <f t="shared" si="439"/>
        <v>1010.2977240222251</v>
      </c>
      <c r="AK836" s="8">
        <f t="shared" si="440"/>
        <v>5.6420076398021166</v>
      </c>
      <c r="AL836" s="8">
        <f>17.75*2*26.98/101.96</f>
        <v>9.3937818752451943</v>
      </c>
      <c r="AM836" s="15">
        <f t="shared" si="441"/>
        <v>348.17575519811692</v>
      </c>
      <c r="AN836" s="8">
        <f t="shared" si="442"/>
        <v>0.9393781875245194</v>
      </c>
      <c r="AO836" s="15" t="s">
        <v>93</v>
      </c>
      <c r="AP836" s="15">
        <v>7.63</v>
      </c>
      <c r="AQ836" s="16" t="s">
        <v>661</v>
      </c>
      <c r="AR836" s="2">
        <v>36</v>
      </c>
      <c r="AS836" s="2">
        <v>33</v>
      </c>
      <c r="AT836" s="2">
        <v>31</v>
      </c>
      <c r="AU836" s="16" t="s">
        <v>661</v>
      </c>
      <c r="AV836" s="16">
        <f t="shared" si="446"/>
        <v>100</v>
      </c>
      <c r="AW836" s="20">
        <v>2.71</v>
      </c>
      <c r="AX836" s="8">
        <f t="shared" si="437"/>
        <v>2.7099999999999999E-2</v>
      </c>
      <c r="AY836" s="12" t="s">
        <v>127</v>
      </c>
      <c r="AZ836" s="16">
        <f t="shared" si="443"/>
        <v>10</v>
      </c>
      <c r="BA836" s="16" t="s">
        <v>55</v>
      </c>
      <c r="BB836" s="16">
        <v>10</v>
      </c>
      <c r="BC836" s="16">
        <v>1000</v>
      </c>
      <c r="BD836" s="24">
        <v>63</v>
      </c>
      <c r="BE836" s="16">
        <f t="shared" si="444"/>
        <v>2324.7232472324722</v>
      </c>
      <c r="BF836" s="16">
        <f t="shared" si="435"/>
        <v>3.3663712585791759</v>
      </c>
      <c r="BG836" s="8">
        <f t="shared" si="438"/>
        <v>1.7993405494535817</v>
      </c>
      <c r="BH836" s="13" t="s">
        <v>861</v>
      </c>
      <c r="BI836" s="12"/>
      <c r="BJ836" s="13"/>
      <c r="BK836" s="15"/>
      <c r="BL836" s="8"/>
      <c r="BM836" s="18"/>
      <c r="BN836" s="8"/>
      <c r="BO836" s="24"/>
    </row>
    <row r="837" spans="1:67" s="14" customFormat="1" x14ac:dyDescent="0.3">
      <c r="A837" s="20">
        <v>835</v>
      </c>
      <c r="B837" s="2" t="s">
        <v>260</v>
      </c>
      <c r="C837" s="2">
        <v>2013</v>
      </c>
      <c r="D837" s="2" t="s">
        <v>199</v>
      </c>
      <c r="E837" s="10" t="s">
        <v>814</v>
      </c>
      <c r="F837" s="20" t="s">
        <v>63</v>
      </c>
      <c r="G837" s="2" t="s">
        <v>55</v>
      </c>
      <c r="H837" s="2" t="str">
        <f>'PFAS Properties'!$B$46</f>
        <v>PFOS</v>
      </c>
      <c r="I837" s="2" t="str">
        <f>'PFAS Properties'!$C$46</f>
        <v>PFSA</v>
      </c>
      <c r="J837" s="2" t="str">
        <f>'PFAS Properties'!$D$46</f>
        <v>C8HF17O3S</v>
      </c>
      <c r="K837" s="25">
        <f>'PFAS Properties'!$P$46</f>
        <v>499.93739999999997</v>
      </c>
      <c r="L837" s="2">
        <f>'PFAS Properties'!$X$46</f>
        <v>0.1</v>
      </c>
      <c r="M837" s="2" t="str">
        <f>'PFAS Properties'!$Y$46</f>
        <v>-</v>
      </c>
      <c r="N837" s="33">
        <v>0</v>
      </c>
      <c r="O837" s="33">
        <v>0</v>
      </c>
      <c r="P837" s="33">
        <v>0</v>
      </c>
      <c r="Q837" s="33">
        <f t="shared" si="410"/>
        <v>0.99999874107617315</v>
      </c>
      <c r="R837" s="33">
        <v>0</v>
      </c>
      <c r="S837" s="33">
        <f t="shared" si="411"/>
        <v>1.2589238269029671E-6</v>
      </c>
      <c r="T837" s="8">
        <f t="shared" si="429"/>
        <v>1</v>
      </c>
      <c r="U837" s="33">
        <f t="shared" si="430"/>
        <v>0</v>
      </c>
      <c r="V837" s="33">
        <f t="shared" si="431"/>
        <v>-0.99999874107617315</v>
      </c>
      <c r="W837" s="33">
        <f t="shared" si="432"/>
        <v>498.93740125892379</v>
      </c>
      <c r="X837" s="33">
        <v>96485</v>
      </c>
      <c r="Y837" s="16">
        <f t="shared" si="433"/>
        <v>-193.38072930448382</v>
      </c>
      <c r="Z837" s="16">
        <v>8</v>
      </c>
      <c r="AA837" s="16">
        <v>17</v>
      </c>
      <c r="AB837" s="8">
        <f t="shared" si="434"/>
        <v>0.29721362229102166</v>
      </c>
      <c r="AC837" s="16">
        <f t="shared" si="445"/>
        <v>64.60808893273439</v>
      </c>
      <c r="AD837" s="20">
        <f>'PFAS Properties'!$W$46</f>
        <v>8</v>
      </c>
      <c r="AE837" s="8">
        <f>'PFAS Properties'!$S$46</f>
        <v>2.0166155475571776</v>
      </c>
      <c r="AF837" s="15">
        <f>'PFAS Properties'!$V$46</f>
        <v>5</v>
      </c>
      <c r="AG837" s="24">
        <v>6</v>
      </c>
      <c r="AH837" s="1" t="s">
        <v>363</v>
      </c>
      <c r="AI837" s="1" t="s">
        <v>363</v>
      </c>
      <c r="AJ837" s="1" t="s">
        <v>363</v>
      </c>
      <c r="AK837" s="1" t="s">
        <v>363</v>
      </c>
      <c r="AL837" s="1" t="s">
        <v>363</v>
      </c>
      <c r="AM837" s="1" t="s">
        <v>363</v>
      </c>
      <c r="AN837" s="1" t="s">
        <v>363</v>
      </c>
      <c r="AO837" s="1" t="s">
        <v>363</v>
      </c>
      <c r="AP837" s="72">
        <v>14.3477</v>
      </c>
      <c r="AQ837" s="70" t="s">
        <v>752</v>
      </c>
      <c r="AR837" s="81">
        <v>31.301833330000001</v>
      </c>
      <c r="AS837" s="81">
        <v>42.52566667</v>
      </c>
      <c r="AT837" s="81">
        <v>26.328499999999998</v>
      </c>
      <c r="AU837" s="70" t="s">
        <v>752</v>
      </c>
      <c r="AV837" s="16">
        <f t="shared" si="446"/>
        <v>100.15600000000001</v>
      </c>
      <c r="AW837" s="20">
        <f>((0.052)*100)/2</f>
        <v>2.6</v>
      </c>
      <c r="AX837" s="8">
        <f t="shared" si="437"/>
        <v>2.6000000000000002E-2</v>
      </c>
      <c r="AY837" s="8" t="s">
        <v>157</v>
      </c>
      <c r="AZ837" s="16">
        <f>1/0.02</f>
        <v>50</v>
      </c>
      <c r="BA837" s="16" t="s">
        <v>55</v>
      </c>
      <c r="BB837" s="16">
        <v>50</v>
      </c>
      <c r="BC837" s="16">
        <v>5000</v>
      </c>
      <c r="BD837" s="24">
        <f>10^1.2</f>
        <v>15.848931924611136</v>
      </c>
      <c r="BE837" s="16">
        <f t="shared" si="444"/>
        <v>609.57430479273592</v>
      </c>
      <c r="BF837" s="16">
        <f t="shared" si="435"/>
        <v>2.785026652029182</v>
      </c>
      <c r="BG837" s="8">
        <f t="shared" si="438"/>
        <v>1.2</v>
      </c>
      <c r="BH837" s="13" t="s">
        <v>862</v>
      </c>
      <c r="BI837" s="13"/>
      <c r="BJ837" s="13"/>
      <c r="BK837" s="13"/>
      <c r="BL837" s="13"/>
      <c r="BM837" s="13"/>
      <c r="BN837" s="13"/>
      <c r="BO837" s="13"/>
    </row>
    <row r="838" spans="1:67" s="14" customFormat="1" x14ac:dyDescent="0.3">
      <c r="A838" s="20">
        <v>836</v>
      </c>
      <c r="B838" s="2" t="s">
        <v>262</v>
      </c>
      <c r="C838" s="2">
        <v>2009</v>
      </c>
      <c r="D838" s="2" t="s">
        <v>205</v>
      </c>
      <c r="E838" s="10" t="s">
        <v>263</v>
      </c>
      <c r="F838" s="20" t="s">
        <v>63</v>
      </c>
      <c r="G838" s="2" t="s">
        <v>55</v>
      </c>
      <c r="H838" s="2" t="str">
        <f>'PFAS Properties'!$B$46</f>
        <v>PFOS</v>
      </c>
      <c r="I838" s="2" t="str">
        <f>'PFAS Properties'!$C$46</f>
        <v>PFSA</v>
      </c>
      <c r="J838" s="2" t="str">
        <f>'PFAS Properties'!$D$46</f>
        <v>C8HF17O3S</v>
      </c>
      <c r="K838" s="25">
        <f>'PFAS Properties'!$P$46</f>
        <v>499.93739999999997</v>
      </c>
      <c r="L838" s="2">
        <f>'PFAS Properties'!$X$46</f>
        <v>0.1</v>
      </c>
      <c r="M838" s="2" t="str">
        <f>'PFAS Properties'!$Y$46</f>
        <v>-</v>
      </c>
      <c r="N838" s="33">
        <v>0</v>
      </c>
      <c r="O838" s="33">
        <v>0</v>
      </c>
      <c r="P838" s="33">
        <v>0</v>
      </c>
      <c r="Q838" s="33">
        <f t="shared" si="410"/>
        <v>0.99999991682362976</v>
      </c>
      <c r="R838" s="33">
        <v>0</v>
      </c>
      <c r="S838" s="33">
        <f t="shared" si="411"/>
        <v>8.3176370191957686E-8</v>
      </c>
      <c r="T838" s="8">
        <f t="shared" si="429"/>
        <v>1</v>
      </c>
      <c r="U838" s="33">
        <f t="shared" si="430"/>
        <v>0</v>
      </c>
      <c r="V838" s="33">
        <f t="shared" si="431"/>
        <v>-0.99999991682362976</v>
      </c>
      <c r="W838" s="33">
        <f t="shared" si="432"/>
        <v>498.93740008317633</v>
      </c>
      <c r="X838" s="33">
        <v>96485</v>
      </c>
      <c r="Y838" s="16">
        <f t="shared" si="433"/>
        <v>-193.38095712737351</v>
      </c>
      <c r="Z838" s="16">
        <v>8</v>
      </c>
      <c r="AA838" s="16">
        <v>17</v>
      </c>
      <c r="AB838" s="8">
        <f t="shared" si="434"/>
        <v>0.29721362229102166</v>
      </c>
      <c r="AC838" s="16">
        <f t="shared" si="445"/>
        <v>64.60808893273439</v>
      </c>
      <c r="AD838" s="20">
        <f>'PFAS Properties'!$W$46</f>
        <v>8</v>
      </c>
      <c r="AE838" s="8">
        <f>'PFAS Properties'!$S$46</f>
        <v>2.0166155475571776</v>
      </c>
      <c r="AF838" s="15">
        <f>'PFAS Properties'!$V$46</f>
        <v>5</v>
      </c>
      <c r="AG838" s="24">
        <v>7.18</v>
      </c>
      <c r="AH838" s="2" t="s">
        <v>163</v>
      </c>
      <c r="AI838" s="1" t="s">
        <v>363</v>
      </c>
      <c r="AJ838" s="1" t="s">
        <v>363</v>
      </c>
      <c r="AK838" s="1" t="s">
        <v>363</v>
      </c>
      <c r="AL838" s="1" t="s">
        <v>363</v>
      </c>
      <c r="AM838" s="1" t="s">
        <v>363</v>
      </c>
      <c r="AN838" s="1" t="s">
        <v>363</v>
      </c>
      <c r="AO838" s="1" t="s">
        <v>363</v>
      </c>
      <c r="AP838" s="15">
        <v>6.87</v>
      </c>
      <c r="AQ838" s="16" t="s">
        <v>661</v>
      </c>
      <c r="AR838" s="81">
        <v>41.137099999999997</v>
      </c>
      <c r="AS838" s="81">
        <v>37.024599999999992</v>
      </c>
      <c r="AT838" s="81">
        <v>21.452400000000001</v>
      </c>
      <c r="AU838" s="70" t="s">
        <v>752</v>
      </c>
      <c r="AV838" s="16">
        <f t="shared" si="446"/>
        <v>99.614099999999993</v>
      </c>
      <c r="AW838" s="20">
        <v>0.75</v>
      </c>
      <c r="AX838" s="8">
        <f t="shared" si="437"/>
        <v>7.4999999999999997E-3</v>
      </c>
      <c r="AY838" s="12" t="s">
        <v>87</v>
      </c>
      <c r="AZ838" s="16">
        <f>3/0.045</f>
        <v>66.666666666666671</v>
      </c>
      <c r="BA838" s="16" t="s">
        <v>55</v>
      </c>
      <c r="BB838" s="16">
        <v>100</v>
      </c>
      <c r="BC838" s="16">
        <v>1000</v>
      </c>
      <c r="BD838" s="24">
        <v>17.98</v>
      </c>
      <c r="BE838" s="16">
        <f t="shared" si="444"/>
        <v>2397.3333333333335</v>
      </c>
      <c r="BF838" s="16">
        <f t="shared" si="435"/>
        <v>3.3797284240055099</v>
      </c>
      <c r="BG838" s="8">
        <f t="shared" si="438"/>
        <v>1.25478968739721</v>
      </c>
      <c r="BH838" s="13" t="s">
        <v>863</v>
      </c>
      <c r="BI838" s="13"/>
      <c r="BJ838" s="13"/>
      <c r="BK838" s="8"/>
      <c r="BL838" s="8"/>
      <c r="BM838" s="18"/>
      <c r="BN838" s="8"/>
      <c r="BO838" s="24"/>
    </row>
    <row r="839" spans="1:67" s="14" customFormat="1" x14ac:dyDescent="0.3">
      <c r="A839" s="20">
        <v>837</v>
      </c>
      <c r="B839" s="2" t="s">
        <v>264</v>
      </c>
      <c r="C839" s="2">
        <v>2019</v>
      </c>
      <c r="D839" s="2" t="s">
        <v>203</v>
      </c>
      <c r="E839" s="10" t="s">
        <v>265</v>
      </c>
      <c r="F839" s="20" t="s">
        <v>29</v>
      </c>
      <c r="G839" s="2" t="s">
        <v>164</v>
      </c>
      <c r="H839" s="2" t="str">
        <f>'PFAS Properties'!$B$46</f>
        <v>PFOS</v>
      </c>
      <c r="I839" s="2" t="str">
        <f>'PFAS Properties'!$C$46</f>
        <v>PFSA</v>
      </c>
      <c r="J839" s="2" t="str">
        <f>'PFAS Properties'!$D$46</f>
        <v>C8HF17O3S</v>
      </c>
      <c r="K839" s="25">
        <f>'PFAS Properties'!$P$46</f>
        <v>499.93739999999997</v>
      </c>
      <c r="L839" s="2">
        <f>'PFAS Properties'!$X$46</f>
        <v>0.1</v>
      </c>
      <c r="M839" s="2" t="str">
        <f>'PFAS Properties'!$Y$46</f>
        <v>-</v>
      </c>
      <c r="N839" s="33">
        <v>0</v>
      </c>
      <c r="O839" s="33">
        <v>0</v>
      </c>
      <c r="P839" s="33">
        <v>0</v>
      </c>
      <c r="Q839" s="33">
        <f t="shared" si="410"/>
        <v>0.99999997488113634</v>
      </c>
      <c r="R839" s="33">
        <v>0</v>
      </c>
      <c r="S839" s="33">
        <f t="shared" si="411"/>
        <v>2.5118863684138424E-8</v>
      </c>
      <c r="T839" s="8">
        <f t="shared" si="429"/>
        <v>1</v>
      </c>
      <c r="U839" s="33">
        <f t="shared" si="430"/>
        <v>0</v>
      </c>
      <c r="V839" s="33">
        <f t="shared" si="431"/>
        <v>-0.99999997488113634</v>
      </c>
      <c r="W839" s="33">
        <f t="shared" si="432"/>
        <v>498.93740002511885</v>
      </c>
      <c r="X839" s="33">
        <v>96485</v>
      </c>
      <c r="Y839" s="16">
        <f t="shared" si="433"/>
        <v>-193.38096837709284</v>
      </c>
      <c r="Z839" s="16">
        <v>8</v>
      </c>
      <c r="AA839" s="16">
        <v>17</v>
      </c>
      <c r="AB839" s="8">
        <f t="shared" si="434"/>
        <v>0.29721362229102166</v>
      </c>
      <c r="AC839" s="16">
        <f t="shared" si="445"/>
        <v>64.60808893273439</v>
      </c>
      <c r="AD839" s="20">
        <f>'PFAS Properties'!$W$46</f>
        <v>8</v>
      </c>
      <c r="AE839" s="8">
        <f>'PFAS Properties'!$S$46</f>
        <v>2.0166155475571776</v>
      </c>
      <c r="AF839" s="15">
        <f>'PFAS Properties'!$V$46</f>
        <v>5</v>
      </c>
      <c r="AG839" s="24">
        <v>7.7</v>
      </c>
      <c r="AH839" s="8" t="s">
        <v>363</v>
      </c>
      <c r="AI839" s="2">
        <v>1.7</v>
      </c>
      <c r="AJ839" s="15">
        <f>AI839*1000/55.845</f>
        <v>30.441400304414003</v>
      </c>
      <c r="AK839" s="8">
        <f>AI839/10</f>
        <v>0.16999999999999998</v>
      </c>
      <c r="AL839" s="2">
        <v>1.4</v>
      </c>
      <c r="AM839" s="15">
        <f>AL839*1000/26.98</f>
        <v>51.890289103039287</v>
      </c>
      <c r="AN839" s="8">
        <f>AL839/10</f>
        <v>0.13999999999999999</v>
      </c>
      <c r="AO839" s="15" t="s">
        <v>165</v>
      </c>
      <c r="AP839" s="72">
        <v>5.7535666666666669</v>
      </c>
      <c r="AQ839" s="70" t="s">
        <v>752</v>
      </c>
      <c r="AR839" s="2">
        <v>96</v>
      </c>
      <c r="AS839" s="2">
        <v>1.5</v>
      </c>
      <c r="AT839" s="2">
        <v>3</v>
      </c>
      <c r="AU839" s="13" t="s">
        <v>661</v>
      </c>
      <c r="AV839" s="16">
        <f t="shared" si="446"/>
        <v>100.5</v>
      </c>
      <c r="AW839" s="18">
        <v>0.1</v>
      </c>
      <c r="AX839" s="8">
        <f t="shared" si="437"/>
        <v>1E-3</v>
      </c>
      <c r="AY839" s="12" t="s">
        <v>166</v>
      </c>
      <c r="AZ839" s="16">
        <f>7.5/0.015</f>
        <v>500</v>
      </c>
      <c r="BA839" s="12" t="s">
        <v>55</v>
      </c>
      <c r="BB839" s="16">
        <v>10</v>
      </c>
      <c r="BC839" s="16">
        <v>10000</v>
      </c>
      <c r="BD839" s="24">
        <f>BO839</f>
        <v>2.5885627679954286</v>
      </c>
      <c r="BE839" s="16">
        <f t="shared" si="444"/>
        <v>2588.5627679954287</v>
      </c>
      <c r="BF839" s="16">
        <f t="shared" si="435"/>
        <v>3.4130587003063049</v>
      </c>
      <c r="BG839" s="8">
        <f t="shared" si="438"/>
        <v>0.41305870030630498</v>
      </c>
      <c r="BH839" s="13" t="s">
        <v>782</v>
      </c>
      <c r="BI839" s="13">
        <v>1.24</v>
      </c>
      <c r="BJ839" s="13" t="s">
        <v>329</v>
      </c>
      <c r="BK839" s="8">
        <v>0.81</v>
      </c>
      <c r="BL839" s="8">
        <f>BI839*(K839/1000)/((K839^BK839)/1000)</f>
        <v>4.0384587789488693</v>
      </c>
      <c r="BM839" s="18">
        <f>'PFAS Properties'!$U$46</f>
        <v>10.39</v>
      </c>
      <c r="BN839" s="8">
        <f>(BL839*(BM839^BK839))</f>
        <v>26.895167159472507</v>
      </c>
      <c r="BO839" s="24">
        <f>BN839/BM839</f>
        <v>2.5885627679954286</v>
      </c>
    </row>
    <row r="840" spans="1:67" s="14" customFormat="1" x14ac:dyDescent="0.3">
      <c r="A840" s="20">
        <v>838</v>
      </c>
      <c r="B840" s="2" t="s">
        <v>264</v>
      </c>
      <c r="C840" s="2">
        <v>2019</v>
      </c>
      <c r="D840" s="2" t="s">
        <v>203</v>
      </c>
      <c r="E840" s="10" t="s">
        <v>265</v>
      </c>
      <c r="F840" s="20" t="s">
        <v>29</v>
      </c>
      <c r="G840" s="2" t="s">
        <v>167</v>
      </c>
      <c r="H840" s="2" t="str">
        <f>'PFAS Properties'!$B$46</f>
        <v>PFOS</v>
      </c>
      <c r="I840" s="2" t="str">
        <f>'PFAS Properties'!$C$46</f>
        <v>PFSA</v>
      </c>
      <c r="J840" s="2" t="str">
        <f>'PFAS Properties'!$D$46</f>
        <v>C8HF17O3S</v>
      </c>
      <c r="K840" s="25">
        <f>'PFAS Properties'!$P$46</f>
        <v>499.93739999999997</v>
      </c>
      <c r="L840" s="2">
        <f>'PFAS Properties'!$X$46</f>
        <v>0.1</v>
      </c>
      <c r="M840" s="2" t="str">
        <f>'PFAS Properties'!$Y$46</f>
        <v>-</v>
      </c>
      <c r="N840" s="33">
        <v>0</v>
      </c>
      <c r="O840" s="33">
        <v>0</v>
      </c>
      <c r="P840" s="33">
        <v>0</v>
      </c>
      <c r="Q840" s="33">
        <f t="shared" si="410"/>
        <v>0.99999997488113634</v>
      </c>
      <c r="R840" s="33">
        <v>0</v>
      </c>
      <c r="S840" s="33">
        <f t="shared" si="411"/>
        <v>2.5118863684138424E-8</v>
      </c>
      <c r="T840" s="8">
        <f t="shared" si="429"/>
        <v>1</v>
      </c>
      <c r="U840" s="33">
        <f t="shared" si="430"/>
        <v>0</v>
      </c>
      <c r="V840" s="33">
        <f t="shared" si="431"/>
        <v>-0.99999997488113634</v>
      </c>
      <c r="W840" s="33">
        <f t="shared" si="432"/>
        <v>498.93740002511885</v>
      </c>
      <c r="X840" s="33">
        <v>96485</v>
      </c>
      <c r="Y840" s="16">
        <f t="shared" si="433"/>
        <v>-193.38096837709284</v>
      </c>
      <c r="Z840" s="16">
        <v>8</v>
      </c>
      <c r="AA840" s="16">
        <v>17</v>
      </c>
      <c r="AB840" s="8">
        <f t="shared" si="434"/>
        <v>0.29721362229102166</v>
      </c>
      <c r="AC840" s="16">
        <f t="shared" si="445"/>
        <v>64.60808893273439</v>
      </c>
      <c r="AD840" s="20">
        <f>'PFAS Properties'!$W$46</f>
        <v>8</v>
      </c>
      <c r="AE840" s="8">
        <f>'PFAS Properties'!$S$46</f>
        <v>2.0166155475571776</v>
      </c>
      <c r="AF840" s="15">
        <f>'PFAS Properties'!$V$46</f>
        <v>5</v>
      </c>
      <c r="AG840" s="24">
        <v>7.7</v>
      </c>
      <c r="AH840" s="8" t="s">
        <v>363</v>
      </c>
      <c r="AI840" s="2">
        <v>0.31</v>
      </c>
      <c r="AJ840" s="15">
        <f>AI840*1000/55.845</f>
        <v>5.551078879040201</v>
      </c>
      <c r="AK840" s="8">
        <f>AI840/10</f>
        <v>3.1E-2</v>
      </c>
      <c r="AL840" s="2">
        <v>0.69</v>
      </c>
      <c r="AM840" s="15">
        <f>AL840*1000/26.98</f>
        <v>25.574499629355078</v>
      </c>
      <c r="AN840" s="8">
        <f>AL840/10</f>
        <v>6.8999999999999992E-2</v>
      </c>
      <c r="AO840" s="15" t="s">
        <v>165</v>
      </c>
      <c r="AP840" s="72">
        <v>5.7073166666666673</v>
      </c>
      <c r="AQ840" s="70" t="s">
        <v>752</v>
      </c>
      <c r="AR840" s="2">
        <v>95</v>
      </c>
      <c r="AS840" s="2">
        <v>0.6</v>
      </c>
      <c r="AT840" s="2">
        <v>4.4000000000000004</v>
      </c>
      <c r="AU840" s="16" t="s">
        <v>661</v>
      </c>
      <c r="AV840" s="16">
        <f t="shared" si="446"/>
        <v>100</v>
      </c>
      <c r="AW840" s="20">
        <v>0.38</v>
      </c>
      <c r="AX840" s="8">
        <f t="shared" si="437"/>
        <v>3.8E-3</v>
      </c>
      <c r="AY840" s="12" t="s">
        <v>166</v>
      </c>
      <c r="AZ840" s="16">
        <f>7.5/0.015</f>
        <v>500</v>
      </c>
      <c r="BA840" s="12" t="s">
        <v>55</v>
      </c>
      <c r="BB840" s="16">
        <v>10</v>
      </c>
      <c r="BC840" s="16">
        <v>10000</v>
      </c>
      <c r="BD840" s="24">
        <f>BO840</f>
        <v>2.6324054048362351</v>
      </c>
      <c r="BE840" s="16">
        <f t="shared" si="444"/>
        <v>692.73826443058817</v>
      </c>
      <c r="BF840" s="16">
        <f t="shared" si="435"/>
        <v>2.8405691772024348</v>
      </c>
      <c r="BG840" s="8">
        <f t="shared" si="438"/>
        <v>0.42035277381924485</v>
      </c>
      <c r="BH840" s="13" t="s">
        <v>782</v>
      </c>
      <c r="BI840" s="13">
        <v>1.08</v>
      </c>
      <c r="BJ840" s="13" t="s">
        <v>329</v>
      </c>
      <c r="BK840" s="8">
        <v>0.77</v>
      </c>
      <c r="BL840" s="8">
        <f>BI840*(K840/1000)/((K840^BK840)/1000)</f>
        <v>4.5099772356334045</v>
      </c>
      <c r="BM840" s="18">
        <f>'PFAS Properties'!$U$46</f>
        <v>10.39</v>
      </c>
      <c r="BN840" s="8">
        <f>(BL840*(BM840^BK840))</f>
        <v>27.350692156248485</v>
      </c>
      <c r="BO840" s="24">
        <f>BN840/BM840</f>
        <v>2.6324054048362351</v>
      </c>
    </row>
    <row r="841" spans="1:67" s="14" customFormat="1" x14ac:dyDescent="0.3">
      <c r="A841" s="20">
        <v>839</v>
      </c>
      <c r="B841" s="2" t="s">
        <v>221</v>
      </c>
      <c r="C841" s="2">
        <v>2016</v>
      </c>
      <c r="D841" s="2" t="s">
        <v>199</v>
      </c>
      <c r="E841" s="22" t="s">
        <v>811</v>
      </c>
      <c r="F841" s="20" t="s">
        <v>63</v>
      </c>
      <c r="G841" s="2" t="s">
        <v>64</v>
      </c>
      <c r="H841" s="2" t="str">
        <f>'PFAS Properties'!$B$46</f>
        <v>PFOS</v>
      </c>
      <c r="I841" s="2" t="str">
        <f>'PFAS Properties'!$C$46</f>
        <v>PFSA</v>
      </c>
      <c r="J841" s="2" t="str">
        <f>'PFAS Properties'!$D$46</f>
        <v>C8HF17O3S</v>
      </c>
      <c r="K841" s="25">
        <f>'PFAS Properties'!$P$46</f>
        <v>499.93739999999997</v>
      </c>
      <c r="L841" s="2">
        <f>'PFAS Properties'!$X$46</f>
        <v>0.1</v>
      </c>
      <c r="M841" s="2" t="str">
        <f>'PFAS Properties'!$Y$46</f>
        <v>-</v>
      </c>
      <c r="N841" s="33">
        <v>0</v>
      </c>
      <c r="O841" s="33">
        <v>0</v>
      </c>
      <c r="P841" s="33">
        <v>0</v>
      </c>
      <c r="Q841" s="33">
        <f t="shared" si="410"/>
        <v>0.99999996837722438</v>
      </c>
      <c r="R841" s="33">
        <v>0</v>
      </c>
      <c r="S841" s="33">
        <f t="shared" si="411"/>
        <v>3.1622775601683729E-8</v>
      </c>
      <c r="T841" s="8">
        <f t="shared" si="429"/>
        <v>1</v>
      </c>
      <c r="U841" s="33">
        <f t="shared" si="430"/>
        <v>0</v>
      </c>
      <c r="V841" s="33">
        <f t="shared" si="431"/>
        <v>-0.99999996837722438</v>
      </c>
      <c r="W841" s="33">
        <f t="shared" si="432"/>
        <v>498.93740003162276</v>
      </c>
      <c r="X841" s="33">
        <v>96485</v>
      </c>
      <c r="Y841" s="16">
        <f t="shared" si="433"/>
        <v>-193.38096711683923</v>
      </c>
      <c r="Z841" s="16">
        <v>8</v>
      </c>
      <c r="AA841" s="16">
        <v>17</v>
      </c>
      <c r="AB841" s="8">
        <f t="shared" si="434"/>
        <v>0.29721362229102166</v>
      </c>
      <c r="AC841" s="16">
        <f t="shared" si="445"/>
        <v>64.60808893273439</v>
      </c>
      <c r="AD841" s="20">
        <f>'PFAS Properties'!$W$46</f>
        <v>8</v>
      </c>
      <c r="AE841" s="8">
        <f>'PFAS Properties'!$S$46</f>
        <v>2.0166155475571776</v>
      </c>
      <c r="AF841" s="15">
        <f>'PFAS Properties'!$V$46</f>
        <v>5</v>
      </c>
      <c r="AG841" s="24">
        <v>7.6</v>
      </c>
      <c r="AH841" s="2" t="s">
        <v>661</v>
      </c>
      <c r="AI841" s="2">
        <v>2.8492E-2</v>
      </c>
      <c r="AJ841" s="15">
        <f>AI841*1000/55.845</f>
        <v>0.51019786910197873</v>
      </c>
      <c r="AK841" s="8">
        <f>AI841/10</f>
        <v>2.8492000000000001E-3</v>
      </c>
      <c r="AL841" s="12">
        <v>1.2054E-2</v>
      </c>
      <c r="AM841" s="15">
        <f>AL841*1000/26.98</f>
        <v>0.4467753891771683</v>
      </c>
      <c r="AN841" s="8">
        <f>AL841/10</f>
        <v>1.2054000000000001E-3</v>
      </c>
      <c r="AO841" s="2" t="s">
        <v>661</v>
      </c>
      <c r="AP841" s="72">
        <v>15.90036666666667</v>
      </c>
      <c r="AQ841" s="70" t="s">
        <v>752</v>
      </c>
      <c r="AR841" s="2">
        <v>4</v>
      </c>
      <c r="AS841" s="2">
        <v>61</v>
      </c>
      <c r="AT841" s="2">
        <v>35</v>
      </c>
      <c r="AU841" s="2" t="s">
        <v>661</v>
      </c>
      <c r="AV841" s="16">
        <f t="shared" si="446"/>
        <v>100</v>
      </c>
      <c r="AW841" s="20">
        <v>2.52</v>
      </c>
      <c r="AX841" s="8">
        <f t="shared" si="437"/>
        <v>2.52E-2</v>
      </c>
      <c r="AY841" s="13" t="s">
        <v>65</v>
      </c>
      <c r="AZ841" s="16">
        <f>5/0.04</f>
        <v>125</v>
      </c>
      <c r="BA841" s="16" t="s">
        <v>55</v>
      </c>
      <c r="BB841" s="15">
        <v>0.5</v>
      </c>
      <c r="BC841" s="16">
        <v>100</v>
      </c>
      <c r="BD841" s="18">
        <f>10^0.45</f>
        <v>2.8183829312644542</v>
      </c>
      <c r="BE841" s="16">
        <f t="shared" si="444"/>
        <v>111.84059251049422</v>
      </c>
      <c r="BF841" s="16">
        <f t="shared" si="435"/>
        <v>2.048599459218456</v>
      </c>
      <c r="BG841" s="8">
        <f t="shared" si="438"/>
        <v>0.45000000000000007</v>
      </c>
      <c r="BH841" s="13" t="s">
        <v>390</v>
      </c>
      <c r="BI841" s="13"/>
      <c r="BJ841" s="13"/>
      <c r="BK841" s="15"/>
      <c r="BL841" s="8"/>
      <c r="BM841" s="18"/>
      <c r="BN841" s="8"/>
      <c r="BO841" s="24"/>
    </row>
    <row r="842" spans="1:67" s="14" customFormat="1" x14ac:dyDescent="0.3">
      <c r="A842" s="20">
        <v>840</v>
      </c>
      <c r="B842" s="2" t="s">
        <v>202</v>
      </c>
      <c r="C842" s="2">
        <v>2019</v>
      </c>
      <c r="D842" s="2" t="s">
        <v>199</v>
      </c>
      <c r="E842" s="10" t="s">
        <v>791</v>
      </c>
      <c r="F842" s="20" t="s">
        <v>29</v>
      </c>
      <c r="G842" s="2" t="s">
        <v>39</v>
      </c>
      <c r="H842" s="2" t="str">
        <f>'PFAS Properties'!$B$46</f>
        <v>PFOS</v>
      </c>
      <c r="I842" s="2" t="str">
        <f>'PFAS Properties'!$C$46</f>
        <v>PFSA</v>
      </c>
      <c r="J842" s="2" t="str">
        <f>'PFAS Properties'!$D$46</f>
        <v>C8HF17O3S</v>
      </c>
      <c r="K842" s="25">
        <f>'PFAS Properties'!$P$46</f>
        <v>499.93739999999997</v>
      </c>
      <c r="L842" s="2">
        <f>'PFAS Properties'!$X$46</f>
        <v>0.1</v>
      </c>
      <c r="M842" s="2" t="str">
        <f>'PFAS Properties'!$Y$46</f>
        <v>-</v>
      </c>
      <c r="N842" s="33">
        <v>0</v>
      </c>
      <c r="O842" s="33">
        <v>0</v>
      </c>
      <c r="P842" s="33">
        <v>0</v>
      </c>
      <c r="Q842" s="33">
        <f t="shared" si="410"/>
        <v>0.99999292059227451</v>
      </c>
      <c r="R842" s="33">
        <v>0</v>
      </c>
      <c r="S842" s="33">
        <f t="shared" si="411"/>
        <v>7.0794077254728099E-6</v>
      </c>
      <c r="T842" s="8">
        <f t="shared" si="429"/>
        <v>1</v>
      </c>
      <c r="U842" s="33">
        <f t="shared" si="430"/>
        <v>0</v>
      </c>
      <c r="V842" s="33">
        <f t="shared" si="431"/>
        <v>-0.99999292059227451</v>
      </c>
      <c r="W842" s="33">
        <f t="shared" si="432"/>
        <v>498.93740707940771</v>
      </c>
      <c r="X842" s="33">
        <v>96485</v>
      </c>
      <c r="Y842" s="16">
        <f t="shared" si="433"/>
        <v>-193.3796014777256</v>
      </c>
      <c r="Z842" s="16">
        <v>8</v>
      </c>
      <c r="AA842" s="16">
        <v>17</v>
      </c>
      <c r="AB842" s="8">
        <f t="shared" si="434"/>
        <v>0.29721362229102166</v>
      </c>
      <c r="AC842" s="16">
        <f t="shared" si="445"/>
        <v>64.60808893273439</v>
      </c>
      <c r="AD842" s="20">
        <f>'PFAS Properties'!$W$46</f>
        <v>8</v>
      </c>
      <c r="AE842" s="8">
        <f>'PFAS Properties'!$S$46</f>
        <v>2.0166155475571776</v>
      </c>
      <c r="AF842" s="15">
        <f>'PFAS Properties'!$V$46</f>
        <v>5</v>
      </c>
      <c r="AG842" s="24">
        <v>5.25</v>
      </c>
      <c r="AH842" s="2" t="s">
        <v>661</v>
      </c>
      <c r="AI842" s="2" t="s">
        <v>661</v>
      </c>
      <c r="AJ842" s="2" t="s">
        <v>661</v>
      </c>
      <c r="AK842" s="2" t="s">
        <v>661</v>
      </c>
      <c r="AL842" s="2" t="s">
        <v>661</v>
      </c>
      <c r="AM842" s="2" t="s">
        <v>661</v>
      </c>
      <c r="AN842" s="2" t="s">
        <v>661</v>
      </c>
      <c r="AO842" s="2" t="s">
        <v>661</v>
      </c>
      <c r="AP842" s="72">
        <v>5.7023166666666656</v>
      </c>
      <c r="AQ842" s="70" t="s">
        <v>752</v>
      </c>
      <c r="AR842" s="16">
        <v>100</v>
      </c>
      <c r="AS842" s="16">
        <v>0</v>
      </c>
      <c r="AT842" s="16">
        <v>0</v>
      </c>
      <c r="AU842" s="2" t="s">
        <v>661</v>
      </c>
      <c r="AV842" s="16">
        <f t="shared" si="446"/>
        <v>100</v>
      </c>
      <c r="AW842" s="20">
        <v>0.4</v>
      </c>
      <c r="AX842" s="8">
        <f t="shared" si="437"/>
        <v>4.0000000000000001E-3</v>
      </c>
      <c r="AY842" s="13" t="s">
        <v>658</v>
      </c>
      <c r="AZ842" s="16">
        <f>2/0.01</f>
        <v>200</v>
      </c>
      <c r="BA842" s="16" t="s">
        <v>55</v>
      </c>
      <c r="BB842" s="16">
        <v>1</v>
      </c>
      <c r="BC842" s="16">
        <v>1000</v>
      </c>
      <c r="BD842" s="18">
        <v>12.6</v>
      </c>
      <c r="BE842" s="16">
        <f t="shared" si="444"/>
        <v>3150</v>
      </c>
      <c r="BF842" s="16">
        <f t="shared" si="435"/>
        <v>3.4983105537896004</v>
      </c>
      <c r="BG842" s="8">
        <f t="shared" si="438"/>
        <v>1.1003705451175629</v>
      </c>
      <c r="BH842" s="13" t="s">
        <v>272</v>
      </c>
      <c r="BI842" s="13"/>
      <c r="BJ842" s="13"/>
      <c r="BK842" s="13"/>
      <c r="BL842" s="13"/>
      <c r="BM842" s="17"/>
      <c r="BN842" s="17"/>
      <c r="BO842" s="2"/>
    </row>
    <row r="843" spans="1:67" s="14" customFormat="1" x14ac:dyDescent="0.3">
      <c r="A843" s="20">
        <v>841</v>
      </c>
      <c r="B843" s="2" t="s">
        <v>202</v>
      </c>
      <c r="C843" s="2">
        <v>2019</v>
      </c>
      <c r="D843" s="2" t="s">
        <v>199</v>
      </c>
      <c r="E843" s="10" t="s">
        <v>791</v>
      </c>
      <c r="F843" s="20" t="s">
        <v>29</v>
      </c>
      <c r="G843" s="2" t="s">
        <v>43</v>
      </c>
      <c r="H843" s="2" t="str">
        <f>'PFAS Properties'!$B$46</f>
        <v>PFOS</v>
      </c>
      <c r="I843" s="2" t="str">
        <f>'PFAS Properties'!$C$46</f>
        <v>PFSA</v>
      </c>
      <c r="J843" s="2" t="str">
        <f>'PFAS Properties'!$D$46</f>
        <v>C8HF17O3S</v>
      </c>
      <c r="K843" s="25">
        <f>'PFAS Properties'!$P$46</f>
        <v>499.93739999999997</v>
      </c>
      <c r="L843" s="2">
        <f>'PFAS Properties'!$X$46</f>
        <v>0.1</v>
      </c>
      <c r="M843" s="2" t="str">
        <f>'PFAS Properties'!$Y$46</f>
        <v>-</v>
      </c>
      <c r="N843" s="33">
        <v>0</v>
      </c>
      <c r="O843" s="33">
        <v>0</v>
      </c>
      <c r="P843" s="33">
        <v>0</v>
      </c>
      <c r="Q843" s="33">
        <f t="shared" si="410"/>
        <v>0.99999730847244039</v>
      </c>
      <c r="R843" s="33">
        <v>0</v>
      </c>
      <c r="S843" s="33">
        <f t="shared" si="411"/>
        <v>2.6915275595868084E-6</v>
      </c>
      <c r="T843" s="8">
        <f t="shared" si="429"/>
        <v>1</v>
      </c>
      <c r="U843" s="33">
        <f t="shared" si="430"/>
        <v>0</v>
      </c>
      <c r="V843" s="33">
        <f t="shared" si="431"/>
        <v>-0.99999730847244039</v>
      </c>
      <c r="W843" s="33">
        <f t="shared" si="432"/>
        <v>498.9374026915275</v>
      </c>
      <c r="X843" s="33">
        <v>96485</v>
      </c>
      <c r="Y843" s="16">
        <f t="shared" si="433"/>
        <v>-193.38045171092526</v>
      </c>
      <c r="Z843" s="16">
        <v>8</v>
      </c>
      <c r="AA843" s="16">
        <v>17</v>
      </c>
      <c r="AB843" s="8">
        <f t="shared" si="434"/>
        <v>0.29721362229102166</v>
      </c>
      <c r="AC843" s="16">
        <f t="shared" si="445"/>
        <v>64.60808893273439</v>
      </c>
      <c r="AD843" s="20">
        <f>'PFAS Properties'!$W$46</f>
        <v>8</v>
      </c>
      <c r="AE843" s="8">
        <f>'PFAS Properties'!$S$46</f>
        <v>2.0166155475571776</v>
      </c>
      <c r="AF843" s="15">
        <f>'PFAS Properties'!$V$46</f>
        <v>5</v>
      </c>
      <c r="AG843" s="24">
        <v>5.67</v>
      </c>
      <c r="AH843" s="2" t="s">
        <v>661</v>
      </c>
      <c r="AI843" s="15" t="s">
        <v>661</v>
      </c>
      <c r="AJ843" s="16" t="s">
        <v>661</v>
      </c>
      <c r="AK843" s="2" t="s">
        <v>661</v>
      </c>
      <c r="AL843" s="15" t="s">
        <v>661</v>
      </c>
      <c r="AM843" s="16" t="s">
        <v>661</v>
      </c>
      <c r="AN843" s="2" t="s">
        <v>661</v>
      </c>
      <c r="AO843" s="2" t="s">
        <v>661</v>
      </c>
      <c r="AP843" s="72">
        <v>9.2037666666666649</v>
      </c>
      <c r="AQ843" s="70" t="s">
        <v>752</v>
      </c>
      <c r="AR843" s="16">
        <v>71</v>
      </c>
      <c r="AS843" s="16">
        <v>24</v>
      </c>
      <c r="AT843" s="16">
        <v>5</v>
      </c>
      <c r="AU843" s="2" t="s">
        <v>661</v>
      </c>
      <c r="AV843" s="16">
        <f t="shared" si="446"/>
        <v>100</v>
      </c>
      <c r="AW843" s="20">
        <v>0.93</v>
      </c>
      <c r="AX843" s="8">
        <f t="shared" si="437"/>
        <v>9.300000000000001E-3</v>
      </c>
      <c r="AY843" s="13" t="s">
        <v>658</v>
      </c>
      <c r="AZ843" s="16">
        <f>2/0.01</f>
        <v>200</v>
      </c>
      <c r="BA843" s="16" t="s">
        <v>55</v>
      </c>
      <c r="BB843" s="16">
        <v>1</v>
      </c>
      <c r="BC843" s="16">
        <v>1000</v>
      </c>
      <c r="BD843" s="18">
        <v>3.6</v>
      </c>
      <c r="BE843" s="16">
        <f t="shared" si="444"/>
        <v>387.09677419354836</v>
      </c>
      <c r="BF843" s="16">
        <f t="shared" si="435"/>
        <v>2.587819552213352</v>
      </c>
      <c r="BG843" s="8">
        <f t="shared" si="438"/>
        <v>0.55630250076728727</v>
      </c>
      <c r="BH843" s="13" t="s">
        <v>272</v>
      </c>
      <c r="BI843" s="13"/>
      <c r="BJ843" s="13"/>
      <c r="BK843" s="13"/>
      <c r="BL843" s="13"/>
      <c r="BM843" s="17"/>
      <c r="BN843" s="17"/>
      <c r="BO843" s="2"/>
    </row>
    <row r="844" spans="1:67" s="14" customFormat="1" x14ac:dyDescent="0.3">
      <c r="A844" s="20">
        <v>842</v>
      </c>
      <c r="B844" s="2" t="s">
        <v>211</v>
      </c>
      <c r="C844" s="2">
        <v>2019</v>
      </c>
      <c r="D844" s="2" t="s">
        <v>212</v>
      </c>
      <c r="E844" s="10" t="s">
        <v>213</v>
      </c>
      <c r="F844" s="20" t="s">
        <v>29</v>
      </c>
      <c r="G844" s="2" t="s">
        <v>55</v>
      </c>
      <c r="H844" s="2" t="str">
        <f>'PFAS Properties'!$B$46</f>
        <v>PFOS</v>
      </c>
      <c r="I844" s="2" t="str">
        <f>'PFAS Properties'!$C$46</f>
        <v>PFSA</v>
      </c>
      <c r="J844" s="2" t="str">
        <f>'PFAS Properties'!$D$46</f>
        <v>C8HF17O3S</v>
      </c>
      <c r="K844" s="25">
        <f>'PFAS Properties'!$P$46</f>
        <v>499.93739999999997</v>
      </c>
      <c r="L844" s="2">
        <f>'PFAS Properties'!$X$46</f>
        <v>0.1</v>
      </c>
      <c r="M844" s="2" t="str">
        <f>'PFAS Properties'!$Y$46</f>
        <v>-</v>
      </c>
      <c r="N844" s="33">
        <v>0</v>
      </c>
      <c r="O844" s="33">
        <v>0</v>
      </c>
      <c r="P844" s="33">
        <v>0</v>
      </c>
      <c r="Q844" s="33">
        <f t="shared" si="410"/>
        <v>0.99999987410747471</v>
      </c>
      <c r="R844" s="33">
        <v>0</v>
      </c>
      <c r="S844" s="33">
        <f t="shared" si="411"/>
        <v>1.2589252533048661E-7</v>
      </c>
      <c r="T844" s="8">
        <f t="shared" si="429"/>
        <v>1</v>
      </c>
      <c r="U844" s="33">
        <f t="shared" si="430"/>
        <v>0</v>
      </c>
      <c r="V844" s="33">
        <f t="shared" si="431"/>
        <v>-0.99999987410747471</v>
      </c>
      <c r="W844" s="33">
        <f t="shared" si="432"/>
        <v>498.93740012589251</v>
      </c>
      <c r="X844" s="33">
        <v>96485</v>
      </c>
      <c r="Y844" s="16">
        <f t="shared" si="433"/>
        <v>-193.38094885032569</v>
      </c>
      <c r="Z844" s="16">
        <v>8</v>
      </c>
      <c r="AA844" s="16">
        <v>17</v>
      </c>
      <c r="AB844" s="8">
        <f t="shared" si="434"/>
        <v>0.29721362229102166</v>
      </c>
      <c r="AC844" s="16">
        <f t="shared" si="445"/>
        <v>64.60808893273439</v>
      </c>
      <c r="AD844" s="20">
        <f>'PFAS Properties'!$W$46</f>
        <v>8</v>
      </c>
      <c r="AE844" s="8">
        <f>'PFAS Properties'!$S$46</f>
        <v>2.0166155475571776</v>
      </c>
      <c r="AF844" s="15">
        <f>'PFAS Properties'!$V$46</f>
        <v>5</v>
      </c>
      <c r="AG844" s="24">
        <v>7</v>
      </c>
      <c r="AH844" s="2" t="s">
        <v>661</v>
      </c>
      <c r="AI844" s="2" t="s">
        <v>661</v>
      </c>
      <c r="AJ844" s="2" t="s">
        <v>661</v>
      </c>
      <c r="AK844" s="2" t="s">
        <v>661</v>
      </c>
      <c r="AL844" s="2" t="s">
        <v>661</v>
      </c>
      <c r="AM844" s="2" t="s">
        <v>661</v>
      </c>
      <c r="AN844" s="2" t="s">
        <v>661</v>
      </c>
      <c r="AO844" s="2" t="s">
        <v>661</v>
      </c>
      <c r="AP844" s="59">
        <f>(26.31+26.59+27.81)/3</f>
        <v>26.903333333333332</v>
      </c>
      <c r="AQ844" s="16" t="s">
        <v>661</v>
      </c>
      <c r="AR844" s="71">
        <v>31.549399999999999</v>
      </c>
      <c r="AS844" s="71">
        <v>38.265099999999997</v>
      </c>
      <c r="AT844" s="71">
        <v>30.404799999999991</v>
      </c>
      <c r="AU844" s="70" t="s">
        <v>752</v>
      </c>
      <c r="AV844" s="16">
        <f t="shared" si="446"/>
        <v>100.21929999999999</v>
      </c>
      <c r="AW844" s="18">
        <f>(1.55+1.44+1.34)/3</f>
        <v>1.4433333333333334</v>
      </c>
      <c r="AX844" s="8">
        <f t="shared" si="437"/>
        <v>1.4433333333333333E-2</v>
      </c>
      <c r="AY844" s="8" t="s">
        <v>829</v>
      </c>
      <c r="AZ844" s="16">
        <f>5/0.01</f>
        <v>500</v>
      </c>
      <c r="BA844" s="16" t="s">
        <v>55</v>
      </c>
      <c r="BB844" s="16">
        <v>10</v>
      </c>
      <c r="BC844" s="16">
        <v>100</v>
      </c>
      <c r="BD844" s="20">
        <v>1.4</v>
      </c>
      <c r="BE844" s="16">
        <f t="shared" si="444"/>
        <v>96.997690531177824</v>
      </c>
      <c r="BF844" s="16">
        <f t="shared" si="435"/>
        <v>1.986761394044535</v>
      </c>
      <c r="BG844" s="8">
        <f t="shared" si="438"/>
        <v>0.14612803567823801</v>
      </c>
      <c r="BH844" s="2" t="s">
        <v>837</v>
      </c>
      <c r="BI844" s="13"/>
      <c r="BJ844" s="13"/>
      <c r="BK844" s="13"/>
      <c r="BL844" s="13"/>
      <c r="BM844" s="17"/>
      <c r="BN844" s="17"/>
      <c r="BO844" s="2"/>
    </row>
    <row r="845" spans="1:67" s="14" customFormat="1" x14ac:dyDescent="0.3">
      <c r="A845" s="20">
        <v>843</v>
      </c>
      <c r="B845" s="2" t="s">
        <v>219</v>
      </c>
      <c r="C845" s="2">
        <v>2020</v>
      </c>
      <c r="D845" s="2" t="s">
        <v>201</v>
      </c>
      <c r="E845" s="10" t="s">
        <v>801</v>
      </c>
      <c r="F845" s="20" t="s">
        <v>29</v>
      </c>
      <c r="G845" s="2" t="s">
        <v>66</v>
      </c>
      <c r="H845" s="2" t="str">
        <f>'PFAS Properties'!$B$46</f>
        <v>PFOS</v>
      </c>
      <c r="I845" s="2" t="str">
        <f>'PFAS Properties'!$C$46</f>
        <v>PFSA</v>
      </c>
      <c r="J845" s="2" t="str">
        <f>'PFAS Properties'!$D$46</f>
        <v>C8HF17O3S</v>
      </c>
      <c r="K845" s="25">
        <f>'PFAS Properties'!$P$46</f>
        <v>499.93739999999997</v>
      </c>
      <c r="L845" s="2">
        <f>'PFAS Properties'!$X$46</f>
        <v>0.1</v>
      </c>
      <c r="M845" s="2" t="str">
        <f>'PFAS Properties'!$Y$46</f>
        <v>-</v>
      </c>
      <c r="N845" s="33">
        <v>0</v>
      </c>
      <c r="O845" s="33">
        <v>0</v>
      </c>
      <c r="P845" s="33">
        <v>0</v>
      </c>
      <c r="Q845" s="33">
        <f t="shared" si="410"/>
        <v>0.99999988779816718</v>
      </c>
      <c r="R845" s="33">
        <v>0</v>
      </c>
      <c r="S845" s="33">
        <f t="shared" si="411"/>
        <v>1.1220183284094351E-7</v>
      </c>
      <c r="T845" s="8">
        <f t="shared" si="429"/>
        <v>1</v>
      </c>
      <c r="U845" s="33">
        <f t="shared" si="430"/>
        <v>0</v>
      </c>
      <c r="V845" s="33">
        <f t="shared" si="431"/>
        <v>-0.99999988779816718</v>
      </c>
      <c r="W845" s="33">
        <f t="shared" si="432"/>
        <v>498.93740011220177</v>
      </c>
      <c r="X845" s="33">
        <v>96485</v>
      </c>
      <c r="Y845" s="16">
        <f t="shared" si="433"/>
        <v>-193.38095150315146</v>
      </c>
      <c r="Z845" s="16">
        <v>8</v>
      </c>
      <c r="AA845" s="16">
        <v>17</v>
      </c>
      <c r="AB845" s="8">
        <f t="shared" si="434"/>
        <v>0.29721362229102166</v>
      </c>
      <c r="AC845" s="16">
        <f t="shared" si="445"/>
        <v>64.60808893273439</v>
      </c>
      <c r="AD845" s="20">
        <f>'PFAS Properties'!$W$46</f>
        <v>8</v>
      </c>
      <c r="AE845" s="8">
        <f>'PFAS Properties'!$S$46</f>
        <v>2.0166155475571776</v>
      </c>
      <c r="AF845" s="15">
        <f>'PFAS Properties'!$V$46</f>
        <v>5</v>
      </c>
      <c r="AG845" s="24">
        <v>7.05</v>
      </c>
      <c r="AH845" s="2" t="s">
        <v>661</v>
      </c>
      <c r="AI845" s="2">
        <v>9.9</v>
      </c>
      <c r="AJ845" s="15">
        <f t="shared" ref="AJ845:AJ863" si="447">AI845*1000/55.845</f>
        <v>177.27639000805803</v>
      </c>
      <c r="AK845" s="15">
        <f t="shared" ref="AK845:AK863" si="448">AI845/10</f>
        <v>0.99</v>
      </c>
      <c r="AL845" s="2">
        <v>3.3</v>
      </c>
      <c r="AM845" s="15">
        <f t="shared" ref="AM845:AM863" si="449">AL845*1000/26.98</f>
        <v>122.31282431430689</v>
      </c>
      <c r="AN845" s="15">
        <f t="shared" ref="AN845:AN863" si="450">AL845/10</f>
        <v>0.32999999999999996</v>
      </c>
      <c r="AO845" s="2" t="s">
        <v>710</v>
      </c>
      <c r="AP845" s="72">
        <v>7.6433666666666662</v>
      </c>
      <c r="AQ845" s="70" t="s">
        <v>752</v>
      </c>
      <c r="AR845" s="2">
        <v>78</v>
      </c>
      <c r="AS845" s="2">
        <v>5</v>
      </c>
      <c r="AT845" s="2">
        <v>11</v>
      </c>
      <c r="AU845" s="2" t="s">
        <v>661</v>
      </c>
      <c r="AV845" s="16">
        <f t="shared" si="446"/>
        <v>94</v>
      </c>
      <c r="AW845" s="20">
        <v>1.6</v>
      </c>
      <c r="AX845" s="8">
        <f t="shared" si="437"/>
        <v>1.6E-2</v>
      </c>
      <c r="AY845" s="8" t="s">
        <v>67</v>
      </c>
      <c r="AZ845" s="16">
        <f t="shared" ref="AZ845:AZ863" si="451">1.5/0.075</f>
        <v>20</v>
      </c>
      <c r="BA845" s="16" t="s">
        <v>55</v>
      </c>
      <c r="BB845" s="16">
        <v>10</v>
      </c>
      <c r="BC845" s="16" t="s">
        <v>55</v>
      </c>
      <c r="BD845" s="18">
        <v>14.41</v>
      </c>
      <c r="BE845" s="16">
        <f t="shared" si="444"/>
        <v>900.625</v>
      </c>
      <c r="BF845" s="16">
        <f t="shared" si="435"/>
        <v>2.9545439981580643</v>
      </c>
      <c r="BG845" s="8">
        <f t="shared" si="438"/>
        <v>1.1586639808139894</v>
      </c>
      <c r="BH845" s="13" t="s">
        <v>841</v>
      </c>
      <c r="BI845" s="13"/>
      <c r="BJ845" s="13"/>
      <c r="BK845" s="8"/>
      <c r="BL845" s="8"/>
      <c r="BM845" s="18"/>
      <c r="BN845" s="8"/>
      <c r="BO845" s="24"/>
    </row>
    <row r="846" spans="1:67" s="14" customFormat="1" x14ac:dyDescent="0.3">
      <c r="A846" s="20">
        <v>844</v>
      </c>
      <c r="B846" s="2" t="s">
        <v>219</v>
      </c>
      <c r="C846" s="2">
        <v>2020</v>
      </c>
      <c r="D846" s="2" t="s">
        <v>201</v>
      </c>
      <c r="E846" s="10" t="s">
        <v>801</v>
      </c>
      <c r="F846" s="20" t="s">
        <v>29</v>
      </c>
      <c r="G846" s="2" t="s">
        <v>68</v>
      </c>
      <c r="H846" s="2" t="str">
        <f>'PFAS Properties'!$B$46</f>
        <v>PFOS</v>
      </c>
      <c r="I846" s="2" t="str">
        <f>'PFAS Properties'!$C$46</f>
        <v>PFSA</v>
      </c>
      <c r="J846" s="2" t="str">
        <f>'PFAS Properties'!$D$46</f>
        <v>C8HF17O3S</v>
      </c>
      <c r="K846" s="25">
        <f>'PFAS Properties'!$P$46</f>
        <v>499.93739999999997</v>
      </c>
      <c r="L846" s="2">
        <f>'PFAS Properties'!$X$46</f>
        <v>0.1</v>
      </c>
      <c r="M846" s="2" t="str">
        <f>'PFAS Properties'!$Y$46</f>
        <v>-</v>
      </c>
      <c r="N846" s="33">
        <v>0</v>
      </c>
      <c r="O846" s="33">
        <v>0</v>
      </c>
      <c r="P846" s="33">
        <v>0</v>
      </c>
      <c r="Q846" s="33">
        <f t="shared" si="410"/>
        <v>0.99999993690426958</v>
      </c>
      <c r="R846" s="33">
        <v>0</v>
      </c>
      <c r="S846" s="33">
        <f t="shared" si="411"/>
        <v>6.3095730466947729E-8</v>
      </c>
      <c r="T846" s="8">
        <f t="shared" si="429"/>
        <v>1</v>
      </c>
      <c r="U846" s="33">
        <f t="shared" si="430"/>
        <v>0</v>
      </c>
      <c r="V846" s="33">
        <f t="shared" si="431"/>
        <v>-0.99999993690426958</v>
      </c>
      <c r="W846" s="33">
        <f t="shared" si="432"/>
        <v>498.93740006309571</v>
      </c>
      <c r="X846" s="33">
        <v>96485</v>
      </c>
      <c r="Y846" s="16">
        <f t="shared" si="433"/>
        <v>-193.38096101837013</v>
      </c>
      <c r="Z846" s="16">
        <v>8</v>
      </c>
      <c r="AA846" s="16">
        <v>17</v>
      </c>
      <c r="AB846" s="8">
        <f t="shared" si="434"/>
        <v>0.29721362229102166</v>
      </c>
      <c r="AC846" s="16">
        <f t="shared" si="445"/>
        <v>64.60808893273439</v>
      </c>
      <c r="AD846" s="20">
        <f>'PFAS Properties'!$W$46</f>
        <v>8</v>
      </c>
      <c r="AE846" s="8">
        <f>'PFAS Properties'!$S$46</f>
        <v>2.0166155475571776</v>
      </c>
      <c r="AF846" s="15">
        <f>'PFAS Properties'!$V$46</f>
        <v>5</v>
      </c>
      <c r="AG846" s="24">
        <v>7.3</v>
      </c>
      <c r="AH846" s="2" t="s">
        <v>661</v>
      </c>
      <c r="AI846" s="2">
        <v>1.1000000000000001</v>
      </c>
      <c r="AJ846" s="15">
        <f t="shared" si="447"/>
        <v>19.697376667562004</v>
      </c>
      <c r="AK846" s="15">
        <f t="shared" si="448"/>
        <v>0.11000000000000001</v>
      </c>
      <c r="AL846" s="2">
        <v>0.54</v>
      </c>
      <c r="AM846" s="15">
        <f t="shared" si="449"/>
        <v>20.014825796886583</v>
      </c>
      <c r="AN846" s="15">
        <f t="shared" si="450"/>
        <v>5.4000000000000006E-2</v>
      </c>
      <c r="AO846" s="2" t="s">
        <v>710</v>
      </c>
      <c r="AP846" s="72">
        <v>14.54611666666667</v>
      </c>
      <c r="AQ846" s="70" t="s">
        <v>752</v>
      </c>
      <c r="AR846" s="2">
        <v>92</v>
      </c>
      <c r="AS846" s="2">
        <v>0.7</v>
      </c>
      <c r="AT846" s="2">
        <v>3.1</v>
      </c>
      <c r="AU846" s="2" t="s">
        <v>661</v>
      </c>
      <c r="AV846" s="16">
        <f t="shared" si="446"/>
        <v>95.8</v>
      </c>
      <c r="AW846" s="20">
        <v>0.5</v>
      </c>
      <c r="AX846" s="8">
        <f t="shared" si="437"/>
        <v>5.0000000000000001E-3</v>
      </c>
      <c r="AY846" s="8" t="s">
        <v>67</v>
      </c>
      <c r="AZ846" s="16">
        <f t="shared" si="451"/>
        <v>20</v>
      </c>
      <c r="BA846" s="16" t="s">
        <v>55</v>
      </c>
      <c r="BB846" s="16">
        <v>10</v>
      </c>
      <c r="BC846" s="16" t="s">
        <v>55</v>
      </c>
      <c r="BD846" s="18">
        <v>10.69</v>
      </c>
      <c r="BE846" s="16">
        <f t="shared" si="444"/>
        <v>2138</v>
      </c>
      <c r="BF846" s="16">
        <f t="shared" si="435"/>
        <v>3.3300077008727591</v>
      </c>
      <c r="BG846" s="8">
        <f t="shared" si="438"/>
        <v>1.0289777052087781</v>
      </c>
      <c r="BH846" s="13" t="s">
        <v>841</v>
      </c>
      <c r="BI846" s="13"/>
      <c r="BJ846" s="13"/>
      <c r="BK846" s="8"/>
      <c r="BL846" s="8"/>
      <c r="BM846" s="18"/>
      <c r="BN846" s="8"/>
      <c r="BO846" s="24"/>
    </row>
    <row r="847" spans="1:67" s="14" customFormat="1" x14ac:dyDescent="0.3">
      <c r="A847" s="20">
        <v>845</v>
      </c>
      <c r="B847" s="2" t="s">
        <v>219</v>
      </c>
      <c r="C847" s="2">
        <v>2020</v>
      </c>
      <c r="D847" s="2" t="s">
        <v>201</v>
      </c>
      <c r="E847" s="10" t="s">
        <v>801</v>
      </c>
      <c r="F847" s="20" t="s">
        <v>29</v>
      </c>
      <c r="G847" s="2" t="s">
        <v>69</v>
      </c>
      <c r="H847" s="2" t="str">
        <f>'PFAS Properties'!$B$46</f>
        <v>PFOS</v>
      </c>
      <c r="I847" s="2" t="str">
        <f>'PFAS Properties'!$C$46</f>
        <v>PFSA</v>
      </c>
      <c r="J847" s="2" t="str">
        <f>'PFAS Properties'!$D$46</f>
        <v>C8HF17O3S</v>
      </c>
      <c r="K847" s="25">
        <f>'PFAS Properties'!$P$46</f>
        <v>499.93739999999997</v>
      </c>
      <c r="L847" s="2">
        <f>'PFAS Properties'!$X$46</f>
        <v>0.1</v>
      </c>
      <c r="M847" s="2" t="str">
        <f>'PFAS Properties'!$Y$46</f>
        <v>-</v>
      </c>
      <c r="N847" s="33">
        <v>0</v>
      </c>
      <c r="O847" s="33">
        <v>0</v>
      </c>
      <c r="P847" s="33">
        <v>0</v>
      </c>
      <c r="Q847" s="33">
        <f t="shared" si="410"/>
        <v>0.99999991871695504</v>
      </c>
      <c r="R847" s="33">
        <v>0</v>
      </c>
      <c r="S847" s="33">
        <f t="shared" si="411"/>
        <v>8.128304500947571E-8</v>
      </c>
      <c r="T847" s="8">
        <f t="shared" si="429"/>
        <v>1</v>
      </c>
      <c r="U847" s="33">
        <f t="shared" si="430"/>
        <v>0</v>
      </c>
      <c r="V847" s="33">
        <f t="shared" si="431"/>
        <v>-0.99999991871695504</v>
      </c>
      <c r="W847" s="33">
        <f t="shared" si="432"/>
        <v>498.93740008128299</v>
      </c>
      <c r="X847" s="33">
        <v>96485</v>
      </c>
      <c r="Y847" s="16">
        <f t="shared" si="433"/>
        <v>-193.38095749424042</v>
      </c>
      <c r="Z847" s="16">
        <v>8</v>
      </c>
      <c r="AA847" s="16">
        <v>17</v>
      </c>
      <c r="AB847" s="8">
        <f t="shared" si="434"/>
        <v>0.29721362229102166</v>
      </c>
      <c r="AC847" s="16">
        <f t="shared" si="445"/>
        <v>64.60808893273439</v>
      </c>
      <c r="AD847" s="20">
        <f>'PFAS Properties'!$W$46</f>
        <v>8</v>
      </c>
      <c r="AE847" s="8">
        <f>'PFAS Properties'!$S$46</f>
        <v>2.0166155475571776</v>
      </c>
      <c r="AF847" s="15">
        <f>'PFAS Properties'!$V$46</f>
        <v>5</v>
      </c>
      <c r="AG847" s="24">
        <v>7.19</v>
      </c>
      <c r="AH847" s="2" t="s">
        <v>661</v>
      </c>
      <c r="AI847" s="2">
        <v>3</v>
      </c>
      <c r="AJ847" s="15">
        <f t="shared" si="447"/>
        <v>53.720118184260009</v>
      </c>
      <c r="AK847" s="15">
        <f t="shared" si="448"/>
        <v>0.3</v>
      </c>
      <c r="AL847" s="2">
        <v>1.2</v>
      </c>
      <c r="AM847" s="15">
        <f t="shared" si="449"/>
        <v>44.477390659747961</v>
      </c>
      <c r="AN847" s="15">
        <f t="shared" si="450"/>
        <v>0.12</v>
      </c>
      <c r="AO847" s="2" t="s">
        <v>710</v>
      </c>
      <c r="AP847" s="72">
        <v>5.4888166666666667</v>
      </c>
      <c r="AQ847" s="70" t="s">
        <v>752</v>
      </c>
      <c r="AR847" s="2">
        <v>83</v>
      </c>
      <c r="AS847" s="2">
        <v>1.9</v>
      </c>
      <c r="AT847" s="2">
        <v>5.3</v>
      </c>
      <c r="AU847" s="2" t="s">
        <v>661</v>
      </c>
      <c r="AV847" s="16">
        <f t="shared" si="446"/>
        <v>90.2</v>
      </c>
      <c r="AW847" s="20">
        <v>2.7</v>
      </c>
      <c r="AX847" s="8">
        <f t="shared" si="437"/>
        <v>2.7000000000000003E-2</v>
      </c>
      <c r="AY847" s="8" t="s">
        <v>67</v>
      </c>
      <c r="AZ847" s="16">
        <f t="shared" si="451"/>
        <v>20</v>
      </c>
      <c r="BA847" s="16" t="s">
        <v>55</v>
      </c>
      <c r="BB847" s="16">
        <v>10</v>
      </c>
      <c r="BC847" s="16" t="s">
        <v>55</v>
      </c>
      <c r="BD847" s="18">
        <v>24.69</v>
      </c>
      <c r="BE847" s="16">
        <f t="shared" si="444"/>
        <v>914.44444444444434</v>
      </c>
      <c r="BF847" s="16">
        <f t="shared" si="435"/>
        <v>2.9611573257729451</v>
      </c>
      <c r="BG847" s="8">
        <f t="shared" si="438"/>
        <v>1.3925210899319322</v>
      </c>
      <c r="BH847" s="13" t="s">
        <v>841</v>
      </c>
      <c r="BI847" s="13"/>
      <c r="BJ847" s="13"/>
      <c r="BK847" s="8"/>
      <c r="BL847" s="8"/>
      <c r="BM847" s="18"/>
      <c r="BN847" s="8"/>
      <c r="BO847" s="24"/>
    </row>
    <row r="848" spans="1:67" s="14" customFormat="1" x14ac:dyDescent="0.3">
      <c r="A848" s="20">
        <v>846</v>
      </c>
      <c r="B848" s="2" t="s">
        <v>219</v>
      </c>
      <c r="C848" s="2">
        <v>2020</v>
      </c>
      <c r="D848" s="2" t="s">
        <v>201</v>
      </c>
      <c r="E848" s="10" t="s">
        <v>801</v>
      </c>
      <c r="F848" s="20" t="s">
        <v>29</v>
      </c>
      <c r="G848" s="2" t="s">
        <v>70</v>
      </c>
      <c r="H848" s="2" t="str">
        <f>'PFAS Properties'!$B$46</f>
        <v>PFOS</v>
      </c>
      <c r="I848" s="2" t="str">
        <f>'PFAS Properties'!$C$46</f>
        <v>PFSA</v>
      </c>
      <c r="J848" s="2" t="str">
        <f>'PFAS Properties'!$D$46</f>
        <v>C8HF17O3S</v>
      </c>
      <c r="K848" s="25">
        <f>'PFAS Properties'!$P$46</f>
        <v>499.93739999999997</v>
      </c>
      <c r="L848" s="2">
        <f>'PFAS Properties'!$X$46</f>
        <v>0.1</v>
      </c>
      <c r="M848" s="2" t="str">
        <f>'PFAS Properties'!$Y$46</f>
        <v>-</v>
      </c>
      <c r="N848" s="33">
        <v>0</v>
      </c>
      <c r="O848" s="33">
        <v>0</v>
      </c>
      <c r="P848" s="33">
        <v>0</v>
      </c>
      <c r="Q848" s="33">
        <f t="shared" ref="Q848:Q911" si="452">(10^(AG848-L848))/(1+(10^(AG848-L848)))</f>
        <v>0.9999999601892845</v>
      </c>
      <c r="R848" s="33">
        <v>0</v>
      </c>
      <c r="S848" s="33">
        <f t="shared" ref="S848:S911" si="453">(1/(1+(10^(AG848-L848))))</f>
        <v>3.9810715470456442E-8</v>
      </c>
      <c r="T848" s="8">
        <f t="shared" si="429"/>
        <v>1</v>
      </c>
      <c r="U848" s="33">
        <f t="shared" si="430"/>
        <v>0</v>
      </c>
      <c r="V848" s="33">
        <f t="shared" si="431"/>
        <v>-0.9999999601892845</v>
      </c>
      <c r="W848" s="33">
        <f t="shared" si="432"/>
        <v>498.93740003981065</v>
      </c>
      <c r="X848" s="33">
        <v>96485</v>
      </c>
      <c r="Y848" s="16">
        <f t="shared" si="433"/>
        <v>-193.38096553027393</v>
      </c>
      <c r="Z848" s="16">
        <v>8</v>
      </c>
      <c r="AA848" s="16">
        <v>17</v>
      </c>
      <c r="AB848" s="8">
        <f t="shared" si="434"/>
        <v>0.29721362229102166</v>
      </c>
      <c r="AC848" s="16">
        <f t="shared" si="445"/>
        <v>64.60808893273439</v>
      </c>
      <c r="AD848" s="20">
        <f>'PFAS Properties'!$W$46</f>
        <v>8</v>
      </c>
      <c r="AE848" s="8">
        <f>'PFAS Properties'!$S$46</f>
        <v>2.0166155475571776</v>
      </c>
      <c r="AF848" s="15">
        <f>'PFAS Properties'!$V$46</f>
        <v>5</v>
      </c>
      <c r="AG848" s="24">
        <v>7.5</v>
      </c>
      <c r="AH848" s="2" t="s">
        <v>661</v>
      </c>
      <c r="AI848" s="2">
        <v>2.2000000000000002</v>
      </c>
      <c r="AJ848" s="15">
        <f t="shared" si="447"/>
        <v>39.394753335124008</v>
      </c>
      <c r="AK848" s="15">
        <f t="shared" si="448"/>
        <v>0.22000000000000003</v>
      </c>
      <c r="AL848" s="2">
        <v>8</v>
      </c>
      <c r="AM848" s="15">
        <f t="shared" si="449"/>
        <v>296.51593773165308</v>
      </c>
      <c r="AN848" s="15">
        <f t="shared" si="450"/>
        <v>0.8</v>
      </c>
      <c r="AO848" s="2" t="s">
        <v>710</v>
      </c>
      <c r="AP848" s="72">
        <v>5.670066666666667</v>
      </c>
      <c r="AQ848" s="70" t="s">
        <v>752</v>
      </c>
      <c r="AR848" s="2">
        <v>76</v>
      </c>
      <c r="AS848" s="2">
        <v>6</v>
      </c>
      <c r="AT848" s="2">
        <v>13</v>
      </c>
      <c r="AU848" s="2" t="s">
        <v>661</v>
      </c>
      <c r="AV848" s="16">
        <f t="shared" si="446"/>
        <v>95</v>
      </c>
      <c r="AW848" s="20">
        <v>1.1000000000000001</v>
      </c>
      <c r="AX848" s="8">
        <f t="shared" si="437"/>
        <v>1.1000000000000001E-2</v>
      </c>
      <c r="AY848" s="8" t="s">
        <v>67</v>
      </c>
      <c r="AZ848" s="16">
        <f t="shared" si="451"/>
        <v>20</v>
      </c>
      <c r="BA848" s="16" t="s">
        <v>55</v>
      </c>
      <c r="BB848" s="16">
        <v>10</v>
      </c>
      <c r="BC848" s="16" t="s">
        <v>55</v>
      </c>
      <c r="BD848" s="18">
        <v>9.76</v>
      </c>
      <c r="BE848" s="16">
        <f t="shared" si="444"/>
        <v>887.27272727272714</v>
      </c>
      <c r="BF848" s="16">
        <f t="shared" si="435"/>
        <v>2.9480571325084668</v>
      </c>
      <c r="BG848" s="8">
        <f t="shared" si="438"/>
        <v>0.98944981766669182</v>
      </c>
      <c r="BH848" s="13" t="s">
        <v>841</v>
      </c>
      <c r="BI848" s="13"/>
      <c r="BJ848" s="13"/>
      <c r="BK848" s="8"/>
      <c r="BL848" s="8"/>
      <c r="BM848" s="18"/>
      <c r="BN848" s="8"/>
      <c r="BO848" s="24"/>
    </row>
    <row r="849" spans="1:67" s="14" customFormat="1" x14ac:dyDescent="0.3">
      <c r="A849" s="20">
        <v>847</v>
      </c>
      <c r="B849" s="2" t="s">
        <v>219</v>
      </c>
      <c r="C849" s="2">
        <v>2020</v>
      </c>
      <c r="D849" s="2" t="s">
        <v>201</v>
      </c>
      <c r="E849" s="10" t="s">
        <v>801</v>
      </c>
      <c r="F849" s="20" t="s">
        <v>29</v>
      </c>
      <c r="G849" s="2" t="s">
        <v>71</v>
      </c>
      <c r="H849" s="2" t="str">
        <f>'PFAS Properties'!$B$46</f>
        <v>PFOS</v>
      </c>
      <c r="I849" s="2" t="str">
        <f>'PFAS Properties'!$C$46</f>
        <v>PFSA</v>
      </c>
      <c r="J849" s="2" t="str">
        <f>'PFAS Properties'!$D$46</f>
        <v>C8HF17O3S</v>
      </c>
      <c r="K849" s="25">
        <f>'PFAS Properties'!$P$46</f>
        <v>499.93739999999997</v>
      </c>
      <c r="L849" s="2">
        <f>'PFAS Properties'!$X$46</f>
        <v>0.1</v>
      </c>
      <c r="M849" s="2" t="str">
        <f>'PFAS Properties'!$Y$46</f>
        <v>-</v>
      </c>
      <c r="N849" s="33">
        <v>0</v>
      </c>
      <c r="O849" s="33">
        <v>0</v>
      </c>
      <c r="P849" s="33">
        <v>0</v>
      </c>
      <c r="Q849" s="33">
        <f t="shared" si="452"/>
        <v>0.99999981379132097</v>
      </c>
      <c r="R849" s="33">
        <v>0</v>
      </c>
      <c r="S849" s="33">
        <f t="shared" si="453"/>
        <v>1.8620867899260757E-7</v>
      </c>
      <c r="T849" s="8">
        <f t="shared" si="429"/>
        <v>1</v>
      </c>
      <c r="U849" s="33">
        <f t="shared" si="430"/>
        <v>0</v>
      </c>
      <c r="V849" s="33">
        <f t="shared" si="431"/>
        <v>-0.99999981379132097</v>
      </c>
      <c r="W849" s="33">
        <f t="shared" si="432"/>
        <v>498.93740018620866</v>
      </c>
      <c r="X849" s="33">
        <v>96485</v>
      </c>
      <c r="Y849" s="16">
        <f t="shared" si="433"/>
        <v>-193.38093716295151</v>
      </c>
      <c r="Z849" s="16">
        <v>8</v>
      </c>
      <c r="AA849" s="16">
        <v>17</v>
      </c>
      <c r="AB849" s="8">
        <f t="shared" si="434"/>
        <v>0.29721362229102166</v>
      </c>
      <c r="AC849" s="16">
        <f t="shared" si="445"/>
        <v>64.60808893273439</v>
      </c>
      <c r="AD849" s="20">
        <f>'PFAS Properties'!$W$46</f>
        <v>8</v>
      </c>
      <c r="AE849" s="8">
        <f>'PFAS Properties'!$S$46</f>
        <v>2.0166155475571776</v>
      </c>
      <c r="AF849" s="15">
        <f>'PFAS Properties'!$V$46</f>
        <v>5</v>
      </c>
      <c r="AG849" s="24">
        <v>6.83</v>
      </c>
      <c r="AH849" s="2" t="s">
        <v>661</v>
      </c>
      <c r="AI849" s="2">
        <v>47</v>
      </c>
      <c r="AJ849" s="15">
        <f t="shared" si="447"/>
        <v>841.61518488674005</v>
      </c>
      <c r="AK849" s="15">
        <f t="shared" si="448"/>
        <v>4.7</v>
      </c>
      <c r="AL849" s="2">
        <v>20</v>
      </c>
      <c r="AM849" s="15">
        <f t="shared" si="449"/>
        <v>741.28984432913273</v>
      </c>
      <c r="AN849" s="15">
        <f t="shared" si="450"/>
        <v>2</v>
      </c>
      <c r="AO849" s="2" t="s">
        <v>710</v>
      </c>
      <c r="AP849" s="72">
        <v>8.2616166666666668</v>
      </c>
      <c r="AQ849" s="70" t="s">
        <v>752</v>
      </c>
      <c r="AR849" s="2">
        <v>13</v>
      </c>
      <c r="AS849" s="2">
        <v>14</v>
      </c>
      <c r="AT849" s="2">
        <v>53</v>
      </c>
      <c r="AU849" s="2" t="s">
        <v>661</v>
      </c>
      <c r="AV849" s="16">
        <f t="shared" si="446"/>
        <v>80</v>
      </c>
      <c r="AW849" s="20">
        <v>5</v>
      </c>
      <c r="AX849" s="8">
        <f t="shared" ref="AX849:AX880" si="454">AW849/100</f>
        <v>0.05</v>
      </c>
      <c r="AY849" s="8" t="s">
        <v>67</v>
      </c>
      <c r="AZ849" s="16">
        <f t="shared" si="451"/>
        <v>20</v>
      </c>
      <c r="BA849" s="16" t="s">
        <v>55</v>
      </c>
      <c r="BB849" s="16">
        <v>10</v>
      </c>
      <c r="BC849" s="16" t="s">
        <v>55</v>
      </c>
      <c r="BD849" s="18">
        <v>35.04</v>
      </c>
      <c r="BE849" s="16">
        <f t="shared" si="444"/>
        <v>700.8</v>
      </c>
      <c r="BF849" s="16">
        <f t="shared" si="435"/>
        <v>2.8455940931600243</v>
      </c>
      <c r="BG849" s="8">
        <f t="shared" si="438"/>
        <v>1.5445640974960431</v>
      </c>
      <c r="BH849" s="13" t="s">
        <v>841</v>
      </c>
      <c r="BI849" s="13"/>
      <c r="BJ849" s="13"/>
      <c r="BK849" s="8"/>
      <c r="BL849" s="8"/>
      <c r="BM849" s="18"/>
      <c r="BN849" s="8"/>
      <c r="BO849" s="24"/>
    </row>
    <row r="850" spans="1:67" s="14" customFormat="1" x14ac:dyDescent="0.3">
      <c r="A850" s="20">
        <v>848</v>
      </c>
      <c r="B850" s="2" t="s">
        <v>219</v>
      </c>
      <c r="C850" s="2">
        <v>2020</v>
      </c>
      <c r="D850" s="2" t="s">
        <v>201</v>
      </c>
      <c r="E850" s="10" t="s">
        <v>801</v>
      </c>
      <c r="F850" s="20" t="s">
        <v>29</v>
      </c>
      <c r="G850" s="2" t="s">
        <v>72</v>
      </c>
      <c r="H850" s="2" t="str">
        <f>'PFAS Properties'!$B$46</f>
        <v>PFOS</v>
      </c>
      <c r="I850" s="2" t="str">
        <f>'PFAS Properties'!$C$46</f>
        <v>PFSA</v>
      </c>
      <c r="J850" s="2" t="str">
        <f>'PFAS Properties'!$D$46</f>
        <v>C8HF17O3S</v>
      </c>
      <c r="K850" s="25">
        <f>'PFAS Properties'!$P$46</f>
        <v>499.93739999999997</v>
      </c>
      <c r="L850" s="2">
        <f>'PFAS Properties'!$X$46</f>
        <v>0.1</v>
      </c>
      <c r="M850" s="2" t="str">
        <f>'PFAS Properties'!$Y$46</f>
        <v>-</v>
      </c>
      <c r="N850" s="33">
        <v>0</v>
      </c>
      <c r="O850" s="33">
        <v>0</v>
      </c>
      <c r="P850" s="33">
        <v>0</v>
      </c>
      <c r="Q850" s="33">
        <f t="shared" si="452"/>
        <v>0.99999979107043058</v>
      </c>
      <c r="R850" s="33">
        <v>0</v>
      </c>
      <c r="S850" s="33">
        <f t="shared" si="453"/>
        <v>2.0892956943382908E-7</v>
      </c>
      <c r="T850" s="8">
        <f t="shared" si="429"/>
        <v>1</v>
      </c>
      <c r="U850" s="33">
        <f t="shared" si="430"/>
        <v>0</v>
      </c>
      <c r="V850" s="33">
        <f t="shared" si="431"/>
        <v>-0.99999979107043058</v>
      </c>
      <c r="W850" s="33">
        <f t="shared" si="432"/>
        <v>498.93740020892955</v>
      </c>
      <c r="X850" s="33">
        <v>96485</v>
      </c>
      <c r="Y850" s="16">
        <f t="shared" si="433"/>
        <v>-193.3809327603573</v>
      </c>
      <c r="Z850" s="16">
        <v>8</v>
      </c>
      <c r="AA850" s="16">
        <v>17</v>
      </c>
      <c r="AB850" s="8">
        <f t="shared" si="434"/>
        <v>0.29721362229102166</v>
      </c>
      <c r="AC850" s="16">
        <f t="shared" si="445"/>
        <v>64.60808893273439</v>
      </c>
      <c r="AD850" s="20">
        <f>'PFAS Properties'!$W$46</f>
        <v>8</v>
      </c>
      <c r="AE850" s="8">
        <f>'PFAS Properties'!$S$46</f>
        <v>2.0166155475571776</v>
      </c>
      <c r="AF850" s="15">
        <f>'PFAS Properties'!$V$46</f>
        <v>5</v>
      </c>
      <c r="AG850" s="24">
        <v>6.78</v>
      </c>
      <c r="AH850" s="2" t="s">
        <v>661</v>
      </c>
      <c r="AI850" s="2">
        <v>21</v>
      </c>
      <c r="AJ850" s="15">
        <f t="shared" si="447"/>
        <v>376.04082728982007</v>
      </c>
      <c r="AK850" s="15">
        <f t="shared" si="448"/>
        <v>2.1</v>
      </c>
      <c r="AL850" s="2">
        <v>1.8</v>
      </c>
      <c r="AM850" s="15">
        <f t="shared" si="449"/>
        <v>66.716085989621945</v>
      </c>
      <c r="AN850" s="15">
        <f t="shared" si="450"/>
        <v>0.18</v>
      </c>
      <c r="AO850" s="2" t="s">
        <v>710</v>
      </c>
      <c r="AP850" s="72">
        <v>5.6660666666666657</v>
      </c>
      <c r="AQ850" s="70" t="s">
        <v>752</v>
      </c>
      <c r="AR850" s="2">
        <v>88</v>
      </c>
      <c r="AS850" s="2">
        <v>2.1</v>
      </c>
      <c r="AT850" s="2">
        <v>5.7</v>
      </c>
      <c r="AU850" s="2" t="s">
        <v>661</v>
      </c>
      <c r="AV850" s="16">
        <f t="shared" si="446"/>
        <v>95.8</v>
      </c>
      <c r="AW850" s="20">
        <v>1.1000000000000001</v>
      </c>
      <c r="AX850" s="8">
        <f t="shared" si="454"/>
        <v>1.1000000000000001E-2</v>
      </c>
      <c r="AY850" s="8" t="s">
        <v>67</v>
      </c>
      <c r="AZ850" s="16">
        <f t="shared" si="451"/>
        <v>20</v>
      </c>
      <c r="BA850" s="16" t="s">
        <v>55</v>
      </c>
      <c r="BB850" s="16">
        <v>10</v>
      </c>
      <c r="BC850" s="16" t="s">
        <v>55</v>
      </c>
      <c r="BD850" s="18">
        <v>17.25</v>
      </c>
      <c r="BE850" s="16">
        <f t="shared" si="444"/>
        <v>1568.181818181818</v>
      </c>
      <c r="BF850" s="16">
        <f t="shared" si="435"/>
        <v>3.1953964142510678</v>
      </c>
      <c r="BG850" s="8">
        <f t="shared" si="438"/>
        <v>1.2367890994092929</v>
      </c>
      <c r="BH850" s="13" t="s">
        <v>841</v>
      </c>
      <c r="BI850" s="13"/>
      <c r="BJ850" s="13"/>
      <c r="BK850" s="8"/>
      <c r="BL850" s="8"/>
      <c r="BM850" s="18"/>
      <c r="BN850" s="8"/>
      <c r="BO850" s="24"/>
    </row>
    <row r="851" spans="1:67" s="14" customFormat="1" x14ac:dyDescent="0.3">
      <c r="A851" s="20">
        <v>849</v>
      </c>
      <c r="B851" s="2" t="s">
        <v>219</v>
      </c>
      <c r="C851" s="2">
        <v>2020</v>
      </c>
      <c r="D851" s="2" t="s">
        <v>201</v>
      </c>
      <c r="E851" s="10" t="s">
        <v>801</v>
      </c>
      <c r="F851" s="20" t="s">
        <v>29</v>
      </c>
      <c r="G851" s="2" t="s">
        <v>73</v>
      </c>
      <c r="H851" s="2" t="str">
        <f>'PFAS Properties'!$B$46</f>
        <v>PFOS</v>
      </c>
      <c r="I851" s="2" t="str">
        <f>'PFAS Properties'!$C$46</f>
        <v>PFSA</v>
      </c>
      <c r="J851" s="2" t="str">
        <f>'PFAS Properties'!$D$46</f>
        <v>C8HF17O3S</v>
      </c>
      <c r="K851" s="25">
        <f>'PFAS Properties'!$P$46</f>
        <v>499.93739999999997</v>
      </c>
      <c r="L851" s="2">
        <f>'PFAS Properties'!$X$46</f>
        <v>0.1</v>
      </c>
      <c r="M851" s="2" t="str">
        <f>'PFAS Properties'!$Y$46</f>
        <v>-</v>
      </c>
      <c r="N851" s="33">
        <v>0</v>
      </c>
      <c r="O851" s="33">
        <v>0</v>
      </c>
      <c r="P851" s="33">
        <v>0</v>
      </c>
      <c r="Q851" s="33">
        <f t="shared" si="452"/>
        <v>0.99999973697327005</v>
      </c>
      <c r="R851" s="33">
        <v>0</v>
      </c>
      <c r="S851" s="33">
        <f t="shared" si="453"/>
        <v>2.6302673000645904E-7</v>
      </c>
      <c r="T851" s="8">
        <f t="shared" si="429"/>
        <v>1</v>
      </c>
      <c r="U851" s="33">
        <f t="shared" si="430"/>
        <v>0</v>
      </c>
      <c r="V851" s="33">
        <f t="shared" si="431"/>
        <v>-0.99999973697327005</v>
      </c>
      <c r="W851" s="33">
        <f t="shared" si="432"/>
        <v>498.93740026302675</v>
      </c>
      <c r="X851" s="33">
        <v>96485</v>
      </c>
      <c r="Y851" s="16">
        <f t="shared" si="433"/>
        <v>-193.38092227802846</v>
      </c>
      <c r="Z851" s="16">
        <v>8</v>
      </c>
      <c r="AA851" s="16">
        <v>17</v>
      </c>
      <c r="AB851" s="8">
        <f t="shared" si="434"/>
        <v>0.29721362229102166</v>
      </c>
      <c r="AC851" s="16">
        <f t="shared" si="445"/>
        <v>64.60808893273439</v>
      </c>
      <c r="AD851" s="20">
        <f>'PFAS Properties'!$W$46</f>
        <v>8</v>
      </c>
      <c r="AE851" s="8">
        <f>'PFAS Properties'!$S$46</f>
        <v>2.0166155475571776</v>
      </c>
      <c r="AF851" s="15">
        <f>'PFAS Properties'!$V$46</f>
        <v>5</v>
      </c>
      <c r="AG851" s="24">
        <v>6.68</v>
      </c>
      <c r="AH851" s="2" t="s">
        <v>661</v>
      </c>
      <c r="AI851" s="2">
        <v>0.62</v>
      </c>
      <c r="AJ851" s="15">
        <f t="shared" si="447"/>
        <v>11.102157758080402</v>
      </c>
      <c r="AK851" s="15">
        <f t="shared" si="448"/>
        <v>6.2E-2</v>
      </c>
      <c r="AL851" s="2">
        <v>0.7</v>
      </c>
      <c r="AM851" s="15">
        <f t="shared" si="449"/>
        <v>25.945144551519643</v>
      </c>
      <c r="AN851" s="15">
        <f t="shared" si="450"/>
        <v>6.9999999999999993E-2</v>
      </c>
      <c r="AO851" s="2" t="s">
        <v>710</v>
      </c>
      <c r="AP851" s="72">
        <v>9.8359666666666676</v>
      </c>
      <c r="AQ851" s="70" t="s">
        <v>752</v>
      </c>
      <c r="AR851" s="2">
        <v>96</v>
      </c>
      <c r="AS851" s="2">
        <v>0</v>
      </c>
      <c r="AT851" s="2">
        <v>0.5</v>
      </c>
      <c r="AU851" s="2" t="s">
        <v>661</v>
      </c>
      <c r="AV851" s="16">
        <f t="shared" si="446"/>
        <v>96.5</v>
      </c>
      <c r="AW851" s="20">
        <v>0.3</v>
      </c>
      <c r="AX851" s="8">
        <f t="shared" si="454"/>
        <v>3.0000000000000001E-3</v>
      </c>
      <c r="AY851" s="8" t="s">
        <v>67</v>
      </c>
      <c r="AZ851" s="16">
        <f t="shared" si="451"/>
        <v>20</v>
      </c>
      <c r="BA851" s="16" t="s">
        <v>55</v>
      </c>
      <c r="BB851" s="16">
        <v>10</v>
      </c>
      <c r="BC851" s="16" t="s">
        <v>55</v>
      </c>
      <c r="BD851" s="18">
        <v>4.6100000000000003</v>
      </c>
      <c r="BE851" s="16">
        <f t="shared" si="444"/>
        <v>1536.6666666666667</v>
      </c>
      <c r="BF851" s="16">
        <f t="shared" si="435"/>
        <v>3.1865796706699858</v>
      </c>
      <c r="BG851" s="8">
        <f t="shared" si="438"/>
        <v>0.6637009253896482</v>
      </c>
      <c r="BH851" s="13" t="s">
        <v>841</v>
      </c>
      <c r="BI851" s="13"/>
      <c r="BJ851" s="13"/>
      <c r="BK851" s="8"/>
      <c r="BL851" s="8"/>
      <c r="BM851" s="18"/>
      <c r="BN851" s="8"/>
      <c r="BO851" s="24"/>
    </row>
    <row r="852" spans="1:67" s="14" customFormat="1" x14ac:dyDescent="0.3">
      <c r="A852" s="20">
        <v>850</v>
      </c>
      <c r="B852" s="2" t="s">
        <v>219</v>
      </c>
      <c r="C852" s="2">
        <v>2020</v>
      </c>
      <c r="D852" s="2" t="s">
        <v>201</v>
      </c>
      <c r="E852" s="10" t="s">
        <v>801</v>
      </c>
      <c r="F852" s="20" t="s">
        <v>29</v>
      </c>
      <c r="G852" s="2" t="s">
        <v>74</v>
      </c>
      <c r="H852" s="2" t="str">
        <f>'PFAS Properties'!$B$46</f>
        <v>PFOS</v>
      </c>
      <c r="I852" s="2" t="str">
        <f>'PFAS Properties'!$C$46</f>
        <v>PFSA</v>
      </c>
      <c r="J852" s="2" t="str">
        <f>'PFAS Properties'!$D$46</f>
        <v>C8HF17O3S</v>
      </c>
      <c r="K852" s="25">
        <f>'PFAS Properties'!$P$46</f>
        <v>499.93739999999997</v>
      </c>
      <c r="L852" s="2">
        <f>'PFAS Properties'!$X$46</f>
        <v>0.1</v>
      </c>
      <c r="M852" s="2" t="str">
        <f>'PFAS Properties'!$Y$46</f>
        <v>-</v>
      </c>
      <c r="N852" s="33">
        <v>0</v>
      </c>
      <c r="O852" s="33">
        <v>0</v>
      </c>
      <c r="P852" s="33">
        <v>0</v>
      </c>
      <c r="Q852" s="33">
        <f t="shared" si="452"/>
        <v>0.99999925869030826</v>
      </c>
      <c r="R852" s="33">
        <v>0</v>
      </c>
      <c r="S852" s="33">
        <f t="shared" si="453"/>
        <v>7.413096917604484E-7</v>
      </c>
      <c r="T852" s="8">
        <f t="shared" si="429"/>
        <v>1</v>
      </c>
      <c r="U852" s="33">
        <f t="shared" si="430"/>
        <v>0</v>
      </c>
      <c r="V852" s="33">
        <f t="shared" si="431"/>
        <v>-0.99999925869030826</v>
      </c>
      <c r="W852" s="33">
        <f t="shared" si="432"/>
        <v>498.93740074130966</v>
      </c>
      <c r="X852" s="33">
        <v>96485</v>
      </c>
      <c r="Y852" s="16">
        <f t="shared" si="433"/>
        <v>-193.38082960182842</v>
      </c>
      <c r="Z852" s="16">
        <v>8</v>
      </c>
      <c r="AA852" s="16">
        <v>17</v>
      </c>
      <c r="AB852" s="8">
        <f t="shared" si="434"/>
        <v>0.29721362229102166</v>
      </c>
      <c r="AC852" s="16">
        <f t="shared" si="445"/>
        <v>64.60808893273439</v>
      </c>
      <c r="AD852" s="20">
        <f>'PFAS Properties'!$W$46</f>
        <v>8</v>
      </c>
      <c r="AE852" s="8">
        <f>'PFAS Properties'!$S$46</f>
        <v>2.0166155475571776</v>
      </c>
      <c r="AF852" s="15">
        <f>'PFAS Properties'!$V$46</f>
        <v>5</v>
      </c>
      <c r="AG852" s="24">
        <v>6.23</v>
      </c>
      <c r="AH852" s="2" t="s">
        <v>661</v>
      </c>
      <c r="AI852" s="2">
        <v>25</v>
      </c>
      <c r="AJ852" s="15">
        <f t="shared" si="447"/>
        <v>447.66765153550006</v>
      </c>
      <c r="AK852" s="15">
        <f t="shared" si="448"/>
        <v>2.5</v>
      </c>
      <c r="AL852" s="2">
        <v>11</v>
      </c>
      <c r="AM852" s="15">
        <f t="shared" si="449"/>
        <v>407.70941438102295</v>
      </c>
      <c r="AN852" s="15">
        <f t="shared" si="450"/>
        <v>1.1000000000000001</v>
      </c>
      <c r="AO852" s="2" t="s">
        <v>710</v>
      </c>
      <c r="AP852" s="72">
        <v>5.7400666666666664</v>
      </c>
      <c r="AQ852" s="70" t="s">
        <v>752</v>
      </c>
      <c r="AR852" s="2">
        <v>75</v>
      </c>
      <c r="AS852" s="2">
        <v>8.6</v>
      </c>
      <c r="AT852" s="2">
        <v>8.8000000000000007</v>
      </c>
      <c r="AU852" s="2" t="s">
        <v>661</v>
      </c>
      <c r="AV852" s="16">
        <f t="shared" si="446"/>
        <v>92.399999999999991</v>
      </c>
      <c r="AW852" s="20">
        <v>3.6</v>
      </c>
      <c r="AX852" s="8">
        <f t="shared" si="454"/>
        <v>3.6000000000000004E-2</v>
      </c>
      <c r="AY852" s="8" t="s">
        <v>67</v>
      </c>
      <c r="AZ852" s="16">
        <f t="shared" si="451"/>
        <v>20</v>
      </c>
      <c r="BA852" s="16" t="s">
        <v>55</v>
      </c>
      <c r="BB852" s="16">
        <v>10</v>
      </c>
      <c r="BC852" s="16" t="s">
        <v>55</v>
      </c>
      <c r="BD852" s="18">
        <v>30.37</v>
      </c>
      <c r="BE852" s="16">
        <f t="shared" si="444"/>
        <v>843.61111111111109</v>
      </c>
      <c r="BF852" s="16">
        <f t="shared" si="435"/>
        <v>2.926142291150978</v>
      </c>
      <c r="BG852" s="8">
        <f t="shared" si="438"/>
        <v>1.4824447919182653</v>
      </c>
      <c r="BH852" s="13" t="s">
        <v>841</v>
      </c>
      <c r="BI852" s="13"/>
      <c r="BJ852" s="13"/>
      <c r="BK852" s="8"/>
      <c r="BL852" s="8"/>
      <c r="BM852" s="18"/>
      <c r="BN852" s="8"/>
      <c r="BO852" s="24"/>
    </row>
    <row r="853" spans="1:67" s="14" customFormat="1" x14ac:dyDescent="0.3">
      <c r="A853" s="20">
        <v>851</v>
      </c>
      <c r="B853" s="2" t="s">
        <v>219</v>
      </c>
      <c r="C853" s="2">
        <v>2020</v>
      </c>
      <c r="D853" s="2" t="s">
        <v>201</v>
      </c>
      <c r="E853" s="10" t="s">
        <v>801</v>
      </c>
      <c r="F853" s="20" t="s">
        <v>29</v>
      </c>
      <c r="G853" s="2" t="s">
        <v>75</v>
      </c>
      <c r="H853" s="2" t="str">
        <f>'PFAS Properties'!$B$46</f>
        <v>PFOS</v>
      </c>
      <c r="I853" s="2" t="str">
        <f>'PFAS Properties'!$C$46</f>
        <v>PFSA</v>
      </c>
      <c r="J853" s="2" t="str">
        <f>'PFAS Properties'!$D$46</f>
        <v>C8HF17O3S</v>
      </c>
      <c r="K853" s="25">
        <f>'PFAS Properties'!$P$46</f>
        <v>499.93739999999997</v>
      </c>
      <c r="L853" s="2">
        <f>'PFAS Properties'!$X$46</f>
        <v>0.1</v>
      </c>
      <c r="M853" s="2" t="str">
        <f>'PFAS Properties'!$Y$46</f>
        <v>-</v>
      </c>
      <c r="N853" s="33">
        <v>0</v>
      </c>
      <c r="O853" s="33">
        <v>0</v>
      </c>
      <c r="P853" s="33">
        <v>0</v>
      </c>
      <c r="Q853" s="33">
        <f t="shared" si="452"/>
        <v>0.99999993543458121</v>
      </c>
      <c r="R853" s="33">
        <v>0</v>
      </c>
      <c r="S853" s="33">
        <f t="shared" si="453"/>
        <v>6.4565418734771836E-8</v>
      </c>
      <c r="T853" s="8">
        <f t="shared" si="429"/>
        <v>1</v>
      </c>
      <c r="U853" s="33">
        <f t="shared" si="430"/>
        <v>0</v>
      </c>
      <c r="V853" s="33">
        <f t="shared" si="431"/>
        <v>-0.99999993543458121</v>
      </c>
      <c r="W853" s="33">
        <f t="shared" si="432"/>
        <v>498.93740006456534</v>
      </c>
      <c r="X853" s="33">
        <v>96485</v>
      </c>
      <c r="Y853" s="16">
        <f t="shared" si="433"/>
        <v>-193.38096073359074</v>
      </c>
      <c r="Z853" s="16">
        <v>8</v>
      </c>
      <c r="AA853" s="16">
        <v>17</v>
      </c>
      <c r="AB853" s="8">
        <f t="shared" si="434"/>
        <v>0.29721362229102166</v>
      </c>
      <c r="AC853" s="16">
        <f t="shared" si="445"/>
        <v>64.60808893273439</v>
      </c>
      <c r="AD853" s="20">
        <f>'PFAS Properties'!$W$46</f>
        <v>8</v>
      </c>
      <c r="AE853" s="8">
        <f>'PFAS Properties'!$S$46</f>
        <v>2.0166155475571776</v>
      </c>
      <c r="AF853" s="15">
        <f>'PFAS Properties'!$V$46</f>
        <v>5</v>
      </c>
      <c r="AG853" s="24">
        <v>7.29</v>
      </c>
      <c r="AH853" s="2" t="s">
        <v>661</v>
      </c>
      <c r="AI853" s="2">
        <v>5.3</v>
      </c>
      <c r="AJ853" s="15">
        <f t="shared" si="447"/>
        <v>94.905542125526011</v>
      </c>
      <c r="AK853" s="15">
        <f t="shared" si="448"/>
        <v>0.53</v>
      </c>
      <c r="AL853" s="2">
        <v>2.1</v>
      </c>
      <c r="AM853" s="15">
        <f t="shared" si="449"/>
        <v>77.835433654558926</v>
      </c>
      <c r="AN853" s="15">
        <f t="shared" si="450"/>
        <v>0.21000000000000002</v>
      </c>
      <c r="AO853" s="2" t="s">
        <v>710</v>
      </c>
      <c r="AP853" s="72">
        <v>6.4225666666666674</v>
      </c>
      <c r="AQ853" s="70" t="s">
        <v>752</v>
      </c>
      <c r="AR853" s="2">
        <v>90</v>
      </c>
      <c r="AS853" s="2">
        <v>2.2999999999999998</v>
      </c>
      <c r="AT853" s="2">
        <v>0.3</v>
      </c>
      <c r="AU853" s="2" t="s">
        <v>661</v>
      </c>
      <c r="AV853" s="16">
        <f t="shared" si="446"/>
        <v>92.6</v>
      </c>
      <c r="AW853" s="20">
        <v>0.7</v>
      </c>
      <c r="AX853" s="8">
        <f t="shared" si="454"/>
        <v>6.9999999999999993E-3</v>
      </c>
      <c r="AY853" s="8" t="s">
        <v>67</v>
      </c>
      <c r="AZ853" s="16">
        <f t="shared" si="451"/>
        <v>20</v>
      </c>
      <c r="BA853" s="16" t="s">
        <v>55</v>
      </c>
      <c r="BB853" s="16">
        <v>10</v>
      </c>
      <c r="BC853" s="16" t="s">
        <v>55</v>
      </c>
      <c r="BD853" s="18">
        <v>9.52</v>
      </c>
      <c r="BE853" s="16">
        <f t="shared" si="444"/>
        <v>1360</v>
      </c>
      <c r="BF853" s="16">
        <f t="shared" si="435"/>
        <v>3.1335389083702174</v>
      </c>
      <c r="BG853" s="8">
        <f t="shared" ref="BG853:BG867" si="455">LOG(BD853)</f>
        <v>0.97863694838447435</v>
      </c>
      <c r="BH853" s="13" t="s">
        <v>841</v>
      </c>
      <c r="BI853" s="13"/>
      <c r="BJ853" s="13"/>
      <c r="BK853" s="8"/>
      <c r="BL853" s="8"/>
      <c r="BM853" s="18"/>
      <c r="BN853" s="8"/>
      <c r="BO853" s="24"/>
    </row>
    <row r="854" spans="1:67" s="14" customFormat="1" x14ac:dyDescent="0.3">
      <c r="A854" s="20">
        <v>852</v>
      </c>
      <c r="B854" s="2" t="s">
        <v>219</v>
      </c>
      <c r="C854" s="2">
        <v>2020</v>
      </c>
      <c r="D854" s="2" t="s">
        <v>201</v>
      </c>
      <c r="E854" s="10" t="s">
        <v>801</v>
      </c>
      <c r="F854" s="20" t="s">
        <v>29</v>
      </c>
      <c r="G854" s="2" t="s">
        <v>121</v>
      </c>
      <c r="H854" s="2" t="str">
        <f>'PFAS Properties'!$B$46</f>
        <v>PFOS</v>
      </c>
      <c r="I854" s="2" t="str">
        <f>'PFAS Properties'!$C$46</f>
        <v>PFSA</v>
      </c>
      <c r="J854" s="2" t="str">
        <f>'PFAS Properties'!$D$46</f>
        <v>C8HF17O3S</v>
      </c>
      <c r="K854" s="25">
        <f>'PFAS Properties'!$P$46</f>
        <v>499.93739999999997</v>
      </c>
      <c r="L854" s="2">
        <f>'PFAS Properties'!$X$46</f>
        <v>0.1</v>
      </c>
      <c r="M854" s="2" t="str">
        <f>'PFAS Properties'!$Y$46</f>
        <v>-</v>
      </c>
      <c r="N854" s="33">
        <v>0</v>
      </c>
      <c r="O854" s="33">
        <v>0</v>
      </c>
      <c r="P854" s="33">
        <v>0</v>
      </c>
      <c r="Q854" s="33">
        <f t="shared" si="452"/>
        <v>0.99999992237529434</v>
      </c>
      <c r="R854" s="33">
        <v>0</v>
      </c>
      <c r="S854" s="33">
        <f t="shared" si="453"/>
        <v>7.7624705637273547E-8</v>
      </c>
      <c r="T854" s="8">
        <f t="shared" si="429"/>
        <v>1</v>
      </c>
      <c r="U854" s="33">
        <f t="shared" si="430"/>
        <v>0</v>
      </c>
      <c r="V854" s="33">
        <f t="shared" si="431"/>
        <v>-0.99999992237529434</v>
      </c>
      <c r="W854" s="33">
        <f t="shared" si="432"/>
        <v>498.93740007762466</v>
      </c>
      <c r="X854" s="33">
        <v>96485</v>
      </c>
      <c r="Y854" s="16">
        <f t="shared" si="433"/>
        <v>-193.38095820311156</v>
      </c>
      <c r="Z854" s="16">
        <v>8</v>
      </c>
      <c r="AA854" s="16">
        <v>17</v>
      </c>
      <c r="AB854" s="8">
        <f t="shared" si="434"/>
        <v>0.29721362229102166</v>
      </c>
      <c r="AC854" s="16">
        <f t="shared" si="445"/>
        <v>64.60808893273439</v>
      </c>
      <c r="AD854" s="20">
        <f>'PFAS Properties'!$W$46</f>
        <v>8</v>
      </c>
      <c r="AE854" s="8">
        <f>'PFAS Properties'!$S$46</f>
        <v>2.0166155475571776</v>
      </c>
      <c r="AF854" s="15">
        <f>'PFAS Properties'!$V$46</f>
        <v>5</v>
      </c>
      <c r="AG854" s="24">
        <v>7.21</v>
      </c>
      <c r="AH854" s="2" t="s">
        <v>661</v>
      </c>
      <c r="AI854" s="2">
        <v>37</v>
      </c>
      <c r="AJ854" s="15">
        <f t="shared" si="447"/>
        <v>662.54812427254012</v>
      </c>
      <c r="AK854" s="15">
        <f t="shared" si="448"/>
        <v>3.7</v>
      </c>
      <c r="AL854" s="2">
        <v>4.9000000000000004</v>
      </c>
      <c r="AM854" s="15">
        <f t="shared" si="449"/>
        <v>181.61601186063751</v>
      </c>
      <c r="AN854" s="15">
        <f t="shared" si="450"/>
        <v>0.49000000000000005</v>
      </c>
      <c r="AO854" s="2" t="s">
        <v>710</v>
      </c>
      <c r="AP854" s="72">
        <v>8.0642166666666668</v>
      </c>
      <c r="AQ854" s="70" t="s">
        <v>752</v>
      </c>
      <c r="AR854" s="2">
        <v>57</v>
      </c>
      <c r="AS854" s="2">
        <v>8</v>
      </c>
      <c r="AT854" s="2">
        <v>15</v>
      </c>
      <c r="AU854" s="2" t="s">
        <v>661</v>
      </c>
      <c r="AV854" s="16">
        <f t="shared" si="446"/>
        <v>80</v>
      </c>
      <c r="AW854" s="20">
        <v>4.8</v>
      </c>
      <c r="AX854" s="8">
        <f t="shared" si="454"/>
        <v>4.8000000000000001E-2</v>
      </c>
      <c r="AY854" s="8" t="s">
        <v>67</v>
      </c>
      <c r="AZ854" s="16">
        <f t="shared" si="451"/>
        <v>20</v>
      </c>
      <c r="BA854" s="16" t="s">
        <v>55</v>
      </c>
      <c r="BB854" s="16">
        <v>10</v>
      </c>
      <c r="BC854" s="16" t="s">
        <v>55</v>
      </c>
      <c r="BD854" s="18">
        <v>18.05</v>
      </c>
      <c r="BE854" s="16">
        <f t="shared" si="444"/>
        <v>376.04166666666669</v>
      </c>
      <c r="BF854" s="16">
        <f t="shared" si="435"/>
        <v>2.5752359688660897</v>
      </c>
      <c r="BG854" s="8">
        <f t="shared" si="455"/>
        <v>1.2564772062416767</v>
      </c>
      <c r="BH854" s="13" t="s">
        <v>841</v>
      </c>
      <c r="BI854" s="13"/>
      <c r="BJ854" s="13"/>
      <c r="BK854" s="8"/>
      <c r="BL854" s="8"/>
      <c r="BM854" s="18"/>
      <c r="BN854" s="8"/>
      <c r="BO854" s="24"/>
    </row>
    <row r="855" spans="1:67" s="14" customFormat="1" x14ac:dyDescent="0.3">
      <c r="A855" s="20">
        <v>853</v>
      </c>
      <c r="B855" s="2" t="s">
        <v>219</v>
      </c>
      <c r="C855" s="2">
        <v>2020</v>
      </c>
      <c r="D855" s="2" t="s">
        <v>201</v>
      </c>
      <c r="E855" s="10" t="s">
        <v>801</v>
      </c>
      <c r="F855" s="20" t="s">
        <v>29</v>
      </c>
      <c r="G855" s="2" t="s">
        <v>60</v>
      </c>
      <c r="H855" s="2" t="str">
        <f>'PFAS Properties'!$B$46</f>
        <v>PFOS</v>
      </c>
      <c r="I855" s="2" t="str">
        <f>'PFAS Properties'!$C$46</f>
        <v>PFSA</v>
      </c>
      <c r="J855" s="2" t="str">
        <f>'PFAS Properties'!$D$46</f>
        <v>C8HF17O3S</v>
      </c>
      <c r="K855" s="25">
        <f>'PFAS Properties'!$P$46</f>
        <v>499.93739999999997</v>
      </c>
      <c r="L855" s="2">
        <f>'PFAS Properties'!$X$46</f>
        <v>0.1</v>
      </c>
      <c r="M855" s="2" t="str">
        <f>'PFAS Properties'!$Y$46</f>
        <v>-</v>
      </c>
      <c r="N855" s="33">
        <v>0</v>
      </c>
      <c r="O855" s="33">
        <v>0</v>
      </c>
      <c r="P855" s="33">
        <v>0</v>
      </c>
      <c r="Q855" s="33">
        <f t="shared" si="452"/>
        <v>0.99999987977357097</v>
      </c>
      <c r="R855" s="33">
        <v>0</v>
      </c>
      <c r="S855" s="33">
        <f t="shared" si="453"/>
        <v>1.2022642900734515E-7</v>
      </c>
      <c r="T855" s="8">
        <f t="shared" si="429"/>
        <v>1</v>
      </c>
      <c r="U855" s="33">
        <f t="shared" si="430"/>
        <v>0</v>
      </c>
      <c r="V855" s="33">
        <f t="shared" si="431"/>
        <v>-0.99999987977357097</v>
      </c>
      <c r="W855" s="33">
        <f t="shared" si="432"/>
        <v>498.93740012022636</v>
      </c>
      <c r="X855" s="33">
        <v>96485</v>
      </c>
      <c r="Y855" s="16">
        <f t="shared" si="433"/>
        <v>-193.38094994823703</v>
      </c>
      <c r="Z855" s="16">
        <v>8</v>
      </c>
      <c r="AA855" s="16">
        <v>17</v>
      </c>
      <c r="AB855" s="8">
        <f t="shared" si="434"/>
        <v>0.29721362229102166</v>
      </c>
      <c r="AC855" s="16">
        <f t="shared" si="445"/>
        <v>64.60808893273439</v>
      </c>
      <c r="AD855" s="20">
        <f>'PFAS Properties'!$W$46</f>
        <v>8</v>
      </c>
      <c r="AE855" s="8">
        <f>'PFAS Properties'!$S$46</f>
        <v>2.0166155475571776</v>
      </c>
      <c r="AF855" s="15">
        <f>'PFAS Properties'!$V$46</f>
        <v>5</v>
      </c>
      <c r="AG855" s="24">
        <v>7.02</v>
      </c>
      <c r="AH855" s="2" t="s">
        <v>661</v>
      </c>
      <c r="AI855" s="2">
        <v>22</v>
      </c>
      <c r="AJ855" s="15">
        <f t="shared" si="447"/>
        <v>393.94753335124005</v>
      </c>
      <c r="AK855" s="15">
        <f t="shared" si="448"/>
        <v>2.2000000000000002</v>
      </c>
      <c r="AL855" s="2">
        <v>5.9</v>
      </c>
      <c r="AM855" s="15">
        <f t="shared" si="449"/>
        <v>218.68050407709413</v>
      </c>
      <c r="AN855" s="15">
        <f t="shared" si="450"/>
        <v>0.59000000000000008</v>
      </c>
      <c r="AO855" s="2" t="s">
        <v>710</v>
      </c>
      <c r="AP855" s="72">
        <v>14.11508666666667</v>
      </c>
      <c r="AQ855" s="70" t="s">
        <v>752</v>
      </c>
      <c r="AR855" s="2">
        <v>45</v>
      </c>
      <c r="AS855" s="2">
        <v>24</v>
      </c>
      <c r="AT855" s="2">
        <v>20</v>
      </c>
      <c r="AU855" s="2" t="s">
        <v>661</v>
      </c>
      <c r="AV855" s="16">
        <f t="shared" si="446"/>
        <v>89</v>
      </c>
      <c r="AW855" s="20">
        <v>2.9</v>
      </c>
      <c r="AX855" s="8">
        <f t="shared" si="454"/>
        <v>2.8999999999999998E-2</v>
      </c>
      <c r="AY855" s="8" t="s">
        <v>67</v>
      </c>
      <c r="AZ855" s="16">
        <f t="shared" si="451"/>
        <v>20</v>
      </c>
      <c r="BA855" s="16" t="s">
        <v>55</v>
      </c>
      <c r="BB855" s="16">
        <v>10</v>
      </c>
      <c r="BC855" s="16" t="s">
        <v>55</v>
      </c>
      <c r="BD855" s="18">
        <v>34.72</v>
      </c>
      <c r="BE855" s="16">
        <f t="shared" si="444"/>
        <v>1197.2413793103449</v>
      </c>
      <c r="BF855" s="16">
        <f t="shared" si="435"/>
        <v>3.0781817186054981</v>
      </c>
      <c r="BG855" s="8">
        <f t="shared" si="455"/>
        <v>1.5405797165044544</v>
      </c>
      <c r="BH855" s="13" t="s">
        <v>841</v>
      </c>
      <c r="BI855" s="13"/>
      <c r="BJ855" s="13"/>
      <c r="BK855" s="8"/>
      <c r="BL855" s="8"/>
      <c r="BM855" s="18"/>
      <c r="BN855" s="8"/>
      <c r="BO855" s="24"/>
    </row>
    <row r="856" spans="1:67" s="14" customFormat="1" x14ac:dyDescent="0.3">
      <c r="A856" s="20">
        <v>854</v>
      </c>
      <c r="B856" s="2" t="s">
        <v>219</v>
      </c>
      <c r="C856" s="2">
        <v>2020</v>
      </c>
      <c r="D856" s="2" t="s">
        <v>201</v>
      </c>
      <c r="E856" s="10" t="s">
        <v>801</v>
      </c>
      <c r="F856" s="20" t="s">
        <v>29</v>
      </c>
      <c r="G856" s="2" t="s">
        <v>77</v>
      </c>
      <c r="H856" s="2" t="str">
        <f>'PFAS Properties'!$B$46</f>
        <v>PFOS</v>
      </c>
      <c r="I856" s="2" t="str">
        <f>'PFAS Properties'!$C$46</f>
        <v>PFSA</v>
      </c>
      <c r="J856" s="2" t="str">
        <f>'PFAS Properties'!$D$46</f>
        <v>C8HF17O3S</v>
      </c>
      <c r="K856" s="25">
        <f>'PFAS Properties'!$P$46</f>
        <v>499.93739999999997</v>
      </c>
      <c r="L856" s="2">
        <f>'PFAS Properties'!$X$46</f>
        <v>0.1</v>
      </c>
      <c r="M856" s="2" t="str">
        <f>'PFAS Properties'!$Y$46</f>
        <v>-</v>
      </c>
      <c r="N856" s="33">
        <v>0</v>
      </c>
      <c r="O856" s="33">
        <v>0</v>
      </c>
      <c r="P856" s="33">
        <v>0</v>
      </c>
      <c r="Q856" s="33">
        <f t="shared" si="452"/>
        <v>0.99999994629682321</v>
      </c>
      <c r="R856" s="33">
        <v>0</v>
      </c>
      <c r="S856" s="33">
        <f t="shared" si="453"/>
        <v>5.3703176752993845E-8</v>
      </c>
      <c r="T856" s="8">
        <f t="shared" si="429"/>
        <v>1</v>
      </c>
      <c r="U856" s="33">
        <f t="shared" si="430"/>
        <v>0</v>
      </c>
      <c r="V856" s="33">
        <f t="shared" si="431"/>
        <v>-0.99999994629682321</v>
      </c>
      <c r="W856" s="33">
        <f t="shared" si="432"/>
        <v>498.93740005370313</v>
      </c>
      <c r="X856" s="33">
        <v>96485</v>
      </c>
      <c r="Y856" s="16">
        <f t="shared" si="433"/>
        <v>-193.38096283835171</v>
      </c>
      <c r="Z856" s="16">
        <v>8</v>
      </c>
      <c r="AA856" s="16">
        <v>17</v>
      </c>
      <c r="AB856" s="8">
        <f t="shared" si="434"/>
        <v>0.29721362229102166</v>
      </c>
      <c r="AC856" s="16">
        <f t="shared" si="445"/>
        <v>64.60808893273439</v>
      </c>
      <c r="AD856" s="20">
        <f>'PFAS Properties'!$W$46</f>
        <v>8</v>
      </c>
      <c r="AE856" s="8">
        <f>'PFAS Properties'!$S$46</f>
        <v>2.0166155475571776</v>
      </c>
      <c r="AF856" s="15">
        <f>'PFAS Properties'!$V$46</f>
        <v>5</v>
      </c>
      <c r="AG856" s="24">
        <v>7.37</v>
      </c>
      <c r="AH856" s="2" t="s">
        <v>661</v>
      </c>
      <c r="AI856" s="2">
        <v>6.9</v>
      </c>
      <c r="AJ856" s="15">
        <f t="shared" si="447"/>
        <v>123.55627182379801</v>
      </c>
      <c r="AK856" s="15">
        <f t="shared" si="448"/>
        <v>0.69000000000000006</v>
      </c>
      <c r="AL856" s="2">
        <v>3.1</v>
      </c>
      <c r="AM856" s="15">
        <f t="shared" si="449"/>
        <v>114.89992587101557</v>
      </c>
      <c r="AN856" s="15">
        <f t="shared" si="450"/>
        <v>0.31</v>
      </c>
      <c r="AO856" s="2" t="s">
        <v>710</v>
      </c>
      <c r="AP856" s="72">
        <v>15.382516666666669</v>
      </c>
      <c r="AQ856" s="70" t="s">
        <v>752</v>
      </c>
      <c r="AR856" s="2">
        <v>73</v>
      </c>
      <c r="AS856" s="2">
        <v>4</v>
      </c>
      <c r="AT856" s="2">
        <v>9</v>
      </c>
      <c r="AU856" s="2" t="s">
        <v>661</v>
      </c>
      <c r="AV856" s="16">
        <f t="shared" si="446"/>
        <v>86</v>
      </c>
      <c r="AW856" s="20">
        <v>5.7</v>
      </c>
      <c r="AX856" s="8">
        <f t="shared" si="454"/>
        <v>5.7000000000000002E-2</v>
      </c>
      <c r="AY856" s="8" t="s">
        <v>67</v>
      </c>
      <c r="AZ856" s="16">
        <f t="shared" si="451"/>
        <v>20</v>
      </c>
      <c r="BA856" s="16" t="s">
        <v>55</v>
      </c>
      <c r="BB856" s="16">
        <v>10</v>
      </c>
      <c r="BC856" s="16" t="s">
        <v>55</v>
      </c>
      <c r="BD856" s="18">
        <v>37.200000000000003</v>
      </c>
      <c r="BE856" s="16">
        <f t="shared" si="444"/>
        <v>652.63157894736844</v>
      </c>
      <c r="BF856" s="16">
        <f t="shared" si="435"/>
        <v>2.8146680842094063</v>
      </c>
      <c r="BG856" s="8">
        <f t="shared" si="455"/>
        <v>1.5705429398818975</v>
      </c>
      <c r="BH856" s="13" t="s">
        <v>841</v>
      </c>
      <c r="BI856" s="13"/>
      <c r="BJ856" s="13"/>
      <c r="BK856" s="8"/>
      <c r="BL856" s="8"/>
      <c r="BM856" s="18"/>
      <c r="BN856" s="8"/>
      <c r="BO856" s="24"/>
    </row>
    <row r="857" spans="1:67" s="14" customFormat="1" x14ac:dyDescent="0.3">
      <c r="A857" s="20">
        <v>855</v>
      </c>
      <c r="B857" s="2" t="s">
        <v>219</v>
      </c>
      <c r="C857" s="2">
        <v>2020</v>
      </c>
      <c r="D857" s="2" t="s">
        <v>201</v>
      </c>
      <c r="E857" s="10" t="s">
        <v>801</v>
      </c>
      <c r="F857" s="20" t="s">
        <v>29</v>
      </c>
      <c r="G857" s="2" t="s">
        <v>78</v>
      </c>
      <c r="H857" s="2" t="str">
        <f>'PFAS Properties'!$B$46</f>
        <v>PFOS</v>
      </c>
      <c r="I857" s="2" t="str">
        <f>'PFAS Properties'!$C$46</f>
        <v>PFSA</v>
      </c>
      <c r="J857" s="2" t="str">
        <f>'PFAS Properties'!$D$46</f>
        <v>C8HF17O3S</v>
      </c>
      <c r="K857" s="25">
        <f>'PFAS Properties'!$P$46</f>
        <v>499.93739999999997</v>
      </c>
      <c r="L857" s="2">
        <f>'PFAS Properties'!$X$46</f>
        <v>0.1</v>
      </c>
      <c r="M857" s="2" t="str">
        <f>'PFAS Properties'!$Y$46</f>
        <v>-</v>
      </c>
      <c r="N857" s="33">
        <v>0</v>
      </c>
      <c r="O857" s="33">
        <v>0</v>
      </c>
      <c r="P857" s="33">
        <v>0</v>
      </c>
      <c r="Q857" s="33">
        <f t="shared" si="452"/>
        <v>0.99999996532631619</v>
      </c>
      <c r="R857" s="33">
        <v>0</v>
      </c>
      <c r="S857" s="33">
        <f t="shared" si="453"/>
        <v>3.467368384298878E-8</v>
      </c>
      <c r="T857" s="8">
        <f t="shared" si="429"/>
        <v>1</v>
      </c>
      <c r="U857" s="33">
        <f t="shared" si="430"/>
        <v>0</v>
      </c>
      <c r="V857" s="33">
        <f t="shared" si="431"/>
        <v>-0.99999996532631619</v>
      </c>
      <c r="W857" s="33">
        <f t="shared" si="432"/>
        <v>498.93740003467366</v>
      </c>
      <c r="X857" s="33">
        <v>96485</v>
      </c>
      <c r="Y857" s="16">
        <f t="shared" si="433"/>
        <v>-193.38096652566915</v>
      </c>
      <c r="Z857" s="16">
        <v>8</v>
      </c>
      <c r="AA857" s="16">
        <v>17</v>
      </c>
      <c r="AB857" s="8">
        <f t="shared" si="434"/>
        <v>0.29721362229102166</v>
      </c>
      <c r="AC857" s="16">
        <f t="shared" si="445"/>
        <v>64.60808893273439</v>
      </c>
      <c r="AD857" s="20">
        <f>'PFAS Properties'!$W$46</f>
        <v>8</v>
      </c>
      <c r="AE857" s="8">
        <f>'PFAS Properties'!$S$46</f>
        <v>2.0166155475571776</v>
      </c>
      <c r="AF857" s="15">
        <f>'PFAS Properties'!$V$46</f>
        <v>5</v>
      </c>
      <c r="AG857" s="24">
        <v>7.56</v>
      </c>
      <c r="AH857" s="2" t="s">
        <v>661</v>
      </c>
      <c r="AI857" s="2">
        <v>1.5</v>
      </c>
      <c r="AJ857" s="15">
        <f t="shared" si="447"/>
        <v>26.860059092130005</v>
      </c>
      <c r="AK857" s="15">
        <f t="shared" si="448"/>
        <v>0.15</v>
      </c>
      <c r="AL857" s="2">
        <v>0.6</v>
      </c>
      <c r="AM857" s="15">
        <f t="shared" si="449"/>
        <v>22.23869532987398</v>
      </c>
      <c r="AN857" s="15">
        <f t="shared" si="450"/>
        <v>0.06</v>
      </c>
      <c r="AO857" s="2" t="s">
        <v>710</v>
      </c>
      <c r="AP857" s="72">
        <v>11.48601666666667</v>
      </c>
      <c r="AQ857" s="70" t="s">
        <v>752</v>
      </c>
      <c r="AR857" s="2">
        <v>98</v>
      </c>
      <c r="AS857" s="2">
        <v>0.1</v>
      </c>
      <c r="AT857" s="2">
        <v>0.6</v>
      </c>
      <c r="AU857" s="2" t="s">
        <v>661</v>
      </c>
      <c r="AV857" s="16">
        <f t="shared" si="446"/>
        <v>98.699999999999989</v>
      </c>
      <c r="AW857" s="20">
        <v>0.1</v>
      </c>
      <c r="AX857" s="8">
        <f t="shared" si="454"/>
        <v>1E-3</v>
      </c>
      <c r="AY857" s="8" t="s">
        <v>67</v>
      </c>
      <c r="AZ857" s="16">
        <f t="shared" si="451"/>
        <v>20</v>
      </c>
      <c r="BA857" s="16" t="s">
        <v>55</v>
      </c>
      <c r="BB857" s="16">
        <v>10</v>
      </c>
      <c r="BC857" s="16" t="s">
        <v>55</v>
      </c>
      <c r="BD857" s="18">
        <v>3.8</v>
      </c>
      <c r="BE857" s="16">
        <f t="shared" si="444"/>
        <v>3799.9999999999995</v>
      </c>
      <c r="BF857" s="16">
        <f t="shared" si="435"/>
        <v>3.5797835966168101</v>
      </c>
      <c r="BG857" s="8">
        <f t="shared" si="455"/>
        <v>0.57978359661681012</v>
      </c>
      <c r="BH857" s="13" t="s">
        <v>841</v>
      </c>
      <c r="BI857" s="13"/>
      <c r="BJ857" s="13"/>
      <c r="BK857" s="8"/>
      <c r="BL857" s="8"/>
      <c r="BM857" s="18"/>
      <c r="BN857" s="8"/>
      <c r="BO857" s="24"/>
    </row>
    <row r="858" spans="1:67" s="14" customFormat="1" x14ac:dyDescent="0.3">
      <c r="A858" s="20">
        <v>856</v>
      </c>
      <c r="B858" s="2" t="s">
        <v>219</v>
      </c>
      <c r="C858" s="2">
        <v>2020</v>
      </c>
      <c r="D858" s="2" t="s">
        <v>201</v>
      </c>
      <c r="E858" s="10" t="s">
        <v>801</v>
      </c>
      <c r="F858" s="20" t="s">
        <v>29</v>
      </c>
      <c r="G858" s="2" t="s">
        <v>79</v>
      </c>
      <c r="H858" s="2" t="str">
        <f>'PFAS Properties'!$B$46</f>
        <v>PFOS</v>
      </c>
      <c r="I858" s="2" t="str">
        <f>'PFAS Properties'!$C$46</f>
        <v>PFSA</v>
      </c>
      <c r="J858" s="2" t="str">
        <f>'PFAS Properties'!$D$46</f>
        <v>C8HF17O3S</v>
      </c>
      <c r="K858" s="25">
        <f>'PFAS Properties'!$P$46</f>
        <v>499.93739999999997</v>
      </c>
      <c r="L858" s="2">
        <f>'PFAS Properties'!$X$46</f>
        <v>0.1</v>
      </c>
      <c r="M858" s="2" t="str">
        <f>'PFAS Properties'!$Y$46</f>
        <v>-</v>
      </c>
      <c r="N858" s="33">
        <v>0</v>
      </c>
      <c r="O858" s="33">
        <v>0</v>
      </c>
      <c r="P858" s="33">
        <v>0</v>
      </c>
      <c r="Q858" s="33">
        <f t="shared" si="452"/>
        <v>0.99999997601167134</v>
      </c>
      <c r="R858" s="33">
        <v>0</v>
      </c>
      <c r="S858" s="33">
        <f t="shared" si="453"/>
        <v>2.3988328614754938E-8</v>
      </c>
      <c r="T858" s="8">
        <f t="shared" si="429"/>
        <v>1</v>
      </c>
      <c r="U858" s="33">
        <f t="shared" si="430"/>
        <v>0</v>
      </c>
      <c r="V858" s="33">
        <f t="shared" si="431"/>
        <v>-0.99999997601167134</v>
      </c>
      <c r="W858" s="33">
        <f t="shared" si="432"/>
        <v>498.93740002398823</v>
      </c>
      <c r="X858" s="33">
        <v>96485</v>
      </c>
      <c r="Y858" s="16">
        <f t="shared" si="433"/>
        <v>-193.38096859615501</v>
      </c>
      <c r="Z858" s="16">
        <v>8</v>
      </c>
      <c r="AA858" s="16">
        <v>17</v>
      </c>
      <c r="AB858" s="8">
        <f t="shared" si="434"/>
        <v>0.29721362229102166</v>
      </c>
      <c r="AC858" s="16">
        <f t="shared" si="445"/>
        <v>64.60808893273439</v>
      </c>
      <c r="AD858" s="20">
        <f>'PFAS Properties'!$W$46</f>
        <v>8</v>
      </c>
      <c r="AE858" s="8">
        <f>'PFAS Properties'!$S$46</f>
        <v>2.0166155475571776</v>
      </c>
      <c r="AF858" s="15">
        <f>'PFAS Properties'!$V$46</f>
        <v>5</v>
      </c>
      <c r="AG858" s="24">
        <v>7.72</v>
      </c>
      <c r="AH858" s="2" t="s">
        <v>661</v>
      </c>
      <c r="AI858" s="2">
        <v>12</v>
      </c>
      <c r="AJ858" s="15">
        <f t="shared" si="447"/>
        <v>214.88047273704004</v>
      </c>
      <c r="AK858" s="15">
        <f t="shared" si="448"/>
        <v>1.2</v>
      </c>
      <c r="AL858" s="2">
        <v>5.8</v>
      </c>
      <c r="AM858" s="15">
        <f t="shared" si="449"/>
        <v>214.97405485544849</v>
      </c>
      <c r="AN858" s="15">
        <f t="shared" si="450"/>
        <v>0.57999999999999996</v>
      </c>
      <c r="AO858" s="2" t="s">
        <v>710</v>
      </c>
      <c r="AP858" s="72">
        <v>8.416266666666667</v>
      </c>
      <c r="AQ858" s="70" t="s">
        <v>752</v>
      </c>
      <c r="AR858" s="2">
        <v>32</v>
      </c>
      <c r="AS858" s="2">
        <v>31</v>
      </c>
      <c r="AT858" s="2">
        <v>38</v>
      </c>
      <c r="AU858" s="2" t="s">
        <v>661</v>
      </c>
      <c r="AV858" s="16">
        <f t="shared" si="446"/>
        <v>101</v>
      </c>
      <c r="AW858" s="20">
        <v>11</v>
      </c>
      <c r="AX858" s="8">
        <f t="shared" si="454"/>
        <v>0.11</v>
      </c>
      <c r="AY858" s="8" t="s">
        <v>67</v>
      </c>
      <c r="AZ858" s="16">
        <f t="shared" si="451"/>
        <v>20</v>
      </c>
      <c r="BA858" s="16" t="s">
        <v>55</v>
      </c>
      <c r="BB858" s="16">
        <v>10</v>
      </c>
      <c r="BC858" s="16" t="s">
        <v>55</v>
      </c>
      <c r="BD858" s="18">
        <v>102.56</v>
      </c>
      <c r="BE858" s="16">
        <f t="shared" si="444"/>
        <v>932.36363636363637</v>
      </c>
      <c r="BF858" s="16">
        <f t="shared" si="435"/>
        <v>2.9695853270165173</v>
      </c>
      <c r="BG858" s="8">
        <f t="shared" si="455"/>
        <v>2.0109780121747423</v>
      </c>
      <c r="BH858" s="13" t="s">
        <v>841</v>
      </c>
      <c r="BI858" s="13"/>
      <c r="BJ858" s="13"/>
      <c r="BK858" s="8"/>
      <c r="BL858" s="8"/>
      <c r="BM858" s="18"/>
      <c r="BN858" s="8"/>
      <c r="BO858" s="24"/>
    </row>
    <row r="859" spans="1:67" s="14" customFormat="1" x14ac:dyDescent="0.3">
      <c r="A859" s="20">
        <v>857</v>
      </c>
      <c r="B859" s="2" t="s">
        <v>219</v>
      </c>
      <c r="C859" s="2">
        <v>2020</v>
      </c>
      <c r="D859" s="2" t="s">
        <v>201</v>
      </c>
      <c r="E859" s="10" t="s">
        <v>801</v>
      </c>
      <c r="F859" s="20" t="s">
        <v>29</v>
      </c>
      <c r="G859" s="2" t="s">
        <v>80</v>
      </c>
      <c r="H859" s="2" t="str">
        <f>'PFAS Properties'!$B$46</f>
        <v>PFOS</v>
      </c>
      <c r="I859" s="2" t="str">
        <f>'PFAS Properties'!$C$46</f>
        <v>PFSA</v>
      </c>
      <c r="J859" s="2" t="str">
        <f>'PFAS Properties'!$D$46</f>
        <v>C8HF17O3S</v>
      </c>
      <c r="K859" s="25">
        <f>'PFAS Properties'!$P$46</f>
        <v>499.93739999999997</v>
      </c>
      <c r="L859" s="2">
        <f>'PFAS Properties'!$X$46</f>
        <v>0.1</v>
      </c>
      <c r="M859" s="2" t="str">
        <f>'PFAS Properties'!$Y$46</f>
        <v>-</v>
      </c>
      <c r="N859" s="33">
        <v>0</v>
      </c>
      <c r="O859" s="33">
        <v>0</v>
      </c>
      <c r="P859" s="33">
        <v>0</v>
      </c>
      <c r="Q859" s="33">
        <f t="shared" si="452"/>
        <v>0.99999984151070587</v>
      </c>
      <c r="R859" s="33">
        <v>0</v>
      </c>
      <c r="S859" s="33">
        <f t="shared" si="453"/>
        <v>1.584892941272506E-7</v>
      </c>
      <c r="T859" s="8">
        <f t="shared" si="429"/>
        <v>1</v>
      </c>
      <c r="U859" s="33">
        <f t="shared" si="430"/>
        <v>0</v>
      </c>
      <c r="V859" s="33">
        <f t="shared" si="431"/>
        <v>-0.99999984151070587</v>
      </c>
      <c r="W859" s="33">
        <f t="shared" si="432"/>
        <v>498.93740015848931</v>
      </c>
      <c r="X859" s="33">
        <v>96485</v>
      </c>
      <c r="Y859" s="16">
        <f t="shared" si="433"/>
        <v>-193.38094253409676</v>
      </c>
      <c r="Z859" s="16">
        <v>8</v>
      </c>
      <c r="AA859" s="16">
        <v>17</v>
      </c>
      <c r="AB859" s="8">
        <f t="shared" si="434"/>
        <v>0.29721362229102166</v>
      </c>
      <c r="AC859" s="16">
        <f t="shared" si="445"/>
        <v>64.60808893273439</v>
      </c>
      <c r="AD859" s="20">
        <f>'PFAS Properties'!$W$46</f>
        <v>8</v>
      </c>
      <c r="AE859" s="8">
        <f>'PFAS Properties'!$S$46</f>
        <v>2.0166155475571776</v>
      </c>
      <c r="AF859" s="15">
        <f>'PFAS Properties'!$V$46</f>
        <v>5</v>
      </c>
      <c r="AG859" s="24">
        <v>6.9</v>
      </c>
      <c r="AH859" s="2" t="s">
        <v>661</v>
      </c>
      <c r="AI859" s="2">
        <v>42</v>
      </c>
      <c r="AJ859" s="15">
        <f t="shared" si="447"/>
        <v>752.08165457964014</v>
      </c>
      <c r="AK859" s="15">
        <f t="shared" si="448"/>
        <v>4.2</v>
      </c>
      <c r="AL859" s="2">
        <v>1</v>
      </c>
      <c r="AM859" s="15">
        <f t="shared" si="449"/>
        <v>37.064492216456635</v>
      </c>
      <c r="AN859" s="15">
        <f t="shared" si="450"/>
        <v>0.1</v>
      </c>
      <c r="AO859" s="2" t="s">
        <v>710</v>
      </c>
      <c r="AP859" s="72">
        <v>5.6875666666666662</v>
      </c>
      <c r="AQ859" s="70" t="s">
        <v>752</v>
      </c>
      <c r="AR859" s="2">
        <v>19</v>
      </c>
      <c r="AS859" s="2">
        <v>36</v>
      </c>
      <c r="AT859" s="2">
        <v>32</v>
      </c>
      <c r="AU859" s="2" t="s">
        <v>661</v>
      </c>
      <c r="AV859" s="16">
        <f t="shared" si="446"/>
        <v>87</v>
      </c>
      <c r="AW859" s="20">
        <v>5.9</v>
      </c>
      <c r="AX859" s="8">
        <f t="shared" si="454"/>
        <v>5.9000000000000004E-2</v>
      </c>
      <c r="AY859" s="8" t="s">
        <v>67</v>
      </c>
      <c r="AZ859" s="16">
        <f t="shared" si="451"/>
        <v>20</v>
      </c>
      <c r="BA859" s="16" t="s">
        <v>55</v>
      </c>
      <c r="BB859" s="16">
        <v>10</v>
      </c>
      <c r="BC859" s="16" t="s">
        <v>55</v>
      </c>
      <c r="BD859" s="18">
        <v>44.9</v>
      </c>
      <c r="BE859" s="16">
        <f t="shared" si="444"/>
        <v>761.01694915254234</v>
      </c>
      <c r="BF859" s="16">
        <f t="shared" si="435"/>
        <v>2.881394329361179</v>
      </c>
      <c r="BG859" s="8">
        <f t="shared" si="455"/>
        <v>1.6522463410033232</v>
      </c>
      <c r="BH859" s="13" t="s">
        <v>841</v>
      </c>
      <c r="BI859" s="13"/>
      <c r="BJ859" s="13"/>
      <c r="BK859" s="8"/>
      <c r="BL859" s="8"/>
      <c r="BM859" s="18"/>
      <c r="BN859" s="8"/>
      <c r="BO859" s="24"/>
    </row>
    <row r="860" spans="1:67" s="14" customFormat="1" x14ac:dyDescent="0.3">
      <c r="A860" s="20">
        <v>858</v>
      </c>
      <c r="B860" s="2" t="s">
        <v>219</v>
      </c>
      <c r="C860" s="2">
        <v>2020</v>
      </c>
      <c r="D860" s="2" t="s">
        <v>201</v>
      </c>
      <c r="E860" s="10" t="s">
        <v>801</v>
      </c>
      <c r="F860" s="20" t="s">
        <v>29</v>
      </c>
      <c r="G860" s="2" t="s">
        <v>81</v>
      </c>
      <c r="H860" s="2" t="str">
        <f>'PFAS Properties'!$B$46</f>
        <v>PFOS</v>
      </c>
      <c r="I860" s="2" t="str">
        <f>'PFAS Properties'!$C$46</f>
        <v>PFSA</v>
      </c>
      <c r="J860" s="2" t="str">
        <f>'PFAS Properties'!$D$46</f>
        <v>C8HF17O3S</v>
      </c>
      <c r="K860" s="25">
        <f>'PFAS Properties'!$P$46</f>
        <v>499.93739999999997</v>
      </c>
      <c r="L860" s="2">
        <f>'PFAS Properties'!$X$46</f>
        <v>0.1</v>
      </c>
      <c r="M860" s="2" t="str">
        <f>'PFAS Properties'!$Y$46</f>
        <v>-</v>
      </c>
      <c r="N860" s="33">
        <v>0</v>
      </c>
      <c r="O860" s="33">
        <v>0</v>
      </c>
      <c r="P860" s="33">
        <v>0</v>
      </c>
      <c r="Q860" s="33">
        <f t="shared" si="452"/>
        <v>0.99999979107043058</v>
      </c>
      <c r="R860" s="33">
        <v>0</v>
      </c>
      <c r="S860" s="33">
        <f t="shared" si="453"/>
        <v>2.0892956943382908E-7</v>
      </c>
      <c r="T860" s="8">
        <f t="shared" si="429"/>
        <v>1</v>
      </c>
      <c r="U860" s="33">
        <f t="shared" si="430"/>
        <v>0</v>
      </c>
      <c r="V860" s="33">
        <f t="shared" si="431"/>
        <v>-0.99999979107043058</v>
      </c>
      <c r="W860" s="33">
        <f t="shared" si="432"/>
        <v>498.93740020892955</v>
      </c>
      <c r="X860" s="33">
        <v>96485</v>
      </c>
      <c r="Y860" s="16">
        <f t="shared" si="433"/>
        <v>-193.3809327603573</v>
      </c>
      <c r="Z860" s="16">
        <v>8</v>
      </c>
      <c r="AA860" s="16">
        <v>17</v>
      </c>
      <c r="AB860" s="8">
        <f t="shared" si="434"/>
        <v>0.29721362229102166</v>
      </c>
      <c r="AC860" s="16">
        <f t="shared" si="445"/>
        <v>64.60808893273439</v>
      </c>
      <c r="AD860" s="20">
        <f>'PFAS Properties'!$W$46</f>
        <v>8</v>
      </c>
      <c r="AE860" s="8">
        <f>'PFAS Properties'!$S$46</f>
        <v>2.0166155475571776</v>
      </c>
      <c r="AF860" s="15">
        <f>'PFAS Properties'!$V$46</f>
        <v>5</v>
      </c>
      <c r="AG860" s="24">
        <v>6.78</v>
      </c>
      <c r="AH860" s="2" t="s">
        <v>661</v>
      </c>
      <c r="AI860" s="2">
        <v>15</v>
      </c>
      <c r="AJ860" s="15">
        <f t="shared" si="447"/>
        <v>268.60059092130001</v>
      </c>
      <c r="AK860" s="15">
        <f t="shared" si="448"/>
        <v>1.5</v>
      </c>
      <c r="AL860" s="2">
        <v>4.9000000000000004</v>
      </c>
      <c r="AM860" s="15">
        <f t="shared" si="449"/>
        <v>181.61601186063751</v>
      </c>
      <c r="AN860" s="15">
        <f t="shared" si="450"/>
        <v>0.49000000000000005</v>
      </c>
      <c r="AO860" s="2" t="s">
        <v>710</v>
      </c>
      <c r="AP860" s="72">
        <v>6.7671166666666656</v>
      </c>
      <c r="AQ860" s="70" t="s">
        <v>752</v>
      </c>
      <c r="AR860" s="2">
        <v>79</v>
      </c>
      <c r="AS860" s="2">
        <v>4</v>
      </c>
      <c r="AT860" s="2">
        <v>9</v>
      </c>
      <c r="AU860" s="2" t="s">
        <v>661</v>
      </c>
      <c r="AV860" s="16">
        <f t="shared" si="446"/>
        <v>92</v>
      </c>
      <c r="AW860" s="20">
        <v>3.2</v>
      </c>
      <c r="AX860" s="8">
        <f t="shared" si="454"/>
        <v>3.2000000000000001E-2</v>
      </c>
      <c r="AY860" s="8" t="s">
        <v>67</v>
      </c>
      <c r="AZ860" s="16">
        <f t="shared" si="451"/>
        <v>20</v>
      </c>
      <c r="BA860" s="16" t="s">
        <v>55</v>
      </c>
      <c r="BB860" s="16">
        <v>10</v>
      </c>
      <c r="BC860" s="16" t="s">
        <v>55</v>
      </c>
      <c r="BD860" s="18">
        <v>35.1</v>
      </c>
      <c r="BE860" s="16">
        <f t="shared" si="444"/>
        <v>1096.875</v>
      </c>
      <c r="BF860" s="16">
        <f t="shared" si="435"/>
        <v>3.040157138145918</v>
      </c>
      <c r="BG860" s="8">
        <f t="shared" si="455"/>
        <v>1.5453071164658241</v>
      </c>
      <c r="BH860" s="13" t="s">
        <v>841</v>
      </c>
      <c r="BI860" s="13"/>
      <c r="BJ860" s="13"/>
      <c r="BK860" s="8"/>
      <c r="BL860" s="8"/>
      <c r="BM860" s="18"/>
      <c r="BN860" s="8"/>
      <c r="BO860" s="24"/>
    </row>
    <row r="861" spans="1:67" s="14" customFormat="1" x14ac:dyDescent="0.3">
      <c r="A861" s="20">
        <v>859</v>
      </c>
      <c r="B861" s="2" t="s">
        <v>219</v>
      </c>
      <c r="C861" s="2">
        <v>2020</v>
      </c>
      <c r="D861" s="2" t="s">
        <v>201</v>
      </c>
      <c r="E861" s="10" t="s">
        <v>801</v>
      </c>
      <c r="F861" s="20" t="s">
        <v>29</v>
      </c>
      <c r="G861" s="2" t="s">
        <v>82</v>
      </c>
      <c r="H861" s="2" t="str">
        <f>'PFAS Properties'!$B$46</f>
        <v>PFOS</v>
      </c>
      <c r="I861" s="2" t="str">
        <f>'PFAS Properties'!$C$46</f>
        <v>PFSA</v>
      </c>
      <c r="J861" s="2" t="str">
        <f>'PFAS Properties'!$D$46</f>
        <v>C8HF17O3S</v>
      </c>
      <c r="K861" s="25">
        <f>'PFAS Properties'!$P$46</f>
        <v>499.93739999999997</v>
      </c>
      <c r="L861" s="2">
        <f>'PFAS Properties'!$X$46</f>
        <v>0.1</v>
      </c>
      <c r="M861" s="2" t="str">
        <f>'PFAS Properties'!$Y$46</f>
        <v>-</v>
      </c>
      <c r="N861" s="33">
        <v>0</v>
      </c>
      <c r="O861" s="33">
        <v>0</v>
      </c>
      <c r="P861" s="33">
        <v>0</v>
      </c>
      <c r="Q861" s="33">
        <f t="shared" si="452"/>
        <v>0.99999993081690774</v>
      </c>
      <c r="R861" s="33">
        <v>0</v>
      </c>
      <c r="S861" s="33">
        <f t="shared" si="453"/>
        <v>6.9183092305592872E-8</v>
      </c>
      <c r="T861" s="8">
        <f t="shared" si="429"/>
        <v>1</v>
      </c>
      <c r="U861" s="33">
        <f t="shared" si="430"/>
        <v>0</v>
      </c>
      <c r="V861" s="33">
        <f t="shared" si="431"/>
        <v>-0.99999993081690774</v>
      </c>
      <c r="W861" s="33">
        <f t="shared" si="432"/>
        <v>498.93740006918307</v>
      </c>
      <c r="X861" s="33">
        <v>96485</v>
      </c>
      <c r="Y861" s="16">
        <f t="shared" si="433"/>
        <v>-193.38095983883079</v>
      </c>
      <c r="Z861" s="16">
        <v>8</v>
      </c>
      <c r="AA861" s="16">
        <v>17</v>
      </c>
      <c r="AB861" s="8">
        <f t="shared" si="434"/>
        <v>0.29721362229102166</v>
      </c>
      <c r="AC861" s="16">
        <f t="shared" si="445"/>
        <v>64.60808893273439</v>
      </c>
      <c r="AD861" s="20">
        <f>'PFAS Properties'!$W$46</f>
        <v>8</v>
      </c>
      <c r="AE861" s="8">
        <f>'PFAS Properties'!$S$46</f>
        <v>2.0166155475571776</v>
      </c>
      <c r="AF861" s="15">
        <f>'PFAS Properties'!$V$46</f>
        <v>5</v>
      </c>
      <c r="AG861" s="24">
        <v>7.26</v>
      </c>
      <c r="AH861" s="2" t="s">
        <v>661</v>
      </c>
      <c r="AI861" s="2">
        <v>26</v>
      </c>
      <c r="AJ861" s="15">
        <f t="shared" si="447"/>
        <v>465.57435759692004</v>
      </c>
      <c r="AK861" s="15">
        <f t="shared" si="448"/>
        <v>2.6</v>
      </c>
      <c r="AL861" s="2">
        <v>9.1999999999999993</v>
      </c>
      <c r="AM861" s="15">
        <f t="shared" si="449"/>
        <v>340.99332839140101</v>
      </c>
      <c r="AN861" s="15">
        <f t="shared" si="450"/>
        <v>0.91999999999999993</v>
      </c>
      <c r="AO861" s="2" t="s">
        <v>710</v>
      </c>
      <c r="AP861" s="72">
        <v>12.88201666666667</v>
      </c>
      <c r="AQ861" s="70" t="s">
        <v>752</v>
      </c>
      <c r="AR861" s="2">
        <v>37</v>
      </c>
      <c r="AS861" s="2">
        <v>14</v>
      </c>
      <c r="AT861" s="2">
        <v>34</v>
      </c>
      <c r="AU861" s="2" t="s">
        <v>661</v>
      </c>
      <c r="AV861" s="16">
        <f t="shared" si="446"/>
        <v>85</v>
      </c>
      <c r="AW861" s="20">
        <v>10</v>
      </c>
      <c r="AX861" s="8">
        <f t="shared" si="454"/>
        <v>0.1</v>
      </c>
      <c r="AY861" s="8" t="s">
        <v>67</v>
      </c>
      <c r="AZ861" s="16">
        <f t="shared" si="451"/>
        <v>20</v>
      </c>
      <c r="BA861" s="16" t="s">
        <v>55</v>
      </c>
      <c r="BB861" s="16">
        <v>10</v>
      </c>
      <c r="BC861" s="16" t="s">
        <v>55</v>
      </c>
      <c r="BD861" s="18">
        <v>86.75</v>
      </c>
      <c r="BE861" s="16">
        <f t="shared" si="444"/>
        <v>867.5</v>
      </c>
      <c r="BF861" s="16">
        <f t="shared" si="435"/>
        <v>2.9382694834629115</v>
      </c>
      <c r="BG861" s="8">
        <f t="shared" si="455"/>
        <v>1.9382694834629113</v>
      </c>
      <c r="BH861" s="13" t="s">
        <v>841</v>
      </c>
      <c r="BI861" s="13"/>
      <c r="BJ861" s="13"/>
      <c r="BK861" s="8"/>
      <c r="BL861" s="8"/>
      <c r="BM861" s="18"/>
      <c r="BN861" s="8"/>
      <c r="BO861" s="24"/>
    </row>
    <row r="862" spans="1:67" s="14" customFormat="1" x14ac:dyDescent="0.3">
      <c r="A862" s="20">
        <v>860</v>
      </c>
      <c r="B862" s="2" t="s">
        <v>219</v>
      </c>
      <c r="C862" s="2">
        <v>2020</v>
      </c>
      <c r="D862" s="2" t="s">
        <v>201</v>
      </c>
      <c r="E862" s="10" t="s">
        <v>801</v>
      </c>
      <c r="F862" s="20" t="s">
        <v>29</v>
      </c>
      <c r="G862" s="2" t="s">
        <v>83</v>
      </c>
      <c r="H862" s="2" t="str">
        <f>'PFAS Properties'!$B$46</f>
        <v>PFOS</v>
      </c>
      <c r="I862" s="2" t="str">
        <f>'PFAS Properties'!$C$46</f>
        <v>PFSA</v>
      </c>
      <c r="J862" s="2" t="str">
        <f>'PFAS Properties'!$D$46</f>
        <v>C8HF17O3S</v>
      </c>
      <c r="K862" s="25">
        <f>'PFAS Properties'!$P$46</f>
        <v>499.93739999999997</v>
      </c>
      <c r="L862" s="2">
        <f>'PFAS Properties'!$X$46</f>
        <v>0.1</v>
      </c>
      <c r="M862" s="2" t="str">
        <f>'PFAS Properties'!$Y$46</f>
        <v>-</v>
      </c>
      <c r="N862" s="33">
        <v>0</v>
      </c>
      <c r="O862" s="33">
        <v>0</v>
      </c>
      <c r="P862" s="33">
        <v>0</v>
      </c>
      <c r="Q862" s="33">
        <f t="shared" si="452"/>
        <v>0.99999991682362976</v>
      </c>
      <c r="R862" s="33">
        <v>0</v>
      </c>
      <c r="S862" s="33">
        <f t="shared" si="453"/>
        <v>8.3176370191957686E-8</v>
      </c>
      <c r="T862" s="8">
        <f t="shared" si="429"/>
        <v>1</v>
      </c>
      <c r="U862" s="33">
        <f t="shared" si="430"/>
        <v>0</v>
      </c>
      <c r="V862" s="33">
        <f t="shared" si="431"/>
        <v>-0.99999991682362976</v>
      </c>
      <c r="W862" s="33">
        <f t="shared" si="432"/>
        <v>498.93740008317633</v>
      </c>
      <c r="X862" s="33">
        <v>96485</v>
      </c>
      <c r="Y862" s="16">
        <f t="shared" si="433"/>
        <v>-193.38095712737351</v>
      </c>
      <c r="Z862" s="16">
        <v>8</v>
      </c>
      <c r="AA862" s="16">
        <v>17</v>
      </c>
      <c r="AB862" s="8">
        <f t="shared" si="434"/>
        <v>0.29721362229102166</v>
      </c>
      <c r="AC862" s="16">
        <f t="shared" si="445"/>
        <v>64.60808893273439</v>
      </c>
      <c r="AD862" s="20">
        <f>'PFAS Properties'!$W$46</f>
        <v>8</v>
      </c>
      <c r="AE862" s="8">
        <f>'PFAS Properties'!$S$46</f>
        <v>2.0166155475571776</v>
      </c>
      <c r="AF862" s="15">
        <f>'PFAS Properties'!$V$46</f>
        <v>5</v>
      </c>
      <c r="AG862" s="24">
        <v>7.18</v>
      </c>
      <c r="AH862" s="2" t="s">
        <v>661</v>
      </c>
      <c r="AI862" s="2">
        <v>25</v>
      </c>
      <c r="AJ862" s="15">
        <f t="shared" si="447"/>
        <v>447.66765153550006</v>
      </c>
      <c r="AK862" s="15">
        <f t="shared" si="448"/>
        <v>2.5</v>
      </c>
      <c r="AL862" s="2">
        <v>8.1999999999999993</v>
      </c>
      <c r="AM862" s="15">
        <f t="shared" si="449"/>
        <v>303.92883617494442</v>
      </c>
      <c r="AN862" s="15">
        <f t="shared" si="450"/>
        <v>0.82</v>
      </c>
      <c r="AO862" s="2" t="s">
        <v>710</v>
      </c>
      <c r="AP862" s="72">
        <v>12.04371666666666</v>
      </c>
      <c r="AQ862" s="70" t="s">
        <v>752</v>
      </c>
      <c r="AR862" s="2">
        <v>44</v>
      </c>
      <c r="AS862" s="2">
        <v>14</v>
      </c>
      <c r="AT862" s="2">
        <v>24</v>
      </c>
      <c r="AU862" s="2" t="s">
        <v>661</v>
      </c>
      <c r="AV862" s="16">
        <f t="shared" si="446"/>
        <v>82</v>
      </c>
      <c r="AW862" s="20">
        <v>10.1</v>
      </c>
      <c r="AX862" s="8">
        <f t="shared" si="454"/>
        <v>0.10099999999999999</v>
      </c>
      <c r="AY862" s="8" t="s">
        <v>67</v>
      </c>
      <c r="AZ862" s="16">
        <f t="shared" si="451"/>
        <v>20</v>
      </c>
      <c r="BA862" s="16" t="s">
        <v>55</v>
      </c>
      <c r="BB862" s="16">
        <v>10</v>
      </c>
      <c r="BC862" s="16" t="s">
        <v>55</v>
      </c>
      <c r="BD862" s="18">
        <v>71.08</v>
      </c>
      <c r="BE862" s="16">
        <f t="shared" si="444"/>
        <v>703.76237623762381</v>
      </c>
      <c r="BF862" s="16">
        <f t="shared" si="435"/>
        <v>2.8474260453506215</v>
      </c>
      <c r="BG862" s="8">
        <f t="shared" si="455"/>
        <v>1.8517474191332639</v>
      </c>
      <c r="BH862" s="13" t="s">
        <v>841</v>
      </c>
      <c r="BI862" s="13"/>
      <c r="BJ862" s="13"/>
      <c r="BK862" s="8"/>
      <c r="BL862" s="8"/>
      <c r="BM862" s="18"/>
      <c r="BN862" s="8"/>
      <c r="BO862" s="24"/>
    </row>
    <row r="863" spans="1:67" s="14" customFormat="1" x14ac:dyDescent="0.3">
      <c r="A863" s="20">
        <v>861</v>
      </c>
      <c r="B863" s="2" t="s">
        <v>219</v>
      </c>
      <c r="C863" s="2">
        <v>2020</v>
      </c>
      <c r="D863" s="2" t="s">
        <v>201</v>
      </c>
      <c r="E863" s="10" t="s">
        <v>801</v>
      </c>
      <c r="F863" s="20" t="s">
        <v>29</v>
      </c>
      <c r="G863" s="2" t="s">
        <v>84</v>
      </c>
      <c r="H863" s="2" t="str">
        <f>'PFAS Properties'!$B$46</f>
        <v>PFOS</v>
      </c>
      <c r="I863" s="2" t="str">
        <f>'PFAS Properties'!$C$46</f>
        <v>PFSA</v>
      </c>
      <c r="J863" s="2" t="str">
        <f>'PFAS Properties'!$D$46</f>
        <v>C8HF17O3S</v>
      </c>
      <c r="K863" s="25">
        <f>'PFAS Properties'!$P$46</f>
        <v>499.93739999999997</v>
      </c>
      <c r="L863" s="2">
        <f>'PFAS Properties'!$X$46</f>
        <v>0.1</v>
      </c>
      <c r="M863" s="2" t="str">
        <f>'PFAS Properties'!$Y$46</f>
        <v>-</v>
      </c>
      <c r="N863" s="33">
        <v>0</v>
      </c>
      <c r="O863" s="33">
        <v>0</v>
      </c>
      <c r="P863" s="33">
        <v>0</v>
      </c>
      <c r="Q863" s="33">
        <f t="shared" si="452"/>
        <v>0.99999989767071129</v>
      </c>
      <c r="R863" s="33">
        <v>0</v>
      </c>
      <c r="S863" s="33">
        <f t="shared" si="453"/>
        <v>1.0232928875679092E-7</v>
      </c>
      <c r="T863" s="8">
        <f t="shared" si="429"/>
        <v>1</v>
      </c>
      <c r="U863" s="33">
        <f t="shared" si="430"/>
        <v>0</v>
      </c>
      <c r="V863" s="33">
        <f t="shared" si="431"/>
        <v>-0.99999989767071129</v>
      </c>
      <c r="W863" s="33">
        <f t="shared" si="432"/>
        <v>498.93740010232932</v>
      </c>
      <c r="X863" s="33">
        <v>96485</v>
      </c>
      <c r="Y863" s="16">
        <f t="shared" si="433"/>
        <v>-193.38095341614004</v>
      </c>
      <c r="Z863" s="16">
        <v>8</v>
      </c>
      <c r="AA863" s="16">
        <v>17</v>
      </c>
      <c r="AB863" s="8">
        <f t="shared" si="434"/>
        <v>0.29721362229102166</v>
      </c>
      <c r="AC863" s="16">
        <f t="shared" si="445"/>
        <v>64.60808893273439</v>
      </c>
      <c r="AD863" s="20">
        <f>'PFAS Properties'!$W$46</f>
        <v>8</v>
      </c>
      <c r="AE863" s="8">
        <f>'PFAS Properties'!$S$46</f>
        <v>2.0166155475571776</v>
      </c>
      <c r="AF863" s="15">
        <f>'PFAS Properties'!$V$46</f>
        <v>5</v>
      </c>
      <c r="AG863" s="24">
        <v>7.09</v>
      </c>
      <c r="AH863" s="2" t="s">
        <v>661</v>
      </c>
      <c r="AI863" s="2">
        <v>28</v>
      </c>
      <c r="AJ863" s="15">
        <f t="shared" si="447"/>
        <v>501.38776971976006</v>
      </c>
      <c r="AK863" s="15">
        <f t="shared" si="448"/>
        <v>2.8</v>
      </c>
      <c r="AL863" s="2">
        <v>10</v>
      </c>
      <c r="AM863" s="15">
        <f t="shared" si="449"/>
        <v>370.64492216456637</v>
      </c>
      <c r="AN863" s="15">
        <f t="shared" si="450"/>
        <v>1</v>
      </c>
      <c r="AO863" s="2" t="s">
        <v>710</v>
      </c>
      <c r="AP863" s="72">
        <v>15.281916666666669</v>
      </c>
      <c r="AQ863" s="70" t="s">
        <v>752</v>
      </c>
      <c r="AR863" s="2">
        <v>15</v>
      </c>
      <c r="AS863" s="2">
        <v>26</v>
      </c>
      <c r="AT863" s="2">
        <v>42</v>
      </c>
      <c r="AU863" s="2" t="s">
        <v>661</v>
      </c>
      <c r="AV863" s="16">
        <f t="shared" si="446"/>
        <v>83</v>
      </c>
      <c r="AW863" s="20">
        <v>5.6</v>
      </c>
      <c r="AX863" s="8">
        <f t="shared" si="454"/>
        <v>5.5999999999999994E-2</v>
      </c>
      <c r="AY863" s="8" t="s">
        <v>67</v>
      </c>
      <c r="AZ863" s="16">
        <f t="shared" si="451"/>
        <v>20</v>
      </c>
      <c r="BA863" s="16" t="s">
        <v>55</v>
      </c>
      <c r="BB863" s="16">
        <v>10</v>
      </c>
      <c r="BC863" s="16" t="s">
        <v>55</v>
      </c>
      <c r="BD863" s="18">
        <v>51.79</v>
      </c>
      <c r="BE863" s="16">
        <f t="shared" si="444"/>
        <v>924.82142857142867</v>
      </c>
      <c r="BF863" s="16">
        <f t="shared" si="435"/>
        <v>2.9660578840116938</v>
      </c>
      <c r="BG863" s="8">
        <f t="shared" si="455"/>
        <v>1.714245911017894</v>
      </c>
      <c r="BH863" s="13" t="s">
        <v>841</v>
      </c>
      <c r="BI863" s="13"/>
      <c r="BJ863" s="13"/>
      <c r="BK863" s="8"/>
      <c r="BL863" s="8"/>
      <c r="BM863" s="18"/>
      <c r="BN863" s="8"/>
      <c r="BO863" s="24"/>
    </row>
    <row r="864" spans="1:67" s="14" customFormat="1" x14ac:dyDescent="0.3">
      <c r="A864" s="20">
        <v>862</v>
      </c>
      <c r="B864" s="2" t="s">
        <v>253</v>
      </c>
      <c r="C864" s="2">
        <v>2009</v>
      </c>
      <c r="D864" s="2" t="s">
        <v>199</v>
      </c>
      <c r="E864" s="10" t="s">
        <v>266</v>
      </c>
      <c r="F864" s="20" t="s">
        <v>29</v>
      </c>
      <c r="G864" s="2" t="s">
        <v>168</v>
      </c>
      <c r="H864" s="2" t="str">
        <f>'PFAS Properties'!$B$46</f>
        <v>PFOS</v>
      </c>
      <c r="I864" s="2" t="str">
        <f>'PFAS Properties'!$C$46</f>
        <v>PFSA</v>
      </c>
      <c r="J864" s="2" t="str">
        <f>'PFAS Properties'!$D$46</f>
        <v>C8HF17O3S</v>
      </c>
      <c r="K864" s="25">
        <f>'PFAS Properties'!$P$46</f>
        <v>499.93739999999997</v>
      </c>
      <c r="L864" s="2">
        <f>'PFAS Properties'!$X$46</f>
        <v>0.1</v>
      </c>
      <c r="M864" s="2" t="str">
        <f>'PFAS Properties'!$Y$46</f>
        <v>-</v>
      </c>
      <c r="N864" s="33">
        <v>0</v>
      </c>
      <c r="O864" s="33">
        <v>0</v>
      </c>
      <c r="P864" s="33">
        <v>0</v>
      </c>
      <c r="Q864" s="33">
        <f t="shared" si="452"/>
        <v>0.99999990000001004</v>
      </c>
      <c r="R864" s="33">
        <v>0</v>
      </c>
      <c r="S864" s="33">
        <f t="shared" si="453"/>
        <v>9.9999990000001005E-8</v>
      </c>
      <c r="T864" s="8">
        <f t="shared" si="429"/>
        <v>1</v>
      </c>
      <c r="U864" s="33">
        <f t="shared" si="430"/>
        <v>0</v>
      </c>
      <c r="V864" s="33">
        <f t="shared" si="431"/>
        <v>-0.99999990000001004</v>
      </c>
      <c r="W864" s="33">
        <f t="shared" si="432"/>
        <v>498.93740009999999</v>
      </c>
      <c r="X864" s="33">
        <v>96485</v>
      </c>
      <c r="Y864" s="16">
        <f t="shared" si="433"/>
        <v>-193.38095386748492</v>
      </c>
      <c r="Z864" s="16">
        <v>8</v>
      </c>
      <c r="AA864" s="16">
        <v>17</v>
      </c>
      <c r="AB864" s="8">
        <f t="shared" si="434"/>
        <v>0.29721362229102166</v>
      </c>
      <c r="AC864" s="16">
        <f t="shared" si="445"/>
        <v>64.60808893273439</v>
      </c>
      <c r="AD864" s="20">
        <f>'PFAS Properties'!$W$46</f>
        <v>8</v>
      </c>
      <c r="AE864" s="8">
        <f>'PFAS Properties'!$S$46</f>
        <v>2.0166155475571776</v>
      </c>
      <c r="AF864" s="15">
        <f>'PFAS Properties'!$V$46</f>
        <v>5</v>
      </c>
      <c r="AG864" s="24">
        <v>7.1</v>
      </c>
      <c r="AH864" s="2" t="s">
        <v>661</v>
      </c>
      <c r="AI864" s="2" t="s">
        <v>661</v>
      </c>
      <c r="AJ864" s="2" t="s">
        <v>661</v>
      </c>
      <c r="AK864" s="2" t="s">
        <v>661</v>
      </c>
      <c r="AL864" s="2" t="s">
        <v>661</v>
      </c>
      <c r="AM864" s="2" t="s">
        <v>661</v>
      </c>
      <c r="AN864" s="2" t="s">
        <v>661</v>
      </c>
      <c r="AO864" s="2" t="s">
        <v>661</v>
      </c>
      <c r="AP864" s="72">
        <v>15.66131666666667</v>
      </c>
      <c r="AQ864" s="70" t="s">
        <v>752</v>
      </c>
      <c r="AR864" s="71">
        <v>40.420299999999997</v>
      </c>
      <c r="AS864" s="71">
        <v>34.065649999999998</v>
      </c>
      <c r="AT864" s="71">
        <v>25.3141</v>
      </c>
      <c r="AU864" s="70" t="s">
        <v>752</v>
      </c>
      <c r="AV864" s="16">
        <f t="shared" si="446"/>
        <v>99.800049999999999</v>
      </c>
      <c r="AW864" s="20">
        <v>0.91</v>
      </c>
      <c r="AX864" s="8">
        <f t="shared" si="454"/>
        <v>9.1000000000000004E-3</v>
      </c>
      <c r="AY864" s="8" t="s">
        <v>87</v>
      </c>
      <c r="AZ864" s="16" t="s">
        <v>55</v>
      </c>
      <c r="BA864" s="16" t="s">
        <v>55</v>
      </c>
      <c r="BB864" s="16">
        <v>2</v>
      </c>
      <c r="BC864" s="16">
        <v>200</v>
      </c>
      <c r="BD864" s="18">
        <f>(10^3.13)*AX864</f>
        <v>12.275562231584052</v>
      </c>
      <c r="BE864" s="16">
        <f t="shared" si="444"/>
        <v>1348.9628825916541</v>
      </c>
      <c r="BF864" s="16">
        <f t="shared" si="435"/>
        <v>3.1300000000000003</v>
      </c>
      <c r="BG864" s="8">
        <f t="shared" si="455"/>
        <v>1.0890413923210938</v>
      </c>
      <c r="BH864" s="13" t="s">
        <v>864</v>
      </c>
      <c r="BI864" s="13"/>
      <c r="BJ864" s="13"/>
      <c r="BK864" s="15"/>
      <c r="BL864" s="8"/>
      <c r="BM864" s="18"/>
      <c r="BN864" s="8"/>
      <c r="BO864" s="24"/>
    </row>
    <row r="865" spans="1:69" s="14" customFormat="1" x14ac:dyDescent="0.3">
      <c r="A865" s="20">
        <v>863</v>
      </c>
      <c r="B865" s="2" t="s">
        <v>247</v>
      </c>
      <c r="C865" s="2">
        <v>2011</v>
      </c>
      <c r="D865" s="2" t="s">
        <v>199</v>
      </c>
      <c r="E865" s="10" t="s">
        <v>246</v>
      </c>
      <c r="F865" s="20" t="s">
        <v>63</v>
      </c>
      <c r="G865" s="2" t="s">
        <v>126</v>
      </c>
      <c r="H865" s="2" t="str">
        <f>'PFAS Properties'!$B$46</f>
        <v>PFOS</v>
      </c>
      <c r="I865" s="2" t="str">
        <f>'PFAS Properties'!$C$46</f>
        <v>PFSA</v>
      </c>
      <c r="J865" s="2" t="str">
        <f>'PFAS Properties'!$D$46</f>
        <v>C8HF17O3S</v>
      </c>
      <c r="K865" s="25">
        <f>'PFAS Properties'!$P$46</f>
        <v>499.93739999999997</v>
      </c>
      <c r="L865" s="2">
        <f>'PFAS Properties'!$X$46</f>
        <v>0.1</v>
      </c>
      <c r="M865" s="2" t="str">
        <f>'PFAS Properties'!$Y$46</f>
        <v>-</v>
      </c>
      <c r="N865" s="33">
        <v>0</v>
      </c>
      <c r="O865" s="33">
        <v>0</v>
      </c>
      <c r="P865" s="33">
        <v>0</v>
      </c>
      <c r="Q865" s="33">
        <f t="shared" si="452"/>
        <v>0.99999972546363392</v>
      </c>
      <c r="R865" s="33">
        <v>0</v>
      </c>
      <c r="S865" s="33">
        <f t="shared" si="453"/>
        <v>2.7453636605210314E-7</v>
      </c>
      <c r="T865" s="8">
        <f t="shared" si="429"/>
        <v>1</v>
      </c>
      <c r="U865" s="33">
        <f t="shared" si="430"/>
        <v>0</v>
      </c>
      <c r="V865" s="33">
        <f t="shared" si="431"/>
        <v>-0.99999972546363392</v>
      </c>
      <c r="W865" s="33">
        <f t="shared" si="432"/>
        <v>498.93740027453634</v>
      </c>
      <c r="X865" s="33">
        <v>96485</v>
      </c>
      <c r="Y865" s="16">
        <f t="shared" si="433"/>
        <v>-193.38092004782288</v>
      </c>
      <c r="Z865" s="16">
        <v>8</v>
      </c>
      <c r="AA865" s="16">
        <v>17</v>
      </c>
      <c r="AB865" s="8">
        <f t="shared" si="434"/>
        <v>0.29721362229102166</v>
      </c>
      <c r="AC865" s="16">
        <f t="shared" si="445"/>
        <v>64.60808893273439</v>
      </c>
      <c r="AD865" s="20">
        <f>'PFAS Properties'!$W$46</f>
        <v>8</v>
      </c>
      <c r="AE865" s="8">
        <f>'PFAS Properties'!$S$46</f>
        <v>2.0166155475571776</v>
      </c>
      <c r="AF865" s="15">
        <f>'PFAS Properties'!$V$46</f>
        <v>5</v>
      </c>
      <c r="AG865" s="124">
        <v>6.6614000000000004</v>
      </c>
      <c r="AH865" s="70" t="s">
        <v>752</v>
      </c>
      <c r="AI865" s="2" t="s">
        <v>661</v>
      </c>
      <c r="AJ865" s="15" t="s">
        <v>661</v>
      </c>
      <c r="AK865" s="8" t="s">
        <v>661</v>
      </c>
      <c r="AL865" s="2" t="s">
        <v>661</v>
      </c>
      <c r="AM865" s="15" t="s">
        <v>661</v>
      </c>
      <c r="AN865" s="8" t="s">
        <v>661</v>
      </c>
      <c r="AO865" s="15" t="s">
        <v>661</v>
      </c>
      <c r="AP865" s="72">
        <v>5.6683166666666667</v>
      </c>
      <c r="AQ865" s="70" t="s">
        <v>752</v>
      </c>
      <c r="AR865" s="16">
        <v>100</v>
      </c>
      <c r="AS865" s="16">
        <v>0</v>
      </c>
      <c r="AT865" s="16">
        <v>0</v>
      </c>
      <c r="AU865" s="2" t="s">
        <v>661</v>
      </c>
      <c r="AV865" s="16">
        <f t="shared" si="446"/>
        <v>100</v>
      </c>
      <c r="AW865" s="20">
        <v>0.03</v>
      </c>
      <c r="AX865" s="8">
        <f t="shared" si="454"/>
        <v>2.9999999999999997E-4</v>
      </c>
      <c r="AY865" s="13" t="s">
        <v>127</v>
      </c>
      <c r="AZ865" s="16">
        <v>20</v>
      </c>
      <c r="BA865" s="16" t="s">
        <v>55</v>
      </c>
      <c r="BB865" s="16">
        <v>1.4</v>
      </c>
      <c r="BC865" s="16">
        <v>143</v>
      </c>
      <c r="BD865" s="25">
        <v>12.4</v>
      </c>
      <c r="BE865" s="16">
        <f t="shared" si="444"/>
        <v>41333.333333333336</v>
      </c>
      <c r="BF865" s="16">
        <f t="shared" si="435"/>
        <v>4.616300430442573</v>
      </c>
      <c r="BG865" s="8">
        <f t="shared" si="455"/>
        <v>1.0934216851622351</v>
      </c>
      <c r="BH865" s="13" t="s">
        <v>865</v>
      </c>
      <c r="BI865" s="13"/>
      <c r="BJ865" s="13"/>
      <c r="BK865" s="13"/>
      <c r="BL865" s="13"/>
      <c r="BM865" s="17"/>
      <c r="BN865" s="17"/>
      <c r="BO865" s="2"/>
    </row>
    <row r="866" spans="1:69" s="14" customFormat="1" x14ac:dyDescent="0.3">
      <c r="A866" s="20">
        <v>864</v>
      </c>
      <c r="B866" s="2" t="s">
        <v>247</v>
      </c>
      <c r="C866" s="2">
        <v>2011</v>
      </c>
      <c r="D866" s="2" t="s">
        <v>199</v>
      </c>
      <c r="E866" s="10" t="s">
        <v>246</v>
      </c>
      <c r="F866" s="20" t="s">
        <v>63</v>
      </c>
      <c r="G866" s="2" t="s">
        <v>128</v>
      </c>
      <c r="H866" s="2" t="str">
        <f>'PFAS Properties'!$B$46</f>
        <v>PFOS</v>
      </c>
      <c r="I866" s="2" t="str">
        <f>'PFAS Properties'!$C$46</f>
        <v>PFSA</v>
      </c>
      <c r="J866" s="2" t="str">
        <f>'PFAS Properties'!$D$46</f>
        <v>C8HF17O3S</v>
      </c>
      <c r="K866" s="25">
        <f>'PFAS Properties'!$P$46</f>
        <v>499.93739999999997</v>
      </c>
      <c r="L866" s="2">
        <f>'PFAS Properties'!$X$46</f>
        <v>0.1</v>
      </c>
      <c r="M866" s="2" t="str">
        <f>'PFAS Properties'!$Y$46</f>
        <v>-</v>
      </c>
      <c r="N866" s="33">
        <v>0</v>
      </c>
      <c r="O866" s="33">
        <v>0</v>
      </c>
      <c r="P866" s="33">
        <v>0</v>
      </c>
      <c r="Q866" s="33">
        <f t="shared" si="452"/>
        <v>0.9999999421371295</v>
      </c>
      <c r="R866" s="33">
        <v>0</v>
      </c>
      <c r="S866" s="33">
        <f t="shared" si="453"/>
        <v>5.786287053368302E-8</v>
      </c>
      <c r="T866" s="8">
        <f t="shared" si="429"/>
        <v>1</v>
      </c>
      <c r="U866" s="33">
        <f t="shared" si="430"/>
        <v>0</v>
      </c>
      <c r="V866" s="33">
        <f t="shared" si="431"/>
        <v>-0.9999999421371295</v>
      </c>
      <c r="W866" s="33">
        <f t="shared" si="432"/>
        <v>498.93740005786287</v>
      </c>
      <c r="X866" s="33">
        <v>96485</v>
      </c>
      <c r="Y866" s="16">
        <f t="shared" si="433"/>
        <v>-193.38096203233383</v>
      </c>
      <c r="Z866" s="16">
        <v>8</v>
      </c>
      <c r="AA866" s="16">
        <v>17</v>
      </c>
      <c r="AB866" s="8">
        <f t="shared" si="434"/>
        <v>0.29721362229102166</v>
      </c>
      <c r="AC866" s="16">
        <f t="shared" si="445"/>
        <v>64.60808893273439</v>
      </c>
      <c r="AD866" s="20">
        <f>'PFAS Properties'!$W$46</f>
        <v>8</v>
      </c>
      <c r="AE866" s="8">
        <f>'PFAS Properties'!$S$46</f>
        <v>2.0166155475571776</v>
      </c>
      <c r="AF866" s="15">
        <f>'PFAS Properties'!$V$46</f>
        <v>5</v>
      </c>
      <c r="AG866" s="124">
        <v>7.3376000000000001</v>
      </c>
      <c r="AH866" s="70" t="s">
        <v>752</v>
      </c>
      <c r="AI866" s="2" t="s">
        <v>661</v>
      </c>
      <c r="AJ866" s="15" t="s">
        <v>661</v>
      </c>
      <c r="AK866" s="8" t="s">
        <v>661</v>
      </c>
      <c r="AL866" s="2" t="s">
        <v>661</v>
      </c>
      <c r="AM866" s="15" t="s">
        <v>661</v>
      </c>
      <c r="AN866" s="8" t="s">
        <v>661</v>
      </c>
      <c r="AO866" s="15" t="s">
        <v>661</v>
      </c>
      <c r="AP866" s="72">
        <v>11.99159166666667</v>
      </c>
      <c r="AQ866" s="70" t="s">
        <v>752</v>
      </c>
      <c r="AR866" s="16">
        <v>0</v>
      </c>
      <c r="AS866" s="16">
        <v>100</v>
      </c>
      <c r="AT866" s="16">
        <v>0</v>
      </c>
      <c r="AU866" s="2" t="s">
        <v>661</v>
      </c>
      <c r="AV866" s="16">
        <f t="shared" si="446"/>
        <v>100</v>
      </c>
      <c r="AW866" s="20">
        <v>1.6</v>
      </c>
      <c r="AX866" s="8">
        <f t="shared" si="454"/>
        <v>1.6E-2</v>
      </c>
      <c r="AY866" s="13" t="s">
        <v>127</v>
      </c>
      <c r="AZ866" s="16">
        <v>20</v>
      </c>
      <c r="BA866" s="16" t="s">
        <v>55</v>
      </c>
      <c r="BB866" s="16">
        <v>1.4</v>
      </c>
      <c r="BC866" s="16">
        <v>143</v>
      </c>
      <c r="BD866" s="20">
        <v>13.25</v>
      </c>
      <c r="BE866" s="16">
        <f t="shared" si="444"/>
        <v>828.125</v>
      </c>
      <c r="BF866" s="16">
        <f t="shared" si="435"/>
        <v>2.9180958956169021</v>
      </c>
      <c r="BG866" s="8">
        <f t="shared" si="455"/>
        <v>1.1222158782728267</v>
      </c>
      <c r="BH866" s="13" t="s">
        <v>866</v>
      </c>
      <c r="BI866" s="13"/>
      <c r="BJ866" s="13"/>
      <c r="BK866" s="13"/>
      <c r="BL866" s="13"/>
      <c r="BM866" s="17"/>
      <c r="BN866" s="17"/>
      <c r="BO866" s="2"/>
    </row>
    <row r="867" spans="1:69" s="14" customFormat="1" x14ac:dyDescent="0.3">
      <c r="A867" s="20">
        <v>865</v>
      </c>
      <c r="B867" s="2" t="s">
        <v>247</v>
      </c>
      <c r="C867" s="2">
        <v>2011</v>
      </c>
      <c r="D867" s="2" t="s">
        <v>199</v>
      </c>
      <c r="E867" s="10" t="s">
        <v>246</v>
      </c>
      <c r="F867" s="20" t="s">
        <v>63</v>
      </c>
      <c r="G867" s="2" t="s">
        <v>130</v>
      </c>
      <c r="H867" s="2" t="str">
        <f>'PFAS Properties'!$B$46</f>
        <v>PFOS</v>
      </c>
      <c r="I867" s="2" t="str">
        <f>'PFAS Properties'!$C$46</f>
        <v>PFSA</v>
      </c>
      <c r="J867" s="2" t="str">
        <f>'PFAS Properties'!$D$46</f>
        <v>C8HF17O3S</v>
      </c>
      <c r="K867" s="25">
        <f>'PFAS Properties'!$P$46</f>
        <v>499.93739999999997</v>
      </c>
      <c r="L867" s="2">
        <f>'PFAS Properties'!$X$46</f>
        <v>0.1</v>
      </c>
      <c r="M867" s="2" t="str">
        <f>'PFAS Properties'!$Y$46</f>
        <v>-</v>
      </c>
      <c r="N867" s="33">
        <v>0</v>
      </c>
      <c r="O867" s="33">
        <v>0</v>
      </c>
      <c r="P867" s="33">
        <v>0</v>
      </c>
      <c r="Q867" s="33">
        <f t="shared" si="452"/>
        <v>0.9999999421371295</v>
      </c>
      <c r="R867" s="33">
        <v>0</v>
      </c>
      <c r="S867" s="33">
        <f t="shared" si="453"/>
        <v>5.786287053368302E-8</v>
      </c>
      <c r="T867" s="8">
        <f t="shared" si="429"/>
        <v>1</v>
      </c>
      <c r="U867" s="33">
        <f t="shared" si="430"/>
        <v>0</v>
      </c>
      <c r="V867" s="33">
        <f t="shared" si="431"/>
        <v>-0.9999999421371295</v>
      </c>
      <c r="W867" s="33">
        <f t="shared" si="432"/>
        <v>498.93740005786287</v>
      </c>
      <c r="X867" s="33">
        <v>96485</v>
      </c>
      <c r="Y867" s="16">
        <f t="shared" si="433"/>
        <v>-193.38096203233383</v>
      </c>
      <c r="Z867" s="16">
        <v>8</v>
      </c>
      <c r="AA867" s="16">
        <v>17</v>
      </c>
      <c r="AB867" s="8">
        <f t="shared" si="434"/>
        <v>0.29721362229102166</v>
      </c>
      <c r="AC867" s="16">
        <f t="shared" si="445"/>
        <v>64.60808893273439</v>
      </c>
      <c r="AD867" s="20">
        <f>'PFAS Properties'!$W$46</f>
        <v>8</v>
      </c>
      <c r="AE867" s="8">
        <f>'PFAS Properties'!$S$46</f>
        <v>2.0166155475571776</v>
      </c>
      <c r="AF867" s="15">
        <f>'PFAS Properties'!$V$46</f>
        <v>5</v>
      </c>
      <c r="AG867" s="124">
        <v>7.3376000000000001</v>
      </c>
      <c r="AH867" s="70" t="s">
        <v>752</v>
      </c>
      <c r="AI867" s="2" t="s">
        <v>661</v>
      </c>
      <c r="AJ867" s="15" t="s">
        <v>661</v>
      </c>
      <c r="AK867" s="8" t="s">
        <v>661</v>
      </c>
      <c r="AL867" s="2" t="s">
        <v>661</v>
      </c>
      <c r="AM867" s="15" t="s">
        <v>661</v>
      </c>
      <c r="AN867" s="8" t="s">
        <v>661</v>
      </c>
      <c r="AO867" s="15" t="s">
        <v>661</v>
      </c>
      <c r="AP867" s="72">
        <v>11.99159166666667</v>
      </c>
      <c r="AQ867" s="70" t="s">
        <v>752</v>
      </c>
      <c r="AR867" s="16">
        <v>0</v>
      </c>
      <c r="AS867" s="16">
        <v>100</v>
      </c>
      <c r="AT867" s="16">
        <v>0</v>
      </c>
      <c r="AU867" s="2" t="s">
        <v>661</v>
      </c>
      <c r="AV867" s="16">
        <f t="shared" ref="AV867:AV885" si="456">SUM(AR867:AT867)</f>
        <v>100</v>
      </c>
      <c r="AW867" s="20">
        <v>1.1000000000000001</v>
      </c>
      <c r="AX867" s="8">
        <f t="shared" si="454"/>
        <v>1.1000000000000001E-2</v>
      </c>
      <c r="AY867" s="13" t="s">
        <v>127</v>
      </c>
      <c r="AZ867" s="16">
        <v>20</v>
      </c>
      <c r="BA867" s="16" t="s">
        <v>55</v>
      </c>
      <c r="BB867" s="16">
        <v>1.4</v>
      </c>
      <c r="BC867" s="16">
        <v>143</v>
      </c>
      <c r="BD867" s="25">
        <v>55.09</v>
      </c>
      <c r="BE867" s="16">
        <f t="shared" si="444"/>
        <v>5008.181818181818</v>
      </c>
      <c r="BF867" s="16">
        <f t="shared" si="435"/>
        <v>3.6996800872150963</v>
      </c>
      <c r="BG867" s="8">
        <f t="shared" si="455"/>
        <v>1.7410727723733215</v>
      </c>
      <c r="BH867" s="13" t="s">
        <v>867</v>
      </c>
      <c r="BI867" s="13"/>
      <c r="BJ867" s="13"/>
      <c r="BK867" s="13"/>
      <c r="BL867" s="13"/>
      <c r="BM867" s="17"/>
      <c r="BN867" s="17"/>
      <c r="BO867" s="2"/>
    </row>
    <row r="868" spans="1:69" s="14" customFormat="1" x14ac:dyDescent="0.3">
      <c r="A868" s="20">
        <v>866</v>
      </c>
      <c r="B868" s="2" t="s">
        <v>690</v>
      </c>
      <c r="C868" s="2">
        <v>2023</v>
      </c>
      <c r="D868" s="2" t="s">
        <v>199</v>
      </c>
      <c r="E868" s="10" t="s">
        <v>803</v>
      </c>
      <c r="F868" s="20" t="s">
        <v>29</v>
      </c>
      <c r="G868" s="2" t="s">
        <v>691</v>
      </c>
      <c r="H868" s="2" t="str">
        <f>'PFAS Properties'!$B$46</f>
        <v>PFOS</v>
      </c>
      <c r="I868" s="2" t="str">
        <f>'PFAS Properties'!$C$46</f>
        <v>PFSA</v>
      </c>
      <c r="J868" s="2" t="str">
        <f>'PFAS Properties'!$D$46</f>
        <v>C8HF17O3S</v>
      </c>
      <c r="K868" s="25">
        <f>'PFAS Properties'!$P$46</f>
        <v>499.93739999999997</v>
      </c>
      <c r="L868" s="2">
        <f>'PFAS Properties'!$X$46</f>
        <v>0.1</v>
      </c>
      <c r="M868" s="2" t="str">
        <f>'PFAS Properties'!$Y$46</f>
        <v>-</v>
      </c>
      <c r="N868" s="33">
        <v>0</v>
      </c>
      <c r="O868" s="33">
        <v>0</v>
      </c>
      <c r="P868" s="33">
        <v>0</v>
      </c>
      <c r="Q868" s="33">
        <f t="shared" si="452"/>
        <v>0.99999841510931942</v>
      </c>
      <c r="R868" s="33">
        <v>0</v>
      </c>
      <c r="S868" s="33">
        <f t="shared" si="453"/>
        <v>1.5848906805786579E-6</v>
      </c>
      <c r="T868" s="8">
        <f t="shared" si="429"/>
        <v>1</v>
      </c>
      <c r="U868" s="33">
        <f t="shared" si="430"/>
        <v>0</v>
      </c>
      <c r="V868" s="33">
        <f t="shared" si="431"/>
        <v>-0.99999841510931942</v>
      </c>
      <c r="W868" s="33">
        <f t="shared" si="432"/>
        <v>498.93740158489061</v>
      </c>
      <c r="X868" s="33">
        <v>96485</v>
      </c>
      <c r="Y868" s="16">
        <f t="shared" si="433"/>
        <v>-193.38066614235672</v>
      </c>
      <c r="Z868" s="16">
        <v>8</v>
      </c>
      <c r="AA868" s="16">
        <v>17</v>
      </c>
      <c r="AB868" s="8">
        <f t="shared" si="434"/>
        <v>0.29721362229102166</v>
      </c>
      <c r="AC868" s="16">
        <f t="shared" si="445"/>
        <v>64.60808893273439</v>
      </c>
      <c r="AD868" s="20">
        <f>'PFAS Properties'!$W$46</f>
        <v>8</v>
      </c>
      <c r="AE868" s="8">
        <f>'PFAS Properties'!$S$46</f>
        <v>2.0166155475571776</v>
      </c>
      <c r="AF868" s="15">
        <f>'PFAS Properties'!$V$46</f>
        <v>5</v>
      </c>
      <c r="AG868" s="24">
        <v>5.9</v>
      </c>
      <c r="AH868" s="2" t="s">
        <v>701</v>
      </c>
      <c r="AI868" s="15">
        <f t="shared" ref="AI868:AI878" si="457">AJ868*55.845/1000</f>
        <v>10.052100000000001</v>
      </c>
      <c r="AJ868" s="16">
        <v>180</v>
      </c>
      <c r="AK868" s="8">
        <f t="shared" ref="AK868:AK878" si="458">AI868/10</f>
        <v>1.0052100000000002</v>
      </c>
      <c r="AL868" s="15">
        <f t="shared" ref="AL868:AL878" si="459">AM868*26.982/1000</f>
        <v>1.3491</v>
      </c>
      <c r="AM868" s="16">
        <v>50</v>
      </c>
      <c r="AN868" s="8">
        <f t="shared" ref="AN868:AN878" si="460">AL868/10</f>
        <v>0.13491</v>
      </c>
      <c r="AO868" s="15" t="s">
        <v>705</v>
      </c>
      <c r="AP868" s="15">
        <v>20</v>
      </c>
      <c r="AQ868" s="15" t="s">
        <v>702</v>
      </c>
      <c r="AR868" s="2">
        <v>4.2</v>
      </c>
      <c r="AS868" s="2">
        <v>53</v>
      </c>
      <c r="AT868" s="2">
        <v>43</v>
      </c>
      <c r="AU868" s="2" t="s">
        <v>703</v>
      </c>
      <c r="AV868" s="16">
        <f t="shared" si="456"/>
        <v>100.2</v>
      </c>
      <c r="AW868" s="20">
        <v>3.1</v>
      </c>
      <c r="AX868" s="8">
        <f t="shared" si="454"/>
        <v>3.1E-2</v>
      </c>
      <c r="AY868" s="8" t="s">
        <v>704</v>
      </c>
      <c r="AZ868" s="16">
        <v>10</v>
      </c>
      <c r="BA868" s="16" t="s">
        <v>55</v>
      </c>
      <c r="BB868" s="16" t="s">
        <v>55</v>
      </c>
      <c r="BC868" s="16" t="s">
        <v>55</v>
      </c>
      <c r="BD868" s="24">
        <f t="shared" ref="BD868:BD878" si="461">10^BG868</f>
        <v>26.302679918953825</v>
      </c>
      <c r="BE868" s="16">
        <f t="shared" si="444"/>
        <v>848.47354577270403</v>
      </c>
      <c r="BF868" s="16">
        <f t="shared" si="435"/>
        <v>2.9286383061657273</v>
      </c>
      <c r="BG868" s="8">
        <v>1.42</v>
      </c>
      <c r="BH868" s="15" t="s">
        <v>846</v>
      </c>
      <c r="BI868" s="8"/>
      <c r="BJ868" s="13"/>
      <c r="BK868" s="16"/>
      <c r="BL868" s="16"/>
      <c r="BM868" s="16"/>
      <c r="BN868" s="16"/>
      <c r="BO868" s="2"/>
    </row>
    <row r="869" spans="1:69" x14ac:dyDescent="0.3">
      <c r="A869" s="20">
        <v>867</v>
      </c>
      <c r="B869" s="2" t="s">
        <v>690</v>
      </c>
      <c r="C869" s="2">
        <v>2023</v>
      </c>
      <c r="D869" s="2" t="s">
        <v>199</v>
      </c>
      <c r="E869" s="10" t="s">
        <v>803</v>
      </c>
      <c r="F869" s="20" t="s">
        <v>29</v>
      </c>
      <c r="G869" s="2" t="s">
        <v>692</v>
      </c>
      <c r="H869" s="2" t="str">
        <f>'PFAS Properties'!$B$46</f>
        <v>PFOS</v>
      </c>
      <c r="I869" s="2" t="str">
        <f>'PFAS Properties'!$C$46</f>
        <v>PFSA</v>
      </c>
      <c r="J869" s="2" t="str">
        <f>'PFAS Properties'!$D$46</f>
        <v>C8HF17O3S</v>
      </c>
      <c r="K869" s="25">
        <f>'PFAS Properties'!$P$46</f>
        <v>499.93739999999997</v>
      </c>
      <c r="L869" s="2">
        <f>'PFAS Properties'!$X$46</f>
        <v>0.1</v>
      </c>
      <c r="M869" s="2" t="str">
        <f>'PFAS Properties'!$Y$46</f>
        <v>-</v>
      </c>
      <c r="N869" s="33">
        <v>0</v>
      </c>
      <c r="O869" s="33">
        <v>0</v>
      </c>
      <c r="P869" s="33">
        <v>0</v>
      </c>
      <c r="Q869" s="33">
        <f t="shared" si="452"/>
        <v>0.99999601894414336</v>
      </c>
      <c r="R869" s="33">
        <v>0</v>
      </c>
      <c r="S869" s="33">
        <f t="shared" si="453"/>
        <v>3.981055856666137E-6</v>
      </c>
      <c r="T869" s="8">
        <f t="shared" si="429"/>
        <v>1</v>
      </c>
      <c r="U869" s="33">
        <f t="shared" si="430"/>
        <v>0</v>
      </c>
      <c r="V869" s="33">
        <f t="shared" si="431"/>
        <v>-0.99999601894414336</v>
      </c>
      <c r="W869" s="33">
        <f t="shared" si="432"/>
        <v>498.93740398105581</v>
      </c>
      <c r="X869" s="33">
        <v>96485</v>
      </c>
      <c r="Y869" s="16">
        <f t="shared" si="433"/>
        <v>-193.38020184088887</v>
      </c>
      <c r="Z869" s="16">
        <v>8</v>
      </c>
      <c r="AA869" s="16">
        <v>17</v>
      </c>
      <c r="AB869" s="8">
        <f t="shared" si="434"/>
        <v>0.29721362229102166</v>
      </c>
      <c r="AC869" s="16">
        <f t="shared" si="445"/>
        <v>64.60808893273439</v>
      </c>
      <c r="AD869" s="20">
        <f>'PFAS Properties'!$W$46</f>
        <v>8</v>
      </c>
      <c r="AE869" s="8">
        <f>'PFAS Properties'!$S$46</f>
        <v>2.0166155475571776</v>
      </c>
      <c r="AF869" s="15">
        <f>'PFAS Properties'!$V$46</f>
        <v>5</v>
      </c>
      <c r="AG869" s="26">
        <v>5.5</v>
      </c>
      <c r="AH869" s="2" t="s">
        <v>701</v>
      </c>
      <c r="AI869" s="15">
        <f t="shared" si="457"/>
        <v>7.2598499999999992</v>
      </c>
      <c r="AJ869" s="16">
        <v>130</v>
      </c>
      <c r="AK869" s="8">
        <f t="shared" si="458"/>
        <v>0.72598499999999988</v>
      </c>
      <c r="AL869" s="15">
        <f t="shared" si="459"/>
        <v>13.491</v>
      </c>
      <c r="AM869" s="16">
        <v>500</v>
      </c>
      <c r="AN869" s="8">
        <f t="shared" si="460"/>
        <v>1.3491</v>
      </c>
      <c r="AO869" s="15" t="s">
        <v>705</v>
      </c>
      <c r="AP869" s="15">
        <v>1</v>
      </c>
      <c r="AQ869" s="15" t="s">
        <v>702</v>
      </c>
      <c r="AR869" s="4">
        <v>54</v>
      </c>
      <c r="AS869" s="4">
        <v>42</v>
      </c>
      <c r="AT869" s="4">
        <v>4</v>
      </c>
      <c r="AU869" s="2" t="s">
        <v>703</v>
      </c>
      <c r="AV869" s="16">
        <f t="shared" si="456"/>
        <v>100</v>
      </c>
      <c r="AW869" s="7">
        <v>2.2000000000000002</v>
      </c>
      <c r="AX869" s="8">
        <f t="shared" si="454"/>
        <v>2.2000000000000002E-2</v>
      </c>
      <c r="AY869" s="8" t="s">
        <v>704</v>
      </c>
      <c r="AZ869" s="16">
        <v>10</v>
      </c>
      <c r="BA869" s="16" t="s">
        <v>55</v>
      </c>
      <c r="BB869" s="16" t="s">
        <v>55</v>
      </c>
      <c r="BC869" s="16" t="s">
        <v>55</v>
      </c>
      <c r="BD869" s="24">
        <f t="shared" si="461"/>
        <v>58.210321777087195</v>
      </c>
      <c r="BE869" s="16">
        <f t="shared" si="444"/>
        <v>2645.923717140327</v>
      </c>
      <c r="BF869" s="16">
        <f t="shared" si="435"/>
        <v>3.422577319177794</v>
      </c>
      <c r="BG869" s="8">
        <f>(1.83+1.7)/2</f>
        <v>1.7650000000000001</v>
      </c>
      <c r="BH869" s="15" t="s">
        <v>847</v>
      </c>
      <c r="BI869" s="1"/>
      <c r="BJ869" s="2"/>
      <c r="BK869" s="1"/>
      <c r="BL869" s="1"/>
      <c r="BM869" s="7"/>
      <c r="BN869" s="7"/>
      <c r="BO869" s="1"/>
      <c r="BP869" s="11"/>
      <c r="BQ869" s="11"/>
    </row>
    <row r="870" spans="1:69" x14ac:dyDescent="0.3">
      <c r="A870" s="20">
        <v>868</v>
      </c>
      <c r="B870" s="2" t="s">
        <v>690</v>
      </c>
      <c r="C870" s="2">
        <v>2023</v>
      </c>
      <c r="D870" s="2" t="s">
        <v>199</v>
      </c>
      <c r="E870" s="10" t="s">
        <v>803</v>
      </c>
      <c r="F870" s="20" t="s">
        <v>29</v>
      </c>
      <c r="G870" s="2" t="s">
        <v>693</v>
      </c>
      <c r="H870" s="2" t="str">
        <f>'PFAS Properties'!$B$46</f>
        <v>PFOS</v>
      </c>
      <c r="I870" s="2" t="str">
        <f>'PFAS Properties'!$C$46</f>
        <v>PFSA</v>
      </c>
      <c r="J870" s="2" t="str">
        <f>'PFAS Properties'!$D$46</f>
        <v>C8HF17O3S</v>
      </c>
      <c r="K870" s="25">
        <f>'PFAS Properties'!$P$46</f>
        <v>499.93739999999997</v>
      </c>
      <c r="L870" s="2">
        <f>'PFAS Properties'!$X$46</f>
        <v>0.1</v>
      </c>
      <c r="M870" s="2" t="str">
        <f>'PFAS Properties'!$Y$46</f>
        <v>-</v>
      </c>
      <c r="N870" s="33">
        <v>0</v>
      </c>
      <c r="O870" s="33">
        <v>0</v>
      </c>
      <c r="P870" s="33">
        <v>0</v>
      </c>
      <c r="Q870" s="33">
        <f t="shared" si="452"/>
        <v>0.99999984151070587</v>
      </c>
      <c r="R870" s="33">
        <v>0</v>
      </c>
      <c r="S870" s="33">
        <f t="shared" si="453"/>
        <v>1.584892941272506E-7</v>
      </c>
      <c r="T870" s="8">
        <f t="shared" si="429"/>
        <v>1</v>
      </c>
      <c r="U870" s="33">
        <f t="shared" si="430"/>
        <v>0</v>
      </c>
      <c r="V870" s="33">
        <f t="shared" si="431"/>
        <v>-0.99999984151070587</v>
      </c>
      <c r="W870" s="33">
        <f t="shared" si="432"/>
        <v>498.93740015848931</v>
      </c>
      <c r="X870" s="33">
        <v>96485</v>
      </c>
      <c r="Y870" s="16">
        <f t="shared" si="433"/>
        <v>-193.38094253409676</v>
      </c>
      <c r="Z870" s="16">
        <v>8</v>
      </c>
      <c r="AA870" s="16">
        <v>17</v>
      </c>
      <c r="AB870" s="8">
        <f t="shared" si="434"/>
        <v>0.29721362229102166</v>
      </c>
      <c r="AC870" s="16">
        <f t="shared" si="445"/>
        <v>64.60808893273439</v>
      </c>
      <c r="AD870" s="20">
        <f>'PFAS Properties'!$W$46</f>
        <v>8</v>
      </c>
      <c r="AE870" s="8">
        <f>'PFAS Properties'!$S$46</f>
        <v>2.0166155475571776</v>
      </c>
      <c r="AF870" s="15">
        <f>'PFAS Properties'!$V$46</f>
        <v>5</v>
      </c>
      <c r="AG870" s="26">
        <v>6.9</v>
      </c>
      <c r="AH870" s="2" t="s">
        <v>701</v>
      </c>
      <c r="AI870" s="15">
        <f t="shared" si="457"/>
        <v>7.2598499999999992</v>
      </c>
      <c r="AJ870" s="16">
        <v>130</v>
      </c>
      <c r="AK870" s="8">
        <f t="shared" si="458"/>
        <v>0.72598499999999988</v>
      </c>
      <c r="AL870" s="15">
        <f t="shared" si="459"/>
        <v>1.1332439999999999</v>
      </c>
      <c r="AM870" s="16">
        <v>42</v>
      </c>
      <c r="AN870" s="8">
        <f t="shared" si="460"/>
        <v>0.11332439999999999</v>
      </c>
      <c r="AO870" s="15" t="s">
        <v>705</v>
      </c>
      <c r="AP870" s="15">
        <v>13</v>
      </c>
      <c r="AQ870" s="15" t="s">
        <v>702</v>
      </c>
      <c r="AR870" s="4">
        <v>24</v>
      </c>
      <c r="AS870" s="4">
        <v>26</v>
      </c>
      <c r="AT870" s="4">
        <v>50</v>
      </c>
      <c r="AU870" s="2" t="s">
        <v>703</v>
      </c>
      <c r="AV870" s="16">
        <f t="shared" si="456"/>
        <v>100</v>
      </c>
      <c r="AW870" s="7">
        <v>1.7</v>
      </c>
      <c r="AX870" s="8">
        <f t="shared" si="454"/>
        <v>1.7000000000000001E-2</v>
      </c>
      <c r="AY870" s="8" t="s">
        <v>704</v>
      </c>
      <c r="AZ870" s="16">
        <v>10</v>
      </c>
      <c r="BA870" s="16" t="s">
        <v>55</v>
      </c>
      <c r="BB870" s="16" t="s">
        <v>55</v>
      </c>
      <c r="BC870" s="16" t="s">
        <v>55</v>
      </c>
      <c r="BD870" s="24">
        <f t="shared" si="461"/>
        <v>12.302687708123818</v>
      </c>
      <c r="BE870" s="16">
        <f t="shared" si="444"/>
        <v>723.68751224257744</v>
      </c>
      <c r="BF870" s="16">
        <f t="shared" si="435"/>
        <v>2.8595510786217262</v>
      </c>
      <c r="BG870" s="8">
        <v>1.0900000000000001</v>
      </c>
      <c r="BH870" s="15" t="s">
        <v>854</v>
      </c>
      <c r="BI870" s="1"/>
      <c r="BJ870" s="2"/>
      <c r="BK870" s="1"/>
      <c r="BL870" s="1"/>
      <c r="BM870" s="7"/>
      <c r="BN870" s="7"/>
      <c r="BO870" s="1"/>
      <c r="BP870" s="11"/>
      <c r="BQ870" s="11"/>
    </row>
    <row r="871" spans="1:69" x14ac:dyDescent="0.3">
      <c r="A871" s="20">
        <v>869</v>
      </c>
      <c r="B871" s="2" t="s">
        <v>690</v>
      </c>
      <c r="C871" s="2">
        <v>2023</v>
      </c>
      <c r="D871" s="2" t="s">
        <v>199</v>
      </c>
      <c r="E871" s="10" t="s">
        <v>803</v>
      </c>
      <c r="F871" s="20" t="s">
        <v>29</v>
      </c>
      <c r="G871" s="2" t="s">
        <v>694</v>
      </c>
      <c r="H871" s="2" t="str">
        <f>'PFAS Properties'!$B$46</f>
        <v>PFOS</v>
      </c>
      <c r="I871" s="2" t="str">
        <f>'PFAS Properties'!$C$46</f>
        <v>PFSA</v>
      </c>
      <c r="J871" s="2" t="str">
        <f>'PFAS Properties'!$D$46</f>
        <v>C8HF17O3S</v>
      </c>
      <c r="K871" s="25">
        <f>'PFAS Properties'!$P$46</f>
        <v>499.93739999999997</v>
      </c>
      <c r="L871" s="2">
        <f>'PFAS Properties'!$X$46</f>
        <v>0.1</v>
      </c>
      <c r="M871" s="2" t="str">
        <f>'PFAS Properties'!$Y$46</f>
        <v>-</v>
      </c>
      <c r="N871" s="33">
        <v>0</v>
      </c>
      <c r="O871" s="33">
        <v>0</v>
      </c>
      <c r="P871" s="33">
        <v>0</v>
      </c>
      <c r="Q871" s="33">
        <f t="shared" si="452"/>
        <v>0.99999999205671775</v>
      </c>
      <c r="R871" s="33">
        <v>0</v>
      </c>
      <c r="S871" s="33">
        <f t="shared" si="453"/>
        <v>7.9432822841470747E-9</v>
      </c>
      <c r="T871" s="8">
        <f t="shared" si="429"/>
        <v>1</v>
      </c>
      <c r="U871" s="33">
        <f t="shared" si="430"/>
        <v>0</v>
      </c>
      <c r="V871" s="33">
        <f t="shared" si="431"/>
        <v>-0.99999999205671775</v>
      </c>
      <c r="W871" s="33">
        <f t="shared" si="432"/>
        <v>498.93740000794327</v>
      </c>
      <c r="X871" s="33">
        <v>96485</v>
      </c>
      <c r="Y871" s="16">
        <f t="shared" si="433"/>
        <v>-193.38097170518049</v>
      </c>
      <c r="Z871" s="16">
        <v>8</v>
      </c>
      <c r="AA871" s="16">
        <v>17</v>
      </c>
      <c r="AB871" s="8">
        <f t="shared" si="434"/>
        <v>0.29721362229102166</v>
      </c>
      <c r="AC871" s="16">
        <f t="shared" si="445"/>
        <v>64.60808893273439</v>
      </c>
      <c r="AD871" s="20">
        <f>'PFAS Properties'!$W$46</f>
        <v>8</v>
      </c>
      <c r="AE871" s="8">
        <f>'PFAS Properties'!$S$46</f>
        <v>2.0166155475571776</v>
      </c>
      <c r="AF871" s="15">
        <f>'PFAS Properties'!$V$46</f>
        <v>5</v>
      </c>
      <c r="AG871" s="26">
        <v>8.1999999999999993</v>
      </c>
      <c r="AH871" s="2" t="s">
        <v>701</v>
      </c>
      <c r="AI871" s="15">
        <f t="shared" si="457"/>
        <v>1.89873</v>
      </c>
      <c r="AJ871" s="16">
        <v>34</v>
      </c>
      <c r="AK871" s="8">
        <f t="shared" si="458"/>
        <v>0.18987300000000001</v>
      </c>
      <c r="AL871" s="15">
        <f t="shared" si="459"/>
        <v>0.75549599999999995</v>
      </c>
      <c r="AM871" s="16">
        <v>28</v>
      </c>
      <c r="AN871" s="8">
        <f t="shared" si="460"/>
        <v>7.5549599999999995E-2</v>
      </c>
      <c r="AO871" s="15" t="s">
        <v>705</v>
      </c>
      <c r="AP871" s="15">
        <v>15</v>
      </c>
      <c r="AQ871" s="15" t="s">
        <v>702</v>
      </c>
      <c r="AR871" s="4">
        <v>27</v>
      </c>
      <c r="AS871" s="4">
        <v>56</v>
      </c>
      <c r="AT871" s="4">
        <v>16</v>
      </c>
      <c r="AU871" s="2" t="s">
        <v>703</v>
      </c>
      <c r="AV871" s="16">
        <f t="shared" si="456"/>
        <v>99</v>
      </c>
      <c r="AW871" s="7">
        <v>1.6</v>
      </c>
      <c r="AX871" s="8">
        <f t="shared" si="454"/>
        <v>1.6E-2</v>
      </c>
      <c r="AY871" s="8" t="s">
        <v>704</v>
      </c>
      <c r="AZ871" s="16">
        <v>10</v>
      </c>
      <c r="BA871" s="16" t="s">
        <v>55</v>
      </c>
      <c r="BB871" s="16" t="s">
        <v>55</v>
      </c>
      <c r="BC871" s="16" t="s">
        <v>55</v>
      </c>
      <c r="BD871" s="24">
        <f t="shared" si="461"/>
        <v>6.4565422903465572</v>
      </c>
      <c r="BE871" s="16">
        <f t="shared" si="444"/>
        <v>403.53389314665981</v>
      </c>
      <c r="BF871" s="16">
        <f t="shared" si="435"/>
        <v>2.6058800173440755</v>
      </c>
      <c r="BG871" s="8">
        <v>0.81</v>
      </c>
      <c r="BH871" s="15" t="s">
        <v>848</v>
      </c>
      <c r="BI871" s="1"/>
      <c r="BJ871" s="2"/>
      <c r="BK871" s="1"/>
      <c r="BL871" s="1"/>
      <c r="BM871" s="7"/>
      <c r="BN871" s="7"/>
      <c r="BO871" s="1"/>
      <c r="BP871" s="11"/>
      <c r="BQ871" s="11"/>
    </row>
    <row r="872" spans="1:69" x14ac:dyDescent="0.3">
      <c r="A872" s="20">
        <v>870</v>
      </c>
      <c r="B872" s="2" t="s">
        <v>690</v>
      </c>
      <c r="C872" s="2">
        <v>2023</v>
      </c>
      <c r="D872" s="2" t="s">
        <v>199</v>
      </c>
      <c r="E872" s="10" t="s">
        <v>803</v>
      </c>
      <c r="F872" s="20" t="s">
        <v>29</v>
      </c>
      <c r="G872" s="2" t="s">
        <v>693</v>
      </c>
      <c r="H872" s="2" t="str">
        <f>'PFAS Properties'!$B$46</f>
        <v>PFOS</v>
      </c>
      <c r="I872" s="2" t="str">
        <f>'PFAS Properties'!$C$46</f>
        <v>PFSA</v>
      </c>
      <c r="J872" s="2" t="str">
        <f>'PFAS Properties'!$D$46</f>
        <v>C8HF17O3S</v>
      </c>
      <c r="K872" s="25">
        <f>'PFAS Properties'!$P$46</f>
        <v>499.93739999999997</v>
      </c>
      <c r="L872" s="2">
        <f>'PFAS Properties'!$X$46</f>
        <v>0.1</v>
      </c>
      <c r="M872" s="2" t="str">
        <f>'PFAS Properties'!$Y$46</f>
        <v>-</v>
      </c>
      <c r="N872" s="33">
        <v>0</v>
      </c>
      <c r="O872" s="33">
        <v>0</v>
      </c>
      <c r="P872" s="33">
        <v>0</v>
      </c>
      <c r="Q872" s="33">
        <f t="shared" si="452"/>
        <v>0.99999601894414336</v>
      </c>
      <c r="R872" s="33">
        <v>0</v>
      </c>
      <c r="S872" s="33">
        <f t="shared" si="453"/>
        <v>3.981055856666137E-6</v>
      </c>
      <c r="T872" s="8">
        <f t="shared" si="429"/>
        <v>1</v>
      </c>
      <c r="U872" s="33">
        <f t="shared" si="430"/>
        <v>0</v>
      </c>
      <c r="V872" s="33">
        <f t="shared" si="431"/>
        <v>-0.99999601894414336</v>
      </c>
      <c r="W872" s="33">
        <f t="shared" si="432"/>
        <v>498.93740398105581</v>
      </c>
      <c r="X872" s="33">
        <v>96485</v>
      </c>
      <c r="Y872" s="16">
        <f t="shared" si="433"/>
        <v>-193.38020184088887</v>
      </c>
      <c r="Z872" s="16">
        <v>8</v>
      </c>
      <c r="AA872" s="16">
        <v>17</v>
      </c>
      <c r="AB872" s="8">
        <f t="shared" si="434"/>
        <v>0.29721362229102166</v>
      </c>
      <c r="AC872" s="16">
        <f t="shared" si="445"/>
        <v>64.60808893273439</v>
      </c>
      <c r="AD872" s="20">
        <f>'PFAS Properties'!$W$46</f>
        <v>8</v>
      </c>
      <c r="AE872" s="8">
        <f>'PFAS Properties'!$S$46</f>
        <v>2.0166155475571776</v>
      </c>
      <c r="AF872" s="15">
        <f>'PFAS Properties'!$V$46</f>
        <v>5</v>
      </c>
      <c r="AG872" s="26">
        <v>5.5</v>
      </c>
      <c r="AH872" s="2" t="s">
        <v>701</v>
      </c>
      <c r="AI872" s="15">
        <f t="shared" si="457"/>
        <v>6.1429499999999999</v>
      </c>
      <c r="AJ872" s="16">
        <v>110</v>
      </c>
      <c r="AK872" s="8">
        <f t="shared" si="458"/>
        <v>0.61429500000000004</v>
      </c>
      <c r="AL872" s="15">
        <f t="shared" si="459"/>
        <v>0.83644200000000002</v>
      </c>
      <c r="AM872" s="16">
        <v>31</v>
      </c>
      <c r="AN872" s="8">
        <f t="shared" si="460"/>
        <v>8.3644200000000002E-2</v>
      </c>
      <c r="AO872" s="15" t="s">
        <v>705</v>
      </c>
      <c r="AP872" s="15">
        <v>8.6</v>
      </c>
      <c r="AQ872" s="15" t="s">
        <v>702</v>
      </c>
      <c r="AR872" s="4">
        <v>27</v>
      </c>
      <c r="AS872" s="4">
        <v>44</v>
      </c>
      <c r="AT872" s="4">
        <v>29</v>
      </c>
      <c r="AU872" s="2" t="s">
        <v>703</v>
      </c>
      <c r="AV872" s="16">
        <f t="shared" si="456"/>
        <v>100</v>
      </c>
      <c r="AW872" s="7">
        <v>1.3</v>
      </c>
      <c r="AX872" s="8">
        <f t="shared" si="454"/>
        <v>1.3000000000000001E-2</v>
      </c>
      <c r="AY872" s="8" t="s">
        <v>704</v>
      </c>
      <c r="AZ872" s="16">
        <v>10</v>
      </c>
      <c r="BA872" s="16" t="s">
        <v>55</v>
      </c>
      <c r="BB872" s="16" t="s">
        <v>55</v>
      </c>
      <c r="BC872" s="16" t="s">
        <v>55</v>
      </c>
      <c r="BD872" s="24">
        <f t="shared" si="461"/>
        <v>13.645831365889249</v>
      </c>
      <c r="BE872" s="16">
        <f t="shared" si="444"/>
        <v>1049.6793358376344</v>
      </c>
      <c r="BF872" s="16">
        <f t="shared" si="435"/>
        <v>3.0210566476931633</v>
      </c>
      <c r="BG872" s="8">
        <f>(1.09+1.18)/2</f>
        <v>1.135</v>
      </c>
      <c r="BH872" s="15" t="s">
        <v>849</v>
      </c>
      <c r="BI872" s="1"/>
      <c r="BJ872" s="2"/>
      <c r="BK872" s="1"/>
      <c r="BL872" s="1"/>
      <c r="BM872" s="7"/>
      <c r="BN872" s="7"/>
      <c r="BO872" s="1"/>
      <c r="BP872" s="11"/>
      <c r="BQ872" s="11"/>
    </row>
    <row r="873" spans="1:69" x14ac:dyDescent="0.3">
      <c r="A873" s="20">
        <v>871</v>
      </c>
      <c r="B873" s="2" t="s">
        <v>690</v>
      </c>
      <c r="C873" s="2">
        <v>2023</v>
      </c>
      <c r="D873" s="2" t="s">
        <v>199</v>
      </c>
      <c r="E873" s="10" t="s">
        <v>803</v>
      </c>
      <c r="F873" s="20" t="s">
        <v>29</v>
      </c>
      <c r="G873" s="2" t="s">
        <v>695</v>
      </c>
      <c r="H873" s="2" t="str">
        <f>'PFAS Properties'!$B$46</f>
        <v>PFOS</v>
      </c>
      <c r="I873" s="2" t="str">
        <f>'PFAS Properties'!$C$46</f>
        <v>PFSA</v>
      </c>
      <c r="J873" s="2" t="str">
        <f>'PFAS Properties'!$D$46</f>
        <v>C8HF17O3S</v>
      </c>
      <c r="K873" s="25">
        <f>'PFAS Properties'!$P$46</f>
        <v>499.93739999999997</v>
      </c>
      <c r="L873" s="2">
        <f>'PFAS Properties'!$X$46</f>
        <v>0.1</v>
      </c>
      <c r="M873" s="2" t="str">
        <f>'PFAS Properties'!$Y$46</f>
        <v>-</v>
      </c>
      <c r="N873" s="33">
        <v>0</v>
      </c>
      <c r="O873" s="33">
        <v>0</v>
      </c>
      <c r="P873" s="33">
        <v>0</v>
      </c>
      <c r="Q873" s="33">
        <f t="shared" si="452"/>
        <v>0.99999999369042658</v>
      </c>
      <c r="R873" s="33">
        <v>0</v>
      </c>
      <c r="S873" s="33">
        <f t="shared" si="453"/>
        <v>6.309573404991195E-9</v>
      </c>
      <c r="T873" s="8">
        <f t="shared" si="429"/>
        <v>1</v>
      </c>
      <c r="U873" s="33">
        <f t="shared" si="430"/>
        <v>0</v>
      </c>
      <c r="V873" s="33">
        <f t="shared" si="431"/>
        <v>-0.99999999369042658</v>
      </c>
      <c r="W873" s="33">
        <f t="shared" si="432"/>
        <v>498.93740000630953</v>
      </c>
      <c r="X873" s="33">
        <v>96485</v>
      </c>
      <c r="Y873" s="16">
        <f t="shared" si="433"/>
        <v>-193.38097202174194</v>
      </c>
      <c r="Z873" s="16">
        <v>8</v>
      </c>
      <c r="AA873" s="16">
        <v>17</v>
      </c>
      <c r="AB873" s="8">
        <f t="shared" si="434"/>
        <v>0.29721362229102166</v>
      </c>
      <c r="AC873" s="16">
        <f t="shared" si="445"/>
        <v>64.60808893273439</v>
      </c>
      <c r="AD873" s="20">
        <f>'PFAS Properties'!$W$46</f>
        <v>8</v>
      </c>
      <c r="AE873" s="8">
        <f>'PFAS Properties'!$S$46</f>
        <v>2.0166155475571776</v>
      </c>
      <c r="AF873" s="15">
        <f>'PFAS Properties'!$V$46</f>
        <v>5</v>
      </c>
      <c r="AG873" s="26">
        <v>8.3000000000000007</v>
      </c>
      <c r="AH873" s="2" t="s">
        <v>701</v>
      </c>
      <c r="AI873" s="15">
        <f t="shared" si="457"/>
        <v>2.066265</v>
      </c>
      <c r="AJ873" s="16">
        <v>37</v>
      </c>
      <c r="AK873" s="8">
        <f t="shared" si="458"/>
        <v>0.20662649999999999</v>
      </c>
      <c r="AL873" s="15">
        <f t="shared" si="459"/>
        <v>0.72851399999999999</v>
      </c>
      <c r="AM873" s="16">
        <v>27</v>
      </c>
      <c r="AN873" s="8">
        <f t="shared" si="460"/>
        <v>7.2851399999999997E-2</v>
      </c>
      <c r="AO873" s="15" t="s">
        <v>705</v>
      </c>
      <c r="AP873" s="15">
        <v>14</v>
      </c>
      <c r="AQ873" s="15" t="s">
        <v>702</v>
      </c>
      <c r="AR873" s="4">
        <v>80</v>
      </c>
      <c r="AS873" s="4">
        <v>15</v>
      </c>
      <c r="AT873" s="4">
        <v>4.4000000000000004</v>
      </c>
      <c r="AU873" s="2" t="s">
        <v>703</v>
      </c>
      <c r="AV873" s="16">
        <f t="shared" si="456"/>
        <v>99.4</v>
      </c>
      <c r="AW873" s="7">
        <v>1.2</v>
      </c>
      <c r="AX873" s="8">
        <f t="shared" si="454"/>
        <v>1.2E-2</v>
      </c>
      <c r="AY873" s="8" t="s">
        <v>704</v>
      </c>
      <c r="AZ873" s="16">
        <v>10</v>
      </c>
      <c r="BA873" s="16" t="s">
        <v>55</v>
      </c>
      <c r="BB873" s="16" t="s">
        <v>55</v>
      </c>
      <c r="BC873" s="16" t="s">
        <v>55</v>
      </c>
      <c r="BD873" s="24">
        <f t="shared" si="461"/>
        <v>16.788040181225607</v>
      </c>
      <c r="BE873" s="16">
        <f t="shared" si="444"/>
        <v>1399.0033484354672</v>
      </c>
      <c r="BF873" s="16">
        <f t="shared" si="435"/>
        <v>3.1458187539523754</v>
      </c>
      <c r="BG873" s="8">
        <v>1.2250000000000001</v>
      </c>
      <c r="BH873" s="15" t="s">
        <v>850</v>
      </c>
      <c r="BI873" s="1"/>
      <c r="BJ873" s="2"/>
      <c r="BK873" s="1"/>
      <c r="BL873" s="1"/>
      <c r="BM873" s="7"/>
      <c r="BN873" s="7"/>
      <c r="BO873" s="1"/>
      <c r="BP873" s="11"/>
      <c r="BQ873" s="11"/>
    </row>
    <row r="874" spans="1:69" x14ac:dyDescent="0.3">
      <c r="A874" s="20">
        <v>872</v>
      </c>
      <c r="B874" s="2" t="s">
        <v>690</v>
      </c>
      <c r="C874" s="2">
        <v>2023</v>
      </c>
      <c r="D874" s="2" t="s">
        <v>199</v>
      </c>
      <c r="E874" s="10" t="s">
        <v>803</v>
      </c>
      <c r="F874" s="20" t="s">
        <v>29</v>
      </c>
      <c r="G874" s="2" t="s">
        <v>696</v>
      </c>
      <c r="H874" s="2" t="str">
        <f>'PFAS Properties'!$B$46</f>
        <v>PFOS</v>
      </c>
      <c r="I874" s="2" t="str">
        <f>'PFAS Properties'!$C$46</f>
        <v>PFSA</v>
      </c>
      <c r="J874" s="2" t="str">
        <f>'PFAS Properties'!$D$46</f>
        <v>C8HF17O3S</v>
      </c>
      <c r="K874" s="25">
        <f>'PFAS Properties'!$P$46</f>
        <v>499.93739999999997</v>
      </c>
      <c r="L874" s="2">
        <f>'PFAS Properties'!$X$46</f>
        <v>0.1</v>
      </c>
      <c r="M874" s="2" t="str">
        <f>'PFAS Properties'!$Y$46</f>
        <v>-</v>
      </c>
      <c r="N874" s="33">
        <v>0</v>
      </c>
      <c r="O874" s="33">
        <v>0</v>
      </c>
      <c r="P874" s="33">
        <v>0</v>
      </c>
      <c r="Q874" s="33">
        <f t="shared" si="452"/>
        <v>0.99999601894414336</v>
      </c>
      <c r="R874" s="33">
        <v>0</v>
      </c>
      <c r="S874" s="33">
        <f t="shared" si="453"/>
        <v>3.981055856666137E-6</v>
      </c>
      <c r="T874" s="8">
        <f t="shared" si="429"/>
        <v>1</v>
      </c>
      <c r="U874" s="33">
        <f t="shared" si="430"/>
        <v>0</v>
      </c>
      <c r="V874" s="33">
        <f t="shared" si="431"/>
        <v>-0.99999601894414336</v>
      </c>
      <c r="W874" s="33">
        <f t="shared" si="432"/>
        <v>498.93740398105581</v>
      </c>
      <c r="X874" s="33">
        <v>96485</v>
      </c>
      <c r="Y874" s="16">
        <f t="shared" si="433"/>
        <v>-193.38020184088887</v>
      </c>
      <c r="Z874" s="16">
        <v>8</v>
      </c>
      <c r="AA874" s="16">
        <v>17</v>
      </c>
      <c r="AB874" s="8">
        <f t="shared" si="434"/>
        <v>0.29721362229102166</v>
      </c>
      <c r="AC874" s="16">
        <f t="shared" si="445"/>
        <v>64.60808893273439</v>
      </c>
      <c r="AD874" s="20">
        <f>'PFAS Properties'!$W$46</f>
        <v>8</v>
      </c>
      <c r="AE874" s="8">
        <f>'PFAS Properties'!$S$46</f>
        <v>2.0166155475571776</v>
      </c>
      <c r="AF874" s="15">
        <f>'PFAS Properties'!$V$46</f>
        <v>5</v>
      </c>
      <c r="AG874" s="26">
        <v>5.5</v>
      </c>
      <c r="AH874" s="2" t="s">
        <v>701</v>
      </c>
      <c r="AI874" s="15">
        <f t="shared" si="457"/>
        <v>1.3402799999999999</v>
      </c>
      <c r="AJ874" s="16">
        <v>24</v>
      </c>
      <c r="AK874" s="8">
        <f t="shared" si="458"/>
        <v>0.13402799999999998</v>
      </c>
      <c r="AL874" s="15">
        <f t="shared" si="459"/>
        <v>0.32378400000000002</v>
      </c>
      <c r="AM874" s="16">
        <v>12</v>
      </c>
      <c r="AN874" s="8">
        <f t="shared" si="460"/>
        <v>3.2378400000000002E-2</v>
      </c>
      <c r="AO874" s="15" t="s">
        <v>705</v>
      </c>
      <c r="AP874" s="15">
        <v>2.6</v>
      </c>
      <c r="AQ874" s="15" t="s">
        <v>702</v>
      </c>
      <c r="AR874" s="4">
        <v>86</v>
      </c>
      <c r="AS874" s="4">
        <v>8</v>
      </c>
      <c r="AT874" s="4">
        <v>6</v>
      </c>
      <c r="AU874" s="2" t="s">
        <v>703</v>
      </c>
      <c r="AV874" s="16">
        <f t="shared" si="456"/>
        <v>100</v>
      </c>
      <c r="AW874" s="7">
        <v>1.2</v>
      </c>
      <c r="AX874" s="8">
        <f t="shared" si="454"/>
        <v>1.2E-2</v>
      </c>
      <c r="AY874" s="8" t="s">
        <v>704</v>
      </c>
      <c r="AZ874" s="16">
        <v>10</v>
      </c>
      <c r="BA874" s="16" t="s">
        <v>55</v>
      </c>
      <c r="BB874" s="16" t="s">
        <v>55</v>
      </c>
      <c r="BC874" s="16" t="s">
        <v>55</v>
      </c>
      <c r="BD874" s="24">
        <f t="shared" si="461"/>
        <v>11.091748152624014</v>
      </c>
      <c r="BE874" s="16">
        <f t="shared" si="444"/>
        <v>924.31234605200109</v>
      </c>
      <c r="BF874" s="16">
        <f t="shared" si="435"/>
        <v>2.9658187539523753</v>
      </c>
      <c r="BG874" s="8">
        <v>1.0449999999999999</v>
      </c>
      <c r="BH874" s="15" t="s">
        <v>851</v>
      </c>
      <c r="BI874" s="1"/>
      <c r="BJ874" s="2"/>
      <c r="BK874" s="1"/>
      <c r="BL874" s="1"/>
      <c r="BM874" s="7"/>
      <c r="BN874" s="7"/>
      <c r="BO874" s="1"/>
      <c r="BP874" s="11"/>
      <c r="BQ874" s="11"/>
    </row>
    <row r="875" spans="1:69" x14ac:dyDescent="0.3">
      <c r="A875" s="20">
        <v>873</v>
      </c>
      <c r="B875" s="2" t="s">
        <v>690</v>
      </c>
      <c r="C875" s="2">
        <v>2023</v>
      </c>
      <c r="D875" s="2" t="s">
        <v>199</v>
      </c>
      <c r="E875" s="10" t="s">
        <v>803</v>
      </c>
      <c r="F875" s="20" t="s">
        <v>29</v>
      </c>
      <c r="G875" s="2" t="s">
        <v>697</v>
      </c>
      <c r="H875" s="2" t="str">
        <f>'PFAS Properties'!$B$46</f>
        <v>PFOS</v>
      </c>
      <c r="I875" s="2" t="str">
        <f>'PFAS Properties'!$C$46</f>
        <v>PFSA</v>
      </c>
      <c r="J875" s="2" t="str">
        <f>'PFAS Properties'!$D$46</f>
        <v>C8HF17O3S</v>
      </c>
      <c r="K875" s="25">
        <f>'PFAS Properties'!$P$46</f>
        <v>499.93739999999997</v>
      </c>
      <c r="L875" s="2">
        <f>'PFAS Properties'!$X$46</f>
        <v>0.1</v>
      </c>
      <c r="M875" s="2" t="str">
        <f>'PFAS Properties'!$Y$46</f>
        <v>-</v>
      </c>
      <c r="N875" s="33">
        <v>0</v>
      </c>
      <c r="O875" s="33">
        <v>0</v>
      </c>
      <c r="P875" s="33">
        <v>0</v>
      </c>
      <c r="Q875" s="33">
        <f t="shared" si="452"/>
        <v>0.99996837822336671</v>
      </c>
      <c r="R875" s="33">
        <v>0</v>
      </c>
      <c r="S875" s="33">
        <f t="shared" si="453"/>
        <v>3.1621776633305525E-5</v>
      </c>
      <c r="T875" s="8">
        <f t="shared" si="429"/>
        <v>1</v>
      </c>
      <c r="U875" s="33">
        <f t="shared" si="430"/>
        <v>0</v>
      </c>
      <c r="V875" s="33">
        <f t="shared" si="431"/>
        <v>-0.99996837822336671</v>
      </c>
      <c r="W875" s="33">
        <f t="shared" si="432"/>
        <v>498.93743162177657</v>
      </c>
      <c r="X875" s="33">
        <v>96485</v>
      </c>
      <c r="Y875" s="16">
        <f t="shared" si="433"/>
        <v>-193.37484593863954</v>
      </c>
      <c r="Z875" s="16">
        <v>8</v>
      </c>
      <c r="AA875" s="16">
        <v>17</v>
      </c>
      <c r="AB875" s="8">
        <f t="shared" si="434"/>
        <v>0.29721362229102166</v>
      </c>
      <c r="AC875" s="16">
        <f t="shared" si="445"/>
        <v>64.60808893273439</v>
      </c>
      <c r="AD875" s="20">
        <f>'PFAS Properties'!$W$46</f>
        <v>8</v>
      </c>
      <c r="AE875" s="8">
        <f>'PFAS Properties'!$S$46</f>
        <v>2.0166155475571776</v>
      </c>
      <c r="AF875" s="15">
        <f>'PFAS Properties'!$V$46</f>
        <v>5</v>
      </c>
      <c r="AG875" s="26">
        <v>4.5999999999999996</v>
      </c>
      <c r="AH875" s="2" t="s">
        <v>701</v>
      </c>
      <c r="AI875" s="15">
        <f t="shared" si="457"/>
        <v>0.1396125</v>
      </c>
      <c r="AJ875" s="16">
        <v>2.5</v>
      </c>
      <c r="AK875" s="8">
        <f t="shared" si="458"/>
        <v>1.396125E-2</v>
      </c>
      <c r="AL875" s="15">
        <f t="shared" si="459"/>
        <v>5.12658E-2</v>
      </c>
      <c r="AM875" s="16">
        <v>1.9</v>
      </c>
      <c r="AN875" s="8">
        <f t="shared" si="460"/>
        <v>5.1265800000000004E-3</v>
      </c>
      <c r="AO875" s="15" t="s">
        <v>705</v>
      </c>
      <c r="AP875" s="15">
        <v>1.8</v>
      </c>
      <c r="AQ875" s="15" t="s">
        <v>702</v>
      </c>
      <c r="AR875" s="4">
        <v>53</v>
      </c>
      <c r="AS875" s="4">
        <v>40</v>
      </c>
      <c r="AT875" s="4">
        <v>7</v>
      </c>
      <c r="AU875" s="2" t="s">
        <v>703</v>
      </c>
      <c r="AV875" s="16">
        <f t="shared" si="456"/>
        <v>100</v>
      </c>
      <c r="AW875" s="7">
        <v>1.1000000000000001</v>
      </c>
      <c r="AX875" s="8">
        <f t="shared" si="454"/>
        <v>1.1000000000000001E-2</v>
      </c>
      <c r="AY875" s="8" t="s">
        <v>704</v>
      </c>
      <c r="AZ875" s="16">
        <v>10</v>
      </c>
      <c r="BA875" s="16" t="s">
        <v>55</v>
      </c>
      <c r="BB875" s="16" t="s">
        <v>55</v>
      </c>
      <c r="BC875" s="16" t="s">
        <v>55</v>
      </c>
      <c r="BD875" s="24">
        <f t="shared" si="461"/>
        <v>4.0738027780411281</v>
      </c>
      <c r="BE875" s="16">
        <f t="shared" si="444"/>
        <v>370.34570709464799</v>
      </c>
      <c r="BF875" s="16">
        <f t="shared" si="435"/>
        <v>2.568607314841775</v>
      </c>
      <c r="BG875" s="8">
        <v>0.61</v>
      </c>
      <c r="BH875" s="15" t="s">
        <v>849</v>
      </c>
      <c r="BI875" s="1"/>
      <c r="BJ875" s="2"/>
      <c r="BK875" s="1"/>
      <c r="BL875" s="1"/>
      <c r="BM875" s="7"/>
      <c r="BN875" s="7"/>
      <c r="BO875" s="1"/>
      <c r="BP875" s="11"/>
      <c r="BQ875" s="11"/>
    </row>
    <row r="876" spans="1:69" x14ac:dyDescent="0.3">
      <c r="A876" s="20">
        <v>874</v>
      </c>
      <c r="B876" s="2" t="s">
        <v>690</v>
      </c>
      <c r="C876" s="2">
        <v>2023</v>
      </c>
      <c r="D876" s="2" t="s">
        <v>199</v>
      </c>
      <c r="E876" s="10" t="s">
        <v>803</v>
      </c>
      <c r="F876" s="20" t="s">
        <v>29</v>
      </c>
      <c r="G876" s="2" t="s">
        <v>698</v>
      </c>
      <c r="H876" s="2" t="str">
        <f>'PFAS Properties'!$B$46</f>
        <v>PFOS</v>
      </c>
      <c r="I876" s="2" t="str">
        <f>'PFAS Properties'!$C$46</f>
        <v>PFSA</v>
      </c>
      <c r="J876" s="2" t="str">
        <f>'PFAS Properties'!$D$46</f>
        <v>C8HF17O3S</v>
      </c>
      <c r="K876" s="25">
        <f>'PFAS Properties'!$P$46</f>
        <v>499.93739999999997</v>
      </c>
      <c r="L876" s="2">
        <f>'PFAS Properties'!$X$46</f>
        <v>0.1</v>
      </c>
      <c r="M876" s="2" t="str">
        <f>'PFAS Properties'!$Y$46</f>
        <v>-</v>
      </c>
      <c r="N876" s="33">
        <v>0</v>
      </c>
      <c r="O876" s="33">
        <v>0</v>
      </c>
      <c r="P876" s="33">
        <v>0</v>
      </c>
      <c r="Q876" s="33">
        <f t="shared" si="452"/>
        <v>0.99999968377233395</v>
      </c>
      <c r="R876" s="33">
        <v>0</v>
      </c>
      <c r="S876" s="33">
        <f t="shared" si="453"/>
        <v>3.1622766601686895E-7</v>
      </c>
      <c r="T876" s="8">
        <f t="shared" si="429"/>
        <v>1</v>
      </c>
      <c r="U876" s="33">
        <f t="shared" si="430"/>
        <v>0</v>
      </c>
      <c r="V876" s="33">
        <f t="shared" si="431"/>
        <v>-0.99999968377233395</v>
      </c>
      <c r="W876" s="33">
        <f t="shared" si="432"/>
        <v>498.93740031622758</v>
      </c>
      <c r="X876" s="33">
        <v>96485</v>
      </c>
      <c r="Y876" s="16">
        <f t="shared" si="433"/>
        <v>-193.3809119693598</v>
      </c>
      <c r="Z876" s="16">
        <v>8</v>
      </c>
      <c r="AA876" s="16">
        <v>17</v>
      </c>
      <c r="AB876" s="8">
        <f t="shared" si="434"/>
        <v>0.29721362229102166</v>
      </c>
      <c r="AC876" s="16">
        <f t="shared" si="445"/>
        <v>64.60808893273439</v>
      </c>
      <c r="AD876" s="20">
        <f>'PFAS Properties'!$W$46</f>
        <v>8</v>
      </c>
      <c r="AE876" s="8">
        <f>'PFAS Properties'!$S$46</f>
        <v>2.0166155475571776</v>
      </c>
      <c r="AF876" s="15">
        <f>'PFAS Properties'!$V$46</f>
        <v>5</v>
      </c>
      <c r="AG876" s="26">
        <v>6.6</v>
      </c>
      <c r="AH876" s="2" t="s">
        <v>701</v>
      </c>
      <c r="AI876" s="15">
        <f t="shared" si="457"/>
        <v>11.169</v>
      </c>
      <c r="AJ876" s="16">
        <v>200</v>
      </c>
      <c r="AK876" s="8">
        <f t="shared" si="458"/>
        <v>1.1169</v>
      </c>
      <c r="AL876" s="15">
        <f t="shared" si="459"/>
        <v>1.3760819999999998</v>
      </c>
      <c r="AM876" s="16">
        <v>51</v>
      </c>
      <c r="AN876" s="8">
        <f t="shared" si="460"/>
        <v>0.13760819999999999</v>
      </c>
      <c r="AO876" s="15" t="s">
        <v>705</v>
      </c>
      <c r="AP876" s="15">
        <v>16</v>
      </c>
      <c r="AQ876" s="15" t="s">
        <v>702</v>
      </c>
      <c r="AR876" s="4">
        <v>0.68</v>
      </c>
      <c r="AS876" s="4">
        <v>48</v>
      </c>
      <c r="AT876" s="4">
        <v>52</v>
      </c>
      <c r="AU876" s="2" t="s">
        <v>703</v>
      </c>
      <c r="AV876" s="16">
        <f t="shared" si="456"/>
        <v>100.68</v>
      </c>
      <c r="AW876" s="7">
        <v>0.91</v>
      </c>
      <c r="AX876" s="8">
        <f t="shared" si="454"/>
        <v>9.1000000000000004E-3</v>
      </c>
      <c r="AY876" s="8" t="s">
        <v>704</v>
      </c>
      <c r="AZ876" s="16">
        <v>10</v>
      </c>
      <c r="BA876" s="16" t="s">
        <v>55</v>
      </c>
      <c r="BB876" s="16" t="s">
        <v>55</v>
      </c>
      <c r="BC876" s="16" t="s">
        <v>55</v>
      </c>
      <c r="BD876" s="24">
        <f t="shared" si="461"/>
        <v>5.6885293084384152</v>
      </c>
      <c r="BE876" s="16">
        <f t="shared" si="444"/>
        <v>625.11311081740826</v>
      </c>
      <c r="BF876" s="16">
        <f t="shared" si="435"/>
        <v>2.7959586076789065</v>
      </c>
      <c r="BG876" s="8">
        <f>(0.5+1.01)/2</f>
        <v>0.755</v>
      </c>
      <c r="BH876" s="15" t="s">
        <v>852</v>
      </c>
      <c r="BI876" s="1"/>
      <c r="BJ876" s="2"/>
      <c r="BK876" s="1"/>
      <c r="BL876" s="1"/>
      <c r="BM876" s="7"/>
      <c r="BN876" s="7"/>
      <c r="BO876" s="1"/>
      <c r="BP876" s="11"/>
      <c r="BQ876" s="11"/>
    </row>
    <row r="877" spans="1:69" x14ac:dyDescent="0.3">
      <c r="A877" s="20">
        <v>875</v>
      </c>
      <c r="B877" s="2" t="s">
        <v>690</v>
      </c>
      <c r="C877" s="2">
        <v>2023</v>
      </c>
      <c r="D877" s="2" t="s">
        <v>199</v>
      </c>
      <c r="E877" s="10" t="s">
        <v>803</v>
      </c>
      <c r="F877" s="20" t="s">
        <v>29</v>
      </c>
      <c r="G877" s="2" t="s">
        <v>699</v>
      </c>
      <c r="H877" s="2" t="str">
        <f>'PFAS Properties'!$B$46</f>
        <v>PFOS</v>
      </c>
      <c r="I877" s="2" t="str">
        <f>'PFAS Properties'!$C$46</f>
        <v>PFSA</v>
      </c>
      <c r="J877" s="2" t="str">
        <f>'PFAS Properties'!$D$46</f>
        <v>C8HF17O3S</v>
      </c>
      <c r="K877" s="25">
        <f>'PFAS Properties'!$P$46</f>
        <v>499.93739999999997</v>
      </c>
      <c r="L877" s="2">
        <f>'PFAS Properties'!$X$46</f>
        <v>0.1</v>
      </c>
      <c r="M877" s="2" t="str">
        <f>'PFAS Properties'!$Y$46</f>
        <v>-</v>
      </c>
      <c r="N877" s="33">
        <v>0</v>
      </c>
      <c r="O877" s="33">
        <v>0</v>
      </c>
      <c r="P877" s="33">
        <v>0</v>
      </c>
      <c r="Q877" s="33">
        <f t="shared" si="452"/>
        <v>0.99999800474166611</v>
      </c>
      <c r="R877" s="33">
        <v>0</v>
      </c>
      <c r="S877" s="33">
        <f t="shared" si="453"/>
        <v>1.9952583339051124E-6</v>
      </c>
      <c r="T877" s="8">
        <f t="shared" si="429"/>
        <v>1</v>
      </c>
      <c r="U877" s="33">
        <f t="shared" si="430"/>
        <v>0</v>
      </c>
      <c r="V877" s="33">
        <f t="shared" si="431"/>
        <v>-0.99999800474166611</v>
      </c>
      <c r="W877" s="33">
        <f t="shared" si="432"/>
        <v>498.93740199525831</v>
      </c>
      <c r="X877" s="33">
        <v>96485</v>
      </c>
      <c r="Y877" s="16">
        <f t="shared" si="433"/>
        <v>-193.38058662600847</v>
      </c>
      <c r="Z877" s="16">
        <v>8</v>
      </c>
      <c r="AA877" s="16">
        <v>17</v>
      </c>
      <c r="AB877" s="8">
        <f t="shared" si="434"/>
        <v>0.29721362229102166</v>
      </c>
      <c r="AC877" s="16">
        <f t="shared" si="445"/>
        <v>64.60808893273439</v>
      </c>
      <c r="AD877" s="20">
        <f>'PFAS Properties'!$W$46</f>
        <v>8</v>
      </c>
      <c r="AE877" s="8">
        <f>'PFAS Properties'!$S$46</f>
        <v>2.0166155475571776</v>
      </c>
      <c r="AF877" s="15">
        <f>'PFAS Properties'!$V$46</f>
        <v>5</v>
      </c>
      <c r="AG877" s="26">
        <v>5.8</v>
      </c>
      <c r="AH877" s="2" t="s">
        <v>701</v>
      </c>
      <c r="AI877" s="15">
        <f t="shared" si="457"/>
        <v>1.6753499999999999</v>
      </c>
      <c r="AJ877" s="16">
        <v>30</v>
      </c>
      <c r="AK877" s="8">
        <f t="shared" si="458"/>
        <v>0.16753499999999999</v>
      </c>
      <c r="AL877" s="15">
        <f t="shared" si="459"/>
        <v>0.75549599999999995</v>
      </c>
      <c r="AM877" s="16">
        <v>28</v>
      </c>
      <c r="AN877" s="8">
        <f t="shared" si="460"/>
        <v>7.5549599999999995E-2</v>
      </c>
      <c r="AO877" s="15" t="s">
        <v>705</v>
      </c>
      <c r="AP877" s="15">
        <v>0.77</v>
      </c>
      <c r="AQ877" s="15" t="s">
        <v>702</v>
      </c>
      <c r="AR877" s="4">
        <v>89</v>
      </c>
      <c r="AS877" s="4">
        <v>8</v>
      </c>
      <c r="AT877" s="4">
        <v>3</v>
      </c>
      <c r="AU877" s="2" t="s">
        <v>703</v>
      </c>
      <c r="AV877" s="16">
        <f t="shared" si="456"/>
        <v>100</v>
      </c>
      <c r="AW877" s="7">
        <v>0.3</v>
      </c>
      <c r="AX877" s="8">
        <f t="shared" si="454"/>
        <v>3.0000000000000001E-3</v>
      </c>
      <c r="AY877" s="8" t="s">
        <v>704</v>
      </c>
      <c r="AZ877" s="16">
        <v>10</v>
      </c>
      <c r="BA877" s="16" t="s">
        <v>55</v>
      </c>
      <c r="BB877" s="16" t="s">
        <v>55</v>
      </c>
      <c r="BC877" s="16" t="s">
        <v>55</v>
      </c>
      <c r="BD877" s="24">
        <f t="shared" si="461"/>
        <v>5.2480746024977263</v>
      </c>
      <c r="BE877" s="16">
        <f t="shared" si="444"/>
        <v>1749.3582008325754</v>
      </c>
      <c r="BF877" s="16">
        <f t="shared" si="435"/>
        <v>3.2428787452803376</v>
      </c>
      <c r="BG877" s="8">
        <v>0.72</v>
      </c>
      <c r="BH877" s="15" t="s">
        <v>853</v>
      </c>
      <c r="BI877" s="1"/>
      <c r="BJ877" s="2"/>
      <c r="BK877" s="1"/>
      <c r="BL877" s="1"/>
      <c r="BM877" s="7"/>
      <c r="BN877" s="7"/>
      <c r="BO877" s="1"/>
      <c r="BP877" s="11"/>
      <c r="BQ877" s="11"/>
    </row>
    <row r="878" spans="1:69" x14ac:dyDescent="0.3">
      <c r="A878" s="20">
        <v>876</v>
      </c>
      <c r="B878" s="2" t="s">
        <v>690</v>
      </c>
      <c r="C878" s="2">
        <v>2023</v>
      </c>
      <c r="D878" s="2" t="s">
        <v>199</v>
      </c>
      <c r="E878" s="10" t="s">
        <v>803</v>
      </c>
      <c r="F878" s="20" t="s">
        <v>29</v>
      </c>
      <c r="G878" s="2" t="s">
        <v>700</v>
      </c>
      <c r="H878" s="2" t="str">
        <f>'PFAS Properties'!$B$46</f>
        <v>PFOS</v>
      </c>
      <c r="I878" s="2" t="str">
        <f>'PFAS Properties'!$C$46</f>
        <v>PFSA</v>
      </c>
      <c r="J878" s="2" t="str">
        <f>'PFAS Properties'!$D$46</f>
        <v>C8HF17O3S</v>
      </c>
      <c r="K878" s="25">
        <f>'PFAS Properties'!$P$46</f>
        <v>499.93739999999997</v>
      </c>
      <c r="L878" s="2">
        <f>'PFAS Properties'!$X$46</f>
        <v>0.1</v>
      </c>
      <c r="M878" s="2" t="str">
        <f>'PFAS Properties'!$Y$46</f>
        <v>-</v>
      </c>
      <c r="N878" s="33">
        <v>0</v>
      </c>
      <c r="O878" s="33">
        <v>0</v>
      </c>
      <c r="P878" s="33">
        <v>0</v>
      </c>
      <c r="Q878" s="33">
        <f t="shared" si="452"/>
        <v>0.99999369046636566</v>
      </c>
      <c r="R878" s="33">
        <v>0</v>
      </c>
      <c r="S878" s="33">
        <f t="shared" si="453"/>
        <v>6.3095336343360528E-6</v>
      </c>
      <c r="T878" s="8">
        <f t="shared" si="429"/>
        <v>1</v>
      </c>
      <c r="U878" s="33">
        <f t="shared" si="430"/>
        <v>0</v>
      </c>
      <c r="V878" s="33">
        <f t="shared" si="431"/>
        <v>-0.99999369046636566</v>
      </c>
      <c r="W878" s="33">
        <f t="shared" si="432"/>
        <v>498.93740630953363</v>
      </c>
      <c r="X878" s="33">
        <v>96485</v>
      </c>
      <c r="Y878" s="16">
        <f t="shared" si="433"/>
        <v>-193.37975065511475</v>
      </c>
      <c r="Z878" s="16">
        <v>8</v>
      </c>
      <c r="AA878" s="16">
        <v>17</v>
      </c>
      <c r="AB878" s="8">
        <f t="shared" si="434"/>
        <v>0.29721362229102166</v>
      </c>
      <c r="AC878" s="16">
        <f t="shared" si="445"/>
        <v>64.60808893273439</v>
      </c>
      <c r="AD878" s="20">
        <f>'PFAS Properties'!$W$46</f>
        <v>8</v>
      </c>
      <c r="AE878" s="8">
        <f>'PFAS Properties'!$S$46</f>
        <v>2.0166155475571776</v>
      </c>
      <c r="AF878" s="15">
        <f>'PFAS Properties'!$V$46</f>
        <v>5</v>
      </c>
      <c r="AG878" s="26">
        <v>5.3</v>
      </c>
      <c r="AH878" s="2" t="s">
        <v>701</v>
      </c>
      <c r="AI878" s="15">
        <f t="shared" si="457"/>
        <v>1.2285899999999998</v>
      </c>
      <c r="AJ878" s="16">
        <v>22</v>
      </c>
      <c r="AK878" s="8">
        <f t="shared" si="458"/>
        <v>0.12285899999999998</v>
      </c>
      <c r="AL878" s="15">
        <f t="shared" si="459"/>
        <v>2.15856</v>
      </c>
      <c r="AM878" s="16">
        <v>80</v>
      </c>
      <c r="AN878" s="8">
        <f t="shared" si="460"/>
        <v>0.21585599999999999</v>
      </c>
      <c r="AO878" s="15" t="s">
        <v>705</v>
      </c>
      <c r="AP878" s="15">
        <v>0.45</v>
      </c>
      <c r="AQ878" s="15" t="s">
        <v>702</v>
      </c>
      <c r="AR878" s="4">
        <v>96</v>
      </c>
      <c r="AS878" s="4">
        <v>3</v>
      </c>
      <c r="AT878" s="4">
        <v>2</v>
      </c>
      <c r="AU878" s="2" t="s">
        <v>703</v>
      </c>
      <c r="AV878" s="16">
        <f t="shared" si="456"/>
        <v>101</v>
      </c>
      <c r="AW878" s="7">
        <v>0.19</v>
      </c>
      <c r="AX878" s="8">
        <f t="shared" si="454"/>
        <v>1.9E-3</v>
      </c>
      <c r="AY878" s="8" t="s">
        <v>704</v>
      </c>
      <c r="AZ878" s="16">
        <v>10</v>
      </c>
      <c r="BA878" s="16" t="s">
        <v>55</v>
      </c>
      <c r="BB878" s="16" t="s">
        <v>55</v>
      </c>
      <c r="BC878" s="16" t="s">
        <v>55</v>
      </c>
      <c r="BD878" s="24">
        <f t="shared" si="461"/>
        <v>6.0255958607435796</v>
      </c>
      <c r="BE878" s="16">
        <f t="shared" si="444"/>
        <v>3171.366242496621</v>
      </c>
      <c r="BF878" s="16">
        <f t="shared" si="435"/>
        <v>3.5012463990471714</v>
      </c>
      <c r="BG878" s="8">
        <v>0.78</v>
      </c>
      <c r="BH878" s="15" t="s">
        <v>846</v>
      </c>
      <c r="BI878" s="1"/>
      <c r="BJ878" s="2"/>
      <c r="BK878" s="1"/>
      <c r="BL878" s="1"/>
      <c r="BM878" s="7"/>
      <c r="BN878" s="7"/>
      <c r="BO878" s="1"/>
      <c r="BP878" s="11"/>
      <c r="BQ878" s="11"/>
    </row>
    <row r="879" spans="1:69" s="14" customFormat="1" x14ac:dyDescent="0.3">
      <c r="A879" s="20">
        <v>877</v>
      </c>
      <c r="B879" s="2" t="s">
        <v>775</v>
      </c>
      <c r="C879" s="2">
        <v>2021</v>
      </c>
      <c r="D879" s="2" t="s">
        <v>203</v>
      </c>
      <c r="E879" s="10" t="s">
        <v>786</v>
      </c>
      <c r="F879" s="20" t="s">
        <v>29</v>
      </c>
      <c r="G879" s="2" t="s">
        <v>116</v>
      </c>
      <c r="H879" s="2" t="str">
        <f>'PFAS Properties'!$B$46</f>
        <v>PFOS</v>
      </c>
      <c r="I879" s="2" t="str">
        <f>'PFAS Properties'!$C$46</f>
        <v>PFSA</v>
      </c>
      <c r="J879" s="2" t="str">
        <f>'PFAS Properties'!$D$46</f>
        <v>C8HF17O3S</v>
      </c>
      <c r="K879" s="25">
        <f>'PFAS Properties'!$P$46</f>
        <v>499.93739999999997</v>
      </c>
      <c r="L879" s="2">
        <f>'PFAS Properties'!$X$46</f>
        <v>0.1</v>
      </c>
      <c r="M879" s="2" t="str">
        <f>'PFAS Properties'!$Y$46</f>
        <v>-</v>
      </c>
      <c r="N879" s="33">
        <v>0</v>
      </c>
      <c r="O879" s="33">
        <v>0</v>
      </c>
      <c r="P879" s="33">
        <v>0</v>
      </c>
      <c r="Q879" s="33">
        <f t="shared" si="452"/>
        <v>0.99999996451866235</v>
      </c>
      <c r="R879" s="33">
        <v>0</v>
      </c>
      <c r="S879" s="33">
        <f t="shared" si="453"/>
        <v>3.5481337664432056E-8</v>
      </c>
      <c r="T879" s="8">
        <f t="shared" ref="T879:T891" si="462">SUM(N879:S879)</f>
        <v>1</v>
      </c>
      <c r="U879" s="33">
        <f t="shared" ref="U879:U891" si="463">((1*N879)+(1*O879)+(1*P879))</f>
        <v>0</v>
      </c>
      <c r="V879" s="33">
        <f t="shared" ref="V879:V891" si="464">-((1*O879)+(2*P879)+(1*Q879)+(2*R879))</f>
        <v>-0.99999996451866235</v>
      </c>
      <c r="W879" s="33">
        <f t="shared" ref="W879:W891" si="465">(N879*(K879+1))+(O879*K879)+(P879*(K879-1))+(Q879*(K879-1))+(R879*(K879-2))+(S879*K879)</f>
        <v>498.93740003548129</v>
      </c>
      <c r="X879" s="33">
        <v>96485</v>
      </c>
      <c r="Y879" s="16">
        <f t="shared" ref="Y879:Y891" si="466">((V879+U879)/W879)*X879</f>
        <v>-193.3809663691712</v>
      </c>
      <c r="Z879" s="16">
        <v>8</v>
      </c>
      <c r="AA879" s="16">
        <v>17</v>
      </c>
      <c r="AB879" s="8">
        <f t="shared" ref="AB879:AB891" si="467">(Z879/AA879)*(12/19)</f>
        <v>0.29721362229102166</v>
      </c>
      <c r="AC879" s="16">
        <f t="shared" si="445"/>
        <v>64.60808893273439</v>
      </c>
      <c r="AD879" s="20">
        <f>'PFAS Properties'!$W$46</f>
        <v>8</v>
      </c>
      <c r="AE879" s="8">
        <f>'PFAS Properties'!$S$46</f>
        <v>2.0166155475571776</v>
      </c>
      <c r="AF879" s="15">
        <f>'PFAS Properties'!$V$46</f>
        <v>5</v>
      </c>
      <c r="AG879" s="24">
        <v>7.55</v>
      </c>
      <c r="AH879" s="15" t="s">
        <v>830</v>
      </c>
      <c r="AI879" s="2" t="s">
        <v>661</v>
      </c>
      <c r="AJ879" s="2" t="s">
        <v>661</v>
      </c>
      <c r="AK879" s="2" t="s">
        <v>661</v>
      </c>
      <c r="AL879" s="2" t="s">
        <v>661</v>
      </c>
      <c r="AM879" s="2" t="s">
        <v>661</v>
      </c>
      <c r="AN879" s="2" t="s">
        <v>661</v>
      </c>
      <c r="AO879" s="2" t="s">
        <v>661</v>
      </c>
      <c r="AP879" s="15">
        <v>2.52</v>
      </c>
      <c r="AQ879" s="16" t="s">
        <v>689</v>
      </c>
      <c r="AR879" s="16">
        <v>45.3</v>
      </c>
      <c r="AS879" s="16">
        <v>30</v>
      </c>
      <c r="AT879" s="16">
        <v>24.7</v>
      </c>
      <c r="AU879" s="16" t="s">
        <v>664</v>
      </c>
      <c r="AV879" s="16">
        <f t="shared" si="456"/>
        <v>100</v>
      </c>
      <c r="AW879" s="20">
        <v>3.4</v>
      </c>
      <c r="AX879" s="8">
        <f t="shared" si="454"/>
        <v>3.4000000000000002E-2</v>
      </c>
      <c r="AY879" s="8" t="s">
        <v>342</v>
      </c>
      <c r="AZ879" s="16">
        <f>1/0.01</f>
        <v>100</v>
      </c>
      <c r="BA879" s="16" t="s">
        <v>55</v>
      </c>
      <c r="BB879" s="15">
        <f>5*K879/1000</f>
        <v>2.4996869999999998</v>
      </c>
      <c r="BC879" s="16">
        <f>5000*K879/1000</f>
        <v>2499.6869999999999</v>
      </c>
      <c r="BD879" s="24">
        <f>473*AX879</f>
        <v>16.082000000000001</v>
      </c>
      <c r="BE879" s="16">
        <f t="shared" si="444"/>
        <v>473</v>
      </c>
      <c r="BF879" s="16">
        <f t="shared" ref="BF879:BF891" si="468">LOG(BE879)</f>
        <v>2.6748611407378116</v>
      </c>
      <c r="BG879" s="8">
        <f t="shared" ref="BG879:BG885" si="469">LOG(BD879)</f>
        <v>1.2063400577800667</v>
      </c>
      <c r="BH879" s="13" t="s">
        <v>343</v>
      </c>
      <c r="BI879" s="8"/>
      <c r="BJ879" s="13"/>
      <c r="BK879" s="15"/>
      <c r="BL879" s="15"/>
      <c r="BM879" s="18"/>
      <c r="BN879" s="8"/>
      <c r="BO879" s="24"/>
    </row>
    <row r="880" spans="1:69" s="14" customFormat="1" x14ac:dyDescent="0.3">
      <c r="A880" s="20">
        <v>878</v>
      </c>
      <c r="B880" s="2" t="s">
        <v>775</v>
      </c>
      <c r="C880" s="2">
        <v>2021</v>
      </c>
      <c r="D880" s="2" t="s">
        <v>203</v>
      </c>
      <c r="E880" s="10" t="s">
        <v>786</v>
      </c>
      <c r="F880" s="20" t="s">
        <v>29</v>
      </c>
      <c r="G880" s="2" t="s">
        <v>117</v>
      </c>
      <c r="H880" s="2" t="str">
        <f>'PFAS Properties'!$B$46</f>
        <v>PFOS</v>
      </c>
      <c r="I880" s="2" t="str">
        <f>'PFAS Properties'!$C$46</f>
        <v>PFSA</v>
      </c>
      <c r="J880" s="2" t="str">
        <f>'PFAS Properties'!$D$46</f>
        <v>C8HF17O3S</v>
      </c>
      <c r="K880" s="25">
        <f>'PFAS Properties'!$P$46</f>
        <v>499.93739999999997</v>
      </c>
      <c r="L880" s="2">
        <f>'PFAS Properties'!$X$46</f>
        <v>0.1</v>
      </c>
      <c r="M880" s="2" t="str">
        <f>'PFAS Properties'!$Y$46</f>
        <v>-</v>
      </c>
      <c r="N880" s="33">
        <v>0</v>
      </c>
      <c r="O880" s="33">
        <v>0</v>
      </c>
      <c r="P880" s="33">
        <v>0</v>
      </c>
      <c r="Q880" s="33">
        <f t="shared" si="452"/>
        <v>0.99999999223752889</v>
      </c>
      <c r="R880" s="33">
        <v>0</v>
      </c>
      <c r="S880" s="33">
        <f t="shared" si="453"/>
        <v>7.7624711060309258E-9</v>
      </c>
      <c r="T880" s="8">
        <f t="shared" si="462"/>
        <v>1</v>
      </c>
      <c r="U880" s="33">
        <f t="shared" si="463"/>
        <v>0</v>
      </c>
      <c r="V880" s="33">
        <f t="shared" si="464"/>
        <v>-0.99999999223752889</v>
      </c>
      <c r="W880" s="33">
        <f t="shared" si="465"/>
        <v>498.93740000776239</v>
      </c>
      <c r="X880" s="33">
        <v>96485</v>
      </c>
      <c r="Y880" s="16">
        <f t="shared" si="466"/>
        <v>-193.38097174021607</v>
      </c>
      <c r="Z880" s="16">
        <v>8</v>
      </c>
      <c r="AA880" s="16">
        <v>17</v>
      </c>
      <c r="AB880" s="8">
        <f t="shared" si="467"/>
        <v>0.29721362229102166</v>
      </c>
      <c r="AC880" s="16">
        <f t="shared" si="445"/>
        <v>64.60808893273439</v>
      </c>
      <c r="AD880" s="20">
        <f>'PFAS Properties'!$W$46</f>
        <v>8</v>
      </c>
      <c r="AE880" s="8">
        <f>'PFAS Properties'!$S$46</f>
        <v>2.0166155475571776</v>
      </c>
      <c r="AF880" s="15">
        <f>'PFAS Properties'!$V$46</f>
        <v>5</v>
      </c>
      <c r="AG880" s="24">
        <v>8.2100000000000009</v>
      </c>
      <c r="AH880" s="15" t="s">
        <v>830</v>
      </c>
      <c r="AI880" s="2" t="s">
        <v>661</v>
      </c>
      <c r="AJ880" s="2" t="s">
        <v>661</v>
      </c>
      <c r="AK880" s="2" t="s">
        <v>661</v>
      </c>
      <c r="AL880" s="2" t="s">
        <v>661</v>
      </c>
      <c r="AM880" s="2" t="s">
        <v>661</v>
      </c>
      <c r="AN880" s="2" t="s">
        <v>661</v>
      </c>
      <c r="AO880" s="2" t="s">
        <v>661</v>
      </c>
      <c r="AP880" s="15">
        <v>11.4</v>
      </c>
      <c r="AQ880" s="16" t="s">
        <v>689</v>
      </c>
      <c r="AR880" s="16">
        <v>28.7</v>
      </c>
      <c r="AS880" s="16">
        <v>40</v>
      </c>
      <c r="AT880" s="16">
        <v>31.3</v>
      </c>
      <c r="AU880" s="16" t="s">
        <v>664</v>
      </c>
      <c r="AV880" s="16">
        <f t="shared" si="456"/>
        <v>100</v>
      </c>
      <c r="AW880" s="20">
        <v>1.7</v>
      </c>
      <c r="AX880" s="8">
        <f t="shared" si="454"/>
        <v>1.7000000000000001E-2</v>
      </c>
      <c r="AY880" s="8" t="s">
        <v>342</v>
      </c>
      <c r="AZ880" s="16">
        <f>1/0.01</f>
        <v>100</v>
      </c>
      <c r="BA880" s="16" t="s">
        <v>55</v>
      </c>
      <c r="BB880" s="15">
        <f>5*K880/1000</f>
        <v>2.4996869999999998</v>
      </c>
      <c r="BC880" s="16">
        <f>5000*K880/1000</f>
        <v>2499.6869999999999</v>
      </c>
      <c r="BD880" s="24">
        <f>931.9*AX880</f>
        <v>15.842300000000002</v>
      </c>
      <c r="BE880" s="16">
        <f t="shared" si="444"/>
        <v>931.9</v>
      </c>
      <c r="BF880" s="16">
        <f t="shared" si="468"/>
        <v>2.9693693117335274</v>
      </c>
      <c r="BG880" s="8">
        <f t="shared" si="469"/>
        <v>1.1998182331118015</v>
      </c>
      <c r="BH880" s="13" t="s">
        <v>343</v>
      </c>
      <c r="BI880" s="16"/>
      <c r="BJ880" s="13"/>
      <c r="BK880" s="15"/>
      <c r="BL880" s="16"/>
      <c r="BM880" s="18"/>
      <c r="BN880" s="8"/>
      <c r="BO880" s="24"/>
    </row>
    <row r="881" spans="1:67" s="14" customFormat="1" x14ac:dyDescent="0.3">
      <c r="A881" s="20">
        <v>879</v>
      </c>
      <c r="B881" s="2" t="s">
        <v>775</v>
      </c>
      <c r="C881" s="2">
        <v>2021</v>
      </c>
      <c r="D881" s="2" t="s">
        <v>203</v>
      </c>
      <c r="E881" s="10" t="s">
        <v>786</v>
      </c>
      <c r="F881" s="20" t="s">
        <v>29</v>
      </c>
      <c r="G881" s="2" t="s">
        <v>118</v>
      </c>
      <c r="H881" s="2" t="str">
        <f>'PFAS Properties'!$B$46</f>
        <v>PFOS</v>
      </c>
      <c r="I881" s="2" t="str">
        <f>'PFAS Properties'!$C$46</f>
        <v>PFSA</v>
      </c>
      <c r="J881" s="2" t="str">
        <f>'PFAS Properties'!$D$46</f>
        <v>C8HF17O3S</v>
      </c>
      <c r="K881" s="25">
        <f>'PFAS Properties'!$P$46</f>
        <v>499.93739999999997</v>
      </c>
      <c r="L881" s="2">
        <f>'PFAS Properties'!$X$46</f>
        <v>0.1</v>
      </c>
      <c r="M881" s="2" t="str">
        <f>'PFAS Properties'!$Y$46</f>
        <v>-</v>
      </c>
      <c r="N881" s="33">
        <v>0</v>
      </c>
      <c r="O881" s="33">
        <v>0</v>
      </c>
      <c r="P881" s="33">
        <v>0</v>
      </c>
      <c r="Q881" s="33">
        <f t="shared" si="452"/>
        <v>0.99999966115595873</v>
      </c>
      <c r="R881" s="33">
        <v>0</v>
      </c>
      <c r="S881" s="33">
        <f t="shared" si="453"/>
        <v>3.3884404132387859E-7</v>
      </c>
      <c r="T881" s="8">
        <f t="shared" si="462"/>
        <v>1</v>
      </c>
      <c r="U881" s="33">
        <f t="shared" si="463"/>
        <v>0</v>
      </c>
      <c r="V881" s="33">
        <f t="shared" si="464"/>
        <v>-0.99999966115595873</v>
      </c>
      <c r="W881" s="33">
        <f t="shared" si="465"/>
        <v>498.93740033884399</v>
      </c>
      <c r="X881" s="33">
        <v>96485</v>
      </c>
      <c r="Y881" s="16">
        <f t="shared" si="466"/>
        <v>-193.38090758701736</v>
      </c>
      <c r="Z881" s="16">
        <v>8</v>
      </c>
      <c r="AA881" s="16">
        <v>17</v>
      </c>
      <c r="AB881" s="8">
        <f t="shared" si="467"/>
        <v>0.29721362229102166</v>
      </c>
      <c r="AC881" s="16">
        <f t="shared" si="445"/>
        <v>64.60808893273439</v>
      </c>
      <c r="AD881" s="20">
        <f>'PFAS Properties'!$W$46</f>
        <v>8</v>
      </c>
      <c r="AE881" s="8">
        <f>'PFAS Properties'!$S$46</f>
        <v>2.0166155475571776</v>
      </c>
      <c r="AF881" s="15">
        <f>'PFAS Properties'!$V$46</f>
        <v>5</v>
      </c>
      <c r="AG881" s="24">
        <v>6.57</v>
      </c>
      <c r="AH881" s="15" t="s">
        <v>830</v>
      </c>
      <c r="AI881" s="2" t="s">
        <v>661</v>
      </c>
      <c r="AJ881" s="2" t="s">
        <v>661</v>
      </c>
      <c r="AK881" s="2" t="s">
        <v>661</v>
      </c>
      <c r="AL881" s="2" t="s">
        <v>661</v>
      </c>
      <c r="AM881" s="2" t="s">
        <v>661</v>
      </c>
      <c r="AN881" s="2" t="s">
        <v>661</v>
      </c>
      <c r="AO881" s="2" t="s">
        <v>661</v>
      </c>
      <c r="AP881" s="15">
        <v>9.93</v>
      </c>
      <c r="AQ881" s="16" t="s">
        <v>689</v>
      </c>
      <c r="AR881" s="16">
        <v>20</v>
      </c>
      <c r="AS881" s="16">
        <v>50</v>
      </c>
      <c r="AT881" s="16">
        <v>30</v>
      </c>
      <c r="AU881" s="16" t="s">
        <v>664</v>
      </c>
      <c r="AV881" s="16">
        <f t="shared" si="456"/>
        <v>100</v>
      </c>
      <c r="AW881" s="20">
        <v>2.9</v>
      </c>
      <c r="AX881" s="8">
        <f t="shared" ref="AX881:AX891" si="470">AW881/100</f>
        <v>2.8999999999999998E-2</v>
      </c>
      <c r="AY881" s="8" t="s">
        <v>342</v>
      </c>
      <c r="AZ881" s="16">
        <f>1/0.01</f>
        <v>100</v>
      </c>
      <c r="BA881" s="16" t="s">
        <v>55</v>
      </c>
      <c r="BB881" s="15">
        <f>5*K881/1000</f>
        <v>2.4996869999999998</v>
      </c>
      <c r="BC881" s="16">
        <f>5000*K881/1000</f>
        <v>2499.6869999999999</v>
      </c>
      <c r="BD881" s="24">
        <f>548.7*AX881</f>
        <v>15.9123</v>
      </c>
      <c r="BE881" s="16">
        <f t="shared" si="444"/>
        <v>548.70000000000005</v>
      </c>
      <c r="BF881" s="16">
        <f t="shared" si="468"/>
        <v>2.7393349601960795</v>
      </c>
      <c r="BG881" s="8">
        <f t="shared" si="469"/>
        <v>1.2017329580950353</v>
      </c>
      <c r="BH881" s="13" t="s">
        <v>343</v>
      </c>
      <c r="BI881" s="15"/>
      <c r="BJ881" s="13"/>
      <c r="BK881" s="15"/>
      <c r="BL881" s="15"/>
      <c r="BM881" s="18"/>
      <c r="BN881" s="8"/>
      <c r="BO881" s="24"/>
    </row>
    <row r="882" spans="1:67" s="14" customFormat="1" x14ac:dyDescent="0.3">
      <c r="A882" s="20">
        <v>880</v>
      </c>
      <c r="B882" s="2" t="s">
        <v>775</v>
      </c>
      <c r="C882" s="2">
        <v>2021</v>
      </c>
      <c r="D882" s="2" t="s">
        <v>203</v>
      </c>
      <c r="E882" s="10" t="s">
        <v>786</v>
      </c>
      <c r="F882" s="20" t="s">
        <v>29</v>
      </c>
      <c r="G882" s="2" t="s">
        <v>119</v>
      </c>
      <c r="H882" s="2" t="str">
        <f>'PFAS Properties'!$B$46</f>
        <v>PFOS</v>
      </c>
      <c r="I882" s="2" t="str">
        <f>'PFAS Properties'!$C$46</f>
        <v>PFSA</v>
      </c>
      <c r="J882" s="2" t="str">
        <f>'PFAS Properties'!$D$46</f>
        <v>C8HF17O3S</v>
      </c>
      <c r="K882" s="25">
        <f>'PFAS Properties'!$P$46</f>
        <v>499.93739999999997</v>
      </c>
      <c r="L882" s="2">
        <f>'PFAS Properties'!$X$46</f>
        <v>0.1</v>
      </c>
      <c r="M882" s="2" t="str">
        <f>'PFAS Properties'!$Y$46</f>
        <v>-</v>
      </c>
      <c r="N882" s="33">
        <v>0</v>
      </c>
      <c r="O882" s="33">
        <v>0</v>
      </c>
      <c r="P882" s="33">
        <v>0</v>
      </c>
      <c r="Q882" s="33">
        <f t="shared" si="452"/>
        <v>0.99996019086777477</v>
      </c>
      <c r="R882" s="33">
        <v>0</v>
      </c>
      <c r="S882" s="33">
        <f t="shared" si="453"/>
        <v>3.9809132225250393E-5</v>
      </c>
      <c r="T882" s="8">
        <f t="shared" si="462"/>
        <v>1</v>
      </c>
      <c r="U882" s="33">
        <f t="shared" si="463"/>
        <v>0</v>
      </c>
      <c r="V882" s="33">
        <f t="shared" si="464"/>
        <v>-0.99996019086777477</v>
      </c>
      <c r="W882" s="33">
        <f t="shared" si="465"/>
        <v>498.93743980913223</v>
      </c>
      <c r="X882" s="33">
        <v>96485</v>
      </c>
      <c r="Y882" s="16">
        <f t="shared" si="466"/>
        <v>-193.37325948677247</v>
      </c>
      <c r="Z882" s="16">
        <v>8</v>
      </c>
      <c r="AA882" s="16">
        <v>17</v>
      </c>
      <c r="AB882" s="8">
        <f t="shared" si="467"/>
        <v>0.29721362229102166</v>
      </c>
      <c r="AC882" s="16">
        <f t="shared" si="445"/>
        <v>64.60808893273439</v>
      </c>
      <c r="AD882" s="20">
        <f>'PFAS Properties'!$W$46</f>
        <v>8</v>
      </c>
      <c r="AE882" s="8">
        <f>'PFAS Properties'!$S$46</f>
        <v>2.0166155475571776</v>
      </c>
      <c r="AF882" s="15">
        <f>'PFAS Properties'!$V$46</f>
        <v>5</v>
      </c>
      <c r="AG882" s="24">
        <v>4.5</v>
      </c>
      <c r="AH882" s="15" t="s">
        <v>830</v>
      </c>
      <c r="AI882" s="2" t="s">
        <v>661</v>
      </c>
      <c r="AJ882" s="2" t="s">
        <v>661</v>
      </c>
      <c r="AK882" s="2" t="s">
        <v>661</v>
      </c>
      <c r="AL882" s="2" t="s">
        <v>661</v>
      </c>
      <c r="AM882" s="2" t="s">
        <v>661</v>
      </c>
      <c r="AN882" s="2" t="s">
        <v>661</v>
      </c>
      <c r="AO882" s="2" t="s">
        <v>661</v>
      </c>
      <c r="AP882" s="72">
        <v>11.497016666666671</v>
      </c>
      <c r="AQ882" s="70" t="s">
        <v>752</v>
      </c>
      <c r="AR882" s="16">
        <v>51.2</v>
      </c>
      <c r="AS882" s="16">
        <v>36.200000000000003</v>
      </c>
      <c r="AT882" s="16">
        <v>12.6</v>
      </c>
      <c r="AU882" s="16" t="s">
        <v>664</v>
      </c>
      <c r="AV882" s="16">
        <f t="shared" si="456"/>
        <v>100</v>
      </c>
      <c r="AW882" s="20">
        <v>7.3</v>
      </c>
      <c r="AX882" s="8">
        <f t="shared" si="470"/>
        <v>7.2999999999999995E-2</v>
      </c>
      <c r="AY882" s="8" t="s">
        <v>342</v>
      </c>
      <c r="AZ882" s="16">
        <f>1/0.01</f>
        <v>100</v>
      </c>
      <c r="BA882" s="16" t="s">
        <v>55</v>
      </c>
      <c r="BB882" s="15">
        <f>5*K882/1000</f>
        <v>2.4996869999999998</v>
      </c>
      <c r="BC882" s="16">
        <f>5000*K882/1000</f>
        <v>2499.6869999999999</v>
      </c>
      <c r="BD882" s="24">
        <f>760.9*AX882</f>
        <v>55.545699999999997</v>
      </c>
      <c r="BE882" s="16">
        <f t="shared" si="444"/>
        <v>760.9</v>
      </c>
      <c r="BF882" s="16">
        <f t="shared" si="468"/>
        <v>2.8813275841005512</v>
      </c>
      <c r="BG882" s="8">
        <f t="shared" si="469"/>
        <v>1.7446504442210073</v>
      </c>
      <c r="BH882" s="13" t="s">
        <v>343</v>
      </c>
      <c r="BI882" s="15"/>
      <c r="BJ882" s="13"/>
      <c r="BK882" s="15"/>
      <c r="BL882" s="15"/>
      <c r="BM882" s="18"/>
      <c r="BN882" s="8"/>
      <c r="BO882" s="24"/>
    </row>
    <row r="883" spans="1:67" s="14" customFormat="1" x14ac:dyDescent="0.3">
      <c r="A883" s="20">
        <v>881</v>
      </c>
      <c r="B883" s="2" t="s">
        <v>775</v>
      </c>
      <c r="C883" s="2">
        <v>2021</v>
      </c>
      <c r="D883" s="2" t="s">
        <v>203</v>
      </c>
      <c r="E883" s="10" t="s">
        <v>786</v>
      </c>
      <c r="F883" s="20" t="s">
        <v>29</v>
      </c>
      <c r="G883" s="2" t="s">
        <v>120</v>
      </c>
      <c r="H883" s="2" t="str">
        <f>'PFAS Properties'!$B$46</f>
        <v>PFOS</v>
      </c>
      <c r="I883" s="2" t="str">
        <f>'PFAS Properties'!$C$46</f>
        <v>PFSA</v>
      </c>
      <c r="J883" s="2" t="str">
        <f>'PFAS Properties'!$D$46</f>
        <v>C8HF17O3S</v>
      </c>
      <c r="K883" s="25">
        <f>'PFAS Properties'!$P$46</f>
        <v>499.93739999999997</v>
      </c>
      <c r="L883" s="2">
        <f>'PFAS Properties'!$X$46</f>
        <v>0.1</v>
      </c>
      <c r="M883" s="2" t="str">
        <f>'PFAS Properties'!$Y$46</f>
        <v>-</v>
      </c>
      <c r="N883" s="33">
        <v>0</v>
      </c>
      <c r="O883" s="33">
        <v>0</v>
      </c>
      <c r="P883" s="33">
        <v>0</v>
      </c>
      <c r="Q883" s="33">
        <f t="shared" si="452"/>
        <v>0.99999108757005073</v>
      </c>
      <c r="R883" s="33">
        <v>0</v>
      </c>
      <c r="S883" s="33">
        <f t="shared" si="453"/>
        <v>8.9124299492218927E-6</v>
      </c>
      <c r="T883" s="8">
        <f t="shared" si="462"/>
        <v>1</v>
      </c>
      <c r="U883" s="33">
        <f t="shared" si="463"/>
        <v>0</v>
      </c>
      <c r="V883" s="33">
        <f t="shared" si="464"/>
        <v>-0.99999108757005073</v>
      </c>
      <c r="W883" s="33">
        <f t="shared" si="465"/>
        <v>498.93740891242987</v>
      </c>
      <c r="X883" s="33">
        <v>96485</v>
      </c>
      <c r="Y883" s="16">
        <f t="shared" si="466"/>
        <v>-193.37924629566231</v>
      </c>
      <c r="Z883" s="16">
        <v>8</v>
      </c>
      <c r="AA883" s="16">
        <v>17</v>
      </c>
      <c r="AB883" s="8">
        <f t="shared" si="467"/>
        <v>0.29721362229102166</v>
      </c>
      <c r="AC883" s="16">
        <f t="shared" si="445"/>
        <v>64.60808893273439</v>
      </c>
      <c r="AD883" s="20">
        <f>'PFAS Properties'!$W$46</f>
        <v>8</v>
      </c>
      <c r="AE883" s="8">
        <f>'PFAS Properties'!$S$46</f>
        <v>2.0166155475571776</v>
      </c>
      <c r="AF883" s="15">
        <f>'PFAS Properties'!$V$46</f>
        <v>5</v>
      </c>
      <c r="AG883" s="24">
        <v>5.15</v>
      </c>
      <c r="AH883" s="2" t="s">
        <v>830</v>
      </c>
      <c r="AI883" s="2" t="s">
        <v>661</v>
      </c>
      <c r="AJ883" s="2" t="s">
        <v>661</v>
      </c>
      <c r="AK883" s="2" t="s">
        <v>661</v>
      </c>
      <c r="AL883" s="2" t="s">
        <v>661</v>
      </c>
      <c r="AM883" s="2" t="s">
        <v>661</v>
      </c>
      <c r="AN883" s="2" t="s">
        <v>661</v>
      </c>
      <c r="AO883" s="2" t="s">
        <v>661</v>
      </c>
      <c r="AP883" s="15">
        <v>0.57999999999999996</v>
      </c>
      <c r="AQ883" s="16" t="s">
        <v>689</v>
      </c>
      <c r="AR883" s="16">
        <v>59.2</v>
      </c>
      <c r="AS883" s="16">
        <v>32.200000000000003</v>
      </c>
      <c r="AT883" s="16">
        <v>8.6</v>
      </c>
      <c r="AU883" s="16" t="s">
        <v>664</v>
      </c>
      <c r="AV883" s="16">
        <f t="shared" si="456"/>
        <v>100</v>
      </c>
      <c r="AW883" s="20">
        <v>1.8</v>
      </c>
      <c r="AX883" s="8">
        <f t="shared" si="470"/>
        <v>1.8000000000000002E-2</v>
      </c>
      <c r="AY883" s="13" t="s">
        <v>342</v>
      </c>
      <c r="AZ883" s="16">
        <f>1/0.01</f>
        <v>100</v>
      </c>
      <c r="BA883" s="16" t="s">
        <v>55</v>
      </c>
      <c r="BB883" s="15">
        <f>5*K883/1000</f>
        <v>2.4996869999999998</v>
      </c>
      <c r="BC883" s="16">
        <f>5000*K883/1000</f>
        <v>2499.6869999999999</v>
      </c>
      <c r="BD883" s="24">
        <f>536.9*AX883</f>
        <v>9.664200000000001</v>
      </c>
      <c r="BE883" s="16">
        <f t="shared" si="444"/>
        <v>536.9</v>
      </c>
      <c r="BF883" s="16">
        <f t="shared" si="468"/>
        <v>2.7298934039632377</v>
      </c>
      <c r="BG883" s="8">
        <f t="shared" si="469"/>
        <v>0.98516590906654389</v>
      </c>
      <c r="BH883" s="13" t="s">
        <v>343</v>
      </c>
      <c r="BI883" s="15"/>
      <c r="BJ883" s="13"/>
      <c r="BK883" s="15"/>
      <c r="BL883" s="16"/>
      <c r="BM883" s="18"/>
      <c r="BN883" s="8"/>
      <c r="BO883" s="24"/>
    </row>
    <row r="884" spans="1:67" s="14" customFormat="1" x14ac:dyDescent="0.3">
      <c r="A884" s="20">
        <v>882</v>
      </c>
      <c r="B884" s="2" t="s">
        <v>206</v>
      </c>
      <c r="C884" s="2">
        <v>2020</v>
      </c>
      <c r="D884" s="2" t="s">
        <v>201</v>
      </c>
      <c r="E884" s="22" t="s">
        <v>793</v>
      </c>
      <c r="F884" s="20" t="s">
        <v>29</v>
      </c>
      <c r="G884" s="2" t="s">
        <v>44</v>
      </c>
      <c r="H884" s="2" t="str">
        <f>'PFAS Properties'!$B$46</f>
        <v>PFOS</v>
      </c>
      <c r="I884" s="2" t="str">
        <f>'PFAS Properties'!$C$46</f>
        <v>PFSA</v>
      </c>
      <c r="J884" s="2" t="str">
        <f>'PFAS Properties'!$D$46</f>
        <v>C8HF17O3S</v>
      </c>
      <c r="K884" s="25">
        <f>'PFAS Properties'!$P$46</f>
        <v>499.93739999999997</v>
      </c>
      <c r="L884" s="2">
        <f>'PFAS Properties'!$X$46</f>
        <v>0.1</v>
      </c>
      <c r="M884" s="2" t="str">
        <f>'PFAS Properties'!$Y$46</f>
        <v>-</v>
      </c>
      <c r="N884" s="33">
        <v>0</v>
      </c>
      <c r="O884" s="33">
        <v>0</v>
      </c>
      <c r="P884" s="33">
        <v>0</v>
      </c>
      <c r="Q884" s="33">
        <f t="shared" si="452"/>
        <v>0.99999998004737722</v>
      </c>
      <c r="R884" s="33">
        <v>0</v>
      </c>
      <c r="S884" s="33">
        <f t="shared" si="453"/>
        <v>1.995262275158161E-8</v>
      </c>
      <c r="T884" s="8">
        <f t="shared" si="462"/>
        <v>1</v>
      </c>
      <c r="U884" s="33">
        <f t="shared" si="463"/>
        <v>0</v>
      </c>
      <c r="V884" s="33">
        <f t="shared" si="464"/>
        <v>-0.99999998004737722</v>
      </c>
      <c r="W884" s="33">
        <f t="shared" si="465"/>
        <v>498.93740001995263</v>
      </c>
      <c r="X884" s="33">
        <v>96485</v>
      </c>
      <c r="Y884" s="16">
        <f t="shared" si="466"/>
        <v>-193.38096937814788</v>
      </c>
      <c r="Z884" s="16">
        <v>8</v>
      </c>
      <c r="AA884" s="16">
        <v>17</v>
      </c>
      <c r="AB884" s="8">
        <f t="shared" si="467"/>
        <v>0.29721362229102166</v>
      </c>
      <c r="AC884" s="16">
        <f t="shared" si="445"/>
        <v>64.60808893273439</v>
      </c>
      <c r="AD884" s="20">
        <f>'PFAS Properties'!$W$46</f>
        <v>8</v>
      </c>
      <c r="AE884" s="8">
        <f>'PFAS Properties'!$S$46</f>
        <v>2.0166155475571776</v>
      </c>
      <c r="AF884" s="15">
        <f>'PFAS Properties'!$V$46</f>
        <v>5</v>
      </c>
      <c r="AG884" s="24">
        <v>7.8</v>
      </c>
      <c r="AH884" s="2" t="s">
        <v>661</v>
      </c>
      <c r="AI884" s="2" t="s">
        <v>661</v>
      </c>
      <c r="AJ884" s="2" t="s">
        <v>661</v>
      </c>
      <c r="AK884" s="2" t="s">
        <v>661</v>
      </c>
      <c r="AL884" s="2" t="s">
        <v>661</v>
      </c>
      <c r="AM884" s="2" t="s">
        <v>661</v>
      </c>
      <c r="AN884" s="2" t="s">
        <v>661</v>
      </c>
      <c r="AO884" s="2" t="s">
        <v>661</v>
      </c>
      <c r="AP884" s="72">
        <v>11.17476666666666</v>
      </c>
      <c r="AQ884" s="70" t="s">
        <v>752</v>
      </c>
      <c r="AR884" s="16">
        <v>47</v>
      </c>
      <c r="AS884" s="16">
        <v>38</v>
      </c>
      <c r="AT884" s="16">
        <v>15</v>
      </c>
      <c r="AU884" s="16" t="s">
        <v>661</v>
      </c>
      <c r="AV884" s="16">
        <f t="shared" si="456"/>
        <v>100</v>
      </c>
      <c r="AW884" s="20">
        <v>1.43</v>
      </c>
      <c r="AX884" s="8">
        <f t="shared" si="470"/>
        <v>1.43E-2</v>
      </c>
      <c r="AY884" s="8" t="s">
        <v>45</v>
      </c>
      <c r="AZ884" s="16">
        <f>5/0.025</f>
        <v>200</v>
      </c>
      <c r="BA884" s="16" t="s">
        <v>55</v>
      </c>
      <c r="BB884" s="16">
        <v>10</v>
      </c>
      <c r="BC884" s="16">
        <v>100</v>
      </c>
      <c r="BD884" s="20">
        <v>25.09</v>
      </c>
      <c r="BE884" s="16">
        <f t="shared" si="444"/>
        <v>1754.5454545454545</v>
      </c>
      <c r="BF884" s="16">
        <f t="shared" si="468"/>
        <v>3.2441646238495485</v>
      </c>
      <c r="BG884" s="8">
        <f t="shared" si="469"/>
        <v>1.3995006613146106</v>
      </c>
      <c r="BH884" s="2" t="s">
        <v>837</v>
      </c>
      <c r="BI884" s="8"/>
      <c r="BJ884" s="13"/>
      <c r="BK884" s="15"/>
      <c r="BL884" s="8"/>
      <c r="BM884" s="18"/>
      <c r="BN884" s="8"/>
      <c r="BO884" s="24"/>
    </row>
    <row r="885" spans="1:67" s="94" customFormat="1" x14ac:dyDescent="0.3">
      <c r="A885" s="83">
        <v>883</v>
      </c>
      <c r="B885" s="84" t="s">
        <v>195</v>
      </c>
      <c r="C885" s="84">
        <v>2018</v>
      </c>
      <c r="D885" s="84" t="s">
        <v>199</v>
      </c>
      <c r="E885" s="85" t="s">
        <v>795</v>
      </c>
      <c r="F885" s="83" t="s">
        <v>29</v>
      </c>
      <c r="G885" s="84" t="s">
        <v>47</v>
      </c>
      <c r="H885" s="84" t="str">
        <f>'PFAS Properties'!$B$46</f>
        <v>PFOS</v>
      </c>
      <c r="I885" s="84" t="str">
        <f>'PFAS Properties'!$C$46</f>
        <v>PFSA</v>
      </c>
      <c r="J885" s="84" t="str">
        <f>'PFAS Properties'!$D$46</f>
        <v>C8HF17O3S</v>
      </c>
      <c r="K885" s="99">
        <f>'PFAS Properties'!$P$46</f>
        <v>499.93739999999997</v>
      </c>
      <c r="L885" s="84">
        <f>'PFAS Properties'!$X$46</f>
        <v>0.1</v>
      </c>
      <c r="M885" s="84" t="str">
        <f>'PFAS Properties'!$Y$46</f>
        <v>-</v>
      </c>
      <c r="N885" s="87">
        <v>0</v>
      </c>
      <c r="O885" s="87">
        <v>0</v>
      </c>
      <c r="P885" s="87">
        <v>0</v>
      </c>
      <c r="Q885" s="87">
        <f t="shared" si="452"/>
        <v>0.99996019086777477</v>
      </c>
      <c r="R885" s="87">
        <v>0</v>
      </c>
      <c r="S885" s="87">
        <f t="shared" si="453"/>
        <v>3.9809132225250393E-5</v>
      </c>
      <c r="T885" s="88">
        <f t="shared" si="462"/>
        <v>1</v>
      </c>
      <c r="U885" s="87">
        <f t="shared" si="463"/>
        <v>0</v>
      </c>
      <c r="V885" s="87">
        <f t="shared" si="464"/>
        <v>-0.99996019086777477</v>
      </c>
      <c r="W885" s="87">
        <f t="shared" si="465"/>
        <v>498.93743980913223</v>
      </c>
      <c r="X885" s="87">
        <v>96485</v>
      </c>
      <c r="Y885" s="89">
        <f t="shared" si="466"/>
        <v>-193.37325948677247</v>
      </c>
      <c r="Z885" s="89">
        <v>8</v>
      </c>
      <c r="AA885" s="89">
        <v>17</v>
      </c>
      <c r="AB885" s="88">
        <f t="shared" si="467"/>
        <v>0.29721362229102166</v>
      </c>
      <c r="AC885" s="89">
        <f t="shared" si="445"/>
        <v>64.60808893273439</v>
      </c>
      <c r="AD885" s="83">
        <f>'PFAS Properties'!$W$46</f>
        <v>8</v>
      </c>
      <c r="AE885" s="88">
        <f>'PFAS Properties'!$S$46</f>
        <v>2.0166155475571776</v>
      </c>
      <c r="AF885" s="90">
        <f>'PFAS Properties'!$V$46</f>
        <v>5</v>
      </c>
      <c r="AG885" s="93">
        <v>4.5</v>
      </c>
      <c r="AH885" s="84" t="s">
        <v>658</v>
      </c>
      <c r="AI885" s="88">
        <f>AJ885*55.845/1000</f>
        <v>5.8637250000000002E-2</v>
      </c>
      <c r="AJ885" s="89">
        <v>1.05</v>
      </c>
      <c r="AK885" s="88">
        <f>AI885/10</f>
        <v>5.8637250000000002E-3</v>
      </c>
      <c r="AL885" s="90">
        <f>AM885*26.98/1000</f>
        <v>0.18454320000000002</v>
      </c>
      <c r="AM885" s="89">
        <v>6.84</v>
      </c>
      <c r="AN885" s="88">
        <f>AL885/10</f>
        <v>1.8454320000000003E-2</v>
      </c>
      <c r="AO885" s="84" t="s">
        <v>48</v>
      </c>
      <c r="AP885" s="92">
        <v>21.496500000000001</v>
      </c>
      <c r="AQ885" s="84" t="s">
        <v>752</v>
      </c>
      <c r="AR885" s="96">
        <v>41.737499999999997</v>
      </c>
      <c r="AS885" s="96">
        <v>35.036999999999999</v>
      </c>
      <c r="AT885" s="96">
        <v>21.971</v>
      </c>
      <c r="AU885" s="84" t="s">
        <v>752</v>
      </c>
      <c r="AV885" s="89">
        <f t="shared" si="456"/>
        <v>98.745499999999993</v>
      </c>
      <c r="AW885" s="83">
        <v>45</v>
      </c>
      <c r="AX885" s="88">
        <f t="shared" si="470"/>
        <v>0.45</v>
      </c>
      <c r="AY885" s="88" t="s">
        <v>49</v>
      </c>
      <c r="AZ885" s="89">
        <f>0.45/0.04</f>
        <v>11.25</v>
      </c>
      <c r="BA885" s="89" t="s">
        <v>55</v>
      </c>
      <c r="BB885" s="88">
        <v>1.25</v>
      </c>
      <c r="BC885" s="88" t="s">
        <v>55</v>
      </c>
      <c r="BD885" s="99">
        <v>14230</v>
      </c>
      <c r="BE885" s="89">
        <f t="shared" si="444"/>
        <v>31622.222222222223</v>
      </c>
      <c r="BF885" s="89">
        <f t="shared" si="468"/>
        <v>4.4999923863089411</v>
      </c>
      <c r="BG885" s="88">
        <f t="shared" si="469"/>
        <v>4.1532049000842841</v>
      </c>
      <c r="BH885" s="84" t="s">
        <v>845</v>
      </c>
      <c r="BI885" s="84"/>
      <c r="BJ885" s="84"/>
      <c r="BK885" s="84"/>
      <c r="BL885" s="84"/>
      <c r="BM885" s="83"/>
      <c r="BN885" s="83"/>
      <c r="BO885" s="84"/>
    </row>
    <row r="886" spans="1:67" s="14" customFormat="1" x14ac:dyDescent="0.3">
      <c r="A886" s="20">
        <v>884</v>
      </c>
      <c r="B886" s="2" t="s">
        <v>195</v>
      </c>
      <c r="C886" s="2">
        <v>2022</v>
      </c>
      <c r="D886" s="2" t="s">
        <v>199</v>
      </c>
      <c r="E886" s="10" t="s">
        <v>798</v>
      </c>
      <c r="F886" s="20" t="s">
        <v>29</v>
      </c>
      <c r="G886" s="2" t="s">
        <v>237</v>
      </c>
      <c r="H886" s="2" t="str">
        <f>'PFAS Properties'!$B$46</f>
        <v>PFOS</v>
      </c>
      <c r="I886" s="2" t="str">
        <f>'PFAS Properties'!$C$46</f>
        <v>PFSA</v>
      </c>
      <c r="J886" s="2" t="str">
        <f>'PFAS Properties'!$D$46</f>
        <v>C8HF17O3S</v>
      </c>
      <c r="K886" s="25">
        <f>'PFAS Properties'!$P$46</f>
        <v>499.93739999999997</v>
      </c>
      <c r="L886" s="2">
        <f>'PFAS Properties'!$X$46</f>
        <v>0.1</v>
      </c>
      <c r="M886" s="2" t="str">
        <f>'PFAS Properties'!$Y$46</f>
        <v>-</v>
      </c>
      <c r="N886" s="33">
        <v>0</v>
      </c>
      <c r="O886" s="33">
        <v>0</v>
      </c>
      <c r="P886" s="33">
        <v>0</v>
      </c>
      <c r="Q886" s="33">
        <f t="shared" si="452"/>
        <v>0.99968387220237043</v>
      </c>
      <c r="R886" s="33">
        <v>0</v>
      </c>
      <c r="S886" s="33">
        <f t="shared" si="453"/>
        <v>3.1612779762961761E-4</v>
      </c>
      <c r="T886" s="8">
        <f t="shared" si="462"/>
        <v>1</v>
      </c>
      <c r="U886" s="33">
        <f t="shared" si="463"/>
        <v>0</v>
      </c>
      <c r="V886" s="33">
        <f t="shared" si="464"/>
        <v>-0.99968387220237043</v>
      </c>
      <c r="W886" s="33">
        <f t="shared" si="465"/>
        <v>498.93771612779767</v>
      </c>
      <c r="X886" s="33">
        <v>96485</v>
      </c>
      <c r="Y886" s="16">
        <f t="shared" si="466"/>
        <v>-193.31971765537943</v>
      </c>
      <c r="Z886" s="16">
        <v>8</v>
      </c>
      <c r="AA886" s="16">
        <v>17</v>
      </c>
      <c r="AB886" s="8">
        <f t="shared" si="467"/>
        <v>0.29721362229102166</v>
      </c>
      <c r="AC886" s="16">
        <f t="shared" si="445"/>
        <v>64.60808893273439</v>
      </c>
      <c r="AD886" s="20">
        <f>'PFAS Properties'!$W$46</f>
        <v>8</v>
      </c>
      <c r="AE886" s="8">
        <f>'PFAS Properties'!$S$46</f>
        <v>2.0166155475571776</v>
      </c>
      <c r="AF886" s="15">
        <f>'PFAS Properties'!$V$46</f>
        <v>5</v>
      </c>
      <c r="AG886" s="24">
        <v>3.6</v>
      </c>
      <c r="AH886" s="2" t="s">
        <v>832</v>
      </c>
      <c r="AI886" s="8">
        <f>(6.8*55.845)/1000</f>
        <v>0.37974599999999997</v>
      </c>
      <c r="AJ886" s="15">
        <f>AI886*1000/55.845</f>
        <v>6.8</v>
      </c>
      <c r="AK886" s="8">
        <f>AI886/10</f>
        <v>3.7974599999999997E-2</v>
      </c>
      <c r="AL886" s="8">
        <f>(4*26.982)/1000</f>
        <v>0.107928</v>
      </c>
      <c r="AM886" s="15">
        <f>AL886*1000/55.845</f>
        <v>1.932634971796938</v>
      </c>
      <c r="AN886" s="8">
        <f>AL886/10</f>
        <v>1.07928E-2</v>
      </c>
      <c r="AO886" s="2" t="s">
        <v>86</v>
      </c>
      <c r="AP886" s="72">
        <v>14.768748</v>
      </c>
      <c r="AQ886" s="70" t="s">
        <v>752</v>
      </c>
      <c r="AR886" s="71">
        <v>37.396533331999997</v>
      </c>
      <c r="AS886" s="71">
        <v>37.430266667999987</v>
      </c>
      <c r="AT886" s="71">
        <v>24.989000000000001</v>
      </c>
      <c r="AU886" s="70" t="s">
        <v>752</v>
      </c>
      <c r="AV886" s="16">
        <f t="shared" ref="AV886:AV888" si="471">SUM(AR886:AT886)</f>
        <v>99.815799999999996</v>
      </c>
      <c r="AW886" s="20">
        <v>44.9</v>
      </c>
      <c r="AX886" s="8">
        <f t="shared" si="470"/>
        <v>0.44900000000000001</v>
      </c>
      <c r="AY886" s="8" t="s">
        <v>240</v>
      </c>
      <c r="AZ886" s="16">
        <f t="shared" ref="AZ886:AZ888" si="472">0.75/0.03</f>
        <v>25</v>
      </c>
      <c r="BA886" s="16" t="s">
        <v>55</v>
      </c>
      <c r="BB886" s="16">
        <f>54*K886/1000</f>
        <v>26.996619599999999</v>
      </c>
      <c r="BC886" s="16" t="s">
        <v>55</v>
      </c>
      <c r="BD886" s="25">
        <f>(10^(3.04)*AX886)</f>
        <v>492.31871006829067</v>
      </c>
      <c r="BE886" s="16">
        <f t="shared" si="444"/>
        <v>1096.4781961431863</v>
      </c>
      <c r="BF886" s="16">
        <f t="shared" si="468"/>
        <v>3.0400000000000005</v>
      </c>
      <c r="BG886" s="8">
        <f t="shared" ref="BG886:BG891" si="473">LOG(BD886)</f>
        <v>2.6922463410033237</v>
      </c>
      <c r="BH886" s="2" t="s">
        <v>824</v>
      </c>
      <c r="BI886" s="16"/>
      <c r="BJ886" s="13"/>
      <c r="BK886" s="13"/>
      <c r="BL886" s="8"/>
      <c r="BM886" s="18"/>
      <c r="BN886" s="8"/>
      <c r="BO886" s="24"/>
    </row>
    <row r="887" spans="1:67" s="14" customFormat="1" x14ac:dyDescent="0.3">
      <c r="A887" s="20">
        <v>885</v>
      </c>
      <c r="B887" s="2" t="s">
        <v>195</v>
      </c>
      <c r="C887" s="2">
        <v>2022</v>
      </c>
      <c r="D887" s="2" t="s">
        <v>199</v>
      </c>
      <c r="E887" s="22" t="s">
        <v>798</v>
      </c>
      <c r="F887" s="20" t="s">
        <v>29</v>
      </c>
      <c r="G887" s="2" t="s">
        <v>238</v>
      </c>
      <c r="H887" s="2" t="str">
        <f>'PFAS Properties'!$B$46</f>
        <v>PFOS</v>
      </c>
      <c r="I887" s="2" t="str">
        <f>'PFAS Properties'!$C$46</f>
        <v>PFSA</v>
      </c>
      <c r="J887" s="2" t="str">
        <f>'PFAS Properties'!$D$46</f>
        <v>C8HF17O3S</v>
      </c>
      <c r="K887" s="25">
        <f>'PFAS Properties'!$P$46</f>
        <v>499.93739999999997</v>
      </c>
      <c r="L887" s="2">
        <f>'PFAS Properties'!$X$46</f>
        <v>0.1</v>
      </c>
      <c r="M887" s="2" t="str">
        <f>'PFAS Properties'!$Y$46</f>
        <v>-</v>
      </c>
      <c r="N887" s="33">
        <v>0</v>
      </c>
      <c r="O887" s="33">
        <v>0</v>
      </c>
      <c r="P887" s="33">
        <v>0</v>
      </c>
      <c r="Q887" s="33">
        <f t="shared" si="452"/>
        <v>0.99990000999900008</v>
      </c>
      <c r="R887" s="33">
        <v>0</v>
      </c>
      <c r="S887" s="33">
        <f t="shared" si="453"/>
        <v>9.9990000999900097E-5</v>
      </c>
      <c r="T887" s="8">
        <f t="shared" si="462"/>
        <v>1</v>
      </c>
      <c r="U887" s="33">
        <f t="shared" si="463"/>
        <v>0</v>
      </c>
      <c r="V887" s="33">
        <f t="shared" si="464"/>
        <v>-0.99990000999900008</v>
      </c>
      <c r="W887" s="33">
        <f t="shared" si="465"/>
        <v>498.93749999000096</v>
      </c>
      <c r="X887" s="33">
        <v>96485</v>
      </c>
      <c r="Y887" s="16">
        <f t="shared" si="466"/>
        <v>-193.3615983298248</v>
      </c>
      <c r="Z887" s="16">
        <v>8</v>
      </c>
      <c r="AA887" s="16">
        <v>17</v>
      </c>
      <c r="AB887" s="8">
        <f t="shared" si="467"/>
        <v>0.29721362229102166</v>
      </c>
      <c r="AC887" s="16">
        <f t="shared" si="445"/>
        <v>64.60808893273439</v>
      </c>
      <c r="AD887" s="20">
        <f>'PFAS Properties'!$W$46</f>
        <v>8</v>
      </c>
      <c r="AE887" s="8">
        <f>'PFAS Properties'!$S$46</f>
        <v>2.0166155475571776</v>
      </c>
      <c r="AF887" s="15">
        <f>'PFAS Properties'!$V$46</f>
        <v>5</v>
      </c>
      <c r="AG887" s="24">
        <v>4.0999999999999996</v>
      </c>
      <c r="AH887" s="2" t="s">
        <v>832</v>
      </c>
      <c r="AI887" s="8">
        <f>(28*55.845)/1000</f>
        <v>1.5636599999999998</v>
      </c>
      <c r="AJ887" s="15">
        <f>AI887*1000/55.845</f>
        <v>27.999999999999996</v>
      </c>
      <c r="AK887" s="8">
        <f>AI887/10</f>
        <v>0.15636599999999998</v>
      </c>
      <c r="AL887" s="8">
        <f>(17*26.982)/1000</f>
        <v>0.45869399999999994</v>
      </c>
      <c r="AM887" s="15">
        <f>AL887*1000/55.845</f>
        <v>8.2136986301369852</v>
      </c>
      <c r="AN887" s="8">
        <f>AL887/10</f>
        <v>4.5869399999999991E-2</v>
      </c>
      <c r="AO887" s="2" t="s">
        <v>86</v>
      </c>
      <c r="AP887" s="72">
        <v>14.715147999999999</v>
      </c>
      <c r="AQ887" s="70" t="s">
        <v>752</v>
      </c>
      <c r="AR887" s="71">
        <v>37.490533331999998</v>
      </c>
      <c r="AS887" s="71">
        <v>37.393866668000001</v>
      </c>
      <c r="AT887" s="71">
        <v>24.9392</v>
      </c>
      <c r="AU887" s="70" t="s">
        <v>752</v>
      </c>
      <c r="AV887" s="16">
        <f t="shared" si="471"/>
        <v>99.823599999999999</v>
      </c>
      <c r="AW887" s="20">
        <v>46.6</v>
      </c>
      <c r="AX887" s="8">
        <f t="shared" si="470"/>
        <v>0.46600000000000003</v>
      </c>
      <c r="AY887" s="8" t="s">
        <v>240</v>
      </c>
      <c r="AZ887" s="16">
        <f t="shared" si="472"/>
        <v>25</v>
      </c>
      <c r="BA887" s="16" t="s">
        <v>55</v>
      </c>
      <c r="BB887" s="16">
        <f>54*K887/1000</f>
        <v>26.996619599999999</v>
      </c>
      <c r="BC887" s="16" t="s">
        <v>55</v>
      </c>
      <c r="BD887" s="25">
        <f>(10^(3.01)*AX887)</f>
        <v>476.85453440283169</v>
      </c>
      <c r="BE887" s="16">
        <f t="shared" si="444"/>
        <v>1023.2929922807547</v>
      </c>
      <c r="BF887" s="16">
        <f t="shared" si="468"/>
        <v>3.0100000000000002</v>
      </c>
      <c r="BG887" s="8">
        <f t="shared" si="473"/>
        <v>2.6783859166900004</v>
      </c>
      <c r="BH887" s="2" t="s">
        <v>824</v>
      </c>
      <c r="BI887" s="2"/>
      <c r="BJ887" s="2"/>
      <c r="BK887" s="2"/>
      <c r="BL887" s="2"/>
      <c r="BM887" s="20"/>
      <c r="BN887" s="20"/>
      <c r="BO887" s="2"/>
    </row>
    <row r="888" spans="1:67" s="14" customFormat="1" x14ac:dyDescent="0.3">
      <c r="A888" s="20">
        <v>886</v>
      </c>
      <c r="B888" s="2" t="s">
        <v>195</v>
      </c>
      <c r="C888" s="2">
        <v>2022</v>
      </c>
      <c r="D888" s="2" t="s">
        <v>199</v>
      </c>
      <c r="E888" s="10" t="s">
        <v>798</v>
      </c>
      <c r="F888" s="20" t="s">
        <v>29</v>
      </c>
      <c r="G888" s="2" t="s">
        <v>239</v>
      </c>
      <c r="H888" s="2" t="str">
        <f>'PFAS Properties'!$B$46</f>
        <v>PFOS</v>
      </c>
      <c r="I888" s="2" t="str">
        <f>'PFAS Properties'!$C$46</f>
        <v>PFSA</v>
      </c>
      <c r="J888" s="2" t="str">
        <f>'PFAS Properties'!$D$46</f>
        <v>C8HF17O3S</v>
      </c>
      <c r="K888" s="25">
        <f>'PFAS Properties'!$P$46</f>
        <v>499.93739999999997</v>
      </c>
      <c r="L888" s="2">
        <f>'PFAS Properties'!$X$46</f>
        <v>0.1</v>
      </c>
      <c r="M888" s="2" t="str">
        <f>'PFAS Properties'!$Y$46</f>
        <v>-</v>
      </c>
      <c r="N888" s="33">
        <v>0</v>
      </c>
      <c r="O888" s="33">
        <v>0</v>
      </c>
      <c r="P888" s="33">
        <v>0</v>
      </c>
      <c r="Q888" s="33">
        <f t="shared" si="452"/>
        <v>0.99987412330575753</v>
      </c>
      <c r="R888" s="33">
        <v>0</v>
      </c>
      <c r="S888" s="33">
        <f t="shared" si="453"/>
        <v>1.2587669424250327E-4</v>
      </c>
      <c r="T888" s="8">
        <f t="shared" si="462"/>
        <v>1</v>
      </c>
      <c r="U888" s="33">
        <f t="shared" si="463"/>
        <v>0</v>
      </c>
      <c r="V888" s="33">
        <f t="shared" si="464"/>
        <v>-0.99987412330575753</v>
      </c>
      <c r="W888" s="33">
        <f t="shared" si="465"/>
        <v>498.93752587669422</v>
      </c>
      <c r="X888" s="33">
        <v>96485</v>
      </c>
      <c r="Y888" s="16">
        <f t="shared" si="466"/>
        <v>-193.35658230485154</v>
      </c>
      <c r="Z888" s="16">
        <v>8</v>
      </c>
      <c r="AA888" s="16">
        <v>17</v>
      </c>
      <c r="AB888" s="8">
        <f t="shared" si="467"/>
        <v>0.29721362229102166</v>
      </c>
      <c r="AC888" s="16">
        <f t="shared" si="445"/>
        <v>64.60808893273439</v>
      </c>
      <c r="AD888" s="20">
        <f>'PFAS Properties'!$W$46</f>
        <v>8</v>
      </c>
      <c r="AE888" s="8">
        <f>'PFAS Properties'!$S$46</f>
        <v>2.0166155475571776</v>
      </c>
      <c r="AF888" s="15">
        <f>'PFAS Properties'!$V$46</f>
        <v>5</v>
      </c>
      <c r="AG888" s="24">
        <v>4</v>
      </c>
      <c r="AH888" s="2" t="s">
        <v>832</v>
      </c>
      <c r="AI888" s="8">
        <f>(5*55.845)/1000</f>
        <v>0.279225</v>
      </c>
      <c r="AJ888" s="15">
        <f>AI888*1000/55.845</f>
        <v>5.0000000000000009</v>
      </c>
      <c r="AK888" s="8">
        <f>AI888/10</f>
        <v>2.7922499999999999E-2</v>
      </c>
      <c r="AL888" s="8">
        <f>(15*26.982)/1000</f>
        <v>0.40473000000000003</v>
      </c>
      <c r="AM888" s="15">
        <f>AL888*1000/55.845</f>
        <v>7.2473811442385179</v>
      </c>
      <c r="AN888" s="8">
        <f>AL888/10</f>
        <v>4.0473000000000002E-2</v>
      </c>
      <c r="AO888" s="2" t="s">
        <v>86</v>
      </c>
      <c r="AP888" s="72">
        <v>14.763688</v>
      </c>
      <c r="AQ888" s="70" t="s">
        <v>752</v>
      </c>
      <c r="AR888" s="71">
        <v>37.414333332000012</v>
      </c>
      <c r="AS888" s="71">
        <v>37.430866668</v>
      </c>
      <c r="AT888" s="71">
        <v>24.970400000000001</v>
      </c>
      <c r="AU888" s="70" t="s">
        <v>752</v>
      </c>
      <c r="AV888" s="16">
        <f t="shared" si="471"/>
        <v>99.815600000000003</v>
      </c>
      <c r="AW888" s="20">
        <v>53.6</v>
      </c>
      <c r="AX888" s="8">
        <f t="shared" si="470"/>
        <v>0.53600000000000003</v>
      </c>
      <c r="AY888" s="8" t="s">
        <v>240</v>
      </c>
      <c r="AZ888" s="16">
        <f t="shared" si="472"/>
        <v>25</v>
      </c>
      <c r="BA888" s="16" t="s">
        <v>55</v>
      </c>
      <c r="BB888" s="16">
        <f>54*K888/1000</f>
        <v>26.996619599999999</v>
      </c>
      <c r="BC888" s="16" t="s">
        <v>55</v>
      </c>
      <c r="BD888" s="25">
        <f>(10^(2.82)*AX888)</f>
        <v>354.1316881320717</v>
      </c>
      <c r="BE888" s="16">
        <f t="shared" si="444"/>
        <v>660.69344800759643</v>
      </c>
      <c r="BF888" s="16">
        <f t="shared" si="468"/>
        <v>2.8200000000000003</v>
      </c>
      <c r="BG888" s="8">
        <f t="shared" si="473"/>
        <v>2.5491647896927705</v>
      </c>
      <c r="BH888" s="2" t="s">
        <v>824</v>
      </c>
      <c r="BI888" s="16"/>
      <c r="BJ888" s="13"/>
      <c r="BK888" s="13"/>
      <c r="BL888" s="8"/>
      <c r="BM888" s="18"/>
      <c r="BN888" s="8"/>
      <c r="BO888" s="25"/>
    </row>
    <row r="889" spans="1:67" s="14" customFormat="1" x14ac:dyDescent="0.3">
      <c r="A889" s="20">
        <v>887</v>
      </c>
      <c r="B889" s="2" t="s">
        <v>242</v>
      </c>
      <c r="C889" s="2">
        <v>2018</v>
      </c>
      <c r="D889" s="2" t="s">
        <v>243</v>
      </c>
      <c r="E889" s="22" t="s">
        <v>788</v>
      </c>
      <c r="F889" s="20" t="s">
        <v>29</v>
      </c>
      <c r="G889" s="2" t="s">
        <v>129</v>
      </c>
      <c r="H889" s="2" t="str">
        <f>'PFAS Properties'!$B$46</f>
        <v>PFOS</v>
      </c>
      <c r="I889" s="2" t="str">
        <f>'PFAS Properties'!$C$46</f>
        <v>PFSA</v>
      </c>
      <c r="J889" s="2" t="str">
        <f>'PFAS Properties'!$D$46</f>
        <v>C8HF17O3S</v>
      </c>
      <c r="K889" s="25">
        <f>'PFAS Properties'!$P$46</f>
        <v>499.93739999999997</v>
      </c>
      <c r="L889" s="2">
        <f>'PFAS Properties'!$X$46</f>
        <v>0.1</v>
      </c>
      <c r="M889" s="2" t="str">
        <f>'PFAS Properties'!$Y$46</f>
        <v>-</v>
      </c>
      <c r="N889" s="33">
        <v>0</v>
      </c>
      <c r="O889" s="33">
        <v>0</v>
      </c>
      <c r="P889" s="33">
        <v>0</v>
      </c>
      <c r="Q889" s="33">
        <f t="shared" si="452"/>
        <v>0.99999572241998291</v>
      </c>
      <c r="R889" s="33">
        <v>0</v>
      </c>
      <c r="S889" s="33">
        <f t="shared" si="453"/>
        <v>4.2775800170513007E-6</v>
      </c>
      <c r="T889" s="8">
        <f t="shared" si="462"/>
        <v>1</v>
      </c>
      <c r="U889" s="33">
        <f t="shared" si="463"/>
        <v>0</v>
      </c>
      <c r="V889" s="33">
        <f t="shared" si="464"/>
        <v>-0.99999572241998291</v>
      </c>
      <c r="W889" s="33">
        <f t="shared" si="465"/>
        <v>498.93740427757996</v>
      </c>
      <c r="X889" s="33">
        <v>96485</v>
      </c>
      <c r="Y889" s="16">
        <f t="shared" si="466"/>
        <v>-193.38014438383055</v>
      </c>
      <c r="Z889" s="16">
        <v>8</v>
      </c>
      <c r="AA889" s="16">
        <v>17</v>
      </c>
      <c r="AB889" s="8">
        <f t="shared" si="467"/>
        <v>0.29721362229102166</v>
      </c>
      <c r="AC889" s="16">
        <f t="shared" si="445"/>
        <v>64.60808893273439</v>
      </c>
      <c r="AD889" s="20">
        <f>'PFAS Properties'!$W$46</f>
        <v>8</v>
      </c>
      <c r="AE889" s="8">
        <f>'PFAS Properties'!$S$46</f>
        <v>2.0166155475571776</v>
      </c>
      <c r="AF889" s="15">
        <f>'PFAS Properties'!$V$46</f>
        <v>5</v>
      </c>
      <c r="AG889" s="124">
        <v>5.4687999999999999</v>
      </c>
      <c r="AH889" s="70" t="s">
        <v>752</v>
      </c>
      <c r="AI889" s="2" t="s">
        <v>661</v>
      </c>
      <c r="AJ889" s="15" t="s">
        <v>661</v>
      </c>
      <c r="AK889" s="8" t="s">
        <v>661</v>
      </c>
      <c r="AL889" s="2" t="s">
        <v>661</v>
      </c>
      <c r="AM889" s="15" t="s">
        <v>661</v>
      </c>
      <c r="AN889" s="8" t="s">
        <v>661</v>
      </c>
      <c r="AO889" s="15" t="s">
        <v>661</v>
      </c>
      <c r="AP889" s="72">
        <v>21.5806</v>
      </c>
      <c r="AQ889" s="70" t="s">
        <v>752</v>
      </c>
      <c r="AR889" s="71">
        <v>41.737499999999997</v>
      </c>
      <c r="AS889" s="71">
        <v>35.036999999999999</v>
      </c>
      <c r="AT889" s="71">
        <v>21.887</v>
      </c>
      <c r="AU889" s="70" t="s">
        <v>752</v>
      </c>
      <c r="AV889" s="16">
        <f>SUM(AR889:AT889)</f>
        <v>98.66149999999999</v>
      </c>
      <c r="AW889" s="20">
        <v>46.9</v>
      </c>
      <c r="AX889" s="8">
        <f t="shared" si="470"/>
        <v>0.46899999999999997</v>
      </c>
      <c r="AY889" s="13" t="s">
        <v>344</v>
      </c>
      <c r="AZ889" s="15">
        <f>0.01/0.05</f>
        <v>0.19999999999999998</v>
      </c>
      <c r="BA889" s="16" t="s">
        <v>55</v>
      </c>
      <c r="BB889" s="15">
        <v>2</v>
      </c>
      <c r="BC889" s="16">
        <v>3500</v>
      </c>
      <c r="BD889" s="25">
        <f>10^2.51</f>
        <v>323.59365692962825</v>
      </c>
      <c r="BE889" s="16">
        <f t="shared" si="444"/>
        <v>689.96515336807738</v>
      </c>
      <c r="BF889" s="16">
        <f t="shared" si="468"/>
        <v>2.8388271572849169</v>
      </c>
      <c r="BG889" s="8">
        <f t="shared" si="473"/>
        <v>2.5099999999999998</v>
      </c>
      <c r="BH889" s="13" t="s">
        <v>346</v>
      </c>
      <c r="BI889" s="8"/>
      <c r="BJ889" s="13"/>
      <c r="BK889" s="15"/>
      <c r="BL889" s="16"/>
      <c r="BM889" s="18"/>
      <c r="BN889" s="8"/>
      <c r="BO889" s="24"/>
    </row>
    <row r="890" spans="1:67" s="14" customFormat="1" x14ac:dyDescent="0.3">
      <c r="A890" s="20">
        <v>888</v>
      </c>
      <c r="B890" s="2" t="s">
        <v>214</v>
      </c>
      <c r="C890" s="2">
        <v>2022</v>
      </c>
      <c r="D890" s="2" t="s">
        <v>201</v>
      </c>
      <c r="E890" s="10" t="s">
        <v>808</v>
      </c>
      <c r="F890" s="20" t="s">
        <v>29</v>
      </c>
      <c r="G890" s="2" t="s">
        <v>215</v>
      </c>
      <c r="H890" s="2" t="str">
        <f>'PFAS Properties'!$B$46</f>
        <v>PFOS</v>
      </c>
      <c r="I890" s="2" t="str">
        <f>'PFAS Properties'!$C$46</f>
        <v>PFSA</v>
      </c>
      <c r="J890" s="2" t="str">
        <f>'PFAS Properties'!$D$46</f>
        <v>C8HF17O3S</v>
      </c>
      <c r="K890" s="25">
        <f>'PFAS Properties'!$P$46</f>
        <v>499.93739999999997</v>
      </c>
      <c r="L890" s="2">
        <f>'PFAS Properties'!$X$46</f>
        <v>0.1</v>
      </c>
      <c r="M890" s="2" t="str">
        <f>'PFAS Properties'!$Y$46</f>
        <v>-</v>
      </c>
      <c r="N890" s="33">
        <v>0</v>
      </c>
      <c r="O890" s="33">
        <v>0</v>
      </c>
      <c r="P890" s="33">
        <v>0</v>
      </c>
      <c r="Q890" s="33">
        <f t="shared" si="452"/>
        <v>0.99998004777494953</v>
      </c>
      <c r="R890" s="33">
        <v>0</v>
      </c>
      <c r="S890" s="33">
        <f t="shared" si="453"/>
        <v>1.9952225050461341E-5</v>
      </c>
      <c r="T890" s="8">
        <f t="shared" si="462"/>
        <v>1</v>
      </c>
      <c r="U890" s="33">
        <f t="shared" si="463"/>
        <v>0</v>
      </c>
      <c r="V890" s="33">
        <f t="shared" si="464"/>
        <v>-0.99998004777494953</v>
      </c>
      <c r="W890" s="33">
        <f t="shared" si="465"/>
        <v>498.93741995222501</v>
      </c>
      <c r="X890" s="33">
        <v>96485</v>
      </c>
      <c r="Y890" s="16">
        <f t="shared" si="466"/>
        <v>-193.37710713059886</v>
      </c>
      <c r="Z890" s="16">
        <v>8</v>
      </c>
      <c r="AA890" s="16">
        <v>17</v>
      </c>
      <c r="AB890" s="8">
        <f t="shared" si="467"/>
        <v>0.29721362229102166</v>
      </c>
      <c r="AC890" s="16">
        <f t="shared" si="445"/>
        <v>64.60808893273439</v>
      </c>
      <c r="AD890" s="20">
        <f>'PFAS Properties'!$W$46</f>
        <v>8</v>
      </c>
      <c r="AE890" s="8">
        <f>'PFAS Properties'!$S$46</f>
        <v>2.0166155475571776</v>
      </c>
      <c r="AF890" s="15">
        <f>'PFAS Properties'!$V$46</f>
        <v>5</v>
      </c>
      <c r="AG890" s="24">
        <v>4.8</v>
      </c>
      <c r="AH890" s="2" t="s">
        <v>216</v>
      </c>
      <c r="AI890" s="2">
        <v>8.3000000000000007</v>
      </c>
      <c r="AJ890" s="15">
        <f>AI890*1000/55.845</f>
        <v>148.62566030978601</v>
      </c>
      <c r="AK890" s="15">
        <f>AI890/10</f>
        <v>0.83000000000000007</v>
      </c>
      <c r="AL890" s="15">
        <v>7.85</v>
      </c>
      <c r="AM890" s="15">
        <f>AL890*1000/26.98</f>
        <v>290.95626389918459</v>
      </c>
      <c r="AN890" s="15">
        <f>AL890/10</f>
        <v>0.78499999999999992</v>
      </c>
      <c r="AO890" s="15" t="s">
        <v>217</v>
      </c>
      <c r="AP890" s="72">
        <v>15.34083666666667</v>
      </c>
      <c r="AQ890" s="70" t="s">
        <v>752</v>
      </c>
      <c r="AR890" s="16">
        <v>32</v>
      </c>
      <c r="AS890" s="16">
        <v>40</v>
      </c>
      <c r="AT890" s="16">
        <v>28</v>
      </c>
      <c r="AU890" s="2" t="s">
        <v>661</v>
      </c>
      <c r="AV890" s="16">
        <f>SUM(AR890:AT890)</f>
        <v>100</v>
      </c>
      <c r="AW890" s="20">
        <v>4.9000000000000004</v>
      </c>
      <c r="AX890" s="8">
        <f t="shared" si="470"/>
        <v>4.9000000000000002E-2</v>
      </c>
      <c r="AY890" s="8" t="s">
        <v>218</v>
      </c>
      <c r="AZ890" s="16">
        <f>1.5/0.075</f>
        <v>20</v>
      </c>
      <c r="BA890" s="16" t="s">
        <v>55</v>
      </c>
      <c r="BB890" s="16">
        <v>10</v>
      </c>
      <c r="BC890" s="16" t="s">
        <v>55</v>
      </c>
      <c r="BD890" s="20">
        <v>11.11</v>
      </c>
      <c r="BE890" s="16">
        <f t="shared" si="444"/>
        <v>226.734693877551</v>
      </c>
      <c r="BF890" s="16">
        <f t="shared" si="468"/>
        <v>2.3555179789123537</v>
      </c>
      <c r="BG890" s="8">
        <f t="shared" si="473"/>
        <v>1.0457140589408676</v>
      </c>
      <c r="BH890" s="2" t="s">
        <v>374</v>
      </c>
      <c r="BI890" s="2"/>
      <c r="BJ890" s="2"/>
      <c r="BK890" s="2"/>
      <c r="BL890" s="2"/>
      <c r="BM890" s="20"/>
      <c r="BN890" s="20"/>
      <c r="BO890" s="2"/>
    </row>
    <row r="891" spans="1:67" s="14" customFormat="1" x14ac:dyDescent="0.3">
      <c r="A891" s="20">
        <v>889</v>
      </c>
      <c r="B891" s="2" t="s">
        <v>214</v>
      </c>
      <c r="C891" s="2">
        <v>2022</v>
      </c>
      <c r="D891" s="2" t="s">
        <v>201</v>
      </c>
      <c r="E891" s="10" t="s">
        <v>808</v>
      </c>
      <c r="F891" s="20" t="s">
        <v>29</v>
      </c>
      <c r="G891" s="2" t="s">
        <v>233</v>
      </c>
      <c r="H891" s="2" t="str">
        <f>'PFAS Properties'!$B$46</f>
        <v>PFOS</v>
      </c>
      <c r="I891" s="2" t="str">
        <f>'PFAS Properties'!$C$46</f>
        <v>PFSA</v>
      </c>
      <c r="J891" s="2" t="str">
        <f>'PFAS Properties'!$D$46</f>
        <v>C8HF17O3S</v>
      </c>
      <c r="K891" s="25">
        <f>'PFAS Properties'!$P$46</f>
        <v>499.93739999999997</v>
      </c>
      <c r="L891" s="2">
        <f>'PFAS Properties'!$X$46</f>
        <v>0.1</v>
      </c>
      <c r="M891" s="2" t="str">
        <f>'PFAS Properties'!$Y$46</f>
        <v>-</v>
      </c>
      <c r="N891" s="33">
        <v>0</v>
      </c>
      <c r="O891" s="33">
        <v>0</v>
      </c>
      <c r="P891" s="33">
        <v>0</v>
      </c>
      <c r="Q891" s="33">
        <f t="shared" si="452"/>
        <v>0.99999841510931942</v>
      </c>
      <c r="R891" s="33">
        <v>0</v>
      </c>
      <c r="S891" s="33">
        <f t="shared" si="453"/>
        <v>1.5848906805786579E-6</v>
      </c>
      <c r="T891" s="8">
        <f t="shared" si="462"/>
        <v>1</v>
      </c>
      <c r="U891" s="33">
        <f t="shared" si="463"/>
        <v>0</v>
      </c>
      <c r="V891" s="33">
        <f t="shared" si="464"/>
        <v>-0.99999841510931942</v>
      </c>
      <c r="W891" s="33">
        <f t="shared" si="465"/>
        <v>498.93740158489061</v>
      </c>
      <c r="X891" s="33">
        <v>96485</v>
      </c>
      <c r="Y891" s="16">
        <f t="shared" si="466"/>
        <v>-193.38066614235672</v>
      </c>
      <c r="Z891" s="16">
        <v>8</v>
      </c>
      <c r="AA891" s="16">
        <v>17</v>
      </c>
      <c r="AB891" s="8">
        <f t="shared" si="467"/>
        <v>0.29721362229102166</v>
      </c>
      <c r="AC891" s="16">
        <f t="shared" si="445"/>
        <v>64.60808893273439</v>
      </c>
      <c r="AD891" s="20">
        <f>'PFAS Properties'!$W$46</f>
        <v>8</v>
      </c>
      <c r="AE891" s="8">
        <f>'PFAS Properties'!$S$46</f>
        <v>2.0166155475571776</v>
      </c>
      <c r="AF891" s="15">
        <f>'PFAS Properties'!$V$46</f>
        <v>5</v>
      </c>
      <c r="AG891" s="24">
        <v>5.9</v>
      </c>
      <c r="AH891" s="2" t="s">
        <v>216</v>
      </c>
      <c r="AI891" s="2">
        <v>1.4</v>
      </c>
      <c r="AJ891" s="15">
        <f>AI891*1000/55.845</f>
        <v>25.069388485988004</v>
      </c>
      <c r="AK891" s="15">
        <f>AI891/10</f>
        <v>0.13999999999999999</v>
      </c>
      <c r="AL891" s="15">
        <v>0.92</v>
      </c>
      <c r="AM891" s="15">
        <f>AL891*1000/26.98</f>
        <v>34.099332839140104</v>
      </c>
      <c r="AN891" s="15">
        <f>AL891/10</f>
        <v>9.1999999999999998E-2</v>
      </c>
      <c r="AO891" s="15" t="s">
        <v>217</v>
      </c>
      <c r="AP891" s="72">
        <v>15.34083666666667</v>
      </c>
      <c r="AQ891" s="70" t="s">
        <v>752</v>
      </c>
      <c r="AR891" s="16">
        <v>37</v>
      </c>
      <c r="AS891" s="16">
        <v>22</v>
      </c>
      <c r="AT891" s="16">
        <v>41</v>
      </c>
      <c r="AU891" s="2" t="s">
        <v>661</v>
      </c>
      <c r="AV891" s="16">
        <f>SUM(AR891:AT891)</f>
        <v>100</v>
      </c>
      <c r="AW891" s="20">
        <v>2.6</v>
      </c>
      <c r="AX891" s="8">
        <f t="shared" si="470"/>
        <v>2.6000000000000002E-2</v>
      </c>
      <c r="AY891" s="8" t="s">
        <v>218</v>
      </c>
      <c r="AZ891" s="16">
        <f>1.5/0.075</f>
        <v>20</v>
      </c>
      <c r="BA891" s="16" t="s">
        <v>55</v>
      </c>
      <c r="BB891" s="16">
        <v>10</v>
      </c>
      <c r="BC891" s="16" t="s">
        <v>55</v>
      </c>
      <c r="BD891" s="20">
        <v>10.85</v>
      </c>
      <c r="BE891" s="16">
        <f t="shared" si="444"/>
        <v>417.30769230769226</v>
      </c>
      <c r="BF891" s="16">
        <f t="shared" si="468"/>
        <v>2.6204563902137301</v>
      </c>
      <c r="BG891" s="8">
        <f t="shared" si="473"/>
        <v>1.0354297381845483</v>
      </c>
      <c r="BH891" s="2" t="s">
        <v>374</v>
      </c>
      <c r="BI891" s="2"/>
      <c r="BJ891" s="2"/>
      <c r="BK891" s="2"/>
      <c r="BL891" s="2"/>
      <c r="BM891" s="20"/>
      <c r="BN891" s="20"/>
      <c r="BO891" s="2"/>
    </row>
    <row r="892" spans="1:67" s="2" customFormat="1" x14ac:dyDescent="0.3">
      <c r="A892" s="20">
        <v>890</v>
      </c>
      <c r="B892" s="2" t="s">
        <v>720</v>
      </c>
      <c r="C892" s="2">
        <v>2019</v>
      </c>
      <c r="D892" s="2" t="s">
        <v>201</v>
      </c>
      <c r="E892" s="10" t="s">
        <v>797</v>
      </c>
      <c r="F892" s="20" t="s">
        <v>29</v>
      </c>
      <c r="G892" s="2" t="s">
        <v>713</v>
      </c>
      <c r="H892" s="2" t="str">
        <f>'PFAS Properties'!$B$46</f>
        <v>PFOS</v>
      </c>
      <c r="I892" s="2" t="str">
        <f>'PFAS Properties'!$C$46</f>
        <v>PFSA</v>
      </c>
      <c r="J892" s="2" t="str">
        <f>'PFAS Properties'!$D$46</f>
        <v>C8HF17O3S</v>
      </c>
      <c r="K892" s="25">
        <f>'PFAS Properties'!$P$46</f>
        <v>499.93739999999997</v>
      </c>
      <c r="L892" s="2">
        <f>'PFAS Properties'!$X$46</f>
        <v>0.1</v>
      </c>
      <c r="M892" s="2" t="str">
        <f>'PFAS Properties'!$Y$46</f>
        <v>-</v>
      </c>
      <c r="N892" s="33">
        <v>0</v>
      </c>
      <c r="O892" s="33">
        <v>0</v>
      </c>
      <c r="P892" s="33">
        <v>0</v>
      </c>
      <c r="Q892" s="33">
        <f t="shared" si="452"/>
        <v>0.99999690971411737</v>
      </c>
      <c r="R892" s="33">
        <v>0</v>
      </c>
      <c r="S892" s="33">
        <f t="shared" si="453"/>
        <v>3.0902858826172347E-6</v>
      </c>
      <c r="T892" s="8">
        <f t="shared" ref="T892:T897" si="474">SUM(N892:S892)</f>
        <v>1</v>
      </c>
      <c r="U892" s="33">
        <f t="shared" ref="U892:U897" si="475">((1*N892)+(1*O892)+(1*P892))</f>
        <v>0</v>
      </c>
      <c r="V892" s="33">
        <f t="shared" ref="V892:V897" si="476">-((1*O892)+(2*P892)+(1*Q892)+(2*R892))</f>
        <v>-0.99999690971411737</v>
      </c>
      <c r="W892" s="33">
        <f t="shared" ref="W892:W897" si="477">(N892*(K892+1))+(O892*K892)+(P892*(K892-1))+(Q892*(K892-1))+(R892*(K892-2))+(S892*K892)</f>
        <v>498.93740309028584</v>
      </c>
      <c r="X892" s="33">
        <v>96485</v>
      </c>
      <c r="Y892" s="16">
        <f t="shared" ref="Y892:Y897" si="478">((V892+U892)/W892)*X892</f>
        <v>-193.38037444410057</v>
      </c>
      <c r="Z892" s="16">
        <v>8</v>
      </c>
      <c r="AA892" s="16">
        <v>17</v>
      </c>
      <c r="AB892" s="8">
        <f t="shared" ref="AB892:AB897" si="479">(Z892/AA892)*(12/19)</f>
        <v>0.29721362229102166</v>
      </c>
      <c r="AC892" s="16">
        <f t="shared" si="445"/>
        <v>64.60808893273439</v>
      </c>
      <c r="AD892" s="20">
        <f>'PFAS Properties'!$W$46</f>
        <v>8</v>
      </c>
      <c r="AE892" s="8">
        <f>'PFAS Properties'!$S$46</f>
        <v>2.0166155475571776</v>
      </c>
      <c r="AF892" s="15">
        <f>'PFAS Properties'!$V$46</f>
        <v>5</v>
      </c>
      <c r="AG892" s="24">
        <v>5.61</v>
      </c>
      <c r="AH892" s="2" t="s">
        <v>652</v>
      </c>
      <c r="AI892" s="15">
        <f>9.1*2*55.845/159.69</f>
        <v>6.3647003569415741</v>
      </c>
      <c r="AJ892" s="16">
        <f t="shared" ref="AJ892:AJ897" si="480">AI892*1000/55.845</f>
        <v>113.97081846076773</v>
      </c>
      <c r="AK892" s="15">
        <f t="shared" ref="AK892:AK897" si="481">AI892/10</f>
        <v>0.63647003569415739</v>
      </c>
      <c r="AL892" s="15">
        <f>22.3*2*26.98/101.96</f>
        <v>11.801765398195371</v>
      </c>
      <c r="AM892" s="16">
        <f>AL892*1000/26.98</f>
        <v>437.42644174185961</v>
      </c>
      <c r="AN892" s="15">
        <f t="shared" ref="AN892:AN897" si="482">AL892/10</f>
        <v>1.1801765398195372</v>
      </c>
      <c r="AO892" s="15" t="s">
        <v>41</v>
      </c>
      <c r="AP892" s="15">
        <v>11</v>
      </c>
      <c r="AQ892" s="2" t="s">
        <v>652</v>
      </c>
      <c r="AR892" s="2">
        <v>40.700000000000003</v>
      </c>
      <c r="AS892" s="2">
        <v>23.3</v>
      </c>
      <c r="AT892" s="2">
        <v>36</v>
      </c>
      <c r="AU892" s="2" t="s">
        <v>652</v>
      </c>
      <c r="AV892" s="16">
        <f t="shared" ref="AV892:AV897" si="483">SUM(AR892:AT892)</f>
        <v>100</v>
      </c>
      <c r="AW892" s="20">
        <v>3.82</v>
      </c>
      <c r="AX892" s="8">
        <f t="shared" ref="AX892:AX897" si="484">AW892/100</f>
        <v>3.8199999999999998E-2</v>
      </c>
      <c r="AY892" s="16" t="s">
        <v>750</v>
      </c>
      <c r="AZ892" s="16">
        <f t="shared" ref="AZ892:AZ897" si="485">5/0.04</f>
        <v>125</v>
      </c>
      <c r="BA892" s="16" t="s">
        <v>55</v>
      </c>
      <c r="BB892" s="16">
        <f t="shared" ref="BB892:BB897" si="486">50*K892/1000</f>
        <v>24.996869999999998</v>
      </c>
      <c r="BC892" s="16">
        <f t="shared" ref="BC892:BC897" si="487">1000*K892/1000</f>
        <v>499.93739999999997</v>
      </c>
      <c r="BD892" s="25">
        <f t="shared" ref="BD892:BD897" si="488">BO892</f>
        <v>9.0726349204607804</v>
      </c>
      <c r="BE892" s="16">
        <f t="shared" ref="BE892:BE897" si="489">BD892/AX892</f>
        <v>237.50353194923511</v>
      </c>
      <c r="BF892" s="16">
        <f t="shared" ref="BF892:BF897" si="490">LOG(BE892)</f>
        <v>2.3756700724647071</v>
      </c>
      <c r="BG892" s="8">
        <f t="shared" ref="BG892:BG897" si="491">LOG(BD892)</f>
        <v>0.95773343537641575</v>
      </c>
      <c r="BH892" s="13" t="s">
        <v>782</v>
      </c>
      <c r="BI892" s="16">
        <f>10^2.6733</f>
        <v>471.30277840242189</v>
      </c>
      <c r="BJ892" s="16" t="s">
        <v>329</v>
      </c>
      <c r="BK892" s="8">
        <v>0.43070000000000003</v>
      </c>
      <c r="BL892" s="16">
        <f t="shared" ref="BL892:BL897" si="492">(BI892*K892/1000)/(BI892*(K892^BK892)/1000)</f>
        <v>34.394790350439507</v>
      </c>
      <c r="BM892" s="25">
        <f>'PFAS Properties'!$U$46</f>
        <v>10.39</v>
      </c>
      <c r="BN892" s="16">
        <f t="shared" ref="BN892:BN897" si="493">(BL892*(BM892^BK892))</f>
        <v>94.264676823587521</v>
      </c>
      <c r="BO892" s="24">
        <f t="shared" ref="BO892:BO897" si="494">BN892/BM892</f>
        <v>9.0726349204607804</v>
      </c>
    </row>
    <row r="893" spans="1:67" s="14" customFormat="1" x14ac:dyDescent="0.3">
      <c r="A893" s="20">
        <v>891</v>
      </c>
      <c r="B893" s="2" t="s">
        <v>720</v>
      </c>
      <c r="C893" s="2">
        <v>2019</v>
      </c>
      <c r="D893" s="2" t="s">
        <v>201</v>
      </c>
      <c r="E893" s="10" t="s">
        <v>797</v>
      </c>
      <c r="F893" s="20" t="s">
        <v>29</v>
      </c>
      <c r="G893" s="2" t="s">
        <v>714</v>
      </c>
      <c r="H893" s="2" t="str">
        <f>'PFAS Properties'!$B$46</f>
        <v>PFOS</v>
      </c>
      <c r="I893" s="2" t="str">
        <f>'PFAS Properties'!$C$46</f>
        <v>PFSA</v>
      </c>
      <c r="J893" s="2" t="str">
        <f>'PFAS Properties'!$D$46</f>
        <v>C8HF17O3S</v>
      </c>
      <c r="K893" s="25">
        <f>'PFAS Properties'!$P$46</f>
        <v>499.93739999999997</v>
      </c>
      <c r="L893" s="2">
        <f>'PFAS Properties'!$X$46</f>
        <v>0.1</v>
      </c>
      <c r="M893" s="2" t="str">
        <f>'PFAS Properties'!$Y$46</f>
        <v>-</v>
      </c>
      <c r="N893" s="33">
        <v>0</v>
      </c>
      <c r="O893" s="33">
        <v>0</v>
      </c>
      <c r="P893" s="33">
        <v>0</v>
      </c>
      <c r="Q893" s="33">
        <f t="shared" si="452"/>
        <v>0.99994111910162875</v>
      </c>
      <c r="R893" s="33">
        <v>0</v>
      </c>
      <c r="S893" s="33">
        <f t="shared" si="453"/>
        <v>5.8880898371216013E-5</v>
      </c>
      <c r="T893" s="8">
        <f t="shared" si="474"/>
        <v>1</v>
      </c>
      <c r="U893" s="33">
        <f t="shared" si="475"/>
        <v>0</v>
      </c>
      <c r="V893" s="33">
        <f t="shared" si="476"/>
        <v>-0.99994111910162875</v>
      </c>
      <c r="W893" s="33">
        <f t="shared" si="477"/>
        <v>498.93745888089836</v>
      </c>
      <c r="X893" s="33">
        <v>96485</v>
      </c>
      <c r="Y893" s="16">
        <f t="shared" si="478"/>
        <v>-193.36956397886189</v>
      </c>
      <c r="Z893" s="16">
        <v>8</v>
      </c>
      <c r="AA893" s="16">
        <v>17</v>
      </c>
      <c r="AB893" s="8">
        <f t="shared" si="479"/>
        <v>0.29721362229102166</v>
      </c>
      <c r="AC893" s="16">
        <f t="shared" si="445"/>
        <v>64.60808893273439</v>
      </c>
      <c r="AD893" s="20">
        <f>'PFAS Properties'!$W$46</f>
        <v>8</v>
      </c>
      <c r="AE893" s="8">
        <f>'PFAS Properties'!$S$46</f>
        <v>2.0166155475571776</v>
      </c>
      <c r="AF893" s="15">
        <f>'PFAS Properties'!$V$46</f>
        <v>5</v>
      </c>
      <c r="AG893" s="24">
        <v>4.33</v>
      </c>
      <c r="AH893" s="2" t="s">
        <v>652</v>
      </c>
      <c r="AI893" s="15">
        <f>4.25*2*55.845/159.69</f>
        <v>2.9725248919782077</v>
      </c>
      <c r="AJ893" s="16">
        <f t="shared" si="480"/>
        <v>53.228129500908004</v>
      </c>
      <c r="AK893" s="15">
        <f t="shared" si="481"/>
        <v>0.29725248919782077</v>
      </c>
      <c r="AL893" s="15">
        <f>4.49*2*26.98/101.96</f>
        <v>2.3762298940761086</v>
      </c>
      <c r="AM893" s="16">
        <f t="shared" ref="AM893:AM897" si="495">AL893*1000/26.98</f>
        <v>88.073754413495507</v>
      </c>
      <c r="AN893" s="15">
        <f t="shared" si="482"/>
        <v>0.23762298940761087</v>
      </c>
      <c r="AO893" s="15" t="s">
        <v>41</v>
      </c>
      <c r="AP893" s="15">
        <v>19</v>
      </c>
      <c r="AQ893" s="2" t="s">
        <v>652</v>
      </c>
      <c r="AR893" s="2">
        <v>46.7</v>
      </c>
      <c r="AS893" s="2">
        <v>50</v>
      </c>
      <c r="AT893" s="2">
        <v>3.3</v>
      </c>
      <c r="AU893" s="2" t="s">
        <v>652</v>
      </c>
      <c r="AV893" s="16">
        <f t="shared" si="483"/>
        <v>100</v>
      </c>
      <c r="AW893" s="20">
        <v>0.52</v>
      </c>
      <c r="AX893" s="8">
        <f t="shared" si="484"/>
        <v>5.1999999999999998E-3</v>
      </c>
      <c r="AY893" s="16" t="s">
        <v>750</v>
      </c>
      <c r="AZ893" s="16">
        <f t="shared" si="485"/>
        <v>125</v>
      </c>
      <c r="BA893" s="16" t="s">
        <v>55</v>
      </c>
      <c r="BB893" s="16">
        <f t="shared" si="486"/>
        <v>24.996869999999998</v>
      </c>
      <c r="BC893" s="16">
        <f t="shared" si="487"/>
        <v>499.93739999999997</v>
      </c>
      <c r="BD893" s="25">
        <f t="shared" si="488"/>
        <v>10.964729176281976</v>
      </c>
      <c r="BE893" s="16">
        <f t="shared" si="489"/>
        <v>2108.6017646696109</v>
      </c>
      <c r="BF893" s="16">
        <f t="shared" si="490"/>
        <v>3.3239945656392225</v>
      </c>
      <c r="BG893" s="8">
        <f t="shared" si="491"/>
        <v>1.0399979092740215</v>
      </c>
      <c r="BH893" s="13" t="s">
        <v>782</v>
      </c>
      <c r="BI893" s="16">
        <f>10^2.3764</f>
        <v>237.90304458806258</v>
      </c>
      <c r="BJ893" s="16" t="s">
        <v>329</v>
      </c>
      <c r="BK893" s="8">
        <v>0.38179999999999997</v>
      </c>
      <c r="BL893" s="16">
        <f t="shared" si="492"/>
        <v>46.60898449915495</v>
      </c>
      <c r="BM893" s="25">
        <f>'PFAS Properties'!$U$46</f>
        <v>10.39</v>
      </c>
      <c r="BN893" s="16">
        <f t="shared" si="493"/>
        <v>113.92353614156973</v>
      </c>
      <c r="BO893" s="24">
        <f t="shared" si="494"/>
        <v>10.964729176281976</v>
      </c>
    </row>
    <row r="894" spans="1:67" s="14" customFormat="1" x14ac:dyDescent="0.3">
      <c r="A894" s="20">
        <v>892</v>
      </c>
      <c r="B894" s="2" t="s">
        <v>720</v>
      </c>
      <c r="C894" s="2">
        <v>2019</v>
      </c>
      <c r="D894" s="2" t="s">
        <v>201</v>
      </c>
      <c r="E894" s="10" t="s">
        <v>797</v>
      </c>
      <c r="F894" s="20" t="s">
        <v>29</v>
      </c>
      <c r="G894" s="2" t="s">
        <v>715</v>
      </c>
      <c r="H894" s="2" t="str">
        <f>'PFAS Properties'!$B$46</f>
        <v>PFOS</v>
      </c>
      <c r="I894" s="2" t="str">
        <f>'PFAS Properties'!$C$46</f>
        <v>PFSA</v>
      </c>
      <c r="J894" s="2" t="str">
        <f>'PFAS Properties'!$D$46</f>
        <v>C8HF17O3S</v>
      </c>
      <c r="K894" s="25">
        <f>'PFAS Properties'!$P$46</f>
        <v>499.93739999999997</v>
      </c>
      <c r="L894" s="2">
        <f>'PFAS Properties'!$X$46</f>
        <v>0.1</v>
      </c>
      <c r="M894" s="2" t="str">
        <f>'PFAS Properties'!$Y$46</f>
        <v>-</v>
      </c>
      <c r="N894" s="33">
        <v>0</v>
      </c>
      <c r="O894" s="33">
        <v>0</v>
      </c>
      <c r="P894" s="33">
        <v>0</v>
      </c>
      <c r="Q894" s="33">
        <f t="shared" si="452"/>
        <v>0.99973091894371013</v>
      </c>
      <c r="R894" s="33">
        <v>0</v>
      </c>
      <c r="S894" s="33">
        <f t="shared" si="453"/>
        <v>2.6908105628988352E-4</v>
      </c>
      <c r="T894" s="8">
        <f t="shared" si="474"/>
        <v>1</v>
      </c>
      <c r="U894" s="33">
        <f t="shared" si="475"/>
        <v>0</v>
      </c>
      <c r="V894" s="33">
        <f t="shared" si="476"/>
        <v>-0.99973091894371013</v>
      </c>
      <c r="W894" s="33">
        <f t="shared" si="477"/>
        <v>498.93766908105624</v>
      </c>
      <c r="X894" s="33">
        <v>96485</v>
      </c>
      <c r="Y894" s="16">
        <f t="shared" si="478"/>
        <v>-193.32883382395681</v>
      </c>
      <c r="Z894" s="16">
        <v>8</v>
      </c>
      <c r="AA894" s="16">
        <v>17</v>
      </c>
      <c r="AB894" s="8">
        <f t="shared" si="479"/>
        <v>0.29721362229102166</v>
      </c>
      <c r="AC894" s="16">
        <f t="shared" si="445"/>
        <v>64.60808893273439</v>
      </c>
      <c r="AD894" s="20">
        <f>'PFAS Properties'!$W$46</f>
        <v>8</v>
      </c>
      <c r="AE894" s="8">
        <f>'PFAS Properties'!$S$46</f>
        <v>2.0166155475571776</v>
      </c>
      <c r="AF894" s="15">
        <f>'PFAS Properties'!$V$46</f>
        <v>5</v>
      </c>
      <c r="AG894" s="24">
        <v>3.67</v>
      </c>
      <c r="AH894" s="2" t="s">
        <v>652</v>
      </c>
      <c r="AI894" s="15">
        <f>1.51*2*55.845/159.69</f>
        <v>1.056120608679316</v>
      </c>
      <c r="AJ894" s="16">
        <f t="shared" si="480"/>
        <v>18.911641305028493</v>
      </c>
      <c r="AK894" s="15">
        <f t="shared" si="481"/>
        <v>0.1056120608679316</v>
      </c>
      <c r="AL894" s="15">
        <f>1.01*2*26.98/101.96</f>
        <v>0.53451941938014913</v>
      </c>
      <c r="AM894" s="16">
        <f t="shared" si="495"/>
        <v>19.811690859160453</v>
      </c>
      <c r="AN894" s="15">
        <f t="shared" si="482"/>
        <v>5.3451941938014912E-2</v>
      </c>
      <c r="AO894" s="15" t="s">
        <v>41</v>
      </c>
      <c r="AP894" s="15">
        <v>6.57</v>
      </c>
      <c r="AQ894" s="2" t="s">
        <v>652</v>
      </c>
      <c r="AR894" s="2">
        <v>59.3</v>
      </c>
      <c r="AS894" s="2">
        <v>21.3</v>
      </c>
      <c r="AT894" s="2">
        <v>19.399999999999999</v>
      </c>
      <c r="AU894" s="2" t="s">
        <v>652</v>
      </c>
      <c r="AV894" s="16">
        <f t="shared" si="483"/>
        <v>100</v>
      </c>
      <c r="AW894" s="20">
        <v>0.25800000000000001</v>
      </c>
      <c r="AX894" s="8">
        <f t="shared" si="484"/>
        <v>2.5800000000000003E-3</v>
      </c>
      <c r="AY894" s="16" t="s">
        <v>750</v>
      </c>
      <c r="AZ894" s="16">
        <f t="shared" si="485"/>
        <v>125</v>
      </c>
      <c r="BA894" s="16" t="s">
        <v>55</v>
      </c>
      <c r="BB894" s="16">
        <f t="shared" si="486"/>
        <v>24.996869999999998</v>
      </c>
      <c r="BC894" s="16">
        <f t="shared" si="487"/>
        <v>499.93739999999997</v>
      </c>
      <c r="BD894" s="25">
        <f t="shared" si="488"/>
        <v>6.0618613268278274</v>
      </c>
      <c r="BE894" s="16">
        <f t="shared" si="489"/>
        <v>2349.5586538092352</v>
      </c>
      <c r="BF894" s="16">
        <f t="shared" si="490"/>
        <v>3.3709862911158295</v>
      </c>
      <c r="BG894" s="8">
        <f t="shared" si="491"/>
        <v>0.78260599707905965</v>
      </c>
      <c r="BH894" s="13" t="s">
        <v>782</v>
      </c>
      <c r="BI894" s="16">
        <f>10^2.1684</f>
        <v>147.36691770366895</v>
      </c>
      <c r="BJ894" s="16" t="s">
        <v>329</v>
      </c>
      <c r="BK894" s="8">
        <v>0.53480000000000005</v>
      </c>
      <c r="BL894" s="16">
        <f t="shared" si="492"/>
        <v>18.010905592794977</v>
      </c>
      <c r="BM894" s="25">
        <f>'PFAS Properties'!$U$46</f>
        <v>10.39</v>
      </c>
      <c r="BN894" s="16">
        <f t="shared" si="493"/>
        <v>62.982739185741131</v>
      </c>
      <c r="BO894" s="24">
        <f t="shared" si="494"/>
        <v>6.0618613268278274</v>
      </c>
    </row>
    <row r="895" spans="1:67" s="14" customFormat="1" x14ac:dyDescent="0.3">
      <c r="A895" s="20">
        <v>893</v>
      </c>
      <c r="B895" s="2" t="s">
        <v>720</v>
      </c>
      <c r="C895" s="2">
        <v>2019</v>
      </c>
      <c r="D895" s="2" t="s">
        <v>201</v>
      </c>
      <c r="E895" s="10" t="s">
        <v>797</v>
      </c>
      <c r="F895" s="20" t="s">
        <v>29</v>
      </c>
      <c r="G895" s="2" t="s">
        <v>716</v>
      </c>
      <c r="H895" s="2" t="str">
        <f>'PFAS Properties'!$B$46</f>
        <v>PFOS</v>
      </c>
      <c r="I895" s="2" t="str">
        <f>'PFAS Properties'!$C$46</f>
        <v>PFSA</v>
      </c>
      <c r="J895" s="2" t="str">
        <f>'PFAS Properties'!$D$46</f>
        <v>C8HF17O3S</v>
      </c>
      <c r="K895" s="25">
        <f>'PFAS Properties'!$P$46</f>
        <v>499.93739999999997</v>
      </c>
      <c r="L895" s="2">
        <f>'PFAS Properties'!$X$46</f>
        <v>0.1</v>
      </c>
      <c r="M895" s="2" t="str">
        <f>'PFAS Properties'!$Y$46</f>
        <v>-</v>
      </c>
      <c r="N895" s="33">
        <v>0</v>
      </c>
      <c r="O895" s="33">
        <v>0</v>
      </c>
      <c r="P895" s="33">
        <v>0</v>
      </c>
      <c r="Q895" s="33">
        <f t="shared" si="452"/>
        <v>0.99997116051670853</v>
      </c>
      <c r="R895" s="33">
        <v>0</v>
      </c>
      <c r="S895" s="33">
        <f t="shared" si="453"/>
        <v>2.8839483291482564E-5</v>
      </c>
      <c r="T895" s="8">
        <f t="shared" si="474"/>
        <v>1</v>
      </c>
      <c r="U895" s="33">
        <f t="shared" si="475"/>
        <v>0</v>
      </c>
      <c r="V895" s="33">
        <f t="shared" si="476"/>
        <v>-0.99997116051670853</v>
      </c>
      <c r="W895" s="33">
        <f t="shared" si="477"/>
        <v>498.93742883948329</v>
      </c>
      <c r="X895" s="33">
        <v>96485</v>
      </c>
      <c r="Y895" s="16">
        <f t="shared" si="478"/>
        <v>-193.37538505954544</v>
      </c>
      <c r="Z895" s="16">
        <v>8</v>
      </c>
      <c r="AA895" s="16">
        <v>17</v>
      </c>
      <c r="AB895" s="8">
        <f t="shared" si="479"/>
        <v>0.29721362229102166</v>
      </c>
      <c r="AC895" s="16">
        <f t="shared" si="445"/>
        <v>64.60808893273439</v>
      </c>
      <c r="AD895" s="20">
        <f>'PFAS Properties'!$W$46</f>
        <v>8</v>
      </c>
      <c r="AE895" s="8">
        <f>'PFAS Properties'!$S$46</f>
        <v>2.0166155475571776</v>
      </c>
      <c r="AF895" s="15">
        <f>'PFAS Properties'!$V$46</f>
        <v>5</v>
      </c>
      <c r="AG895" s="24">
        <v>4.6399999999999997</v>
      </c>
      <c r="AH895" s="2" t="s">
        <v>652</v>
      </c>
      <c r="AI895" s="15">
        <f>6.69*2*55.845/159.69</f>
        <v>4.6791038887845202</v>
      </c>
      <c r="AJ895" s="16">
        <f t="shared" si="480"/>
        <v>83.787337967311657</v>
      </c>
      <c r="AK895" s="15">
        <f t="shared" si="481"/>
        <v>0.46791038887845204</v>
      </c>
      <c r="AL895" s="15">
        <f>14.7*2*26.98/101.96</f>
        <v>7.7796390741467247</v>
      </c>
      <c r="AM895" s="16">
        <f t="shared" si="495"/>
        <v>288.34837191055317</v>
      </c>
      <c r="AN895" s="15">
        <f t="shared" si="482"/>
        <v>0.77796390741467247</v>
      </c>
      <c r="AO895" s="15" t="s">
        <v>41</v>
      </c>
      <c r="AP895" s="15">
        <v>19.600000000000001</v>
      </c>
      <c r="AQ895" s="2" t="s">
        <v>652</v>
      </c>
      <c r="AR895" s="2">
        <v>42</v>
      </c>
      <c r="AS895" s="2">
        <v>36.700000000000003</v>
      </c>
      <c r="AT895" s="2">
        <v>21.3</v>
      </c>
      <c r="AU895" s="2" t="s">
        <v>652</v>
      </c>
      <c r="AV895" s="16">
        <f t="shared" si="483"/>
        <v>100</v>
      </c>
      <c r="AW895" s="20">
        <v>0.92800000000000005</v>
      </c>
      <c r="AX895" s="8">
        <f t="shared" si="484"/>
        <v>9.2800000000000001E-3</v>
      </c>
      <c r="AY895" s="16" t="s">
        <v>750</v>
      </c>
      <c r="AZ895" s="16">
        <f t="shared" si="485"/>
        <v>125</v>
      </c>
      <c r="BA895" s="16" t="s">
        <v>55</v>
      </c>
      <c r="BB895" s="16">
        <f t="shared" si="486"/>
        <v>24.996869999999998</v>
      </c>
      <c r="BC895" s="16">
        <f t="shared" si="487"/>
        <v>499.93739999999997</v>
      </c>
      <c r="BD895" s="25">
        <f t="shared" si="488"/>
        <v>13.21041749697422</v>
      </c>
      <c r="BE895" s="16">
        <f t="shared" si="489"/>
        <v>1423.5363682084289</v>
      </c>
      <c r="BF895" s="16">
        <f t="shared" si="490"/>
        <v>3.1533685668890001</v>
      </c>
      <c r="BG895" s="8">
        <f t="shared" si="491"/>
        <v>1.120916543107862</v>
      </c>
      <c r="BH895" s="13" t="s">
        <v>782</v>
      </c>
      <c r="BI895" s="16">
        <f>10^2.6123</f>
        <v>409.54346464439521</v>
      </c>
      <c r="BJ895" s="16" t="s">
        <v>329</v>
      </c>
      <c r="BK895" s="8">
        <v>0.3337</v>
      </c>
      <c r="BL895" s="16">
        <f t="shared" si="492"/>
        <v>62.847424143014273</v>
      </c>
      <c r="BM895" s="25">
        <f>'PFAS Properties'!$U$46</f>
        <v>10.39</v>
      </c>
      <c r="BN895" s="16">
        <f t="shared" si="493"/>
        <v>137.25623779356215</v>
      </c>
      <c r="BO895" s="24">
        <f t="shared" si="494"/>
        <v>13.21041749697422</v>
      </c>
    </row>
    <row r="896" spans="1:67" s="14" customFormat="1" x14ac:dyDescent="0.3">
      <c r="A896" s="20">
        <v>894</v>
      </c>
      <c r="B896" s="2" t="s">
        <v>720</v>
      </c>
      <c r="C896" s="2">
        <v>2019</v>
      </c>
      <c r="D896" s="2" t="s">
        <v>201</v>
      </c>
      <c r="E896" s="10" t="s">
        <v>797</v>
      </c>
      <c r="F896" s="20" t="s">
        <v>29</v>
      </c>
      <c r="G896" s="2" t="s">
        <v>717</v>
      </c>
      <c r="H896" s="2" t="str">
        <f>'PFAS Properties'!$B$46</f>
        <v>PFOS</v>
      </c>
      <c r="I896" s="2" t="str">
        <f>'PFAS Properties'!$C$46</f>
        <v>PFSA</v>
      </c>
      <c r="J896" s="2" t="str">
        <f>'PFAS Properties'!$D$46</f>
        <v>C8HF17O3S</v>
      </c>
      <c r="K896" s="25">
        <f>'PFAS Properties'!$P$46</f>
        <v>499.93739999999997</v>
      </c>
      <c r="L896" s="2">
        <f>'PFAS Properties'!$X$46</f>
        <v>0.1</v>
      </c>
      <c r="M896" s="2" t="str">
        <f>'PFAS Properties'!$Y$46</f>
        <v>-</v>
      </c>
      <c r="N896" s="33">
        <v>0</v>
      </c>
      <c r="O896" s="33">
        <v>0</v>
      </c>
      <c r="P896" s="33">
        <v>0</v>
      </c>
      <c r="Q896" s="33">
        <f t="shared" si="452"/>
        <v>0.99991088284876106</v>
      </c>
      <c r="R896" s="33">
        <v>0</v>
      </c>
      <c r="S896" s="33">
        <f t="shared" si="453"/>
        <v>8.9117151238909804E-5</v>
      </c>
      <c r="T896" s="8">
        <f t="shared" si="474"/>
        <v>1</v>
      </c>
      <c r="U896" s="33">
        <f t="shared" si="475"/>
        <v>0</v>
      </c>
      <c r="V896" s="33">
        <f t="shared" si="476"/>
        <v>-0.99991088284876106</v>
      </c>
      <c r="W896" s="33">
        <f t="shared" si="477"/>
        <v>498.93748911715119</v>
      </c>
      <c r="X896" s="33">
        <v>96485</v>
      </c>
      <c r="Y896" s="16">
        <f t="shared" si="478"/>
        <v>-193.36370514545544</v>
      </c>
      <c r="Z896" s="16">
        <v>8</v>
      </c>
      <c r="AA896" s="16">
        <v>17</v>
      </c>
      <c r="AB896" s="8">
        <f t="shared" si="479"/>
        <v>0.29721362229102166</v>
      </c>
      <c r="AC896" s="16">
        <f t="shared" si="445"/>
        <v>64.60808893273439</v>
      </c>
      <c r="AD896" s="20">
        <f>'PFAS Properties'!$W$46</f>
        <v>8</v>
      </c>
      <c r="AE896" s="8">
        <f>'PFAS Properties'!$S$46</f>
        <v>2.0166155475571776</v>
      </c>
      <c r="AF896" s="15">
        <f>'PFAS Properties'!$V$46</f>
        <v>5</v>
      </c>
      <c r="AG896" s="24">
        <v>4.1500000000000004</v>
      </c>
      <c r="AH896" s="2" t="s">
        <v>652</v>
      </c>
      <c r="AI896" s="15">
        <f>5.68*2*55.845/159.69</f>
        <v>3.9726920909261692</v>
      </c>
      <c r="AJ896" s="16">
        <f t="shared" si="480"/>
        <v>71.137829544742928</v>
      </c>
      <c r="AK896" s="15">
        <f t="shared" si="481"/>
        <v>0.39726920909261693</v>
      </c>
      <c r="AL896" s="15">
        <f>9.78*2*26.98/101.96</f>
        <v>5.1758415064731267</v>
      </c>
      <c r="AM896" s="16">
        <f t="shared" si="495"/>
        <v>191.83993723028641</v>
      </c>
      <c r="AN896" s="15">
        <f t="shared" si="482"/>
        <v>0.51758415064731267</v>
      </c>
      <c r="AO896" s="15" t="s">
        <v>41</v>
      </c>
      <c r="AP896" s="15">
        <v>9.76</v>
      </c>
      <c r="AQ896" s="2" t="s">
        <v>652</v>
      </c>
      <c r="AR896" s="2">
        <v>49.3</v>
      </c>
      <c r="AS896" s="2">
        <v>39.4</v>
      </c>
      <c r="AT896" s="2">
        <v>11.3</v>
      </c>
      <c r="AU896" s="2" t="s">
        <v>652</v>
      </c>
      <c r="AV896" s="16">
        <f t="shared" si="483"/>
        <v>99.999999999999986</v>
      </c>
      <c r="AW896" s="20">
        <v>2.48</v>
      </c>
      <c r="AX896" s="8">
        <f t="shared" si="484"/>
        <v>2.4799999999999999E-2</v>
      </c>
      <c r="AY896" s="16" t="s">
        <v>750</v>
      </c>
      <c r="AZ896" s="16">
        <f t="shared" si="485"/>
        <v>125</v>
      </c>
      <c r="BA896" s="16" t="s">
        <v>55</v>
      </c>
      <c r="BB896" s="16">
        <f t="shared" si="486"/>
        <v>24.996869999999998</v>
      </c>
      <c r="BC896" s="16">
        <f t="shared" si="487"/>
        <v>499.93739999999997</v>
      </c>
      <c r="BD896" s="25">
        <f t="shared" si="488"/>
        <v>8.3800437069553233</v>
      </c>
      <c r="BE896" s="16">
        <f t="shared" si="489"/>
        <v>337.90498818368241</v>
      </c>
      <c r="BF896" s="16">
        <f t="shared" si="490"/>
        <v>2.5287946029162343</v>
      </c>
      <c r="BG896" s="8">
        <f t="shared" si="491"/>
        <v>0.92324628374245044</v>
      </c>
      <c r="BH896" s="13" t="s">
        <v>782</v>
      </c>
      <c r="BI896" s="16">
        <f>10^2.5934</f>
        <v>392.10285091946093</v>
      </c>
      <c r="BJ896" s="16" t="s">
        <v>329</v>
      </c>
      <c r="BK896" s="8">
        <v>0.45119999999999999</v>
      </c>
      <c r="BL896" s="16">
        <f t="shared" si="492"/>
        <v>30.280629278935884</v>
      </c>
      <c r="BM896" s="25">
        <f>'PFAS Properties'!$U$46</f>
        <v>10.39</v>
      </c>
      <c r="BN896" s="16">
        <f t="shared" si="493"/>
        <v>87.068654115265815</v>
      </c>
      <c r="BO896" s="24">
        <f t="shared" si="494"/>
        <v>8.3800437069553233</v>
      </c>
    </row>
    <row r="897" spans="1:69" s="14" customFormat="1" x14ac:dyDescent="0.3">
      <c r="A897" s="20">
        <v>895</v>
      </c>
      <c r="B897" s="2" t="s">
        <v>720</v>
      </c>
      <c r="C897" s="2">
        <v>2019</v>
      </c>
      <c r="D897" s="2" t="s">
        <v>201</v>
      </c>
      <c r="E897" s="10" t="s">
        <v>797</v>
      </c>
      <c r="F897" s="20" t="s">
        <v>29</v>
      </c>
      <c r="G897" s="2" t="s">
        <v>718</v>
      </c>
      <c r="H897" s="2" t="str">
        <f>'PFAS Properties'!$B$46</f>
        <v>PFOS</v>
      </c>
      <c r="I897" s="2" t="str">
        <f>'PFAS Properties'!$C$46</f>
        <v>PFSA</v>
      </c>
      <c r="J897" s="2" t="str">
        <f>'PFAS Properties'!$D$46</f>
        <v>C8HF17O3S</v>
      </c>
      <c r="K897" s="25">
        <f>'PFAS Properties'!$P$46</f>
        <v>499.93739999999997</v>
      </c>
      <c r="L897" s="2">
        <f>'PFAS Properties'!$X$46</f>
        <v>0.1</v>
      </c>
      <c r="M897" s="2" t="str">
        <f>'PFAS Properties'!$Y$46</f>
        <v>-</v>
      </c>
      <c r="N897" s="33">
        <v>0</v>
      </c>
      <c r="O897" s="33">
        <v>0</v>
      </c>
      <c r="P897" s="33">
        <v>0</v>
      </c>
      <c r="Q897" s="33">
        <f t="shared" si="452"/>
        <v>0.99983784528867892</v>
      </c>
      <c r="R897" s="33">
        <v>0</v>
      </c>
      <c r="S897" s="33">
        <f t="shared" si="453"/>
        <v>1.6215471132107731E-4</v>
      </c>
      <c r="T897" s="8">
        <f t="shared" si="474"/>
        <v>1</v>
      </c>
      <c r="U897" s="33">
        <f t="shared" si="475"/>
        <v>0</v>
      </c>
      <c r="V897" s="33">
        <f t="shared" si="476"/>
        <v>-0.99983784528867892</v>
      </c>
      <c r="W897" s="33">
        <f t="shared" si="477"/>
        <v>498.93756215471126</v>
      </c>
      <c r="X897" s="33">
        <v>96485</v>
      </c>
      <c r="Y897" s="16">
        <f t="shared" si="478"/>
        <v>-193.34955276982097</v>
      </c>
      <c r="Z897" s="16">
        <v>8</v>
      </c>
      <c r="AA897" s="16">
        <v>17</v>
      </c>
      <c r="AB897" s="8">
        <f t="shared" si="479"/>
        <v>0.29721362229102166</v>
      </c>
      <c r="AC897" s="16">
        <f t="shared" si="445"/>
        <v>64.60808893273439</v>
      </c>
      <c r="AD897" s="20">
        <f>'PFAS Properties'!$W$46</f>
        <v>8</v>
      </c>
      <c r="AE897" s="8">
        <f>'PFAS Properties'!$S$46</f>
        <v>2.0166155475571776</v>
      </c>
      <c r="AF897" s="15">
        <f>'PFAS Properties'!$V$46</f>
        <v>5</v>
      </c>
      <c r="AG897" s="24">
        <v>3.89</v>
      </c>
      <c r="AH897" s="2" t="s">
        <v>652</v>
      </c>
      <c r="AI897" s="15">
        <f>2.95*2*55.845/159.69</f>
        <v>2.0632819838436971</v>
      </c>
      <c r="AJ897" s="16">
        <f t="shared" si="480"/>
        <v>36.946584006512616</v>
      </c>
      <c r="AK897" s="15">
        <f t="shared" si="481"/>
        <v>0.20632819838436972</v>
      </c>
      <c r="AL897" s="15">
        <f>0.634*2*26.98/101.96</f>
        <v>0.33553001176932129</v>
      </c>
      <c r="AM897" s="16">
        <f t="shared" si="495"/>
        <v>12.436249509611612</v>
      </c>
      <c r="AN897" s="15">
        <f t="shared" si="482"/>
        <v>3.3553001176932128E-2</v>
      </c>
      <c r="AO897" s="15" t="s">
        <v>41</v>
      </c>
      <c r="AP897" s="15">
        <v>2.89</v>
      </c>
      <c r="AQ897" s="2" t="s">
        <v>652</v>
      </c>
      <c r="AR897" s="2">
        <v>60</v>
      </c>
      <c r="AS897" s="2">
        <v>16</v>
      </c>
      <c r="AT897" s="2">
        <v>24</v>
      </c>
      <c r="AU897" s="2" t="s">
        <v>652</v>
      </c>
      <c r="AV897" s="16">
        <f t="shared" si="483"/>
        <v>100</v>
      </c>
      <c r="AW897" s="20">
        <v>0.99299999999999999</v>
      </c>
      <c r="AX897" s="8">
        <f t="shared" si="484"/>
        <v>9.9299999999999996E-3</v>
      </c>
      <c r="AY897" s="16" t="s">
        <v>750</v>
      </c>
      <c r="AZ897" s="16">
        <f t="shared" si="485"/>
        <v>125</v>
      </c>
      <c r="BA897" s="16" t="s">
        <v>55</v>
      </c>
      <c r="BB897" s="16">
        <f t="shared" si="486"/>
        <v>24.996869999999998</v>
      </c>
      <c r="BC897" s="16">
        <f t="shared" si="487"/>
        <v>499.93739999999997</v>
      </c>
      <c r="BD897" s="25">
        <f t="shared" si="488"/>
        <v>7.4174364006418578</v>
      </c>
      <c r="BE897" s="16">
        <f t="shared" si="489"/>
        <v>746.97244719454761</v>
      </c>
      <c r="BF897" s="16">
        <f t="shared" si="490"/>
        <v>2.8733045827363419</v>
      </c>
      <c r="BG897" s="8">
        <f t="shared" si="491"/>
        <v>0.87025383123172295</v>
      </c>
      <c r="BH897" s="13" t="s">
        <v>782</v>
      </c>
      <c r="BI897" s="16">
        <f>10^2.3707</f>
        <v>234.80103124551826</v>
      </c>
      <c r="BJ897" s="16" t="s">
        <v>329</v>
      </c>
      <c r="BK897" s="8">
        <v>0.48270000000000002</v>
      </c>
      <c r="BL897" s="16">
        <f t="shared" si="492"/>
        <v>24.897116643084011</v>
      </c>
      <c r="BM897" s="25">
        <f>'PFAS Properties'!$U$46</f>
        <v>10.39</v>
      </c>
      <c r="BN897" s="16">
        <f t="shared" si="493"/>
        <v>77.067164202668906</v>
      </c>
      <c r="BO897" s="24">
        <f t="shared" si="494"/>
        <v>7.4174364006418578</v>
      </c>
    </row>
    <row r="898" spans="1:69" s="46" customFormat="1" x14ac:dyDescent="0.3">
      <c r="A898" s="20">
        <v>896</v>
      </c>
      <c r="B898" s="2" t="s">
        <v>181</v>
      </c>
      <c r="C898" s="2">
        <v>2020</v>
      </c>
      <c r="D898" s="2" t="s">
        <v>203</v>
      </c>
      <c r="E898" s="10" t="s">
        <v>787</v>
      </c>
      <c r="F898" s="20" t="s">
        <v>29</v>
      </c>
      <c r="G898" s="2" t="s">
        <v>62</v>
      </c>
      <c r="H898" s="2" t="str">
        <f>'PFAS Properties'!$B$46</f>
        <v>PFOS</v>
      </c>
      <c r="I898" s="2" t="str">
        <f>'PFAS Properties'!$C$46</f>
        <v>PFSA</v>
      </c>
      <c r="J898" s="2" t="str">
        <f>'PFAS Properties'!$D$46</f>
        <v>C8HF17O3S</v>
      </c>
      <c r="K898" s="25">
        <f>'PFAS Properties'!$P$46</f>
        <v>499.93739999999997</v>
      </c>
      <c r="L898" s="2">
        <f>'PFAS Properties'!$X$46</f>
        <v>0.1</v>
      </c>
      <c r="M898" s="2" t="str">
        <f>'PFAS Properties'!$Y$46</f>
        <v>-</v>
      </c>
      <c r="N898" s="33">
        <v>0</v>
      </c>
      <c r="O898" s="33">
        <v>0</v>
      </c>
      <c r="P898" s="33">
        <v>0</v>
      </c>
      <c r="Q898" s="33">
        <f t="shared" si="452"/>
        <v>0.9999999601892845</v>
      </c>
      <c r="R898" s="33">
        <v>0</v>
      </c>
      <c r="S898" s="33">
        <f t="shared" si="453"/>
        <v>3.9810715470456442E-8</v>
      </c>
      <c r="T898" s="8">
        <f t="shared" ref="T898:T961" si="496">SUM(N898:S898)</f>
        <v>1</v>
      </c>
      <c r="U898" s="33">
        <f t="shared" ref="U898:U961" si="497">((1*N898)+(1*O898)+(1*P898))</f>
        <v>0</v>
      </c>
      <c r="V898" s="33">
        <f t="shared" ref="V898:V961" si="498">-((1*O898)+(2*P898)+(1*Q898)+(2*R898))</f>
        <v>-0.9999999601892845</v>
      </c>
      <c r="W898" s="33">
        <f t="shared" ref="W898:W961" si="499">(N898*(K898+1))+(O898*K898)+(P898*(K898-1))+(Q898*(K898-1))+(R898*(K898-2))+(S898*K898)</f>
        <v>498.93740003981065</v>
      </c>
      <c r="X898" s="33">
        <v>96485</v>
      </c>
      <c r="Y898" s="16">
        <f t="shared" ref="Y898:Y961" si="500">((V898+U898)/W898)*X898</f>
        <v>-193.38096553027393</v>
      </c>
      <c r="Z898" s="16">
        <v>8</v>
      </c>
      <c r="AA898" s="16">
        <v>17</v>
      </c>
      <c r="AB898" s="8">
        <f t="shared" ref="AB898:AB961" si="501">(Z898/AA898)*(12/19)</f>
        <v>0.29721362229102166</v>
      </c>
      <c r="AC898" s="16">
        <f t="shared" si="445"/>
        <v>64.60808893273439</v>
      </c>
      <c r="AD898" s="20">
        <f>'PFAS Properties'!$W$46</f>
        <v>8</v>
      </c>
      <c r="AE898" s="8">
        <f>'PFAS Properties'!$S$46</f>
        <v>2.0166155475571776</v>
      </c>
      <c r="AF898" s="15">
        <f>'PFAS Properties'!$V$46</f>
        <v>5</v>
      </c>
      <c r="AG898" s="24">
        <v>7.5</v>
      </c>
      <c r="AH898" s="2" t="s">
        <v>183</v>
      </c>
      <c r="AI898" s="2" t="s">
        <v>661</v>
      </c>
      <c r="AJ898" s="2" t="s">
        <v>661</v>
      </c>
      <c r="AK898" s="2" t="s">
        <v>661</v>
      </c>
      <c r="AL898" s="2" t="s">
        <v>661</v>
      </c>
      <c r="AM898" s="2" t="s">
        <v>661</v>
      </c>
      <c r="AN898" s="2" t="s">
        <v>661</v>
      </c>
      <c r="AO898" s="2" t="s">
        <v>661</v>
      </c>
      <c r="AP898" s="15">
        <v>41.4</v>
      </c>
      <c r="AQ898" s="2" t="s">
        <v>661</v>
      </c>
      <c r="AR898" s="16">
        <v>16.899999999999999</v>
      </c>
      <c r="AS898" s="16">
        <v>17.5</v>
      </c>
      <c r="AT898" s="16">
        <v>65.599999999999994</v>
      </c>
      <c r="AU898" s="2" t="s">
        <v>661</v>
      </c>
      <c r="AV898" s="16">
        <f t="shared" ref="AV898:AV961" si="502">SUM(AR898:AT898)</f>
        <v>100</v>
      </c>
      <c r="AW898" s="20">
        <v>0.7</v>
      </c>
      <c r="AX898" s="8">
        <v>6.9999999999999993E-3</v>
      </c>
      <c r="AY898" s="13" t="s">
        <v>184</v>
      </c>
      <c r="AZ898" s="16">
        <v>100</v>
      </c>
      <c r="BA898" s="16" t="s">
        <v>55</v>
      </c>
      <c r="BB898" s="16">
        <v>5</v>
      </c>
      <c r="BC898" s="16" t="s">
        <v>55</v>
      </c>
      <c r="BD898" s="18">
        <v>5.92</v>
      </c>
      <c r="BE898" s="16">
        <f t="shared" ref="BE898:BE961" si="503">BD898/AX898</f>
        <v>845.71428571428578</v>
      </c>
      <c r="BF898" s="16">
        <f t="shared" ref="BF898:BF961" si="504">LOG(BE898)</f>
        <v>2.9272236667086631</v>
      </c>
      <c r="BG898" s="8">
        <f t="shared" ref="BG898:BG961" si="505">LOG(BD898)</f>
        <v>0.77232170672291978</v>
      </c>
      <c r="BH898" s="13" t="s">
        <v>841</v>
      </c>
      <c r="BI898" s="9"/>
      <c r="BJ898" s="13"/>
      <c r="BK898" s="9"/>
      <c r="BL898" s="9"/>
      <c r="BM898" s="19"/>
      <c r="BN898" s="19"/>
      <c r="BO898" s="129"/>
    </row>
    <row r="899" spans="1:69" s="46" customFormat="1" x14ac:dyDescent="0.3">
      <c r="A899" s="20">
        <v>897</v>
      </c>
      <c r="B899" s="2" t="s">
        <v>181</v>
      </c>
      <c r="C899" s="2">
        <v>2020</v>
      </c>
      <c r="D899" s="2" t="s">
        <v>203</v>
      </c>
      <c r="E899" s="10" t="s">
        <v>787</v>
      </c>
      <c r="F899" s="20" t="s">
        <v>29</v>
      </c>
      <c r="G899" s="2" t="s">
        <v>57</v>
      </c>
      <c r="H899" s="2" t="str">
        <f>'PFAS Properties'!$B$46</f>
        <v>PFOS</v>
      </c>
      <c r="I899" s="2" t="str">
        <f>'PFAS Properties'!$C$46</f>
        <v>PFSA</v>
      </c>
      <c r="J899" s="2" t="str">
        <f>'PFAS Properties'!$D$46</f>
        <v>C8HF17O3S</v>
      </c>
      <c r="K899" s="25">
        <f>'PFAS Properties'!$P$46</f>
        <v>499.93739999999997</v>
      </c>
      <c r="L899" s="2">
        <f>'PFAS Properties'!$X$46</f>
        <v>0.1</v>
      </c>
      <c r="M899" s="2" t="str">
        <f>'PFAS Properties'!$Y$46</f>
        <v>-</v>
      </c>
      <c r="N899" s="33">
        <v>0</v>
      </c>
      <c r="O899" s="33">
        <v>0</v>
      </c>
      <c r="P899" s="33">
        <v>0</v>
      </c>
      <c r="Q899" s="33">
        <f t="shared" si="452"/>
        <v>0.99999980047380832</v>
      </c>
      <c r="R899" s="33">
        <v>0</v>
      </c>
      <c r="S899" s="33">
        <f t="shared" si="453"/>
        <v>1.9952619168617852E-7</v>
      </c>
      <c r="T899" s="8">
        <f t="shared" si="496"/>
        <v>1</v>
      </c>
      <c r="U899" s="33">
        <f t="shared" si="497"/>
        <v>0</v>
      </c>
      <c r="V899" s="33">
        <f t="shared" si="498"/>
        <v>-0.99999980047380832</v>
      </c>
      <c r="W899" s="33">
        <f t="shared" si="499"/>
        <v>498.93740019952617</v>
      </c>
      <c r="X899" s="33">
        <v>96485</v>
      </c>
      <c r="Y899" s="16">
        <f t="shared" si="500"/>
        <v>-193.38093458243628</v>
      </c>
      <c r="Z899" s="16">
        <v>8</v>
      </c>
      <c r="AA899" s="16">
        <v>17</v>
      </c>
      <c r="AB899" s="8">
        <f t="shared" si="501"/>
        <v>0.29721362229102166</v>
      </c>
      <c r="AC899" s="16">
        <f t="shared" ref="AC899:AC962" si="506">((AA899*19)/K899)*100</f>
        <v>64.60808893273439</v>
      </c>
      <c r="AD899" s="20">
        <f>'PFAS Properties'!$W$46</f>
        <v>8</v>
      </c>
      <c r="AE899" s="8">
        <f>'PFAS Properties'!$S$46</f>
        <v>2.0166155475571776</v>
      </c>
      <c r="AF899" s="15">
        <f>'PFAS Properties'!$V$46</f>
        <v>5</v>
      </c>
      <c r="AG899" s="24">
        <v>6.8</v>
      </c>
      <c r="AH899" s="2" t="s">
        <v>183</v>
      </c>
      <c r="AI899" s="2" t="s">
        <v>661</v>
      </c>
      <c r="AJ899" s="2" t="s">
        <v>661</v>
      </c>
      <c r="AK899" s="2" t="s">
        <v>661</v>
      </c>
      <c r="AL899" s="2" t="s">
        <v>661</v>
      </c>
      <c r="AM899" s="2" t="s">
        <v>661</v>
      </c>
      <c r="AN899" s="2" t="s">
        <v>661</v>
      </c>
      <c r="AO899" s="2" t="s">
        <v>661</v>
      </c>
      <c r="AP899" s="15">
        <v>7.1</v>
      </c>
      <c r="AQ899" s="2" t="s">
        <v>661</v>
      </c>
      <c r="AR899" s="16">
        <v>48.9</v>
      </c>
      <c r="AS899" s="16">
        <v>27</v>
      </c>
      <c r="AT899" s="16">
        <v>24.2</v>
      </c>
      <c r="AU899" s="2" t="s">
        <v>661</v>
      </c>
      <c r="AV899" s="16">
        <f t="shared" si="502"/>
        <v>100.10000000000001</v>
      </c>
      <c r="AW899" s="20">
        <v>0.37</v>
      </c>
      <c r="AX899" s="8">
        <v>3.7000000000000002E-3</v>
      </c>
      <c r="AY899" s="13" t="s">
        <v>184</v>
      </c>
      <c r="AZ899" s="16">
        <v>100</v>
      </c>
      <c r="BA899" s="16" t="s">
        <v>55</v>
      </c>
      <c r="BB899" s="16">
        <v>5</v>
      </c>
      <c r="BC899" s="16" t="s">
        <v>55</v>
      </c>
      <c r="BD899" s="20">
        <v>3.45</v>
      </c>
      <c r="BE899" s="16">
        <f t="shared" si="503"/>
        <v>932.43243243243239</v>
      </c>
      <c r="BF899" s="16">
        <f t="shared" si="504"/>
        <v>2.969617371006279</v>
      </c>
      <c r="BG899" s="8">
        <f t="shared" si="505"/>
        <v>0.53781909507327419</v>
      </c>
      <c r="BH899" s="13" t="s">
        <v>841</v>
      </c>
      <c r="BI899" s="9"/>
      <c r="BJ899" s="13"/>
      <c r="BK899" s="9"/>
      <c r="BL899" s="9"/>
      <c r="BM899" s="19"/>
      <c r="BN899" s="19"/>
      <c r="BO899" s="129"/>
    </row>
    <row r="900" spans="1:69" s="46" customFormat="1" x14ac:dyDescent="0.3">
      <c r="A900" s="20">
        <v>898</v>
      </c>
      <c r="B900" s="2" t="s">
        <v>181</v>
      </c>
      <c r="C900" s="2">
        <v>2020</v>
      </c>
      <c r="D900" s="2" t="s">
        <v>203</v>
      </c>
      <c r="E900" s="10" t="s">
        <v>787</v>
      </c>
      <c r="F900" s="20" t="s">
        <v>29</v>
      </c>
      <c r="G900" s="2" t="s">
        <v>58</v>
      </c>
      <c r="H900" s="2" t="str">
        <f>'PFAS Properties'!$B$46</f>
        <v>PFOS</v>
      </c>
      <c r="I900" s="2" t="str">
        <f>'PFAS Properties'!$C$46</f>
        <v>PFSA</v>
      </c>
      <c r="J900" s="2" t="str">
        <f>'PFAS Properties'!$D$46</f>
        <v>C8HF17O3S</v>
      </c>
      <c r="K900" s="25">
        <f>'PFAS Properties'!$P$46</f>
        <v>499.93739999999997</v>
      </c>
      <c r="L900" s="2">
        <f>'PFAS Properties'!$X$46</f>
        <v>0.1</v>
      </c>
      <c r="M900" s="2" t="str">
        <f>'PFAS Properties'!$Y$46</f>
        <v>-</v>
      </c>
      <c r="N900" s="33">
        <v>0</v>
      </c>
      <c r="O900" s="33">
        <v>0</v>
      </c>
      <c r="P900" s="33">
        <v>0</v>
      </c>
      <c r="Q900" s="33">
        <f t="shared" si="452"/>
        <v>0.9999992056723962</v>
      </c>
      <c r="R900" s="33">
        <v>0</v>
      </c>
      <c r="S900" s="33">
        <f t="shared" si="453"/>
        <v>7.9432760376743655E-7</v>
      </c>
      <c r="T900" s="8">
        <f t="shared" si="496"/>
        <v>1</v>
      </c>
      <c r="U900" s="33">
        <f t="shared" si="497"/>
        <v>0</v>
      </c>
      <c r="V900" s="33">
        <f t="shared" si="498"/>
        <v>-0.9999992056723962</v>
      </c>
      <c r="W900" s="33">
        <f t="shared" si="499"/>
        <v>498.93740079432757</v>
      </c>
      <c r="X900" s="33">
        <v>96485</v>
      </c>
      <c r="Y900" s="16">
        <f t="shared" si="500"/>
        <v>-193.38081932862406</v>
      </c>
      <c r="Z900" s="16">
        <v>8</v>
      </c>
      <c r="AA900" s="16">
        <v>17</v>
      </c>
      <c r="AB900" s="8">
        <f t="shared" si="501"/>
        <v>0.29721362229102166</v>
      </c>
      <c r="AC900" s="16">
        <f t="shared" si="506"/>
        <v>64.60808893273439</v>
      </c>
      <c r="AD900" s="20">
        <f>'PFAS Properties'!$W$46</f>
        <v>8</v>
      </c>
      <c r="AE900" s="8">
        <f>'PFAS Properties'!$S$46</f>
        <v>2.0166155475571776</v>
      </c>
      <c r="AF900" s="15">
        <f>'PFAS Properties'!$V$46</f>
        <v>5</v>
      </c>
      <c r="AG900" s="24">
        <v>6.2</v>
      </c>
      <c r="AH900" s="2" t="s">
        <v>183</v>
      </c>
      <c r="AI900" s="2" t="s">
        <v>661</v>
      </c>
      <c r="AJ900" s="2" t="s">
        <v>661</v>
      </c>
      <c r="AK900" s="2" t="s">
        <v>661</v>
      </c>
      <c r="AL900" s="2" t="s">
        <v>661</v>
      </c>
      <c r="AM900" s="2" t="s">
        <v>661</v>
      </c>
      <c r="AN900" s="2" t="s">
        <v>661</v>
      </c>
      <c r="AO900" s="2" t="s">
        <v>661</v>
      </c>
      <c r="AP900" s="15">
        <v>8</v>
      </c>
      <c r="AQ900" s="2" t="s">
        <v>661</v>
      </c>
      <c r="AR900" s="16">
        <v>51.44</v>
      </c>
      <c r="AS900" s="16">
        <v>10.17</v>
      </c>
      <c r="AT900" s="16">
        <v>38.380000000000003</v>
      </c>
      <c r="AU900" s="2" t="s">
        <v>661</v>
      </c>
      <c r="AV900" s="16">
        <f t="shared" si="502"/>
        <v>99.990000000000009</v>
      </c>
      <c r="AW900" s="20">
        <v>0.08</v>
      </c>
      <c r="AX900" s="8">
        <v>8.0000000000000004E-4</v>
      </c>
      <c r="AY900" s="8" t="s">
        <v>184</v>
      </c>
      <c r="AZ900" s="16">
        <v>100</v>
      </c>
      <c r="BA900" s="16" t="s">
        <v>55</v>
      </c>
      <c r="BB900" s="16">
        <v>5</v>
      </c>
      <c r="BC900" s="16" t="s">
        <v>55</v>
      </c>
      <c r="BD900" s="20">
        <v>3.15</v>
      </c>
      <c r="BE900" s="16">
        <f t="shared" si="503"/>
        <v>3937.4999999999995</v>
      </c>
      <c r="BF900" s="16">
        <f t="shared" si="504"/>
        <v>3.5952205667976567</v>
      </c>
      <c r="BG900" s="8">
        <f t="shared" si="505"/>
        <v>0.49831055378960049</v>
      </c>
      <c r="BH900" s="13" t="s">
        <v>841</v>
      </c>
      <c r="BI900" s="9"/>
      <c r="BJ900" s="13"/>
      <c r="BK900" s="9"/>
      <c r="BL900" s="9"/>
      <c r="BM900" s="19"/>
      <c r="BN900" s="19"/>
      <c r="BO900" s="129"/>
    </row>
    <row r="901" spans="1:69" s="46" customFormat="1" x14ac:dyDescent="0.3">
      <c r="A901" s="20">
        <v>899</v>
      </c>
      <c r="B901" s="2" t="s">
        <v>181</v>
      </c>
      <c r="C901" s="2">
        <v>2020</v>
      </c>
      <c r="D901" s="2" t="s">
        <v>203</v>
      </c>
      <c r="E901" s="10" t="s">
        <v>787</v>
      </c>
      <c r="F901" s="20" t="s">
        <v>29</v>
      </c>
      <c r="G901" s="2" t="s">
        <v>59</v>
      </c>
      <c r="H901" s="2" t="str">
        <f>'PFAS Properties'!$B$46</f>
        <v>PFOS</v>
      </c>
      <c r="I901" s="2" t="str">
        <f>'PFAS Properties'!$C$46</f>
        <v>PFSA</v>
      </c>
      <c r="J901" s="2" t="str">
        <f>'PFAS Properties'!$D$46</f>
        <v>C8HF17O3S</v>
      </c>
      <c r="K901" s="25">
        <f>'PFAS Properties'!$P$46</f>
        <v>499.93739999999997</v>
      </c>
      <c r="L901" s="2">
        <f>'PFAS Properties'!$X$46</f>
        <v>0.1</v>
      </c>
      <c r="M901" s="2" t="str">
        <f>'PFAS Properties'!$Y$46</f>
        <v>-</v>
      </c>
      <c r="N901" s="33">
        <v>0</v>
      </c>
      <c r="O901" s="33">
        <v>0</v>
      </c>
      <c r="P901" s="33">
        <v>0</v>
      </c>
      <c r="Q901" s="33">
        <f t="shared" si="452"/>
        <v>0.99999997488113634</v>
      </c>
      <c r="R901" s="33">
        <v>0</v>
      </c>
      <c r="S901" s="33">
        <f t="shared" si="453"/>
        <v>2.5118863684138424E-8</v>
      </c>
      <c r="T901" s="8">
        <f t="shared" si="496"/>
        <v>1</v>
      </c>
      <c r="U901" s="33">
        <f t="shared" si="497"/>
        <v>0</v>
      </c>
      <c r="V901" s="33">
        <f t="shared" si="498"/>
        <v>-0.99999997488113634</v>
      </c>
      <c r="W901" s="33">
        <f t="shared" si="499"/>
        <v>498.93740002511885</v>
      </c>
      <c r="X901" s="33">
        <v>96485</v>
      </c>
      <c r="Y901" s="16">
        <f t="shared" si="500"/>
        <v>-193.38096837709284</v>
      </c>
      <c r="Z901" s="16">
        <v>8</v>
      </c>
      <c r="AA901" s="16">
        <v>17</v>
      </c>
      <c r="AB901" s="8">
        <f t="shared" si="501"/>
        <v>0.29721362229102166</v>
      </c>
      <c r="AC901" s="16">
        <f t="shared" si="506"/>
        <v>64.60808893273439</v>
      </c>
      <c r="AD901" s="20">
        <f>'PFAS Properties'!$W$46</f>
        <v>8</v>
      </c>
      <c r="AE901" s="8">
        <f>'PFAS Properties'!$S$46</f>
        <v>2.0166155475571776</v>
      </c>
      <c r="AF901" s="15">
        <f>'PFAS Properties'!$V$46</f>
        <v>5</v>
      </c>
      <c r="AG901" s="24">
        <v>7.7</v>
      </c>
      <c r="AH901" s="2" t="s">
        <v>183</v>
      </c>
      <c r="AI901" s="2" t="s">
        <v>661</v>
      </c>
      <c r="AJ901" s="2" t="s">
        <v>661</v>
      </c>
      <c r="AK901" s="2" t="s">
        <v>661</v>
      </c>
      <c r="AL901" s="2" t="s">
        <v>661</v>
      </c>
      <c r="AM901" s="2" t="s">
        <v>661</v>
      </c>
      <c r="AN901" s="2" t="s">
        <v>661</v>
      </c>
      <c r="AO901" s="2" t="s">
        <v>661</v>
      </c>
      <c r="AP901" s="15">
        <v>4.8</v>
      </c>
      <c r="AQ901" s="2" t="s">
        <v>661</v>
      </c>
      <c r="AR901" s="16">
        <v>46</v>
      </c>
      <c r="AS901" s="16">
        <v>37</v>
      </c>
      <c r="AT901" s="16">
        <v>17</v>
      </c>
      <c r="AU901" s="2" t="s">
        <v>661</v>
      </c>
      <c r="AV901" s="16">
        <f t="shared" si="502"/>
        <v>100</v>
      </c>
      <c r="AW901" s="20">
        <v>0.25</v>
      </c>
      <c r="AX901" s="8">
        <v>2.5000000000000001E-3</v>
      </c>
      <c r="AY901" s="13" t="s">
        <v>184</v>
      </c>
      <c r="AZ901" s="16">
        <v>100</v>
      </c>
      <c r="BA901" s="16" t="s">
        <v>55</v>
      </c>
      <c r="BB901" s="16">
        <v>5</v>
      </c>
      <c r="BC901" s="16" t="s">
        <v>55</v>
      </c>
      <c r="BD901" s="18">
        <v>4.18</v>
      </c>
      <c r="BE901" s="16">
        <f t="shared" si="503"/>
        <v>1671.9999999999998</v>
      </c>
      <c r="BF901" s="16">
        <f t="shared" si="504"/>
        <v>3.2232362731029975</v>
      </c>
      <c r="BG901" s="8">
        <f t="shared" si="505"/>
        <v>0.62117628177503514</v>
      </c>
      <c r="BH901" s="13" t="s">
        <v>841</v>
      </c>
      <c r="BI901" s="9"/>
      <c r="BJ901" s="13"/>
      <c r="BK901" s="9"/>
      <c r="BL901" s="9"/>
      <c r="BM901" s="19"/>
      <c r="BN901" s="19"/>
      <c r="BO901" s="129"/>
    </row>
    <row r="902" spans="1:69" s="46" customFormat="1" x14ac:dyDescent="0.3">
      <c r="A902" s="20">
        <v>900</v>
      </c>
      <c r="B902" s="2" t="s">
        <v>181</v>
      </c>
      <c r="C902" s="2">
        <v>2020</v>
      </c>
      <c r="D902" s="2" t="s">
        <v>203</v>
      </c>
      <c r="E902" s="10" t="s">
        <v>787</v>
      </c>
      <c r="F902" s="20" t="s">
        <v>29</v>
      </c>
      <c r="G902" s="2" t="s">
        <v>61</v>
      </c>
      <c r="H902" s="2" t="str">
        <f>'PFAS Properties'!$B$46</f>
        <v>PFOS</v>
      </c>
      <c r="I902" s="2" t="str">
        <f>'PFAS Properties'!$C$46</f>
        <v>PFSA</v>
      </c>
      <c r="J902" s="2" t="str">
        <f>'PFAS Properties'!$D$46</f>
        <v>C8HF17O3S</v>
      </c>
      <c r="K902" s="25">
        <f>'PFAS Properties'!$P$46</f>
        <v>499.93739999999997</v>
      </c>
      <c r="L902" s="2">
        <f>'PFAS Properties'!$X$46</f>
        <v>0.1</v>
      </c>
      <c r="M902" s="2" t="str">
        <f>'PFAS Properties'!$Y$46</f>
        <v>-</v>
      </c>
      <c r="N902" s="33">
        <v>0</v>
      </c>
      <c r="O902" s="33">
        <v>0</v>
      </c>
      <c r="P902" s="33">
        <v>0</v>
      </c>
      <c r="Q902" s="33">
        <f t="shared" si="452"/>
        <v>0.99999994988127916</v>
      </c>
      <c r="R902" s="33">
        <v>0</v>
      </c>
      <c r="S902" s="33">
        <f t="shared" si="453"/>
        <v>5.0118720850840682E-8</v>
      </c>
      <c r="T902" s="8">
        <f t="shared" si="496"/>
        <v>1</v>
      </c>
      <c r="U902" s="33">
        <f t="shared" si="497"/>
        <v>0</v>
      </c>
      <c r="V902" s="33">
        <f t="shared" si="498"/>
        <v>-0.99999994988127916</v>
      </c>
      <c r="W902" s="33">
        <f t="shared" si="499"/>
        <v>498.93740005011864</v>
      </c>
      <c r="X902" s="33">
        <v>96485</v>
      </c>
      <c r="Y902" s="16">
        <f t="shared" si="500"/>
        <v>-193.38096353290661</v>
      </c>
      <c r="Z902" s="16">
        <v>8</v>
      </c>
      <c r="AA902" s="16">
        <v>17</v>
      </c>
      <c r="AB902" s="8">
        <f t="shared" si="501"/>
        <v>0.29721362229102166</v>
      </c>
      <c r="AC902" s="16">
        <f t="shared" si="506"/>
        <v>64.60808893273439</v>
      </c>
      <c r="AD902" s="20">
        <f>'PFAS Properties'!$W$46</f>
        <v>8</v>
      </c>
      <c r="AE902" s="8">
        <f>'PFAS Properties'!$S$46</f>
        <v>2.0166155475571776</v>
      </c>
      <c r="AF902" s="15">
        <f>'PFAS Properties'!$V$46</f>
        <v>5</v>
      </c>
      <c r="AG902" s="24">
        <v>7.4</v>
      </c>
      <c r="AH902" s="2" t="s">
        <v>183</v>
      </c>
      <c r="AI902" s="2" t="s">
        <v>661</v>
      </c>
      <c r="AJ902" s="2" t="s">
        <v>661</v>
      </c>
      <c r="AK902" s="2" t="s">
        <v>661</v>
      </c>
      <c r="AL902" s="2" t="s">
        <v>661</v>
      </c>
      <c r="AM902" s="2" t="s">
        <v>661</v>
      </c>
      <c r="AN902" s="2" t="s">
        <v>661</v>
      </c>
      <c r="AO902" s="2" t="s">
        <v>661</v>
      </c>
      <c r="AP902" s="15">
        <v>29.6</v>
      </c>
      <c r="AQ902" s="2" t="s">
        <v>661</v>
      </c>
      <c r="AR902" s="16">
        <v>39.799999999999997</v>
      </c>
      <c r="AS902" s="16">
        <v>7.7</v>
      </c>
      <c r="AT902" s="16">
        <v>52.5</v>
      </c>
      <c r="AU902" s="2" t="s">
        <v>661</v>
      </c>
      <c r="AV902" s="16">
        <f t="shared" si="502"/>
        <v>100</v>
      </c>
      <c r="AW902" s="20">
        <v>2.23</v>
      </c>
      <c r="AX902" s="8">
        <v>2.23E-2</v>
      </c>
      <c r="AY902" s="8" t="s">
        <v>184</v>
      </c>
      <c r="AZ902" s="16">
        <v>100</v>
      </c>
      <c r="BA902" s="16" t="s">
        <v>55</v>
      </c>
      <c r="BB902" s="16">
        <v>5</v>
      </c>
      <c r="BC902" s="16" t="s">
        <v>55</v>
      </c>
      <c r="BD902" s="20">
        <v>3.71</v>
      </c>
      <c r="BE902" s="16">
        <f t="shared" si="503"/>
        <v>166.3677130044843</v>
      </c>
      <c r="BF902" s="16">
        <f t="shared" si="504"/>
        <v>2.221069046566885</v>
      </c>
      <c r="BG902" s="8">
        <f t="shared" si="505"/>
        <v>0.56937390961504586</v>
      </c>
      <c r="BH902" s="13" t="s">
        <v>841</v>
      </c>
      <c r="BI902" s="9"/>
      <c r="BJ902" s="13"/>
      <c r="BK902" s="9"/>
      <c r="BL902" s="9"/>
      <c r="BM902" s="19"/>
      <c r="BN902" s="19"/>
      <c r="BO902" s="129"/>
    </row>
    <row r="903" spans="1:69" s="46" customFormat="1" x14ac:dyDescent="0.3">
      <c r="A903" s="20">
        <v>901</v>
      </c>
      <c r="B903" s="2" t="s">
        <v>181</v>
      </c>
      <c r="C903" s="2">
        <v>2020</v>
      </c>
      <c r="D903" s="2" t="s">
        <v>203</v>
      </c>
      <c r="E903" s="10" t="s">
        <v>787</v>
      </c>
      <c r="F903" s="20" t="s">
        <v>29</v>
      </c>
      <c r="G903" s="2" t="s">
        <v>60</v>
      </c>
      <c r="H903" s="2" t="str">
        <f>'PFAS Properties'!$B$46</f>
        <v>PFOS</v>
      </c>
      <c r="I903" s="2" t="str">
        <f>'PFAS Properties'!$C$46</f>
        <v>PFSA</v>
      </c>
      <c r="J903" s="2" t="str">
        <f>'PFAS Properties'!$D$46</f>
        <v>C8HF17O3S</v>
      </c>
      <c r="K903" s="25">
        <f>'PFAS Properties'!$P$46</f>
        <v>499.93739999999997</v>
      </c>
      <c r="L903" s="2">
        <f>'PFAS Properties'!$X$46</f>
        <v>0.1</v>
      </c>
      <c r="M903" s="2" t="str">
        <f>'PFAS Properties'!$Y$46</f>
        <v>-</v>
      </c>
      <c r="N903" s="33">
        <v>0</v>
      </c>
      <c r="O903" s="33">
        <v>0</v>
      </c>
      <c r="P903" s="33">
        <v>0</v>
      </c>
      <c r="Q903" s="33">
        <f t="shared" si="452"/>
        <v>0.99999997488113634</v>
      </c>
      <c r="R903" s="33">
        <v>0</v>
      </c>
      <c r="S903" s="33">
        <f t="shared" si="453"/>
        <v>2.5118863684138424E-8</v>
      </c>
      <c r="T903" s="8">
        <f t="shared" si="496"/>
        <v>1</v>
      </c>
      <c r="U903" s="33">
        <f t="shared" si="497"/>
        <v>0</v>
      </c>
      <c r="V903" s="33">
        <f t="shared" si="498"/>
        <v>-0.99999997488113634</v>
      </c>
      <c r="W903" s="33">
        <f t="shared" si="499"/>
        <v>498.93740002511885</v>
      </c>
      <c r="X903" s="33">
        <v>96485</v>
      </c>
      <c r="Y903" s="16">
        <f t="shared" si="500"/>
        <v>-193.38096837709284</v>
      </c>
      <c r="Z903" s="16">
        <v>8</v>
      </c>
      <c r="AA903" s="16">
        <v>17</v>
      </c>
      <c r="AB903" s="8">
        <f t="shared" si="501"/>
        <v>0.29721362229102166</v>
      </c>
      <c r="AC903" s="16">
        <f t="shared" si="506"/>
        <v>64.60808893273439</v>
      </c>
      <c r="AD903" s="20">
        <f>'PFAS Properties'!$W$46</f>
        <v>8</v>
      </c>
      <c r="AE903" s="8">
        <f>'PFAS Properties'!$S$46</f>
        <v>2.0166155475571776</v>
      </c>
      <c r="AF903" s="15">
        <f>'PFAS Properties'!$V$46</f>
        <v>5</v>
      </c>
      <c r="AG903" s="24">
        <v>7.7</v>
      </c>
      <c r="AH903" s="2" t="s">
        <v>183</v>
      </c>
      <c r="AI903" s="2" t="s">
        <v>661</v>
      </c>
      <c r="AJ903" s="2" t="s">
        <v>661</v>
      </c>
      <c r="AK903" s="2" t="s">
        <v>661</v>
      </c>
      <c r="AL903" s="2" t="s">
        <v>661</v>
      </c>
      <c r="AM903" s="2" t="s">
        <v>661</v>
      </c>
      <c r="AN903" s="2" t="s">
        <v>661</v>
      </c>
      <c r="AO903" s="2" t="s">
        <v>661</v>
      </c>
      <c r="AP903" s="15">
        <v>21.63</v>
      </c>
      <c r="AQ903" s="2" t="s">
        <v>661</v>
      </c>
      <c r="AR903" s="16">
        <v>70</v>
      </c>
      <c r="AS903" s="16">
        <v>11</v>
      </c>
      <c r="AT903" s="16">
        <v>19</v>
      </c>
      <c r="AU903" s="2" t="s">
        <v>661</v>
      </c>
      <c r="AV903" s="16">
        <f t="shared" si="502"/>
        <v>100</v>
      </c>
      <c r="AW903" s="20">
        <v>4.9000000000000004</v>
      </c>
      <c r="AX903" s="8">
        <v>4.9000000000000002E-2</v>
      </c>
      <c r="AY903" s="8" t="s">
        <v>184</v>
      </c>
      <c r="AZ903" s="16">
        <v>100</v>
      </c>
      <c r="BA903" s="16" t="s">
        <v>55</v>
      </c>
      <c r="BB903" s="16">
        <v>5</v>
      </c>
      <c r="BC903" s="16" t="s">
        <v>55</v>
      </c>
      <c r="BD903" s="20">
        <v>34.299999999999997</v>
      </c>
      <c r="BE903" s="16">
        <f t="shared" si="503"/>
        <v>699.99999999999989</v>
      </c>
      <c r="BF903" s="16">
        <f t="shared" si="504"/>
        <v>2.8450980400142569</v>
      </c>
      <c r="BG903" s="8">
        <f t="shared" si="505"/>
        <v>1.5352941200427705</v>
      </c>
      <c r="BH903" s="13" t="s">
        <v>841</v>
      </c>
      <c r="BI903" s="9"/>
      <c r="BJ903" s="13"/>
      <c r="BK903" s="9"/>
      <c r="BL903" s="9"/>
      <c r="BM903" s="19"/>
      <c r="BN903" s="19"/>
      <c r="BO903" s="129"/>
    </row>
    <row r="904" spans="1:69" s="46" customFormat="1" x14ac:dyDescent="0.3">
      <c r="A904" s="20">
        <v>902</v>
      </c>
      <c r="B904" s="2" t="s">
        <v>181</v>
      </c>
      <c r="C904" s="2">
        <v>2020</v>
      </c>
      <c r="D904" s="2" t="s">
        <v>203</v>
      </c>
      <c r="E904" s="10" t="s">
        <v>787</v>
      </c>
      <c r="F904" s="20" t="s">
        <v>29</v>
      </c>
      <c r="G904" s="2" t="s">
        <v>77</v>
      </c>
      <c r="H904" s="2" t="str">
        <f>'PFAS Properties'!$B$46</f>
        <v>PFOS</v>
      </c>
      <c r="I904" s="2" t="str">
        <f>'PFAS Properties'!$C$46</f>
        <v>PFSA</v>
      </c>
      <c r="J904" s="2" t="str">
        <f>'PFAS Properties'!$D$46</f>
        <v>C8HF17O3S</v>
      </c>
      <c r="K904" s="25">
        <f>'PFAS Properties'!$P$46</f>
        <v>499.93739999999997</v>
      </c>
      <c r="L904" s="2">
        <f>'PFAS Properties'!$X$46</f>
        <v>0.1</v>
      </c>
      <c r="M904" s="2" t="str">
        <f>'PFAS Properties'!$Y$46</f>
        <v>-</v>
      </c>
      <c r="N904" s="33">
        <v>0</v>
      </c>
      <c r="O904" s="33">
        <v>0</v>
      </c>
      <c r="P904" s="33">
        <v>0</v>
      </c>
      <c r="Q904" s="33">
        <f t="shared" si="452"/>
        <v>0.99999997488113634</v>
      </c>
      <c r="R904" s="33">
        <v>0</v>
      </c>
      <c r="S904" s="33">
        <f t="shared" si="453"/>
        <v>2.5118863684138424E-8</v>
      </c>
      <c r="T904" s="8">
        <f t="shared" si="496"/>
        <v>1</v>
      </c>
      <c r="U904" s="33">
        <f t="shared" si="497"/>
        <v>0</v>
      </c>
      <c r="V904" s="33">
        <f t="shared" si="498"/>
        <v>-0.99999997488113634</v>
      </c>
      <c r="W904" s="33">
        <f t="shared" si="499"/>
        <v>498.93740002511885</v>
      </c>
      <c r="X904" s="33">
        <v>96485</v>
      </c>
      <c r="Y904" s="16">
        <f t="shared" si="500"/>
        <v>-193.38096837709284</v>
      </c>
      <c r="Z904" s="16">
        <v>8</v>
      </c>
      <c r="AA904" s="16">
        <v>17</v>
      </c>
      <c r="AB904" s="8">
        <f t="shared" si="501"/>
        <v>0.29721362229102166</v>
      </c>
      <c r="AC904" s="16">
        <f t="shared" si="506"/>
        <v>64.60808893273439</v>
      </c>
      <c r="AD904" s="20">
        <f>'PFAS Properties'!$W$46</f>
        <v>8</v>
      </c>
      <c r="AE904" s="8">
        <f>'PFAS Properties'!$S$46</f>
        <v>2.0166155475571776</v>
      </c>
      <c r="AF904" s="15">
        <f>'PFAS Properties'!$V$46</f>
        <v>5</v>
      </c>
      <c r="AG904" s="24">
        <v>7.7</v>
      </c>
      <c r="AH904" s="2" t="s">
        <v>183</v>
      </c>
      <c r="AI904" s="2" t="s">
        <v>661</v>
      </c>
      <c r="AJ904" s="2" t="s">
        <v>661</v>
      </c>
      <c r="AK904" s="2" t="s">
        <v>661</v>
      </c>
      <c r="AL904" s="2" t="s">
        <v>661</v>
      </c>
      <c r="AM904" s="2" t="s">
        <v>661</v>
      </c>
      <c r="AN904" s="2" t="s">
        <v>661</v>
      </c>
      <c r="AO904" s="2" t="s">
        <v>661</v>
      </c>
      <c r="AP904" s="15">
        <v>7.8</v>
      </c>
      <c r="AQ904" s="2" t="s">
        <v>661</v>
      </c>
      <c r="AR904" s="16">
        <v>48.9</v>
      </c>
      <c r="AS904" s="16">
        <v>32.6</v>
      </c>
      <c r="AT904" s="16">
        <v>18.5</v>
      </c>
      <c r="AU904" s="2" t="s">
        <v>661</v>
      </c>
      <c r="AV904" s="16">
        <f t="shared" si="502"/>
        <v>100</v>
      </c>
      <c r="AW904" s="20">
        <v>0.13</v>
      </c>
      <c r="AX904" s="8">
        <v>1.2999999999999999E-3</v>
      </c>
      <c r="AY904" s="8" t="s">
        <v>184</v>
      </c>
      <c r="AZ904" s="16">
        <v>100</v>
      </c>
      <c r="BA904" s="16" t="s">
        <v>55</v>
      </c>
      <c r="BB904" s="16">
        <v>5</v>
      </c>
      <c r="BC904" s="16" t="s">
        <v>55</v>
      </c>
      <c r="BD904" s="20">
        <v>3.52</v>
      </c>
      <c r="BE904" s="16">
        <f t="shared" si="503"/>
        <v>2707.6923076923076</v>
      </c>
      <c r="BF904" s="16">
        <f t="shared" si="504"/>
        <v>3.4325993111712942</v>
      </c>
      <c r="BG904" s="8">
        <f t="shared" si="505"/>
        <v>0.54654266347813107</v>
      </c>
      <c r="BH904" s="13" t="s">
        <v>841</v>
      </c>
      <c r="BI904" s="9"/>
      <c r="BJ904" s="13"/>
      <c r="BK904" s="9"/>
      <c r="BL904" s="9"/>
      <c r="BM904" s="19"/>
      <c r="BN904" s="19"/>
      <c r="BO904" s="129"/>
    </row>
    <row r="905" spans="1:69" s="46" customFormat="1" x14ac:dyDescent="0.3">
      <c r="A905" s="20">
        <v>903</v>
      </c>
      <c r="B905" s="2" t="s">
        <v>181</v>
      </c>
      <c r="C905" s="2">
        <v>2020</v>
      </c>
      <c r="D905" s="2" t="s">
        <v>203</v>
      </c>
      <c r="E905" s="10" t="s">
        <v>787</v>
      </c>
      <c r="F905" s="20" t="s">
        <v>29</v>
      </c>
      <c r="G905" s="2" t="s">
        <v>182</v>
      </c>
      <c r="H905" s="2" t="str">
        <f>'PFAS Properties'!$B$46</f>
        <v>PFOS</v>
      </c>
      <c r="I905" s="2" t="str">
        <f>'PFAS Properties'!$C$46</f>
        <v>PFSA</v>
      </c>
      <c r="J905" s="2" t="str">
        <f>'PFAS Properties'!$D$46</f>
        <v>C8HF17O3S</v>
      </c>
      <c r="K905" s="25">
        <f>'PFAS Properties'!$P$46</f>
        <v>499.93739999999997</v>
      </c>
      <c r="L905" s="2">
        <f>'PFAS Properties'!$X$46</f>
        <v>0.1</v>
      </c>
      <c r="M905" s="2" t="str">
        <f>'PFAS Properties'!$Y$46</f>
        <v>-</v>
      </c>
      <c r="N905" s="33">
        <v>0</v>
      </c>
      <c r="O905" s="33">
        <v>0</v>
      </c>
      <c r="P905" s="33">
        <v>0</v>
      </c>
      <c r="Q905" s="33">
        <f t="shared" si="452"/>
        <v>0.9999999601892845</v>
      </c>
      <c r="R905" s="33">
        <v>0</v>
      </c>
      <c r="S905" s="33">
        <f t="shared" si="453"/>
        <v>3.9810715470456442E-8</v>
      </c>
      <c r="T905" s="8">
        <f t="shared" si="496"/>
        <v>1</v>
      </c>
      <c r="U905" s="33">
        <f t="shared" si="497"/>
        <v>0</v>
      </c>
      <c r="V905" s="33">
        <f t="shared" si="498"/>
        <v>-0.9999999601892845</v>
      </c>
      <c r="W905" s="33">
        <f t="shared" si="499"/>
        <v>498.93740003981065</v>
      </c>
      <c r="X905" s="33">
        <v>96485</v>
      </c>
      <c r="Y905" s="16">
        <f t="shared" si="500"/>
        <v>-193.38096553027393</v>
      </c>
      <c r="Z905" s="16">
        <v>8</v>
      </c>
      <c r="AA905" s="16">
        <v>17</v>
      </c>
      <c r="AB905" s="8">
        <f t="shared" si="501"/>
        <v>0.29721362229102166</v>
      </c>
      <c r="AC905" s="16">
        <f t="shared" si="506"/>
        <v>64.60808893273439</v>
      </c>
      <c r="AD905" s="20">
        <f>'PFAS Properties'!$W$46</f>
        <v>8</v>
      </c>
      <c r="AE905" s="8">
        <f>'PFAS Properties'!$S$46</f>
        <v>2.0166155475571776</v>
      </c>
      <c r="AF905" s="15">
        <f>'PFAS Properties'!$V$46</f>
        <v>5</v>
      </c>
      <c r="AG905" s="24">
        <v>7.5</v>
      </c>
      <c r="AH905" s="2" t="s">
        <v>183</v>
      </c>
      <c r="AI905" s="2" t="s">
        <v>661</v>
      </c>
      <c r="AJ905" s="2" t="s">
        <v>661</v>
      </c>
      <c r="AK905" s="2" t="s">
        <v>661</v>
      </c>
      <c r="AL905" s="2" t="s">
        <v>661</v>
      </c>
      <c r="AM905" s="2" t="s">
        <v>661</v>
      </c>
      <c r="AN905" s="2" t="s">
        <v>661</v>
      </c>
      <c r="AO905" s="2" t="s">
        <v>661</v>
      </c>
      <c r="AP905" s="15">
        <v>2.2799999999999998</v>
      </c>
      <c r="AQ905" s="2" t="s">
        <v>661</v>
      </c>
      <c r="AR905" s="16">
        <v>93</v>
      </c>
      <c r="AS905" s="16">
        <v>1</v>
      </c>
      <c r="AT905" s="16">
        <v>5</v>
      </c>
      <c r="AU905" s="2" t="s">
        <v>661</v>
      </c>
      <c r="AV905" s="16">
        <f t="shared" si="502"/>
        <v>99</v>
      </c>
      <c r="AW905" s="20">
        <v>0.4</v>
      </c>
      <c r="AX905" s="8">
        <v>4.0000000000000001E-3</v>
      </c>
      <c r="AY905" s="8" t="s">
        <v>184</v>
      </c>
      <c r="AZ905" s="16">
        <v>100</v>
      </c>
      <c r="BA905" s="16" t="s">
        <v>55</v>
      </c>
      <c r="BB905" s="16">
        <v>5</v>
      </c>
      <c r="BC905" s="16" t="s">
        <v>55</v>
      </c>
      <c r="BD905" s="20">
        <v>3.22</v>
      </c>
      <c r="BE905" s="16">
        <f t="shared" si="503"/>
        <v>805</v>
      </c>
      <c r="BF905" s="16">
        <f t="shared" si="504"/>
        <v>2.9057958803678687</v>
      </c>
      <c r="BG905" s="8">
        <f t="shared" si="505"/>
        <v>0.50785587169583091</v>
      </c>
      <c r="BH905" s="13" t="s">
        <v>841</v>
      </c>
      <c r="BI905" s="9"/>
      <c r="BJ905" s="13"/>
      <c r="BK905" s="9"/>
      <c r="BL905" s="9"/>
      <c r="BM905" s="19"/>
      <c r="BN905" s="19"/>
      <c r="BO905" s="129"/>
    </row>
    <row r="906" spans="1:69" s="46" customFormat="1" x14ac:dyDescent="0.3">
      <c r="A906" s="20">
        <v>904</v>
      </c>
      <c r="B906" s="2" t="s">
        <v>181</v>
      </c>
      <c r="C906" s="2">
        <v>2020</v>
      </c>
      <c r="D906" s="2" t="s">
        <v>203</v>
      </c>
      <c r="E906" s="10" t="s">
        <v>787</v>
      </c>
      <c r="F906" s="20" t="s">
        <v>29</v>
      </c>
      <c r="G906" s="2" t="s">
        <v>78</v>
      </c>
      <c r="H906" s="2" t="str">
        <f>'PFAS Properties'!$B$46</f>
        <v>PFOS</v>
      </c>
      <c r="I906" s="2" t="str">
        <f>'PFAS Properties'!$C$46</f>
        <v>PFSA</v>
      </c>
      <c r="J906" s="2" t="str">
        <f>'PFAS Properties'!$D$46</f>
        <v>C8HF17O3S</v>
      </c>
      <c r="K906" s="25">
        <f>'PFAS Properties'!$P$46</f>
        <v>499.93739999999997</v>
      </c>
      <c r="L906" s="2">
        <f>'PFAS Properties'!$X$46</f>
        <v>0.1</v>
      </c>
      <c r="M906" s="2" t="str">
        <f>'PFAS Properties'!$Y$46</f>
        <v>-</v>
      </c>
      <c r="N906" s="33">
        <v>0</v>
      </c>
      <c r="O906" s="33">
        <v>0</v>
      </c>
      <c r="P906" s="33">
        <v>0</v>
      </c>
      <c r="Q906" s="33">
        <f t="shared" si="452"/>
        <v>0.99999990000001004</v>
      </c>
      <c r="R906" s="33">
        <v>0</v>
      </c>
      <c r="S906" s="33">
        <f t="shared" si="453"/>
        <v>9.9999990000001005E-8</v>
      </c>
      <c r="T906" s="8">
        <f t="shared" si="496"/>
        <v>1</v>
      </c>
      <c r="U906" s="33">
        <f t="shared" si="497"/>
        <v>0</v>
      </c>
      <c r="V906" s="33">
        <f t="shared" si="498"/>
        <v>-0.99999990000001004</v>
      </c>
      <c r="W906" s="33">
        <f t="shared" si="499"/>
        <v>498.93740009999999</v>
      </c>
      <c r="X906" s="33">
        <v>96485</v>
      </c>
      <c r="Y906" s="16">
        <f t="shared" si="500"/>
        <v>-193.38095386748492</v>
      </c>
      <c r="Z906" s="16">
        <v>8</v>
      </c>
      <c r="AA906" s="16">
        <v>17</v>
      </c>
      <c r="AB906" s="8">
        <f t="shared" si="501"/>
        <v>0.29721362229102166</v>
      </c>
      <c r="AC906" s="16">
        <f t="shared" si="506"/>
        <v>64.60808893273439</v>
      </c>
      <c r="AD906" s="20">
        <f>'PFAS Properties'!$W$46</f>
        <v>8</v>
      </c>
      <c r="AE906" s="8">
        <f>'PFAS Properties'!$S$46</f>
        <v>2.0166155475571776</v>
      </c>
      <c r="AF906" s="15">
        <f>'PFAS Properties'!$V$46</f>
        <v>5</v>
      </c>
      <c r="AG906" s="24">
        <v>7.1</v>
      </c>
      <c r="AH906" s="2" t="s">
        <v>183</v>
      </c>
      <c r="AI906" s="2" t="s">
        <v>661</v>
      </c>
      <c r="AJ906" s="2" t="s">
        <v>661</v>
      </c>
      <c r="AK906" s="2" t="s">
        <v>661</v>
      </c>
      <c r="AL906" s="2" t="s">
        <v>661</v>
      </c>
      <c r="AM906" s="2" t="s">
        <v>661</v>
      </c>
      <c r="AN906" s="2" t="s">
        <v>661</v>
      </c>
      <c r="AO906" s="2" t="s">
        <v>661</v>
      </c>
      <c r="AP906" s="15">
        <v>17.420000000000002</v>
      </c>
      <c r="AQ906" s="2" t="s">
        <v>661</v>
      </c>
      <c r="AR906" s="16">
        <v>48.86</v>
      </c>
      <c r="AS906" s="16">
        <v>16.05</v>
      </c>
      <c r="AT906" s="16">
        <v>35.090000000000003</v>
      </c>
      <c r="AU906" s="2" t="s">
        <v>661</v>
      </c>
      <c r="AV906" s="16">
        <f t="shared" si="502"/>
        <v>100</v>
      </c>
      <c r="AW906" s="20">
        <v>1.19</v>
      </c>
      <c r="AX906" s="8">
        <v>1.1899999999999999E-2</v>
      </c>
      <c r="AY906" s="8" t="s">
        <v>184</v>
      </c>
      <c r="AZ906" s="16">
        <v>100</v>
      </c>
      <c r="BA906" s="16" t="s">
        <v>55</v>
      </c>
      <c r="BB906" s="16">
        <v>5</v>
      </c>
      <c r="BC906" s="16" t="s">
        <v>55</v>
      </c>
      <c r="BD906" s="20">
        <v>8.7799999999999994</v>
      </c>
      <c r="BE906" s="16">
        <f t="shared" si="503"/>
        <v>737.81512605042019</v>
      </c>
      <c r="BF906" s="16">
        <f t="shared" si="504"/>
        <v>2.867947554513572</v>
      </c>
      <c r="BG906" s="8">
        <f t="shared" si="505"/>
        <v>0.94349451590610256</v>
      </c>
      <c r="BH906" s="13" t="s">
        <v>841</v>
      </c>
      <c r="BI906" s="9"/>
      <c r="BJ906" s="13"/>
      <c r="BK906" s="9"/>
      <c r="BL906" s="9"/>
      <c r="BM906" s="19"/>
      <c r="BN906" s="19"/>
      <c r="BO906" s="129"/>
    </row>
    <row r="907" spans="1:69" s="46" customFormat="1" x14ac:dyDescent="0.3">
      <c r="A907" s="20">
        <v>905</v>
      </c>
      <c r="B907" s="2" t="s">
        <v>181</v>
      </c>
      <c r="C907" s="2">
        <v>2020</v>
      </c>
      <c r="D907" s="2" t="s">
        <v>203</v>
      </c>
      <c r="E907" s="10" t="s">
        <v>787</v>
      </c>
      <c r="F907" s="20" t="s">
        <v>29</v>
      </c>
      <c r="G907" s="2" t="s">
        <v>98</v>
      </c>
      <c r="H907" s="2" t="str">
        <f>'PFAS Properties'!$B$46</f>
        <v>PFOS</v>
      </c>
      <c r="I907" s="2" t="str">
        <f>'PFAS Properties'!$C$46</f>
        <v>PFSA</v>
      </c>
      <c r="J907" s="2" t="str">
        <f>'PFAS Properties'!$D$46</f>
        <v>C8HF17O3S</v>
      </c>
      <c r="K907" s="25">
        <f>'PFAS Properties'!$P$46</f>
        <v>499.93739999999997</v>
      </c>
      <c r="L907" s="2">
        <f>'PFAS Properties'!$X$46</f>
        <v>0.1</v>
      </c>
      <c r="M907" s="2" t="str">
        <f>'PFAS Properties'!$Y$46</f>
        <v>-</v>
      </c>
      <c r="N907" s="33">
        <v>0</v>
      </c>
      <c r="O907" s="33">
        <v>0</v>
      </c>
      <c r="P907" s="33">
        <v>0</v>
      </c>
      <c r="Q907" s="33">
        <f t="shared" si="452"/>
        <v>0.99999949881301753</v>
      </c>
      <c r="R907" s="33">
        <v>0</v>
      </c>
      <c r="S907" s="33">
        <f t="shared" si="453"/>
        <v>5.0118698243875318E-7</v>
      </c>
      <c r="T907" s="8">
        <f t="shared" si="496"/>
        <v>1</v>
      </c>
      <c r="U907" s="33">
        <f t="shared" si="497"/>
        <v>0</v>
      </c>
      <c r="V907" s="33">
        <f t="shared" si="498"/>
        <v>-0.99999949881301753</v>
      </c>
      <c r="W907" s="33">
        <f t="shared" si="499"/>
        <v>498.93740050118691</v>
      </c>
      <c r="X907" s="33">
        <v>96485</v>
      </c>
      <c r="Y907" s="16">
        <f t="shared" si="500"/>
        <v>-193.38087613005968</v>
      </c>
      <c r="Z907" s="16">
        <v>8</v>
      </c>
      <c r="AA907" s="16">
        <v>17</v>
      </c>
      <c r="AB907" s="8">
        <f t="shared" si="501"/>
        <v>0.29721362229102166</v>
      </c>
      <c r="AC907" s="16">
        <f t="shared" si="506"/>
        <v>64.60808893273439</v>
      </c>
      <c r="AD907" s="20">
        <f>'PFAS Properties'!$W$46</f>
        <v>8</v>
      </c>
      <c r="AE907" s="8">
        <f>'PFAS Properties'!$S$46</f>
        <v>2.0166155475571776</v>
      </c>
      <c r="AF907" s="15">
        <f>'PFAS Properties'!$V$46</f>
        <v>5</v>
      </c>
      <c r="AG907" s="24">
        <v>6.4</v>
      </c>
      <c r="AH907" s="2" t="s">
        <v>183</v>
      </c>
      <c r="AI907" s="2" t="s">
        <v>661</v>
      </c>
      <c r="AJ907" s="15" t="s">
        <v>661</v>
      </c>
      <c r="AK907" s="8" t="s">
        <v>661</v>
      </c>
      <c r="AL907" s="2" t="s">
        <v>661</v>
      </c>
      <c r="AM907" s="15" t="s">
        <v>661</v>
      </c>
      <c r="AN907" s="8" t="s">
        <v>661</v>
      </c>
      <c r="AO907" s="15" t="s">
        <v>661</v>
      </c>
      <c r="AP907" s="15">
        <v>16.54</v>
      </c>
      <c r="AQ907" s="13" t="s">
        <v>661</v>
      </c>
      <c r="AR907" s="16">
        <v>29.38</v>
      </c>
      <c r="AS907" s="16">
        <v>13.9</v>
      </c>
      <c r="AT907" s="16">
        <v>56.71</v>
      </c>
      <c r="AU907" s="15" t="s">
        <v>661</v>
      </c>
      <c r="AV907" s="16">
        <f t="shared" si="502"/>
        <v>99.990000000000009</v>
      </c>
      <c r="AW907" s="20">
        <v>0.17</v>
      </c>
      <c r="AX907" s="8">
        <v>1.7000000000000001E-3</v>
      </c>
      <c r="AY907" s="8" t="s">
        <v>184</v>
      </c>
      <c r="AZ907" s="16">
        <v>100</v>
      </c>
      <c r="BA907" s="16" t="s">
        <v>55</v>
      </c>
      <c r="BB907" s="16">
        <v>5</v>
      </c>
      <c r="BC907" s="16" t="s">
        <v>55</v>
      </c>
      <c r="BD907" s="20">
        <v>5.66</v>
      </c>
      <c r="BE907" s="16">
        <f t="shared" si="503"/>
        <v>3329.411764705882</v>
      </c>
      <c r="BF907" s="16">
        <f t="shared" si="504"/>
        <v>3.5223675098099974</v>
      </c>
      <c r="BG907" s="8">
        <f t="shared" si="505"/>
        <v>0.75281643118827146</v>
      </c>
      <c r="BH907" s="13" t="s">
        <v>841</v>
      </c>
      <c r="BI907" s="9"/>
      <c r="BJ907" s="13"/>
      <c r="BK907" s="9"/>
      <c r="BL907" s="9"/>
      <c r="BM907" s="19"/>
      <c r="BN907" s="19"/>
      <c r="BO907" s="129"/>
    </row>
    <row r="908" spans="1:69" x14ac:dyDescent="0.3">
      <c r="A908" s="20">
        <v>906</v>
      </c>
      <c r="B908" s="2" t="s">
        <v>189</v>
      </c>
      <c r="C908" s="2">
        <v>2021</v>
      </c>
      <c r="D908" s="2" t="s">
        <v>510</v>
      </c>
      <c r="E908" s="41" t="s">
        <v>804</v>
      </c>
      <c r="F908" s="20" t="s">
        <v>29</v>
      </c>
      <c r="G908" s="2" t="s">
        <v>396</v>
      </c>
      <c r="H908" s="2" t="str">
        <f>'PFAS Properties'!$B$46</f>
        <v>PFOS</v>
      </c>
      <c r="I908" s="2" t="str">
        <f>'PFAS Properties'!$C$46</f>
        <v>PFSA</v>
      </c>
      <c r="J908" s="2" t="str">
        <f>'PFAS Properties'!$D$46</f>
        <v>C8HF17O3S</v>
      </c>
      <c r="K908" s="25">
        <f>'PFAS Properties'!$P$46</f>
        <v>499.93739999999997</v>
      </c>
      <c r="L908" s="2">
        <f>'PFAS Properties'!$X$46</f>
        <v>0.1</v>
      </c>
      <c r="M908" s="2" t="str">
        <f>'PFAS Properties'!$Y$46</f>
        <v>-</v>
      </c>
      <c r="N908" s="33">
        <v>0</v>
      </c>
      <c r="O908" s="33">
        <v>0</v>
      </c>
      <c r="P908" s="33">
        <v>0</v>
      </c>
      <c r="Q908" s="33">
        <f t="shared" si="452"/>
        <v>0.99999999487138613</v>
      </c>
      <c r="R908" s="33">
        <v>0</v>
      </c>
      <c r="S908" s="33">
        <f t="shared" si="453"/>
        <v>5.128613813610956E-9</v>
      </c>
      <c r="T908" s="8">
        <f t="shared" si="496"/>
        <v>1</v>
      </c>
      <c r="U908" s="33">
        <f t="shared" si="497"/>
        <v>0</v>
      </c>
      <c r="V908" s="33">
        <f t="shared" si="498"/>
        <v>-0.99999999487138613</v>
      </c>
      <c r="W908" s="33">
        <f t="shared" si="499"/>
        <v>498.93740000512855</v>
      </c>
      <c r="X908" s="33">
        <v>96485</v>
      </c>
      <c r="Y908" s="16">
        <f t="shared" si="500"/>
        <v>-193.38097225057479</v>
      </c>
      <c r="Z908" s="16">
        <v>8</v>
      </c>
      <c r="AA908" s="16">
        <v>17</v>
      </c>
      <c r="AB908" s="8">
        <f t="shared" si="501"/>
        <v>0.29721362229102166</v>
      </c>
      <c r="AC908" s="16">
        <f t="shared" si="506"/>
        <v>64.60808893273439</v>
      </c>
      <c r="AD908" s="20">
        <f>'PFAS Properties'!$W$46</f>
        <v>8</v>
      </c>
      <c r="AE908" s="8">
        <f>'PFAS Properties'!$S$46</f>
        <v>2.0166155475571776</v>
      </c>
      <c r="AF908" s="15">
        <f>'PFAS Properties'!$V$46</f>
        <v>5</v>
      </c>
      <c r="AG908" s="26">
        <v>8.39</v>
      </c>
      <c r="AH908" s="1" t="s">
        <v>190</v>
      </c>
      <c r="AI908" s="39">
        <f t="shared" ref="AI908:AI939" si="507">(AJ908*55.845)/1000</f>
        <v>16.250895</v>
      </c>
      <c r="AJ908" s="1">
        <v>291</v>
      </c>
      <c r="AK908" s="8">
        <f t="shared" ref="AK908:AK939" si="508">AI908/10</f>
        <v>1.6250895000000001</v>
      </c>
      <c r="AL908" s="39">
        <f t="shared" ref="AL908:AL939" si="509">(AM908*26.98)/1000</f>
        <v>7.5274200000000002</v>
      </c>
      <c r="AM908" s="1">
        <v>279</v>
      </c>
      <c r="AN908" s="8">
        <f t="shared" ref="AN908:AN939" si="510">AL908/10</f>
        <v>0.75274200000000002</v>
      </c>
      <c r="AO908" s="3" t="s">
        <v>93</v>
      </c>
      <c r="AP908" s="3">
        <v>12</v>
      </c>
      <c r="AQ908" s="3" t="s">
        <v>661</v>
      </c>
      <c r="AR908" s="4">
        <v>58.8</v>
      </c>
      <c r="AS908" s="4">
        <v>11.2</v>
      </c>
      <c r="AT908" s="4">
        <v>30</v>
      </c>
      <c r="AU908" s="3" t="s">
        <v>661</v>
      </c>
      <c r="AV908" s="16">
        <f t="shared" si="502"/>
        <v>100</v>
      </c>
      <c r="AW908" s="7">
        <v>0.8</v>
      </c>
      <c r="AX908" s="13">
        <f t="shared" ref="AX908:AX939" si="511">AW908/100</f>
        <v>8.0000000000000002E-3</v>
      </c>
      <c r="AY908" s="1" t="s">
        <v>511</v>
      </c>
      <c r="AZ908" s="1">
        <f t="shared" ref="AZ908:AZ939" si="512">2/0.02</f>
        <v>100</v>
      </c>
      <c r="BA908" s="1" t="s">
        <v>55</v>
      </c>
      <c r="BB908" s="1">
        <v>5</v>
      </c>
      <c r="BC908" s="1">
        <v>500</v>
      </c>
      <c r="BD908" s="26">
        <f t="shared" ref="BD908:BD939" si="513">BO908</f>
        <v>6.445130730740674</v>
      </c>
      <c r="BE908" s="16">
        <f t="shared" si="503"/>
        <v>805.64134134258427</v>
      </c>
      <c r="BF908" s="16">
        <f t="shared" si="504"/>
        <v>2.9061417438617108</v>
      </c>
      <c r="BG908" s="8">
        <f t="shared" si="505"/>
        <v>0.80923173085365419</v>
      </c>
      <c r="BH908" s="13" t="s">
        <v>782</v>
      </c>
      <c r="BI908" s="8">
        <v>5.0999999999999996</v>
      </c>
      <c r="BJ908" s="13" t="s">
        <v>349</v>
      </c>
      <c r="BK908" s="15">
        <v>1.1000000000000001</v>
      </c>
      <c r="BL908" s="16">
        <f t="shared" ref="BL908:BL939" si="514">BI908</f>
        <v>5.0999999999999996</v>
      </c>
      <c r="BM908" s="18">
        <f>'PFAS Properties'!$U$46</f>
        <v>10.39</v>
      </c>
      <c r="BN908" s="8">
        <f t="shared" ref="BN908:BN939" si="515">(BL908*(BM908^BK908))</f>
        <v>66.964908292395606</v>
      </c>
      <c r="BO908" s="24">
        <f t="shared" ref="BO908:BO939" si="516">BN908/BM908</f>
        <v>6.445130730740674</v>
      </c>
      <c r="BP908" s="11"/>
      <c r="BQ908" s="11"/>
    </row>
    <row r="909" spans="1:69" x14ac:dyDescent="0.3">
      <c r="A909" s="20">
        <v>907</v>
      </c>
      <c r="B909" s="2" t="s">
        <v>189</v>
      </c>
      <c r="C909" s="2">
        <v>2021</v>
      </c>
      <c r="D909" s="2" t="s">
        <v>510</v>
      </c>
      <c r="E909" s="41" t="s">
        <v>804</v>
      </c>
      <c r="F909" s="20" t="s">
        <v>29</v>
      </c>
      <c r="G909" s="2" t="s">
        <v>397</v>
      </c>
      <c r="H909" s="2" t="str">
        <f>'PFAS Properties'!$B$46</f>
        <v>PFOS</v>
      </c>
      <c r="I909" s="2" t="str">
        <f>'PFAS Properties'!$C$46</f>
        <v>PFSA</v>
      </c>
      <c r="J909" s="2" t="str">
        <f>'PFAS Properties'!$D$46</f>
        <v>C8HF17O3S</v>
      </c>
      <c r="K909" s="25">
        <f>'PFAS Properties'!$P$46</f>
        <v>499.93739999999997</v>
      </c>
      <c r="L909" s="2">
        <f>'PFAS Properties'!$X$46</f>
        <v>0.1</v>
      </c>
      <c r="M909" s="2" t="str">
        <f>'PFAS Properties'!$Y$46</f>
        <v>-</v>
      </c>
      <c r="N909" s="33">
        <v>0</v>
      </c>
      <c r="O909" s="33">
        <v>0</v>
      </c>
      <c r="P909" s="33">
        <v>0</v>
      </c>
      <c r="Q909" s="33">
        <f t="shared" si="452"/>
        <v>0.99999955331660739</v>
      </c>
      <c r="R909" s="33">
        <v>0</v>
      </c>
      <c r="S909" s="33">
        <f t="shared" si="453"/>
        <v>4.466833926248193E-7</v>
      </c>
      <c r="T909" s="8">
        <f t="shared" si="496"/>
        <v>1</v>
      </c>
      <c r="U909" s="33">
        <f t="shared" si="497"/>
        <v>0</v>
      </c>
      <c r="V909" s="33">
        <f t="shared" si="498"/>
        <v>-0.99999955331660739</v>
      </c>
      <c r="W909" s="33">
        <f t="shared" si="499"/>
        <v>498.9374004466834</v>
      </c>
      <c r="X909" s="33">
        <v>96485</v>
      </c>
      <c r="Y909" s="16">
        <f t="shared" si="500"/>
        <v>-193.38088669114168</v>
      </c>
      <c r="Z909" s="16">
        <v>8</v>
      </c>
      <c r="AA909" s="16">
        <v>17</v>
      </c>
      <c r="AB909" s="8">
        <f t="shared" si="501"/>
        <v>0.29721362229102166</v>
      </c>
      <c r="AC909" s="16">
        <f t="shared" si="506"/>
        <v>64.60808893273439</v>
      </c>
      <c r="AD909" s="20">
        <f>'PFAS Properties'!$W$46</f>
        <v>8</v>
      </c>
      <c r="AE909" s="8">
        <f>'PFAS Properties'!$S$46</f>
        <v>2.0166155475571776</v>
      </c>
      <c r="AF909" s="15">
        <f>'PFAS Properties'!$V$46</f>
        <v>5</v>
      </c>
      <c r="AG909" s="26">
        <v>6.45</v>
      </c>
      <c r="AH909" s="1" t="s">
        <v>190</v>
      </c>
      <c r="AI909" s="39">
        <f t="shared" si="507"/>
        <v>34.177140000000001</v>
      </c>
      <c r="AJ909" s="1">
        <v>612</v>
      </c>
      <c r="AK909" s="8">
        <f t="shared" si="508"/>
        <v>3.4177140000000001</v>
      </c>
      <c r="AL909" s="39">
        <f t="shared" si="509"/>
        <v>3.34552</v>
      </c>
      <c r="AM909" s="1">
        <v>124</v>
      </c>
      <c r="AN909" s="8">
        <f t="shared" si="510"/>
        <v>0.33455200000000002</v>
      </c>
      <c r="AO909" s="3" t="s">
        <v>93</v>
      </c>
      <c r="AP909" s="3">
        <v>38.700000000000003</v>
      </c>
      <c r="AQ909" s="3" t="s">
        <v>661</v>
      </c>
      <c r="AR909" s="4">
        <v>53</v>
      </c>
      <c r="AS909" s="4">
        <v>16.100000000000001</v>
      </c>
      <c r="AT909" s="4">
        <v>30.9</v>
      </c>
      <c r="AU909" s="3" t="s">
        <v>661</v>
      </c>
      <c r="AV909" s="16">
        <f t="shared" si="502"/>
        <v>100</v>
      </c>
      <c r="AW909" s="7">
        <v>3.3</v>
      </c>
      <c r="AX909" s="13">
        <f t="shared" si="511"/>
        <v>3.3000000000000002E-2</v>
      </c>
      <c r="AY909" s="1" t="s">
        <v>511</v>
      </c>
      <c r="AZ909" s="1">
        <f t="shared" si="512"/>
        <v>100</v>
      </c>
      <c r="BA909" s="1" t="s">
        <v>55</v>
      </c>
      <c r="BB909" s="1">
        <v>5</v>
      </c>
      <c r="BC909" s="1">
        <v>500</v>
      </c>
      <c r="BD909" s="26">
        <f t="shared" si="513"/>
        <v>8.6786688987404048</v>
      </c>
      <c r="BE909" s="16">
        <f t="shared" si="503"/>
        <v>262.98996662849709</v>
      </c>
      <c r="BF909" s="16">
        <f t="shared" si="504"/>
        <v>2.4199391799688521</v>
      </c>
      <c r="BG909" s="8">
        <f t="shared" si="505"/>
        <v>0.93845311984673974</v>
      </c>
      <c r="BH909" s="13" t="s">
        <v>782</v>
      </c>
      <c r="BI909" s="8">
        <v>4.3</v>
      </c>
      <c r="BJ909" s="13" t="s">
        <v>349</v>
      </c>
      <c r="BK909" s="15">
        <v>1.3</v>
      </c>
      <c r="BL909" s="16">
        <f t="shared" si="514"/>
        <v>4.3</v>
      </c>
      <c r="BM909" s="18">
        <f>'PFAS Properties'!$U$46</f>
        <v>10.39</v>
      </c>
      <c r="BN909" s="8">
        <f t="shared" si="515"/>
        <v>90.171369857912808</v>
      </c>
      <c r="BO909" s="24">
        <f t="shared" si="516"/>
        <v>8.6786688987404048</v>
      </c>
      <c r="BP909" s="11"/>
      <c r="BQ909" s="11"/>
    </row>
    <row r="910" spans="1:69" x14ac:dyDescent="0.3">
      <c r="A910" s="20">
        <v>908</v>
      </c>
      <c r="B910" s="2" t="s">
        <v>189</v>
      </c>
      <c r="C910" s="2">
        <v>2021</v>
      </c>
      <c r="D910" s="2" t="s">
        <v>510</v>
      </c>
      <c r="E910" s="41" t="s">
        <v>804</v>
      </c>
      <c r="F910" s="20" t="s">
        <v>29</v>
      </c>
      <c r="G910" s="2" t="s">
        <v>398</v>
      </c>
      <c r="H910" s="2" t="str">
        <f>'PFAS Properties'!$B$46</f>
        <v>PFOS</v>
      </c>
      <c r="I910" s="2" t="str">
        <f>'PFAS Properties'!$C$46</f>
        <v>PFSA</v>
      </c>
      <c r="J910" s="2" t="str">
        <f>'PFAS Properties'!$D$46</f>
        <v>C8HF17O3S</v>
      </c>
      <c r="K910" s="25">
        <f>'PFAS Properties'!$P$46</f>
        <v>499.93739999999997</v>
      </c>
      <c r="L910" s="2">
        <f>'PFAS Properties'!$X$46</f>
        <v>0.1</v>
      </c>
      <c r="M910" s="2" t="str">
        <f>'PFAS Properties'!$Y$46</f>
        <v>-</v>
      </c>
      <c r="N910" s="33">
        <v>0</v>
      </c>
      <c r="O910" s="33">
        <v>0</v>
      </c>
      <c r="P910" s="33">
        <v>0</v>
      </c>
      <c r="Q910" s="33">
        <f t="shared" si="452"/>
        <v>0.99999997048790856</v>
      </c>
      <c r="R910" s="33">
        <v>0</v>
      </c>
      <c r="S910" s="33">
        <f t="shared" si="453"/>
        <v>2.9512091395700212E-8</v>
      </c>
      <c r="T910" s="8">
        <f t="shared" si="496"/>
        <v>1</v>
      </c>
      <c r="U910" s="33">
        <f t="shared" si="497"/>
        <v>0</v>
      </c>
      <c r="V910" s="33">
        <f t="shared" si="498"/>
        <v>-0.99999997048790856</v>
      </c>
      <c r="W910" s="33">
        <f t="shared" si="499"/>
        <v>498.93740002951199</v>
      </c>
      <c r="X910" s="33">
        <v>96485</v>
      </c>
      <c r="Y910" s="16">
        <f t="shared" si="500"/>
        <v>-193.38096752582348</v>
      </c>
      <c r="Z910" s="16">
        <v>8</v>
      </c>
      <c r="AA910" s="16">
        <v>17</v>
      </c>
      <c r="AB910" s="8">
        <f t="shared" si="501"/>
        <v>0.29721362229102166</v>
      </c>
      <c r="AC910" s="16">
        <f t="shared" si="506"/>
        <v>64.60808893273439</v>
      </c>
      <c r="AD910" s="20">
        <f>'PFAS Properties'!$W$46</f>
        <v>8</v>
      </c>
      <c r="AE910" s="8">
        <f>'PFAS Properties'!$S$46</f>
        <v>2.0166155475571776</v>
      </c>
      <c r="AF910" s="15">
        <f>'PFAS Properties'!$V$46</f>
        <v>5</v>
      </c>
      <c r="AG910" s="26">
        <v>7.63</v>
      </c>
      <c r="AH910" s="1" t="s">
        <v>190</v>
      </c>
      <c r="AI910" s="39">
        <f t="shared" si="507"/>
        <v>11.671605</v>
      </c>
      <c r="AJ910" s="1">
        <v>209</v>
      </c>
      <c r="AK910" s="8">
        <f t="shared" si="508"/>
        <v>1.1671605</v>
      </c>
      <c r="AL910" s="39">
        <f t="shared" si="509"/>
        <v>3.4534400000000001</v>
      </c>
      <c r="AM910" s="1">
        <v>128</v>
      </c>
      <c r="AN910" s="8">
        <f t="shared" si="510"/>
        <v>0.34534399999999998</v>
      </c>
      <c r="AO910" s="3" t="s">
        <v>93</v>
      </c>
      <c r="AP910" s="3">
        <v>9.4</v>
      </c>
      <c r="AQ910" s="3" t="s">
        <v>661</v>
      </c>
      <c r="AR910" s="4">
        <v>87.6</v>
      </c>
      <c r="AS910" s="4">
        <v>6.7</v>
      </c>
      <c r="AT910" s="4">
        <v>5.7</v>
      </c>
      <c r="AU910" s="3" t="s">
        <v>661</v>
      </c>
      <c r="AV910" s="16">
        <f t="shared" si="502"/>
        <v>100</v>
      </c>
      <c r="AW910" s="7">
        <v>2.7</v>
      </c>
      <c r="AX910" s="13">
        <f t="shared" si="511"/>
        <v>2.7000000000000003E-2</v>
      </c>
      <c r="AY910" s="1" t="s">
        <v>511</v>
      </c>
      <c r="AZ910" s="1">
        <f t="shared" si="512"/>
        <v>100</v>
      </c>
      <c r="BA910" s="1" t="s">
        <v>55</v>
      </c>
      <c r="BB910" s="1">
        <v>5</v>
      </c>
      <c r="BC910" s="1">
        <v>500</v>
      </c>
      <c r="BD910" s="26">
        <f t="shared" si="513"/>
        <v>10.4</v>
      </c>
      <c r="BE910" s="16">
        <f t="shared" si="503"/>
        <v>385.18518518518516</v>
      </c>
      <c r="BF910" s="16">
        <f t="shared" si="504"/>
        <v>2.5856695751397929</v>
      </c>
      <c r="BG910" s="8">
        <f t="shared" si="505"/>
        <v>1.0170333392987803</v>
      </c>
      <c r="BH910" s="13" t="s">
        <v>782</v>
      </c>
      <c r="BI910" s="8">
        <v>10.4</v>
      </c>
      <c r="BJ910" s="13" t="s">
        <v>349</v>
      </c>
      <c r="BK910" s="15">
        <v>1</v>
      </c>
      <c r="BL910" s="16">
        <f t="shared" si="514"/>
        <v>10.4</v>
      </c>
      <c r="BM910" s="18">
        <f>'PFAS Properties'!$U$46</f>
        <v>10.39</v>
      </c>
      <c r="BN910" s="8">
        <f t="shared" si="515"/>
        <v>108.05600000000001</v>
      </c>
      <c r="BO910" s="24">
        <f t="shared" si="516"/>
        <v>10.4</v>
      </c>
      <c r="BP910" s="11"/>
      <c r="BQ910" s="11"/>
    </row>
    <row r="911" spans="1:69" x14ac:dyDescent="0.3">
      <c r="A911" s="20">
        <v>909</v>
      </c>
      <c r="B911" s="2" t="s">
        <v>189</v>
      </c>
      <c r="C911" s="2">
        <v>2021</v>
      </c>
      <c r="D911" s="2" t="s">
        <v>510</v>
      </c>
      <c r="E911" s="41" t="s">
        <v>804</v>
      </c>
      <c r="F911" s="20" t="s">
        <v>29</v>
      </c>
      <c r="G911" s="2" t="s">
        <v>399</v>
      </c>
      <c r="H911" s="2" t="str">
        <f>'PFAS Properties'!$B$46</f>
        <v>PFOS</v>
      </c>
      <c r="I911" s="2" t="str">
        <f>'PFAS Properties'!$C$46</f>
        <v>PFSA</v>
      </c>
      <c r="J911" s="2" t="str">
        <f>'PFAS Properties'!$D$46</f>
        <v>C8HF17O3S</v>
      </c>
      <c r="K911" s="25">
        <f>'PFAS Properties'!$P$46</f>
        <v>499.93739999999997</v>
      </c>
      <c r="L911" s="2">
        <f>'PFAS Properties'!$X$46</f>
        <v>0.1</v>
      </c>
      <c r="M911" s="2" t="str">
        <f>'PFAS Properties'!$Y$46</f>
        <v>-</v>
      </c>
      <c r="N911" s="33">
        <v>0</v>
      </c>
      <c r="O911" s="33">
        <v>0</v>
      </c>
      <c r="P911" s="33">
        <v>0</v>
      </c>
      <c r="Q911" s="33">
        <f t="shared" si="452"/>
        <v>0.99999770913759534</v>
      </c>
      <c r="R911" s="33">
        <v>0</v>
      </c>
      <c r="S911" s="33">
        <f t="shared" si="453"/>
        <v>2.2908624047051866E-6</v>
      </c>
      <c r="T911" s="8">
        <f t="shared" si="496"/>
        <v>1</v>
      </c>
      <c r="U911" s="33">
        <f t="shared" si="497"/>
        <v>0</v>
      </c>
      <c r="V911" s="33">
        <f t="shared" si="498"/>
        <v>-0.99999770913759534</v>
      </c>
      <c r="W911" s="33">
        <f t="shared" si="499"/>
        <v>498.93740229086239</v>
      </c>
      <c r="X911" s="33">
        <v>96485</v>
      </c>
      <c r="Y911" s="16">
        <f t="shared" si="500"/>
        <v>-193.38052934723416</v>
      </c>
      <c r="Z911" s="16">
        <v>8</v>
      </c>
      <c r="AA911" s="16">
        <v>17</v>
      </c>
      <c r="AB911" s="8">
        <f t="shared" si="501"/>
        <v>0.29721362229102166</v>
      </c>
      <c r="AC911" s="16">
        <f t="shared" si="506"/>
        <v>64.60808893273439</v>
      </c>
      <c r="AD911" s="20">
        <f>'PFAS Properties'!$W$46</f>
        <v>8</v>
      </c>
      <c r="AE911" s="8">
        <f>'PFAS Properties'!$S$46</f>
        <v>2.0166155475571776</v>
      </c>
      <c r="AF911" s="15">
        <f>'PFAS Properties'!$V$46</f>
        <v>5</v>
      </c>
      <c r="AG911" s="26">
        <v>5.74</v>
      </c>
      <c r="AH911" s="1" t="s">
        <v>190</v>
      </c>
      <c r="AI911" s="39">
        <f t="shared" si="507"/>
        <v>109.958805</v>
      </c>
      <c r="AJ911" s="1">
        <v>1969</v>
      </c>
      <c r="AK911" s="8">
        <f t="shared" si="508"/>
        <v>10.9958805</v>
      </c>
      <c r="AL911" s="39">
        <f t="shared" si="509"/>
        <v>19.803319999999999</v>
      </c>
      <c r="AM911" s="1">
        <v>734</v>
      </c>
      <c r="AN911" s="8">
        <f t="shared" si="510"/>
        <v>1.980332</v>
      </c>
      <c r="AO911" s="3" t="s">
        <v>93</v>
      </c>
      <c r="AP911" s="3">
        <v>11.7</v>
      </c>
      <c r="AQ911" s="3" t="s">
        <v>661</v>
      </c>
      <c r="AR911" s="4">
        <v>72.5</v>
      </c>
      <c r="AS911" s="4">
        <v>17.5</v>
      </c>
      <c r="AT911" s="4">
        <v>10</v>
      </c>
      <c r="AU911" s="3" t="s">
        <v>661</v>
      </c>
      <c r="AV911" s="16">
        <f t="shared" si="502"/>
        <v>100</v>
      </c>
      <c r="AW911" s="7">
        <v>5</v>
      </c>
      <c r="AX911" s="13">
        <f t="shared" si="511"/>
        <v>0.05</v>
      </c>
      <c r="AY911" s="1" t="s">
        <v>511</v>
      </c>
      <c r="AZ911" s="1">
        <f t="shared" si="512"/>
        <v>100</v>
      </c>
      <c r="BA911" s="1" t="s">
        <v>55</v>
      </c>
      <c r="BB911" s="1">
        <v>5</v>
      </c>
      <c r="BC911" s="1">
        <v>500</v>
      </c>
      <c r="BD911" s="26">
        <f t="shared" si="513"/>
        <v>30.500000000000004</v>
      </c>
      <c r="BE911" s="16">
        <f t="shared" si="503"/>
        <v>610</v>
      </c>
      <c r="BF911" s="16">
        <f t="shared" si="504"/>
        <v>2.7853298350107671</v>
      </c>
      <c r="BG911" s="8">
        <f t="shared" si="505"/>
        <v>1.4842998393467859</v>
      </c>
      <c r="BH911" s="13" t="s">
        <v>782</v>
      </c>
      <c r="BI911" s="8">
        <v>30.5</v>
      </c>
      <c r="BJ911" s="13" t="s">
        <v>349</v>
      </c>
      <c r="BK911" s="15">
        <v>1</v>
      </c>
      <c r="BL911" s="16">
        <f t="shared" si="514"/>
        <v>30.5</v>
      </c>
      <c r="BM911" s="18">
        <f>'PFAS Properties'!$U$46</f>
        <v>10.39</v>
      </c>
      <c r="BN911" s="8">
        <f t="shared" si="515"/>
        <v>316.89500000000004</v>
      </c>
      <c r="BO911" s="24">
        <f t="shared" si="516"/>
        <v>30.500000000000004</v>
      </c>
      <c r="BP911" s="11"/>
      <c r="BQ911" s="11"/>
    </row>
    <row r="912" spans="1:69" x14ac:dyDescent="0.3">
      <c r="A912" s="20">
        <v>910</v>
      </c>
      <c r="B912" s="2" t="s">
        <v>189</v>
      </c>
      <c r="C912" s="2">
        <v>2021</v>
      </c>
      <c r="D912" s="2" t="s">
        <v>510</v>
      </c>
      <c r="E912" s="41" t="s">
        <v>804</v>
      </c>
      <c r="F912" s="20" t="s">
        <v>29</v>
      </c>
      <c r="G912" s="2" t="s">
        <v>400</v>
      </c>
      <c r="H912" s="2" t="str">
        <f>'PFAS Properties'!$B$46</f>
        <v>PFOS</v>
      </c>
      <c r="I912" s="2" t="str">
        <f>'PFAS Properties'!$C$46</f>
        <v>PFSA</v>
      </c>
      <c r="J912" s="2" t="str">
        <f>'PFAS Properties'!$D$46</f>
        <v>C8HF17O3S</v>
      </c>
      <c r="K912" s="25">
        <f>'PFAS Properties'!$P$46</f>
        <v>499.93739999999997</v>
      </c>
      <c r="L912" s="2">
        <f>'PFAS Properties'!$X$46</f>
        <v>0.1</v>
      </c>
      <c r="M912" s="2" t="str">
        <f>'PFAS Properties'!$Y$46</f>
        <v>-</v>
      </c>
      <c r="N912" s="33">
        <v>0</v>
      </c>
      <c r="O912" s="33">
        <v>0</v>
      </c>
      <c r="P912" s="33">
        <v>0</v>
      </c>
      <c r="Q912" s="33">
        <f t="shared" ref="Q912:Q975" si="517">(10^(AG912-L912))/(1+(10^(AG912-L912)))</f>
        <v>0.99999066754408761</v>
      </c>
      <c r="R912" s="33">
        <v>0</v>
      </c>
      <c r="S912" s="33">
        <f t="shared" ref="S912:S975" si="518">(1/(1+(10^(AG912-L912))))</f>
        <v>9.3324559124237225E-6</v>
      </c>
      <c r="T912" s="8">
        <f t="shared" si="496"/>
        <v>1</v>
      </c>
      <c r="U912" s="33">
        <f t="shared" si="497"/>
        <v>0</v>
      </c>
      <c r="V912" s="33">
        <f t="shared" si="498"/>
        <v>-0.99999066754408761</v>
      </c>
      <c r="W912" s="33">
        <f t="shared" si="499"/>
        <v>498.9374093324559</v>
      </c>
      <c r="X912" s="33">
        <v>96485</v>
      </c>
      <c r="Y912" s="16">
        <f t="shared" si="500"/>
        <v>-193.37916490783965</v>
      </c>
      <c r="Z912" s="16">
        <v>8</v>
      </c>
      <c r="AA912" s="16">
        <v>17</v>
      </c>
      <c r="AB912" s="8">
        <f t="shared" si="501"/>
        <v>0.29721362229102166</v>
      </c>
      <c r="AC912" s="16">
        <f t="shared" si="506"/>
        <v>64.60808893273439</v>
      </c>
      <c r="AD912" s="20">
        <f>'PFAS Properties'!$W$46</f>
        <v>8</v>
      </c>
      <c r="AE912" s="8">
        <f>'PFAS Properties'!$S$46</f>
        <v>2.0166155475571776</v>
      </c>
      <c r="AF912" s="15">
        <f>'PFAS Properties'!$V$46</f>
        <v>5</v>
      </c>
      <c r="AG912" s="26">
        <v>5.13</v>
      </c>
      <c r="AH912" s="1" t="s">
        <v>190</v>
      </c>
      <c r="AI912" s="39">
        <f t="shared" si="507"/>
        <v>57.464504999999996</v>
      </c>
      <c r="AJ912" s="1">
        <v>1029</v>
      </c>
      <c r="AK912" s="8">
        <f t="shared" si="508"/>
        <v>5.7464504999999999</v>
      </c>
      <c r="AL912" s="39">
        <f t="shared" si="509"/>
        <v>12.62664</v>
      </c>
      <c r="AM912" s="1">
        <v>468</v>
      </c>
      <c r="AN912" s="8">
        <f t="shared" si="510"/>
        <v>1.262664</v>
      </c>
      <c r="AO912" s="3" t="s">
        <v>93</v>
      </c>
      <c r="AP912" s="3">
        <v>7.9</v>
      </c>
      <c r="AQ912" s="3" t="s">
        <v>661</v>
      </c>
      <c r="AR912" s="4">
        <v>68.099999999999994</v>
      </c>
      <c r="AS912" s="4">
        <v>21.2</v>
      </c>
      <c r="AT912" s="4">
        <v>10.7</v>
      </c>
      <c r="AU912" s="3" t="s">
        <v>661</v>
      </c>
      <c r="AV912" s="16">
        <f t="shared" si="502"/>
        <v>100</v>
      </c>
      <c r="AW912" s="7">
        <v>5.0999999999999996</v>
      </c>
      <c r="AX912" s="13">
        <f t="shared" si="511"/>
        <v>5.0999999999999997E-2</v>
      </c>
      <c r="AY912" s="1" t="s">
        <v>511</v>
      </c>
      <c r="AZ912" s="1">
        <f t="shared" si="512"/>
        <v>100</v>
      </c>
      <c r="BA912" s="1" t="s">
        <v>55</v>
      </c>
      <c r="BB912" s="1">
        <v>5</v>
      </c>
      <c r="BC912" s="1">
        <v>500</v>
      </c>
      <c r="BD912" s="26">
        <f t="shared" si="513"/>
        <v>13.774887248053599</v>
      </c>
      <c r="BE912" s="16">
        <f t="shared" si="503"/>
        <v>270.09582839320785</v>
      </c>
      <c r="BF912" s="16">
        <f t="shared" si="504"/>
        <v>2.4315178765984053</v>
      </c>
      <c r="BG912" s="8">
        <f t="shared" si="505"/>
        <v>1.1390880526963414</v>
      </c>
      <c r="BH912" s="13" t="s">
        <v>782</v>
      </c>
      <c r="BI912" s="8">
        <v>10.9</v>
      </c>
      <c r="BJ912" s="13" t="s">
        <v>349</v>
      </c>
      <c r="BK912" s="15">
        <v>1.1000000000000001</v>
      </c>
      <c r="BL912" s="16">
        <f t="shared" si="514"/>
        <v>10.9</v>
      </c>
      <c r="BM912" s="18">
        <f>'PFAS Properties'!$U$46</f>
        <v>10.39</v>
      </c>
      <c r="BN912" s="8">
        <f t="shared" si="515"/>
        <v>143.12107850727691</v>
      </c>
      <c r="BO912" s="24">
        <f t="shared" si="516"/>
        <v>13.774887248053599</v>
      </c>
      <c r="BP912" s="11"/>
      <c r="BQ912" s="11"/>
    </row>
    <row r="913" spans="1:69" x14ac:dyDescent="0.3">
      <c r="A913" s="20">
        <v>911</v>
      </c>
      <c r="B913" s="2" t="s">
        <v>189</v>
      </c>
      <c r="C913" s="2">
        <v>2021</v>
      </c>
      <c r="D913" s="2" t="s">
        <v>510</v>
      </c>
      <c r="E913" s="41" t="s">
        <v>804</v>
      </c>
      <c r="F913" s="20" t="s">
        <v>29</v>
      </c>
      <c r="G913" s="2" t="s">
        <v>401</v>
      </c>
      <c r="H913" s="2" t="str">
        <f>'PFAS Properties'!$B$46</f>
        <v>PFOS</v>
      </c>
      <c r="I913" s="2" t="str">
        <f>'PFAS Properties'!$C$46</f>
        <v>PFSA</v>
      </c>
      <c r="J913" s="2" t="str">
        <f>'PFAS Properties'!$D$46</f>
        <v>C8HF17O3S</v>
      </c>
      <c r="K913" s="25">
        <f>'PFAS Properties'!$P$46</f>
        <v>499.93739999999997</v>
      </c>
      <c r="L913" s="2">
        <f>'PFAS Properties'!$X$46</f>
        <v>0.1</v>
      </c>
      <c r="M913" s="2" t="str">
        <f>'PFAS Properties'!$Y$46</f>
        <v>-</v>
      </c>
      <c r="N913" s="33">
        <v>0</v>
      </c>
      <c r="O913" s="33">
        <v>0</v>
      </c>
      <c r="P913" s="33">
        <v>0</v>
      </c>
      <c r="Q913" s="33">
        <f t="shared" si="517"/>
        <v>0.99999601894414336</v>
      </c>
      <c r="R913" s="33">
        <v>0</v>
      </c>
      <c r="S913" s="33">
        <f t="shared" si="518"/>
        <v>3.981055856666137E-6</v>
      </c>
      <c r="T913" s="8">
        <f t="shared" si="496"/>
        <v>1</v>
      </c>
      <c r="U913" s="33">
        <f t="shared" si="497"/>
        <v>0</v>
      </c>
      <c r="V913" s="33">
        <f t="shared" si="498"/>
        <v>-0.99999601894414336</v>
      </c>
      <c r="W913" s="33">
        <f t="shared" si="499"/>
        <v>498.93740398105581</v>
      </c>
      <c r="X913" s="33">
        <v>96485</v>
      </c>
      <c r="Y913" s="16">
        <f t="shared" si="500"/>
        <v>-193.38020184088887</v>
      </c>
      <c r="Z913" s="16">
        <v>8</v>
      </c>
      <c r="AA913" s="16">
        <v>17</v>
      </c>
      <c r="AB913" s="8">
        <f t="shared" si="501"/>
        <v>0.29721362229102166</v>
      </c>
      <c r="AC913" s="16">
        <f t="shared" si="506"/>
        <v>64.60808893273439</v>
      </c>
      <c r="AD913" s="20">
        <f>'PFAS Properties'!$W$46</f>
        <v>8</v>
      </c>
      <c r="AE913" s="8">
        <f>'PFAS Properties'!$S$46</f>
        <v>2.0166155475571776</v>
      </c>
      <c r="AF913" s="15">
        <f>'PFAS Properties'!$V$46</f>
        <v>5</v>
      </c>
      <c r="AG913" s="26">
        <v>5.5</v>
      </c>
      <c r="AH913" s="1" t="s">
        <v>190</v>
      </c>
      <c r="AI913" s="39">
        <f t="shared" si="507"/>
        <v>163.458315</v>
      </c>
      <c r="AJ913" s="1">
        <v>2927</v>
      </c>
      <c r="AK913" s="8">
        <f t="shared" si="508"/>
        <v>16.345831499999999</v>
      </c>
      <c r="AL913" s="39">
        <f t="shared" si="509"/>
        <v>45.596199999999996</v>
      </c>
      <c r="AM913" s="1">
        <v>1690</v>
      </c>
      <c r="AN913" s="8">
        <f t="shared" si="510"/>
        <v>4.5596199999999998</v>
      </c>
      <c r="AO913" s="3" t="s">
        <v>93</v>
      </c>
      <c r="AP913" s="3">
        <v>6.4</v>
      </c>
      <c r="AQ913" s="3" t="s">
        <v>661</v>
      </c>
      <c r="AR913" s="4">
        <v>61.9</v>
      </c>
      <c r="AS913" s="4">
        <v>16.8</v>
      </c>
      <c r="AT913" s="4">
        <v>21.2</v>
      </c>
      <c r="AU913" s="3" t="s">
        <v>661</v>
      </c>
      <c r="AV913" s="16">
        <f t="shared" si="502"/>
        <v>99.9</v>
      </c>
      <c r="AW913" s="7">
        <v>7.5</v>
      </c>
      <c r="AX913" s="13">
        <f t="shared" si="511"/>
        <v>7.4999999999999997E-2</v>
      </c>
      <c r="AY913" s="1" t="s">
        <v>511</v>
      </c>
      <c r="AZ913" s="1">
        <f t="shared" si="512"/>
        <v>100</v>
      </c>
      <c r="BA913" s="1" t="s">
        <v>55</v>
      </c>
      <c r="BB913" s="1">
        <v>5</v>
      </c>
      <c r="BC913" s="1">
        <v>500</v>
      </c>
      <c r="BD913" s="26">
        <f t="shared" si="513"/>
        <v>63.469410623551454</v>
      </c>
      <c r="BE913" s="16">
        <f t="shared" si="503"/>
        <v>846.25880831401946</v>
      </c>
      <c r="BF913" s="16">
        <f t="shared" si="504"/>
        <v>2.9275032020858331</v>
      </c>
      <c r="BG913" s="8">
        <f t="shared" si="505"/>
        <v>1.802564465477533</v>
      </c>
      <c r="BH913" s="13" t="s">
        <v>782</v>
      </c>
      <c r="BI913" s="8">
        <v>128.1</v>
      </c>
      <c r="BJ913" s="13" t="s">
        <v>349</v>
      </c>
      <c r="BK913" s="15">
        <v>0.7</v>
      </c>
      <c r="BL913" s="16">
        <f t="shared" si="514"/>
        <v>128.1</v>
      </c>
      <c r="BM913" s="18">
        <f>'PFAS Properties'!$U$46</f>
        <v>10.39</v>
      </c>
      <c r="BN913" s="8">
        <f t="shared" si="515"/>
        <v>659.44717637869962</v>
      </c>
      <c r="BO913" s="24">
        <f t="shared" si="516"/>
        <v>63.469410623551454</v>
      </c>
      <c r="BP913" s="11"/>
      <c r="BQ913" s="11"/>
    </row>
    <row r="914" spans="1:69" x14ac:dyDescent="0.3">
      <c r="A914" s="20">
        <v>912</v>
      </c>
      <c r="B914" s="2" t="s">
        <v>189</v>
      </c>
      <c r="C914" s="2">
        <v>2021</v>
      </c>
      <c r="D914" s="2" t="s">
        <v>510</v>
      </c>
      <c r="E914" s="41" t="s">
        <v>804</v>
      </c>
      <c r="F914" s="20" t="s">
        <v>29</v>
      </c>
      <c r="G914" s="2" t="s">
        <v>402</v>
      </c>
      <c r="H914" s="2" t="str">
        <f>'PFAS Properties'!$B$46</f>
        <v>PFOS</v>
      </c>
      <c r="I914" s="2" t="str">
        <f>'PFAS Properties'!$C$46</f>
        <v>PFSA</v>
      </c>
      <c r="J914" s="2" t="str">
        <f>'PFAS Properties'!$D$46</f>
        <v>C8HF17O3S</v>
      </c>
      <c r="K914" s="25">
        <f>'PFAS Properties'!$P$46</f>
        <v>499.93739999999997</v>
      </c>
      <c r="L914" s="2">
        <f>'PFAS Properties'!$X$46</f>
        <v>0.1</v>
      </c>
      <c r="M914" s="2" t="str">
        <f>'PFAS Properties'!$Y$46</f>
        <v>-</v>
      </c>
      <c r="N914" s="33">
        <v>0</v>
      </c>
      <c r="O914" s="33">
        <v>0</v>
      </c>
      <c r="P914" s="33">
        <v>0</v>
      </c>
      <c r="Q914" s="33">
        <f t="shared" si="517"/>
        <v>0.99999979582624721</v>
      </c>
      <c r="R914" s="33">
        <v>0</v>
      </c>
      <c r="S914" s="33">
        <f t="shared" si="518"/>
        <v>2.0417375278002273E-7</v>
      </c>
      <c r="T914" s="8">
        <f t="shared" si="496"/>
        <v>1</v>
      </c>
      <c r="U914" s="33">
        <f t="shared" si="497"/>
        <v>0</v>
      </c>
      <c r="V914" s="33">
        <f t="shared" si="498"/>
        <v>-0.99999979582624721</v>
      </c>
      <c r="W914" s="33">
        <f t="shared" si="499"/>
        <v>498.93740020417374</v>
      </c>
      <c r="X914" s="33">
        <v>96485</v>
      </c>
      <c r="Y914" s="16">
        <f t="shared" si="500"/>
        <v>-193.38093368188507</v>
      </c>
      <c r="Z914" s="16">
        <v>8</v>
      </c>
      <c r="AA914" s="16">
        <v>17</v>
      </c>
      <c r="AB914" s="8">
        <f t="shared" si="501"/>
        <v>0.29721362229102166</v>
      </c>
      <c r="AC914" s="16">
        <f t="shared" si="506"/>
        <v>64.60808893273439</v>
      </c>
      <c r="AD914" s="20">
        <f>'PFAS Properties'!$W$46</f>
        <v>8</v>
      </c>
      <c r="AE914" s="8">
        <f>'PFAS Properties'!$S$46</f>
        <v>2.0166155475571776</v>
      </c>
      <c r="AF914" s="15">
        <f>'PFAS Properties'!$V$46</f>
        <v>5</v>
      </c>
      <c r="AG914" s="26">
        <v>6.79</v>
      </c>
      <c r="AH914" s="1" t="s">
        <v>190</v>
      </c>
      <c r="AI914" s="39">
        <f t="shared" si="507"/>
        <v>45.68121</v>
      </c>
      <c r="AJ914" s="1">
        <v>818</v>
      </c>
      <c r="AK914" s="8">
        <f t="shared" si="508"/>
        <v>4.5681209999999997</v>
      </c>
      <c r="AL914" s="39">
        <f t="shared" si="509"/>
        <v>7.9860800000000003</v>
      </c>
      <c r="AM914" s="1">
        <v>296</v>
      </c>
      <c r="AN914" s="8">
        <f t="shared" si="510"/>
        <v>0.79860799999999998</v>
      </c>
      <c r="AO914" s="3" t="s">
        <v>93</v>
      </c>
      <c r="AP914" s="3">
        <v>31.8</v>
      </c>
      <c r="AQ914" s="3" t="s">
        <v>661</v>
      </c>
      <c r="AR914" s="4">
        <v>49.4</v>
      </c>
      <c r="AS914" s="4">
        <v>26.9</v>
      </c>
      <c r="AT914" s="4">
        <v>23.7</v>
      </c>
      <c r="AU914" s="3" t="s">
        <v>661</v>
      </c>
      <c r="AV914" s="16">
        <f t="shared" si="502"/>
        <v>100</v>
      </c>
      <c r="AW914" s="7">
        <v>2.9</v>
      </c>
      <c r="AX914" s="13">
        <f t="shared" si="511"/>
        <v>2.8999999999999998E-2</v>
      </c>
      <c r="AY914" s="1" t="s">
        <v>511</v>
      </c>
      <c r="AZ914" s="1">
        <f t="shared" si="512"/>
        <v>100</v>
      </c>
      <c r="BA914" s="1" t="s">
        <v>55</v>
      </c>
      <c r="BB914" s="1">
        <v>5</v>
      </c>
      <c r="BC914" s="1">
        <v>500</v>
      </c>
      <c r="BD914" s="26">
        <f t="shared" si="513"/>
        <v>16.428764607770347</v>
      </c>
      <c r="BE914" s="16">
        <f t="shared" si="503"/>
        <v>566.5091244058741</v>
      </c>
      <c r="BF914" s="16">
        <f t="shared" si="504"/>
        <v>2.7532069091635987</v>
      </c>
      <c r="BG914" s="8">
        <f t="shared" si="505"/>
        <v>1.2156049070625545</v>
      </c>
      <c r="BH914" s="13" t="s">
        <v>782</v>
      </c>
      <c r="BI914" s="8">
        <v>13</v>
      </c>
      <c r="BJ914" s="13" t="s">
        <v>349</v>
      </c>
      <c r="BK914" s="15">
        <v>1.1000000000000001</v>
      </c>
      <c r="BL914" s="16">
        <f t="shared" si="514"/>
        <v>13</v>
      </c>
      <c r="BM914" s="18">
        <f>'PFAS Properties'!$U$46</f>
        <v>10.39</v>
      </c>
      <c r="BN914" s="8">
        <f t="shared" si="515"/>
        <v>170.6948642747339</v>
      </c>
      <c r="BO914" s="24">
        <f t="shared" si="516"/>
        <v>16.428764607770347</v>
      </c>
      <c r="BP914" s="11"/>
      <c r="BQ914" s="11"/>
    </row>
    <row r="915" spans="1:69" x14ac:dyDescent="0.3">
      <c r="A915" s="20">
        <v>913</v>
      </c>
      <c r="B915" s="2" t="s">
        <v>189</v>
      </c>
      <c r="C915" s="2">
        <v>2021</v>
      </c>
      <c r="D915" s="2" t="s">
        <v>510</v>
      </c>
      <c r="E915" s="41" t="s">
        <v>804</v>
      </c>
      <c r="F915" s="20" t="s">
        <v>29</v>
      </c>
      <c r="G915" s="2" t="s">
        <v>403</v>
      </c>
      <c r="H915" s="2" t="str">
        <f>'PFAS Properties'!$B$46</f>
        <v>PFOS</v>
      </c>
      <c r="I915" s="2" t="str">
        <f>'PFAS Properties'!$C$46</f>
        <v>PFSA</v>
      </c>
      <c r="J915" s="2" t="str">
        <f>'PFAS Properties'!$D$46</f>
        <v>C8HF17O3S</v>
      </c>
      <c r="K915" s="25">
        <f>'PFAS Properties'!$P$46</f>
        <v>499.93739999999997</v>
      </c>
      <c r="L915" s="2">
        <f>'PFAS Properties'!$X$46</f>
        <v>0.1</v>
      </c>
      <c r="M915" s="2" t="str">
        <f>'PFAS Properties'!$Y$46</f>
        <v>-</v>
      </c>
      <c r="N915" s="33">
        <v>0</v>
      </c>
      <c r="O915" s="33">
        <v>0</v>
      </c>
      <c r="P915" s="33">
        <v>0</v>
      </c>
      <c r="Q915" s="33">
        <f t="shared" si="517"/>
        <v>0.99999087997478209</v>
      </c>
      <c r="R915" s="33">
        <v>0</v>
      </c>
      <c r="S915" s="33">
        <f t="shared" si="518"/>
        <v>9.1200252179405431E-6</v>
      </c>
      <c r="T915" s="8">
        <f t="shared" si="496"/>
        <v>1</v>
      </c>
      <c r="U915" s="33">
        <f t="shared" si="497"/>
        <v>0</v>
      </c>
      <c r="V915" s="33">
        <f t="shared" si="498"/>
        <v>-0.99999087997478209</v>
      </c>
      <c r="W915" s="33">
        <f t="shared" si="499"/>
        <v>498.93740912002522</v>
      </c>
      <c r="X915" s="33">
        <v>96485</v>
      </c>
      <c r="Y915" s="16">
        <f t="shared" si="500"/>
        <v>-193.37920607022767</v>
      </c>
      <c r="Z915" s="16">
        <v>8</v>
      </c>
      <c r="AA915" s="16">
        <v>17</v>
      </c>
      <c r="AB915" s="8">
        <f t="shared" si="501"/>
        <v>0.29721362229102166</v>
      </c>
      <c r="AC915" s="16">
        <f t="shared" si="506"/>
        <v>64.60808893273439</v>
      </c>
      <c r="AD915" s="20">
        <f>'PFAS Properties'!$W$46</f>
        <v>8</v>
      </c>
      <c r="AE915" s="8">
        <f>'PFAS Properties'!$S$46</f>
        <v>2.0166155475571776</v>
      </c>
      <c r="AF915" s="15">
        <f>'PFAS Properties'!$V$46</f>
        <v>5</v>
      </c>
      <c r="AG915" s="26">
        <v>5.14</v>
      </c>
      <c r="AH915" s="1" t="s">
        <v>190</v>
      </c>
      <c r="AI915" s="39">
        <f t="shared" si="507"/>
        <v>127.88505000000001</v>
      </c>
      <c r="AJ915" s="1">
        <v>2290</v>
      </c>
      <c r="AK915" s="8">
        <f t="shared" si="508"/>
        <v>12.788505000000001</v>
      </c>
      <c r="AL915" s="39">
        <f t="shared" si="509"/>
        <v>36.423000000000002</v>
      </c>
      <c r="AM915" s="1">
        <v>1350</v>
      </c>
      <c r="AN915" s="8">
        <f t="shared" si="510"/>
        <v>3.6423000000000001</v>
      </c>
      <c r="AO915" s="3" t="s">
        <v>93</v>
      </c>
      <c r="AP915" s="3">
        <v>11.5</v>
      </c>
      <c r="AQ915" s="3" t="s">
        <v>661</v>
      </c>
      <c r="AR915" s="4">
        <v>9.8000000000000007</v>
      </c>
      <c r="AS915" s="4">
        <v>38.5</v>
      </c>
      <c r="AT915" s="4">
        <v>51.7</v>
      </c>
      <c r="AU915" s="3" t="s">
        <v>661</v>
      </c>
      <c r="AV915" s="16">
        <f t="shared" si="502"/>
        <v>100</v>
      </c>
      <c r="AW915" s="7">
        <v>1.9</v>
      </c>
      <c r="AX915" s="13">
        <f t="shared" si="511"/>
        <v>1.9E-2</v>
      </c>
      <c r="AY915" s="1" t="s">
        <v>511</v>
      </c>
      <c r="AZ915" s="1">
        <f t="shared" si="512"/>
        <v>100</v>
      </c>
      <c r="BA915" s="1" t="s">
        <v>55</v>
      </c>
      <c r="BB915" s="1">
        <v>5</v>
      </c>
      <c r="BC915" s="1">
        <v>500</v>
      </c>
      <c r="BD915" s="26">
        <f t="shared" si="513"/>
        <v>15.923264158300489</v>
      </c>
      <c r="BE915" s="16">
        <f t="shared" si="503"/>
        <v>838.06653464739418</v>
      </c>
      <c r="BF915" s="16">
        <f t="shared" si="504"/>
        <v>2.9232784989204519</v>
      </c>
      <c r="BG915" s="8">
        <f t="shared" si="505"/>
        <v>1.2020320998732807</v>
      </c>
      <c r="BH915" s="13" t="s">
        <v>782</v>
      </c>
      <c r="BI915" s="8">
        <v>12.6</v>
      </c>
      <c r="BJ915" s="13" t="s">
        <v>349</v>
      </c>
      <c r="BK915" s="15">
        <v>1.1000000000000001</v>
      </c>
      <c r="BL915" s="16">
        <f t="shared" si="514"/>
        <v>12.6</v>
      </c>
      <c r="BM915" s="18">
        <f>'PFAS Properties'!$U$46</f>
        <v>10.39</v>
      </c>
      <c r="BN915" s="8">
        <f t="shared" si="515"/>
        <v>165.44271460474209</v>
      </c>
      <c r="BO915" s="24">
        <f t="shared" si="516"/>
        <v>15.923264158300489</v>
      </c>
      <c r="BP915" s="11"/>
      <c r="BQ915" s="11"/>
    </row>
    <row r="916" spans="1:69" x14ac:dyDescent="0.3">
      <c r="A916" s="20">
        <v>914</v>
      </c>
      <c r="B916" s="2" t="s">
        <v>189</v>
      </c>
      <c r="C916" s="2">
        <v>2021</v>
      </c>
      <c r="D916" s="2" t="s">
        <v>510</v>
      </c>
      <c r="E916" s="41" t="s">
        <v>804</v>
      </c>
      <c r="F916" s="20" t="s">
        <v>29</v>
      </c>
      <c r="G916" s="2" t="s">
        <v>404</v>
      </c>
      <c r="H916" s="2" t="str">
        <f>'PFAS Properties'!$B$46</f>
        <v>PFOS</v>
      </c>
      <c r="I916" s="2" t="str">
        <f>'PFAS Properties'!$C$46</f>
        <v>PFSA</v>
      </c>
      <c r="J916" s="2" t="str">
        <f>'PFAS Properties'!$D$46</f>
        <v>C8HF17O3S</v>
      </c>
      <c r="K916" s="25">
        <f>'PFAS Properties'!$P$46</f>
        <v>499.93739999999997</v>
      </c>
      <c r="L916" s="2">
        <f>'PFAS Properties'!$X$46</f>
        <v>0.1</v>
      </c>
      <c r="M916" s="2" t="str">
        <f>'PFAS Properties'!$Y$46</f>
        <v>-</v>
      </c>
      <c r="N916" s="33">
        <v>0</v>
      </c>
      <c r="O916" s="33">
        <v>0</v>
      </c>
      <c r="P916" s="33">
        <v>0</v>
      </c>
      <c r="Q916" s="33">
        <f t="shared" si="517"/>
        <v>0.99999999148861973</v>
      </c>
      <c r="R916" s="33">
        <v>0</v>
      </c>
      <c r="S916" s="33">
        <f t="shared" si="518"/>
        <v>8.5113803095801607E-9</v>
      </c>
      <c r="T916" s="8">
        <f t="shared" si="496"/>
        <v>1</v>
      </c>
      <c r="U916" s="33">
        <f t="shared" si="497"/>
        <v>0</v>
      </c>
      <c r="V916" s="33">
        <f t="shared" si="498"/>
        <v>-0.99999999148861973</v>
      </c>
      <c r="W916" s="33">
        <f t="shared" si="499"/>
        <v>498.93740000851142</v>
      </c>
      <c r="X916" s="33">
        <v>96485</v>
      </c>
      <c r="Y916" s="16">
        <f t="shared" si="500"/>
        <v>-193.38097159510099</v>
      </c>
      <c r="Z916" s="16">
        <v>8</v>
      </c>
      <c r="AA916" s="16">
        <v>17</v>
      </c>
      <c r="AB916" s="8">
        <f t="shared" si="501"/>
        <v>0.29721362229102166</v>
      </c>
      <c r="AC916" s="16">
        <f t="shared" si="506"/>
        <v>64.60808893273439</v>
      </c>
      <c r="AD916" s="20">
        <f>'PFAS Properties'!$W$46</f>
        <v>8</v>
      </c>
      <c r="AE916" s="8">
        <f>'PFAS Properties'!$S$46</f>
        <v>2.0166155475571776</v>
      </c>
      <c r="AF916" s="15">
        <f>'PFAS Properties'!$V$46</f>
        <v>5</v>
      </c>
      <c r="AG916" s="26">
        <v>8.17</v>
      </c>
      <c r="AH916" s="1" t="s">
        <v>190</v>
      </c>
      <c r="AI916" s="39">
        <f t="shared" si="507"/>
        <v>10.27548</v>
      </c>
      <c r="AJ916" s="1">
        <v>184</v>
      </c>
      <c r="AK916" s="8">
        <f t="shared" si="508"/>
        <v>1.0275479999999999</v>
      </c>
      <c r="AL916" s="39">
        <f t="shared" si="509"/>
        <v>3.3994800000000001</v>
      </c>
      <c r="AM916" s="1">
        <v>126</v>
      </c>
      <c r="AN916" s="8">
        <f t="shared" si="510"/>
        <v>0.33994800000000003</v>
      </c>
      <c r="AO916" s="3" t="s">
        <v>93</v>
      </c>
      <c r="AP916" s="3">
        <v>8.1999999999999993</v>
      </c>
      <c r="AQ916" s="3" t="s">
        <v>661</v>
      </c>
      <c r="AR916" s="4">
        <v>79.400000000000006</v>
      </c>
      <c r="AS916" s="4">
        <v>11.9</v>
      </c>
      <c r="AT916" s="4">
        <v>8.6999999999999993</v>
      </c>
      <c r="AU916" s="3" t="s">
        <v>661</v>
      </c>
      <c r="AV916" s="16">
        <f t="shared" si="502"/>
        <v>100.00000000000001</v>
      </c>
      <c r="AW916" s="7">
        <v>1.5</v>
      </c>
      <c r="AX916" s="13">
        <f t="shared" si="511"/>
        <v>1.4999999999999999E-2</v>
      </c>
      <c r="AY916" s="1" t="s">
        <v>511</v>
      </c>
      <c r="AZ916" s="1">
        <f t="shared" si="512"/>
        <v>100</v>
      </c>
      <c r="BA916" s="1" t="s">
        <v>55</v>
      </c>
      <c r="BB916" s="1">
        <v>5</v>
      </c>
      <c r="BC916" s="1">
        <v>500</v>
      </c>
      <c r="BD916" s="26">
        <f t="shared" si="513"/>
        <v>20.349804975180433</v>
      </c>
      <c r="BE916" s="16">
        <f t="shared" si="503"/>
        <v>1356.653665012029</v>
      </c>
      <c r="BF916" s="16">
        <f t="shared" si="504"/>
        <v>3.1324689924117579</v>
      </c>
      <c r="BG916" s="8">
        <f t="shared" si="505"/>
        <v>1.3085602514674388</v>
      </c>
      <c r="BH916" s="13" t="s">
        <v>782</v>
      </c>
      <c r="BI916" s="8">
        <v>32.5</v>
      </c>
      <c r="BJ916" s="13" t="s">
        <v>349</v>
      </c>
      <c r="BK916" s="15">
        <v>0.8</v>
      </c>
      <c r="BL916" s="16">
        <f t="shared" si="514"/>
        <v>32.5</v>
      </c>
      <c r="BM916" s="18">
        <f>'PFAS Properties'!$U$46</f>
        <v>10.39</v>
      </c>
      <c r="BN916" s="8">
        <f t="shared" si="515"/>
        <v>211.4344736921247</v>
      </c>
      <c r="BO916" s="24">
        <f t="shared" si="516"/>
        <v>20.349804975180433</v>
      </c>
      <c r="BP916" s="11"/>
      <c r="BQ916" s="11"/>
    </row>
    <row r="917" spans="1:69" x14ac:dyDescent="0.3">
      <c r="A917" s="20">
        <v>915</v>
      </c>
      <c r="B917" s="2" t="s">
        <v>189</v>
      </c>
      <c r="C917" s="2">
        <v>2021</v>
      </c>
      <c r="D917" s="2" t="s">
        <v>510</v>
      </c>
      <c r="E917" s="41" t="s">
        <v>804</v>
      </c>
      <c r="F917" s="20" t="s">
        <v>29</v>
      </c>
      <c r="G917" s="2" t="s">
        <v>405</v>
      </c>
      <c r="H917" s="2" t="str">
        <f>'PFAS Properties'!$B$46</f>
        <v>PFOS</v>
      </c>
      <c r="I917" s="2" t="str">
        <f>'PFAS Properties'!$C$46</f>
        <v>PFSA</v>
      </c>
      <c r="J917" s="2" t="str">
        <f>'PFAS Properties'!$D$46</f>
        <v>C8HF17O3S</v>
      </c>
      <c r="K917" s="25">
        <f>'PFAS Properties'!$P$46</f>
        <v>499.93739999999997</v>
      </c>
      <c r="L917" s="2">
        <f>'PFAS Properties'!$X$46</f>
        <v>0.1</v>
      </c>
      <c r="M917" s="2" t="str">
        <f>'PFAS Properties'!$Y$46</f>
        <v>-</v>
      </c>
      <c r="N917" s="33">
        <v>0</v>
      </c>
      <c r="O917" s="33">
        <v>0</v>
      </c>
      <c r="P917" s="33">
        <v>0</v>
      </c>
      <c r="Q917" s="33">
        <f t="shared" si="517"/>
        <v>0.99999292059227451</v>
      </c>
      <c r="R917" s="33">
        <v>0</v>
      </c>
      <c r="S917" s="33">
        <f t="shared" si="518"/>
        <v>7.0794077254728099E-6</v>
      </c>
      <c r="T917" s="8">
        <f t="shared" si="496"/>
        <v>1</v>
      </c>
      <c r="U917" s="33">
        <f t="shared" si="497"/>
        <v>0</v>
      </c>
      <c r="V917" s="33">
        <f t="shared" si="498"/>
        <v>-0.99999292059227451</v>
      </c>
      <c r="W917" s="33">
        <f t="shared" si="499"/>
        <v>498.93740707940771</v>
      </c>
      <c r="X917" s="33">
        <v>96485</v>
      </c>
      <c r="Y917" s="16">
        <f t="shared" si="500"/>
        <v>-193.3796014777256</v>
      </c>
      <c r="Z917" s="16">
        <v>8</v>
      </c>
      <c r="AA917" s="16">
        <v>17</v>
      </c>
      <c r="AB917" s="8">
        <f t="shared" si="501"/>
        <v>0.29721362229102166</v>
      </c>
      <c r="AC917" s="16">
        <f t="shared" si="506"/>
        <v>64.60808893273439</v>
      </c>
      <c r="AD917" s="20">
        <f>'PFAS Properties'!$W$46</f>
        <v>8</v>
      </c>
      <c r="AE917" s="8">
        <f>'PFAS Properties'!$S$46</f>
        <v>2.0166155475571776</v>
      </c>
      <c r="AF917" s="15">
        <f>'PFAS Properties'!$V$46</f>
        <v>5</v>
      </c>
      <c r="AG917" s="26">
        <v>5.25</v>
      </c>
      <c r="AH917" s="1" t="s">
        <v>190</v>
      </c>
      <c r="AI917" s="39">
        <f t="shared" si="507"/>
        <v>47.747475000000001</v>
      </c>
      <c r="AJ917" s="1">
        <v>855</v>
      </c>
      <c r="AK917" s="8">
        <f t="shared" si="508"/>
        <v>4.7747475000000001</v>
      </c>
      <c r="AL917" s="39">
        <f t="shared" si="509"/>
        <v>3.4264600000000001</v>
      </c>
      <c r="AM917" s="1">
        <v>127</v>
      </c>
      <c r="AN917" s="8">
        <f t="shared" si="510"/>
        <v>0.34264600000000001</v>
      </c>
      <c r="AO917" s="3" t="s">
        <v>93</v>
      </c>
      <c r="AP917" s="3">
        <v>6</v>
      </c>
      <c r="AQ917" s="3" t="s">
        <v>661</v>
      </c>
      <c r="AR917" s="4">
        <v>65</v>
      </c>
      <c r="AS917" s="4">
        <v>18.7</v>
      </c>
      <c r="AT917" s="4">
        <v>16.2</v>
      </c>
      <c r="AU917" s="3" t="s">
        <v>661</v>
      </c>
      <c r="AV917" s="16">
        <f t="shared" si="502"/>
        <v>99.9</v>
      </c>
      <c r="AW917" s="7">
        <v>0.7</v>
      </c>
      <c r="AX917" s="13">
        <f t="shared" si="511"/>
        <v>6.9999999999999993E-3</v>
      </c>
      <c r="AY917" s="1" t="s">
        <v>511</v>
      </c>
      <c r="AZ917" s="1">
        <f t="shared" si="512"/>
        <v>100</v>
      </c>
      <c r="BA917" s="1" t="s">
        <v>55</v>
      </c>
      <c r="BB917" s="1">
        <v>5</v>
      </c>
      <c r="BC917" s="1">
        <v>500</v>
      </c>
      <c r="BD917" s="26">
        <f t="shared" si="513"/>
        <v>16.775454915803529</v>
      </c>
      <c r="BE917" s="16">
        <f t="shared" si="503"/>
        <v>2396.4935594005042</v>
      </c>
      <c r="BF917" s="16">
        <f t="shared" si="504"/>
        <v>3.3795762661587769</v>
      </c>
      <c r="BG917" s="8">
        <f t="shared" si="505"/>
        <v>1.2246743061730336</v>
      </c>
      <c r="BH917" s="13" t="s">
        <v>782</v>
      </c>
      <c r="BI917" s="8">
        <v>21.2</v>
      </c>
      <c r="BJ917" s="13" t="s">
        <v>349</v>
      </c>
      <c r="BK917" s="15">
        <v>0.9</v>
      </c>
      <c r="BL917" s="16">
        <f t="shared" si="514"/>
        <v>21.2</v>
      </c>
      <c r="BM917" s="18">
        <f>'PFAS Properties'!$U$46</f>
        <v>10.39</v>
      </c>
      <c r="BN917" s="8">
        <f t="shared" si="515"/>
        <v>174.29697657519867</v>
      </c>
      <c r="BO917" s="24">
        <f t="shared" si="516"/>
        <v>16.775454915803529</v>
      </c>
      <c r="BP917" s="11"/>
      <c r="BQ917" s="11"/>
    </row>
    <row r="918" spans="1:69" x14ac:dyDescent="0.3">
      <c r="A918" s="20">
        <v>916</v>
      </c>
      <c r="B918" s="2" t="s">
        <v>189</v>
      </c>
      <c r="C918" s="2">
        <v>2021</v>
      </c>
      <c r="D918" s="2" t="s">
        <v>510</v>
      </c>
      <c r="E918" s="41" t="s">
        <v>804</v>
      </c>
      <c r="F918" s="20" t="s">
        <v>29</v>
      </c>
      <c r="G918" s="2" t="s">
        <v>406</v>
      </c>
      <c r="H918" s="2" t="str">
        <f>'PFAS Properties'!$B$46</f>
        <v>PFOS</v>
      </c>
      <c r="I918" s="2" t="str">
        <f>'PFAS Properties'!$C$46</f>
        <v>PFSA</v>
      </c>
      <c r="J918" s="2" t="str">
        <f>'PFAS Properties'!$D$46</f>
        <v>C8HF17O3S</v>
      </c>
      <c r="K918" s="25">
        <f>'PFAS Properties'!$P$46</f>
        <v>499.93739999999997</v>
      </c>
      <c r="L918" s="2">
        <f>'PFAS Properties'!$X$46</f>
        <v>0.1</v>
      </c>
      <c r="M918" s="2" t="str">
        <f>'PFAS Properties'!$Y$46</f>
        <v>-</v>
      </c>
      <c r="N918" s="33">
        <v>0</v>
      </c>
      <c r="O918" s="33">
        <v>0</v>
      </c>
      <c r="P918" s="33">
        <v>0</v>
      </c>
      <c r="Q918" s="33">
        <f t="shared" si="517"/>
        <v>0.99999958313079029</v>
      </c>
      <c r="R918" s="33">
        <v>0</v>
      </c>
      <c r="S918" s="33">
        <f t="shared" si="518"/>
        <v>4.1686920969032374E-7</v>
      </c>
      <c r="T918" s="8">
        <f t="shared" si="496"/>
        <v>1</v>
      </c>
      <c r="U918" s="33">
        <f t="shared" si="497"/>
        <v>0</v>
      </c>
      <c r="V918" s="33">
        <f t="shared" si="498"/>
        <v>-0.99999958313079029</v>
      </c>
      <c r="W918" s="33">
        <f t="shared" si="499"/>
        <v>498.9374004168692</v>
      </c>
      <c r="X918" s="33">
        <v>96485</v>
      </c>
      <c r="Y918" s="16">
        <f t="shared" si="500"/>
        <v>-193.38089246819291</v>
      </c>
      <c r="Z918" s="16">
        <v>8</v>
      </c>
      <c r="AA918" s="16">
        <v>17</v>
      </c>
      <c r="AB918" s="8">
        <f t="shared" si="501"/>
        <v>0.29721362229102166</v>
      </c>
      <c r="AC918" s="16">
        <f t="shared" si="506"/>
        <v>64.60808893273439</v>
      </c>
      <c r="AD918" s="20">
        <f>'PFAS Properties'!$W$46</f>
        <v>8</v>
      </c>
      <c r="AE918" s="8">
        <f>'PFAS Properties'!$S$46</f>
        <v>2.0166155475571776</v>
      </c>
      <c r="AF918" s="15">
        <f>'PFAS Properties'!$V$46</f>
        <v>5</v>
      </c>
      <c r="AG918" s="26">
        <v>6.48</v>
      </c>
      <c r="AH918" s="1" t="s">
        <v>190</v>
      </c>
      <c r="AI918" s="39">
        <f t="shared" si="507"/>
        <v>38.42136</v>
      </c>
      <c r="AJ918" s="1">
        <v>688</v>
      </c>
      <c r="AK918" s="8">
        <f t="shared" si="508"/>
        <v>3.842136</v>
      </c>
      <c r="AL918" s="39">
        <f t="shared" si="509"/>
        <v>18.076599999999999</v>
      </c>
      <c r="AM918" s="1">
        <v>670</v>
      </c>
      <c r="AN918" s="8">
        <f t="shared" si="510"/>
        <v>1.8076599999999998</v>
      </c>
      <c r="AO918" s="3" t="s">
        <v>93</v>
      </c>
      <c r="AP918" s="3">
        <v>24.1</v>
      </c>
      <c r="AQ918" s="3" t="s">
        <v>661</v>
      </c>
      <c r="AR918" s="4">
        <v>61.9</v>
      </c>
      <c r="AS918" s="4">
        <v>21.9</v>
      </c>
      <c r="AT918" s="4">
        <v>16.3</v>
      </c>
      <c r="AU918" s="3" t="s">
        <v>661</v>
      </c>
      <c r="AV918" s="16">
        <f t="shared" si="502"/>
        <v>100.1</v>
      </c>
      <c r="AW918" s="7">
        <v>8.4</v>
      </c>
      <c r="AX918" s="13">
        <f t="shared" si="511"/>
        <v>8.4000000000000005E-2</v>
      </c>
      <c r="AY918" s="1" t="s">
        <v>511</v>
      </c>
      <c r="AZ918" s="1">
        <f t="shared" si="512"/>
        <v>100</v>
      </c>
      <c r="BA918" s="1" t="s">
        <v>55</v>
      </c>
      <c r="BB918" s="1">
        <v>5</v>
      </c>
      <c r="BC918" s="1">
        <v>500</v>
      </c>
      <c r="BD918" s="26">
        <f t="shared" si="513"/>
        <v>63.05308803078983</v>
      </c>
      <c r="BE918" s="16">
        <f t="shared" si="503"/>
        <v>750.63200036654553</v>
      </c>
      <c r="BF918" s="16">
        <f t="shared" si="504"/>
        <v>2.8754270749803008</v>
      </c>
      <c r="BG918" s="8">
        <f t="shared" si="505"/>
        <v>1.7997063610421826</v>
      </c>
      <c r="BH918" s="13" t="s">
        <v>782</v>
      </c>
      <c r="BI918" s="8">
        <v>100.7</v>
      </c>
      <c r="BJ918" s="13" t="s">
        <v>349</v>
      </c>
      <c r="BK918" s="15">
        <v>0.8</v>
      </c>
      <c r="BL918" s="16">
        <f t="shared" si="514"/>
        <v>100.7</v>
      </c>
      <c r="BM918" s="18">
        <f>'PFAS Properties'!$U$46</f>
        <v>10.39</v>
      </c>
      <c r="BN918" s="8">
        <f t="shared" si="515"/>
        <v>655.12158463990636</v>
      </c>
      <c r="BO918" s="24">
        <f t="shared" si="516"/>
        <v>63.05308803078983</v>
      </c>
      <c r="BP918" s="11"/>
      <c r="BQ918" s="11"/>
    </row>
    <row r="919" spans="1:69" x14ac:dyDescent="0.3">
      <c r="A919" s="20">
        <v>917</v>
      </c>
      <c r="B919" s="2" t="s">
        <v>189</v>
      </c>
      <c r="C919" s="2">
        <v>2021</v>
      </c>
      <c r="D919" s="2" t="s">
        <v>510</v>
      </c>
      <c r="E919" s="41" t="s">
        <v>804</v>
      </c>
      <c r="F919" s="20" t="s">
        <v>29</v>
      </c>
      <c r="G919" s="2" t="s">
        <v>407</v>
      </c>
      <c r="H919" s="2" t="str">
        <f>'PFAS Properties'!$B$46</f>
        <v>PFOS</v>
      </c>
      <c r="I919" s="2" t="str">
        <f>'PFAS Properties'!$C$46</f>
        <v>PFSA</v>
      </c>
      <c r="J919" s="2" t="str">
        <f>'PFAS Properties'!$D$46</f>
        <v>C8HF17O3S</v>
      </c>
      <c r="K919" s="25">
        <f>'PFAS Properties'!$P$46</f>
        <v>499.93739999999997</v>
      </c>
      <c r="L919" s="2">
        <f>'PFAS Properties'!$X$46</f>
        <v>0.1</v>
      </c>
      <c r="M919" s="2" t="str">
        <f>'PFAS Properties'!$Y$46</f>
        <v>-</v>
      </c>
      <c r="N919" s="33">
        <v>0</v>
      </c>
      <c r="O919" s="33">
        <v>0</v>
      </c>
      <c r="P919" s="33">
        <v>0</v>
      </c>
      <c r="Q919" s="33">
        <f t="shared" si="517"/>
        <v>0.99999998378189925</v>
      </c>
      <c r="R919" s="33">
        <v>0</v>
      </c>
      <c r="S919" s="33">
        <f t="shared" si="518"/>
        <v>1.6218100710562502E-8</v>
      </c>
      <c r="T919" s="8">
        <f t="shared" si="496"/>
        <v>1</v>
      </c>
      <c r="U919" s="33">
        <f t="shared" si="497"/>
        <v>0</v>
      </c>
      <c r="V919" s="33">
        <f t="shared" si="498"/>
        <v>-0.99999998378189925</v>
      </c>
      <c r="W919" s="33">
        <f t="shared" si="499"/>
        <v>498.93740001621808</v>
      </c>
      <c r="X919" s="33">
        <v>96485</v>
      </c>
      <c r="Y919" s="16">
        <f t="shared" si="500"/>
        <v>-193.38097010178086</v>
      </c>
      <c r="Z919" s="16">
        <v>8</v>
      </c>
      <c r="AA919" s="16">
        <v>17</v>
      </c>
      <c r="AB919" s="8">
        <f t="shared" si="501"/>
        <v>0.29721362229102166</v>
      </c>
      <c r="AC919" s="16">
        <f t="shared" si="506"/>
        <v>64.60808893273439</v>
      </c>
      <c r="AD919" s="20">
        <f>'PFAS Properties'!$W$46</f>
        <v>8</v>
      </c>
      <c r="AE919" s="8">
        <f>'PFAS Properties'!$S$46</f>
        <v>2.0166155475571776</v>
      </c>
      <c r="AF919" s="15">
        <f>'PFAS Properties'!$V$46</f>
        <v>5</v>
      </c>
      <c r="AG919" s="26">
        <v>7.89</v>
      </c>
      <c r="AH919" s="1" t="s">
        <v>190</v>
      </c>
      <c r="AI919" s="39">
        <f t="shared" si="507"/>
        <v>7.0364700000000004</v>
      </c>
      <c r="AJ919" s="1">
        <v>126</v>
      </c>
      <c r="AK919" s="8">
        <f t="shared" si="508"/>
        <v>0.70364700000000002</v>
      </c>
      <c r="AL919" s="39">
        <f t="shared" si="509"/>
        <v>4.3707600000000006</v>
      </c>
      <c r="AM919" s="1">
        <v>162</v>
      </c>
      <c r="AN919" s="8">
        <f t="shared" si="510"/>
        <v>0.43707600000000008</v>
      </c>
      <c r="AO919" s="3" t="s">
        <v>93</v>
      </c>
      <c r="AP919" s="3">
        <v>29.1</v>
      </c>
      <c r="AQ919" s="3" t="s">
        <v>661</v>
      </c>
      <c r="AR919" s="4">
        <v>83.8</v>
      </c>
      <c r="AS919" s="4">
        <v>6.3</v>
      </c>
      <c r="AT919" s="4">
        <v>10</v>
      </c>
      <c r="AU919" s="3" t="s">
        <v>661</v>
      </c>
      <c r="AV919" s="16">
        <f t="shared" si="502"/>
        <v>100.1</v>
      </c>
      <c r="AW919" s="7">
        <v>3.9</v>
      </c>
      <c r="AX919" s="13">
        <f t="shared" si="511"/>
        <v>3.9E-2</v>
      </c>
      <c r="AY919" s="1" t="s">
        <v>511</v>
      </c>
      <c r="AZ919" s="1">
        <f t="shared" si="512"/>
        <v>100</v>
      </c>
      <c r="BA919" s="1" t="s">
        <v>55</v>
      </c>
      <c r="BB919" s="1">
        <v>5</v>
      </c>
      <c r="BC919" s="1">
        <v>500</v>
      </c>
      <c r="BD919" s="26">
        <f t="shared" si="513"/>
        <v>52.067213842446805</v>
      </c>
      <c r="BE919" s="16">
        <f t="shared" si="503"/>
        <v>1335.0567651909437</v>
      </c>
      <c r="BF919" s="16">
        <f t="shared" si="504"/>
        <v>3.1254997318317388</v>
      </c>
      <c r="BG919" s="8">
        <f t="shared" si="505"/>
        <v>1.7165643388582379</v>
      </c>
      <c r="BH919" s="13" t="s">
        <v>782</v>
      </c>
      <c r="BI919" s="8">
        <v>65.8</v>
      </c>
      <c r="BJ919" s="13" t="s">
        <v>349</v>
      </c>
      <c r="BK919" s="15">
        <v>0.9</v>
      </c>
      <c r="BL919" s="16">
        <f t="shared" si="514"/>
        <v>65.8</v>
      </c>
      <c r="BM919" s="18">
        <f>'PFAS Properties'!$U$46</f>
        <v>10.39</v>
      </c>
      <c r="BN919" s="8">
        <f t="shared" si="515"/>
        <v>540.97835182302231</v>
      </c>
      <c r="BO919" s="24">
        <f t="shared" si="516"/>
        <v>52.067213842446805</v>
      </c>
      <c r="BP919" s="11"/>
      <c r="BQ919" s="11"/>
    </row>
    <row r="920" spans="1:69" x14ac:dyDescent="0.3">
      <c r="A920" s="20">
        <v>918</v>
      </c>
      <c r="B920" s="2" t="s">
        <v>189</v>
      </c>
      <c r="C920" s="2">
        <v>2021</v>
      </c>
      <c r="D920" s="2" t="s">
        <v>510</v>
      </c>
      <c r="E920" s="41" t="s">
        <v>804</v>
      </c>
      <c r="F920" s="20" t="s">
        <v>29</v>
      </c>
      <c r="G920" s="2" t="s">
        <v>408</v>
      </c>
      <c r="H920" s="2" t="str">
        <f>'PFAS Properties'!$B$46</f>
        <v>PFOS</v>
      </c>
      <c r="I920" s="2" t="str">
        <f>'PFAS Properties'!$C$46</f>
        <v>PFSA</v>
      </c>
      <c r="J920" s="2" t="str">
        <f>'PFAS Properties'!$D$46</f>
        <v>C8HF17O3S</v>
      </c>
      <c r="K920" s="25">
        <f>'PFAS Properties'!$P$46</f>
        <v>499.93739999999997</v>
      </c>
      <c r="L920" s="2">
        <f>'PFAS Properties'!$X$46</f>
        <v>0.1</v>
      </c>
      <c r="M920" s="2" t="str">
        <f>'PFAS Properties'!$Y$46</f>
        <v>-</v>
      </c>
      <c r="N920" s="33">
        <v>0</v>
      </c>
      <c r="O920" s="33">
        <v>0</v>
      </c>
      <c r="P920" s="33">
        <v>0</v>
      </c>
      <c r="Q920" s="33">
        <f t="shared" si="517"/>
        <v>0.99988519781890428</v>
      </c>
      <c r="R920" s="33">
        <v>0</v>
      </c>
      <c r="S920" s="33">
        <f t="shared" si="518"/>
        <v>1.1480218109569003E-4</v>
      </c>
      <c r="T920" s="8">
        <f t="shared" si="496"/>
        <v>1</v>
      </c>
      <c r="U920" s="33">
        <f t="shared" si="497"/>
        <v>0</v>
      </c>
      <c r="V920" s="33">
        <f t="shared" si="498"/>
        <v>-0.99988519781890428</v>
      </c>
      <c r="W920" s="33">
        <f t="shared" si="499"/>
        <v>498.93751480218106</v>
      </c>
      <c r="X920" s="33">
        <v>96485</v>
      </c>
      <c r="Y920" s="16">
        <f t="shared" si="500"/>
        <v>-193.3587281962692</v>
      </c>
      <c r="Z920" s="16">
        <v>8</v>
      </c>
      <c r="AA920" s="16">
        <v>17</v>
      </c>
      <c r="AB920" s="8">
        <f t="shared" si="501"/>
        <v>0.29721362229102166</v>
      </c>
      <c r="AC920" s="16">
        <f t="shared" si="506"/>
        <v>64.60808893273439</v>
      </c>
      <c r="AD920" s="20">
        <f>'PFAS Properties'!$W$46</f>
        <v>8</v>
      </c>
      <c r="AE920" s="8">
        <f>'PFAS Properties'!$S$46</f>
        <v>2.0166155475571776</v>
      </c>
      <c r="AF920" s="15">
        <f>'PFAS Properties'!$V$46</f>
        <v>5</v>
      </c>
      <c r="AG920" s="26">
        <v>4.04</v>
      </c>
      <c r="AH920" s="1" t="s">
        <v>190</v>
      </c>
      <c r="AI920" s="39">
        <f t="shared" si="507"/>
        <v>0.83767499999999995</v>
      </c>
      <c r="AJ920" s="1">
        <v>15</v>
      </c>
      <c r="AK920" s="8">
        <f t="shared" si="508"/>
        <v>8.3767499999999995E-2</v>
      </c>
      <c r="AL920" s="39">
        <f t="shared" si="509"/>
        <v>2.94082</v>
      </c>
      <c r="AM920" s="1">
        <v>109</v>
      </c>
      <c r="AN920" s="8">
        <f t="shared" si="510"/>
        <v>0.29408200000000001</v>
      </c>
      <c r="AO920" s="3" t="s">
        <v>93</v>
      </c>
      <c r="AP920" s="3">
        <v>2.2000000000000002</v>
      </c>
      <c r="AQ920" s="3" t="s">
        <v>661</v>
      </c>
      <c r="AR920" s="4">
        <v>94.1</v>
      </c>
      <c r="AS920" s="4">
        <v>2.9</v>
      </c>
      <c r="AT920" s="4">
        <v>3.1</v>
      </c>
      <c r="AU920" s="3" t="s">
        <v>661</v>
      </c>
      <c r="AV920" s="16">
        <f t="shared" si="502"/>
        <v>100.1</v>
      </c>
      <c r="AW920" s="7">
        <v>3</v>
      </c>
      <c r="AX920" s="13">
        <f t="shared" si="511"/>
        <v>0.03</v>
      </c>
      <c r="AY920" s="1" t="s">
        <v>511</v>
      </c>
      <c r="AZ920" s="1">
        <f t="shared" si="512"/>
        <v>100</v>
      </c>
      <c r="BA920" s="1" t="s">
        <v>55</v>
      </c>
      <c r="BB920" s="1">
        <v>5</v>
      </c>
      <c r="BC920" s="1">
        <v>500</v>
      </c>
      <c r="BD920" s="26">
        <f t="shared" si="513"/>
        <v>7.0770062925779946</v>
      </c>
      <c r="BE920" s="16">
        <f t="shared" si="503"/>
        <v>235.90020975259984</v>
      </c>
      <c r="BF920" s="16">
        <f t="shared" si="504"/>
        <v>2.3727283270422559</v>
      </c>
      <c r="BG920" s="8">
        <f t="shared" si="505"/>
        <v>0.84984958176191816</v>
      </c>
      <c r="BH920" s="13" t="s">
        <v>782</v>
      </c>
      <c r="BI920" s="8">
        <v>5.6</v>
      </c>
      <c r="BJ920" s="13" t="s">
        <v>349</v>
      </c>
      <c r="BK920" s="15">
        <v>1.1000000000000001</v>
      </c>
      <c r="BL920" s="16">
        <f t="shared" si="514"/>
        <v>5.6</v>
      </c>
      <c r="BM920" s="18">
        <f>'PFAS Properties'!$U$46</f>
        <v>10.39</v>
      </c>
      <c r="BN920" s="8">
        <f t="shared" si="515"/>
        <v>73.530095379885367</v>
      </c>
      <c r="BO920" s="24">
        <f t="shared" si="516"/>
        <v>7.0770062925779946</v>
      </c>
      <c r="BP920" s="11"/>
      <c r="BQ920" s="11"/>
    </row>
    <row r="921" spans="1:69" x14ac:dyDescent="0.3">
      <c r="A921" s="20">
        <v>919</v>
      </c>
      <c r="B921" s="2" t="s">
        <v>189</v>
      </c>
      <c r="C921" s="2">
        <v>2021</v>
      </c>
      <c r="D921" s="2" t="s">
        <v>510</v>
      </c>
      <c r="E921" s="41" t="s">
        <v>804</v>
      </c>
      <c r="F921" s="20" t="s">
        <v>29</v>
      </c>
      <c r="G921" s="2" t="s">
        <v>409</v>
      </c>
      <c r="H921" s="2" t="str">
        <f>'PFAS Properties'!$B$46</f>
        <v>PFOS</v>
      </c>
      <c r="I921" s="2" t="str">
        <f>'PFAS Properties'!$C$46</f>
        <v>PFSA</v>
      </c>
      <c r="J921" s="2" t="str">
        <f>'PFAS Properties'!$D$46</f>
        <v>C8HF17O3S</v>
      </c>
      <c r="K921" s="25">
        <f>'PFAS Properties'!$P$46</f>
        <v>499.93739999999997</v>
      </c>
      <c r="L921" s="2">
        <f>'PFAS Properties'!$X$46</f>
        <v>0.1</v>
      </c>
      <c r="M921" s="2" t="str">
        <f>'PFAS Properties'!$Y$46</f>
        <v>-</v>
      </c>
      <c r="N921" s="33">
        <v>0</v>
      </c>
      <c r="O921" s="33">
        <v>0</v>
      </c>
      <c r="P921" s="33">
        <v>0</v>
      </c>
      <c r="Q921" s="33">
        <f t="shared" si="517"/>
        <v>0.99999997048790856</v>
      </c>
      <c r="R921" s="33">
        <v>0</v>
      </c>
      <c r="S921" s="33">
        <f t="shared" si="518"/>
        <v>2.9512091395700212E-8</v>
      </c>
      <c r="T921" s="8">
        <f t="shared" si="496"/>
        <v>1</v>
      </c>
      <c r="U921" s="33">
        <f t="shared" si="497"/>
        <v>0</v>
      </c>
      <c r="V921" s="33">
        <f t="shared" si="498"/>
        <v>-0.99999997048790856</v>
      </c>
      <c r="W921" s="33">
        <f t="shared" si="499"/>
        <v>498.93740002951199</v>
      </c>
      <c r="X921" s="33">
        <v>96485</v>
      </c>
      <c r="Y921" s="16">
        <f t="shared" si="500"/>
        <v>-193.38096752582348</v>
      </c>
      <c r="Z921" s="16">
        <v>8</v>
      </c>
      <c r="AA921" s="16">
        <v>17</v>
      </c>
      <c r="AB921" s="8">
        <f t="shared" si="501"/>
        <v>0.29721362229102166</v>
      </c>
      <c r="AC921" s="16">
        <f t="shared" si="506"/>
        <v>64.60808893273439</v>
      </c>
      <c r="AD921" s="20">
        <f>'PFAS Properties'!$W$46</f>
        <v>8</v>
      </c>
      <c r="AE921" s="8">
        <f>'PFAS Properties'!$S$46</f>
        <v>2.0166155475571776</v>
      </c>
      <c r="AF921" s="15">
        <f>'PFAS Properties'!$V$46</f>
        <v>5</v>
      </c>
      <c r="AG921" s="26">
        <v>7.63</v>
      </c>
      <c r="AH921" s="1" t="s">
        <v>190</v>
      </c>
      <c r="AI921" s="39">
        <f t="shared" si="507"/>
        <v>29.486159999999998</v>
      </c>
      <c r="AJ921" s="1">
        <v>528</v>
      </c>
      <c r="AK921" s="8">
        <f t="shared" si="508"/>
        <v>2.9486159999999999</v>
      </c>
      <c r="AL921" s="39">
        <f t="shared" si="509"/>
        <v>4.8024400000000007</v>
      </c>
      <c r="AM921" s="1">
        <v>178</v>
      </c>
      <c r="AN921" s="8">
        <f t="shared" si="510"/>
        <v>0.48024400000000006</v>
      </c>
      <c r="AO921" s="3" t="s">
        <v>93</v>
      </c>
      <c r="AP921" s="3">
        <v>48.7</v>
      </c>
      <c r="AQ921" s="3" t="s">
        <v>661</v>
      </c>
      <c r="AR921" s="4">
        <v>4.8</v>
      </c>
      <c r="AS921" s="4">
        <v>47.9</v>
      </c>
      <c r="AT921" s="4">
        <v>47.3</v>
      </c>
      <c r="AU921" s="3" t="s">
        <v>661</v>
      </c>
      <c r="AV921" s="16">
        <f t="shared" si="502"/>
        <v>100</v>
      </c>
      <c r="AW921" s="7">
        <v>2.4</v>
      </c>
      <c r="AX921" s="13">
        <f t="shared" si="511"/>
        <v>2.4E-2</v>
      </c>
      <c r="AY921" s="1" t="s">
        <v>511</v>
      </c>
      <c r="AZ921" s="1">
        <f t="shared" si="512"/>
        <v>100</v>
      </c>
      <c r="BA921" s="1" t="s">
        <v>55</v>
      </c>
      <c r="BB921" s="1">
        <v>5</v>
      </c>
      <c r="BC921" s="1">
        <v>500</v>
      </c>
      <c r="BD921" s="26">
        <f t="shared" si="513"/>
        <v>20.019764592916474</v>
      </c>
      <c r="BE921" s="16">
        <f t="shared" si="503"/>
        <v>834.15685803818633</v>
      </c>
      <c r="BF921" s="16">
        <f t="shared" si="504"/>
        <v>2.9212477247084943</v>
      </c>
      <c r="BG921" s="8">
        <f t="shared" si="505"/>
        <v>1.3014589664201002</v>
      </c>
      <c r="BH921" s="13" t="s">
        <v>782</v>
      </c>
      <c r="BI921" s="8">
        <v>25.3</v>
      </c>
      <c r="BJ921" s="13" t="s">
        <v>349</v>
      </c>
      <c r="BK921" s="15">
        <v>0.9</v>
      </c>
      <c r="BL921" s="16">
        <f t="shared" si="514"/>
        <v>25.3</v>
      </c>
      <c r="BM921" s="18">
        <f>'PFAS Properties'!$U$46</f>
        <v>10.39</v>
      </c>
      <c r="BN921" s="8">
        <f t="shared" si="515"/>
        <v>208.00535412040219</v>
      </c>
      <c r="BO921" s="24">
        <f t="shared" si="516"/>
        <v>20.019764592916474</v>
      </c>
      <c r="BP921" s="11"/>
      <c r="BQ921" s="11"/>
    </row>
    <row r="922" spans="1:69" x14ac:dyDescent="0.3">
      <c r="A922" s="20">
        <v>920</v>
      </c>
      <c r="B922" s="2" t="s">
        <v>189</v>
      </c>
      <c r="C922" s="2">
        <v>2021</v>
      </c>
      <c r="D922" s="2" t="s">
        <v>510</v>
      </c>
      <c r="E922" s="41" t="s">
        <v>804</v>
      </c>
      <c r="F922" s="20" t="s">
        <v>29</v>
      </c>
      <c r="G922" s="2" t="s">
        <v>410</v>
      </c>
      <c r="H922" s="2" t="str">
        <f>'PFAS Properties'!$B$46</f>
        <v>PFOS</v>
      </c>
      <c r="I922" s="2" t="str">
        <f>'PFAS Properties'!$C$46</f>
        <v>PFSA</v>
      </c>
      <c r="J922" s="2" t="str">
        <f>'PFAS Properties'!$D$46</f>
        <v>C8HF17O3S</v>
      </c>
      <c r="K922" s="25">
        <f>'PFAS Properties'!$P$46</f>
        <v>499.93739999999997</v>
      </c>
      <c r="L922" s="2">
        <f>'PFAS Properties'!$X$46</f>
        <v>0.1</v>
      </c>
      <c r="M922" s="2" t="str">
        <f>'PFAS Properties'!$Y$46</f>
        <v>-</v>
      </c>
      <c r="N922" s="33">
        <v>0</v>
      </c>
      <c r="O922" s="33">
        <v>0</v>
      </c>
      <c r="P922" s="33">
        <v>0</v>
      </c>
      <c r="Q922" s="33">
        <f t="shared" si="517"/>
        <v>0.99999966886898817</v>
      </c>
      <c r="R922" s="33">
        <v>0</v>
      </c>
      <c r="S922" s="33">
        <f t="shared" si="518"/>
        <v>3.3113101183480713E-7</v>
      </c>
      <c r="T922" s="8">
        <f t="shared" si="496"/>
        <v>1</v>
      </c>
      <c r="U922" s="33">
        <f t="shared" si="497"/>
        <v>0</v>
      </c>
      <c r="V922" s="33">
        <f t="shared" si="498"/>
        <v>-0.99999966886898817</v>
      </c>
      <c r="W922" s="33">
        <f t="shared" si="499"/>
        <v>498.93740033113102</v>
      </c>
      <c r="X922" s="33">
        <v>96485</v>
      </c>
      <c r="Y922" s="16">
        <f t="shared" si="500"/>
        <v>-193.38090908155996</v>
      </c>
      <c r="Z922" s="16">
        <v>8</v>
      </c>
      <c r="AA922" s="16">
        <v>17</v>
      </c>
      <c r="AB922" s="8">
        <f t="shared" si="501"/>
        <v>0.29721362229102166</v>
      </c>
      <c r="AC922" s="16">
        <f t="shared" si="506"/>
        <v>64.60808893273439</v>
      </c>
      <c r="AD922" s="20">
        <f>'PFAS Properties'!$W$46</f>
        <v>8</v>
      </c>
      <c r="AE922" s="8">
        <f>'PFAS Properties'!$S$46</f>
        <v>2.0166155475571776</v>
      </c>
      <c r="AF922" s="15">
        <f>'PFAS Properties'!$V$46</f>
        <v>5</v>
      </c>
      <c r="AG922" s="26">
        <v>6.58</v>
      </c>
      <c r="AH922" s="1" t="s">
        <v>190</v>
      </c>
      <c r="AI922" s="39">
        <f t="shared" si="507"/>
        <v>10.052100000000001</v>
      </c>
      <c r="AJ922" s="1">
        <v>180</v>
      </c>
      <c r="AK922" s="8">
        <f t="shared" si="508"/>
        <v>1.0052100000000002</v>
      </c>
      <c r="AL922" s="39">
        <f t="shared" si="509"/>
        <v>1.42994</v>
      </c>
      <c r="AM922" s="1">
        <v>53</v>
      </c>
      <c r="AN922" s="8">
        <f t="shared" si="510"/>
        <v>0.14299400000000001</v>
      </c>
      <c r="AO922" s="3" t="s">
        <v>93</v>
      </c>
      <c r="AP922" s="3">
        <v>2.2999999999999998</v>
      </c>
      <c r="AQ922" s="3" t="s">
        <v>661</v>
      </c>
      <c r="AR922" s="4">
        <v>95.4</v>
      </c>
      <c r="AS922" s="4">
        <v>1.02</v>
      </c>
      <c r="AT922" s="4">
        <v>4.4000000000000004</v>
      </c>
      <c r="AU922" s="3" t="s">
        <v>661</v>
      </c>
      <c r="AV922" s="16">
        <f t="shared" si="502"/>
        <v>100.82000000000001</v>
      </c>
      <c r="AW922" s="7">
        <v>0.4</v>
      </c>
      <c r="AX922" s="13">
        <f t="shared" si="511"/>
        <v>4.0000000000000001E-3</v>
      </c>
      <c r="AY922" s="1" t="s">
        <v>511</v>
      </c>
      <c r="AZ922" s="1">
        <f t="shared" si="512"/>
        <v>100</v>
      </c>
      <c r="BA922" s="1" t="s">
        <v>55</v>
      </c>
      <c r="BB922" s="1">
        <v>5</v>
      </c>
      <c r="BC922" s="1">
        <v>500</v>
      </c>
      <c r="BD922" s="26">
        <f t="shared" si="513"/>
        <v>4.7</v>
      </c>
      <c r="BE922" s="16">
        <f t="shared" si="503"/>
        <v>1175</v>
      </c>
      <c r="BF922" s="16">
        <f t="shared" si="504"/>
        <v>3.070037866607755</v>
      </c>
      <c r="BG922" s="8">
        <f t="shared" si="505"/>
        <v>0.67209785793571752</v>
      </c>
      <c r="BH922" s="13" t="s">
        <v>782</v>
      </c>
      <c r="BI922" s="8">
        <v>4.7</v>
      </c>
      <c r="BJ922" s="13" t="s">
        <v>349</v>
      </c>
      <c r="BK922" s="15">
        <v>1</v>
      </c>
      <c r="BL922" s="16">
        <f t="shared" si="514"/>
        <v>4.7</v>
      </c>
      <c r="BM922" s="18">
        <f>'PFAS Properties'!$U$46</f>
        <v>10.39</v>
      </c>
      <c r="BN922" s="8">
        <f t="shared" si="515"/>
        <v>48.833000000000006</v>
      </c>
      <c r="BO922" s="24">
        <f t="shared" si="516"/>
        <v>4.7</v>
      </c>
      <c r="BP922" s="11"/>
      <c r="BQ922" s="11"/>
    </row>
    <row r="923" spans="1:69" x14ac:dyDescent="0.3">
      <c r="A923" s="20">
        <v>921</v>
      </c>
      <c r="B923" s="2" t="s">
        <v>189</v>
      </c>
      <c r="C923" s="2">
        <v>2021</v>
      </c>
      <c r="D923" s="2" t="s">
        <v>510</v>
      </c>
      <c r="E923" s="41" t="s">
        <v>804</v>
      </c>
      <c r="F923" s="20" t="s">
        <v>29</v>
      </c>
      <c r="G923" s="2" t="s">
        <v>411</v>
      </c>
      <c r="H923" s="2" t="str">
        <f>'PFAS Properties'!$B$46</f>
        <v>PFOS</v>
      </c>
      <c r="I923" s="2" t="str">
        <f>'PFAS Properties'!$C$46</f>
        <v>PFSA</v>
      </c>
      <c r="J923" s="2" t="str">
        <f>'PFAS Properties'!$D$46</f>
        <v>C8HF17O3S</v>
      </c>
      <c r="K923" s="25">
        <f>'PFAS Properties'!$P$46</f>
        <v>499.93739999999997</v>
      </c>
      <c r="L923" s="2">
        <f>'PFAS Properties'!$X$46</f>
        <v>0.1</v>
      </c>
      <c r="M923" s="2" t="str">
        <f>'PFAS Properties'!$Y$46</f>
        <v>-</v>
      </c>
      <c r="N923" s="33">
        <v>0</v>
      </c>
      <c r="O923" s="33">
        <v>0</v>
      </c>
      <c r="P923" s="33">
        <v>0</v>
      </c>
      <c r="Q923" s="33">
        <f t="shared" si="517"/>
        <v>0.99999786204248142</v>
      </c>
      <c r="R923" s="33">
        <v>0</v>
      </c>
      <c r="S923" s="33">
        <f t="shared" si="518"/>
        <v>2.1379575186301061E-6</v>
      </c>
      <c r="T923" s="8">
        <f t="shared" si="496"/>
        <v>1</v>
      </c>
      <c r="U923" s="33">
        <f t="shared" si="497"/>
        <v>0</v>
      </c>
      <c r="V923" s="33">
        <f t="shared" si="498"/>
        <v>-0.99999786204248142</v>
      </c>
      <c r="W923" s="33">
        <f t="shared" si="499"/>
        <v>498.93740213795752</v>
      </c>
      <c r="X923" s="33">
        <v>96485</v>
      </c>
      <c r="Y923" s="16">
        <f t="shared" si="500"/>
        <v>-193.38055897539331</v>
      </c>
      <c r="Z923" s="16">
        <v>8</v>
      </c>
      <c r="AA923" s="16">
        <v>17</v>
      </c>
      <c r="AB923" s="8">
        <f t="shared" si="501"/>
        <v>0.29721362229102166</v>
      </c>
      <c r="AC923" s="16">
        <f t="shared" si="506"/>
        <v>64.60808893273439</v>
      </c>
      <c r="AD923" s="20">
        <f>'PFAS Properties'!$W$46</f>
        <v>8</v>
      </c>
      <c r="AE923" s="8">
        <f>'PFAS Properties'!$S$46</f>
        <v>2.0166155475571776</v>
      </c>
      <c r="AF923" s="15">
        <f>'PFAS Properties'!$V$46</f>
        <v>5</v>
      </c>
      <c r="AG923" s="26">
        <v>5.77</v>
      </c>
      <c r="AH923" s="1" t="s">
        <v>190</v>
      </c>
      <c r="AI923" s="39">
        <f t="shared" si="507"/>
        <v>2.3454899999999999</v>
      </c>
      <c r="AJ923" s="1">
        <v>42</v>
      </c>
      <c r="AK923" s="8">
        <f t="shared" si="508"/>
        <v>0.23454899999999998</v>
      </c>
      <c r="AL923" s="39">
        <f t="shared" si="509"/>
        <v>1.40296</v>
      </c>
      <c r="AM923" s="1">
        <v>52</v>
      </c>
      <c r="AN923" s="8">
        <f t="shared" si="510"/>
        <v>0.140296</v>
      </c>
      <c r="AO923" s="3" t="s">
        <v>93</v>
      </c>
      <c r="AP923" s="3">
        <v>2.2000000000000002</v>
      </c>
      <c r="AQ923" s="3" t="s">
        <v>661</v>
      </c>
      <c r="AR923" s="4">
        <v>93.1</v>
      </c>
      <c r="AS923" s="4">
        <v>5.6</v>
      </c>
      <c r="AT923" s="4">
        <v>1.2</v>
      </c>
      <c r="AU923" s="3" t="s">
        <v>661</v>
      </c>
      <c r="AV923" s="16">
        <f t="shared" si="502"/>
        <v>99.899999999999991</v>
      </c>
      <c r="AW923" s="7">
        <v>1.4</v>
      </c>
      <c r="AX923" s="13">
        <f t="shared" si="511"/>
        <v>1.3999999999999999E-2</v>
      </c>
      <c r="AY923" s="1" t="s">
        <v>511</v>
      </c>
      <c r="AZ923" s="1">
        <f t="shared" si="512"/>
        <v>100</v>
      </c>
      <c r="BA923" s="1" t="s">
        <v>55</v>
      </c>
      <c r="BB923" s="1">
        <v>5</v>
      </c>
      <c r="BC923" s="1">
        <v>500</v>
      </c>
      <c r="BD923" s="26">
        <f t="shared" si="513"/>
        <v>10.682483083176775</v>
      </c>
      <c r="BE923" s="16">
        <f t="shared" si="503"/>
        <v>763.03450594119829</v>
      </c>
      <c r="BF923" s="16">
        <f t="shared" si="504"/>
        <v>2.8825441780610506</v>
      </c>
      <c r="BG923" s="8">
        <f t="shared" si="505"/>
        <v>1.0286722137392885</v>
      </c>
      <c r="BH923" s="13" t="s">
        <v>782</v>
      </c>
      <c r="BI923" s="8">
        <v>13.5</v>
      </c>
      <c r="BJ923" s="13" t="s">
        <v>349</v>
      </c>
      <c r="BK923" s="15">
        <v>0.9</v>
      </c>
      <c r="BL923" s="16">
        <f t="shared" si="514"/>
        <v>13.5</v>
      </c>
      <c r="BM923" s="18">
        <f>'PFAS Properties'!$U$46</f>
        <v>10.39</v>
      </c>
      <c r="BN923" s="8">
        <f t="shared" si="515"/>
        <v>110.9909992342067</v>
      </c>
      <c r="BO923" s="24">
        <f t="shared" si="516"/>
        <v>10.682483083176775</v>
      </c>
      <c r="BP923" s="11"/>
      <c r="BQ923" s="11"/>
    </row>
    <row r="924" spans="1:69" x14ac:dyDescent="0.3">
      <c r="A924" s="20">
        <v>922</v>
      </c>
      <c r="B924" s="2" t="s">
        <v>189</v>
      </c>
      <c r="C924" s="2">
        <v>2021</v>
      </c>
      <c r="D924" s="2" t="s">
        <v>510</v>
      </c>
      <c r="E924" s="41" t="s">
        <v>804</v>
      </c>
      <c r="F924" s="20" t="s">
        <v>29</v>
      </c>
      <c r="G924" s="2" t="s">
        <v>412</v>
      </c>
      <c r="H924" s="2" t="str">
        <f>'PFAS Properties'!$B$46</f>
        <v>PFOS</v>
      </c>
      <c r="I924" s="2" t="str">
        <f>'PFAS Properties'!$C$46</f>
        <v>PFSA</v>
      </c>
      <c r="J924" s="2" t="str">
        <f>'PFAS Properties'!$D$46</f>
        <v>C8HF17O3S</v>
      </c>
      <c r="K924" s="25">
        <f>'PFAS Properties'!$P$46</f>
        <v>499.93739999999997</v>
      </c>
      <c r="L924" s="2">
        <f>'PFAS Properties'!$X$46</f>
        <v>0.1</v>
      </c>
      <c r="M924" s="2" t="str">
        <f>'PFAS Properties'!$Y$46</f>
        <v>-</v>
      </c>
      <c r="N924" s="33">
        <v>0</v>
      </c>
      <c r="O924" s="33">
        <v>0</v>
      </c>
      <c r="P924" s="33">
        <v>0</v>
      </c>
      <c r="Q924" s="33">
        <f t="shared" si="517"/>
        <v>0.99999979107043058</v>
      </c>
      <c r="R924" s="33">
        <v>0</v>
      </c>
      <c r="S924" s="33">
        <f t="shared" si="518"/>
        <v>2.0892956943382908E-7</v>
      </c>
      <c r="T924" s="8">
        <f t="shared" si="496"/>
        <v>1</v>
      </c>
      <c r="U924" s="33">
        <f t="shared" si="497"/>
        <v>0</v>
      </c>
      <c r="V924" s="33">
        <f t="shared" si="498"/>
        <v>-0.99999979107043058</v>
      </c>
      <c r="W924" s="33">
        <f t="shared" si="499"/>
        <v>498.93740020892955</v>
      </c>
      <c r="X924" s="33">
        <v>96485</v>
      </c>
      <c r="Y924" s="16">
        <f t="shared" si="500"/>
        <v>-193.3809327603573</v>
      </c>
      <c r="Z924" s="16">
        <v>8</v>
      </c>
      <c r="AA924" s="16">
        <v>17</v>
      </c>
      <c r="AB924" s="8">
        <f t="shared" si="501"/>
        <v>0.29721362229102166</v>
      </c>
      <c r="AC924" s="16">
        <f t="shared" si="506"/>
        <v>64.60808893273439</v>
      </c>
      <c r="AD924" s="20">
        <f>'PFAS Properties'!$W$46</f>
        <v>8</v>
      </c>
      <c r="AE924" s="8">
        <f>'PFAS Properties'!$S$46</f>
        <v>2.0166155475571776</v>
      </c>
      <c r="AF924" s="15">
        <f>'PFAS Properties'!$V$46</f>
        <v>5</v>
      </c>
      <c r="AG924" s="26">
        <v>6.78</v>
      </c>
      <c r="AH924" s="1" t="s">
        <v>190</v>
      </c>
      <c r="AI924" s="39">
        <f t="shared" si="507"/>
        <v>2.066265</v>
      </c>
      <c r="AJ924" s="1">
        <v>37</v>
      </c>
      <c r="AK924" s="8">
        <f t="shared" si="508"/>
        <v>0.20662649999999999</v>
      </c>
      <c r="AL924" s="39">
        <f t="shared" si="509"/>
        <v>10.14448</v>
      </c>
      <c r="AM924" s="1">
        <v>376</v>
      </c>
      <c r="AN924" s="8">
        <f t="shared" si="510"/>
        <v>1.014448</v>
      </c>
      <c r="AO924" s="3" t="s">
        <v>93</v>
      </c>
      <c r="AP924" s="3">
        <v>4.7</v>
      </c>
      <c r="AQ924" s="3" t="s">
        <v>661</v>
      </c>
      <c r="AR924" s="4">
        <v>78.099999999999994</v>
      </c>
      <c r="AS924" s="4">
        <v>16.2</v>
      </c>
      <c r="AT924" s="4">
        <v>5.6</v>
      </c>
      <c r="AU924" s="3" t="s">
        <v>661</v>
      </c>
      <c r="AV924" s="16">
        <f t="shared" si="502"/>
        <v>99.899999999999991</v>
      </c>
      <c r="AW924" s="7">
        <v>0.8</v>
      </c>
      <c r="AX924" s="13">
        <f t="shared" si="511"/>
        <v>8.0000000000000002E-3</v>
      </c>
      <c r="AY924" s="1" t="s">
        <v>511</v>
      </c>
      <c r="AZ924" s="1">
        <f t="shared" si="512"/>
        <v>100</v>
      </c>
      <c r="BA924" s="1" t="s">
        <v>55</v>
      </c>
      <c r="BB924" s="1">
        <v>5</v>
      </c>
      <c r="BC924" s="1">
        <v>500</v>
      </c>
      <c r="BD924" s="26">
        <f t="shared" si="513"/>
        <v>20.573671123155268</v>
      </c>
      <c r="BE924" s="16">
        <f t="shared" si="503"/>
        <v>2571.7088903944086</v>
      </c>
      <c r="BF924" s="16">
        <f t="shared" si="504"/>
        <v>3.4102218062231566</v>
      </c>
      <c r="BG924" s="8">
        <f t="shared" si="505"/>
        <v>1.3133117932151002</v>
      </c>
      <c r="BH924" s="13" t="s">
        <v>782</v>
      </c>
      <c r="BI924" s="8">
        <v>26</v>
      </c>
      <c r="BJ924" s="13" t="s">
        <v>349</v>
      </c>
      <c r="BK924" s="15">
        <v>0.9</v>
      </c>
      <c r="BL924" s="16">
        <f t="shared" si="514"/>
        <v>26</v>
      </c>
      <c r="BM924" s="18">
        <f>'PFAS Properties'!$U$46</f>
        <v>10.39</v>
      </c>
      <c r="BN924" s="8">
        <f t="shared" si="515"/>
        <v>213.76044296958327</v>
      </c>
      <c r="BO924" s="24">
        <f t="shared" si="516"/>
        <v>20.573671123155268</v>
      </c>
      <c r="BP924" s="11"/>
      <c r="BQ924" s="11"/>
    </row>
    <row r="925" spans="1:69" x14ac:dyDescent="0.3">
      <c r="A925" s="20">
        <v>923</v>
      </c>
      <c r="B925" s="2" t="s">
        <v>189</v>
      </c>
      <c r="C925" s="2">
        <v>2021</v>
      </c>
      <c r="D925" s="2" t="s">
        <v>510</v>
      </c>
      <c r="E925" s="41" t="s">
        <v>804</v>
      </c>
      <c r="F925" s="20" t="s">
        <v>29</v>
      </c>
      <c r="G925" s="2" t="s">
        <v>413</v>
      </c>
      <c r="H925" s="2" t="str">
        <f>'PFAS Properties'!$B$46</f>
        <v>PFOS</v>
      </c>
      <c r="I925" s="2" t="str">
        <f>'PFAS Properties'!$C$46</f>
        <v>PFSA</v>
      </c>
      <c r="J925" s="2" t="str">
        <f>'PFAS Properties'!$D$46</f>
        <v>C8HF17O3S</v>
      </c>
      <c r="K925" s="25">
        <f>'PFAS Properties'!$P$46</f>
        <v>499.93739999999997</v>
      </c>
      <c r="L925" s="2">
        <f>'PFAS Properties'!$X$46</f>
        <v>0.1</v>
      </c>
      <c r="M925" s="2" t="str">
        <f>'PFAS Properties'!$Y$46</f>
        <v>-</v>
      </c>
      <c r="N925" s="33">
        <v>0</v>
      </c>
      <c r="O925" s="33">
        <v>0</v>
      </c>
      <c r="P925" s="33">
        <v>0</v>
      </c>
      <c r="Q925" s="33">
        <f t="shared" si="517"/>
        <v>0.99999990667457861</v>
      </c>
      <c r="R925" s="33">
        <v>0</v>
      </c>
      <c r="S925" s="33">
        <f t="shared" si="518"/>
        <v>9.3325421370063985E-8</v>
      </c>
      <c r="T925" s="8">
        <f t="shared" si="496"/>
        <v>1</v>
      </c>
      <c r="U925" s="33">
        <f t="shared" si="497"/>
        <v>0</v>
      </c>
      <c r="V925" s="33">
        <f t="shared" si="498"/>
        <v>-0.99999990667457861</v>
      </c>
      <c r="W925" s="33">
        <f t="shared" si="499"/>
        <v>498.93740009332538</v>
      </c>
      <c r="X925" s="33">
        <v>96485</v>
      </c>
      <c r="Y925" s="16">
        <f t="shared" si="500"/>
        <v>-193.38095516080648</v>
      </c>
      <c r="Z925" s="16">
        <v>8</v>
      </c>
      <c r="AA925" s="16">
        <v>17</v>
      </c>
      <c r="AB925" s="8">
        <f t="shared" si="501"/>
        <v>0.29721362229102166</v>
      </c>
      <c r="AC925" s="16">
        <f t="shared" si="506"/>
        <v>64.60808893273439</v>
      </c>
      <c r="AD925" s="20">
        <f>'PFAS Properties'!$W$46</f>
        <v>8</v>
      </c>
      <c r="AE925" s="8">
        <f>'PFAS Properties'!$S$46</f>
        <v>2.0166155475571776</v>
      </c>
      <c r="AF925" s="15">
        <f>'PFAS Properties'!$V$46</f>
        <v>5</v>
      </c>
      <c r="AG925" s="26">
        <v>7.13</v>
      </c>
      <c r="AH925" s="1" t="s">
        <v>190</v>
      </c>
      <c r="AI925" s="39">
        <f t="shared" si="507"/>
        <v>14.63139</v>
      </c>
      <c r="AJ925" s="1">
        <v>262</v>
      </c>
      <c r="AK925" s="8">
        <f t="shared" si="508"/>
        <v>1.463139</v>
      </c>
      <c r="AL925" s="39">
        <f t="shared" si="509"/>
        <v>6.9608400000000001</v>
      </c>
      <c r="AM925" s="1">
        <v>258</v>
      </c>
      <c r="AN925" s="8">
        <f t="shared" si="510"/>
        <v>0.69608400000000004</v>
      </c>
      <c r="AO925" s="3" t="s">
        <v>93</v>
      </c>
      <c r="AP925" s="3">
        <v>7.3</v>
      </c>
      <c r="AQ925" s="3" t="s">
        <v>661</v>
      </c>
      <c r="AR925" s="4">
        <v>76.900000000000006</v>
      </c>
      <c r="AS925" s="4">
        <v>12.5</v>
      </c>
      <c r="AT925" s="4">
        <v>10.6</v>
      </c>
      <c r="AU925" s="3" t="s">
        <v>661</v>
      </c>
      <c r="AV925" s="16">
        <f t="shared" si="502"/>
        <v>100</v>
      </c>
      <c r="AW925" s="7">
        <v>1</v>
      </c>
      <c r="AX925" s="13">
        <f t="shared" si="511"/>
        <v>0.01</v>
      </c>
      <c r="AY925" s="1" t="s">
        <v>511</v>
      </c>
      <c r="AZ925" s="1">
        <f t="shared" si="512"/>
        <v>100</v>
      </c>
      <c r="BA925" s="1" t="s">
        <v>55</v>
      </c>
      <c r="BB925" s="1">
        <v>5</v>
      </c>
      <c r="BC925" s="1">
        <v>500</v>
      </c>
      <c r="BD925" s="26">
        <f t="shared" si="513"/>
        <v>24.371887330507015</v>
      </c>
      <c r="BE925" s="16">
        <f t="shared" si="503"/>
        <v>2437.1887330507016</v>
      </c>
      <c r="BF925" s="16">
        <f t="shared" si="504"/>
        <v>3.3868891617447265</v>
      </c>
      <c r="BG925" s="8">
        <f t="shared" si="505"/>
        <v>1.3868891617447265</v>
      </c>
      <c r="BH925" s="13" t="s">
        <v>782</v>
      </c>
      <c r="BI925" s="8">
        <v>30.8</v>
      </c>
      <c r="BJ925" s="13" t="s">
        <v>349</v>
      </c>
      <c r="BK925" s="15">
        <v>0.9</v>
      </c>
      <c r="BL925" s="16">
        <f t="shared" si="514"/>
        <v>30.8</v>
      </c>
      <c r="BM925" s="18">
        <f>'PFAS Properties'!$U$46</f>
        <v>10.39</v>
      </c>
      <c r="BN925" s="8">
        <f t="shared" si="515"/>
        <v>253.22390936396789</v>
      </c>
      <c r="BO925" s="24">
        <f t="shared" si="516"/>
        <v>24.371887330507015</v>
      </c>
      <c r="BP925" s="11"/>
      <c r="BQ925" s="11"/>
    </row>
    <row r="926" spans="1:69" x14ac:dyDescent="0.3">
      <c r="A926" s="20">
        <v>924</v>
      </c>
      <c r="B926" s="2" t="s">
        <v>189</v>
      </c>
      <c r="C926" s="2">
        <v>2021</v>
      </c>
      <c r="D926" s="2" t="s">
        <v>510</v>
      </c>
      <c r="E926" s="41" t="s">
        <v>804</v>
      </c>
      <c r="F926" s="20" t="s">
        <v>29</v>
      </c>
      <c r="G926" s="2" t="s">
        <v>414</v>
      </c>
      <c r="H926" s="2" t="str">
        <f>'PFAS Properties'!$B$46</f>
        <v>PFOS</v>
      </c>
      <c r="I926" s="2" t="str">
        <f>'PFAS Properties'!$C$46</f>
        <v>PFSA</v>
      </c>
      <c r="J926" s="2" t="str">
        <f>'PFAS Properties'!$D$46</f>
        <v>C8HF17O3S</v>
      </c>
      <c r="K926" s="25">
        <f>'PFAS Properties'!$P$46</f>
        <v>499.93739999999997</v>
      </c>
      <c r="L926" s="2">
        <f>'PFAS Properties'!$X$46</f>
        <v>0.1</v>
      </c>
      <c r="M926" s="2" t="str">
        <f>'PFAS Properties'!$Y$46</f>
        <v>-</v>
      </c>
      <c r="N926" s="33">
        <v>0</v>
      </c>
      <c r="O926" s="33">
        <v>0</v>
      </c>
      <c r="P926" s="33">
        <v>0</v>
      </c>
      <c r="Q926" s="33">
        <f t="shared" si="517"/>
        <v>0.9999992056723962</v>
      </c>
      <c r="R926" s="33">
        <v>0</v>
      </c>
      <c r="S926" s="33">
        <f t="shared" si="518"/>
        <v>7.9432760376743655E-7</v>
      </c>
      <c r="T926" s="8">
        <f t="shared" si="496"/>
        <v>1</v>
      </c>
      <c r="U926" s="33">
        <f t="shared" si="497"/>
        <v>0</v>
      </c>
      <c r="V926" s="33">
        <f t="shared" si="498"/>
        <v>-0.9999992056723962</v>
      </c>
      <c r="W926" s="33">
        <f t="shared" si="499"/>
        <v>498.93740079432757</v>
      </c>
      <c r="X926" s="33">
        <v>96485</v>
      </c>
      <c r="Y926" s="16">
        <f t="shared" si="500"/>
        <v>-193.38081932862406</v>
      </c>
      <c r="Z926" s="16">
        <v>8</v>
      </c>
      <c r="AA926" s="16">
        <v>17</v>
      </c>
      <c r="AB926" s="8">
        <f t="shared" si="501"/>
        <v>0.29721362229102166</v>
      </c>
      <c r="AC926" s="16">
        <f t="shared" si="506"/>
        <v>64.60808893273439</v>
      </c>
      <c r="AD926" s="20">
        <f>'PFAS Properties'!$W$46</f>
        <v>8</v>
      </c>
      <c r="AE926" s="8">
        <f>'PFAS Properties'!$S$46</f>
        <v>2.0166155475571776</v>
      </c>
      <c r="AF926" s="15">
        <f>'PFAS Properties'!$V$46</f>
        <v>5</v>
      </c>
      <c r="AG926" s="26">
        <v>6.2</v>
      </c>
      <c r="AH926" s="1" t="s">
        <v>190</v>
      </c>
      <c r="AI926" s="39">
        <f t="shared" si="507"/>
        <v>14.798924999999999</v>
      </c>
      <c r="AJ926" s="1">
        <v>265</v>
      </c>
      <c r="AK926" s="8">
        <f t="shared" si="508"/>
        <v>1.4798924999999998</v>
      </c>
      <c r="AL926" s="39">
        <f t="shared" si="509"/>
        <v>6.9608400000000001</v>
      </c>
      <c r="AM926" s="1">
        <v>258</v>
      </c>
      <c r="AN926" s="8">
        <f t="shared" si="510"/>
        <v>0.69608400000000004</v>
      </c>
      <c r="AO926" s="3" t="s">
        <v>93</v>
      </c>
      <c r="AP926" s="3">
        <v>6.4</v>
      </c>
      <c r="AQ926" s="3" t="s">
        <v>661</v>
      </c>
      <c r="AR926" s="4">
        <v>80.599999999999994</v>
      </c>
      <c r="AS926" s="4">
        <v>11.2</v>
      </c>
      <c r="AT926" s="4">
        <v>8.1</v>
      </c>
      <c r="AU926" s="3" t="s">
        <v>661</v>
      </c>
      <c r="AV926" s="16">
        <f t="shared" si="502"/>
        <v>99.899999999999991</v>
      </c>
      <c r="AW926" s="7">
        <v>1</v>
      </c>
      <c r="AX926" s="13">
        <f t="shared" si="511"/>
        <v>0.01</v>
      </c>
      <c r="AY926" s="1" t="s">
        <v>511</v>
      </c>
      <c r="AZ926" s="1">
        <f t="shared" si="512"/>
        <v>100</v>
      </c>
      <c r="BA926" s="1" t="s">
        <v>55</v>
      </c>
      <c r="BB926" s="1">
        <v>5</v>
      </c>
      <c r="BC926" s="1">
        <v>500</v>
      </c>
      <c r="BD926" s="26">
        <f t="shared" si="513"/>
        <v>9.2253832028248866</v>
      </c>
      <c r="BE926" s="16">
        <f t="shared" si="503"/>
        <v>922.5383202824886</v>
      </c>
      <c r="BF926" s="16">
        <f t="shared" si="504"/>
        <v>2.9649844148761737</v>
      </c>
      <c r="BG926" s="8">
        <f t="shared" si="505"/>
        <v>0.9649844148761737</v>
      </c>
      <c r="BH926" s="13" t="s">
        <v>782</v>
      </c>
      <c r="BI926" s="8">
        <v>7.3</v>
      </c>
      <c r="BJ926" s="13" t="s">
        <v>349</v>
      </c>
      <c r="BK926" s="15">
        <v>1.1000000000000001</v>
      </c>
      <c r="BL926" s="16">
        <f t="shared" si="514"/>
        <v>7.3</v>
      </c>
      <c r="BM926" s="18">
        <f>'PFAS Properties'!$U$46</f>
        <v>10.39</v>
      </c>
      <c r="BN926" s="8">
        <f t="shared" si="515"/>
        <v>95.851731477350569</v>
      </c>
      <c r="BO926" s="24">
        <f t="shared" si="516"/>
        <v>9.2253832028248866</v>
      </c>
      <c r="BP926" s="11"/>
      <c r="BQ926" s="11"/>
    </row>
    <row r="927" spans="1:69" x14ac:dyDescent="0.3">
      <c r="A927" s="20">
        <v>925</v>
      </c>
      <c r="B927" s="2" t="s">
        <v>189</v>
      </c>
      <c r="C927" s="2">
        <v>2021</v>
      </c>
      <c r="D927" s="2" t="s">
        <v>510</v>
      </c>
      <c r="E927" s="41" t="s">
        <v>804</v>
      </c>
      <c r="F927" s="20" t="s">
        <v>29</v>
      </c>
      <c r="G927" s="2" t="s">
        <v>415</v>
      </c>
      <c r="H927" s="2" t="str">
        <f>'PFAS Properties'!$B$46</f>
        <v>PFOS</v>
      </c>
      <c r="I927" s="2" t="str">
        <f>'PFAS Properties'!$C$46</f>
        <v>PFSA</v>
      </c>
      <c r="J927" s="2" t="str">
        <f>'PFAS Properties'!$D$46</f>
        <v>C8HF17O3S</v>
      </c>
      <c r="K927" s="25">
        <f>'PFAS Properties'!$P$46</f>
        <v>499.93739999999997</v>
      </c>
      <c r="L927" s="2">
        <f>'PFAS Properties'!$X$46</f>
        <v>0.1</v>
      </c>
      <c r="M927" s="2" t="str">
        <f>'PFAS Properties'!$Y$46</f>
        <v>-</v>
      </c>
      <c r="N927" s="33">
        <v>0</v>
      </c>
      <c r="O927" s="33">
        <v>0</v>
      </c>
      <c r="P927" s="33">
        <v>0</v>
      </c>
      <c r="Q927" s="33">
        <f t="shared" si="517"/>
        <v>0.99999978620383678</v>
      </c>
      <c r="R927" s="33">
        <v>0</v>
      </c>
      <c r="S927" s="33">
        <f t="shared" si="518"/>
        <v>2.137961632414136E-7</v>
      </c>
      <c r="T927" s="8">
        <f t="shared" si="496"/>
        <v>1</v>
      </c>
      <c r="U927" s="33">
        <f t="shared" si="497"/>
        <v>0</v>
      </c>
      <c r="V927" s="33">
        <f t="shared" si="498"/>
        <v>-0.99999978620383678</v>
      </c>
      <c r="W927" s="33">
        <f t="shared" si="499"/>
        <v>498.93740021379614</v>
      </c>
      <c r="X927" s="33">
        <v>96485</v>
      </c>
      <c r="Y927" s="16">
        <f t="shared" si="500"/>
        <v>-193.38093181736446</v>
      </c>
      <c r="Z927" s="16">
        <v>8</v>
      </c>
      <c r="AA927" s="16">
        <v>17</v>
      </c>
      <c r="AB927" s="8">
        <f t="shared" si="501"/>
        <v>0.29721362229102166</v>
      </c>
      <c r="AC927" s="16">
        <f t="shared" si="506"/>
        <v>64.60808893273439</v>
      </c>
      <c r="AD927" s="20">
        <f>'PFAS Properties'!$W$46</f>
        <v>8</v>
      </c>
      <c r="AE927" s="8">
        <f>'PFAS Properties'!$S$46</f>
        <v>2.0166155475571776</v>
      </c>
      <c r="AF927" s="15">
        <f>'PFAS Properties'!$V$46</f>
        <v>5</v>
      </c>
      <c r="AG927" s="26">
        <v>6.77</v>
      </c>
      <c r="AH927" s="1" t="s">
        <v>190</v>
      </c>
      <c r="AI927" s="39">
        <f t="shared" si="507"/>
        <v>44.564309999999999</v>
      </c>
      <c r="AJ927" s="1">
        <v>798</v>
      </c>
      <c r="AK927" s="8">
        <f t="shared" si="508"/>
        <v>4.4564310000000003</v>
      </c>
      <c r="AL927" s="39">
        <f t="shared" si="509"/>
        <v>25.68496</v>
      </c>
      <c r="AM927" s="1">
        <v>952</v>
      </c>
      <c r="AN927" s="8">
        <f t="shared" si="510"/>
        <v>2.5684960000000001</v>
      </c>
      <c r="AO927" s="3" t="s">
        <v>93</v>
      </c>
      <c r="AP927" s="3">
        <v>20.9</v>
      </c>
      <c r="AQ927" s="3" t="s">
        <v>661</v>
      </c>
      <c r="AR927" s="4">
        <v>60.6</v>
      </c>
      <c r="AS927" s="4">
        <v>23.1</v>
      </c>
      <c r="AT927" s="4">
        <v>20</v>
      </c>
      <c r="AU927" s="3" t="s">
        <v>661</v>
      </c>
      <c r="AV927" s="16">
        <f t="shared" si="502"/>
        <v>103.7</v>
      </c>
      <c r="AW927" s="7">
        <v>3</v>
      </c>
      <c r="AX927" s="13">
        <f t="shared" si="511"/>
        <v>0.03</v>
      </c>
      <c r="AY927" s="1" t="s">
        <v>511</v>
      </c>
      <c r="AZ927" s="1">
        <f t="shared" si="512"/>
        <v>100</v>
      </c>
      <c r="BA927" s="1" t="s">
        <v>55</v>
      </c>
      <c r="BB927" s="1">
        <v>5</v>
      </c>
      <c r="BC927" s="1">
        <v>500</v>
      </c>
      <c r="BD927" s="26">
        <f t="shared" si="513"/>
        <v>44.938919153443535</v>
      </c>
      <c r="BE927" s="16">
        <f t="shared" si="503"/>
        <v>1497.9639717814512</v>
      </c>
      <c r="BF927" s="16">
        <f t="shared" si="504"/>
        <v>3.1755013680732795</v>
      </c>
      <c r="BG927" s="8">
        <f t="shared" si="505"/>
        <v>1.6526226227929419</v>
      </c>
      <c r="BH927" s="13" t="s">
        <v>782</v>
      </c>
      <c r="BI927" s="8">
        <v>90.7</v>
      </c>
      <c r="BJ927" s="13" t="s">
        <v>349</v>
      </c>
      <c r="BK927" s="15">
        <v>0.7</v>
      </c>
      <c r="BL927" s="16">
        <f t="shared" si="514"/>
        <v>90.7</v>
      </c>
      <c r="BM927" s="18">
        <f>'PFAS Properties'!$U$46</f>
        <v>10.39</v>
      </c>
      <c r="BN927" s="8">
        <f t="shared" si="515"/>
        <v>466.91537000427837</v>
      </c>
      <c r="BO927" s="24">
        <f t="shared" si="516"/>
        <v>44.938919153443535</v>
      </c>
      <c r="BP927" s="11"/>
      <c r="BQ927" s="11"/>
    </row>
    <row r="928" spans="1:69" x14ac:dyDescent="0.3">
      <c r="A928" s="20">
        <v>926</v>
      </c>
      <c r="B928" s="2" t="s">
        <v>189</v>
      </c>
      <c r="C928" s="2">
        <v>2021</v>
      </c>
      <c r="D928" s="2" t="s">
        <v>510</v>
      </c>
      <c r="E928" s="41" t="s">
        <v>804</v>
      </c>
      <c r="F928" s="20" t="s">
        <v>29</v>
      </c>
      <c r="G928" s="2" t="s">
        <v>416</v>
      </c>
      <c r="H928" s="2" t="str">
        <f>'PFAS Properties'!$B$46</f>
        <v>PFOS</v>
      </c>
      <c r="I928" s="2" t="str">
        <f>'PFAS Properties'!$C$46</f>
        <v>PFSA</v>
      </c>
      <c r="J928" s="2" t="str">
        <f>'PFAS Properties'!$D$46</f>
        <v>C8HF17O3S</v>
      </c>
      <c r="K928" s="25">
        <f>'PFAS Properties'!$P$46</f>
        <v>499.93739999999997</v>
      </c>
      <c r="L928" s="2">
        <f>'PFAS Properties'!$X$46</f>
        <v>0.1</v>
      </c>
      <c r="M928" s="2" t="str">
        <f>'PFAS Properties'!$Y$46</f>
        <v>-</v>
      </c>
      <c r="N928" s="33">
        <v>0</v>
      </c>
      <c r="O928" s="33">
        <v>0</v>
      </c>
      <c r="P928" s="33">
        <v>0</v>
      </c>
      <c r="Q928" s="33">
        <f t="shared" si="517"/>
        <v>0.99999999861961575</v>
      </c>
      <c r="R928" s="33">
        <v>0</v>
      </c>
      <c r="S928" s="33">
        <f t="shared" si="518"/>
        <v>1.3803842626974183E-9</v>
      </c>
      <c r="T928" s="8">
        <f t="shared" si="496"/>
        <v>1</v>
      </c>
      <c r="U928" s="33">
        <f t="shared" si="497"/>
        <v>0</v>
      </c>
      <c r="V928" s="33">
        <f t="shared" si="498"/>
        <v>-0.99999999861961575</v>
      </c>
      <c r="W928" s="33">
        <f t="shared" si="499"/>
        <v>498.93740000138035</v>
      </c>
      <c r="X928" s="33">
        <v>96485</v>
      </c>
      <c r="Y928" s="16">
        <f t="shared" si="500"/>
        <v>-193.3809729768638</v>
      </c>
      <c r="Z928" s="16">
        <v>8</v>
      </c>
      <c r="AA928" s="16">
        <v>17</v>
      </c>
      <c r="AB928" s="8">
        <f t="shared" si="501"/>
        <v>0.29721362229102166</v>
      </c>
      <c r="AC928" s="16">
        <f t="shared" si="506"/>
        <v>64.60808893273439</v>
      </c>
      <c r="AD928" s="20">
        <f>'PFAS Properties'!$W$46</f>
        <v>8</v>
      </c>
      <c r="AE928" s="8">
        <f>'PFAS Properties'!$S$46</f>
        <v>2.0166155475571776</v>
      </c>
      <c r="AF928" s="15">
        <f>'PFAS Properties'!$V$46</f>
        <v>5</v>
      </c>
      <c r="AG928" s="26">
        <v>8.9600000000000009</v>
      </c>
      <c r="AH928" s="1" t="s">
        <v>190</v>
      </c>
      <c r="AI928" s="39">
        <f t="shared" si="507"/>
        <v>15.52491</v>
      </c>
      <c r="AJ928" s="1">
        <v>278</v>
      </c>
      <c r="AK928" s="8">
        <f t="shared" si="508"/>
        <v>1.5524910000000001</v>
      </c>
      <c r="AL928" s="39">
        <f t="shared" si="509"/>
        <v>22.258500000000002</v>
      </c>
      <c r="AM928" s="1">
        <v>825</v>
      </c>
      <c r="AN928" s="8">
        <f t="shared" si="510"/>
        <v>2.2258500000000003</v>
      </c>
      <c r="AO928" s="3" t="s">
        <v>93</v>
      </c>
      <c r="AP928" s="3">
        <v>16.7</v>
      </c>
      <c r="AQ928" s="3" t="s">
        <v>661</v>
      </c>
      <c r="AR928" s="4">
        <v>34.5</v>
      </c>
      <c r="AS928" s="4">
        <v>20.100000000000001</v>
      </c>
      <c r="AT928" s="4">
        <v>45.4</v>
      </c>
      <c r="AU928" s="3" t="s">
        <v>661</v>
      </c>
      <c r="AV928" s="16">
        <f t="shared" si="502"/>
        <v>100</v>
      </c>
      <c r="AW928" s="7">
        <v>0.6</v>
      </c>
      <c r="AX928" s="13">
        <f t="shared" si="511"/>
        <v>6.0000000000000001E-3</v>
      </c>
      <c r="AY928" s="1" t="s">
        <v>511</v>
      </c>
      <c r="AZ928" s="1">
        <f t="shared" si="512"/>
        <v>100</v>
      </c>
      <c r="BA928" s="1" t="s">
        <v>55</v>
      </c>
      <c r="BB928" s="1">
        <v>5</v>
      </c>
      <c r="BC928" s="1">
        <v>500</v>
      </c>
      <c r="BD928" s="26">
        <f t="shared" si="513"/>
        <v>19.22273885347813</v>
      </c>
      <c r="BE928" s="16">
        <f t="shared" si="503"/>
        <v>3203.7898089130217</v>
      </c>
      <c r="BF928" s="16">
        <f t="shared" si="504"/>
        <v>3.5056640155821075</v>
      </c>
      <c r="BG928" s="8">
        <f t="shared" si="505"/>
        <v>1.2838152659657509</v>
      </c>
      <c r="BH928" s="13" t="s">
        <v>782</v>
      </c>
      <c r="BI928" s="8">
        <v>30.7</v>
      </c>
      <c r="BJ928" s="13" t="s">
        <v>349</v>
      </c>
      <c r="BK928" s="15">
        <v>0.8</v>
      </c>
      <c r="BL928" s="16">
        <f t="shared" si="514"/>
        <v>30.7</v>
      </c>
      <c r="BM928" s="18">
        <f>'PFAS Properties'!$U$46</f>
        <v>10.39</v>
      </c>
      <c r="BN928" s="8">
        <f t="shared" si="515"/>
        <v>199.72425668763779</v>
      </c>
      <c r="BO928" s="24">
        <f t="shared" si="516"/>
        <v>19.22273885347813</v>
      </c>
      <c r="BP928" s="11"/>
      <c r="BQ928" s="11"/>
    </row>
    <row r="929" spans="1:69" x14ac:dyDescent="0.3">
      <c r="A929" s="20">
        <v>927</v>
      </c>
      <c r="B929" s="2" t="s">
        <v>189</v>
      </c>
      <c r="C929" s="2">
        <v>2021</v>
      </c>
      <c r="D929" s="2" t="s">
        <v>510</v>
      </c>
      <c r="E929" s="41" t="s">
        <v>804</v>
      </c>
      <c r="F929" s="20" t="s">
        <v>29</v>
      </c>
      <c r="G929" s="2" t="s">
        <v>417</v>
      </c>
      <c r="H929" s="2" t="str">
        <f>'PFAS Properties'!$B$46</f>
        <v>PFOS</v>
      </c>
      <c r="I929" s="2" t="str">
        <f>'PFAS Properties'!$C$46</f>
        <v>PFSA</v>
      </c>
      <c r="J929" s="2" t="str">
        <f>'PFAS Properties'!$D$46</f>
        <v>C8HF17O3S</v>
      </c>
      <c r="K929" s="25">
        <f>'PFAS Properties'!$P$46</f>
        <v>499.93739999999997</v>
      </c>
      <c r="L929" s="2">
        <f>'PFAS Properties'!$X$46</f>
        <v>0.1</v>
      </c>
      <c r="M929" s="2" t="str">
        <f>'PFAS Properties'!$Y$46</f>
        <v>-</v>
      </c>
      <c r="N929" s="33">
        <v>0</v>
      </c>
      <c r="O929" s="33">
        <v>0</v>
      </c>
      <c r="P929" s="33">
        <v>0</v>
      </c>
      <c r="Q929" s="33">
        <f t="shared" si="517"/>
        <v>0.99999966886898817</v>
      </c>
      <c r="R929" s="33">
        <v>0</v>
      </c>
      <c r="S929" s="33">
        <f t="shared" si="518"/>
        <v>3.3113101183480713E-7</v>
      </c>
      <c r="T929" s="8">
        <f t="shared" si="496"/>
        <v>1</v>
      </c>
      <c r="U929" s="33">
        <f t="shared" si="497"/>
        <v>0</v>
      </c>
      <c r="V929" s="33">
        <f t="shared" si="498"/>
        <v>-0.99999966886898817</v>
      </c>
      <c r="W929" s="33">
        <f t="shared" si="499"/>
        <v>498.93740033113102</v>
      </c>
      <c r="X929" s="33">
        <v>96485</v>
      </c>
      <c r="Y929" s="16">
        <f t="shared" si="500"/>
        <v>-193.38090908155996</v>
      </c>
      <c r="Z929" s="16">
        <v>8</v>
      </c>
      <c r="AA929" s="16">
        <v>17</v>
      </c>
      <c r="AB929" s="8">
        <f t="shared" si="501"/>
        <v>0.29721362229102166</v>
      </c>
      <c r="AC929" s="16">
        <f t="shared" si="506"/>
        <v>64.60808893273439</v>
      </c>
      <c r="AD929" s="20">
        <f>'PFAS Properties'!$W$46</f>
        <v>8</v>
      </c>
      <c r="AE929" s="8">
        <f>'PFAS Properties'!$S$46</f>
        <v>2.0166155475571776</v>
      </c>
      <c r="AF929" s="15">
        <f>'PFAS Properties'!$V$46</f>
        <v>5</v>
      </c>
      <c r="AG929" s="26">
        <v>6.58</v>
      </c>
      <c r="AH929" s="1" t="s">
        <v>190</v>
      </c>
      <c r="AI929" s="39">
        <f t="shared" si="507"/>
        <v>99.515789999999996</v>
      </c>
      <c r="AJ929" s="1">
        <v>1782</v>
      </c>
      <c r="AK929" s="8">
        <f t="shared" si="508"/>
        <v>9.9515789999999988</v>
      </c>
      <c r="AL929" s="39">
        <f t="shared" si="509"/>
        <v>41.360340000000001</v>
      </c>
      <c r="AM929" s="1">
        <v>1533</v>
      </c>
      <c r="AN929" s="8">
        <f t="shared" si="510"/>
        <v>4.1360340000000004</v>
      </c>
      <c r="AO929" s="3" t="s">
        <v>93</v>
      </c>
      <c r="AP929" s="3">
        <v>39.1</v>
      </c>
      <c r="AQ929" s="3" t="s">
        <v>661</v>
      </c>
      <c r="AR929" s="164">
        <v>34.299900000000001</v>
      </c>
      <c r="AS929" s="164">
        <v>32.877600000000001</v>
      </c>
      <c r="AT929" s="164">
        <v>31.8353</v>
      </c>
      <c r="AU929" s="70" t="s">
        <v>752</v>
      </c>
      <c r="AV929" s="16">
        <f t="shared" si="502"/>
        <v>99.012800000000013</v>
      </c>
      <c r="AW929" s="7">
        <v>10.6</v>
      </c>
      <c r="AX929" s="13">
        <f t="shared" si="511"/>
        <v>0.106</v>
      </c>
      <c r="AY929" s="1" t="s">
        <v>511</v>
      </c>
      <c r="AZ929" s="1">
        <f t="shared" si="512"/>
        <v>100</v>
      </c>
      <c r="BA929" s="1" t="s">
        <v>55</v>
      </c>
      <c r="BB929" s="1">
        <v>5</v>
      </c>
      <c r="BC929" s="1">
        <v>500</v>
      </c>
      <c r="BD929" s="26">
        <f t="shared" si="513"/>
        <v>175.82575859865773</v>
      </c>
      <c r="BE929" s="16">
        <f t="shared" si="503"/>
        <v>1658.7335716854502</v>
      </c>
      <c r="BF929" s="16">
        <f t="shared" si="504"/>
        <v>3.219776634584361</v>
      </c>
      <c r="BG929" s="8">
        <f t="shared" si="505"/>
        <v>2.245082499849131</v>
      </c>
      <c r="BH929" s="13" t="s">
        <v>782</v>
      </c>
      <c r="BI929" s="8">
        <v>222.2</v>
      </c>
      <c r="BJ929" s="13" t="s">
        <v>349</v>
      </c>
      <c r="BK929" s="15">
        <v>0.9</v>
      </c>
      <c r="BL929" s="16">
        <f t="shared" si="514"/>
        <v>222.2</v>
      </c>
      <c r="BM929" s="18">
        <f>'PFAS Properties'!$U$46</f>
        <v>10.39</v>
      </c>
      <c r="BN929" s="8">
        <f t="shared" si="515"/>
        <v>1826.8296318400539</v>
      </c>
      <c r="BO929" s="24">
        <f t="shared" si="516"/>
        <v>175.82575859865773</v>
      </c>
      <c r="BP929" s="11"/>
      <c r="BQ929" s="11"/>
    </row>
    <row r="930" spans="1:69" x14ac:dyDescent="0.3">
      <c r="A930" s="20">
        <v>928</v>
      </c>
      <c r="B930" s="2" t="s">
        <v>189</v>
      </c>
      <c r="C930" s="2">
        <v>2021</v>
      </c>
      <c r="D930" s="2" t="s">
        <v>510</v>
      </c>
      <c r="E930" s="41" t="s">
        <v>804</v>
      </c>
      <c r="F930" s="20" t="s">
        <v>29</v>
      </c>
      <c r="G930" s="2" t="s">
        <v>418</v>
      </c>
      <c r="H930" s="2" t="str">
        <f>'PFAS Properties'!$B$46</f>
        <v>PFOS</v>
      </c>
      <c r="I930" s="2" t="str">
        <f>'PFAS Properties'!$C$46</f>
        <v>PFSA</v>
      </c>
      <c r="J930" s="2" t="str">
        <f>'PFAS Properties'!$D$46</f>
        <v>C8HF17O3S</v>
      </c>
      <c r="K930" s="25">
        <f>'PFAS Properties'!$P$46</f>
        <v>499.93739999999997</v>
      </c>
      <c r="L930" s="2">
        <f>'PFAS Properties'!$X$46</f>
        <v>0.1</v>
      </c>
      <c r="M930" s="2" t="str">
        <f>'PFAS Properties'!$Y$46</f>
        <v>-</v>
      </c>
      <c r="N930" s="33">
        <v>0</v>
      </c>
      <c r="O930" s="33">
        <v>0</v>
      </c>
      <c r="P930" s="33">
        <v>0</v>
      </c>
      <c r="Q930" s="33">
        <f t="shared" si="517"/>
        <v>0.99999999108749071</v>
      </c>
      <c r="R930" s="33">
        <v>0</v>
      </c>
      <c r="S930" s="33">
        <f t="shared" si="518"/>
        <v>8.9125093019045892E-9</v>
      </c>
      <c r="T930" s="8">
        <f t="shared" si="496"/>
        <v>1</v>
      </c>
      <c r="U930" s="33">
        <f t="shared" si="497"/>
        <v>0</v>
      </c>
      <c r="V930" s="33">
        <f t="shared" si="498"/>
        <v>-0.99999999108749071</v>
      </c>
      <c r="W930" s="33">
        <f t="shared" si="499"/>
        <v>498.9374000089125</v>
      </c>
      <c r="X930" s="33">
        <v>96485</v>
      </c>
      <c r="Y930" s="16">
        <f t="shared" si="500"/>
        <v>-193.3809715173748</v>
      </c>
      <c r="Z930" s="16">
        <v>8</v>
      </c>
      <c r="AA930" s="16">
        <v>17</v>
      </c>
      <c r="AB930" s="8">
        <f t="shared" si="501"/>
        <v>0.29721362229102166</v>
      </c>
      <c r="AC930" s="16">
        <f t="shared" si="506"/>
        <v>64.60808893273439</v>
      </c>
      <c r="AD930" s="20">
        <f>'PFAS Properties'!$W$46</f>
        <v>8</v>
      </c>
      <c r="AE930" s="8">
        <f>'PFAS Properties'!$S$46</f>
        <v>2.0166155475571776</v>
      </c>
      <c r="AF930" s="15">
        <f>'PFAS Properties'!$V$46</f>
        <v>5</v>
      </c>
      <c r="AG930" s="26">
        <v>8.15</v>
      </c>
      <c r="AH930" s="1" t="s">
        <v>190</v>
      </c>
      <c r="AI930" s="39">
        <f t="shared" si="507"/>
        <v>3.5182350000000002</v>
      </c>
      <c r="AJ930" s="1">
        <v>63</v>
      </c>
      <c r="AK930" s="8">
        <f t="shared" si="508"/>
        <v>0.35182350000000001</v>
      </c>
      <c r="AL930" s="39">
        <f t="shared" si="509"/>
        <v>7.5274200000000002</v>
      </c>
      <c r="AM930" s="1">
        <v>279</v>
      </c>
      <c r="AN930" s="8">
        <f t="shared" si="510"/>
        <v>0.75274200000000002</v>
      </c>
      <c r="AO930" s="3" t="s">
        <v>93</v>
      </c>
      <c r="AP930" s="3">
        <v>7.7</v>
      </c>
      <c r="AQ930" s="3" t="s">
        <v>661</v>
      </c>
      <c r="AR930" s="4">
        <v>75.3</v>
      </c>
      <c r="AS930" s="4">
        <v>13.9</v>
      </c>
      <c r="AT930" s="4">
        <v>10.7</v>
      </c>
      <c r="AU930" s="3" t="s">
        <v>661</v>
      </c>
      <c r="AV930" s="16">
        <f t="shared" si="502"/>
        <v>99.9</v>
      </c>
      <c r="AW930" s="7">
        <v>1.1000000000000001</v>
      </c>
      <c r="AX930" s="13">
        <f t="shared" si="511"/>
        <v>1.1000000000000001E-2</v>
      </c>
      <c r="AY930" s="1" t="s">
        <v>511</v>
      </c>
      <c r="AZ930" s="1">
        <f t="shared" si="512"/>
        <v>100</v>
      </c>
      <c r="BA930" s="1" t="s">
        <v>55</v>
      </c>
      <c r="BB930" s="1">
        <v>5</v>
      </c>
      <c r="BC930" s="1">
        <v>500</v>
      </c>
      <c r="BD930" s="26">
        <f t="shared" si="513"/>
        <v>16.609495786924757</v>
      </c>
      <c r="BE930" s="16">
        <f t="shared" si="503"/>
        <v>1509.9541624477051</v>
      </c>
      <c r="BF930" s="16">
        <f t="shared" si="504"/>
        <v>3.1789637636519905</v>
      </c>
      <c r="BG930" s="8">
        <f t="shared" si="505"/>
        <v>1.2203564488102157</v>
      </c>
      <c r="BH930" s="13" t="s">
        <v>782</v>
      </c>
      <c r="BI930" s="8">
        <v>10.4</v>
      </c>
      <c r="BJ930" s="13" t="s">
        <v>349</v>
      </c>
      <c r="BK930" s="15">
        <v>1.2</v>
      </c>
      <c r="BL930" s="16">
        <f t="shared" si="514"/>
        <v>10.4</v>
      </c>
      <c r="BM930" s="18">
        <f>'PFAS Properties'!$U$46</f>
        <v>10.39</v>
      </c>
      <c r="BN930" s="8">
        <f t="shared" si="515"/>
        <v>172.57266122614826</v>
      </c>
      <c r="BO930" s="24">
        <f t="shared" si="516"/>
        <v>16.609495786924757</v>
      </c>
      <c r="BP930" s="11"/>
      <c r="BQ930" s="11"/>
    </row>
    <row r="931" spans="1:69" x14ac:dyDescent="0.3">
      <c r="A931" s="20">
        <v>929</v>
      </c>
      <c r="B931" s="2" t="s">
        <v>189</v>
      </c>
      <c r="C931" s="2">
        <v>2021</v>
      </c>
      <c r="D931" s="2" t="s">
        <v>510</v>
      </c>
      <c r="E931" s="41" t="s">
        <v>804</v>
      </c>
      <c r="F931" s="20" t="s">
        <v>29</v>
      </c>
      <c r="G931" s="2" t="s">
        <v>419</v>
      </c>
      <c r="H931" s="2" t="str">
        <f>'PFAS Properties'!$B$46</f>
        <v>PFOS</v>
      </c>
      <c r="I931" s="2" t="str">
        <f>'PFAS Properties'!$C$46</f>
        <v>PFSA</v>
      </c>
      <c r="J931" s="2" t="str">
        <f>'PFAS Properties'!$D$46</f>
        <v>C8HF17O3S</v>
      </c>
      <c r="K931" s="25">
        <f>'PFAS Properties'!$P$46</f>
        <v>499.93739999999997</v>
      </c>
      <c r="L931" s="2">
        <f>'PFAS Properties'!$X$46</f>
        <v>0.1</v>
      </c>
      <c r="M931" s="2" t="str">
        <f>'PFAS Properties'!$Y$46</f>
        <v>-</v>
      </c>
      <c r="N931" s="33">
        <v>0</v>
      </c>
      <c r="O931" s="33">
        <v>0</v>
      </c>
      <c r="P931" s="33">
        <v>0</v>
      </c>
      <c r="Q931" s="33">
        <f t="shared" si="517"/>
        <v>0.99999998451183403</v>
      </c>
      <c r="R931" s="33">
        <v>0</v>
      </c>
      <c r="S931" s="33">
        <f t="shared" si="518"/>
        <v>1.5488165949241471E-8</v>
      </c>
      <c r="T931" s="8">
        <f t="shared" si="496"/>
        <v>1</v>
      </c>
      <c r="U931" s="33">
        <f t="shared" si="497"/>
        <v>0</v>
      </c>
      <c r="V931" s="33">
        <f t="shared" si="498"/>
        <v>-0.99999998451183403</v>
      </c>
      <c r="W931" s="33">
        <f t="shared" si="499"/>
        <v>498.93740001548815</v>
      </c>
      <c r="X931" s="33">
        <v>96485</v>
      </c>
      <c r="Y931" s="16">
        <f t="shared" si="500"/>
        <v>-193.38097024321928</v>
      </c>
      <c r="Z931" s="16">
        <v>8</v>
      </c>
      <c r="AA931" s="16">
        <v>17</v>
      </c>
      <c r="AB931" s="8">
        <f t="shared" si="501"/>
        <v>0.29721362229102166</v>
      </c>
      <c r="AC931" s="16">
        <f t="shared" si="506"/>
        <v>64.60808893273439</v>
      </c>
      <c r="AD931" s="20">
        <f>'PFAS Properties'!$W$46</f>
        <v>8</v>
      </c>
      <c r="AE931" s="8">
        <f>'PFAS Properties'!$S$46</f>
        <v>2.0166155475571776</v>
      </c>
      <c r="AF931" s="15">
        <f>'PFAS Properties'!$V$46</f>
        <v>5</v>
      </c>
      <c r="AG931" s="26">
        <v>7.91</v>
      </c>
      <c r="AH931" s="1" t="s">
        <v>190</v>
      </c>
      <c r="AI931" s="39">
        <f t="shared" si="507"/>
        <v>18.763919999999999</v>
      </c>
      <c r="AJ931" s="1">
        <v>336</v>
      </c>
      <c r="AK931" s="8">
        <f t="shared" si="508"/>
        <v>1.8763919999999998</v>
      </c>
      <c r="AL931" s="39">
        <f t="shared" si="509"/>
        <v>25.30724</v>
      </c>
      <c r="AM931" s="1">
        <v>938</v>
      </c>
      <c r="AN931" s="8">
        <f t="shared" si="510"/>
        <v>2.5307240000000002</v>
      </c>
      <c r="AO931" s="3" t="s">
        <v>93</v>
      </c>
      <c r="AP931" s="3">
        <v>24.2</v>
      </c>
      <c r="AQ931" s="3" t="s">
        <v>661</v>
      </c>
      <c r="AR931" s="4">
        <v>18.8</v>
      </c>
      <c r="AS931" s="4">
        <v>19.100000000000001</v>
      </c>
      <c r="AT931" s="4">
        <v>62.1</v>
      </c>
      <c r="AU931" s="3" t="s">
        <v>661</v>
      </c>
      <c r="AV931" s="16">
        <f t="shared" si="502"/>
        <v>100</v>
      </c>
      <c r="AW931" s="7">
        <v>1.1000000000000001</v>
      </c>
      <c r="AX931" s="13">
        <f t="shared" si="511"/>
        <v>1.1000000000000001E-2</v>
      </c>
      <c r="AY931" s="1" t="s">
        <v>511</v>
      </c>
      <c r="AZ931" s="1">
        <f t="shared" si="512"/>
        <v>100</v>
      </c>
      <c r="BA931" s="1" t="s">
        <v>55</v>
      </c>
      <c r="BB931" s="1">
        <v>5</v>
      </c>
      <c r="BC931" s="1">
        <v>500</v>
      </c>
      <c r="BD931" s="26">
        <f t="shared" si="513"/>
        <v>31.177024702012218</v>
      </c>
      <c r="BE931" s="16">
        <f t="shared" si="503"/>
        <v>2834.2749729102015</v>
      </c>
      <c r="BF931" s="16">
        <f t="shared" si="504"/>
        <v>3.4524419819116314</v>
      </c>
      <c r="BG931" s="8">
        <f t="shared" si="505"/>
        <v>1.4938346670698563</v>
      </c>
      <c r="BH931" s="13" t="s">
        <v>782</v>
      </c>
      <c r="BI931" s="8">
        <v>39.4</v>
      </c>
      <c r="BJ931" s="13" t="s">
        <v>349</v>
      </c>
      <c r="BK931" s="15">
        <v>0.9</v>
      </c>
      <c r="BL931" s="16">
        <f t="shared" si="514"/>
        <v>39.4</v>
      </c>
      <c r="BM931" s="18">
        <f>'PFAS Properties'!$U$46</f>
        <v>10.39</v>
      </c>
      <c r="BN931" s="8">
        <f t="shared" si="515"/>
        <v>323.92928665390696</v>
      </c>
      <c r="BO931" s="24">
        <f t="shared" si="516"/>
        <v>31.177024702012218</v>
      </c>
      <c r="BP931" s="11"/>
      <c r="BQ931" s="11"/>
    </row>
    <row r="932" spans="1:69" x14ac:dyDescent="0.3">
      <c r="A932" s="20">
        <v>930</v>
      </c>
      <c r="B932" s="2" t="s">
        <v>189</v>
      </c>
      <c r="C932" s="2">
        <v>2021</v>
      </c>
      <c r="D932" s="2" t="s">
        <v>510</v>
      </c>
      <c r="E932" s="41" t="s">
        <v>804</v>
      </c>
      <c r="F932" s="20" t="s">
        <v>29</v>
      </c>
      <c r="G932" s="2" t="s">
        <v>420</v>
      </c>
      <c r="H932" s="2" t="str">
        <f>'PFAS Properties'!$B$46</f>
        <v>PFOS</v>
      </c>
      <c r="I932" s="2" t="str">
        <f>'PFAS Properties'!$C$46</f>
        <v>PFSA</v>
      </c>
      <c r="J932" s="2" t="str">
        <f>'PFAS Properties'!$D$46</f>
        <v>C8HF17O3S</v>
      </c>
      <c r="K932" s="25">
        <f>'PFAS Properties'!$P$46</f>
        <v>499.93739999999997</v>
      </c>
      <c r="L932" s="2">
        <f>'PFAS Properties'!$X$46</f>
        <v>0.1</v>
      </c>
      <c r="M932" s="2" t="str">
        <f>'PFAS Properties'!$Y$46</f>
        <v>-</v>
      </c>
      <c r="N932" s="33">
        <v>0</v>
      </c>
      <c r="O932" s="33">
        <v>0</v>
      </c>
      <c r="P932" s="33">
        <v>0</v>
      </c>
      <c r="Q932" s="33">
        <f t="shared" si="517"/>
        <v>0.99998851859560922</v>
      </c>
      <c r="R932" s="33">
        <v>0</v>
      </c>
      <c r="S932" s="33">
        <f t="shared" si="518"/>
        <v>1.1481404390808487E-5</v>
      </c>
      <c r="T932" s="8">
        <f t="shared" si="496"/>
        <v>1</v>
      </c>
      <c r="U932" s="33">
        <f t="shared" si="497"/>
        <v>0</v>
      </c>
      <c r="V932" s="33">
        <f t="shared" si="498"/>
        <v>-0.99998851859560922</v>
      </c>
      <c r="W932" s="33">
        <f t="shared" si="499"/>
        <v>498.93741148140435</v>
      </c>
      <c r="X932" s="33">
        <v>96485</v>
      </c>
      <c r="Y932" s="16">
        <f t="shared" si="500"/>
        <v>-193.37874850920727</v>
      </c>
      <c r="Z932" s="16">
        <v>8</v>
      </c>
      <c r="AA932" s="16">
        <v>17</v>
      </c>
      <c r="AB932" s="8">
        <f t="shared" si="501"/>
        <v>0.29721362229102166</v>
      </c>
      <c r="AC932" s="16">
        <f t="shared" si="506"/>
        <v>64.60808893273439</v>
      </c>
      <c r="AD932" s="20">
        <f>'PFAS Properties'!$W$46</f>
        <v>8</v>
      </c>
      <c r="AE932" s="8">
        <f>'PFAS Properties'!$S$46</f>
        <v>2.0166155475571776</v>
      </c>
      <c r="AF932" s="15">
        <f>'PFAS Properties'!$V$46</f>
        <v>5</v>
      </c>
      <c r="AG932" s="26">
        <v>5.04</v>
      </c>
      <c r="AH932" s="1" t="s">
        <v>190</v>
      </c>
      <c r="AI932" s="39">
        <f t="shared" si="507"/>
        <v>53.834580000000003</v>
      </c>
      <c r="AJ932" s="1">
        <v>964</v>
      </c>
      <c r="AK932" s="8">
        <f t="shared" si="508"/>
        <v>5.3834580000000001</v>
      </c>
      <c r="AL932" s="39">
        <f t="shared" si="509"/>
        <v>26.899060000000002</v>
      </c>
      <c r="AM932" s="1">
        <v>997</v>
      </c>
      <c r="AN932" s="8">
        <f t="shared" si="510"/>
        <v>2.6899060000000001</v>
      </c>
      <c r="AO932" s="3" t="s">
        <v>93</v>
      </c>
      <c r="AP932" s="3">
        <v>0.7</v>
      </c>
      <c r="AQ932" s="3" t="s">
        <v>661</v>
      </c>
      <c r="AR932" s="4">
        <v>97.8</v>
      </c>
      <c r="AS932" s="4">
        <v>0</v>
      </c>
      <c r="AT932" s="4">
        <v>2.2000000000000002</v>
      </c>
      <c r="AU932" s="3" t="s">
        <v>661</v>
      </c>
      <c r="AV932" s="16">
        <f t="shared" si="502"/>
        <v>100</v>
      </c>
      <c r="AW932" s="7">
        <v>0.1</v>
      </c>
      <c r="AX932" s="13">
        <f t="shared" si="511"/>
        <v>1E-3</v>
      </c>
      <c r="AY932" s="1" t="s">
        <v>511</v>
      </c>
      <c r="AZ932" s="1">
        <f t="shared" si="512"/>
        <v>100</v>
      </c>
      <c r="BA932" s="1" t="s">
        <v>55</v>
      </c>
      <c r="BB932" s="1">
        <v>5</v>
      </c>
      <c r="BC932" s="1">
        <v>500</v>
      </c>
      <c r="BD932" s="26">
        <f t="shared" si="513"/>
        <v>19.78237607995699</v>
      </c>
      <c r="BE932" s="16">
        <f t="shared" si="503"/>
        <v>19782.37607995699</v>
      </c>
      <c r="BF932" s="16">
        <f t="shared" si="504"/>
        <v>4.2962784539163197</v>
      </c>
      <c r="BG932" s="8">
        <f t="shared" si="505"/>
        <v>1.2962784539163199</v>
      </c>
      <c r="BH932" s="13" t="s">
        <v>782</v>
      </c>
      <c r="BI932" s="8">
        <v>25</v>
      </c>
      <c r="BJ932" s="13" t="s">
        <v>349</v>
      </c>
      <c r="BK932" s="15">
        <v>0.9</v>
      </c>
      <c r="BL932" s="16">
        <f t="shared" si="514"/>
        <v>25</v>
      </c>
      <c r="BM932" s="18">
        <f>'PFAS Properties'!$U$46</f>
        <v>10.39</v>
      </c>
      <c r="BN932" s="8">
        <f t="shared" si="515"/>
        <v>205.53888747075314</v>
      </c>
      <c r="BO932" s="24">
        <f t="shared" si="516"/>
        <v>19.78237607995699</v>
      </c>
      <c r="BP932" s="11"/>
      <c r="BQ932" s="11"/>
    </row>
    <row r="933" spans="1:69" x14ac:dyDescent="0.3">
      <c r="A933" s="20">
        <v>931</v>
      </c>
      <c r="B933" s="2" t="s">
        <v>189</v>
      </c>
      <c r="C933" s="2">
        <v>2021</v>
      </c>
      <c r="D933" s="2" t="s">
        <v>510</v>
      </c>
      <c r="E933" s="41" t="s">
        <v>804</v>
      </c>
      <c r="F933" s="20" t="s">
        <v>29</v>
      </c>
      <c r="G933" s="2" t="s">
        <v>421</v>
      </c>
      <c r="H933" s="2" t="str">
        <f>'PFAS Properties'!$B$46</f>
        <v>PFOS</v>
      </c>
      <c r="I933" s="2" t="str">
        <f>'PFAS Properties'!$C$46</f>
        <v>PFSA</v>
      </c>
      <c r="J933" s="2" t="str">
        <f>'PFAS Properties'!$D$46</f>
        <v>C8HF17O3S</v>
      </c>
      <c r="K933" s="25">
        <f>'PFAS Properties'!$P$46</f>
        <v>499.93739999999997</v>
      </c>
      <c r="L933" s="2">
        <f>'PFAS Properties'!$X$46</f>
        <v>0.1</v>
      </c>
      <c r="M933" s="2" t="str">
        <f>'PFAS Properties'!$Y$46</f>
        <v>-</v>
      </c>
      <c r="N933" s="33">
        <v>0</v>
      </c>
      <c r="O933" s="33">
        <v>0</v>
      </c>
      <c r="P933" s="33">
        <v>0</v>
      </c>
      <c r="Q933" s="33">
        <f t="shared" si="517"/>
        <v>0.99998050193418442</v>
      </c>
      <c r="R933" s="33">
        <v>0</v>
      </c>
      <c r="S933" s="33">
        <f t="shared" si="518"/>
        <v>1.9498065815597068E-5</v>
      </c>
      <c r="T933" s="8">
        <f t="shared" si="496"/>
        <v>1</v>
      </c>
      <c r="U933" s="33">
        <f t="shared" si="497"/>
        <v>0</v>
      </c>
      <c r="V933" s="33">
        <f t="shared" si="498"/>
        <v>-0.99998050193418442</v>
      </c>
      <c r="W933" s="33">
        <f t="shared" si="499"/>
        <v>498.93741949806582</v>
      </c>
      <c r="X933" s="33">
        <v>96485</v>
      </c>
      <c r="Y933" s="16">
        <f t="shared" si="500"/>
        <v>-193.37719513237235</v>
      </c>
      <c r="Z933" s="16">
        <v>8</v>
      </c>
      <c r="AA933" s="16">
        <v>17</v>
      </c>
      <c r="AB933" s="8">
        <f t="shared" si="501"/>
        <v>0.29721362229102166</v>
      </c>
      <c r="AC933" s="16">
        <f t="shared" si="506"/>
        <v>64.60808893273439</v>
      </c>
      <c r="AD933" s="20">
        <f>'PFAS Properties'!$W$46</f>
        <v>8</v>
      </c>
      <c r="AE933" s="8">
        <f>'PFAS Properties'!$S$46</f>
        <v>2.0166155475571776</v>
      </c>
      <c r="AF933" s="15">
        <f>'PFAS Properties'!$V$46</f>
        <v>5</v>
      </c>
      <c r="AG933" s="26">
        <v>4.8099999999999996</v>
      </c>
      <c r="AH933" s="1" t="s">
        <v>190</v>
      </c>
      <c r="AI933" s="39">
        <f t="shared" si="507"/>
        <v>23.287364999999998</v>
      </c>
      <c r="AJ933" s="1">
        <v>417</v>
      </c>
      <c r="AK933" s="8">
        <f t="shared" si="508"/>
        <v>2.3287364999999998</v>
      </c>
      <c r="AL933" s="39">
        <f t="shared" si="509"/>
        <v>11.16972</v>
      </c>
      <c r="AM933" s="1">
        <v>414</v>
      </c>
      <c r="AN933" s="8">
        <f t="shared" si="510"/>
        <v>1.1169720000000001</v>
      </c>
      <c r="AO933" s="3" t="s">
        <v>93</v>
      </c>
      <c r="AP933" s="3">
        <v>3.7</v>
      </c>
      <c r="AQ933" s="3" t="s">
        <v>661</v>
      </c>
      <c r="AR933" s="4">
        <v>74.3</v>
      </c>
      <c r="AS933" s="4">
        <v>18.2</v>
      </c>
      <c r="AT933" s="4">
        <v>7.5</v>
      </c>
      <c r="AU933" s="3" t="s">
        <v>661</v>
      </c>
      <c r="AV933" s="16">
        <f t="shared" si="502"/>
        <v>100</v>
      </c>
      <c r="AW933" s="7">
        <v>1.1000000000000001</v>
      </c>
      <c r="AX933" s="13">
        <f t="shared" si="511"/>
        <v>1.1000000000000001E-2</v>
      </c>
      <c r="AY933" s="1" t="s">
        <v>511</v>
      </c>
      <c r="AZ933" s="1">
        <f t="shared" si="512"/>
        <v>100</v>
      </c>
      <c r="BA933" s="1" t="s">
        <v>55</v>
      </c>
      <c r="BB933" s="1">
        <v>5</v>
      </c>
      <c r="BC933" s="1">
        <v>500</v>
      </c>
      <c r="BD933" s="26">
        <f t="shared" si="513"/>
        <v>28.724010068097549</v>
      </c>
      <c r="BE933" s="16">
        <f t="shared" si="503"/>
        <v>2611.2736425543226</v>
      </c>
      <c r="BF933" s="16">
        <f t="shared" si="504"/>
        <v>3.4168523851221697</v>
      </c>
      <c r="BG933" s="8">
        <f t="shared" si="505"/>
        <v>1.4582450702803949</v>
      </c>
      <c r="BH933" s="13" t="s">
        <v>782</v>
      </c>
      <c r="BI933" s="8">
        <v>36.299999999999997</v>
      </c>
      <c r="BJ933" s="13" t="s">
        <v>349</v>
      </c>
      <c r="BK933" s="15">
        <v>0.9</v>
      </c>
      <c r="BL933" s="16">
        <f t="shared" si="514"/>
        <v>36.299999999999997</v>
      </c>
      <c r="BM933" s="18">
        <f>'PFAS Properties'!$U$46</f>
        <v>10.39</v>
      </c>
      <c r="BN933" s="8">
        <f t="shared" si="515"/>
        <v>298.44246460753357</v>
      </c>
      <c r="BO933" s="24">
        <f t="shared" si="516"/>
        <v>28.724010068097549</v>
      </c>
      <c r="BP933" s="11"/>
      <c r="BQ933" s="11"/>
    </row>
    <row r="934" spans="1:69" x14ac:dyDescent="0.3">
      <c r="A934" s="20">
        <v>932</v>
      </c>
      <c r="B934" s="2" t="s">
        <v>189</v>
      </c>
      <c r="C934" s="2">
        <v>2021</v>
      </c>
      <c r="D934" s="2" t="s">
        <v>510</v>
      </c>
      <c r="E934" s="41" t="s">
        <v>804</v>
      </c>
      <c r="F934" s="20" t="s">
        <v>29</v>
      </c>
      <c r="G934" s="2" t="s">
        <v>422</v>
      </c>
      <c r="H934" s="2" t="str">
        <f>'PFAS Properties'!$B$46</f>
        <v>PFOS</v>
      </c>
      <c r="I934" s="2" t="str">
        <f>'PFAS Properties'!$C$46</f>
        <v>PFSA</v>
      </c>
      <c r="J934" s="2" t="str">
        <f>'PFAS Properties'!$D$46</f>
        <v>C8HF17O3S</v>
      </c>
      <c r="K934" s="25">
        <f>'PFAS Properties'!$P$46</f>
        <v>499.93739999999997</v>
      </c>
      <c r="L934" s="2">
        <f>'PFAS Properties'!$X$46</f>
        <v>0.1</v>
      </c>
      <c r="M934" s="2" t="str">
        <f>'PFAS Properties'!$Y$46</f>
        <v>-</v>
      </c>
      <c r="N934" s="33">
        <v>0</v>
      </c>
      <c r="O934" s="33">
        <v>0</v>
      </c>
      <c r="P934" s="33">
        <v>0</v>
      </c>
      <c r="Q934" s="33">
        <f t="shared" si="517"/>
        <v>0.99998619634789743</v>
      </c>
      <c r="R934" s="33">
        <v>0</v>
      </c>
      <c r="S934" s="33">
        <f t="shared" si="518"/>
        <v>1.3803652102587262E-5</v>
      </c>
      <c r="T934" s="8">
        <f t="shared" si="496"/>
        <v>1</v>
      </c>
      <c r="U934" s="33">
        <f t="shared" si="497"/>
        <v>0</v>
      </c>
      <c r="V934" s="33">
        <f t="shared" si="498"/>
        <v>-0.99998619634789743</v>
      </c>
      <c r="W934" s="33">
        <f t="shared" si="499"/>
        <v>498.93741380365208</v>
      </c>
      <c r="X934" s="33">
        <v>96485</v>
      </c>
      <c r="Y934" s="16">
        <f t="shared" si="500"/>
        <v>-193.37829853063758</v>
      </c>
      <c r="Z934" s="16">
        <v>8</v>
      </c>
      <c r="AA934" s="16">
        <v>17</v>
      </c>
      <c r="AB934" s="8">
        <f t="shared" si="501"/>
        <v>0.29721362229102166</v>
      </c>
      <c r="AC934" s="16">
        <f t="shared" si="506"/>
        <v>64.60808893273439</v>
      </c>
      <c r="AD934" s="20">
        <f>'PFAS Properties'!$W$46</f>
        <v>8</v>
      </c>
      <c r="AE934" s="8">
        <f>'PFAS Properties'!$S$46</f>
        <v>2.0166155475571776</v>
      </c>
      <c r="AF934" s="15">
        <f>'PFAS Properties'!$V$46</f>
        <v>5</v>
      </c>
      <c r="AG934" s="26">
        <v>4.96</v>
      </c>
      <c r="AH934" s="1" t="s">
        <v>190</v>
      </c>
      <c r="AI934" s="39">
        <f t="shared" si="507"/>
        <v>14.798924999999999</v>
      </c>
      <c r="AJ934" s="1">
        <v>265</v>
      </c>
      <c r="AK934" s="8">
        <f t="shared" si="508"/>
        <v>1.4798924999999998</v>
      </c>
      <c r="AL934" s="39">
        <f t="shared" si="509"/>
        <v>11.4665</v>
      </c>
      <c r="AM934" s="1">
        <v>425</v>
      </c>
      <c r="AN934" s="8">
        <f t="shared" si="510"/>
        <v>1.1466499999999999</v>
      </c>
      <c r="AO934" s="3" t="s">
        <v>93</v>
      </c>
      <c r="AP934" s="3">
        <v>2.9</v>
      </c>
      <c r="AQ934" s="3" t="s">
        <v>661</v>
      </c>
      <c r="AR934" s="4">
        <v>39.200000000000003</v>
      </c>
      <c r="AS934" s="4">
        <v>47.7</v>
      </c>
      <c r="AT934" s="4">
        <v>13.2</v>
      </c>
      <c r="AU934" s="3" t="s">
        <v>661</v>
      </c>
      <c r="AV934" s="16">
        <f t="shared" si="502"/>
        <v>100.10000000000001</v>
      </c>
      <c r="AW934" s="7">
        <v>1.6</v>
      </c>
      <c r="AX934" s="13">
        <f t="shared" si="511"/>
        <v>1.6E-2</v>
      </c>
      <c r="AY934" s="1" t="s">
        <v>511</v>
      </c>
      <c r="AZ934" s="1">
        <f t="shared" si="512"/>
        <v>100</v>
      </c>
      <c r="BA934" s="1" t="s">
        <v>55</v>
      </c>
      <c r="BB934" s="1">
        <v>5</v>
      </c>
      <c r="BC934" s="1">
        <v>500</v>
      </c>
      <c r="BD934" s="26">
        <f t="shared" si="513"/>
        <v>27.5</v>
      </c>
      <c r="BE934" s="16">
        <f t="shared" si="503"/>
        <v>1718.75</v>
      </c>
      <c r="BF934" s="16">
        <f t="shared" si="504"/>
        <v>3.2352127111743378</v>
      </c>
      <c r="BG934" s="8">
        <f t="shared" si="505"/>
        <v>1.4393326938302626</v>
      </c>
      <c r="BH934" s="13" t="s">
        <v>782</v>
      </c>
      <c r="BI934" s="8">
        <v>27.5</v>
      </c>
      <c r="BJ934" s="13" t="s">
        <v>349</v>
      </c>
      <c r="BK934" s="15">
        <v>1</v>
      </c>
      <c r="BL934" s="16">
        <f t="shared" si="514"/>
        <v>27.5</v>
      </c>
      <c r="BM934" s="18">
        <f>'PFAS Properties'!$U$46</f>
        <v>10.39</v>
      </c>
      <c r="BN934" s="8">
        <f t="shared" si="515"/>
        <v>285.72500000000002</v>
      </c>
      <c r="BO934" s="24">
        <f t="shared" si="516"/>
        <v>27.5</v>
      </c>
      <c r="BP934" s="11"/>
      <c r="BQ934" s="11"/>
    </row>
    <row r="935" spans="1:69" s="94" customFormat="1" x14ac:dyDescent="0.3">
      <c r="A935" s="83">
        <v>933</v>
      </c>
      <c r="B935" s="84" t="s">
        <v>189</v>
      </c>
      <c r="C935" s="84">
        <v>2021</v>
      </c>
      <c r="D935" s="84" t="s">
        <v>510</v>
      </c>
      <c r="E935" s="100" t="s">
        <v>804</v>
      </c>
      <c r="F935" s="83" t="s">
        <v>29</v>
      </c>
      <c r="G935" s="84" t="s">
        <v>423</v>
      </c>
      <c r="H935" s="84" t="str">
        <f>'PFAS Properties'!$B$46</f>
        <v>PFOS</v>
      </c>
      <c r="I935" s="84" t="str">
        <f>'PFAS Properties'!$C$46</f>
        <v>PFSA</v>
      </c>
      <c r="J935" s="84" t="str">
        <f>'PFAS Properties'!$D$46</f>
        <v>C8HF17O3S</v>
      </c>
      <c r="K935" s="99">
        <f>'PFAS Properties'!$P$46</f>
        <v>499.93739999999997</v>
      </c>
      <c r="L935" s="84">
        <f>'PFAS Properties'!$X$46</f>
        <v>0.1</v>
      </c>
      <c r="M935" s="84" t="str">
        <f>'PFAS Properties'!$Y$46</f>
        <v>-</v>
      </c>
      <c r="N935" s="87">
        <v>0</v>
      </c>
      <c r="O935" s="87">
        <v>0</v>
      </c>
      <c r="P935" s="87">
        <v>0</v>
      </c>
      <c r="Q935" s="87">
        <f t="shared" si="517"/>
        <v>0.99999619812049112</v>
      </c>
      <c r="R935" s="87">
        <v>0</v>
      </c>
      <c r="S935" s="87">
        <f t="shared" si="518"/>
        <v>3.8018795088628527E-6</v>
      </c>
      <c r="T935" s="88">
        <f t="shared" si="496"/>
        <v>1</v>
      </c>
      <c r="U935" s="87">
        <f t="shared" si="497"/>
        <v>0</v>
      </c>
      <c r="V935" s="87">
        <f t="shared" si="498"/>
        <v>-0.99999619812049112</v>
      </c>
      <c r="W935" s="87">
        <f t="shared" si="499"/>
        <v>498.93740380187944</v>
      </c>
      <c r="X935" s="87">
        <v>96485</v>
      </c>
      <c r="Y935" s="89">
        <f t="shared" si="500"/>
        <v>-193.38023655963102</v>
      </c>
      <c r="Z935" s="89">
        <v>8</v>
      </c>
      <c r="AA935" s="89">
        <v>17</v>
      </c>
      <c r="AB935" s="88">
        <f t="shared" si="501"/>
        <v>0.29721362229102166</v>
      </c>
      <c r="AC935" s="89">
        <f t="shared" si="506"/>
        <v>64.60808893273439</v>
      </c>
      <c r="AD935" s="83">
        <f>'PFAS Properties'!$W$46</f>
        <v>8</v>
      </c>
      <c r="AE935" s="88">
        <f>'PFAS Properties'!$S$46</f>
        <v>2.0166155475571776</v>
      </c>
      <c r="AF935" s="90">
        <f>'PFAS Properties'!$V$46</f>
        <v>5</v>
      </c>
      <c r="AG935" s="93">
        <v>5.52</v>
      </c>
      <c r="AH935" s="84" t="s">
        <v>190</v>
      </c>
      <c r="AI935" s="89">
        <f t="shared" si="507"/>
        <v>5.5844999999999999E-2</v>
      </c>
      <c r="AJ935" s="84">
        <v>1</v>
      </c>
      <c r="AK935" s="88">
        <f t="shared" si="508"/>
        <v>5.5845000000000001E-3</v>
      </c>
      <c r="AL935" s="89">
        <f t="shared" si="509"/>
        <v>0.29678000000000004</v>
      </c>
      <c r="AM935" s="84">
        <v>11</v>
      </c>
      <c r="AN935" s="88">
        <f t="shared" si="510"/>
        <v>2.9678000000000003E-2</v>
      </c>
      <c r="AO935" s="90" t="s">
        <v>93</v>
      </c>
      <c r="AP935" s="90">
        <v>0.2</v>
      </c>
      <c r="AQ935" s="90" t="s">
        <v>661</v>
      </c>
      <c r="AR935" s="84">
        <v>99</v>
      </c>
      <c r="AS935" s="84">
        <v>0.5</v>
      </c>
      <c r="AT935" s="84">
        <v>0.5</v>
      </c>
      <c r="AU935" s="90" t="s">
        <v>661</v>
      </c>
      <c r="AV935" s="89">
        <f t="shared" si="502"/>
        <v>100</v>
      </c>
      <c r="AW935" s="83">
        <v>0</v>
      </c>
      <c r="AX935" s="91">
        <f t="shared" si="511"/>
        <v>0</v>
      </c>
      <c r="AY935" s="84" t="s">
        <v>511</v>
      </c>
      <c r="AZ935" s="84">
        <f t="shared" si="512"/>
        <v>100</v>
      </c>
      <c r="BA935" s="84" t="s">
        <v>55</v>
      </c>
      <c r="BB935" s="84">
        <v>5</v>
      </c>
      <c r="BC935" s="84">
        <v>500</v>
      </c>
      <c r="BD935" s="93">
        <f t="shared" si="513"/>
        <v>21.453750819670397</v>
      </c>
      <c r="BE935" s="89" t="e">
        <f t="shared" si="503"/>
        <v>#DIV/0!</v>
      </c>
      <c r="BF935" s="89" t="e">
        <f t="shared" si="504"/>
        <v>#DIV/0!</v>
      </c>
      <c r="BG935" s="88">
        <f t="shared" si="505"/>
        <v>1.3315032320862121</v>
      </c>
      <c r="BH935" s="91" t="s">
        <v>782</v>
      </c>
      <c r="BI935" s="88">
        <v>43.3</v>
      </c>
      <c r="BJ935" s="91" t="s">
        <v>349</v>
      </c>
      <c r="BK935" s="90">
        <v>0.7</v>
      </c>
      <c r="BL935" s="89">
        <f t="shared" si="514"/>
        <v>43.3</v>
      </c>
      <c r="BM935" s="86">
        <f>'PFAS Properties'!$U$46</f>
        <v>10.39</v>
      </c>
      <c r="BN935" s="88">
        <f t="shared" si="515"/>
        <v>222.90447101637545</v>
      </c>
      <c r="BO935" s="93">
        <f t="shared" si="516"/>
        <v>21.453750819670397</v>
      </c>
    </row>
    <row r="936" spans="1:69" x14ac:dyDescent="0.3">
      <c r="A936" s="20">
        <v>934</v>
      </c>
      <c r="B936" s="2" t="s">
        <v>189</v>
      </c>
      <c r="C936" s="2">
        <v>2021</v>
      </c>
      <c r="D936" s="2" t="s">
        <v>510</v>
      </c>
      <c r="E936" s="41" t="s">
        <v>804</v>
      </c>
      <c r="F936" s="20" t="s">
        <v>29</v>
      </c>
      <c r="G936" s="2" t="s">
        <v>424</v>
      </c>
      <c r="H936" s="2" t="str">
        <f>'PFAS Properties'!$B$46</f>
        <v>PFOS</v>
      </c>
      <c r="I936" s="2" t="str">
        <f>'PFAS Properties'!$C$46</f>
        <v>PFSA</v>
      </c>
      <c r="J936" s="2" t="str">
        <f>'PFAS Properties'!$D$46</f>
        <v>C8HF17O3S</v>
      </c>
      <c r="K936" s="25">
        <f>'PFAS Properties'!$P$46</f>
        <v>499.93739999999997</v>
      </c>
      <c r="L936" s="2">
        <f>'PFAS Properties'!$X$46</f>
        <v>0.1</v>
      </c>
      <c r="M936" s="2" t="str">
        <f>'PFAS Properties'!$Y$46</f>
        <v>-</v>
      </c>
      <c r="N936" s="33">
        <v>0</v>
      </c>
      <c r="O936" s="33">
        <v>0</v>
      </c>
      <c r="P936" s="33">
        <v>0</v>
      </c>
      <c r="Q936" s="33">
        <f t="shared" si="517"/>
        <v>0.99999223758908917</v>
      </c>
      <c r="R936" s="33">
        <v>0</v>
      </c>
      <c r="S936" s="33">
        <f t="shared" si="518"/>
        <v>7.7624109107960199E-6</v>
      </c>
      <c r="T936" s="8">
        <f t="shared" si="496"/>
        <v>1</v>
      </c>
      <c r="U936" s="33">
        <f t="shared" si="497"/>
        <v>0</v>
      </c>
      <c r="V936" s="33">
        <f t="shared" si="498"/>
        <v>-0.99999223758908917</v>
      </c>
      <c r="W936" s="33">
        <f t="shared" si="499"/>
        <v>498.93740776241083</v>
      </c>
      <c r="X936" s="33">
        <v>96485</v>
      </c>
      <c r="Y936" s="16">
        <f t="shared" si="500"/>
        <v>-193.3794691331866</v>
      </c>
      <c r="Z936" s="16">
        <v>8</v>
      </c>
      <c r="AA936" s="16">
        <v>17</v>
      </c>
      <c r="AB936" s="8">
        <f t="shared" si="501"/>
        <v>0.29721362229102166</v>
      </c>
      <c r="AC936" s="16">
        <f t="shared" si="506"/>
        <v>64.60808893273439</v>
      </c>
      <c r="AD936" s="20">
        <f>'PFAS Properties'!$W$46</f>
        <v>8</v>
      </c>
      <c r="AE936" s="8">
        <f>'PFAS Properties'!$S$46</f>
        <v>2.0166155475571776</v>
      </c>
      <c r="AF936" s="15">
        <f>'PFAS Properties'!$V$46</f>
        <v>5</v>
      </c>
      <c r="AG936" s="26">
        <v>5.21</v>
      </c>
      <c r="AH936" s="1" t="s">
        <v>190</v>
      </c>
      <c r="AI936" s="39">
        <f t="shared" si="507"/>
        <v>35.461574999999996</v>
      </c>
      <c r="AJ936" s="1">
        <v>635</v>
      </c>
      <c r="AK936" s="8">
        <f t="shared" si="508"/>
        <v>3.5461574999999996</v>
      </c>
      <c r="AL936" s="39">
        <f t="shared" si="509"/>
        <v>40.119260000000004</v>
      </c>
      <c r="AM936" s="1">
        <v>1487</v>
      </c>
      <c r="AN936" s="8">
        <f t="shared" si="510"/>
        <v>4.0119260000000008</v>
      </c>
      <c r="AO936" s="3" t="s">
        <v>93</v>
      </c>
      <c r="AP936" s="3">
        <v>7.4</v>
      </c>
      <c r="AQ936" s="3" t="s">
        <v>661</v>
      </c>
      <c r="AR936" s="4">
        <v>42.5</v>
      </c>
      <c r="AS936" s="4">
        <v>37.5</v>
      </c>
      <c r="AT936" s="4">
        <v>20</v>
      </c>
      <c r="AU936" s="3" t="s">
        <v>661</v>
      </c>
      <c r="AV936" s="16">
        <f t="shared" si="502"/>
        <v>100</v>
      </c>
      <c r="AW936" s="7">
        <v>1.5</v>
      </c>
      <c r="AX936" s="13">
        <f t="shared" si="511"/>
        <v>1.4999999999999999E-2</v>
      </c>
      <c r="AY936" s="1" t="s">
        <v>511</v>
      </c>
      <c r="AZ936" s="1">
        <f t="shared" si="512"/>
        <v>100</v>
      </c>
      <c r="BA936" s="1" t="s">
        <v>55</v>
      </c>
      <c r="BB936" s="1">
        <v>5</v>
      </c>
      <c r="BC936" s="1">
        <v>500</v>
      </c>
      <c r="BD936" s="26">
        <f t="shared" si="513"/>
        <v>48.8</v>
      </c>
      <c r="BE936" s="16">
        <f t="shared" si="503"/>
        <v>3253.3333333333335</v>
      </c>
      <c r="BF936" s="16">
        <f t="shared" si="504"/>
        <v>3.5123285629470296</v>
      </c>
      <c r="BG936" s="8">
        <f t="shared" si="505"/>
        <v>1.6884198220027107</v>
      </c>
      <c r="BH936" s="13" t="s">
        <v>782</v>
      </c>
      <c r="BI936" s="8">
        <v>48.8</v>
      </c>
      <c r="BJ936" s="13" t="s">
        <v>349</v>
      </c>
      <c r="BK936" s="15">
        <v>1</v>
      </c>
      <c r="BL936" s="16">
        <f t="shared" si="514"/>
        <v>48.8</v>
      </c>
      <c r="BM936" s="18">
        <f>'PFAS Properties'!$U$46</f>
        <v>10.39</v>
      </c>
      <c r="BN936" s="8">
        <f t="shared" si="515"/>
        <v>507.03199999999998</v>
      </c>
      <c r="BO936" s="24">
        <f t="shared" si="516"/>
        <v>48.8</v>
      </c>
      <c r="BP936" s="11"/>
      <c r="BQ936" s="11"/>
    </row>
    <row r="937" spans="1:69" x14ac:dyDescent="0.3">
      <c r="A937" s="20">
        <v>935</v>
      </c>
      <c r="B937" s="2" t="s">
        <v>189</v>
      </c>
      <c r="C937" s="2">
        <v>2021</v>
      </c>
      <c r="D937" s="2" t="s">
        <v>510</v>
      </c>
      <c r="E937" s="41" t="s">
        <v>804</v>
      </c>
      <c r="F937" s="20" t="s">
        <v>29</v>
      </c>
      <c r="G937" s="2" t="s">
        <v>425</v>
      </c>
      <c r="H937" s="2" t="str">
        <f>'PFAS Properties'!$B$46</f>
        <v>PFOS</v>
      </c>
      <c r="I937" s="2" t="str">
        <f>'PFAS Properties'!$C$46</f>
        <v>PFSA</v>
      </c>
      <c r="J937" s="2" t="str">
        <f>'PFAS Properties'!$D$46</f>
        <v>C8HF17O3S</v>
      </c>
      <c r="K937" s="25">
        <f>'PFAS Properties'!$P$46</f>
        <v>499.93739999999997</v>
      </c>
      <c r="L937" s="2">
        <f>'PFAS Properties'!$X$46</f>
        <v>0.1</v>
      </c>
      <c r="M937" s="2" t="str">
        <f>'PFAS Properties'!$Y$46</f>
        <v>-</v>
      </c>
      <c r="N937" s="33">
        <v>0</v>
      </c>
      <c r="O937" s="33">
        <v>0</v>
      </c>
      <c r="P937" s="33">
        <v>0</v>
      </c>
      <c r="Q937" s="33">
        <f t="shared" si="517"/>
        <v>0.99999922375348593</v>
      </c>
      <c r="R937" s="33">
        <v>0</v>
      </c>
      <c r="S937" s="33">
        <f t="shared" si="518"/>
        <v>7.7624651406957183E-7</v>
      </c>
      <c r="T937" s="8">
        <f t="shared" si="496"/>
        <v>1</v>
      </c>
      <c r="U937" s="33">
        <f t="shared" si="497"/>
        <v>0</v>
      </c>
      <c r="V937" s="33">
        <f t="shared" si="498"/>
        <v>-0.99999922375348593</v>
      </c>
      <c r="W937" s="33">
        <f t="shared" si="499"/>
        <v>498.93740077624648</v>
      </c>
      <c r="X937" s="33">
        <v>96485</v>
      </c>
      <c r="Y937" s="16">
        <f t="shared" si="500"/>
        <v>-193.38082283217074</v>
      </c>
      <c r="Z937" s="16">
        <v>8</v>
      </c>
      <c r="AA937" s="16">
        <v>17</v>
      </c>
      <c r="AB937" s="8">
        <f t="shared" si="501"/>
        <v>0.29721362229102166</v>
      </c>
      <c r="AC937" s="16">
        <f t="shared" si="506"/>
        <v>64.60808893273439</v>
      </c>
      <c r="AD937" s="20">
        <f>'PFAS Properties'!$W$46</f>
        <v>8</v>
      </c>
      <c r="AE937" s="8">
        <f>'PFAS Properties'!$S$46</f>
        <v>2.0166155475571776</v>
      </c>
      <c r="AF937" s="15">
        <f>'PFAS Properties'!$V$46</f>
        <v>5</v>
      </c>
      <c r="AG937" s="26">
        <v>6.21</v>
      </c>
      <c r="AH937" s="1" t="s">
        <v>190</v>
      </c>
      <c r="AI937" s="39">
        <f t="shared" si="507"/>
        <v>135.87088500000002</v>
      </c>
      <c r="AJ937" s="1">
        <v>2433</v>
      </c>
      <c r="AK937" s="8">
        <f t="shared" si="508"/>
        <v>13.587088500000002</v>
      </c>
      <c r="AL937" s="39">
        <f t="shared" si="509"/>
        <v>85.661500000000004</v>
      </c>
      <c r="AM937" s="1">
        <v>3175</v>
      </c>
      <c r="AN937" s="8">
        <f t="shared" si="510"/>
        <v>8.5661500000000004</v>
      </c>
      <c r="AO937" s="3" t="s">
        <v>93</v>
      </c>
      <c r="AP937" s="3">
        <v>5.4</v>
      </c>
      <c r="AQ937" s="3" t="s">
        <v>661</v>
      </c>
      <c r="AR937" s="4">
        <v>36.4</v>
      </c>
      <c r="AS937" s="4">
        <v>28.4</v>
      </c>
      <c r="AT937" s="4">
        <v>35.200000000000003</v>
      </c>
      <c r="AU937" s="3" t="s">
        <v>661</v>
      </c>
      <c r="AV937" s="16">
        <f t="shared" si="502"/>
        <v>100</v>
      </c>
      <c r="AW937" s="7">
        <v>1.7</v>
      </c>
      <c r="AX937" s="13">
        <f t="shared" si="511"/>
        <v>1.7000000000000001E-2</v>
      </c>
      <c r="AY937" s="1" t="s">
        <v>511</v>
      </c>
      <c r="AZ937" s="1">
        <f t="shared" si="512"/>
        <v>100</v>
      </c>
      <c r="BA937" s="1" t="s">
        <v>55</v>
      </c>
      <c r="BB937" s="1">
        <v>5</v>
      </c>
      <c r="BC937" s="1">
        <v>500</v>
      </c>
      <c r="BD937" s="26">
        <f t="shared" si="513"/>
        <v>44.694968168689336</v>
      </c>
      <c r="BE937" s="16">
        <f t="shared" si="503"/>
        <v>2629.115774628784</v>
      </c>
      <c r="BF937" s="16">
        <f t="shared" si="504"/>
        <v>3.4198097109353274</v>
      </c>
      <c r="BG937" s="8">
        <f t="shared" si="505"/>
        <v>1.6502586323136015</v>
      </c>
      <c r="BH937" s="13" t="s">
        <v>782</v>
      </c>
      <c r="BI937" s="8">
        <v>114</v>
      </c>
      <c r="BJ937" s="13" t="s">
        <v>349</v>
      </c>
      <c r="BK937" s="15">
        <v>0.6</v>
      </c>
      <c r="BL937" s="16">
        <f t="shared" si="514"/>
        <v>114</v>
      </c>
      <c r="BM937" s="18">
        <f>'PFAS Properties'!$U$46</f>
        <v>10.39</v>
      </c>
      <c r="BN937" s="8">
        <f t="shared" si="515"/>
        <v>464.38071927268226</v>
      </c>
      <c r="BO937" s="24">
        <f t="shared" si="516"/>
        <v>44.694968168689336</v>
      </c>
      <c r="BP937" s="11"/>
      <c r="BQ937" s="11"/>
    </row>
    <row r="938" spans="1:69" x14ac:dyDescent="0.3">
      <c r="A938" s="20">
        <v>936</v>
      </c>
      <c r="B938" s="2" t="s">
        <v>189</v>
      </c>
      <c r="C938" s="2">
        <v>2021</v>
      </c>
      <c r="D938" s="2" t="s">
        <v>510</v>
      </c>
      <c r="E938" s="41" t="s">
        <v>804</v>
      </c>
      <c r="F938" s="20" t="s">
        <v>29</v>
      </c>
      <c r="G938" s="2" t="s">
        <v>426</v>
      </c>
      <c r="H938" s="2" t="str">
        <f>'PFAS Properties'!$B$46</f>
        <v>PFOS</v>
      </c>
      <c r="I938" s="2" t="str">
        <f>'PFAS Properties'!$C$46</f>
        <v>PFSA</v>
      </c>
      <c r="J938" s="2" t="str">
        <f>'PFAS Properties'!$D$46</f>
        <v>C8HF17O3S</v>
      </c>
      <c r="K938" s="25">
        <f>'PFAS Properties'!$P$46</f>
        <v>499.93739999999997</v>
      </c>
      <c r="L938" s="2">
        <f>'PFAS Properties'!$X$46</f>
        <v>0.1</v>
      </c>
      <c r="M938" s="2" t="str">
        <f>'PFAS Properties'!$Y$46</f>
        <v>-</v>
      </c>
      <c r="N938" s="33">
        <v>0</v>
      </c>
      <c r="O938" s="33">
        <v>0</v>
      </c>
      <c r="P938" s="33">
        <v>0</v>
      </c>
      <c r="Q938" s="33">
        <f t="shared" si="517"/>
        <v>0.99999066754408761</v>
      </c>
      <c r="R938" s="33">
        <v>0</v>
      </c>
      <c r="S938" s="33">
        <f t="shared" si="518"/>
        <v>9.3324559124237225E-6</v>
      </c>
      <c r="T938" s="8">
        <f t="shared" si="496"/>
        <v>1</v>
      </c>
      <c r="U938" s="33">
        <f t="shared" si="497"/>
        <v>0</v>
      </c>
      <c r="V938" s="33">
        <f t="shared" si="498"/>
        <v>-0.99999066754408761</v>
      </c>
      <c r="W938" s="33">
        <f t="shared" si="499"/>
        <v>498.9374093324559</v>
      </c>
      <c r="X938" s="33">
        <v>96485</v>
      </c>
      <c r="Y938" s="16">
        <f t="shared" si="500"/>
        <v>-193.37916490783965</v>
      </c>
      <c r="Z938" s="16">
        <v>8</v>
      </c>
      <c r="AA938" s="16">
        <v>17</v>
      </c>
      <c r="AB938" s="8">
        <f t="shared" si="501"/>
        <v>0.29721362229102166</v>
      </c>
      <c r="AC938" s="16">
        <f t="shared" si="506"/>
        <v>64.60808893273439</v>
      </c>
      <c r="AD938" s="20">
        <f>'PFAS Properties'!$W$46</f>
        <v>8</v>
      </c>
      <c r="AE938" s="8">
        <f>'PFAS Properties'!$S$46</f>
        <v>2.0166155475571776</v>
      </c>
      <c r="AF938" s="15">
        <f>'PFAS Properties'!$V$46</f>
        <v>5</v>
      </c>
      <c r="AG938" s="26">
        <v>5.13</v>
      </c>
      <c r="AH938" s="1" t="s">
        <v>190</v>
      </c>
      <c r="AI938" s="39">
        <f t="shared" si="507"/>
        <v>13.123574999999999</v>
      </c>
      <c r="AJ938" s="1">
        <v>235</v>
      </c>
      <c r="AK938" s="8">
        <f t="shared" si="508"/>
        <v>1.3123574999999998</v>
      </c>
      <c r="AL938" s="39">
        <f t="shared" si="509"/>
        <v>19.344660000000001</v>
      </c>
      <c r="AM938" s="1">
        <v>717</v>
      </c>
      <c r="AN938" s="8">
        <f t="shared" si="510"/>
        <v>1.934466</v>
      </c>
      <c r="AO938" s="3" t="s">
        <v>93</v>
      </c>
      <c r="AP938" s="3">
        <v>4.0999999999999996</v>
      </c>
      <c r="AQ938" s="3" t="s">
        <v>661</v>
      </c>
      <c r="AR938" s="4">
        <v>56</v>
      </c>
      <c r="AS938" s="4">
        <v>34.700000000000003</v>
      </c>
      <c r="AT938" s="4">
        <v>9.1999999999999993</v>
      </c>
      <c r="AU938" s="3" t="s">
        <v>661</v>
      </c>
      <c r="AV938" s="16">
        <f t="shared" si="502"/>
        <v>99.9</v>
      </c>
      <c r="AW938" s="7">
        <v>3.2</v>
      </c>
      <c r="AX938" s="13">
        <f t="shared" si="511"/>
        <v>3.2000000000000001E-2</v>
      </c>
      <c r="AY938" s="1" t="s">
        <v>511</v>
      </c>
      <c r="AZ938" s="1">
        <f t="shared" si="512"/>
        <v>100</v>
      </c>
      <c r="BA938" s="1" t="s">
        <v>55</v>
      </c>
      <c r="BB938" s="1">
        <v>5</v>
      </c>
      <c r="BC938" s="1">
        <v>500</v>
      </c>
      <c r="BD938" s="26">
        <f t="shared" si="513"/>
        <v>40.511765596743814</v>
      </c>
      <c r="BE938" s="16">
        <f t="shared" si="503"/>
        <v>1265.9926748982441</v>
      </c>
      <c r="BF938" s="16">
        <f t="shared" si="504"/>
        <v>3.1024311928373587</v>
      </c>
      <c r="BG938" s="8">
        <f t="shared" si="505"/>
        <v>1.607581171157265</v>
      </c>
      <c r="BH938" s="13" t="s">
        <v>782</v>
      </c>
      <c r="BI938" s="8">
        <v>64.7</v>
      </c>
      <c r="BJ938" s="13" t="s">
        <v>349</v>
      </c>
      <c r="BK938" s="15">
        <v>0.8</v>
      </c>
      <c r="BL938" s="16">
        <f t="shared" si="514"/>
        <v>64.7</v>
      </c>
      <c r="BM938" s="18">
        <f>'PFAS Properties'!$U$46</f>
        <v>10.39</v>
      </c>
      <c r="BN938" s="8">
        <f t="shared" si="515"/>
        <v>420.91724455016828</v>
      </c>
      <c r="BO938" s="24">
        <f t="shared" si="516"/>
        <v>40.511765596743814</v>
      </c>
      <c r="BP938" s="11"/>
      <c r="BQ938" s="11"/>
    </row>
    <row r="939" spans="1:69" x14ac:dyDescent="0.3">
      <c r="A939" s="20">
        <v>937</v>
      </c>
      <c r="B939" s="2" t="s">
        <v>189</v>
      </c>
      <c r="C939" s="2">
        <v>2021</v>
      </c>
      <c r="D939" s="2" t="s">
        <v>510</v>
      </c>
      <c r="E939" s="41" t="s">
        <v>804</v>
      </c>
      <c r="F939" s="20" t="s">
        <v>29</v>
      </c>
      <c r="G939" s="2" t="s">
        <v>427</v>
      </c>
      <c r="H939" s="2" t="str">
        <f>'PFAS Properties'!$B$46</f>
        <v>PFOS</v>
      </c>
      <c r="I939" s="2" t="str">
        <f>'PFAS Properties'!$C$46</f>
        <v>PFSA</v>
      </c>
      <c r="J939" s="2" t="str">
        <f>'PFAS Properties'!$D$46</f>
        <v>C8HF17O3S</v>
      </c>
      <c r="K939" s="25">
        <f>'PFAS Properties'!$P$46</f>
        <v>499.93739999999997</v>
      </c>
      <c r="L939" s="2">
        <f>'PFAS Properties'!$X$46</f>
        <v>0.1</v>
      </c>
      <c r="M939" s="2" t="str">
        <f>'PFAS Properties'!$Y$46</f>
        <v>-</v>
      </c>
      <c r="N939" s="33">
        <v>0</v>
      </c>
      <c r="O939" s="33">
        <v>0</v>
      </c>
      <c r="P939" s="33">
        <v>0</v>
      </c>
      <c r="Q939" s="33">
        <f t="shared" si="517"/>
        <v>0.99999999424560071</v>
      </c>
      <c r="R939" s="33">
        <v>0</v>
      </c>
      <c r="S939" s="33">
        <f t="shared" si="518"/>
        <v>5.75439934025844E-9</v>
      </c>
      <c r="T939" s="8">
        <f t="shared" si="496"/>
        <v>1</v>
      </c>
      <c r="U939" s="33">
        <f t="shared" si="497"/>
        <v>0</v>
      </c>
      <c r="V939" s="33">
        <f t="shared" si="498"/>
        <v>-0.99999999424560071</v>
      </c>
      <c r="W939" s="33">
        <f t="shared" si="499"/>
        <v>498.9374000057544</v>
      </c>
      <c r="X939" s="33">
        <v>96485</v>
      </c>
      <c r="Y939" s="16">
        <f t="shared" si="500"/>
        <v>-193.38097212931723</v>
      </c>
      <c r="Z939" s="16">
        <v>8</v>
      </c>
      <c r="AA939" s="16">
        <v>17</v>
      </c>
      <c r="AB939" s="8">
        <f t="shared" si="501"/>
        <v>0.29721362229102166</v>
      </c>
      <c r="AC939" s="16">
        <f t="shared" si="506"/>
        <v>64.60808893273439</v>
      </c>
      <c r="AD939" s="20">
        <f>'PFAS Properties'!$W$46</f>
        <v>8</v>
      </c>
      <c r="AE939" s="8">
        <f>'PFAS Properties'!$S$46</f>
        <v>2.0166155475571776</v>
      </c>
      <c r="AF939" s="15">
        <f>'PFAS Properties'!$V$46</f>
        <v>5</v>
      </c>
      <c r="AG939" s="26">
        <v>8.34</v>
      </c>
      <c r="AH939" s="1" t="s">
        <v>190</v>
      </c>
      <c r="AI939" s="39">
        <f t="shared" si="507"/>
        <v>15.469065000000001</v>
      </c>
      <c r="AJ939" s="1">
        <v>277</v>
      </c>
      <c r="AK939" s="8">
        <f t="shared" si="508"/>
        <v>1.5469065</v>
      </c>
      <c r="AL939" s="39">
        <f t="shared" si="509"/>
        <v>29.219339999999999</v>
      </c>
      <c r="AM939" s="1">
        <v>1083</v>
      </c>
      <c r="AN939" s="8">
        <f t="shared" si="510"/>
        <v>2.9219339999999998</v>
      </c>
      <c r="AO939" s="3" t="s">
        <v>93</v>
      </c>
      <c r="AP939" s="3">
        <v>19.899999999999999</v>
      </c>
      <c r="AQ939" s="3" t="s">
        <v>661</v>
      </c>
      <c r="AR939" s="4">
        <v>58.8</v>
      </c>
      <c r="AS939" s="4">
        <v>23.8</v>
      </c>
      <c r="AT939" s="4">
        <v>17.5</v>
      </c>
      <c r="AU939" s="3" t="s">
        <v>661</v>
      </c>
      <c r="AV939" s="16">
        <f t="shared" si="502"/>
        <v>100.1</v>
      </c>
      <c r="AW939" s="7">
        <v>3.5</v>
      </c>
      <c r="AX939" s="13">
        <f t="shared" si="511"/>
        <v>3.5000000000000003E-2</v>
      </c>
      <c r="AY939" s="1" t="s">
        <v>511</v>
      </c>
      <c r="AZ939" s="1">
        <f t="shared" si="512"/>
        <v>100</v>
      </c>
      <c r="BA939" s="1" t="s">
        <v>55</v>
      </c>
      <c r="BB939" s="1">
        <v>5</v>
      </c>
      <c r="BC939" s="1">
        <v>500</v>
      </c>
      <c r="BD939" s="26">
        <f t="shared" si="513"/>
        <v>75.964324147034844</v>
      </c>
      <c r="BE939" s="16">
        <f t="shared" si="503"/>
        <v>2170.4092613438524</v>
      </c>
      <c r="BF939" s="16">
        <f t="shared" si="504"/>
        <v>3.3365416339335749</v>
      </c>
      <c r="BG939" s="8">
        <f t="shared" si="505"/>
        <v>1.8806096782838506</v>
      </c>
      <c r="BH939" s="13" t="s">
        <v>782</v>
      </c>
      <c r="BI939" s="8">
        <v>96</v>
      </c>
      <c r="BJ939" s="13" t="s">
        <v>349</v>
      </c>
      <c r="BK939" s="15">
        <v>0.9</v>
      </c>
      <c r="BL939" s="16">
        <f t="shared" si="514"/>
        <v>96</v>
      </c>
      <c r="BM939" s="18">
        <f>'PFAS Properties'!$U$46</f>
        <v>10.39</v>
      </c>
      <c r="BN939" s="8">
        <f t="shared" si="515"/>
        <v>789.26932788769204</v>
      </c>
      <c r="BO939" s="24">
        <f t="shared" si="516"/>
        <v>75.964324147034844</v>
      </c>
      <c r="BP939" s="11"/>
      <c r="BQ939" s="11"/>
    </row>
    <row r="940" spans="1:69" x14ac:dyDescent="0.3">
      <c r="A940" s="20">
        <v>938</v>
      </c>
      <c r="B940" s="2" t="s">
        <v>189</v>
      </c>
      <c r="C940" s="2">
        <v>2021</v>
      </c>
      <c r="D940" s="2" t="s">
        <v>510</v>
      </c>
      <c r="E940" s="41" t="s">
        <v>804</v>
      </c>
      <c r="F940" s="20" t="s">
        <v>29</v>
      </c>
      <c r="G940" s="2" t="s">
        <v>428</v>
      </c>
      <c r="H940" s="2" t="str">
        <f>'PFAS Properties'!$B$46</f>
        <v>PFOS</v>
      </c>
      <c r="I940" s="2" t="str">
        <f>'PFAS Properties'!$C$46</f>
        <v>PFSA</v>
      </c>
      <c r="J940" s="2" t="str">
        <f>'PFAS Properties'!$D$46</f>
        <v>C8HF17O3S</v>
      </c>
      <c r="K940" s="25">
        <f>'PFAS Properties'!$P$46</f>
        <v>499.93739999999997</v>
      </c>
      <c r="L940" s="2">
        <f>'PFAS Properties'!$X$46</f>
        <v>0.1</v>
      </c>
      <c r="M940" s="2" t="str">
        <f>'PFAS Properties'!$Y$46</f>
        <v>-</v>
      </c>
      <c r="N940" s="33">
        <v>0</v>
      </c>
      <c r="O940" s="33">
        <v>0</v>
      </c>
      <c r="P940" s="33">
        <v>0</v>
      </c>
      <c r="Q940" s="33">
        <f t="shared" si="517"/>
        <v>0.99998711767043957</v>
      </c>
      <c r="R940" s="33">
        <v>0</v>
      </c>
      <c r="S940" s="33">
        <f t="shared" si="518"/>
        <v>1.2882329560378492E-5</v>
      </c>
      <c r="T940" s="8">
        <f t="shared" si="496"/>
        <v>1</v>
      </c>
      <c r="U940" s="33">
        <f t="shared" si="497"/>
        <v>0</v>
      </c>
      <c r="V940" s="33">
        <f t="shared" si="498"/>
        <v>-0.99998711767043957</v>
      </c>
      <c r="W940" s="33">
        <f t="shared" si="499"/>
        <v>498.93741288232951</v>
      </c>
      <c r="X940" s="33">
        <v>96485</v>
      </c>
      <c r="Y940" s="16">
        <f t="shared" si="500"/>
        <v>-193.37847705396931</v>
      </c>
      <c r="Z940" s="16">
        <v>8</v>
      </c>
      <c r="AA940" s="16">
        <v>17</v>
      </c>
      <c r="AB940" s="8">
        <f t="shared" si="501"/>
        <v>0.29721362229102166</v>
      </c>
      <c r="AC940" s="16">
        <f t="shared" si="506"/>
        <v>64.60808893273439</v>
      </c>
      <c r="AD940" s="20">
        <f>'PFAS Properties'!$W$46</f>
        <v>8</v>
      </c>
      <c r="AE940" s="8">
        <f>'PFAS Properties'!$S$46</f>
        <v>2.0166155475571776</v>
      </c>
      <c r="AF940" s="15">
        <f>'PFAS Properties'!$V$46</f>
        <v>5</v>
      </c>
      <c r="AG940" s="26">
        <v>4.99</v>
      </c>
      <c r="AH940" s="1" t="s">
        <v>190</v>
      </c>
      <c r="AI940" s="39">
        <f t="shared" ref="AI940:AI971" si="519">(AJ940*55.845)/1000</f>
        <v>66.846464999999995</v>
      </c>
      <c r="AJ940" s="1">
        <v>1197</v>
      </c>
      <c r="AK940" s="8">
        <f t="shared" ref="AK940:AK971" si="520">AI940/10</f>
        <v>6.6846464999999995</v>
      </c>
      <c r="AL940" s="39">
        <f t="shared" ref="AL940:AL971" si="521">(AM940*26.98)/1000</f>
        <v>37.016559999999998</v>
      </c>
      <c r="AM940" s="1">
        <v>1372</v>
      </c>
      <c r="AN940" s="8">
        <f t="shared" ref="AN940:AN971" si="522">AL940/10</f>
        <v>3.7016559999999998</v>
      </c>
      <c r="AO940" s="3" t="s">
        <v>93</v>
      </c>
      <c r="AP940" s="3">
        <v>5.3</v>
      </c>
      <c r="AQ940" s="3" t="s">
        <v>661</v>
      </c>
      <c r="AR940" s="4">
        <v>36.9</v>
      </c>
      <c r="AS940" s="4">
        <v>27.5</v>
      </c>
      <c r="AT940" s="4">
        <v>35.6</v>
      </c>
      <c r="AU940" s="3" t="s">
        <v>661</v>
      </c>
      <c r="AV940" s="16">
        <f t="shared" si="502"/>
        <v>100</v>
      </c>
      <c r="AW940" s="7">
        <v>3.5</v>
      </c>
      <c r="AX940" s="13">
        <f t="shared" ref="AX940:AX971" si="523">AW940/100</f>
        <v>3.5000000000000003E-2</v>
      </c>
      <c r="AY940" s="1" t="s">
        <v>511</v>
      </c>
      <c r="AZ940" s="1">
        <f t="shared" ref="AZ940:AZ971" si="524">2/0.02</f>
        <v>100</v>
      </c>
      <c r="BA940" s="1" t="s">
        <v>55</v>
      </c>
      <c r="BB940" s="1">
        <v>5</v>
      </c>
      <c r="BC940" s="1">
        <v>500</v>
      </c>
      <c r="BD940" s="26">
        <f t="shared" ref="BD940:BD971" si="525">BO940</f>
        <v>91.668044565120468</v>
      </c>
      <c r="BE940" s="16">
        <f t="shared" si="503"/>
        <v>2619.0869875748704</v>
      </c>
      <c r="BF940" s="16">
        <f t="shared" si="504"/>
        <v>3.4181499228606618</v>
      </c>
      <c r="BG940" s="8">
        <f t="shared" si="505"/>
        <v>1.9622179672109377</v>
      </c>
      <c r="BH940" s="13" t="s">
        <v>782</v>
      </c>
      <c r="BI940" s="8">
        <v>146.4</v>
      </c>
      <c r="BJ940" s="13" t="s">
        <v>349</v>
      </c>
      <c r="BK940" s="15">
        <v>0.8</v>
      </c>
      <c r="BL940" s="16">
        <f t="shared" ref="BL940:BL971" si="526">BI940</f>
        <v>146.4</v>
      </c>
      <c r="BM940" s="18">
        <f>'PFAS Properties'!$U$46</f>
        <v>10.39</v>
      </c>
      <c r="BN940" s="8">
        <f t="shared" ref="BN940:BN971" si="527">(BL940*(BM940^BK940))</f>
        <v>952.43098303160173</v>
      </c>
      <c r="BO940" s="24">
        <f t="shared" ref="BO940:BO971" si="528">BN940/BM940</f>
        <v>91.668044565120468</v>
      </c>
      <c r="BP940" s="11"/>
      <c r="BQ940" s="11"/>
    </row>
    <row r="941" spans="1:69" x14ac:dyDescent="0.3">
      <c r="A941" s="20">
        <v>939</v>
      </c>
      <c r="B941" s="2" t="s">
        <v>189</v>
      </c>
      <c r="C941" s="2">
        <v>2021</v>
      </c>
      <c r="D941" s="2" t="s">
        <v>510</v>
      </c>
      <c r="E941" s="41" t="s">
        <v>804</v>
      </c>
      <c r="F941" s="20" t="s">
        <v>29</v>
      </c>
      <c r="G941" s="2" t="s">
        <v>429</v>
      </c>
      <c r="H941" s="2" t="str">
        <f>'PFAS Properties'!$B$46</f>
        <v>PFOS</v>
      </c>
      <c r="I941" s="2" t="str">
        <f>'PFAS Properties'!$C$46</f>
        <v>PFSA</v>
      </c>
      <c r="J941" s="2" t="str">
        <f>'PFAS Properties'!$D$46</f>
        <v>C8HF17O3S</v>
      </c>
      <c r="K941" s="25">
        <f>'PFAS Properties'!$P$46</f>
        <v>499.93739999999997</v>
      </c>
      <c r="L941" s="2">
        <f>'PFAS Properties'!$X$46</f>
        <v>0.1</v>
      </c>
      <c r="M941" s="2" t="str">
        <f>'PFAS Properties'!$Y$46</f>
        <v>-</v>
      </c>
      <c r="N941" s="33">
        <v>0</v>
      </c>
      <c r="O941" s="33">
        <v>0</v>
      </c>
      <c r="P941" s="33">
        <v>0</v>
      </c>
      <c r="Q941" s="33">
        <f t="shared" si="517"/>
        <v>0.99999991488620343</v>
      </c>
      <c r="R941" s="33">
        <v>0</v>
      </c>
      <c r="S941" s="33">
        <f t="shared" si="518"/>
        <v>8.5113796575878369E-8</v>
      </c>
      <c r="T941" s="8">
        <f t="shared" si="496"/>
        <v>1</v>
      </c>
      <c r="U941" s="33">
        <f t="shared" si="497"/>
        <v>0</v>
      </c>
      <c r="V941" s="33">
        <f t="shared" si="498"/>
        <v>-0.99999991488620343</v>
      </c>
      <c r="W941" s="33">
        <f t="shared" si="499"/>
        <v>498.93740008511378</v>
      </c>
      <c r="X941" s="33">
        <v>96485</v>
      </c>
      <c r="Y941" s="16">
        <f t="shared" si="500"/>
        <v>-193.38095675196118</v>
      </c>
      <c r="Z941" s="16">
        <v>8</v>
      </c>
      <c r="AA941" s="16">
        <v>17</v>
      </c>
      <c r="AB941" s="8">
        <f t="shared" si="501"/>
        <v>0.29721362229102166</v>
      </c>
      <c r="AC941" s="16">
        <f t="shared" si="506"/>
        <v>64.60808893273439</v>
      </c>
      <c r="AD941" s="20">
        <f>'PFAS Properties'!$W$46</f>
        <v>8</v>
      </c>
      <c r="AE941" s="8">
        <f>'PFAS Properties'!$S$46</f>
        <v>2.0166155475571776</v>
      </c>
      <c r="AF941" s="15">
        <f>'PFAS Properties'!$V$46</f>
        <v>5</v>
      </c>
      <c r="AG941" s="26">
        <v>7.17</v>
      </c>
      <c r="AH941" s="1" t="s">
        <v>190</v>
      </c>
      <c r="AI941" s="39">
        <f t="shared" si="519"/>
        <v>14.687235000000001</v>
      </c>
      <c r="AJ941" s="1">
        <v>263</v>
      </c>
      <c r="AK941" s="8">
        <f t="shared" si="520"/>
        <v>1.4687235000000001</v>
      </c>
      <c r="AL941" s="39">
        <f t="shared" si="521"/>
        <v>5.74674</v>
      </c>
      <c r="AM941" s="1">
        <v>213</v>
      </c>
      <c r="AN941" s="8">
        <f t="shared" si="522"/>
        <v>0.57467400000000002</v>
      </c>
      <c r="AO941" s="3" t="s">
        <v>93</v>
      </c>
      <c r="AP941" s="3">
        <v>2.2999999999999998</v>
      </c>
      <c r="AQ941" s="3" t="s">
        <v>661</v>
      </c>
      <c r="AR941" s="4">
        <v>96.9</v>
      </c>
      <c r="AS941" s="4">
        <v>0</v>
      </c>
      <c r="AT941" s="4">
        <v>3.1</v>
      </c>
      <c r="AU941" s="3" t="s">
        <v>661</v>
      </c>
      <c r="AV941" s="16">
        <f t="shared" si="502"/>
        <v>100</v>
      </c>
      <c r="AW941" s="7">
        <v>0.2</v>
      </c>
      <c r="AX941" s="13">
        <f t="shared" si="523"/>
        <v>2E-3</v>
      </c>
      <c r="AY941" s="1" t="s">
        <v>511</v>
      </c>
      <c r="AZ941" s="1">
        <f t="shared" si="524"/>
        <v>100</v>
      </c>
      <c r="BA941" s="1" t="s">
        <v>55</v>
      </c>
      <c r="BB941" s="1">
        <v>5</v>
      </c>
      <c r="BC941" s="1">
        <v>500</v>
      </c>
      <c r="BD941" s="26">
        <f t="shared" si="525"/>
        <v>21.915174588655852</v>
      </c>
      <c r="BE941" s="16">
        <f t="shared" si="503"/>
        <v>10957.587294327926</v>
      </c>
      <c r="BF941" s="16">
        <f t="shared" si="504"/>
        <v>4.0397149391748588</v>
      </c>
      <c r="BG941" s="8">
        <f t="shared" si="505"/>
        <v>1.3407449348388403</v>
      </c>
      <c r="BH941" s="13" t="s">
        <v>782</v>
      </c>
      <c r="BI941" s="8">
        <v>35</v>
      </c>
      <c r="BJ941" s="13" t="s">
        <v>349</v>
      </c>
      <c r="BK941" s="15">
        <v>0.8</v>
      </c>
      <c r="BL941" s="16">
        <f t="shared" si="526"/>
        <v>35</v>
      </c>
      <c r="BM941" s="18">
        <f>'PFAS Properties'!$U$46</f>
        <v>10.39</v>
      </c>
      <c r="BN941" s="8">
        <f t="shared" si="527"/>
        <v>227.6986639761343</v>
      </c>
      <c r="BO941" s="24">
        <f t="shared" si="528"/>
        <v>21.915174588655852</v>
      </c>
      <c r="BP941" s="11"/>
      <c r="BQ941" s="11"/>
    </row>
    <row r="942" spans="1:69" s="94" customFormat="1" x14ac:dyDescent="0.3">
      <c r="A942" s="83">
        <v>940</v>
      </c>
      <c r="B942" s="84" t="s">
        <v>189</v>
      </c>
      <c r="C942" s="84">
        <v>2021</v>
      </c>
      <c r="D942" s="84" t="s">
        <v>510</v>
      </c>
      <c r="E942" s="100" t="s">
        <v>804</v>
      </c>
      <c r="F942" s="83" t="s">
        <v>29</v>
      </c>
      <c r="G942" s="84" t="s">
        <v>430</v>
      </c>
      <c r="H942" s="84" t="str">
        <f>'PFAS Properties'!$B$46</f>
        <v>PFOS</v>
      </c>
      <c r="I942" s="84" t="str">
        <f>'PFAS Properties'!$C$46</f>
        <v>PFSA</v>
      </c>
      <c r="J942" s="84" t="str">
        <f>'PFAS Properties'!$D$46</f>
        <v>C8HF17O3S</v>
      </c>
      <c r="K942" s="99">
        <f>'PFAS Properties'!$P$46</f>
        <v>499.93739999999997</v>
      </c>
      <c r="L942" s="84">
        <f>'PFAS Properties'!$X$46</f>
        <v>0.1</v>
      </c>
      <c r="M942" s="84" t="str">
        <f>'PFAS Properties'!$Y$46</f>
        <v>-</v>
      </c>
      <c r="N942" s="87">
        <v>0</v>
      </c>
      <c r="O942" s="87">
        <v>0</v>
      </c>
      <c r="P942" s="87">
        <v>0</v>
      </c>
      <c r="Q942" s="87">
        <f t="shared" si="517"/>
        <v>0.99999383408800013</v>
      </c>
      <c r="R942" s="87">
        <v>0</v>
      </c>
      <c r="S942" s="87">
        <f t="shared" si="518"/>
        <v>6.1659119999096004E-6</v>
      </c>
      <c r="T942" s="88">
        <f t="shared" si="496"/>
        <v>1</v>
      </c>
      <c r="U942" s="87">
        <f t="shared" si="497"/>
        <v>0</v>
      </c>
      <c r="V942" s="87">
        <f t="shared" si="498"/>
        <v>-0.99999383408800013</v>
      </c>
      <c r="W942" s="87">
        <f t="shared" si="499"/>
        <v>498.93740616591202</v>
      </c>
      <c r="X942" s="87">
        <v>96485</v>
      </c>
      <c r="Y942" s="89">
        <f t="shared" si="500"/>
        <v>-193.37977848447119</v>
      </c>
      <c r="Z942" s="89">
        <v>8</v>
      </c>
      <c r="AA942" s="89">
        <v>17</v>
      </c>
      <c r="AB942" s="88">
        <f t="shared" si="501"/>
        <v>0.29721362229102166</v>
      </c>
      <c r="AC942" s="89">
        <f t="shared" si="506"/>
        <v>64.60808893273439</v>
      </c>
      <c r="AD942" s="83">
        <f>'PFAS Properties'!$W$46</f>
        <v>8</v>
      </c>
      <c r="AE942" s="88">
        <f>'PFAS Properties'!$S$46</f>
        <v>2.0166155475571776</v>
      </c>
      <c r="AF942" s="90">
        <f>'PFAS Properties'!$V$46</f>
        <v>5</v>
      </c>
      <c r="AG942" s="93">
        <v>5.31</v>
      </c>
      <c r="AH942" s="84" t="s">
        <v>190</v>
      </c>
      <c r="AI942" s="89">
        <f t="shared" si="519"/>
        <v>5.5844999999999999E-2</v>
      </c>
      <c r="AJ942" s="84">
        <v>1</v>
      </c>
      <c r="AK942" s="88">
        <f t="shared" si="520"/>
        <v>5.5845000000000001E-3</v>
      </c>
      <c r="AL942" s="89">
        <f t="shared" si="521"/>
        <v>0.10792</v>
      </c>
      <c r="AM942" s="84">
        <v>4</v>
      </c>
      <c r="AN942" s="88">
        <f t="shared" si="522"/>
        <v>1.0792E-2</v>
      </c>
      <c r="AO942" s="90" t="s">
        <v>93</v>
      </c>
      <c r="AP942" s="90">
        <v>0.2</v>
      </c>
      <c r="AQ942" s="90" t="s">
        <v>661</v>
      </c>
      <c r="AR942" s="84">
        <v>99</v>
      </c>
      <c r="AS942" s="84">
        <v>0.8</v>
      </c>
      <c r="AT942" s="84">
        <v>0.2</v>
      </c>
      <c r="AU942" s="90" t="s">
        <v>661</v>
      </c>
      <c r="AV942" s="89">
        <f t="shared" si="502"/>
        <v>100</v>
      </c>
      <c r="AW942" s="83">
        <v>0</v>
      </c>
      <c r="AX942" s="91">
        <f t="shared" si="523"/>
        <v>0</v>
      </c>
      <c r="AY942" s="84" t="s">
        <v>511</v>
      </c>
      <c r="AZ942" s="84">
        <f t="shared" si="524"/>
        <v>100</v>
      </c>
      <c r="BA942" s="84" t="s">
        <v>55</v>
      </c>
      <c r="BB942" s="84">
        <v>5</v>
      </c>
      <c r="BC942" s="84">
        <v>500</v>
      </c>
      <c r="BD942" s="93">
        <f t="shared" si="525"/>
        <v>19.228469549718195</v>
      </c>
      <c r="BE942" s="89" t="e">
        <f t="shared" si="503"/>
        <v>#DIV/0!</v>
      </c>
      <c r="BF942" s="89" t="e">
        <f t="shared" si="504"/>
        <v>#DIV/0!</v>
      </c>
      <c r="BG942" s="88">
        <f t="shared" si="505"/>
        <v>1.2839447188425945</v>
      </c>
      <c r="BH942" s="91" t="s">
        <v>782</v>
      </c>
      <c r="BI942" s="88">
        <v>24.3</v>
      </c>
      <c r="BJ942" s="91" t="s">
        <v>349</v>
      </c>
      <c r="BK942" s="90">
        <v>0.9</v>
      </c>
      <c r="BL942" s="89">
        <f t="shared" si="526"/>
        <v>24.3</v>
      </c>
      <c r="BM942" s="86">
        <f>'PFAS Properties'!$U$46</f>
        <v>10.39</v>
      </c>
      <c r="BN942" s="88">
        <f t="shared" si="527"/>
        <v>199.78379862157206</v>
      </c>
      <c r="BO942" s="93">
        <f t="shared" si="528"/>
        <v>19.228469549718195</v>
      </c>
    </row>
    <row r="943" spans="1:69" x14ac:dyDescent="0.3">
      <c r="A943" s="20">
        <v>941</v>
      </c>
      <c r="B943" s="2" t="s">
        <v>189</v>
      </c>
      <c r="C943" s="2">
        <v>2021</v>
      </c>
      <c r="D943" s="2" t="s">
        <v>510</v>
      </c>
      <c r="E943" s="41" t="s">
        <v>804</v>
      </c>
      <c r="F943" s="20" t="s">
        <v>29</v>
      </c>
      <c r="G943" s="2" t="s">
        <v>431</v>
      </c>
      <c r="H943" s="2" t="str">
        <f>'PFAS Properties'!$B$46</f>
        <v>PFOS</v>
      </c>
      <c r="I943" s="2" t="str">
        <f>'PFAS Properties'!$C$46</f>
        <v>PFSA</v>
      </c>
      <c r="J943" s="2" t="str">
        <f>'PFAS Properties'!$D$46</f>
        <v>C8HF17O3S</v>
      </c>
      <c r="K943" s="25">
        <f>'PFAS Properties'!$P$46</f>
        <v>499.93739999999997</v>
      </c>
      <c r="L943" s="2">
        <f>'PFAS Properties'!$X$46</f>
        <v>0.1</v>
      </c>
      <c r="M943" s="2" t="str">
        <f>'PFAS Properties'!$Y$46</f>
        <v>-</v>
      </c>
      <c r="N943" s="33">
        <v>0</v>
      </c>
      <c r="O943" s="33">
        <v>0</v>
      </c>
      <c r="P943" s="33">
        <v>0</v>
      </c>
      <c r="Q943" s="33">
        <f t="shared" si="517"/>
        <v>0.99999999108749071</v>
      </c>
      <c r="R943" s="33">
        <v>0</v>
      </c>
      <c r="S943" s="33">
        <f t="shared" si="518"/>
        <v>8.9125093019045892E-9</v>
      </c>
      <c r="T943" s="8">
        <f t="shared" si="496"/>
        <v>1</v>
      </c>
      <c r="U943" s="33">
        <f t="shared" si="497"/>
        <v>0</v>
      </c>
      <c r="V943" s="33">
        <f t="shared" si="498"/>
        <v>-0.99999999108749071</v>
      </c>
      <c r="W943" s="33">
        <f t="shared" si="499"/>
        <v>498.9374000089125</v>
      </c>
      <c r="X943" s="33">
        <v>96485</v>
      </c>
      <c r="Y943" s="16">
        <f t="shared" si="500"/>
        <v>-193.3809715173748</v>
      </c>
      <c r="Z943" s="16">
        <v>8</v>
      </c>
      <c r="AA943" s="16">
        <v>17</v>
      </c>
      <c r="AB943" s="8">
        <f t="shared" si="501"/>
        <v>0.29721362229102166</v>
      </c>
      <c r="AC943" s="16">
        <f t="shared" si="506"/>
        <v>64.60808893273439</v>
      </c>
      <c r="AD943" s="20">
        <f>'PFAS Properties'!$W$46</f>
        <v>8</v>
      </c>
      <c r="AE943" s="8">
        <f>'PFAS Properties'!$S$46</f>
        <v>2.0166155475571776</v>
      </c>
      <c r="AF943" s="15">
        <f>'PFAS Properties'!$V$46</f>
        <v>5</v>
      </c>
      <c r="AG943" s="26">
        <v>8.15</v>
      </c>
      <c r="AH943" s="1" t="s">
        <v>190</v>
      </c>
      <c r="AI943" s="39">
        <f t="shared" si="519"/>
        <v>28.48095</v>
      </c>
      <c r="AJ943" s="1">
        <v>510</v>
      </c>
      <c r="AK943" s="8">
        <f t="shared" si="520"/>
        <v>2.8480949999999998</v>
      </c>
      <c r="AL943" s="39">
        <f t="shared" si="521"/>
        <v>6.9608400000000001</v>
      </c>
      <c r="AM943" s="1">
        <v>258</v>
      </c>
      <c r="AN943" s="8">
        <f t="shared" si="522"/>
        <v>0.69608400000000004</v>
      </c>
      <c r="AO943" s="3" t="s">
        <v>93</v>
      </c>
      <c r="AP943" s="3">
        <v>4.5999999999999996</v>
      </c>
      <c r="AQ943" s="3" t="s">
        <v>661</v>
      </c>
      <c r="AR943" s="4">
        <v>84.8</v>
      </c>
      <c r="AS943" s="4">
        <v>8.6</v>
      </c>
      <c r="AT943" s="4">
        <v>6.6</v>
      </c>
      <c r="AU943" s="3" t="s">
        <v>661</v>
      </c>
      <c r="AV943" s="16">
        <f t="shared" si="502"/>
        <v>99.999999999999986</v>
      </c>
      <c r="AW943" s="7">
        <v>3.7</v>
      </c>
      <c r="AX943" s="1">
        <f t="shared" si="523"/>
        <v>3.7000000000000005E-2</v>
      </c>
      <c r="AY943" s="1" t="s">
        <v>511</v>
      </c>
      <c r="AZ943" s="1">
        <f t="shared" si="524"/>
        <v>100</v>
      </c>
      <c r="BA943" s="1" t="s">
        <v>55</v>
      </c>
      <c r="BB943" s="1">
        <v>5</v>
      </c>
      <c r="BC943" s="1">
        <v>500</v>
      </c>
      <c r="BD943" s="26">
        <f t="shared" si="525"/>
        <v>22.246499117856835</v>
      </c>
      <c r="BE943" s="16">
        <f t="shared" si="503"/>
        <v>601.2567329150495</v>
      </c>
      <c r="BF943" s="16">
        <f t="shared" si="504"/>
        <v>2.7790599526691748</v>
      </c>
      <c r="BG943" s="8">
        <f t="shared" si="505"/>
        <v>1.3472616767361698</v>
      </c>
      <c r="BH943" s="13" t="s">
        <v>782</v>
      </c>
      <c r="BI943" s="8">
        <v>44.9</v>
      </c>
      <c r="BJ943" s="13" t="s">
        <v>349</v>
      </c>
      <c r="BK943" s="15">
        <v>0.7</v>
      </c>
      <c r="BL943" s="16">
        <f t="shared" si="526"/>
        <v>44.9</v>
      </c>
      <c r="BM943" s="18">
        <f>'PFAS Properties'!$U$46</f>
        <v>10.39</v>
      </c>
      <c r="BN943" s="8">
        <f t="shared" si="527"/>
        <v>231.14112583453252</v>
      </c>
      <c r="BO943" s="24">
        <f t="shared" si="528"/>
        <v>22.246499117856835</v>
      </c>
      <c r="BP943" s="11"/>
      <c r="BQ943" s="11"/>
    </row>
    <row r="944" spans="1:69" x14ac:dyDescent="0.3">
      <c r="A944" s="20">
        <v>942</v>
      </c>
      <c r="B944" s="2" t="s">
        <v>189</v>
      </c>
      <c r="C944" s="2">
        <v>2021</v>
      </c>
      <c r="D944" s="2" t="s">
        <v>510</v>
      </c>
      <c r="E944" s="41" t="s">
        <v>804</v>
      </c>
      <c r="F944" s="20" t="s">
        <v>29</v>
      </c>
      <c r="G944" s="2" t="s">
        <v>432</v>
      </c>
      <c r="H944" s="2" t="str">
        <f>'PFAS Properties'!$B$46</f>
        <v>PFOS</v>
      </c>
      <c r="I944" s="2" t="str">
        <f>'PFAS Properties'!$C$46</f>
        <v>PFSA</v>
      </c>
      <c r="J944" s="2" t="str">
        <f>'PFAS Properties'!$D$46</f>
        <v>C8HF17O3S</v>
      </c>
      <c r="K944" s="25">
        <f>'PFAS Properties'!$P$46</f>
        <v>499.93739999999997</v>
      </c>
      <c r="L944" s="2">
        <f>'PFAS Properties'!$X$46</f>
        <v>0.1</v>
      </c>
      <c r="M944" s="2" t="str">
        <f>'PFAS Properties'!$Y$46</f>
        <v>-</v>
      </c>
      <c r="N944" s="33">
        <v>0</v>
      </c>
      <c r="O944" s="33">
        <v>0</v>
      </c>
      <c r="P944" s="33">
        <v>0</v>
      </c>
      <c r="Q944" s="33">
        <f t="shared" si="517"/>
        <v>0.99998340440634392</v>
      </c>
      <c r="R944" s="33">
        <v>0</v>
      </c>
      <c r="S944" s="33">
        <f t="shared" si="518"/>
        <v>1.6595593656076042E-5</v>
      </c>
      <c r="T944" s="8">
        <f t="shared" si="496"/>
        <v>1</v>
      </c>
      <c r="U944" s="33">
        <f t="shared" si="497"/>
        <v>0</v>
      </c>
      <c r="V944" s="33">
        <f t="shared" si="498"/>
        <v>-0.99998340440634392</v>
      </c>
      <c r="W944" s="33">
        <f t="shared" si="499"/>
        <v>498.93741659559362</v>
      </c>
      <c r="X944" s="33">
        <v>96485</v>
      </c>
      <c r="Y944" s="16">
        <f t="shared" si="500"/>
        <v>-193.37775754017923</v>
      </c>
      <c r="Z944" s="16">
        <v>8</v>
      </c>
      <c r="AA944" s="16">
        <v>17</v>
      </c>
      <c r="AB944" s="8">
        <f t="shared" si="501"/>
        <v>0.29721362229102166</v>
      </c>
      <c r="AC944" s="16">
        <f t="shared" si="506"/>
        <v>64.60808893273439</v>
      </c>
      <c r="AD944" s="20">
        <f>'PFAS Properties'!$W$46</f>
        <v>8</v>
      </c>
      <c r="AE944" s="8">
        <f>'PFAS Properties'!$S$46</f>
        <v>2.0166155475571776</v>
      </c>
      <c r="AF944" s="15">
        <f>'PFAS Properties'!$V$46</f>
        <v>5</v>
      </c>
      <c r="AG944" s="26">
        <v>4.88</v>
      </c>
      <c r="AH944" s="1" t="s">
        <v>190</v>
      </c>
      <c r="AI944" s="39">
        <f t="shared" si="519"/>
        <v>16.418430000000001</v>
      </c>
      <c r="AJ944" s="1">
        <v>294</v>
      </c>
      <c r="AK944" s="8">
        <f t="shared" si="520"/>
        <v>1.6418430000000002</v>
      </c>
      <c r="AL944" s="39">
        <f t="shared" si="521"/>
        <v>22.528299999999998</v>
      </c>
      <c r="AM944" s="1">
        <v>835</v>
      </c>
      <c r="AN944" s="8">
        <f t="shared" si="522"/>
        <v>2.2528299999999999</v>
      </c>
      <c r="AO944" s="3" t="s">
        <v>93</v>
      </c>
      <c r="AP944" s="3">
        <v>3.4</v>
      </c>
      <c r="AQ944" s="3" t="s">
        <v>661</v>
      </c>
      <c r="AR944" s="4">
        <v>45.6</v>
      </c>
      <c r="AS944" s="4">
        <v>35.6</v>
      </c>
      <c r="AT944" s="4">
        <v>18.7</v>
      </c>
      <c r="AU944" s="3" t="s">
        <v>661</v>
      </c>
      <c r="AV944" s="16">
        <f t="shared" si="502"/>
        <v>99.9</v>
      </c>
      <c r="AW944" s="7">
        <v>0.9</v>
      </c>
      <c r="AX944" s="1">
        <f t="shared" si="523"/>
        <v>9.0000000000000011E-3</v>
      </c>
      <c r="AY944" s="1" t="s">
        <v>511</v>
      </c>
      <c r="AZ944" s="1">
        <f t="shared" si="524"/>
        <v>100</v>
      </c>
      <c r="BA944" s="1" t="s">
        <v>55</v>
      </c>
      <c r="BB944" s="1">
        <v>5</v>
      </c>
      <c r="BC944" s="1">
        <v>500</v>
      </c>
      <c r="BD944" s="26">
        <f t="shared" si="525"/>
        <v>29.303719164259817</v>
      </c>
      <c r="BE944" s="16">
        <f t="shared" si="503"/>
        <v>3255.9687960288684</v>
      </c>
      <c r="BF944" s="16">
        <f t="shared" si="504"/>
        <v>3.5126802341233634</v>
      </c>
      <c r="BG944" s="8">
        <f t="shared" si="505"/>
        <v>1.4669227435626884</v>
      </c>
      <c r="BH944" s="13" t="s">
        <v>782</v>
      </c>
      <c r="BI944" s="8">
        <v>46.8</v>
      </c>
      <c r="BJ944" s="13" t="s">
        <v>349</v>
      </c>
      <c r="BK944" s="15">
        <v>0.8</v>
      </c>
      <c r="BL944" s="16">
        <f t="shared" si="526"/>
        <v>46.8</v>
      </c>
      <c r="BM944" s="18">
        <f>'PFAS Properties'!$U$46</f>
        <v>10.39</v>
      </c>
      <c r="BN944" s="8">
        <f t="shared" si="527"/>
        <v>304.46564211665952</v>
      </c>
      <c r="BO944" s="24">
        <f t="shared" si="528"/>
        <v>29.303719164259817</v>
      </c>
      <c r="BP944" s="11"/>
      <c r="BQ944" s="11"/>
    </row>
    <row r="945" spans="1:69" x14ac:dyDescent="0.3">
      <c r="A945" s="20">
        <v>943</v>
      </c>
      <c r="B945" s="2" t="s">
        <v>189</v>
      </c>
      <c r="C945" s="2">
        <v>2021</v>
      </c>
      <c r="D945" s="2" t="s">
        <v>510</v>
      </c>
      <c r="E945" s="41" t="s">
        <v>804</v>
      </c>
      <c r="F945" s="20" t="s">
        <v>29</v>
      </c>
      <c r="G945" s="2" t="s">
        <v>433</v>
      </c>
      <c r="H945" s="2" t="str">
        <f>'PFAS Properties'!$B$46</f>
        <v>PFOS</v>
      </c>
      <c r="I945" s="2" t="str">
        <f>'PFAS Properties'!$C$46</f>
        <v>PFSA</v>
      </c>
      <c r="J945" s="2" t="str">
        <f>'PFAS Properties'!$D$46</f>
        <v>C8HF17O3S</v>
      </c>
      <c r="K945" s="25">
        <f>'PFAS Properties'!$P$46</f>
        <v>499.93739999999997</v>
      </c>
      <c r="L945" s="2">
        <f>'PFAS Properties'!$X$46</f>
        <v>0.1</v>
      </c>
      <c r="M945" s="2" t="str">
        <f>'PFAS Properties'!$Y$46</f>
        <v>-</v>
      </c>
      <c r="N945" s="33">
        <v>0</v>
      </c>
      <c r="O945" s="33">
        <v>0</v>
      </c>
      <c r="P945" s="33">
        <v>0</v>
      </c>
      <c r="Q945" s="33">
        <f t="shared" si="517"/>
        <v>0.99999022772328872</v>
      </c>
      <c r="R945" s="33">
        <v>0</v>
      </c>
      <c r="S945" s="33">
        <f t="shared" si="518"/>
        <v>9.7722767112327311E-6</v>
      </c>
      <c r="T945" s="8">
        <f t="shared" si="496"/>
        <v>1</v>
      </c>
      <c r="U945" s="33">
        <f t="shared" si="497"/>
        <v>0</v>
      </c>
      <c r="V945" s="33">
        <f t="shared" si="498"/>
        <v>-0.99999022772328872</v>
      </c>
      <c r="W945" s="33">
        <f t="shared" si="499"/>
        <v>498.93740977227662</v>
      </c>
      <c r="X945" s="33">
        <v>96485</v>
      </c>
      <c r="Y945" s="16">
        <f t="shared" si="500"/>
        <v>-193.37907968440058</v>
      </c>
      <c r="Z945" s="16">
        <v>8</v>
      </c>
      <c r="AA945" s="16">
        <v>17</v>
      </c>
      <c r="AB945" s="8">
        <f t="shared" si="501"/>
        <v>0.29721362229102166</v>
      </c>
      <c r="AC945" s="16">
        <f t="shared" si="506"/>
        <v>64.60808893273439</v>
      </c>
      <c r="AD945" s="20">
        <f>'PFAS Properties'!$W$46</f>
        <v>8</v>
      </c>
      <c r="AE945" s="8">
        <f>'PFAS Properties'!$S$46</f>
        <v>2.0166155475571776</v>
      </c>
      <c r="AF945" s="15">
        <f>'PFAS Properties'!$V$46</f>
        <v>5</v>
      </c>
      <c r="AG945" s="26">
        <v>5.1100000000000003</v>
      </c>
      <c r="AH945" s="1" t="s">
        <v>190</v>
      </c>
      <c r="AI945" s="39">
        <f t="shared" si="519"/>
        <v>3.0156300000000003</v>
      </c>
      <c r="AJ945" s="1">
        <v>54</v>
      </c>
      <c r="AK945" s="8">
        <f t="shared" si="520"/>
        <v>0.30156300000000003</v>
      </c>
      <c r="AL945" s="39">
        <f t="shared" si="521"/>
        <v>4.9643199999999998</v>
      </c>
      <c r="AM945" s="1">
        <v>184</v>
      </c>
      <c r="AN945" s="8">
        <f t="shared" si="522"/>
        <v>0.49643199999999998</v>
      </c>
      <c r="AO945" s="3" t="s">
        <v>93</v>
      </c>
      <c r="AP945" s="3">
        <v>20.8</v>
      </c>
      <c r="AQ945" s="3" t="s">
        <v>661</v>
      </c>
      <c r="AR945" s="164">
        <v>35.168399999999998</v>
      </c>
      <c r="AS945" s="164">
        <v>49.606850000000001</v>
      </c>
      <c r="AT945" s="1">
        <v>12</v>
      </c>
      <c r="AU945" s="70" t="s">
        <v>752</v>
      </c>
      <c r="AV945" s="16">
        <f t="shared" si="502"/>
        <v>96.77525</v>
      </c>
      <c r="AW945" s="7">
        <v>2.9</v>
      </c>
      <c r="AX945" s="1">
        <f t="shared" si="523"/>
        <v>2.8999999999999998E-2</v>
      </c>
      <c r="AY945" s="1" t="s">
        <v>511</v>
      </c>
      <c r="AZ945" s="1">
        <f t="shared" si="524"/>
        <v>100</v>
      </c>
      <c r="BA945" s="1" t="s">
        <v>55</v>
      </c>
      <c r="BB945" s="1">
        <v>5</v>
      </c>
      <c r="BC945" s="1">
        <v>500</v>
      </c>
      <c r="BD945" s="26">
        <f t="shared" si="525"/>
        <v>20.890189140434583</v>
      </c>
      <c r="BE945" s="16">
        <f t="shared" si="503"/>
        <v>720.35134967015802</v>
      </c>
      <c r="BF945" s="16">
        <f t="shared" si="504"/>
        <v>2.8575443742151574</v>
      </c>
      <c r="BG945" s="8">
        <f t="shared" si="505"/>
        <v>1.3199423721141132</v>
      </c>
      <c r="BH945" s="13" t="s">
        <v>782</v>
      </c>
      <c r="BI945" s="8">
        <v>26.4</v>
      </c>
      <c r="BJ945" s="13" t="s">
        <v>349</v>
      </c>
      <c r="BK945" s="15">
        <v>0.9</v>
      </c>
      <c r="BL945" s="16">
        <f t="shared" si="526"/>
        <v>26.4</v>
      </c>
      <c r="BM945" s="18">
        <f>'PFAS Properties'!$U$46</f>
        <v>10.39</v>
      </c>
      <c r="BN945" s="8">
        <f t="shared" si="527"/>
        <v>217.04906516911532</v>
      </c>
      <c r="BO945" s="24">
        <f t="shared" si="528"/>
        <v>20.890189140434583</v>
      </c>
      <c r="BP945" s="11"/>
      <c r="BQ945" s="11"/>
    </row>
    <row r="946" spans="1:69" x14ac:dyDescent="0.3">
      <c r="A946" s="20">
        <v>944</v>
      </c>
      <c r="B946" s="2" t="s">
        <v>189</v>
      </c>
      <c r="C946" s="2">
        <v>2021</v>
      </c>
      <c r="D946" s="2" t="s">
        <v>510</v>
      </c>
      <c r="E946" s="41" t="s">
        <v>804</v>
      </c>
      <c r="F946" s="20" t="s">
        <v>29</v>
      </c>
      <c r="G946" s="2" t="s">
        <v>434</v>
      </c>
      <c r="H946" s="2" t="str">
        <f>'PFAS Properties'!$B$46</f>
        <v>PFOS</v>
      </c>
      <c r="I946" s="2" t="str">
        <f>'PFAS Properties'!$C$46</f>
        <v>PFSA</v>
      </c>
      <c r="J946" s="2" t="str">
        <f>'PFAS Properties'!$D$46</f>
        <v>C8HF17O3S</v>
      </c>
      <c r="K946" s="25">
        <f>'PFAS Properties'!$P$46</f>
        <v>499.93739999999997</v>
      </c>
      <c r="L946" s="2">
        <f>'PFAS Properties'!$X$46</f>
        <v>0.1</v>
      </c>
      <c r="M946" s="2" t="str">
        <f>'PFAS Properties'!$Y$46</f>
        <v>-</v>
      </c>
      <c r="N946" s="33">
        <v>0</v>
      </c>
      <c r="O946" s="33">
        <v>0</v>
      </c>
      <c r="P946" s="33">
        <v>0</v>
      </c>
      <c r="Q946" s="33">
        <f t="shared" si="517"/>
        <v>0.99999999841510678</v>
      </c>
      <c r="R946" s="33">
        <v>0</v>
      </c>
      <c r="S946" s="33">
        <f t="shared" si="518"/>
        <v>1.5848931899492196E-9</v>
      </c>
      <c r="T946" s="8">
        <f t="shared" si="496"/>
        <v>1</v>
      </c>
      <c r="U946" s="33">
        <f t="shared" si="497"/>
        <v>0</v>
      </c>
      <c r="V946" s="33">
        <f t="shared" si="498"/>
        <v>-0.99999999841510678</v>
      </c>
      <c r="W946" s="33">
        <f t="shared" si="499"/>
        <v>498.93740000158488</v>
      </c>
      <c r="X946" s="33">
        <v>96485</v>
      </c>
      <c r="Y946" s="16">
        <f t="shared" si="500"/>
        <v>-193.38097293723641</v>
      </c>
      <c r="Z946" s="16">
        <v>8</v>
      </c>
      <c r="AA946" s="16">
        <v>17</v>
      </c>
      <c r="AB946" s="8">
        <f t="shared" si="501"/>
        <v>0.29721362229102166</v>
      </c>
      <c r="AC946" s="16">
        <f t="shared" si="506"/>
        <v>64.60808893273439</v>
      </c>
      <c r="AD946" s="20">
        <f>'PFAS Properties'!$W$46</f>
        <v>8</v>
      </c>
      <c r="AE946" s="8">
        <f>'PFAS Properties'!$S$46</f>
        <v>2.0166155475571776</v>
      </c>
      <c r="AF946" s="15">
        <f>'PFAS Properties'!$V$46</f>
        <v>5</v>
      </c>
      <c r="AG946" s="26">
        <v>8.9</v>
      </c>
      <c r="AH946" s="1" t="s">
        <v>190</v>
      </c>
      <c r="AI946" s="39">
        <f t="shared" si="519"/>
        <v>7.2040050000000004</v>
      </c>
      <c r="AJ946" s="1">
        <v>129</v>
      </c>
      <c r="AK946" s="8">
        <f t="shared" si="520"/>
        <v>0.7204005</v>
      </c>
      <c r="AL946" s="39">
        <f t="shared" si="521"/>
        <v>9.5509199999999996</v>
      </c>
      <c r="AM946" s="1">
        <v>354</v>
      </c>
      <c r="AN946" s="8">
        <f t="shared" si="522"/>
        <v>0.95509199999999994</v>
      </c>
      <c r="AO946" s="3" t="s">
        <v>93</v>
      </c>
      <c r="AP946" s="3">
        <v>5.8</v>
      </c>
      <c r="AQ946" s="3" t="s">
        <v>661</v>
      </c>
      <c r="AR946" s="4">
        <v>82.7</v>
      </c>
      <c r="AS946" s="4">
        <v>10.7</v>
      </c>
      <c r="AT946" s="4">
        <v>6.7</v>
      </c>
      <c r="AU946" s="3" t="s">
        <v>661</v>
      </c>
      <c r="AV946" s="16">
        <f t="shared" si="502"/>
        <v>100.10000000000001</v>
      </c>
      <c r="AW946" s="7">
        <v>1.8</v>
      </c>
      <c r="AX946" s="1">
        <f t="shared" si="523"/>
        <v>1.8000000000000002E-2</v>
      </c>
      <c r="AY946" s="1" t="s">
        <v>511</v>
      </c>
      <c r="AZ946" s="1">
        <f t="shared" si="524"/>
        <v>100</v>
      </c>
      <c r="BA946" s="1" t="s">
        <v>55</v>
      </c>
      <c r="BB946" s="1">
        <v>5</v>
      </c>
      <c r="BC946" s="1">
        <v>500</v>
      </c>
      <c r="BD946" s="26">
        <f t="shared" si="525"/>
        <v>51.97456029984815</v>
      </c>
      <c r="BE946" s="16">
        <f t="shared" si="503"/>
        <v>2887.4755722137857</v>
      </c>
      <c r="BF946" s="16">
        <f t="shared" si="504"/>
        <v>3.4605183188230986</v>
      </c>
      <c r="BG946" s="8">
        <f t="shared" si="505"/>
        <v>1.7157908239264046</v>
      </c>
      <c r="BH946" s="13" t="s">
        <v>782</v>
      </c>
      <c r="BI946" s="8">
        <v>104.9</v>
      </c>
      <c r="BJ946" s="13" t="s">
        <v>349</v>
      </c>
      <c r="BK946" s="15">
        <v>0.7</v>
      </c>
      <c r="BL946" s="16">
        <f t="shared" si="526"/>
        <v>104.9</v>
      </c>
      <c r="BM946" s="18">
        <f>'PFAS Properties'!$U$46</f>
        <v>10.39</v>
      </c>
      <c r="BN946" s="8">
        <f t="shared" si="527"/>
        <v>540.01568151542233</v>
      </c>
      <c r="BO946" s="24">
        <f t="shared" si="528"/>
        <v>51.97456029984815</v>
      </c>
      <c r="BP946" s="11"/>
      <c r="BQ946" s="11"/>
    </row>
    <row r="947" spans="1:69" x14ac:dyDescent="0.3">
      <c r="A947" s="20">
        <v>945</v>
      </c>
      <c r="B947" s="2" t="s">
        <v>189</v>
      </c>
      <c r="C947" s="2">
        <v>2021</v>
      </c>
      <c r="D947" s="2" t="s">
        <v>510</v>
      </c>
      <c r="E947" s="41" t="s">
        <v>804</v>
      </c>
      <c r="F947" s="20" t="s">
        <v>29</v>
      </c>
      <c r="G947" s="2" t="s">
        <v>435</v>
      </c>
      <c r="H947" s="2" t="str">
        <f>'PFAS Properties'!$B$46</f>
        <v>PFOS</v>
      </c>
      <c r="I947" s="2" t="str">
        <f>'PFAS Properties'!$C$46</f>
        <v>PFSA</v>
      </c>
      <c r="J947" s="2" t="str">
        <f>'PFAS Properties'!$D$46</f>
        <v>C8HF17O3S</v>
      </c>
      <c r="K947" s="25">
        <f>'PFAS Properties'!$P$46</f>
        <v>499.93739999999997</v>
      </c>
      <c r="L947" s="2">
        <f>'PFAS Properties'!$X$46</f>
        <v>0.1</v>
      </c>
      <c r="M947" s="2" t="str">
        <f>'PFAS Properties'!$Y$46</f>
        <v>-</v>
      </c>
      <c r="N947" s="33">
        <v>0</v>
      </c>
      <c r="O947" s="33">
        <v>0</v>
      </c>
      <c r="P947" s="33">
        <v>0</v>
      </c>
      <c r="Q947" s="33">
        <f t="shared" si="517"/>
        <v>0.99998378216204897</v>
      </c>
      <c r="R947" s="33">
        <v>0</v>
      </c>
      <c r="S947" s="33">
        <f t="shared" si="518"/>
        <v>1.6217837951055827E-5</v>
      </c>
      <c r="T947" s="8">
        <f t="shared" si="496"/>
        <v>1</v>
      </c>
      <c r="U947" s="33">
        <f t="shared" si="497"/>
        <v>0</v>
      </c>
      <c r="V947" s="33">
        <f t="shared" si="498"/>
        <v>-0.99998378216204897</v>
      </c>
      <c r="W947" s="33">
        <f t="shared" si="499"/>
        <v>498.93741621783789</v>
      </c>
      <c r="X947" s="33">
        <v>96485</v>
      </c>
      <c r="Y947" s="16">
        <f t="shared" si="500"/>
        <v>-193.37783073735298</v>
      </c>
      <c r="Z947" s="16">
        <v>8</v>
      </c>
      <c r="AA947" s="16">
        <v>17</v>
      </c>
      <c r="AB947" s="8">
        <f t="shared" si="501"/>
        <v>0.29721362229102166</v>
      </c>
      <c r="AC947" s="16">
        <f t="shared" si="506"/>
        <v>64.60808893273439</v>
      </c>
      <c r="AD947" s="20">
        <f>'PFAS Properties'!$W$46</f>
        <v>8</v>
      </c>
      <c r="AE947" s="8">
        <f>'PFAS Properties'!$S$46</f>
        <v>2.0166155475571776</v>
      </c>
      <c r="AF947" s="15">
        <f>'PFAS Properties'!$V$46</f>
        <v>5</v>
      </c>
      <c r="AG947" s="26">
        <v>4.8899999999999997</v>
      </c>
      <c r="AH947" s="1" t="s">
        <v>190</v>
      </c>
      <c r="AI947" s="39">
        <f t="shared" si="519"/>
        <v>22.673069999999999</v>
      </c>
      <c r="AJ947" s="1">
        <v>406</v>
      </c>
      <c r="AK947" s="8">
        <f t="shared" si="520"/>
        <v>2.2673069999999997</v>
      </c>
      <c r="AL947" s="39">
        <f t="shared" si="521"/>
        <v>12.302880000000002</v>
      </c>
      <c r="AM947" s="1">
        <v>456</v>
      </c>
      <c r="AN947" s="8">
        <f t="shared" si="522"/>
        <v>1.2302880000000003</v>
      </c>
      <c r="AO947" s="3" t="s">
        <v>93</v>
      </c>
      <c r="AP947" s="3">
        <v>4.5999999999999996</v>
      </c>
      <c r="AQ947" s="3" t="s">
        <v>661</v>
      </c>
      <c r="AR947" s="4">
        <v>41.7</v>
      </c>
      <c r="AS947" s="4">
        <v>39</v>
      </c>
      <c r="AT947" s="4">
        <v>19.399999999999999</v>
      </c>
      <c r="AU947" s="3" t="s">
        <v>661</v>
      </c>
      <c r="AV947" s="16">
        <f t="shared" si="502"/>
        <v>100.1</v>
      </c>
      <c r="AW947" s="7">
        <v>2.7</v>
      </c>
      <c r="AX947" s="1">
        <f t="shared" si="523"/>
        <v>2.7000000000000003E-2</v>
      </c>
      <c r="AY947" s="1" t="s">
        <v>511</v>
      </c>
      <c r="AZ947" s="1">
        <f t="shared" si="524"/>
        <v>100</v>
      </c>
      <c r="BA947" s="1" t="s">
        <v>55</v>
      </c>
      <c r="BB947" s="1">
        <v>5</v>
      </c>
      <c r="BC947" s="1">
        <v>500</v>
      </c>
      <c r="BD947" s="26">
        <f t="shared" si="525"/>
        <v>28.882269076737206</v>
      </c>
      <c r="BE947" s="16">
        <f t="shared" si="503"/>
        <v>1069.7136695087852</v>
      </c>
      <c r="BF947" s="16">
        <f t="shared" si="504"/>
        <v>3.0292675455417695</v>
      </c>
      <c r="BG947" s="8">
        <f t="shared" si="505"/>
        <v>1.4606313097007571</v>
      </c>
      <c r="BH947" s="13" t="s">
        <v>782</v>
      </c>
      <c r="BI947" s="8">
        <v>36.5</v>
      </c>
      <c r="BJ947" s="13" t="s">
        <v>349</v>
      </c>
      <c r="BK947" s="15">
        <v>0.9</v>
      </c>
      <c r="BL947" s="16">
        <f t="shared" si="526"/>
        <v>36.5</v>
      </c>
      <c r="BM947" s="18">
        <f>'PFAS Properties'!$U$46</f>
        <v>10.39</v>
      </c>
      <c r="BN947" s="8">
        <f t="shared" si="527"/>
        <v>300.08677570729958</v>
      </c>
      <c r="BO947" s="24">
        <f t="shared" si="528"/>
        <v>28.882269076737206</v>
      </c>
      <c r="BP947" s="11"/>
      <c r="BQ947" s="11"/>
    </row>
    <row r="948" spans="1:69" x14ac:dyDescent="0.3">
      <c r="A948" s="20">
        <v>946</v>
      </c>
      <c r="B948" s="2" t="s">
        <v>189</v>
      </c>
      <c r="C948" s="2">
        <v>2021</v>
      </c>
      <c r="D948" s="2" t="s">
        <v>510</v>
      </c>
      <c r="E948" s="41" t="s">
        <v>804</v>
      </c>
      <c r="F948" s="20" t="s">
        <v>29</v>
      </c>
      <c r="G948" s="2" t="s">
        <v>436</v>
      </c>
      <c r="H948" s="2" t="str">
        <f>'PFAS Properties'!$B$46</f>
        <v>PFOS</v>
      </c>
      <c r="I948" s="2" t="str">
        <f>'PFAS Properties'!$C$46</f>
        <v>PFSA</v>
      </c>
      <c r="J948" s="2" t="str">
        <f>'PFAS Properties'!$D$46</f>
        <v>C8HF17O3S</v>
      </c>
      <c r="K948" s="25">
        <f>'PFAS Properties'!$P$46</f>
        <v>499.93739999999997</v>
      </c>
      <c r="L948" s="2">
        <f>'PFAS Properties'!$X$46</f>
        <v>0.1</v>
      </c>
      <c r="M948" s="2" t="str">
        <f>'PFAS Properties'!$Y$46</f>
        <v>-</v>
      </c>
      <c r="N948" s="33">
        <v>0</v>
      </c>
      <c r="O948" s="33">
        <v>0</v>
      </c>
      <c r="P948" s="33">
        <v>0</v>
      </c>
      <c r="Q948" s="33">
        <f t="shared" si="517"/>
        <v>0.99999724577888238</v>
      </c>
      <c r="R948" s="33">
        <v>0</v>
      </c>
      <c r="S948" s="33">
        <f t="shared" si="518"/>
        <v>2.7542211175833038E-6</v>
      </c>
      <c r="T948" s="8">
        <f t="shared" si="496"/>
        <v>1</v>
      </c>
      <c r="U948" s="33">
        <f t="shared" si="497"/>
        <v>0</v>
      </c>
      <c r="V948" s="33">
        <f t="shared" si="498"/>
        <v>-0.99999724577888238</v>
      </c>
      <c r="W948" s="33">
        <f t="shared" si="499"/>
        <v>498.93740275422107</v>
      </c>
      <c r="X948" s="33">
        <v>96485</v>
      </c>
      <c r="Y948" s="16">
        <f t="shared" si="500"/>
        <v>-193.38043956288502</v>
      </c>
      <c r="Z948" s="16">
        <v>8</v>
      </c>
      <c r="AA948" s="16">
        <v>17</v>
      </c>
      <c r="AB948" s="8">
        <f t="shared" si="501"/>
        <v>0.29721362229102166</v>
      </c>
      <c r="AC948" s="16">
        <f t="shared" si="506"/>
        <v>64.60808893273439</v>
      </c>
      <c r="AD948" s="20">
        <f>'PFAS Properties'!$W$46</f>
        <v>8</v>
      </c>
      <c r="AE948" s="8">
        <f>'PFAS Properties'!$S$46</f>
        <v>2.0166155475571776</v>
      </c>
      <c r="AF948" s="15">
        <f>'PFAS Properties'!$V$46</f>
        <v>5</v>
      </c>
      <c r="AG948" s="26">
        <v>5.66</v>
      </c>
      <c r="AH948" s="1" t="s">
        <v>190</v>
      </c>
      <c r="AI948" s="39">
        <f t="shared" si="519"/>
        <v>119.50830000000001</v>
      </c>
      <c r="AJ948" s="1">
        <v>2140</v>
      </c>
      <c r="AK948" s="8">
        <f t="shared" si="520"/>
        <v>11.95083</v>
      </c>
      <c r="AL948" s="39">
        <f t="shared" si="521"/>
        <v>98.881699999999995</v>
      </c>
      <c r="AM948" s="1">
        <v>3665</v>
      </c>
      <c r="AN948" s="8">
        <f t="shared" si="522"/>
        <v>9.8881699999999988</v>
      </c>
      <c r="AO948" s="3" t="s">
        <v>93</v>
      </c>
      <c r="AP948" s="3">
        <v>4.3</v>
      </c>
      <c r="AQ948" s="3" t="s">
        <v>661</v>
      </c>
      <c r="AR948" s="4">
        <v>7.6</v>
      </c>
      <c r="AS948" s="4">
        <f>100-AT948-AR948</f>
        <v>38.6</v>
      </c>
      <c r="AT948" s="4">
        <v>53.8</v>
      </c>
      <c r="AU948" s="3" t="s">
        <v>661</v>
      </c>
      <c r="AV948" s="16">
        <f t="shared" si="502"/>
        <v>100</v>
      </c>
      <c r="AW948" s="7">
        <v>3.3</v>
      </c>
      <c r="AX948" s="1">
        <f t="shared" si="523"/>
        <v>3.3000000000000002E-2</v>
      </c>
      <c r="AY948" s="1" t="s">
        <v>511</v>
      </c>
      <c r="AZ948" s="1">
        <f t="shared" si="524"/>
        <v>100</v>
      </c>
      <c r="BA948" s="1" t="s">
        <v>55</v>
      </c>
      <c r="BB948" s="1">
        <v>5</v>
      </c>
      <c r="BC948" s="1">
        <v>500</v>
      </c>
      <c r="BD948" s="26">
        <f t="shared" si="525"/>
        <v>43.204782251160715</v>
      </c>
      <c r="BE948" s="16">
        <f t="shared" si="503"/>
        <v>1309.235825792749</v>
      </c>
      <c r="BF948" s="16">
        <f t="shared" si="504"/>
        <v>3.1170178807875266</v>
      </c>
      <c r="BG948" s="8">
        <f t="shared" si="505"/>
        <v>1.6355318206654139</v>
      </c>
      <c r="BH948" s="13" t="s">
        <v>782</v>
      </c>
      <c r="BI948" s="8">
        <v>87.2</v>
      </c>
      <c r="BJ948" s="13" t="s">
        <v>349</v>
      </c>
      <c r="BK948" s="15">
        <v>0.7</v>
      </c>
      <c r="BL948" s="16">
        <f t="shared" si="526"/>
        <v>87.2</v>
      </c>
      <c r="BM948" s="18">
        <f>'PFAS Properties'!$U$46</f>
        <v>10.39</v>
      </c>
      <c r="BN948" s="8">
        <f t="shared" si="527"/>
        <v>448.89768758955984</v>
      </c>
      <c r="BO948" s="24">
        <f t="shared" si="528"/>
        <v>43.204782251160715</v>
      </c>
      <c r="BP948" s="11"/>
      <c r="BQ948" s="11"/>
    </row>
    <row r="949" spans="1:69" x14ac:dyDescent="0.3">
      <c r="A949" s="20">
        <v>947</v>
      </c>
      <c r="B949" s="2" t="s">
        <v>189</v>
      </c>
      <c r="C949" s="2">
        <v>2021</v>
      </c>
      <c r="D949" s="2" t="s">
        <v>510</v>
      </c>
      <c r="E949" s="41" t="s">
        <v>804</v>
      </c>
      <c r="F949" s="20" t="s">
        <v>29</v>
      </c>
      <c r="G949" s="2" t="s">
        <v>437</v>
      </c>
      <c r="H949" s="2" t="str">
        <f>'PFAS Properties'!$B$46</f>
        <v>PFOS</v>
      </c>
      <c r="I949" s="2" t="str">
        <f>'PFAS Properties'!$C$46</f>
        <v>PFSA</v>
      </c>
      <c r="J949" s="2" t="str">
        <f>'PFAS Properties'!$D$46</f>
        <v>C8HF17O3S</v>
      </c>
      <c r="K949" s="25">
        <f>'PFAS Properties'!$P$46</f>
        <v>499.93739999999997</v>
      </c>
      <c r="L949" s="2">
        <f>'PFAS Properties'!$X$46</f>
        <v>0.1</v>
      </c>
      <c r="M949" s="2" t="str">
        <f>'PFAS Properties'!$Y$46</f>
        <v>-</v>
      </c>
      <c r="N949" s="33">
        <v>0</v>
      </c>
      <c r="O949" s="33">
        <v>0</v>
      </c>
      <c r="P949" s="33">
        <v>0</v>
      </c>
      <c r="Q949" s="33">
        <f t="shared" si="517"/>
        <v>0.99999383408800013</v>
      </c>
      <c r="R949" s="33">
        <v>0</v>
      </c>
      <c r="S949" s="33">
        <f t="shared" si="518"/>
        <v>6.1659119999096004E-6</v>
      </c>
      <c r="T949" s="8">
        <f t="shared" si="496"/>
        <v>1</v>
      </c>
      <c r="U949" s="33">
        <f t="shared" si="497"/>
        <v>0</v>
      </c>
      <c r="V949" s="33">
        <f t="shared" si="498"/>
        <v>-0.99999383408800013</v>
      </c>
      <c r="W949" s="33">
        <f t="shared" si="499"/>
        <v>498.93740616591202</v>
      </c>
      <c r="X949" s="33">
        <v>96485</v>
      </c>
      <c r="Y949" s="16">
        <f t="shared" si="500"/>
        <v>-193.37977848447119</v>
      </c>
      <c r="Z949" s="16">
        <v>8</v>
      </c>
      <c r="AA949" s="16">
        <v>17</v>
      </c>
      <c r="AB949" s="8">
        <f t="shared" si="501"/>
        <v>0.29721362229102166</v>
      </c>
      <c r="AC949" s="16">
        <f t="shared" si="506"/>
        <v>64.60808893273439</v>
      </c>
      <c r="AD949" s="20">
        <f>'PFAS Properties'!$W$46</f>
        <v>8</v>
      </c>
      <c r="AE949" s="8">
        <f>'PFAS Properties'!$S$46</f>
        <v>2.0166155475571776</v>
      </c>
      <c r="AF949" s="15">
        <f>'PFAS Properties'!$V$46</f>
        <v>5</v>
      </c>
      <c r="AG949" s="26">
        <v>5.31</v>
      </c>
      <c r="AH949" s="1" t="s">
        <v>190</v>
      </c>
      <c r="AI949" s="39">
        <f t="shared" si="519"/>
        <v>7.0364700000000004</v>
      </c>
      <c r="AJ949" s="1">
        <v>126</v>
      </c>
      <c r="AK949" s="8">
        <f t="shared" si="520"/>
        <v>0.70364700000000002</v>
      </c>
      <c r="AL949" s="39">
        <f t="shared" si="521"/>
        <v>8.7954799999999995</v>
      </c>
      <c r="AM949" s="1">
        <v>326</v>
      </c>
      <c r="AN949" s="8">
        <f t="shared" si="522"/>
        <v>0.879548</v>
      </c>
      <c r="AO949" s="3" t="s">
        <v>93</v>
      </c>
      <c r="AP949" s="3">
        <v>6.3</v>
      </c>
      <c r="AQ949" s="3" t="s">
        <v>661</v>
      </c>
      <c r="AR949" s="4">
        <v>50.8</v>
      </c>
      <c r="AS949" s="4">
        <v>36.6</v>
      </c>
      <c r="AT949" s="4">
        <v>12.7</v>
      </c>
      <c r="AU949" s="3" t="s">
        <v>661</v>
      </c>
      <c r="AV949" s="16">
        <f t="shared" si="502"/>
        <v>100.10000000000001</v>
      </c>
      <c r="AW949" s="7">
        <v>3.4</v>
      </c>
      <c r="AX949" s="1">
        <f t="shared" si="523"/>
        <v>3.4000000000000002E-2</v>
      </c>
      <c r="AY949" s="1" t="s">
        <v>511</v>
      </c>
      <c r="AZ949" s="1">
        <f t="shared" si="524"/>
        <v>100</v>
      </c>
      <c r="BA949" s="1" t="s">
        <v>55</v>
      </c>
      <c r="BB949" s="1">
        <v>5</v>
      </c>
      <c r="BC949" s="1">
        <v>500</v>
      </c>
      <c r="BD949" s="26">
        <f t="shared" si="525"/>
        <v>32.254946382460574</v>
      </c>
      <c r="BE949" s="16">
        <f t="shared" si="503"/>
        <v>948.67489360178149</v>
      </c>
      <c r="BF949" s="16">
        <f t="shared" si="504"/>
        <v>2.9771174072587834</v>
      </c>
      <c r="BG949" s="8">
        <f t="shared" si="505"/>
        <v>1.5085963243010385</v>
      </c>
      <c r="BH949" s="13" t="s">
        <v>782</v>
      </c>
      <c r="BI949" s="8">
        <v>65.099999999999994</v>
      </c>
      <c r="BJ949" s="13" t="s">
        <v>349</v>
      </c>
      <c r="BK949" s="15">
        <v>0.7</v>
      </c>
      <c r="BL949" s="16">
        <f t="shared" si="526"/>
        <v>65.099999999999994</v>
      </c>
      <c r="BM949" s="18">
        <f>'PFAS Properties'!$U$46</f>
        <v>10.39</v>
      </c>
      <c r="BN949" s="8">
        <f t="shared" si="527"/>
        <v>335.12889291376536</v>
      </c>
      <c r="BO949" s="24">
        <f t="shared" si="528"/>
        <v>32.254946382460574</v>
      </c>
      <c r="BP949" s="11"/>
      <c r="BQ949" s="11"/>
    </row>
    <row r="950" spans="1:69" x14ac:dyDescent="0.3">
      <c r="A950" s="20">
        <v>948</v>
      </c>
      <c r="B950" s="2" t="s">
        <v>189</v>
      </c>
      <c r="C950" s="2">
        <v>2021</v>
      </c>
      <c r="D950" s="2" t="s">
        <v>510</v>
      </c>
      <c r="E950" s="41" t="s">
        <v>804</v>
      </c>
      <c r="F950" s="20" t="s">
        <v>29</v>
      </c>
      <c r="G950" s="2" t="s">
        <v>438</v>
      </c>
      <c r="H950" s="2" t="str">
        <f>'PFAS Properties'!$B$46</f>
        <v>PFOS</v>
      </c>
      <c r="I950" s="2" t="str">
        <f>'PFAS Properties'!$C$46</f>
        <v>PFSA</v>
      </c>
      <c r="J950" s="2" t="str">
        <f>'PFAS Properties'!$D$46</f>
        <v>C8HF17O3S</v>
      </c>
      <c r="K950" s="25">
        <f>'PFAS Properties'!$P$46</f>
        <v>499.93739999999997</v>
      </c>
      <c r="L950" s="2">
        <f>'PFAS Properties'!$X$46</f>
        <v>0.1</v>
      </c>
      <c r="M950" s="2" t="str">
        <f>'PFAS Properties'!$Y$46</f>
        <v>-</v>
      </c>
      <c r="N950" s="33">
        <v>0</v>
      </c>
      <c r="O950" s="33">
        <v>0</v>
      </c>
      <c r="P950" s="33">
        <v>0</v>
      </c>
      <c r="Q950" s="33">
        <f t="shared" si="517"/>
        <v>0.99986198062551701</v>
      </c>
      <c r="R950" s="33">
        <v>0</v>
      </c>
      <c r="S950" s="33">
        <f t="shared" si="518"/>
        <v>1.3801937448301377E-4</v>
      </c>
      <c r="T950" s="8">
        <f t="shared" si="496"/>
        <v>1</v>
      </c>
      <c r="U950" s="33">
        <f t="shared" si="497"/>
        <v>0</v>
      </c>
      <c r="V950" s="33">
        <f t="shared" si="498"/>
        <v>-0.99986198062551701</v>
      </c>
      <c r="W950" s="33">
        <f t="shared" si="499"/>
        <v>498.93753801937447</v>
      </c>
      <c r="X950" s="33">
        <v>96485</v>
      </c>
      <c r="Y950" s="16">
        <f t="shared" si="500"/>
        <v>-193.35422943644474</v>
      </c>
      <c r="Z950" s="16">
        <v>8</v>
      </c>
      <c r="AA950" s="16">
        <v>17</v>
      </c>
      <c r="AB950" s="8">
        <f t="shared" si="501"/>
        <v>0.29721362229102166</v>
      </c>
      <c r="AC950" s="16">
        <f t="shared" si="506"/>
        <v>64.60808893273439</v>
      </c>
      <c r="AD950" s="20">
        <f>'PFAS Properties'!$W$46</f>
        <v>8</v>
      </c>
      <c r="AE950" s="8">
        <f>'PFAS Properties'!$S$46</f>
        <v>2.0166155475571776</v>
      </c>
      <c r="AF950" s="15">
        <f>'PFAS Properties'!$V$46</f>
        <v>5</v>
      </c>
      <c r="AG950" s="26">
        <v>3.96</v>
      </c>
      <c r="AH950" s="1" t="s">
        <v>190</v>
      </c>
      <c r="AI950" s="39">
        <f t="shared" si="519"/>
        <v>88.346789999999999</v>
      </c>
      <c r="AJ950" s="1">
        <v>1582</v>
      </c>
      <c r="AK950" s="8">
        <f t="shared" si="520"/>
        <v>8.8346789999999995</v>
      </c>
      <c r="AL950" s="39">
        <f t="shared" si="521"/>
        <v>97.667600000000007</v>
      </c>
      <c r="AM950" s="1">
        <v>3620</v>
      </c>
      <c r="AN950" s="8">
        <f t="shared" si="522"/>
        <v>9.7667600000000014</v>
      </c>
      <c r="AO950" s="3" t="s">
        <v>93</v>
      </c>
      <c r="AP950" s="3">
        <v>4.7</v>
      </c>
      <c r="AQ950" s="3" t="s">
        <v>661</v>
      </c>
      <c r="AR950" s="4">
        <v>62.2</v>
      </c>
      <c r="AS950" s="4">
        <v>16.100000000000001</v>
      </c>
      <c r="AT950" s="4">
        <v>21.7</v>
      </c>
      <c r="AU950" s="3" t="s">
        <v>661</v>
      </c>
      <c r="AV950" s="16">
        <f t="shared" si="502"/>
        <v>100.00000000000001</v>
      </c>
      <c r="AW950" s="7">
        <v>3.7</v>
      </c>
      <c r="AX950" s="1">
        <f t="shared" si="523"/>
        <v>3.7000000000000005E-2</v>
      </c>
      <c r="AY950" s="1" t="s">
        <v>511</v>
      </c>
      <c r="AZ950" s="1">
        <f t="shared" si="524"/>
        <v>100</v>
      </c>
      <c r="BA950" s="1" t="s">
        <v>55</v>
      </c>
      <c r="BB950" s="1">
        <v>5</v>
      </c>
      <c r="BC950" s="1">
        <v>500</v>
      </c>
      <c r="BD950" s="26">
        <f t="shared" si="525"/>
        <v>44.393882238162853</v>
      </c>
      <c r="BE950" s="16">
        <f t="shared" si="503"/>
        <v>1199.8346550854824</v>
      </c>
      <c r="BF950" s="16">
        <f t="shared" si="504"/>
        <v>3.079121401604636</v>
      </c>
      <c r="BG950" s="8">
        <f t="shared" si="505"/>
        <v>1.647323125671631</v>
      </c>
      <c r="BH950" s="13" t="s">
        <v>782</v>
      </c>
      <c r="BI950" s="8">
        <v>70.900000000000006</v>
      </c>
      <c r="BJ950" s="13" t="s">
        <v>349</v>
      </c>
      <c r="BK950" s="15">
        <v>0.8</v>
      </c>
      <c r="BL950" s="16">
        <f t="shared" si="526"/>
        <v>70.900000000000006</v>
      </c>
      <c r="BM950" s="18">
        <f>'PFAS Properties'!$U$46</f>
        <v>10.39</v>
      </c>
      <c r="BN950" s="8">
        <f t="shared" si="527"/>
        <v>461.25243645451206</v>
      </c>
      <c r="BO950" s="24">
        <f t="shared" si="528"/>
        <v>44.393882238162853</v>
      </c>
      <c r="BP950" s="11"/>
      <c r="BQ950" s="11"/>
    </row>
    <row r="951" spans="1:69" x14ac:dyDescent="0.3">
      <c r="A951" s="20">
        <v>949</v>
      </c>
      <c r="B951" s="2" t="s">
        <v>189</v>
      </c>
      <c r="C951" s="2">
        <v>2021</v>
      </c>
      <c r="D951" s="2" t="s">
        <v>510</v>
      </c>
      <c r="E951" s="41" t="s">
        <v>804</v>
      </c>
      <c r="F951" s="20" t="s">
        <v>29</v>
      </c>
      <c r="G951" s="2" t="s">
        <v>439</v>
      </c>
      <c r="H951" s="2" t="str">
        <f>'PFAS Properties'!$B$46</f>
        <v>PFOS</v>
      </c>
      <c r="I951" s="2" t="str">
        <f>'PFAS Properties'!$C$46</f>
        <v>PFSA</v>
      </c>
      <c r="J951" s="2" t="str">
        <f>'PFAS Properties'!$D$46</f>
        <v>C8HF17O3S</v>
      </c>
      <c r="K951" s="25">
        <f>'PFAS Properties'!$P$46</f>
        <v>499.93739999999997</v>
      </c>
      <c r="L951" s="2">
        <f>'PFAS Properties'!$X$46</f>
        <v>0.1</v>
      </c>
      <c r="M951" s="2" t="str">
        <f>'PFAS Properties'!$Y$46</f>
        <v>-</v>
      </c>
      <c r="N951" s="33">
        <v>0</v>
      </c>
      <c r="O951" s="33">
        <v>0</v>
      </c>
      <c r="P951" s="33">
        <v>0</v>
      </c>
      <c r="Q951" s="33">
        <f t="shared" si="517"/>
        <v>0.99999958313079029</v>
      </c>
      <c r="R951" s="33">
        <v>0</v>
      </c>
      <c r="S951" s="33">
        <f t="shared" si="518"/>
        <v>4.1686920969032374E-7</v>
      </c>
      <c r="T951" s="8">
        <f t="shared" si="496"/>
        <v>1</v>
      </c>
      <c r="U951" s="33">
        <f t="shared" si="497"/>
        <v>0</v>
      </c>
      <c r="V951" s="33">
        <f t="shared" si="498"/>
        <v>-0.99999958313079029</v>
      </c>
      <c r="W951" s="33">
        <f t="shared" si="499"/>
        <v>498.9374004168692</v>
      </c>
      <c r="X951" s="33">
        <v>96485</v>
      </c>
      <c r="Y951" s="16">
        <f t="shared" si="500"/>
        <v>-193.38089246819291</v>
      </c>
      <c r="Z951" s="16">
        <v>8</v>
      </c>
      <c r="AA951" s="16">
        <v>17</v>
      </c>
      <c r="AB951" s="8">
        <f t="shared" si="501"/>
        <v>0.29721362229102166</v>
      </c>
      <c r="AC951" s="16">
        <f t="shared" si="506"/>
        <v>64.60808893273439</v>
      </c>
      <c r="AD951" s="20">
        <f>'PFAS Properties'!$W$46</f>
        <v>8</v>
      </c>
      <c r="AE951" s="8">
        <f>'PFAS Properties'!$S$46</f>
        <v>2.0166155475571776</v>
      </c>
      <c r="AF951" s="15">
        <f>'PFAS Properties'!$V$46</f>
        <v>5</v>
      </c>
      <c r="AG951" s="26">
        <v>6.48</v>
      </c>
      <c r="AH951" s="1" t="s">
        <v>190</v>
      </c>
      <c r="AI951" s="39">
        <f t="shared" si="519"/>
        <v>34.344675000000002</v>
      </c>
      <c r="AJ951" s="1">
        <v>615</v>
      </c>
      <c r="AK951" s="8">
        <f t="shared" si="520"/>
        <v>3.4344675000000002</v>
      </c>
      <c r="AL951" s="39">
        <f t="shared" si="521"/>
        <v>32.861640000000001</v>
      </c>
      <c r="AM951" s="1">
        <v>1218</v>
      </c>
      <c r="AN951" s="8">
        <f t="shared" si="522"/>
        <v>3.2861640000000003</v>
      </c>
      <c r="AO951" s="3" t="s">
        <v>93</v>
      </c>
      <c r="AP951" s="3">
        <v>10.9</v>
      </c>
      <c r="AQ951" s="3" t="s">
        <v>661</v>
      </c>
      <c r="AR951" s="4">
        <v>20.9</v>
      </c>
      <c r="AS951" s="4">
        <v>44.4</v>
      </c>
      <c r="AT951" s="4">
        <v>34.700000000000003</v>
      </c>
      <c r="AU951" s="3" t="s">
        <v>661</v>
      </c>
      <c r="AV951" s="16">
        <f t="shared" si="502"/>
        <v>100</v>
      </c>
      <c r="AW951" s="7">
        <v>2.8</v>
      </c>
      <c r="AX951" s="1">
        <f t="shared" si="523"/>
        <v>2.7999999999999997E-2</v>
      </c>
      <c r="AY951" s="1" t="s">
        <v>511</v>
      </c>
      <c r="AZ951" s="1">
        <f t="shared" si="524"/>
        <v>100</v>
      </c>
      <c r="BA951" s="1" t="s">
        <v>55</v>
      </c>
      <c r="BB951" s="1">
        <v>5</v>
      </c>
      <c r="BC951" s="1">
        <v>500</v>
      </c>
      <c r="BD951" s="26">
        <f t="shared" si="525"/>
        <v>26.804801832428836</v>
      </c>
      <c r="BE951" s="16">
        <f t="shared" si="503"/>
        <v>957.31435115817283</v>
      </c>
      <c r="BF951" s="16">
        <f t="shared" si="504"/>
        <v>2.9810545694971968</v>
      </c>
      <c r="BG951" s="8">
        <f t="shared" si="505"/>
        <v>1.4282126008394163</v>
      </c>
      <c r="BH951" s="13" t="s">
        <v>782</v>
      </c>
      <c r="BI951" s="8">
        <v>54.1</v>
      </c>
      <c r="BJ951" s="13" t="s">
        <v>349</v>
      </c>
      <c r="BK951" s="15">
        <v>0.7</v>
      </c>
      <c r="BL951" s="16">
        <f t="shared" si="526"/>
        <v>54.1</v>
      </c>
      <c r="BM951" s="18">
        <f>'PFAS Properties'!$U$46</f>
        <v>10.39</v>
      </c>
      <c r="BN951" s="8">
        <f t="shared" si="527"/>
        <v>278.50189103893564</v>
      </c>
      <c r="BO951" s="24">
        <f t="shared" si="528"/>
        <v>26.804801832428836</v>
      </c>
      <c r="BP951" s="11"/>
      <c r="BQ951" s="11"/>
    </row>
    <row r="952" spans="1:69" x14ac:dyDescent="0.3">
      <c r="A952" s="20">
        <v>950</v>
      </c>
      <c r="B952" s="2" t="s">
        <v>189</v>
      </c>
      <c r="C952" s="2">
        <v>2021</v>
      </c>
      <c r="D952" s="2" t="s">
        <v>510</v>
      </c>
      <c r="E952" s="41" t="s">
        <v>804</v>
      </c>
      <c r="F952" s="20" t="s">
        <v>29</v>
      </c>
      <c r="G952" s="2" t="s">
        <v>440</v>
      </c>
      <c r="H952" s="2" t="str">
        <f>'PFAS Properties'!$B$46</f>
        <v>PFOS</v>
      </c>
      <c r="I952" s="2" t="str">
        <f>'PFAS Properties'!$C$46</f>
        <v>PFSA</v>
      </c>
      <c r="J952" s="2" t="str">
        <f>'PFAS Properties'!$D$46</f>
        <v>C8HF17O3S</v>
      </c>
      <c r="K952" s="25">
        <f>'PFAS Properties'!$P$46</f>
        <v>499.93739999999997</v>
      </c>
      <c r="L952" s="2">
        <f>'PFAS Properties'!$X$46</f>
        <v>0.1</v>
      </c>
      <c r="M952" s="2" t="str">
        <f>'PFAS Properties'!$Y$46</f>
        <v>-</v>
      </c>
      <c r="N952" s="33">
        <v>0</v>
      </c>
      <c r="O952" s="33">
        <v>0</v>
      </c>
      <c r="P952" s="33">
        <v>0</v>
      </c>
      <c r="Q952" s="33">
        <f t="shared" si="517"/>
        <v>0.99999999704879083</v>
      </c>
      <c r="R952" s="33">
        <v>0</v>
      </c>
      <c r="S952" s="33">
        <f t="shared" si="518"/>
        <v>2.9512092179567386E-9</v>
      </c>
      <c r="T952" s="8">
        <f t="shared" si="496"/>
        <v>1</v>
      </c>
      <c r="U952" s="33">
        <f t="shared" si="497"/>
        <v>0</v>
      </c>
      <c r="V952" s="33">
        <f t="shared" si="498"/>
        <v>-0.99999999704879083</v>
      </c>
      <c r="W952" s="33">
        <f t="shared" si="499"/>
        <v>498.93740000295122</v>
      </c>
      <c r="X952" s="33">
        <v>96485</v>
      </c>
      <c r="Y952" s="16">
        <f t="shared" si="500"/>
        <v>-193.3809726724873</v>
      </c>
      <c r="Z952" s="16">
        <v>8</v>
      </c>
      <c r="AA952" s="16">
        <v>17</v>
      </c>
      <c r="AB952" s="8">
        <f t="shared" si="501"/>
        <v>0.29721362229102166</v>
      </c>
      <c r="AC952" s="16">
        <f t="shared" si="506"/>
        <v>64.60808893273439</v>
      </c>
      <c r="AD952" s="20">
        <f>'PFAS Properties'!$W$46</f>
        <v>8</v>
      </c>
      <c r="AE952" s="8">
        <f>'PFAS Properties'!$S$46</f>
        <v>2.0166155475571776</v>
      </c>
      <c r="AF952" s="15">
        <f>'PFAS Properties'!$V$46</f>
        <v>5</v>
      </c>
      <c r="AG952" s="26">
        <v>8.6300000000000008</v>
      </c>
      <c r="AH952" s="1" t="s">
        <v>190</v>
      </c>
      <c r="AI952" s="39">
        <f t="shared" si="519"/>
        <v>34.623899999999999</v>
      </c>
      <c r="AJ952" s="1">
        <v>620</v>
      </c>
      <c r="AK952" s="8">
        <f t="shared" si="520"/>
        <v>3.4623900000000001</v>
      </c>
      <c r="AL952" s="39">
        <f t="shared" si="521"/>
        <v>33.536139999999996</v>
      </c>
      <c r="AM952" s="1">
        <v>1243</v>
      </c>
      <c r="AN952" s="8">
        <f t="shared" si="522"/>
        <v>3.3536139999999994</v>
      </c>
      <c r="AO952" s="3" t="s">
        <v>93</v>
      </c>
      <c r="AP952" s="3">
        <v>11.1</v>
      </c>
      <c r="AQ952" s="3" t="s">
        <v>661</v>
      </c>
      <c r="AR952" s="4">
        <v>65.2</v>
      </c>
      <c r="AS952" s="4">
        <v>14.3</v>
      </c>
      <c r="AT952" s="4">
        <v>20.5</v>
      </c>
      <c r="AU952" s="3" t="s">
        <v>661</v>
      </c>
      <c r="AV952" s="16">
        <f t="shared" si="502"/>
        <v>100</v>
      </c>
      <c r="AW952" s="7">
        <v>0.7</v>
      </c>
      <c r="AX952" s="1">
        <f t="shared" si="523"/>
        <v>6.9999999999999993E-3</v>
      </c>
      <c r="AY952" s="1" t="s">
        <v>511</v>
      </c>
      <c r="AZ952" s="1">
        <f t="shared" si="524"/>
        <v>100</v>
      </c>
      <c r="BA952" s="1" t="s">
        <v>55</v>
      </c>
      <c r="BB952" s="1">
        <v>5</v>
      </c>
      <c r="BC952" s="1">
        <v>500</v>
      </c>
      <c r="BD952" s="26">
        <f t="shared" si="525"/>
        <v>12.209882985108258</v>
      </c>
      <c r="BE952" s="16">
        <f t="shared" si="503"/>
        <v>1744.2689978726085</v>
      </c>
      <c r="BF952" s="16">
        <f t="shared" si="504"/>
        <v>3.2416134618368257</v>
      </c>
      <c r="BG952" s="8">
        <f t="shared" si="505"/>
        <v>1.0867115018510825</v>
      </c>
      <c r="BH952" s="13" t="s">
        <v>782</v>
      </c>
      <c r="BI952" s="8">
        <v>19.5</v>
      </c>
      <c r="BJ952" s="13" t="s">
        <v>349</v>
      </c>
      <c r="BK952" s="15">
        <v>0.8</v>
      </c>
      <c r="BL952" s="16">
        <f t="shared" si="526"/>
        <v>19.5</v>
      </c>
      <c r="BM952" s="18">
        <f>'PFAS Properties'!$U$46</f>
        <v>10.39</v>
      </c>
      <c r="BN952" s="8">
        <f t="shared" si="527"/>
        <v>126.86068421527482</v>
      </c>
      <c r="BO952" s="24">
        <f t="shared" si="528"/>
        <v>12.209882985108258</v>
      </c>
      <c r="BP952" s="11"/>
      <c r="BQ952" s="11"/>
    </row>
    <row r="953" spans="1:69" x14ac:dyDescent="0.3">
      <c r="A953" s="20">
        <v>951</v>
      </c>
      <c r="B953" s="2" t="s">
        <v>189</v>
      </c>
      <c r="C953" s="2">
        <v>2021</v>
      </c>
      <c r="D953" s="2" t="s">
        <v>510</v>
      </c>
      <c r="E953" s="41" t="s">
        <v>804</v>
      </c>
      <c r="F953" s="20" t="s">
        <v>29</v>
      </c>
      <c r="G953" s="2" t="s">
        <v>441</v>
      </c>
      <c r="H953" s="2" t="str">
        <f>'PFAS Properties'!$B$46</f>
        <v>PFOS</v>
      </c>
      <c r="I953" s="2" t="str">
        <f>'PFAS Properties'!$C$46</f>
        <v>PFSA</v>
      </c>
      <c r="J953" s="2" t="str">
        <f>'PFAS Properties'!$D$46</f>
        <v>C8HF17O3S</v>
      </c>
      <c r="K953" s="25">
        <f>'PFAS Properties'!$P$46</f>
        <v>499.93739999999997</v>
      </c>
      <c r="L953" s="2">
        <f>'PFAS Properties'!$X$46</f>
        <v>0.1</v>
      </c>
      <c r="M953" s="2" t="str">
        <f>'PFAS Properties'!$Y$46</f>
        <v>-</v>
      </c>
      <c r="N953" s="33">
        <v>0</v>
      </c>
      <c r="O953" s="33">
        <v>0</v>
      </c>
      <c r="P953" s="33">
        <v>0</v>
      </c>
      <c r="Q953" s="33">
        <f t="shared" si="517"/>
        <v>0.99999848644104239</v>
      </c>
      <c r="R953" s="33">
        <v>0</v>
      </c>
      <c r="S953" s="33">
        <f t="shared" si="518"/>
        <v>1.5135589575720209E-6</v>
      </c>
      <c r="T953" s="8">
        <f t="shared" si="496"/>
        <v>1</v>
      </c>
      <c r="U953" s="33">
        <f t="shared" si="497"/>
        <v>0</v>
      </c>
      <c r="V953" s="33">
        <f t="shared" si="498"/>
        <v>-0.99999848644104239</v>
      </c>
      <c r="W953" s="33">
        <f t="shared" si="499"/>
        <v>498.93740151355888</v>
      </c>
      <c r="X953" s="33">
        <v>96485</v>
      </c>
      <c r="Y953" s="16">
        <f t="shared" si="500"/>
        <v>-193.38067996420179</v>
      </c>
      <c r="Z953" s="16">
        <v>8</v>
      </c>
      <c r="AA953" s="16">
        <v>17</v>
      </c>
      <c r="AB953" s="8">
        <f t="shared" si="501"/>
        <v>0.29721362229102166</v>
      </c>
      <c r="AC953" s="16">
        <f t="shared" si="506"/>
        <v>64.60808893273439</v>
      </c>
      <c r="AD953" s="20">
        <f>'PFAS Properties'!$W$46</f>
        <v>8</v>
      </c>
      <c r="AE953" s="8">
        <f>'PFAS Properties'!$S$46</f>
        <v>2.0166155475571776</v>
      </c>
      <c r="AF953" s="15">
        <f>'PFAS Properties'!$V$46</f>
        <v>5</v>
      </c>
      <c r="AG953" s="26">
        <v>5.92</v>
      </c>
      <c r="AH953" s="1" t="s">
        <v>190</v>
      </c>
      <c r="AI953" s="39">
        <f t="shared" si="519"/>
        <v>34.903125000000003</v>
      </c>
      <c r="AJ953" s="1">
        <v>625</v>
      </c>
      <c r="AK953" s="8">
        <f t="shared" si="520"/>
        <v>3.4903125000000004</v>
      </c>
      <c r="AL953" s="39">
        <f t="shared" si="521"/>
        <v>34.183660000000003</v>
      </c>
      <c r="AM953" s="1">
        <v>1267</v>
      </c>
      <c r="AN953" s="8">
        <f t="shared" si="522"/>
        <v>3.4183660000000002</v>
      </c>
      <c r="AO953" s="3" t="s">
        <v>93</v>
      </c>
      <c r="AP953" s="3">
        <v>9.9</v>
      </c>
      <c r="AQ953" s="3" t="s">
        <v>661</v>
      </c>
      <c r="AR953" s="4">
        <v>16.100000000000001</v>
      </c>
      <c r="AS953" s="4">
        <v>33.6</v>
      </c>
      <c r="AT953" s="4">
        <v>50.4</v>
      </c>
      <c r="AU953" s="3" t="s">
        <v>661</v>
      </c>
      <c r="AV953" s="16">
        <f t="shared" si="502"/>
        <v>100.1</v>
      </c>
      <c r="AW953" s="7">
        <v>3</v>
      </c>
      <c r="AX953" s="1">
        <f t="shared" si="523"/>
        <v>0.03</v>
      </c>
      <c r="AY953" s="1" t="s">
        <v>511</v>
      </c>
      <c r="AZ953" s="1">
        <f t="shared" si="524"/>
        <v>100</v>
      </c>
      <c r="BA953" s="1" t="s">
        <v>55</v>
      </c>
      <c r="BB953" s="1">
        <v>5</v>
      </c>
      <c r="BC953" s="1">
        <v>500</v>
      </c>
      <c r="BD953" s="26">
        <f t="shared" si="525"/>
        <v>47.069430204819582</v>
      </c>
      <c r="BE953" s="16">
        <f t="shared" si="503"/>
        <v>1568.9810068273196</v>
      </c>
      <c r="BF953" s="16">
        <f t="shared" si="504"/>
        <v>3.195617686302032</v>
      </c>
      <c r="BG953" s="8">
        <f t="shared" si="505"/>
        <v>1.6727389410216944</v>
      </c>
      <c r="BH953" s="13" t="s">
        <v>782</v>
      </c>
      <c r="BI953" s="8">
        <v>95</v>
      </c>
      <c r="BJ953" s="13" t="s">
        <v>349</v>
      </c>
      <c r="BK953" s="15">
        <v>0.7</v>
      </c>
      <c r="BL953" s="16">
        <f t="shared" si="526"/>
        <v>95</v>
      </c>
      <c r="BM953" s="18">
        <f>'PFAS Properties'!$U$46</f>
        <v>10.39</v>
      </c>
      <c r="BN953" s="8">
        <f t="shared" si="527"/>
        <v>489.05137982807548</v>
      </c>
      <c r="BO953" s="24">
        <f t="shared" si="528"/>
        <v>47.069430204819582</v>
      </c>
      <c r="BP953" s="11"/>
      <c r="BQ953" s="11"/>
    </row>
    <row r="954" spans="1:69" x14ac:dyDescent="0.3">
      <c r="A954" s="20">
        <v>952</v>
      </c>
      <c r="B954" s="2" t="s">
        <v>189</v>
      </c>
      <c r="C954" s="2">
        <v>2021</v>
      </c>
      <c r="D954" s="2" t="s">
        <v>510</v>
      </c>
      <c r="E954" s="41" t="s">
        <v>804</v>
      </c>
      <c r="F954" s="20" t="s">
        <v>29</v>
      </c>
      <c r="G954" s="2" t="s">
        <v>442</v>
      </c>
      <c r="H954" s="2" t="str">
        <f>'PFAS Properties'!$B$46</f>
        <v>PFOS</v>
      </c>
      <c r="I954" s="2" t="str">
        <f>'PFAS Properties'!$C$46</f>
        <v>PFSA</v>
      </c>
      <c r="J954" s="2" t="str">
        <f>'PFAS Properties'!$D$46</f>
        <v>C8HF17O3S</v>
      </c>
      <c r="K954" s="25">
        <f>'PFAS Properties'!$P$46</f>
        <v>499.93739999999997</v>
      </c>
      <c r="L954" s="2">
        <f>'PFAS Properties'!$X$46</f>
        <v>0.1</v>
      </c>
      <c r="M954" s="2" t="str">
        <f>'PFAS Properties'!$Y$46</f>
        <v>-</v>
      </c>
      <c r="N954" s="33">
        <v>0</v>
      </c>
      <c r="O954" s="33">
        <v>0</v>
      </c>
      <c r="P954" s="33">
        <v>0</v>
      </c>
      <c r="Q954" s="33">
        <f t="shared" si="517"/>
        <v>0.99999841510931942</v>
      </c>
      <c r="R954" s="33">
        <v>0</v>
      </c>
      <c r="S954" s="33">
        <f t="shared" si="518"/>
        <v>1.5848906805786579E-6</v>
      </c>
      <c r="T954" s="8">
        <f t="shared" si="496"/>
        <v>1</v>
      </c>
      <c r="U954" s="33">
        <f t="shared" si="497"/>
        <v>0</v>
      </c>
      <c r="V954" s="33">
        <f t="shared" si="498"/>
        <v>-0.99999841510931942</v>
      </c>
      <c r="W954" s="33">
        <f t="shared" si="499"/>
        <v>498.93740158489061</v>
      </c>
      <c r="X954" s="33">
        <v>96485</v>
      </c>
      <c r="Y954" s="16">
        <f t="shared" si="500"/>
        <v>-193.38066614235672</v>
      </c>
      <c r="Z954" s="16">
        <v>8</v>
      </c>
      <c r="AA954" s="16">
        <v>17</v>
      </c>
      <c r="AB954" s="8">
        <f t="shared" si="501"/>
        <v>0.29721362229102166</v>
      </c>
      <c r="AC954" s="16">
        <f t="shared" si="506"/>
        <v>64.60808893273439</v>
      </c>
      <c r="AD954" s="20">
        <f>'PFAS Properties'!$W$46</f>
        <v>8</v>
      </c>
      <c r="AE954" s="8">
        <f>'PFAS Properties'!$S$46</f>
        <v>2.0166155475571776</v>
      </c>
      <c r="AF954" s="15">
        <f>'PFAS Properties'!$V$46</f>
        <v>5</v>
      </c>
      <c r="AG954" s="26">
        <v>5.9</v>
      </c>
      <c r="AH954" s="1" t="s">
        <v>190</v>
      </c>
      <c r="AI954" s="39">
        <f t="shared" si="519"/>
        <v>35.18235</v>
      </c>
      <c r="AJ954" s="1">
        <v>630</v>
      </c>
      <c r="AK954" s="8">
        <f t="shared" si="520"/>
        <v>3.5182349999999998</v>
      </c>
      <c r="AL954" s="39">
        <f t="shared" si="521"/>
        <v>34.858160000000005</v>
      </c>
      <c r="AM954" s="1">
        <v>1292</v>
      </c>
      <c r="AN954" s="8">
        <f t="shared" si="522"/>
        <v>3.4858160000000007</v>
      </c>
      <c r="AO954" s="3" t="s">
        <v>93</v>
      </c>
      <c r="AP954" s="3">
        <v>7.6</v>
      </c>
      <c r="AQ954" s="3" t="s">
        <v>661</v>
      </c>
      <c r="AR954" s="4">
        <v>17.2</v>
      </c>
      <c r="AS954" s="4">
        <v>40.200000000000003</v>
      </c>
      <c r="AT954" s="4">
        <v>42.6</v>
      </c>
      <c r="AU954" s="3" t="s">
        <v>661</v>
      </c>
      <c r="AV954" s="16">
        <f t="shared" si="502"/>
        <v>100</v>
      </c>
      <c r="AW954" s="7">
        <v>6.9</v>
      </c>
      <c r="AX954" s="1">
        <f t="shared" si="523"/>
        <v>6.9000000000000006E-2</v>
      </c>
      <c r="AY954" s="1" t="s">
        <v>511</v>
      </c>
      <c r="AZ954" s="1">
        <f t="shared" si="524"/>
        <v>100</v>
      </c>
      <c r="BA954" s="1" t="s">
        <v>55</v>
      </c>
      <c r="BB954" s="1">
        <v>5</v>
      </c>
      <c r="BC954" s="1">
        <v>500</v>
      </c>
      <c r="BD954" s="26">
        <f t="shared" si="525"/>
        <v>85.715909741408282</v>
      </c>
      <c r="BE954" s="16">
        <f t="shared" si="503"/>
        <v>1242.2595614696852</v>
      </c>
      <c r="BF954" s="16">
        <f t="shared" si="504"/>
        <v>3.0942123481243868</v>
      </c>
      <c r="BG954" s="8">
        <f t="shared" si="505"/>
        <v>1.9330614388616421</v>
      </c>
      <c r="BH954" s="13" t="s">
        <v>782</v>
      </c>
      <c r="BI954" s="8">
        <v>173</v>
      </c>
      <c r="BJ954" s="13" t="s">
        <v>349</v>
      </c>
      <c r="BK954" s="15">
        <v>0.7</v>
      </c>
      <c r="BL954" s="16">
        <f t="shared" si="526"/>
        <v>173</v>
      </c>
      <c r="BM954" s="18">
        <f>'PFAS Properties'!$U$46</f>
        <v>10.39</v>
      </c>
      <c r="BN954" s="8">
        <f t="shared" si="527"/>
        <v>890.58830221323217</v>
      </c>
      <c r="BO954" s="24">
        <f t="shared" si="528"/>
        <v>85.715909741408282</v>
      </c>
      <c r="BP954" s="11"/>
      <c r="BQ954" s="11"/>
    </row>
    <row r="955" spans="1:69" x14ac:dyDescent="0.3">
      <c r="A955" s="20">
        <v>953</v>
      </c>
      <c r="B955" s="2" t="s">
        <v>189</v>
      </c>
      <c r="C955" s="2">
        <v>2021</v>
      </c>
      <c r="D955" s="2" t="s">
        <v>510</v>
      </c>
      <c r="E955" s="41" t="s">
        <v>804</v>
      </c>
      <c r="F955" s="20" t="s">
        <v>29</v>
      </c>
      <c r="G955" s="2" t="s">
        <v>443</v>
      </c>
      <c r="H955" s="2" t="str">
        <f>'PFAS Properties'!$B$46</f>
        <v>PFOS</v>
      </c>
      <c r="I955" s="2" t="str">
        <f>'PFAS Properties'!$C$46</f>
        <v>PFSA</v>
      </c>
      <c r="J955" s="2" t="str">
        <f>'PFAS Properties'!$D$46</f>
        <v>C8HF17O3S</v>
      </c>
      <c r="K955" s="25">
        <f>'PFAS Properties'!$P$46</f>
        <v>499.93739999999997</v>
      </c>
      <c r="L955" s="2">
        <f>'PFAS Properties'!$X$46</f>
        <v>0.1</v>
      </c>
      <c r="M955" s="2" t="str">
        <f>'PFAS Properties'!$Y$46</f>
        <v>-</v>
      </c>
      <c r="N955" s="33">
        <v>0</v>
      </c>
      <c r="O955" s="33">
        <v>0</v>
      </c>
      <c r="P955" s="33">
        <v>0</v>
      </c>
      <c r="Q955" s="33">
        <f t="shared" si="517"/>
        <v>0.99999841510931942</v>
      </c>
      <c r="R955" s="33">
        <v>0</v>
      </c>
      <c r="S955" s="33">
        <f t="shared" si="518"/>
        <v>1.5848906805786579E-6</v>
      </c>
      <c r="T955" s="8">
        <f t="shared" si="496"/>
        <v>1</v>
      </c>
      <c r="U955" s="33">
        <f t="shared" si="497"/>
        <v>0</v>
      </c>
      <c r="V955" s="33">
        <f t="shared" si="498"/>
        <v>-0.99999841510931942</v>
      </c>
      <c r="W955" s="33">
        <f t="shared" si="499"/>
        <v>498.93740158489061</v>
      </c>
      <c r="X955" s="33">
        <v>96485</v>
      </c>
      <c r="Y955" s="16">
        <f t="shared" si="500"/>
        <v>-193.38066614235672</v>
      </c>
      <c r="Z955" s="16">
        <v>8</v>
      </c>
      <c r="AA955" s="16">
        <v>17</v>
      </c>
      <c r="AB955" s="8">
        <f t="shared" si="501"/>
        <v>0.29721362229102166</v>
      </c>
      <c r="AC955" s="16">
        <f t="shared" si="506"/>
        <v>64.60808893273439</v>
      </c>
      <c r="AD955" s="20">
        <f>'PFAS Properties'!$W$46</f>
        <v>8</v>
      </c>
      <c r="AE955" s="8">
        <f>'PFAS Properties'!$S$46</f>
        <v>2.0166155475571776</v>
      </c>
      <c r="AF955" s="15">
        <f>'PFAS Properties'!$V$46</f>
        <v>5</v>
      </c>
      <c r="AG955" s="26">
        <v>5.9</v>
      </c>
      <c r="AH955" s="1" t="s">
        <v>190</v>
      </c>
      <c r="AI955" s="39">
        <f t="shared" si="519"/>
        <v>35.461574999999996</v>
      </c>
      <c r="AJ955" s="1">
        <v>635</v>
      </c>
      <c r="AK955" s="8">
        <f t="shared" si="520"/>
        <v>3.5461574999999996</v>
      </c>
      <c r="AL955" s="39">
        <f t="shared" si="521"/>
        <v>35.505679999999998</v>
      </c>
      <c r="AM955" s="1">
        <v>1316</v>
      </c>
      <c r="AN955" s="8">
        <f t="shared" si="522"/>
        <v>3.5505679999999997</v>
      </c>
      <c r="AO955" s="3" t="s">
        <v>93</v>
      </c>
      <c r="AP955" s="3">
        <v>0.9</v>
      </c>
      <c r="AQ955" s="3" t="s">
        <v>661</v>
      </c>
      <c r="AR955" s="4">
        <v>85.2</v>
      </c>
      <c r="AS955" s="4">
        <v>9.9</v>
      </c>
      <c r="AT955" s="4">
        <v>4.9000000000000004</v>
      </c>
      <c r="AU955" s="3" t="s">
        <v>661</v>
      </c>
      <c r="AV955" s="16">
        <f t="shared" si="502"/>
        <v>100.00000000000001</v>
      </c>
      <c r="AW955" s="7">
        <v>0.2</v>
      </c>
      <c r="AX955" s="1">
        <f t="shared" si="523"/>
        <v>2E-3</v>
      </c>
      <c r="AY955" s="1" t="s">
        <v>511</v>
      </c>
      <c r="AZ955" s="1">
        <f t="shared" si="524"/>
        <v>100</v>
      </c>
      <c r="BA955" s="1" t="s">
        <v>55</v>
      </c>
      <c r="BB955" s="1">
        <v>5</v>
      </c>
      <c r="BC955" s="1">
        <v>500</v>
      </c>
      <c r="BD955" s="26">
        <f t="shared" si="525"/>
        <v>13.476721069169395</v>
      </c>
      <c r="BE955" s="16">
        <f t="shared" si="503"/>
        <v>6738.3605345846972</v>
      </c>
      <c r="BF955" s="16">
        <f t="shared" si="504"/>
        <v>3.828554244103064</v>
      </c>
      <c r="BG955" s="8">
        <f t="shared" si="505"/>
        <v>1.1295842397670455</v>
      </c>
      <c r="BH955" s="13" t="s">
        <v>782</v>
      </c>
      <c r="BI955" s="8">
        <v>27.2</v>
      </c>
      <c r="BJ955" s="13" t="s">
        <v>349</v>
      </c>
      <c r="BK955" s="15">
        <v>0.7</v>
      </c>
      <c r="BL955" s="16">
        <f t="shared" si="526"/>
        <v>27.2</v>
      </c>
      <c r="BM955" s="18">
        <f>'PFAS Properties'!$U$46</f>
        <v>10.39</v>
      </c>
      <c r="BN955" s="8">
        <f t="shared" si="527"/>
        <v>140.02313190867002</v>
      </c>
      <c r="BO955" s="24">
        <f t="shared" si="528"/>
        <v>13.476721069169395</v>
      </c>
      <c r="BP955" s="11"/>
      <c r="BQ955" s="11"/>
    </row>
    <row r="956" spans="1:69" x14ac:dyDescent="0.3">
      <c r="A956" s="20">
        <v>954</v>
      </c>
      <c r="B956" s="2" t="s">
        <v>189</v>
      </c>
      <c r="C956" s="2">
        <v>2021</v>
      </c>
      <c r="D956" s="2" t="s">
        <v>510</v>
      </c>
      <c r="E956" s="41" t="s">
        <v>804</v>
      </c>
      <c r="F956" s="20" t="s">
        <v>29</v>
      </c>
      <c r="G956" s="2" t="s">
        <v>444</v>
      </c>
      <c r="H956" s="2" t="str">
        <f>'PFAS Properties'!$B$46</f>
        <v>PFOS</v>
      </c>
      <c r="I956" s="2" t="str">
        <f>'PFAS Properties'!$C$46</f>
        <v>PFSA</v>
      </c>
      <c r="J956" s="2" t="str">
        <f>'PFAS Properties'!$D$46</f>
        <v>C8HF17O3S</v>
      </c>
      <c r="K956" s="25">
        <f>'PFAS Properties'!$P$46</f>
        <v>499.93739999999997</v>
      </c>
      <c r="L956" s="2">
        <f>'PFAS Properties'!$X$46</f>
        <v>0.1</v>
      </c>
      <c r="M956" s="2" t="str">
        <f>'PFAS Properties'!$Y$46</f>
        <v>-</v>
      </c>
      <c r="N956" s="33">
        <v>0</v>
      </c>
      <c r="O956" s="33">
        <v>0</v>
      </c>
      <c r="P956" s="33">
        <v>0</v>
      </c>
      <c r="Q956" s="33">
        <f t="shared" si="517"/>
        <v>0.99999999573420484</v>
      </c>
      <c r="R956" s="33">
        <v>0</v>
      </c>
      <c r="S956" s="33">
        <f t="shared" si="518"/>
        <v>4.2657951698188959E-9</v>
      </c>
      <c r="T956" s="8">
        <f t="shared" si="496"/>
        <v>1</v>
      </c>
      <c r="U956" s="33">
        <f t="shared" si="497"/>
        <v>0</v>
      </c>
      <c r="V956" s="33">
        <f t="shared" si="498"/>
        <v>-0.99999999573420484</v>
      </c>
      <c r="W956" s="33">
        <f t="shared" si="499"/>
        <v>498.93740000426573</v>
      </c>
      <c r="X956" s="33">
        <v>96485</v>
      </c>
      <c r="Y956" s="16">
        <f t="shared" si="500"/>
        <v>-193.38097241776191</v>
      </c>
      <c r="Z956" s="16">
        <v>8</v>
      </c>
      <c r="AA956" s="16">
        <v>17</v>
      </c>
      <c r="AB956" s="8">
        <f t="shared" si="501"/>
        <v>0.29721362229102166</v>
      </c>
      <c r="AC956" s="16">
        <f t="shared" si="506"/>
        <v>64.60808893273439</v>
      </c>
      <c r="AD956" s="20">
        <f>'PFAS Properties'!$W$46</f>
        <v>8</v>
      </c>
      <c r="AE956" s="8">
        <f>'PFAS Properties'!$S$46</f>
        <v>2.0166155475571776</v>
      </c>
      <c r="AF956" s="15">
        <f>'PFAS Properties'!$V$46</f>
        <v>5</v>
      </c>
      <c r="AG956" s="26">
        <v>8.4700000000000006</v>
      </c>
      <c r="AH956" s="1" t="s">
        <v>190</v>
      </c>
      <c r="AI956" s="39">
        <f t="shared" si="519"/>
        <v>35.7408</v>
      </c>
      <c r="AJ956" s="1">
        <v>640</v>
      </c>
      <c r="AK956" s="8">
        <f t="shared" si="520"/>
        <v>3.5740799999999999</v>
      </c>
      <c r="AL956" s="39">
        <f t="shared" si="521"/>
        <v>36.18018</v>
      </c>
      <c r="AM956" s="1">
        <v>1341</v>
      </c>
      <c r="AN956" s="8">
        <f t="shared" si="522"/>
        <v>3.6180180000000002</v>
      </c>
      <c r="AO956" s="3" t="s">
        <v>93</v>
      </c>
      <c r="AP956" s="3">
        <v>8.1999999999999993</v>
      </c>
      <c r="AQ956" s="3" t="s">
        <v>661</v>
      </c>
      <c r="AR956" s="4">
        <v>79.400000000000006</v>
      </c>
      <c r="AS956" s="4">
        <v>11.9</v>
      </c>
      <c r="AT956" s="4">
        <v>8.6999999999999993</v>
      </c>
      <c r="AU956" s="3" t="s">
        <v>661</v>
      </c>
      <c r="AV956" s="16">
        <f t="shared" si="502"/>
        <v>100.00000000000001</v>
      </c>
      <c r="AW956" s="7">
        <v>1.2</v>
      </c>
      <c r="AX956" s="1">
        <f t="shared" si="523"/>
        <v>1.2E-2</v>
      </c>
      <c r="AY956" s="1" t="s">
        <v>511</v>
      </c>
      <c r="AZ956" s="1">
        <f t="shared" si="524"/>
        <v>100</v>
      </c>
      <c r="BA956" s="1" t="s">
        <v>55</v>
      </c>
      <c r="BB956" s="1">
        <v>5</v>
      </c>
      <c r="BC956" s="1">
        <v>500</v>
      </c>
      <c r="BD956" s="26">
        <f t="shared" si="525"/>
        <v>9.6537995270190109</v>
      </c>
      <c r="BE956" s="16">
        <f t="shared" si="503"/>
        <v>804.48329391825087</v>
      </c>
      <c r="BF956" s="16">
        <f t="shared" si="504"/>
        <v>2.9055170298714055</v>
      </c>
      <c r="BG956" s="8">
        <f t="shared" si="505"/>
        <v>0.98469827591903047</v>
      </c>
      <c r="BH956" s="13" t="s">
        <v>782</v>
      </c>
      <c r="BI956" s="8">
        <v>12.2</v>
      </c>
      <c r="BJ956" s="13" t="s">
        <v>349</v>
      </c>
      <c r="BK956" s="15">
        <v>0.9</v>
      </c>
      <c r="BL956" s="16">
        <f t="shared" si="526"/>
        <v>12.2</v>
      </c>
      <c r="BM956" s="18">
        <f>'PFAS Properties'!$U$46</f>
        <v>10.39</v>
      </c>
      <c r="BN956" s="8">
        <f t="shared" si="527"/>
        <v>100.30297708572753</v>
      </c>
      <c r="BO956" s="24">
        <f t="shared" si="528"/>
        <v>9.6537995270190109</v>
      </c>
      <c r="BP956" s="11"/>
      <c r="BQ956" s="11"/>
    </row>
    <row r="957" spans="1:69" x14ac:dyDescent="0.3">
      <c r="A957" s="20">
        <v>955</v>
      </c>
      <c r="B957" s="2" t="s">
        <v>189</v>
      </c>
      <c r="C957" s="2">
        <v>2021</v>
      </c>
      <c r="D957" s="2" t="s">
        <v>510</v>
      </c>
      <c r="E957" s="41" t="s">
        <v>804</v>
      </c>
      <c r="F957" s="20" t="s">
        <v>29</v>
      </c>
      <c r="G957" s="2" t="s">
        <v>445</v>
      </c>
      <c r="H957" s="2" t="str">
        <f>'PFAS Properties'!$B$46</f>
        <v>PFOS</v>
      </c>
      <c r="I957" s="2" t="str">
        <f>'PFAS Properties'!$C$46</f>
        <v>PFSA</v>
      </c>
      <c r="J957" s="2" t="str">
        <f>'PFAS Properties'!$D$46</f>
        <v>C8HF17O3S</v>
      </c>
      <c r="K957" s="25">
        <f>'PFAS Properties'!$P$46</f>
        <v>499.93739999999997</v>
      </c>
      <c r="L957" s="2">
        <f>'PFAS Properties'!$X$46</f>
        <v>0.1</v>
      </c>
      <c r="M957" s="2" t="str">
        <f>'PFAS Properties'!$Y$46</f>
        <v>-</v>
      </c>
      <c r="N957" s="33">
        <v>0</v>
      </c>
      <c r="O957" s="33">
        <v>0</v>
      </c>
      <c r="P957" s="33">
        <v>0</v>
      </c>
      <c r="Q957" s="33">
        <f t="shared" si="517"/>
        <v>0.9999918717609072</v>
      </c>
      <c r="R957" s="33">
        <v>0</v>
      </c>
      <c r="S957" s="33">
        <f t="shared" si="518"/>
        <v>8.1282390928331961E-6</v>
      </c>
      <c r="T957" s="8">
        <f t="shared" si="496"/>
        <v>1</v>
      </c>
      <c r="U957" s="33">
        <f t="shared" si="497"/>
        <v>0</v>
      </c>
      <c r="V957" s="33">
        <f t="shared" si="498"/>
        <v>-0.9999918717609072</v>
      </c>
      <c r="W957" s="33">
        <f t="shared" si="499"/>
        <v>498.9374081282391</v>
      </c>
      <c r="X957" s="33">
        <v>96485</v>
      </c>
      <c r="Y957" s="16">
        <f t="shared" si="500"/>
        <v>-193.37939824718921</v>
      </c>
      <c r="Z957" s="16">
        <v>8</v>
      </c>
      <c r="AA957" s="16">
        <v>17</v>
      </c>
      <c r="AB957" s="8">
        <f t="shared" si="501"/>
        <v>0.29721362229102166</v>
      </c>
      <c r="AC957" s="16">
        <f t="shared" si="506"/>
        <v>64.60808893273439</v>
      </c>
      <c r="AD957" s="20">
        <f>'PFAS Properties'!$W$46</f>
        <v>8</v>
      </c>
      <c r="AE957" s="8">
        <f>'PFAS Properties'!$S$46</f>
        <v>2.0166155475571776</v>
      </c>
      <c r="AF957" s="15">
        <f>'PFAS Properties'!$V$46</f>
        <v>5</v>
      </c>
      <c r="AG957" s="26">
        <v>5.19</v>
      </c>
      <c r="AH957" s="1" t="s">
        <v>190</v>
      </c>
      <c r="AI957" s="39">
        <f t="shared" si="519"/>
        <v>36.020025000000004</v>
      </c>
      <c r="AJ957" s="1">
        <v>645</v>
      </c>
      <c r="AK957" s="8">
        <f t="shared" si="520"/>
        <v>3.6020025000000002</v>
      </c>
      <c r="AL957" s="39">
        <f t="shared" si="521"/>
        <v>36.854680000000002</v>
      </c>
      <c r="AM957" s="1">
        <v>1366</v>
      </c>
      <c r="AN957" s="8">
        <f t="shared" si="522"/>
        <v>3.6854680000000002</v>
      </c>
      <c r="AO957" s="3" t="s">
        <v>93</v>
      </c>
      <c r="AP957" s="3">
        <v>4.0999999999999996</v>
      </c>
      <c r="AQ957" s="3" t="s">
        <v>661</v>
      </c>
      <c r="AR957" s="4">
        <v>28.6</v>
      </c>
      <c r="AS957" s="4">
        <v>58.1</v>
      </c>
      <c r="AT957" s="4">
        <v>13.3</v>
      </c>
      <c r="AU957" s="3" t="s">
        <v>661</v>
      </c>
      <c r="AV957" s="16">
        <f t="shared" si="502"/>
        <v>100</v>
      </c>
      <c r="AW957" s="7">
        <v>2.4</v>
      </c>
      <c r="AX957" s="1">
        <f t="shared" si="523"/>
        <v>2.4E-2</v>
      </c>
      <c r="AY957" s="1" t="s">
        <v>511</v>
      </c>
      <c r="AZ957" s="1">
        <f t="shared" si="524"/>
        <v>100</v>
      </c>
      <c r="BA957" s="1" t="s">
        <v>55</v>
      </c>
      <c r="BB957" s="1">
        <v>5</v>
      </c>
      <c r="BC957" s="1">
        <v>500</v>
      </c>
      <c r="BD957" s="26">
        <f t="shared" si="525"/>
        <v>16.458936898524218</v>
      </c>
      <c r="BE957" s="16">
        <f t="shared" si="503"/>
        <v>685.78903743850913</v>
      </c>
      <c r="BF957" s="16">
        <f t="shared" si="504"/>
        <v>2.8361905384954378</v>
      </c>
      <c r="BG957" s="8">
        <f t="shared" si="505"/>
        <v>1.2164017802070439</v>
      </c>
      <c r="BH957" s="13" t="s">
        <v>782</v>
      </c>
      <c r="BI957" s="8">
        <v>20.8</v>
      </c>
      <c r="BJ957" s="13" t="s">
        <v>349</v>
      </c>
      <c r="BK957" s="15">
        <v>0.9</v>
      </c>
      <c r="BL957" s="16">
        <f t="shared" si="526"/>
        <v>20.8</v>
      </c>
      <c r="BM957" s="18">
        <f>'PFAS Properties'!$U$46</f>
        <v>10.39</v>
      </c>
      <c r="BN957" s="8">
        <f t="shared" si="527"/>
        <v>171.00835437566664</v>
      </c>
      <c r="BO957" s="24">
        <f t="shared" si="528"/>
        <v>16.458936898524218</v>
      </c>
      <c r="BP957" s="11"/>
      <c r="BQ957" s="11"/>
    </row>
    <row r="958" spans="1:69" x14ac:dyDescent="0.3">
      <c r="A958" s="20">
        <v>956</v>
      </c>
      <c r="B958" s="2" t="s">
        <v>189</v>
      </c>
      <c r="C958" s="2">
        <v>2021</v>
      </c>
      <c r="D958" s="2" t="s">
        <v>510</v>
      </c>
      <c r="E958" s="41" t="s">
        <v>804</v>
      </c>
      <c r="F958" s="20" t="s">
        <v>29</v>
      </c>
      <c r="G958" s="2" t="s">
        <v>446</v>
      </c>
      <c r="H958" s="2" t="str">
        <f>'PFAS Properties'!$B$46</f>
        <v>PFOS</v>
      </c>
      <c r="I958" s="2" t="str">
        <f>'PFAS Properties'!$C$46</f>
        <v>PFSA</v>
      </c>
      <c r="J958" s="2" t="str">
        <f>'PFAS Properties'!$D$46</f>
        <v>C8HF17O3S</v>
      </c>
      <c r="K958" s="25">
        <f>'PFAS Properties'!$P$46</f>
        <v>499.93739999999997</v>
      </c>
      <c r="L958" s="2">
        <f>'PFAS Properties'!$X$46</f>
        <v>0.1</v>
      </c>
      <c r="M958" s="2" t="str">
        <f>'PFAS Properties'!$Y$46</f>
        <v>-</v>
      </c>
      <c r="N958" s="33">
        <v>0</v>
      </c>
      <c r="O958" s="33">
        <v>0</v>
      </c>
      <c r="P958" s="33">
        <v>0</v>
      </c>
      <c r="Q958" s="33">
        <f t="shared" si="517"/>
        <v>0.99999927556456469</v>
      </c>
      <c r="R958" s="33">
        <v>0</v>
      </c>
      <c r="S958" s="33">
        <f t="shared" si="518"/>
        <v>7.2443543526790742E-7</v>
      </c>
      <c r="T958" s="8">
        <f t="shared" si="496"/>
        <v>1</v>
      </c>
      <c r="U958" s="33">
        <f t="shared" si="497"/>
        <v>0</v>
      </c>
      <c r="V958" s="33">
        <f t="shared" si="498"/>
        <v>-0.99999927556456469</v>
      </c>
      <c r="W958" s="33">
        <f t="shared" si="499"/>
        <v>498.93740072443541</v>
      </c>
      <c r="X958" s="33">
        <v>96485</v>
      </c>
      <c r="Y958" s="16">
        <f t="shared" si="500"/>
        <v>-193.38083287152875</v>
      </c>
      <c r="Z958" s="16">
        <v>8</v>
      </c>
      <c r="AA958" s="16">
        <v>17</v>
      </c>
      <c r="AB958" s="8">
        <f t="shared" si="501"/>
        <v>0.29721362229102166</v>
      </c>
      <c r="AC958" s="16">
        <f t="shared" si="506"/>
        <v>64.60808893273439</v>
      </c>
      <c r="AD958" s="20">
        <f>'PFAS Properties'!$W$46</f>
        <v>8</v>
      </c>
      <c r="AE958" s="8">
        <f>'PFAS Properties'!$S$46</f>
        <v>2.0166155475571776</v>
      </c>
      <c r="AF958" s="15">
        <f>'PFAS Properties'!$V$46</f>
        <v>5</v>
      </c>
      <c r="AG958" s="26">
        <v>6.24</v>
      </c>
      <c r="AH958" s="1" t="s">
        <v>190</v>
      </c>
      <c r="AI958" s="39">
        <f t="shared" si="519"/>
        <v>36.410940000000004</v>
      </c>
      <c r="AJ958" s="1">
        <v>652</v>
      </c>
      <c r="AK958" s="8">
        <f t="shared" si="520"/>
        <v>3.6410940000000003</v>
      </c>
      <c r="AL958" s="39">
        <f t="shared" si="521"/>
        <v>37.852940000000004</v>
      </c>
      <c r="AM958" s="1">
        <v>1403</v>
      </c>
      <c r="AN958" s="8">
        <f t="shared" si="522"/>
        <v>3.7852940000000004</v>
      </c>
      <c r="AO958" s="3" t="s">
        <v>93</v>
      </c>
      <c r="AP958" s="3">
        <v>5.9</v>
      </c>
      <c r="AQ958" s="3" t="s">
        <v>661</v>
      </c>
      <c r="AR958" s="4">
        <v>6.8</v>
      </c>
      <c r="AS958" s="4">
        <v>30.9</v>
      </c>
      <c r="AT958" s="4">
        <v>62.2</v>
      </c>
      <c r="AU958" s="3" t="s">
        <v>661</v>
      </c>
      <c r="AV958" s="16">
        <f t="shared" si="502"/>
        <v>99.9</v>
      </c>
      <c r="AW958" s="7">
        <v>0.6</v>
      </c>
      <c r="AX958" s="1">
        <f t="shared" si="523"/>
        <v>6.0000000000000001E-3</v>
      </c>
      <c r="AY958" s="1" t="s">
        <v>511</v>
      </c>
      <c r="AZ958" s="1">
        <f t="shared" si="524"/>
        <v>100</v>
      </c>
      <c r="BA958" s="1" t="s">
        <v>55</v>
      </c>
      <c r="BB958" s="1">
        <v>5</v>
      </c>
      <c r="BC958" s="1">
        <v>500</v>
      </c>
      <c r="BD958" s="26">
        <f t="shared" si="525"/>
        <v>9.6</v>
      </c>
      <c r="BE958" s="16">
        <f t="shared" si="503"/>
        <v>1600</v>
      </c>
      <c r="BF958" s="16">
        <f t="shared" si="504"/>
        <v>3.2041199826559246</v>
      </c>
      <c r="BG958" s="8">
        <f t="shared" si="505"/>
        <v>0.98227123303956843</v>
      </c>
      <c r="BH958" s="13" t="s">
        <v>782</v>
      </c>
      <c r="BI958" s="8">
        <v>9.6</v>
      </c>
      <c r="BJ958" s="13" t="s">
        <v>349</v>
      </c>
      <c r="BK958" s="15">
        <v>1</v>
      </c>
      <c r="BL958" s="16">
        <f t="shared" si="526"/>
        <v>9.6</v>
      </c>
      <c r="BM958" s="18">
        <f>'PFAS Properties'!$U$46</f>
        <v>10.39</v>
      </c>
      <c r="BN958" s="8">
        <f t="shared" si="527"/>
        <v>99.744</v>
      </c>
      <c r="BO958" s="24">
        <f t="shared" si="528"/>
        <v>9.6</v>
      </c>
      <c r="BP958" s="11"/>
      <c r="BQ958" s="11"/>
    </row>
    <row r="959" spans="1:69" x14ac:dyDescent="0.3">
      <c r="A959" s="20">
        <v>957</v>
      </c>
      <c r="B959" s="2" t="s">
        <v>189</v>
      </c>
      <c r="C959" s="2">
        <v>2021</v>
      </c>
      <c r="D959" s="2" t="s">
        <v>510</v>
      </c>
      <c r="E959" s="41" t="s">
        <v>804</v>
      </c>
      <c r="F959" s="20" t="s">
        <v>29</v>
      </c>
      <c r="G959" s="2" t="s">
        <v>447</v>
      </c>
      <c r="H959" s="2" t="str">
        <f>'PFAS Properties'!$B$46</f>
        <v>PFOS</v>
      </c>
      <c r="I959" s="2" t="str">
        <f>'PFAS Properties'!$C$46</f>
        <v>PFSA</v>
      </c>
      <c r="J959" s="2" t="str">
        <f>'PFAS Properties'!$D$46</f>
        <v>C8HF17O3S</v>
      </c>
      <c r="K959" s="25">
        <f>'PFAS Properties'!$P$46</f>
        <v>499.93739999999997</v>
      </c>
      <c r="L959" s="2">
        <f>'PFAS Properties'!$X$46</f>
        <v>0.1</v>
      </c>
      <c r="M959" s="2" t="str">
        <f>'PFAS Properties'!$Y$46</f>
        <v>-</v>
      </c>
      <c r="N959" s="33">
        <v>0</v>
      </c>
      <c r="O959" s="33">
        <v>0</v>
      </c>
      <c r="P959" s="33">
        <v>0</v>
      </c>
      <c r="Q959" s="33">
        <f t="shared" si="517"/>
        <v>0.99999998825102454</v>
      </c>
      <c r="R959" s="33">
        <v>0</v>
      </c>
      <c r="S959" s="33">
        <f t="shared" si="518"/>
        <v>1.1748975411356843E-8</v>
      </c>
      <c r="T959" s="8">
        <f t="shared" si="496"/>
        <v>1</v>
      </c>
      <c r="U959" s="33">
        <f t="shared" si="497"/>
        <v>0</v>
      </c>
      <c r="V959" s="33">
        <f t="shared" si="498"/>
        <v>-0.99999998825102454</v>
      </c>
      <c r="W959" s="33">
        <f t="shared" si="499"/>
        <v>498.93740001174893</v>
      </c>
      <c r="X959" s="33">
        <v>96485</v>
      </c>
      <c r="Y959" s="16">
        <f t="shared" si="500"/>
        <v>-193.38097096775681</v>
      </c>
      <c r="Z959" s="16">
        <v>8</v>
      </c>
      <c r="AA959" s="16">
        <v>17</v>
      </c>
      <c r="AB959" s="8">
        <f t="shared" si="501"/>
        <v>0.29721362229102166</v>
      </c>
      <c r="AC959" s="16">
        <f t="shared" si="506"/>
        <v>64.60808893273439</v>
      </c>
      <c r="AD959" s="20">
        <f>'PFAS Properties'!$W$46</f>
        <v>8</v>
      </c>
      <c r="AE959" s="8">
        <f>'PFAS Properties'!$S$46</f>
        <v>2.0166155475571776</v>
      </c>
      <c r="AF959" s="15">
        <f>'PFAS Properties'!$V$46</f>
        <v>5</v>
      </c>
      <c r="AG959" s="26">
        <v>8.0299999999999994</v>
      </c>
      <c r="AH959" s="1" t="s">
        <v>190</v>
      </c>
      <c r="AI959" s="39">
        <f t="shared" si="519"/>
        <v>36.857699999999994</v>
      </c>
      <c r="AJ959" s="1">
        <v>660</v>
      </c>
      <c r="AK959" s="8">
        <f t="shared" si="520"/>
        <v>3.6857699999999993</v>
      </c>
      <c r="AL959" s="39">
        <f t="shared" si="521"/>
        <v>38.824220000000004</v>
      </c>
      <c r="AM959" s="1">
        <v>1439</v>
      </c>
      <c r="AN959" s="8">
        <f t="shared" si="522"/>
        <v>3.8824220000000005</v>
      </c>
      <c r="AO959" s="3" t="s">
        <v>93</v>
      </c>
      <c r="AP959" s="3">
        <v>20</v>
      </c>
      <c r="AQ959" s="3" t="s">
        <v>661</v>
      </c>
      <c r="AR959" s="4">
        <v>44.4</v>
      </c>
      <c r="AS959" s="4">
        <v>41.1</v>
      </c>
      <c r="AT959" s="4">
        <v>14.6</v>
      </c>
      <c r="AU959" s="3" t="s">
        <v>661</v>
      </c>
      <c r="AV959" s="16">
        <f t="shared" si="502"/>
        <v>100.1</v>
      </c>
      <c r="AW959" s="7">
        <v>3.4</v>
      </c>
      <c r="AX959" s="1">
        <f t="shared" si="523"/>
        <v>3.4000000000000002E-2</v>
      </c>
      <c r="AY959" s="1" t="s">
        <v>511</v>
      </c>
      <c r="AZ959" s="1">
        <f t="shared" si="524"/>
        <v>100</v>
      </c>
      <c r="BA959" s="1" t="s">
        <v>55</v>
      </c>
      <c r="BB959" s="1">
        <v>5</v>
      </c>
      <c r="BC959" s="1">
        <v>500</v>
      </c>
      <c r="BD959" s="26">
        <f t="shared" si="525"/>
        <v>37.700000000000003</v>
      </c>
      <c r="BE959" s="16">
        <f t="shared" si="503"/>
        <v>1108.8235294117646</v>
      </c>
      <c r="BF959" s="16">
        <f t="shared" si="504"/>
        <v>3.0448624331635377</v>
      </c>
      <c r="BG959" s="8">
        <f t="shared" si="505"/>
        <v>1.5763413502057928</v>
      </c>
      <c r="BH959" s="13" t="s">
        <v>782</v>
      </c>
      <c r="BI959" s="8">
        <v>37.700000000000003</v>
      </c>
      <c r="BJ959" s="13" t="s">
        <v>349</v>
      </c>
      <c r="BK959" s="15">
        <v>1</v>
      </c>
      <c r="BL959" s="16">
        <f t="shared" si="526"/>
        <v>37.700000000000003</v>
      </c>
      <c r="BM959" s="18">
        <f>'PFAS Properties'!$U$46</f>
        <v>10.39</v>
      </c>
      <c r="BN959" s="8">
        <f t="shared" si="527"/>
        <v>391.70300000000003</v>
      </c>
      <c r="BO959" s="24">
        <f t="shared" si="528"/>
        <v>37.700000000000003</v>
      </c>
      <c r="BP959" s="11"/>
      <c r="BQ959" s="11"/>
    </row>
    <row r="960" spans="1:69" x14ac:dyDescent="0.3">
      <c r="A960" s="20">
        <v>958</v>
      </c>
      <c r="B960" s="2" t="s">
        <v>189</v>
      </c>
      <c r="C960" s="2">
        <v>2021</v>
      </c>
      <c r="D960" s="2" t="s">
        <v>510</v>
      </c>
      <c r="E960" s="41" t="s">
        <v>804</v>
      </c>
      <c r="F960" s="20" t="s">
        <v>29</v>
      </c>
      <c r="G960" s="2" t="s">
        <v>448</v>
      </c>
      <c r="H960" s="2" t="str">
        <f>'PFAS Properties'!$B$46</f>
        <v>PFOS</v>
      </c>
      <c r="I960" s="2" t="str">
        <f>'PFAS Properties'!$C$46</f>
        <v>PFSA</v>
      </c>
      <c r="J960" s="2" t="str">
        <f>'PFAS Properties'!$D$46</f>
        <v>C8HF17O3S</v>
      </c>
      <c r="K960" s="25">
        <f>'PFAS Properties'!$P$46</f>
        <v>499.93739999999997</v>
      </c>
      <c r="L960" s="2">
        <f>'PFAS Properties'!$X$46</f>
        <v>0.1</v>
      </c>
      <c r="M960" s="2" t="str">
        <f>'PFAS Properties'!$Y$46</f>
        <v>-</v>
      </c>
      <c r="N960" s="33">
        <v>0</v>
      </c>
      <c r="O960" s="33">
        <v>0</v>
      </c>
      <c r="P960" s="33">
        <v>0</v>
      </c>
      <c r="Q960" s="33">
        <f t="shared" si="517"/>
        <v>0.99999999129036421</v>
      </c>
      <c r="R960" s="33">
        <v>0</v>
      </c>
      <c r="S960" s="33">
        <f t="shared" si="518"/>
        <v>8.7096358237030387E-9</v>
      </c>
      <c r="T960" s="8">
        <f t="shared" si="496"/>
        <v>1</v>
      </c>
      <c r="U960" s="33">
        <f t="shared" si="497"/>
        <v>0</v>
      </c>
      <c r="V960" s="33">
        <f t="shared" si="498"/>
        <v>-0.99999999129036421</v>
      </c>
      <c r="W960" s="33">
        <f t="shared" si="499"/>
        <v>498.93740000870963</v>
      </c>
      <c r="X960" s="33">
        <v>96485</v>
      </c>
      <c r="Y960" s="16">
        <f t="shared" si="500"/>
        <v>-193.3809715566853</v>
      </c>
      <c r="Z960" s="16">
        <v>8</v>
      </c>
      <c r="AA960" s="16">
        <v>17</v>
      </c>
      <c r="AB960" s="8">
        <f t="shared" si="501"/>
        <v>0.29721362229102166</v>
      </c>
      <c r="AC960" s="16">
        <f t="shared" si="506"/>
        <v>64.60808893273439</v>
      </c>
      <c r="AD960" s="20">
        <f>'PFAS Properties'!$W$46</f>
        <v>8</v>
      </c>
      <c r="AE960" s="8">
        <f>'PFAS Properties'!$S$46</f>
        <v>2.0166155475571776</v>
      </c>
      <c r="AF960" s="15">
        <f>'PFAS Properties'!$V$46</f>
        <v>5</v>
      </c>
      <c r="AG960" s="26">
        <v>8.16</v>
      </c>
      <c r="AH960" s="1" t="s">
        <v>190</v>
      </c>
      <c r="AI960" s="39">
        <f t="shared" si="519"/>
        <v>7.5949200000000001</v>
      </c>
      <c r="AJ960" s="1">
        <v>136</v>
      </c>
      <c r="AK960" s="8">
        <f t="shared" si="520"/>
        <v>0.75949200000000006</v>
      </c>
      <c r="AL960" s="39">
        <f t="shared" si="521"/>
        <v>1.1871200000000002</v>
      </c>
      <c r="AM960" s="1">
        <v>44</v>
      </c>
      <c r="AN960" s="8">
        <f t="shared" si="522"/>
        <v>0.11871200000000001</v>
      </c>
      <c r="AO960" s="3" t="s">
        <v>93</v>
      </c>
      <c r="AP960" s="3">
        <v>11.4</v>
      </c>
      <c r="AQ960" s="3" t="s">
        <v>661</v>
      </c>
      <c r="AR960" s="4">
        <v>52.7</v>
      </c>
      <c r="AS960" s="4">
        <v>28.3</v>
      </c>
      <c r="AT960" s="4">
        <v>19</v>
      </c>
      <c r="AU960" s="3" t="s">
        <v>661</v>
      </c>
      <c r="AV960" s="16">
        <f t="shared" si="502"/>
        <v>100</v>
      </c>
      <c r="AW960" s="7">
        <v>2.1</v>
      </c>
      <c r="AX960" s="1">
        <f t="shared" si="523"/>
        <v>2.1000000000000001E-2</v>
      </c>
      <c r="AY960" s="1" t="s">
        <v>511</v>
      </c>
      <c r="AZ960" s="1">
        <f t="shared" si="524"/>
        <v>100</v>
      </c>
      <c r="BA960" s="1" t="s">
        <v>55</v>
      </c>
      <c r="BB960" s="1">
        <v>5</v>
      </c>
      <c r="BC960" s="1">
        <v>500</v>
      </c>
      <c r="BD960" s="26">
        <f t="shared" si="525"/>
        <v>22.710167739790624</v>
      </c>
      <c r="BE960" s="16">
        <f t="shared" si="503"/>
        <v>1081.4365590376487</v>
      </c>
      <c r="BF960" s="16">
        <f t="shared" si="504"/>
        <v>3.0340010472443555</v>
      </c>
      <c r="BG960" s="8">
        <f t="shared" si="505"/>
        <v>1.3562203419782746</v>
      </c>
      <c r="BH960" s="13" t="s">
        <v>782</v>
      </c>
      <c r="BI960" s="8">
        <v>28.7</v>
      </c>
      <c r="BJ960" s="13" t="s">
        <v>349</v>
      </c>
      <c r="BK960" s="15">
        <v>0.9</v>
      </c>
      <c r="BL960" s="16">
        <f t="shared" si="526"/>
        <v>28.7</v>
      </c>
      <c r="BM960" s="18">
        <f>'PFAS Properties'!$U$46</f>
        <v>10.39</v>
      </c>
      <c r="BN960" s="8">
        <f t="shared" si="527"/>
        <v>235.9586428164246</v>
      </c>
      <c r="BO960" s="24">
        <f t="shared" si="528"/>
        <v>22.710167739790624</v>
      </c>
      <c r="BP960" s="11"/>
      <c r="BQ960" s="11"/>
    </row>
    <row r="961" spans="1:69" x14ac:dyDescent="0.3">
      <c r="A961" s="20">
        <v>959</v>
      </c>
      <c r="B961" s="2" t="s">
        <v>189</v>
      </c>
      <c r="C961" s="2">
        <v>2021</v>
      </c>
      <c r="D961" s="2" t="s">
        <v>510</v>
      </c>
      <c r="E961" s="41" t="s">
        <v>804</v>
      </c>
      <c r="F961" s="20" t="s">
        <v>29</v>
      </c>
      <c r="G961" s="2" t="s">
        <v>449</v>
      </c>
      <c r="H961" s="2" t="str">
        <f>'PFAS Properties'!$B$46</f>
        <v>PFOS</v>
      </c>
      <c r="I961" s="2" t="str">
        <f>'PFAS Properties'!$C$46</f>
        <v>PFSA</v>
      </c>
      <c r="J961" s="2" t="str">
        <f>'PFAS Properties'!$D$46</f>
        <v>C8HF17O3S</v>
      </c>
      <c r="K961" s="25">
        <f>'PFAS Properties'!$P$46</f>
        <v>499.93739999999997</v>
      </c>
      <c r="L961" s="2">
        <f>'PFAS Properties'!$X$46</f>
        <v>0.1</v>
      </c>
      <c r="M961" s="2" t="str">
        <f>'PFAS Properties'!$Y$46</f>
        <v>-</v>
      </c>
      <c r="N961" s="33">
        <v>0</v>
      </c>
      <c r="O961" s="33">
        <v>0</v>
      </c>
      <c r="P961" s="33">
        <v>0</v>
      </c>
      <c r="Q961" s="33">
        <f t="shared" si="517"/>
        <v>0.99999742961082416</v>
      </c>
      <c r="R961" s="33">
        <v>0</v>
      </c>
      <c r="S961" s="33">
        <f t="shared" si="518"/>
        <v>2.5703891758513573E-6</v>
      </c>
      <c r="T961" s="8">
        <f t="shared" si="496"/>
        <v>1</v>
      </c>
      <c r="U961" s="33">
        <f t="shared" si="497"/>
        <v>0</v>
      </c>
      <c r="V961" s="33">
        <f t="shared" si="498"/>
        <v>-0.99999742961082416</v>
      </c>
      <c r="W961" s="33">
        <f t="shared" si="499"/>
        <v>498.93740257038911</v>
      </c>
      <c r="X961" s="33">
        <v>96485</v>
      </c>
      <c r="Y961" s="16">
        <f t="shared" si="500"/>
        <v>-193.38047518373509</v>
      </c>
      <c r="Z961" s="16">
        <v>8</v>
      </c>
      <c r="AA961" s="16">
        <v>17</v>
      </c>
      <c r="AB961" s="8">
        <f t="shared" si="501"/>
        <v>0.29721362229102166</v>
      </c>
      <c r="AC961" s="16">
        <f t="shared" si="506"/>
        <v>64.60808893273439</v>
      </c>
      <c r="AD961" s="20">
        <f>'PFAS Properties'!$W$46</f>
        <v>8</v>
      </c>
      <c r="AE961" s="8">
        <f>'PFAS Properties'!$S$46</f>
        <v>2.0166155475571776</v>
      </c>
      <c r="AF961" s="15">
        <f>'PFAS Properties'!$V$46</f>
        <v>5</v>
      </c>
      <c r="AG961" s="26">
        <v>5.69</v>
      </c>
      <c r="AH961" s="1" t="s">
        <v>190</v>
      </c>
      <c r="AI961" s="39">
        <f t="shared" si="519"/>
        <v>37.471995</v>
      </c>
      <c r="AJ961" s="1">
        <v>671</v>
      </c>
      <c r="AK961" s="8">
        <f t="shared" si="520"/>
        <v>3.7471994999999998</v>
      </c>
      <c r="AL961" s="39">
        <f t="shared" si="521"/>
        <v>2.6710199999999999</v>
      </c>
      <c r="AM961" s="1">
        <v>99</v>
      </c>
      <c r="AN961" s="8">
        <f t="shared" si="522"/>
        <v>0.26710200000000001</v>
      </c>
      <c r="AO961" s="3" t="s">
        <v>93</v>
      </c>
      <c r="AP961" s="3">
        <v>4.5</v>
      </c>
      <c r="AQ961" s="3" t="s">
        <v>661</v>
      </c>
      <c r="AR961" s="164">
        <v>40.16225</v>
      </c>
      <c r="AS961" s="164">
        <v>39.543750000000003</v>
      </c>
      <c r="AT961" s="4">
        <v>20</v>
      </c>
      <c r="AU961" s="70" t="s">
        <v>752</v>
      </c>
      <c r="AV961" s="16">
        <f t="shared" si="502"/>
        <v>99.706000000000003</v>
      </c>
      <c r="AW961" s="7">
        <v>0.3</v>
      </c>
      <c r="AX961" s="1">
        <f t="shared" si="523"/>
        <v>3.0000000000000001E-3</v>
      </c>
      <c r="AY961" s="1" t="s">
        <v>511</v>
      </c>
      <c r="AZ961" s="1">
        <f t="shared" si="524"/>
        <v>100</v>
      </c>
      <c r="BA961" s="1" t="s">
        <v>55</v>
      </c>
      <c r="BB961" s="1">
        <v>5</v>
      </c>
      <c r="BC961" s="1">
        <v>500</v>
      </c>
      <c r="BD961" s="26">
        <f t="shared" si="525"/>
        <v>17.406910101846648</v>
      </c>
      <c r="BE961" s="16">
        <f t="shared" si="503"/>
        <v>5802.3033672822157</v>
      </c>
      <c r="BF961" s="16">
        <f t="shared" si="504"/>
        <v>3.7636004316869784</v>
      </c>
      <c r="BG961" s="8">
        <f t="shared" si="505"/>
        <v>1.2407216864066408</v>
      </c>
      <c r="BH961" s="13" t="s">
        <v>782</v>
      </c>
      <c r="BI961" s="8">
        <v>27.8</v>
      </c>
      <c r="BJ961" s="13" t="s">
        <v>349</v>
      </c>
      <c r="BK961" s="15">
        <v>0.8</v>
      </c>
      <c r="BL961" s="16">
        <f t="shared" si="526"/>
        <v>27.8</v>
      </c>
      <c r="BM961" s="18">
        <f>'PFAS Properties'!$U$46</f>
        <v>10.39</v>
      </c>
      <c r="BN961" s="8">
        <f t="shared" si="527"/>
        <v>180.85779595818667</v>
      </c>
      <c r="BO961" s="24">
        <f t="shared" si="528"/>
        <v>17.406910101846648</v>
      </c>
      <c r="BP961" s="11"/>
      <c r="BQ961" s="11"/>
    </row>
    <row r="962" spans="1:69" x14ac:dyDescent="0.3">
      <c r="A962" s="20">
        <v>960</v>
      </c>
      <c r="B962" s="2" t="s">
        <v>189</v>
      </c>
      <c r="C962" s="2">
        <v>2021</v>
      </c>
      <c r="D962" s="2" t="s">
        <v>510</v>
      </c>
      <c r="E962" s="41" t="s">
        <v>804</v>
      </c>
      <c r="F962" s="20" t="s">
        <v>29</v>
      </c>
      <c r="G962" s="2" t="s">
        <v>450</v>
      </c>
      <c r="H962" s="2" t="str">
        <f>'PFAS Properties'!$B$46</f>
        <v>PFOS</v>
      </c>
      <c r="I962" s="2" t="str">
        <f>'PFAS Properties'!$C$46</f>
        <v>PFSA</v>
      </c>
      <c r="J962" s="2" t="str">
        <f>'PFAS Properties'!$D$46</f>
        <v>C8HF17O3S</v>
      </c>
      <c r="K962" s="25">
        <f>'PFAS Properties'!$P$46</f>
        <v>499.93739999999997</v>
      </c>
      <c r="L962" s="2">
        <f>'PFAS Properties'!$X$46</f>
        <v>0.1</v>
      </c>
      <c r="M962" s="2" t="str">
        <f>'PFAS Properties'!$Y$46</f>
        <v>-</v>
      </c>
      <c r="N962" s="33">
        <v>0</v>
      </c>
      <c r="O962" s="33">
        <v>0</v>
      </c>
      <c r="P962" s="33">
        <v>0</v>
      </c>
      <c r="Q962" s="33">
        <f t="shared" si="517"/>
        <v>0.99999941115669133</v>
      </c>
      <c r="R962" s="33">
        <v>0</v>
      </c>
      <c r="S962" s="33">
        <f t="shared" si="518"/>
        <v>5.8884330861894112E-7</v>
      </c>
      <c r="T962" s="8">
        <f t="shared" ref="T962:T1025" si="529">SUM(N962:S962)</f>
        <v>1</v>
      </c>
      <c r="U962" s="33">
        <f t="shared" ref="U962:U1025" si="530">((1*N962)+(1*O962)+(1*P962))</f>
        <v>0</v>
      </c>
      <c r="V962" s="33">
        <f t="shared" ref="V962:V1025" si="531">-((1*O962)+(2*P962)+(1*Q962)+(2*R962))</f>
        <v>-0.99999941115669133</v>
      </c>
      <c r="W962" s="33">
        <f t="shared" ref="W962:W1025" si="532">(N962*(K962+1))+(O962*K962)+(P962*(K962-1))+(Q962*(K962-1))+(R962*(K962-2))+(S962*K962)</f>
        <v>498.93740058884322</v>
      </c>
      <c r="X962" s="33">
        <v>96485</v>
      </c>
      <c r="Y962" s="16">
        <f t="shared" ref="Y962:Y1025" si="533">((V962+U962)/W962)*X962</f>
        <v>-193.38085914501971</v>
      </c>
      <c r="Z962" s="16">
        <v>8</v>
      </c>
      <c r="AA962" s="16">
        <v>17</v>
      </c>
      <c r="AB962" s="8">
        <f t="shared" ref="AB962:AB1025" si="534">(Z962/AA962)*(12/19)</f>
        <v>0.29721362229102166</v>
      </c>
      <c r="AC962" s="16">
        <f t="shared" si="506"/>
        <v>64.60808893273439</v>
      </c>
      <c r="AD962" s="20">
        <f>'PFAS Properties'!$W$46</f>
        <v>8</v>
      </c>
      <c r="AE962" s="8">
        <f>'PFAS Properties'!$S$46</f>
        <v>2.0166155475571776</v>
      </c>
      <c r="AF962" s="15">
        <f>'PFAS Properties'!$V$46</f>
        <v>5</v>
      </c>
      <c r="AG962" s="26">
        <v>6.33</v>
      </c>
      <c r="AH962" s="1" t="s">
        <v>190</v>
      </c>
      <c r="AI962" s="39">
        <f t="shared" si="519"/>
        <v>48.585149999999999</v>
      </c>
      <c r="AJ962" s="1">
        <v>870</v>
      </c>
      <c r="AK962" s="8">
        <f t="shared" si="520"/>
        <v>4.8585149999999997</v>
      </c>
      <c r="AL962" s="39">
        <f t="shared" si="521"/>
        <v>3.29156</v>
      </c>
      <c r="AM962" s="1">
        <v>122</v>
      </c>
      <c r="AN962" s="8">
        <f t="shared" si="522"/>
        <v>0.329156</v>
      </c>
      <c r="AO962" s="3" t="s">
        <v>93</v>
      </c>
      <c r="AP962" s="3">
        <v>46.8</v>
      </c>
      <c r="AQ962" s="3" t="s">
        <v>661</v>
      </c>
      <c r="AR962" s="4">
        <v>33.799999999999997</v>
      </c>
      <c r="AS962" s="4">
        <v>34.1</v>
      </c>
      <c r="AT962" s="4">
        <v>32</v>
      </c>
      <c r="AU962" s="3" t="s">
        <v>661</v>
      </c>
      <c r="AV962" s="16">
        <f t="shared" ref="AV962:AV1025" si="535">SUM(AR962:AT962)</f>
        <v>99.9</v>
      </c>
      <c r="AW962" s="7">
        <v>2.7</v>
      </c>
      <c r="AX962" s="1">
        <f t="shared" si="523"/>
        <v>2.7000000000000003E-2</v>
      </c>
      <c r="AY962" s="1" t="s">
        <v>511</v>
      </c>
      <c r="AZ962" s="1">
        <f t="shared" si="524"/>
        <v>100</v>
      </c>
      <c r="BA962" s="1" t="s">
        <v>55</v>
      </c>
      <c r="BB962" s="1">
        <v>5</v>
      </c>
      <c r="BC962" s="1">
        <v>500</v>
      </c>
      <c r="BD962" s="26">
        <f t="shared" si="525"/>
        <v>51.67156632084766</v>
      </c>
      <c r="BE962" s="16">
        <f t="shared" ref="BE962:BE1025" si="536">BD962/AX962</f>
        <v>1913.7617155869502</v>
      </c>
      <c r="BF962" s="16">
        <f t="shared" ref="BF962:BF1025" si="537">LOG(BE962)</f>
        <v>3.2818878623603687</v>
      </c>
      <c r="BG962" s="8">
        <f t="shared" ref="BG962:BG1025" si="538">LOG(BD962)</f>
        <v>1.7132516265193563</v>
      </c>
      <c r="BH962" s="13" t="s">
        <v>782</v>
      </c>
      <c r="BI962" s="8">
        <v>65.3</v>
      </c>
      <c r="BJ962" s="13" t="s">
        <v>349</v>
      </c>
      <c r="BK962" s="15">
        <v>0.9</v>
      </c>
      <c r="BL962" s="16">
        <f t="shared" si="526"/>
        <v>65.3</v>
      </c>
      <c r="BM962" s="18">
        <f>'PFAS Properties'!$U$46</f>
        <v>10.39</v>
      </c>
      <c r="BN962" s="8">
        <f t="shared" si="527"/>
        <v>536.86757407360722</v>
      </c>
      <c r="BO962" s="24">
        <f t="shared" si="528"/>
        <v>51.67156632084766</v>
      </c>
      <c r="BP962" s="11"/>
      <c r="BQ962" s="11"/>
    </row>
    <row r="963" spans="1:69" x14ac:dyDescent="0.3">
      <c r="A963" s="20">
        <v>961</v>
      </c>
      <c r="B963" s="2" t="s">
        <v>189</v>
      </c>
      <c r="C963" s="2">
        <v>2021</v>
      </c>
      <c r="D963" s="2" t="s">
        <v>510</v>
      </c>
      <c r="E963" s="41" t="s">
        <v>804</v>
      </c>
      <c r="F963" s="20" t="s">
        <v>29</v>
      </c>
      <c r="G963" s="2" t="s">
        <v>451</v>
      </c>
      <c r="H963" s="2" t="str">
        <f>'PFAS Properties'!$B$46</f>
        <v>PFOS</v>
      </c>
      <c r="I963" s="2" t="str">
        <f>'PFAS Properties'!$C$46</f>
        <v>PFSA</v>
      </c>
      <c r="J963" s="2" t="str">
        <f>'PFAS Properties'!$D$46</f>
        <v>C8HF17O3S</v>
      </c>
      <c r="K963" s="25">
        <f>'PFAS Properties'!$P$46</f>
        <v>499.93739999999997</v>
      </c>
      <c r="L963" s="2">
        <f>'PFAS Properties'!$X$46</f>
        <v>0.1</v>
      </c>
      <c r="M963" s="2" t="str">
        <f>'PFAS Properties'!$Y$46</f>
        <v>-</v>
      </c>
      <c r="N963" s="33">
        <v>0</v>
      </c>
      <c r="O963" s="33">
        <v>0</v>
      </c>
      <c r="P963" s="33">
        <v>0</v>
      </c>
      <c r="Q963" s="33">
        <f t="shared" si="517"/>
        <v>0.99998619634789743</v>
      </c>
      <c r="R963" s="33">
        <v>0</v>
      </c>
      <c r="S963" s="33">
        <f t="shared" si="518"/>
        <v>1.3803652102587262E-5</v>
      </c>
      <c r="T963" s="8">
        <f t="shared" si="529"/>
        <v>1</v>
      </c>
      <c r="U963" s="33">
        <f t="shared" si="530"/>
        <v>0</v>
      </c>
      <c r="V963" s="33">
        <f t="shared" si="531"/>
        <v>-0.99998619634789743</v>
      </c>
      <c r="W963" s="33">
        <f t="shared" si="532"/>
        <v>498.93741380365208</v>
      </c>
      <c r="X963" s="33">
        <v>96485</v>
      </c>
      <c r="Y963" s="16">
        <f t="shared" si="533"/>
        <v>-193.37829853063758</v>
      </c>
      <c r="Z963" s="16">
        <v>8</v>
      </c>
      <c r="AA963" s="16">
        <v>17</v>
      </c>
      <c r="AB963" s="8">
        <f t="shared" si="534"/>
        <v>0.29721362229102166</v>
      </c>
      <c r="AC963" s="16">
        <f t="shared" ref="AC963:AC1026" si="539">((AA963*19)/K963)*100</f>
        <v>64.60808893273439</v>
      </c>
      <c r="AD963" s="20">
        <f>'PFAS Properties'!$W$46</f>
        <v>8</v>
      </c>
      <c r="AE963" s="8">
        <f>'PFAS Properties'!$S$46</f>
        <v>2.0166155475571776</v>
      </c>
      <c r="AF963" s="15">
        <f>'PFAS Properties'!$V$46</f>
        <v>5</v>
      </c>
      <c r="AG963" s="26">
        <v>4.96</v>
      </c>
      <c r="AH963" s="1" t="s">
        <v>190</v>
      </c>
      <c r="AI963" s="39">
        <f t="shared" si="519"/>
        <v>24.013349999999999</v>
      </c>
      <c r="AJ963" s="1">
        <v>430</v>
      </c>
      <c r="AK963" s="8">
        <f t="shared" si="520"/>
        <v>2.401335</v>
      </c>
      <c r="AL963" s="39">
        <f t="shared" si="521"/>
        <v>3.5883400000000001</v>
      </c>
      <c r="AM963" s="1">
        <v>133</v>
      </c>
      <c r="AN963" s="8">
        <f t="shared" si="522"/>
        <v>0.35883399999999999</v>
      </c>
      <c r="AO963" s="3" t="s">
        <v>93</v>
      </c>
      <c r="AP963" s="3">
        <v>21.3</v>
      </c>
      <c r="AQ963" s="3" t="s">
        <v>661</v>
      </c>
      <c r="AR963" s="4">
        <v>40.5</v>
      </c>
      <c r="AS963" s="4">
        <v>32.4</v>
      </c>
      <c r="AT963" s="4">
        <v>27.1</v>
      </c>
      <c r="AU963" s="3" t="s">
        <v>661</v>
      </c>
      <c r="AV963" s="16">
        <f t="shared" si="535"/>
        <v>100</v>
      </c>
      <c r="AW963" s="7">
        <v>1.4</v>
      </c>
      <c r="AX963" s="1">
        <f t="shared" si="523"/>
        <v>1.3999999999999999E-2</v>
      </c>
      <c r="AY963" s="1" t="s">
        <v>511</v>
      </c>
      <c r="AZ963" s="1">
        <f t="shared" si="524"/>
        <v>100</v>
      </c>
      <c r="BA963" s="1" t="s">
        <v>55</v>
      </c>
      <c r="BB963" s="1">
        <v>5</v>
      </c>
      <c r="BC963" s="1">
        <v>500</v>
      </c>
      <c r="BD963" s="26">
        <f t="shared" si="525"/>
        <v>81.117453370296147</v>
      </c>
      <c r="BE963" s="16">
        <f t="shared" si="536"/>
        <v>5794.1038121640113</v>
      </c>
      <c r="BF963" s="16">
        <f t="shared" si="537"/>
        <v>3.7629862721321703</v>
      </c>
      <c r="BG963" s="8">
        <f t="shared" si="538"/>
        <v>1.909114307810408</v>
      </c>
      <c r="BH963" s="13" t="s">
        <v>782</v>
      </c>
      <c r="BI963" s="8">
        <v>129.55000000000001</v>
      </c>
      <c r="BJ963" s="13" t="s">
        <v>349</v>
      </c>
      <c r="BK963" s="15">
        <v>0.8</v>
      </c>
      <c r="BL963" s="16">
        <f t="shared" si="526"/>
        <v>129.55000000000001</v>
      </c>
      <c r="BM963" s="18">
        <f>'PFAS Properties'!$U$46</f>
        <v>10.39</v>
      </c>
      <c r="BN963" s="8">
        <f t="shared" si="527"/>
        <v>842.81034051737709</v>
      </c>
      <c r="BO963" s="24">
        <f t="shared" si="528"/>
        <v>81.117453370296147</v>
      </c>
      <c r="BP963" s="11"/>
      <c r="BQ963" s="11"/>
    </row>
    <row r="964" spans="1:69" x14ac:dyDescent="0.3">
      <c r="A964" s="20">
        <v>962</v>
      </c>
      <c r="B964" s="2" t="s">
        <v>189</v>
      </c>
      <c r="C964" s="2">
        <v>2021</v>
      </c>
      <c r="D964" s="2" t="s">
        <v>510</v>
      </c>
      <c r="E964" s="41" t="s">
        <v>804</v>
      </c>
      <c r="F964" s="20" t="s">
        <v>29</v>
      </c>
      <c r="G964" s="2" t="s">
        <v>452</v>
      </c>
      <c r="H964" s="2" t="str">
        <f>'PFAS Properties'!$B$46</f>
        <v>PFOS</v>
      </c>
      <c r="I964" s="2" t="str">
        <f>'PFAS Properties'!$C$46</f>
        <v>PFSA</v>
      </c>
      <c r="J964" s="2" t="str">
        <f>'PFAS Properties'!$D$46</f>
        <v>C8HF17O3S</v>
      </c>
      <c r="K964" s="25">
        <f>'PFAS Properties'!$P$46</f>
        <v>499.93739999999997</v>
      </c>
      <c r="L964" s="2">
        <f>'PFAS Properties'!$X$46</f>
        <v>0.1</v>
      </c>
      <c r="M964" s="2" t="str">
        <f>'PFAS Properties'!$Y$46</f>
        <v>-</v>
      </c>
      <c r="N964" s="33">
        <v>0</v>
      </c>
      <c r="O964" s="33">
        <v>0</v>
      </c>
      <c r="P964" s="33">
        <v>0</v>
      </c>
      <c r="Q964" s="33">
        <f t="shared" si="517"/>
        <v>0.99990450986063539</v>
      </c>
      <c r="R964" s="33">
        <v>0</v>
      </c>
      <c r="S964" s="33">
        <f t="shared" si="518"/>
        <v>9.5490139364630224E-5</v>
      </c>
      <c r="T964" s="8">
        <f t="shared" si="529"/>
        <v>1</v>
      </c>
      <c r="U964" s="33">
        <f t="shared" si="530"/>
        <v>0</v>
      </c>
      <c r="V964" s="33">
        <f t="shared" si="531"/>
        <v>-0.99990450986063539</v>
      </c>
      <c r="W964" s="33">
        <f t="shared" si="532"/>
        <v>498.93749549013933</v>
      </c>
      <c r="X964" s="33">
        <v>96485</v>
      </c>
      <c r="Y964" s="16">
        <f t="shared" si="533"/>
        <v>-193.36247026118741</v>
      </c>
      <c r="Z964" s="16">
        <v>8</v>
      </c>
      <c r="AA964" s="16">
        <v>17</v>
      </c>
      <c r="AB964" s="8">
        <f t="shared" si="534"/>
        <v>0.29721362229102166</v>
      </c>
      <c r="AC964" s="16">
        <f t="shared" si="539"/>
        <v>64.60808893273439</v>
      </c>
      <c r="AD964" s="20">
        <f>'PFAS Properties'!$W$46</f>
        <v>8</v>
      </c>
      <c r="AE964" s="8">
        <f>'PFAS Properties'!$S$46</f>
        <v>2.0166155475571776</v>
      </c>
      <c r="AF964" s="15">
        <f>'PFAS Properties'!$V$46</f>
        <v>5</v>
      </c>
      <c r="AG964" s="26">
        <v>4.12</v>
      </c>
      <c r="AH964" s="1" t="s">
        <v>190</v>
      </c>
      <c r="AI964" s="39">
        <f t="shared" si="519"/>
        <v>89.016929999999988</v>
      </c>
      <c r="AJ964" s="1">
        <v>1594</v>
      </c>
      <c r="AK964" s="8">
        <f t="shared" si="520"/>
        <v>8.9016929999999981</v>
      </c>
      <c r="AL964" s="39">
        <f t="shared" si="521"/>
        <v>10.49522</v>
      </c>
      <c r="AM964" s="1">
        <v>389</v>
      </c>
      <c r="AN964" s="8">
        <f t="shared" si="522"/>
        <v>1.0495220000000001</v>
      </c>
      <c r="AO964" s="3" t="s">
        <v>93</v>
      </c>
      <c r="AP964" s="3">
        <v>26.9</v>
      </c>
      <c r="AQ964" s="3" t="s">
        <v>661</v>
      </c>
      <c r="AR964" s="4">
        <v>58.8</v>
      </c>
      <c r="AS964" s="4">
        <v>20.5</v>
      </c>
      <c r="AT964" s="4">
        <v>20.8</v>
      </c>
      <c r="AU964" s="3" t="s">
        <v>661</v>
      </c>
      <c r="AV964" s="16">
        <f t="shared" si="535"/>
        <v>100.1</v>
      </c>
      <c r="AW964" s="7">
        <v>1.9</v>
      </c>
      <c r="AX964" s="1">
        <f t="shared" si="523"/>
        <v>1.9E-2</v>
      </c>
      <c r="AY964" s="1" t="s">
        <v>511</v>
      </c>
      <c r="AZ964" s="1">
        <f t="shared" si="524"/>
        <v>100</v>
      </c>
      <c r="BA964" s="1" t="s">
        <v>55</v>
      </c>
      <c r="BB964" s="1">
        <v>5</v>
      </c>
      <c r="BC964" s="1">
        <v>500</v>
      </c>
      <c r="BD964" s="26">
        <f t="shared" si="525"/>
        <v>68.563189070223302</v>
      </c>
      <c r="BE964" s="16">
        <f t="shared" si="536"/>
        <v>3608.5888984328053</v>
      </c>
      <c r="BF964" s="16">
        <f t="shared" si="537"/>
        <v>3.5573374087118728</v>
      </c>
      <c r="BG964" s="8">
        <f t="shared" si="538"/>
        <v>1.8360910096647016</v>
      </c>
      <c r="BH964" s="13" t="s">
        <v>782</v>
      </c>
      <c r="BI964" s="8">
        <v>109.5</v>
      </c>
      <c r="BJ964" s="13" t="s">
        <v>349</v>
      </c>
      <c r="BK964" s="15">
        <v>0.8</v>
      </c>
      <c r="BL964" s="16">
        <f t="shared" si="526"/>
        <v>109.5</v>
      </c>
      <c r="BM964" s="18">
        <f>'PFAS Properties'!$U$46</f>
        <v>10.39</v>
      </c>
      <c r="BN964" s="8">
        <f t="shared" si="527"/>
        <v>712.37153443962018</v>
      </c>
      <c r="BO964" s="24">
        <f t="shared" si="528"/>
        <v>68.563189070223302</v>
      </c>
      <c r="BP964" s="11"/>
      <c r="BQ964" s="11"/>
    </row>
    <row r="965" spans="1:69" x14ac:dyDescent="0.3">
      <c r="A965" s="20">
        <v>963</v>
      </c>
      <c r="B965" s="2" t="s">
        <v>189</v>
      </c>
      <c r="C965" s="2">
        <v>2021</v>
      </c>
      <c r="D965" s="2" t="s">
        <v>510</v>
      </c>
      <c r="E965" s="41" t="s">
        <v>804</v>
      </c>
      <c r="F965" s="20" t="s">
        <v>29</v>
      </c>
      <c r="G965" s="2" t="s">
        <v>453</v>
      </c>
      <c r="H965" s="2" t="str">
        <f>'PFAS Properties'!$B$46</f>
        <v>PFOS</v>
      </c>
      <c r="I965" s="2" t="str">
        <f>'PFAS Properties'!$C$46</f>
        <v>PFSA</v>
      </c>
      <c r="J965" s="2" t="str">
        <f>'PFAS Properties'!$D$46</f>
        <v>C8HF17O3S</v>
      </c>
      <c r="K965" s="25">
        <f>'PFAS Properties'!$P$46</f>
        <v>499.93739999999997</v>
      </c>
      <c r="L965" s="2">
        <f>'PFAS Properties'!$X$46</f>
        <v>0.1</v>
      </c>
      <c r="M965" s="2" t="str">
        <f>'PFAS Properties'!$Y$46</f>
        <v>-</v>
      </c>
      <c r="N965" s="33">
        <v>0</v>
      </c>
      <c r="O965" s="33">
        <v>0</v>
      </c>
      <c r="P965" s="33">
        <v>0</v>
      </c>
      <c r="Q965" s="33">
        <f t="shared" si="517"/>
        <v>0.9999991682369207</v>
      </c>
      <c r="R965" s="33">
        <v>0</v>
      </c>
      <c r="S965" s="33">
        <f t="shared" si="518"/>
        <v>8.3176307927227358E-7</v>
      </c>
      <c r="T965" s="8">
        <f t="shared" si="529"/>
        <v>1</v>
      </c>
      <c r="U965" s="33">
        <f t="shared" si="530"/>
        <v>0</v>
      </c>
      <c r="V965" s="33">
        <f t="shared" si="531"/>
        <v>-0.9999991682369207</v>
      </c>
      <c r="W965" s="33">
        <f t="shared" si="532"/>
        <v>498.937400831763</v>
      </c>
      <c r="X965" s="33">
        <v>96485</v>
      </c>
      <c r="Y965" s="16">
        <f t="shared" si="533"/>
        <v>-193.38081207480596</v>
      </c>
      <c r="Z965" s="16">
        <v>8</v>
      </c>
      <c r="AA965" s="16">
        <v>17</v>
      </c>
      <c r="AB965" s="8">
        <f t="shared" si="534"/>
        <v>0.29721362229102166</v>
      </c>
      <c r="AC965" s="16">
        <f t="shared" si="539"/>
        <v>64.60808893273439</v>
      </c>
      <c r="AD965" s="20">
        <f>'PFAS Properties'!$W$46</f>
        <v>8</v>
      </c>
      <c r="AE965" s="8">
        <f>'PFAS Properties'!$S$46</f>
        <v>2.0166155475571776</v>
      </c>
      <c r="AF965" s="15">
        <f>'PFAS Properties'!$V$46</f>
        <v>5</v>
      </c>
      <c r="AG965" s="26">
        <v>6.18</v>
      </c>
      <c r="AH965" s="1" t="s">
        <v>190</v>
      </c>
      <c r="AI965" s="39">
        <f t="shared" si="519"/>
        <v>13.011884999999999</v>
      </c>
      <c r="AJ965" s="1">
        <v>233</v>
      </c>
      <c r="AK965" s="8">
        <f t="shared" si="520"/>
        <v>1.3011884999999999</v>
      </c>
      <c r="AL965" s="39">
        <f t="shared" si="521"/>
        <v>2.4012200000000004</v>
      </c>
      <c r="AM965" s="1">
        <v>89</v>
      </c>
      <c r="AN965" s="8">
        <f t="shared" si="522"/>
        <v>0.24012200000000003</v>
      </c>
      <c r="AO965" s="3" t="s">
        <v>93</v>
      </c>
      <c r="AP965" s="3">
        <v>33.6</v>
      </c>
      <c r="AQ965" s="3" t="s">
        <v>661</v>
      </c>
      <c r="AR965" s="4">
        <v>46.6</v>
      </c>
      <c r="AS965" s="4">
        <v>34.9</v>
      </c>
      <c r="AT965" s="4">
        <v>15.8</v>
      </c>
      <c r="AU965" s="3" t="s">
        <v>661</v>
      </c>
      <c r="AV965" s="16">
        <f t="shared" si="535"/>
        <v>97.3</v>
      </c>
      <c r="AW965" s="7">
        <v>2.6</v>
      </c>
      <c r="AX965" s="1">
        <f t="shared" si="523"/>
        <v>2.6000000000000002E-2</v>
      </c>
      <c r="AY965" s="1" t="s">
        <v>511</v>
      </c>
      <c r="AZ965" s="1">
        <f t="shared" si="524"/>
        <v>100</v>
      </c>
      <c r="BA965" s="1" t="s">
        <v>55</v>
      </c>
      <c r="BB965" s="1">
        <v>5</v>
      </c>
      <c r="BC965" s="1">
        <v>500</v>
      </c>
      <c r="BD965" s="26">
        <f t="shared" si="525"/>
        <v>57.210631623235614</v>
      </c>
      <c r="BE965" s="16">
        <f t="shared" si="536"/>
        <v>2200.408908585985</v>
      </c>
      <c r="BF965" s="16">
        <f t="shared" si="537"/>
        <v>3.3425033945679949</v>
      </c>
      <c r="BG965" s="8">
        <f t="shared" si="538"/>
        <v>1.7574767425388131</v>
      </c>
      <c r="BH965" s="13" t="s">
        <v>782</v>
      </c>
      <c r="BI965" s="8">
        <v>72.3</v>
      </c>
      <c r="BJ965" s="13" t="s">
        <v>349</v>
      </c>
      <c r="BK965" s="15">
        <v>0.9</v>
      </c>
      <c r="BL965" s="16">
        <f t="shared" si="526"/>
        <v>72.3</v>
      </c>
      <c r="BM965" s="18">
        <f>'PFAS Properties'!$U$46</f>
        <v>10.39</v>
      </c>
      <c r="BN965" s="8">
        <f t="shared" si="527"/>
        <v>594.41846256541805</v>
      </c>
      <c r="BO965" s="24">
        <f t="shared" si="528"/>
        <v>57.210631623235614</v>
      </c>
      <c r="BP965" s="11"/>
      <c r="BQ965" s="11"/>
    </row>
    <row r="966" spans="1:69" x14ac:dyDescent="0.3">
      <c r="A966" s="20">
        <v>964</v>
      </c>
      <c r="B966" s="2" t="s">
        <v>189</v>
      </c>
      <c r="C966" s="2">
        <v>2021</v>
      </c>
      <c r="D966" s="2" t="s">
        <v>510</v>
      </c>
      <c r="E966" s="41" t="s">
        <v>804</v>
      </c>
      <c r="F966" s="20" t="s">
        <v>29</v>
      </c>
      <c r="G966" s="2" t="s">
        <v>454</v>
      </c>
      <c r="H966" s="2" t="str">
        <f>'PFAS Properties'!$B$46</f>
        <v>PFOS</v>
      </c>
      <c r="I966" s="2" t="str">
        <f>'PFAS Properties'!$C$46</f>
        <v>PFSA</v>
      </c>
      <c r="J966" s="2" t="str">
        <f>'PFAS Properties'!$D$46</f>
        <v>C8HF17O3S</v>
      </c>
      <c r="K966" s="25">
        <f>'PFAS Properties'!$P$46</f>
        <v>499.93739999999997</v>
      </c>
      <c r="L966" s="2">
        <f>'PFAS Properties'!$X$46</f>
        <v>0.1</v>
      </c>
      <c r="M966" s="2" t="str">
        <f>'PFAS Properties'!$Y$46</f>
        <v>-</v>
      </c>
      <c r="N966" s="33">
        <v>0</v>
      </c>
      <c r="O966" s="33">
        <v>0</v>
      </c>
      <c r="P966" s="33">
        <v>0</v>
      </c>
      <c r="Q966" s="33">
        <f t="shared" si="517"/>
        <v>0.99974302647408986</v>
      </c>
      <c r="R966" s="33">
        <v>0</v>
      </c>
      <c r="S966" s="33">
        <f t="shared" si="518"/>
        <v>2.5697352591015778E-4</v>
      </c>
      <c r="T966" s="8">
        <f t="shared" si="529"/>
        <v>1</v>
      </c>
      <c r="U966" s="33">
        <f t="shared" si="530"/>
        <v>0</v>
      </c>
      <c r="V966" s="33">
        <f t="shared" si="531"/>
        <v>-0.99974302647408986</v>
      </c>
      <c r="W966" s="33">
        <f t="shared" si="532"/>
        <v>498.93765697352586</v>
      </c>
      <c r="X966" s="33">
        <v>96485</v>
      </c>
      <c r="Y966" s="16">
        <f t="shared" si="533"/>
        <v>-193.3311798801966</v>
      </c>
      <c r="Z966" s="16">
        <v>8</v>
      </c>
      <c r="AA966" s="16">
        <v>17</v>
      </c>
      <c r="AB966" s="8">
        <f t="shared" si="534"/>
        <v>0.29721362229102166</v>
      </c>
      <c r="AC966" s="16">
        <f t="shared" si="539"/>
        <v>64.60808893273439</v>
      </c>
      <c r="AD966" s="20">
        <f>'PFAS Properties'!$W$46</f>
        <v>8</v>
      </c>
      <c r="AE966" s="8">
        <f>'PFAS Properties'!$S$46</f>
        <v>2.0166155475571776</v>
      </c>
      <c r="AF966" s="15">
        <f>'PFAS Properties'!$V$46</f>
        <v>5</v>
      </c>
      <c r="AG966" s="26">
        <v>3.69</v>
      </c>
      <c r="AH966" s="1" t="s">
        <v>190</v>
      </c>
      <c r="AI966" s="39">
        <f t="shared" si="519"/>
        <v>49.199444999999997</v>
      </c>
      <c r="AJ966" s="1">
        <v>881</v>
      </c>
      <c r="AK966" s="8">
        <f t="shared" si="520"/>
        <v>4.9199444999999997</v>
      </c>
      <c r="AL966" s="39">
        <f t="shared" si="521"/>
        <v>5.98956</v>
      </c>
      <c r="AM966" s="1">
        <v>222</v>
      </c>
      <c r="AN966" s="8">
        <f t="shared" si="522"/>
        <v>0.59895600000000004</v>
      </c>
      <c r="AO966" s="3" t="s">
        <v>93</v>
      </c>
      <c r="AP966" s="3">
        <v>24</v>
      </c>
      <c r="AQ966" s="3" t="s">
        <v>661</v>
      </c>
      <c r="AR966" s="4">
        <v>41.9</v>
      </c>
      <c r="AS966" s="4">
        <v>56.4</v>
      </c>
      <c r="AT966" s="4">
        <v>1.7</v>
      </c>
      <c r="AU966" s="3" t="s">
        <v>661</v>
      </c>
      <c r="AV966" s="16">
        <f t="shared" si="535"/>
        <v>100</v>
      </c>
      <c r="AW966" s="7">
        <v>5.4</v>
      </c>
      <c r="AX966" s="1">
        <f t="shared" si="523"/>
        <v>5.4000000000000006E-2</v>
      </c>
      <c r="AY966" s="1" t="s">
        <v>511</v>
      </c>
      <c r="AZ966" s="1">
        <f t="shared" si="524"/>
        <v>100</v>
      </c>
      <c r="BA966" s="1" t="s">
        <v>55</v>
      </c>
      <c r="BB966" s="1">
        <v>5</v>
      </c>
      <c r="BC966" s="1">
        <v>500</v>
      </c>
      <c r="BD966" s="26">
        <f t="shared" si="525"/>
        <v>140.85051768929378</v>
      </c>
      <c r="BE966" s="16">
        <f t="shared" si="536"/>
        <v>2608.3429201721069</v>
      </c>
      <c r="BF966" s="16">
        <f t="shared" si="537"/>
        <v>3.4163646877302076</v>
      </c>
      <c r="BG966" s="8">
        <f t="shared" si="538"/>
        <v>2.1487584475531762</v>
      </c>
      <c r="BH966" s="13" t="s">
        <v>782</v>
      </c>
      <c r="BI966" s="8">
        <v>178</v>
      </c>
      <c r="BJ966" s="13" t="s">
        <v>349</v>
      </c>
      <c r="BK966" s="15">
        <v>0.9</v>
      </c>
      <c r="BL966" s="16">
        <f t="shared" si="526"/>
        <v>178</v>
      </c>
      <c r="BM966" s="18">
        <f>'PFAS Properties'!$U$46</f>
        <v>10.39</v>
      </c>
      <c r="BN966" s="8">
        <f t="shared" si="527"/>
        <v>1463.4368787917624</v>
      </c>
      <c r="BO966" s="24">
        <f t="shared" si="528"/>
        <v>140.85051768929378</v>
      </c>
      <c r="BP966" s="11"/>
      <c r="BQ966" s="11"/>
    </row>
    <row r="967" spans="1:69" x14ac:dyDescent="0.3">
      <c r="A967" s="20">
        <v>965</v>
      </c>
      <c r="B967" s="2" t="s">
        <v>189</v>
      </c>
      <c r="C967" s="2">
        <v>2021</v>
      </c>
      <c r="D967" s="2" t="s">
        <v>510</v>
      </c>
      <c r="E967" s="41" t="s">
        <v>804</v>
      </c>
      <c r="F967" s="20" t="s">
        <v>29</v>
      </c>
      <c r="G967" s="2" t="s">
        <v>455</v>
      </c>
      <c r="H967" s="2" t="str">
        <f>'PFAS Properties'!$B$46</f>
        <v>PFOS</v>
      </c>
      <c r="I967" s="2" t="str">
        <f>'PFAS Properties'!$C$46</f>
        <v>PFSA</v>
      </c>
      <c r="J967" s="2" t="str">
        <f>'PFAS Properties'!$D$46</f>
        <v>C8HF17O3S</v>
      </c>
      <c r="K967" s="25">
        <f>'PFAS Properties'!$P$46</f>
        <v>499.93739999999997</v>
      </c>
      <c r="L967" s="2">
        <f>'PFAS Properties'!$X$46</f>
        <v>0.1</v>
      </c>
      <c r="M967" s="2" t="str">
        <f>'PFAS Properties'!$Y$46</f>
        <v>-</v>
      </c>
      <c r="N967" s="33">
        <v>0</v>
      </c>
      <c r="O967" s="33">
        <v>0</v>
      </c>
      <c r="P967" s="33">
        <v>0</v>
      </c>
      <c r="Q967" s="33">
        <f t="shared" si="517"/>
        <v>0.99999924142300045</v>
      </c>
      <c r="R967" s="33">
        <v>0</v>
      </c>
      <c r="S967" s="33">
        <f t="shared" si="518"/>
        <v>7.5857699958968139E-7</v>
      </c>
      <c r="T967" s="8">
        <f t="shared" si="529"/>
        <v>1</v>
      </c>
      <c r="U967" s="33">
        <f t="shared" si="530"/>
        <v>0</v>
      </c>
      <c r="V967" s="33">
        <f t="shared" si="531"/>
        <v>-0.99999924142300045</v>
      </c>
      <c r="W967" s="33">
        <f t="shared" si="532"/>
        <v>498.93740075857698</v>
      </c>
      <c r="X967" s="33">
        <v>96485</v>
      </c>
      <c r="Y967" s="16">
        <f t="shared" si="533"/>
        <v>-193.38082625596707</v>
      </c>
      <c r="Z967" s="16">
        <v>8</v>
      </c>
      <c r="AA967" s="16">
        <v>17</v>
      </c>
      <c r="AB967" s="8">
        <f t="shared" si="534"/>
        <v>0.29721362229102166</v>
      </c>
      <c r="AC967" s="16">
        <f t="shared" si="539"/>
        <v>64.60808893273439</v>
      </c>
      <c r="AD967" s="20">
        <f>'PFAS Properties'!$W$46</f>
        <v>8</v>
      </c>
      <c r="AE967" s="8">
        <f>'PFAS Properties'!$S$46</f>
        <v>2.0166155475571776</v>
      </c>
      <c r="AF967" s="15">
        <f>'PFAS Properties'!$V$46</f>
        <v>5</v>
      </c>
      <c r="AG967" s="26">
        <v>6.22</v>
      </c>
      <c r="AH967" s="1" t="s">
        <v>190</v>
      </c>
      <c r="AI967" s="39">
        <f t="shared" si="519"/>
        <v>312.22939500000001</v>
      </c>
      <c r="AJ967" s="1">
        <v>5591</v>
      </c>
      <c r="AK967" s="8">
        <f t="shared" si="520"/>
        <v>31.222939500000003</v>
      </c>
      <c r="AL967" s="39">
        <f t="shared" si="521"/>
        <v>3.5883400000000001</v>
      </c>
      <c r="AM967" s="1">
        <v>133</v>
      </c>
      <c r="AN967" s="8">
        <f t="shared" si="522"/>
        <v>0.35883399999999999</v>
      </c>
      <c r="AO967" s="3" t="s">
        <v>93</v>
      </c>
      <c r="AP967" s="3">
        <v>28.3</v>
      </c>
      <c r="AQ967" s="3" t="s">
        <v>661</v>
      </c>
      <c r="AR967" s="4">
        <v>57.1</v>
      </c>
      <c r="AS967" s="4">
        <v>32.700000000000003</v>
      </c>
      <c r="AT967" s="4">
        <v>10.199999999999999</v>
      </c>
      <c r="AU967" s="3" t="s">
        <v>661</v>
      </c>
      <c r="AV967" s="16">
        <f t="shared" si="535"/>
        <v>100.00000000000001</v>
      </c>
      <c r="AW967" s="7">
        <v>2.8</v>
      </c>
      <c r="AX967" s="1">
        <f t="shared" si="523"/>
        <v>2.7999999999999997E-2</v>
      </c>
      <c r="AY967" s="1" t="s">
        <v>511</v>
      </c>
      <c r="AZ967" s="1">
        <f t="shared" si="524"/>
        <v>100</v>
      </c>
      <c r="BA967" s="1" t="s">
        <v>55</v>
      </c>
      <c r="BB967" s="1">
        <v>5</v>
      </c>
      <c r="BC967" s="1">
        <v>500</v>
      </c>
      <c r="BD967" s="26">
        <f t="shared" si="525"/>
        <v>47.952479617815747</v>
      </c>
      <c r="BE967" s="16">
        <f t="shared" si="536"/>
        <v>1712.5885577791339</v>
      </c>
      <c r="BF967" s="16">
        <f t="shared" si="537"/>
        <v>3.2336530380683493</v>
      </c>
      <c r="BG967" s="8">
        <f t="shared" si="538"/>
        <v>1.6808110694105685</v>
      </c>
      <c r="BH967" s="13" t="s">
        <v>782</v>
      </c>
      <c r="BI967" s="8">
        <v>60.6</v>
      </c>
      <c r="BJ967" s="13" t="s">
        <v>349</v>
      </c>
      <c r="BK967" s="15">
        <v>0.9</v>
      </c>
      <c r="BL967" s="16">
        <f t="shared" si="526"/>
        <v>60.6</v>
      </c>
      <c r="BM967" s="18">
        <f>'PFAS Properties'!$U$46</f>
        <v>10.39</v>
      </c>
      <c r="BN967" s="8">
        <f t="shared" si="527"/>
        <v>498.22626322910565</v>
      </c>
      <c r="BO967" s="24">
        <f t="shared" si="528"/>
        <v>47.952479617815747</v>
      </c>
      <c r="BP967" s="11"/>
      <c r="BQ967" s="11"/>
    </row>
    <row r="968" spans="1:69" x14ac:dyDescent="0.3">
      <c r="A968" s="20">
        <v>966</v>
      </c>
      <c r="B968" s="2" t="s">
        <v>189</v>
      </c>
      <c r="C968" s="2">
        <v>2021</v>
      </c>
      <c r="D968" s="2" t="s">
        <v>510</v>
      </c>
      <c r="E968" s="41" t="s">
        <v>804</v>
      </c>
      <c r="F968" s="20" t="s">
        <v>29</v>
      </c>
      <c r="G968" s="2" t="s">
        <v>456</v>
      </c>
      <c r="H968" s="2" t="str">
        <f>'PFAS Properties'!$B$46</f>
        <v>PFOS</v>
      </c>
      <c r="I968" s="2" t="str">
        <f>'PFAS Properties'!$C$46</f>
        <v>PFSA</v>
      </c>
      <c r="J968" s="2" t="str">
        <f>'PFAS Properties'!$D$46</f>
        <v>C8HF17O3S</v>
      </c>
      <c r="K968" s="25">
        <f>'PFAS Properties'!$P$46</f>
        <v>499.93739999999997</v>
      </c>
      <c r="L968" s="2">
        <f>'PFAS Properties'!$X$46</f>
        <v>0.1</v>
      </c>
      <c r="M968" s="2" t="str">
        <f>'PFAS Properties'!$Y$46</f>
        <v>-</v>
      </c>
      <c r="N968" s="33">
        <v>0</v>
      </c>
      <c r="O968" s="33">
        <v>0</v>
      </c>
      <c r="P968" s="33">
        <v>0</v>
      </c>
      <c r="Q968" s="33">
        <f t="shared" si="517"/>
        <v>0.99999992237529434</v>
      </c>
      <c r="R968" s="33">
        <v>0</v>
      </c>
      <c r="S968" s="33">
        <f t="shared" si="518"/>
        <v>7.7624705637273547E-8</v>
      </c>
      <c r="T968" s="8">
        <f t="shared" si="529"/>
        <v>1</v>
      </c>
      <c r="U968" s="33">
        <f t="shared" si="530"/>
        <v>0</v>
      </c>
      <c r="V968" s="33">
        <f t="shared" si="531"/>
        <v>-0.99999992237529434</v>
      </c>
      <c r="W968" s="33">
        <f t="shared" si="532"/>
        <v>498.93740007762466</v>
      </c>
      <c r="X968" s="33">
        <v>96485</v>
      </c>
      <c r="Y968" s="16">
        <f t="shared" si="533"/>
        <v>-193.38095820311156</v>
      </c>
      <c r="Z968" s="16">
        <v>8</v>
      </c>
      <c r="AA968" s="16">
        <v>17</v>
      </c>
      <c r="AB968" s="8">
        <f t="shared" si="534"/>
        <v>0.29721362229102166</v>
      </c>
      <c r="AC968" s="16">
        <f t="shared" si="539"/>
        <v>64.60808893273439</v>
      </c>
      <c r="AD968" s="20">
        <f>'PFAS Properties'!$W$46</f>
        <v>8</v>
      </c>
      <c r="AE968" s="8">
        <f>'PFAS Properties'!$S$46</f>
        <v>2.0166155475571776</v>
      </c>
      <c r="AF968" s="15">
        <f>'PFAS Properties'!$V$46</f>
        <v>5</v>
      </c>
      <c r="AG968" s="26">
        <v>7.21</v>
      </c>
      <c r="AH968" s="1" t="s">
        <v>190</v>
      </c>
      <c r="AI968" s="39">
        <f t="shared" si="519"/>
        <v>26.805599999999998</v>
      </c>
      <c r="AJ968" s="1">
        <v>480</v>
      </c>
      <c r="AK968" s="8">
        <f t="shared" si="520"/>
        <v>2.6805599999999998</v>
      </c>
      <c r="AL968" s="39">
        <f t="shared" si="521"/>
        <v>2.4012200000000004</v>
      </c>
      <c r="AM968" s="1">
        <v>89</v>
      </c>
      <c r="AN968" s="8">
        <f t="shared" si="522"/>
        <v>0.24012200000000003</v>
      </c>
      <c r="AO968" s="3" t="s">
        <v>93</v>
      </c>
      <c r="AP968" s="3">
        <v>49</v>
      </c>
      <c r="AQ968" s="3" t="s">
        <v>661</v>
      </c>
      <c r="AR968" s="4">
        <v>43.4</v>
      </c>
      <c r="AS968" s="4">
        <v>32.4</v>
      </c>
      <c r="AT968" s="4">
        <v>24.2</v>
      </c>
      <c r="AU968" s="3" t="s">
        <v>661</v>
      </c>
      <c r="AV968" s="16">
        <f t="shared" si="535"/>
        <v>100</v>
      </c>
      <c r="AW968" s="7">
        <v>3.1</v>
      </c>
      <c r="AX968" s="1">
        <f t="shared" si="523"/>
        <v>3.1E-2</v>
      </c>
      <c r="AY968" s="1" t="s">
        <v>511</v>
      </c>
      <c r="AZ968" s="1">
        <f t="shared" si="524"/>
        <v>100</v>
      </c>
      <c r="BA968" s="1" t="s">
        <v>55</v>
      </c>
      <c r="BB968" s="1">
        <v>5</v>
      </c>
      <c r="BC968" s="1">
        <v>500</v>
      </c>
      <c r="BD968" s="26">
        <f t="shared" si="525"/>
        <v>51.038530286289038</v>
      </c>
      <c r="BE968" s="16">
        <f t="shared" si="536"/>
        <v>1646.4042027835173</v>
      </c>
      <c r="BF968" s="16">
        <f t="shared" si="537"/>
        <v>3.2165364660452775</v>
      </c>
      <c r="BG968" s="8">
        <f t="shared" si="538"/>
        <v>1.7078981598795502</v>
      </c>
      <c r="BH968" s="13" t="s">
        <v>782</v>
      </c>
      <c r="BI968" s="8">
        <v>64.5</v>
      </c>
      <c r="BJ968" s="13" t="s">
        <v>349</v>
      </c>
      <c r="BK968" s="15">
        <v>0.9</v>
      </c>
      <c r="BL968" s="16">
        <f t="shared" si="526"/>
        <v>64.5</v>
      </c>
      <c r="BM968" s="18">
        <f>'PFAS Properties'!$U$46</f>
        <v>10.39</v>
      </c>
      <c r="BN968" s="8">
        <f t="shared" si="527"/>
        <v>530.29032967454316</v>
      </c>
      <c r="BO968" s="24">
        <f t="shared" si="528"/>
        <v>51.038530286289038</v>
      </c>
      <c r="BP968" s="11"/>
      <c r="BQ968" s="11"/>
    </row>
    <row r="969" spans="1:69" x14ac:dyDescent="0.3">
      <c r="A969" s="20">
        <v>967</v>
      </c>
      <c r="B969" s="2" t="s">
        <v>189</v>
      </c>
      <c r="C969" s="2">
        <v>2021</v>
      </c>
      <c r="D969" s="2" t="s">
        <v>510</v>
      </c>
      <c r="E969" s="41" t="s">
        <v>804</v>
      </c>
      <c r="F969" s="20" t="s">
        <v>29</v>
      </c>
      <c r="G969" s="2" t="s">
        <v>457</v>
      </c>
      <c r="H969" s="2" t="str">
        <f>'PFAS Properties'!$B$46</f>
        <v>PFOS</v>
      </c>
      <c r="I969" s="2" t="str">
        <f>'PFAS Properties'!$C$46</f>
        <v>PFSA</v>
      </c>
      <c r="J969" s="2" t="str">
        <f>'PFAS Properties'!$D$46</f>
        <v>C8HF17O3S</v>
      </c>
      <c r="K969" s="25">
        <f>'PFAS Properties'!$P$46</f>
        <v>499.93739999999997</v>
      </c>
      <c r="L969" s="2">
        <f>'PFAS Properties'!$X$46</f>
        <v>0.1</v>
      </c>
      <c r="M969" s="2" t="str">
        <f>'PFAS Properties'!$Y$46</f>
        <v>-</v>
      </c>
      <c r="N969" s="33">
        <v>0</v>
      </c>
      <c r="O969" s="33">
        <v>0</v>
      </c>
      <c r="P969" s="33">
        <v>0</v>
      </c>
      <c r="Q969" s="33">
        <f t="shared" si="517"/>
        <v>0.99999969800491917</v>
      </c>
      <c r="R969" s="33">
        <v>0</v>
      </c>
      <c r="S969" s="33">
        <f t="shared" si="518"/>
        <v>3.0199508083914471E-7</v>
      </c>
      <c r="T969" s="8">
        <f t="shared" si="529"/>
        <v>1</v>
      </c>
      <c r="U969" s="33">
        <f t="shared" si="530"/>
        <v>0</v>
      </c>
      <c r="V969" s="33">
        <f t="shared" si="531"/>
        <v>-0.99999969800491917</v>
      </c>
      <c r="W969" s="33">
        <f t="shared" si="532"/>
        <v>498.93740030199507</v>
      </c>
      <c r="X969" s="33">
        <v>96485</v>
      </c>
      <c r="Y969" s="16">
        <f t="shared" si="533"/>
        <v>-193.3809147271873</v>
      </c>
      <c r="Z969" s="16">
        <v>8</v>
      </c>
      <c r="AA969" s="16">
        <v>17</v>
      </c>
      <c r="AB969" s="8">
        <f t="shared" si="534"/>
        <v>0.29721362229102166</v>
      </c>
      <c r="AC969" s="16">
        <f t="shared" si="539"/>
        <v>64.60808893273439</v>
      </c>
      <c r="AD969" s="20">
        <f>'PFAS Properties'!$W$46</f>
        <v>8</v>
      </c>
      <c r="AE969" s="8">
        <f>'PFAS Properties'!$S$46</f>
        <v>2.0166155475571776</v>
      </c>
      <c r="AF969" s="15">
        <f>'PFAS Properties'!$V$46</f>
        <v>5</v>
      </c>
      <c r="AG969" s="26">
        <v>6.62</v>
      </c>
      <c r="AH969" s="1" t="s">
        <v>190</v>
      </c>
      <c r="AI969" s="39">
        <f t="shared" si="519"/>
        <v>36.801854999999996</v>
      </c>
      <c r="AJ969" s="1">
        <v>659</v>
      </c>
      <c r="AK969" s="8">
        <f t="shared" si="520"/>
        <v>3.6801854999999994</v>
      </c>
      <c r="AL969" s="39">
        <f t="shared" si="521"/>
        <v>4.2088799999999997</v>
      </c>
      <c r="AM969" s="1">
        <v>156</v>
      </c>
      <c r="AN969" s="8">
        <f t="shared" si="522"/>
        <v>0.42088799999999998</v>
      </c>
      <c r="AO969" s="3" t="s">
        <v>93</v>
      </c>
      <c r="AP969" s="3">
        <v>27.2</v>
      </c>
      <c r="AQ969" s="3" t="s">
        <v>661</v>
      </c>
      <c r="AR969" s="4">
        <v>52.8</v>
      </c>
      <c r="AS969" s="4">
        <v>34.299999999999997</v>
      </c>
      <c r="AT969" s="4">
        <v>12.9</v>
      </c>
      <c r="AU969" s="3" t="s">
        <v>661</v>
      </c>
      <c r="AV969" s="16">
        <f t="shared" si="535"/>
        <v>100</v>
      </c>
      <c r="AW969" s="7">
        <v>1.7</v>
      </c>
      <c r="AX969" s="1">
        <f t="shared" si="523"/>
        <v>1.7000000000000001E-2</v>
      </c>
      <c r="AY969" s="1" t="s">
        <v>511</v>
      </c>
      <c r="AZ969" s="1">
        <f t="shared" si="524"/>
        <v>100</v>
      </c>
      <c r="BA969" s="1" t="s">
        <v>55</v>
      </c>
      <c r="BB969" s="1">
        <v>5</v>
      </c>
      <c r="BC969" s="1">
        <v>500</v>
      </c>
      <c r="BD969" s="26">
        <f t="shared" si="525"/>
        <v>63.05308803078983</v>
      </c>
      <c r="BE969" s="16">
        <f t="shared" si="536"/>
        <v>3709.0051782817545</v>
      </c>
      <c r="BF969" s="16">
        <f t="shared" si="537"/>
        <v>3.5692574396639087</v>
      </c>
      <c r="BG969" s="8">
        <f t="shared" si="538"/>
        <v>1.7997063610421826</v>
      </c>
      <c r="BH969" s="13" t="s">
        <v>782</v>
      </c>
      <c r="BI969" s="8">
        <v>100.7</v>
      </c>
      <c r="BJ969" s="13" t="s">
        <v>349</v>
      </c>
      <c r="BK969" s="15">
        <v>0.8</v>
      </c>
      <c r="BL969" s="16">
        <f t="shared" si="526"/>
        <v>100.7</v>
      </c>
      <c r="BM969" s="18">
        <f>'PFAS Properties'!$U$46</f>
        <v>10.39</v>
      </c>
      <c r="BN969" s="8">
        <f t="shared" si="527"/>
        <v>655.12158463990636</v>
      </c>
      <c r="BO969" s="24">
        <f t="shared" si="528"/>
        <v>63.05308803078983</v>
      </c>
      <c r="BP969" s="11"/>
      <c r="BQ969" s="11"/>
    </row>
    <row r="970" spans="1:69" x14ac:dyDescent="0.3">
      <c r="A970" s="20">
        <v>968</v>
      </c>
      <c r="B970" s="2" t="s">
        <v>189</v>
      </c>
      <c r="C970" s="2">
        <v>2021</v>
      </c>
      <c r="D970" s="2" t="s">
        <v>510</v>
      </c>
      <c r="E970" s="41" t="s">
        <v>804</v>
      </c>
      <c r="F970" s="20" t="s">
        <v>29</v>
      </c>
      <c r="G970" s="2" t="s">
        <v>458</v>
      </c>
      <c r="H970" s="2" t="str">
        <f>'PFAS Properties'!$B$46</f>
        <v>PFOS</v>
      </c>
      <c r="I970" s="2" t="str">
        <f>'PFAS Properties'!$C$46</f>
        <v>PFSA</v>
      </c>
      <c r="J970" s="2" t="str">
        <f>'PFAS Properties'!$D$46</f>
        <v>C8HF17O3S</v>
      </c>
      <c r="K970" s="25">
        <f>'PFAS Properties'!$P$46</f>
        <v>499.93739999999997</v>
      </c>
      <c r="L970" s="2">
        <f>'PFAS Properties'!$X$46</f>
        <v>0.1</v>
      </c>
      <c r="M970" s="2" t="str">
        <f>'PFAS Properties'!$Y$46</f>
        <v>-</v>
      </c>
      <c r="N970" s="33">
        <v>0</v>
      </c>
      <c r="O970" s="33">
        <v>0</v>
      </c>
      <c r="P970" s="33">
        <v>0</v>
      </c>
      <c r="Q970" s="33">
        <f t="shared" si="517"/>
        <v>0.9999964518786969</v>
      </c>
      <c r="R970" s="33">
        <v>0</v>
      </c>
      <c r="S970" s="33">
        <f t="shared" si="518"/>
        <v>3.5481213031263005E-6</v>
      </c>
      <c r="T970" s="8">
        <f t="shared" si="529"/>
        <v>1</v>
      </c>
      <c r="U970" s="33">
        <f t="shared" si="530"/>
        <v>0</v>
      </c>
      <c r="V970" s="33">
        <f t="shared" si="531"/>
        <v>-0.9999964518786969</v>
      </c>
      <c r="W970" s="33">
        <f t="shared" si="532"/>
        <v>498.93740354812127</v>
      </c>
      <c r="X970" s="33">
        <v>96485</v>
      </c>
      <c r="Y970" s="16">
        <f t="shared" si="533"/>
        <v>-193.38028572999212</v>
      </c>
      <c r="Z970" s="16">
        <v>8</v>
      </c>
      <c r="AA970" s="16">
        <v>17</v>
      </c>
      <c r="AB970" s="8">
        <f t="shared" si="534"/>
        <v>0.29721362229102166</v>
      </c>
      <c r="AC970" s="16">
        <f t="shared" si="539"/>
        <v>64.60808893273439</v>
      </c>
      <c r="AD970" s="20">
        <f>'PFAS Properties'!$W$46</f>
        <v>8</v>
      </c>
      <c r="AE970" s="8">
        <f>'PFAS Properties'!$S$46</f>
        <v>2.0166155475571776</v>
      </c>
      <c r="AF970" s="15">
        <f>'PFAS Properties'!$V$46</f>
        <v>5</v>
      </c>
      <c r="AG970" s="26">
        <v>5.55</v>
      </c>
      <c r="AH970" s="1" t="s">
        <v>190</v>
      </c>
      <c r="AI970" s="39">
        <f t="shared" si="519"/>
        <v>76.786874999999995</v>
      </c>
      <c r="AJ970" s="1">
        <v>1375</v>
      </c>
      <c r="AK970" s="8">
        <f t="shared" si="520"/>
        <v>7.6786874999999997</v>
      </c>
      <c r="AL970" s="39">
        <f t="shared" si="521"/>
        <v>9.6048800000000014</v>
      </c>
      <c r="AM970" s="1">
        <v>356</v>
      </c>
      <c r="AN970" s="8">
        <f t="shared" si="522"/>
        <v>0.96048800000000012</v>
      </c>
      <c r="AO970" s="3" t="s">
        <v>93</v>
      </c>
      <c r="AP970" s="3">
        <v>17.3</v>
      </c>
      <c r="AQ970" s="3" t="s">
        <v>661</v>
      </c>
      <c r="AR970" s="4">
        <v>45.9</v>
      </c>
      <c r="AS970" s="4">
        <v>26.6</v>
      </c>
      <c r="AT970" s="4">
        <v>27.4</v>
      </c>
      <c r="AU970" s="3" t="s">
        <v>661</v>
      </c>
      <c r="AV970" s="16">
        <f t="shared" si="535"/>
        <v>99.9</v>
      </c>
      <c r="AW970" s="7">
        <v>1.8</v>
      </c>
      <c r="AX970" s="1">
        <f t="shared" si="523"/>
        <v>1.8000000000000002E-2</v>
      </c>
      <c r="AY970" s="1" t="s">
        <v>511</v>
      </c>
      <c r="AZ970" s="1">
        <f t="shared" si="524"/>
        <v>100</v>
      </c>
      <c r="BA970" s="1" t="s">
        <v>55</v>
      </c>
      <c r="BB970" s="1">
        <v>5</v>
      </c>
      <c r="BC970" s="1">
        <v>500</v>
      </c>
      <c r="BD970" s="26">
        <f t="shared" si="525"/>
        <v>42.139749994758247</v>
      </c>
      <c r="BE970" s="16">
        <f t="shared" si="536"/>
        <v>2341.0972219310133</v>
      </c>
      <c r="BF970" s="16">
        <f t="shared" si="537"/>
        <v>3.3694194496092353</v>
      </c>
      <c r="BG970" s="8">
        <f t="shared" si="538"/>
        <v>1.6246919547125414</v>
      </c>
      <c r="BH970" s="13" t="s">
        <v>782</v>
      </c>
      <c r="BI970" s="8">
        <v>67.3</v>
      </c>
      <c r="BJ970" s="13" t="s">
        <v>349</v>
      </c>
      <c r="BK970" s="15">
        <v>0.8</v>
      </c>
      <c r="BL970" s="16">
        <f t="shared" si="526"/>
        <v>67.3</v>
      </c>
      <c r="BM970" s="18">
        <f>'PFAS Properties'!$U$46</f>
        <v>10.39</v>
      </c>
      <c r="BN970" s="8">
        <f t="shared" si="527"/>
        <v>437.83200244553819</v>
      </c>
      <c r="BO970" s="24">
        <f t="shared" si="528"/>
        <v>42.139749994758247</v>
      </c>
      <c r="BP970" s="11"/>
      <c r="BQ970" s="11"/>
    </row>
    <row r="971" spans="1:69" x14ac:dyDescent="0.3">
      <c r="A971" s="20">
        <v>969</v>
      </c>
      <c r="B971" s="2" t="s">
        <v>189</v>
      </c>
      <c r="C971" s="2">
        <v>2021</v>
      </c>
      <c r="D971" s="2" t="s">
        <v>510</v>
      </c>
      <c r="E971" s="41" t="s">
        <v>804</v>
      </c>
      <c r="F971" s="20" t="s">
        <v>29</v>
      </c>
      <c r="G971" s="2" t="s">
        <v>459</v>
      </c>
      <c r="H971" s="2" t="str">
        <f>'PFAS Properties'!$B$46</f>
        <v>PFOS</v>
      </c>
      <c r="I971" s="2" t="str">
        <f>'PFAS Properties'!$C$46</f>
        <v>PFSA</v>
      </c>
      <c r="J971" s="2" t="str">
        <f>'PFAS Properties'!$D$46</f>
        <v>C8HF17O3S</v>
      </c>
      <c r="K971" s="25">
        <f>'PFAS Properties'!$P$46</f>
        <v>499.93739999999997</v>
      </c>
      <c r="L971" s="2">
        <f>'PFAS Properties'!$X$46</f>
        <v>0.1</v>
      </c>
      <c r="M971" s="2" t="str">
        <f>'PFAS Properties'!$Y$46</f>
        <v>-</v>
      </c>
      <c r="N971" s="33">
        <v>0</v>
      </c>
      <c r="O971" s="33">
        <v>0</v>
      </c>
      <c r="P971" s="33">
        <v>0</v>
      </c>
      <c r="Q971" s="33">
        <f t="shared" si="517"/>
        <v>0.99999965326326978</v>
      </c>
      <c r="R971" s="33">
        <v>0</v>
      </c>
      <c r="S971" s="33">
        <f t="shared" si="518"/>
        <v>3.4673673022612973E-7</v>
      </c>
      <c r="T971" s="8">
        <f t="shared" si="529"/>
        <v>1</v>
      </c>
      <c r="U971" s="33">
        <f t="shared" si="530"/>
        <v>0</v>
      </c>
      <c r="V971" s="33">
        <f t="shared" si="531"/>
        <v>-0.99999965326326978</v>
      </c>
      <c r="W971" s="33">
        <f t="shared" si="532"/>
        <v>498.93740034673669</v>
      </c>
      <c r="X971" s="33">
        <v>96485</v>
      </c>
      <c r="Y971" s="16">
        <f t="shared" si="533"/>
        <v>-193.3809060576624</v>
      </c>
      <c r="Z971" s="16">
        <v>8</v>
      </c>
      <c r="AA971" s="16">
        <v>17</v>
      </c>
      <c r="AB971" s="8">
        <f t="shared" si="534"/>
        <v>0.29721362229102166</v>
      </c>
      <c r="AC971" s="16">
        <f t="shared" si="539"/>
        <v>64.60808893273439</v>
      </c>
      <c r="AD971" s="20">
        <f>'PFAS Properties'!$W$46</f>
        <v>8</v>
      </c>
      <c r="AE971" s="8">
        <f>'PFAS Properties'!$S$46</f>
        <v>2.0166155475571776</v>
      </c>
      <c r="AF971" s="15">
        <f>'PFAS Properties'!$V$46</f>
        <v>5</v>
      </c>
      <c r="AG971" s="26">
        <v>6.56</v>
      </c>
      <c r="AH971" s="1" t="s">
        <v>190</v>
      </c>
      <c r="AI971" s="39">
        <f t="shared" si="519"/>
        <v>18.205470000000002</v>
      </c>
      <c r="AJ971" s="1">
        <v>326</v>
      </c>
      <c r="AK971" s="8">
        <f t="shared" si="520"/>
        <v>1.8205470000000001</v>
      </c>
      <c r="AL971" s="39">
        <f t="shared" si="521"/>
        <v>1.51088</v>
      </c>
      <c r="AM971" s="1">
        <v>56</v>
      </c>
      <c r="AN971" s="8">
        <f t="shared" si="522"/>
        <v>0.151088</v>
      </c>
      <c r="AO971" s="3" t="s">
        <v>93</v>
      </c>
      <c r="AP971" s="3">
        <v>41.8</v>
      </c>
      <c r="AQ971" s="3" t="s">
        <v>661</v>
      </c>
      <c r="AR971" s="4">
        <v>41.1</v>
      </c>
      <c r="AS971" s="4">
        <v>40.5</v>
      </c>
      <c r="AT971" s="4">
        <v>18.399999999999999</v>
      </c>
      <c r="AU971" s="3" t="s">
        <v>661</v>
      </c>
      <c r="AV971" s="16">
        <f t="shared" si="535"/>
        <v>100</v>
      </c>
      <c r="AW971" s="7">
        <v>1.6</v>
      </c>
      <c r="AX971" s="1">
        <f t="shared" si="523"/>
        <v>1.6E-2</v>
      </c>
      <c r="AY971" s="1" t="s">
        <v>511</v>
      </c>
      <c r="AZ971" s="1">
        <f t="shared" si="524"/>
        <v>100</v>
      </c>
      <c r="BA971" s="1" t="s">
        <v>55</v>
      </c>
      <c r="BB971" s="1">
        <v>5</v>
      </c>
      <c r="BC971" s="1">
        <v>500</v>
      </c>
      <c r="BD971" s="26">
        <f t="shared" si="525"/>
        <v>30.18032614780606</v>
      </c>
      <c r="BE971" s="16">
        <f t="shared" si="536"/>
        <v>1886.2703842378787</v>
      </c>
      <c r="BF971" s="16">
        <f t="shared" si="537"/>
        <v>3.2756039460714894</v>
      </c>
      <c r="BG971" s="8">
        <f t="shared" si="538"/>
        <v>1.4797239287274142</v>
      </c>
      <c r="BH971" s="13" t="s">
        <v>782</v>
      </c>
      <c r="BI971" s="8">
        <v>48.2</v>
      </c>
      <c r="BJ971" s="13" t="s">
        <v>349</v>
      </c>
      <c r="BK971" s="15">
        <v>0.8</v>
      </c>
      <c r="BL971" s="16">
        <f t="shared" si="526"/>
        <v>48.2</v>
      </c>
      <c r="BM971" s="18">
        <f>'PFAS Properties'!$U$46</f>
        <v>10.39</v>
      </c>
      <c r="BN971" s="8">
        <f t="shared" si="527"/>
        <v>313.57358867570497</v>
      </c>
      <c r="BO971" s="24">
        <f t="shared" si="528"/>
        <v>30.18032614780606</v>
      </c>
      <c r="BP971" s="11"/>
      <c r="BQ971" s="11"/>
    </row>
    <row r="972" spans="1:69" x14ac:dyDescent="0.3">
      <c r="A972" s="20">
        <v>970</v>
      </c>
      <c r="B972" s="2" t="s">
        <v>189</v>
      </c>
      <c r="C972" s="2">
        <v>2021</v>
      </c>
      <c r="D972" s="2" t="s">
        <v>510</v>
      </c>
      <c r="E972" s="41" t="s">
        <v>804</v>
      </c>
      <c r="F972" s="20" t="s">
        <v>29</v>
      </c>
      <c r="G972" s="2" t="s">
        <v>460</v>
      </c>
      <c r="H972" s="2" t="str">
        <f>'PFAS Properties'!$B$46</f>
        <v>PFOS</v>
      </c>
      <c r="I972" s="2" t="str">
        <f>'PFAS Properties'!$C$46</f>
        <v>PFSA</v>
      </c>
      <c r="J972" s="2" t="str">
        <f>'PFAS Properties'!$D$46</f>
        <v>C8HF17O3S</v>
      </c>
      <c r="K972" s="25">
        <f>'PFAS Properties'!$P$46</f>
        <v>499.93739999999997</v>
      </c>
      <c r="L972" s="2">
        <f>'PFAS Properties'!$X$46</f>
        <v>0.1</v>
      </c>
      <c r="M972" s="2" t="str">
        <f>'PFAS Properties'!$Y$46</f>
        <v>-</v>
      </c>
      <c r="N972" s="33">
        <v>0</v>
      </c>
      <c r="O972" s="33">
        <v>0</v>
      </c>
      <c r="P972" s="33">
        <v>0</v>
      </c>
      <c r="Q972" s="33">
        <f t="shared" si="517"/>
        <v>0.99994376902958082</v>
      </c>
      <c r="R972" s="33">
        <v>0</v>
      </c>
      <c r="S972" s="33">
        <f t="shared" si="518"/>
        <v>5.6230970419192664E-5</v>
      </c>
      <c r="T972" s="8">
        <f t="shared" si="529"/>
        <v>1</v>
      </c>
      <c r="U972" s="33">
        <f t="shared" si="530"/>
        <v>0</v>
      </c>
      <c r="V972" s="33">
        <f t="shared" si="531"/>
        <v>-0.99994376902958082</v>
      </c>
      <c r="W972" s="33">
        <f t="shared" si="532"/>
        <v>498.93745623097038</v>
      </c>
      <c r="X972" s="33">
        <v>96485</v>
      </c>
      <c r="Y972" s="16">
        <f t="shared" si="533"/>
        <v>-193.37007745146389</v>
      </c>
      <c r="Z972" s="16">
        <v>8</v>
      </c>
      <c r="AA972" s="16">
        <v>17</v>
      </c>
      <c r="AB972" s="8">
        <f t="shared" si="534"/>
        <v>0.29721362229102166</v>
      </c>
      <c r="AC972" s="16">
        <f t="shared" si="539"/>
        <v>64.60808893273439</v>
      </c>
      <c r="AD972" s="20">
        <f>'PFAS Properties'!$W$46</f>
        <v>8</v>
      </c>
      <c r="AE972" s="8">
        <f>'PFAS Properties'!$S$46</f>
        <v>2.0166155475571776</v>
      </c>
      <c r="AF972" s="15">
        <f>'PFAS Properties'!$V$46</f>
        <v>5</v>
      </c>
      <c r="AG972" s="26">
        <v>4.3499999999999996</v>
      </c>
      <c r="AH972" s="1" t="s">
        <v>190</v>
      </c>
      <c r="AI972" s="39">
        <f t="shared" ref="AI972:AI1003" si="540">(AJ972*55.845)/1000</f>
        <v>9.60534</v>
      </c>
      <c r="AJ972" s="1">
        <v>172</v>
      </c>
      <c r="AK972" s="8">
        <f t="shared" ref="AK972:AK1003" si="541">AI972/10</f>
        <v>0.960534</v>
      </c>
      <c r="AL972" s="39">
        <f t="shared" ref="AL972:AL1003" si="542">(AM972*26.98)/1000</f>
        <v>2.698</v>
      </c>
      <c r="AM972" s="1">
        <v>100</v>
      </c>
      <c r="AN972" s="8">
        <f t="shared" ref="AN972:AN1003" si="543">AL972/10</f>
        <v>0.26979999999999998</v>
      </c>
      <c r="AO972" s="3" t="s">
        <v>93</v>
      </c>
      <c r="AP972" s="3">
        <v>9.4</v>
      </c>
      <c r="AQ972" s="3" t="s">
        <v>661</v>
      </c>
      <c r="AR972" s="4">
        <v>47.4</v>
      </c>
      <c r="AS972" s="4">
        <v>44</v>
      </c>
      <c r="AT972" s="4">
        <v>8.6999999999999993</v>
      </c>
      <c r="AU972" s="3" t="s">
        <v>661</v>
      </c>
      <c r="AV972" s="16">
        <f t="shared" si="535"/>
        <v>100.10000000000001</v>
      </c>
      <c r="AW972" s="7">
        <v>1.3</v>
      </c>
      <c r="AX972" s="1">
        <f t="shared" ref="AX972:AX1003" si="544">AW972/100</f>
        <v>1.3000000000000001E-2</v>
      </c>
      <c r="AY972" s="1" t="s">
        <v>511</v>
      </c>
      <c r="AZ972" s="1">
        <f t="shared" ref="AZ972:AZ1003" si="545">2/0.02</f>
        <v>100</v>
      </c>
      <c r="BA972" s="1" t="s">
        <v>55</v>
      </c>
      <c r="BB972" s="1">
        <v>5</v>
      </c>
      <c r="BC972" s="1">
        <v>500</v>
      </c>
      <c r="BD972" s="26">
        <f t="shared" ref="BD972:BD982" si="546">BO972</f>
        <v>28.740186103408671</v>
      </c>
      <c r="BE972" s="16">
        <f t="shared" si="536"/>
        <v>2210.7835464160516</v>
      </c>
      <c r="BF972" s="16">
        <f t="shared" si="537"/>
        <v>3.3445462237189889</v>
      </c>
      <c r="BG972" s="8">
        <f t="shared" si="538"/>
        <v>1.4584895760258259</v>
      </c>
      <c r="BH972" s="13" t="s">
        <v>782</v>
      </c>
      <c r="BI972" s="8">
        <v>45.9</v>
      </c>
      <c r="BJ972" s="13" t="s">
        <v>349</v>
      </c>
      <c r="BK972" s="15">
        <v>0.8</v>
      </c>
      <c r="BL972" s="16">
        <f t="shared" ref="BL972:BL1003" si="547">BI972</f>
        <v>45.9</v>
      </c>
      <c r="BM972" s="18">
        <f>'PFAS Properties'!$U$46</f>
        <v>10.39</v>
      </c>
      <c r="BN972" s="8">
        <f t="shared" ref="BN972:BN1003" si="548">(BL972*(BM972^BK972))</f>
        <v>298.61053361441611</v>
      </c>
      <c r="BO972" s="24">
        <f t="shared" ref="BO972:BO1003" si="549">BN972/BM972</f>
        <v>28.740186103408671</v>
      </c>
      <c r="BP972" s="11"/>
      <c r="BQ972" s="11"/>
    </row>
    <row r="973" spans="1:69" x14ac:dyDescent="0.3">
      <c r="A973" s="20">
        <v>971</v>
      </c>
      <c r="B973" s="2" t="s">
        <v>189</v>
      </c>
      <c r="C973" s="2">
        <v>2021</v>
      </c>
      <c r="D973" s="2" t="s">
        <v>510</v>
      </c>
      <c r="E973" s="41" t="s">
        <v>804</v>
      </c>
      <c r="F973" s="20" t="s">
        <v>29</v>
      </c>
      <c r="G973" s="2" t="s">
        <v>461</v>
      </c>
      <c r="H973" s="2" t="str">
        <f>'PFAS Properties'!$B$46</f>
        <v>PFOS</v>
      </c>
      <c r="I973" s="2" t="str">
        <f>'PFAS Properties'!$C$46</f>
        <v>PFSA</v>
      </c>
      <c r="J973" s="2" t="str">
        <f>'PFAS Properties'!$D$46</f>
        <v>C8HF17O3S</v>
      </c>
      <c r="K973" s="25">
        <f>'PFAS Properties'!$P$46</f>
        <v>499.93739999999997</v>
      </c>
      <c r="L973" s="2">
        <f>'PFAS Properties'!$X$46</f>
        <v>0.1</v>
      </c>
      <c r="M973" s="2" t="str">
        <f>'PFAS Properties'!$Y$46</f>
        <v>-</v>
      </c>
      <c r="N973" s="33">
        <v>0</v>
      </c>
      <c r="O973" s="33">
        <v>0</v>
      </c>
      <c r="P973" s="33">
        <v>0</v>
      </c>
      <c r="Q973" s="33">
        <f t="shared" si="517"/>
        <v>0.99996688798429367</v>
      </c>
      <c r="R973" s="33">
        <v>0</v>
      </c>
      <c r="S973" s="33">
        <f t="shared" si="518"/>
        <v>3.3112015706369511E-5</v>
      </c>
      <c r="T973" s="8">
        <f t="shared" si="529"/>
        <v>1</v>
      </c>
      <c r="U973" s="33">
        <f t="shared" si="530"/>
        <v>0</v>
      </c>
      <c r="V973" s="33">
        <f t="shared" si="531"/>
        <v>-0.99996688798429367</v>
      </c>
      <c r="W973" s="33">
        <f t="shared" si="532"/>
        <v>498.9374331120157</v>
      </c>
      <c r="X973" s="33">
        <v>96485</v>
      </c>
      <c r="Y973" s="16">
        <f t="shared" si="533"/>
        <v>-193.37455717719939</v>
      </c>
      <c r="Z973" s="16">
        <v>8</v>
      </c>
      <c r="AA973" s="16">
        <v>17</v>
      </c>
      <c r="AB973" s="8">
        <f t="shared" si="534"/>
        <v>0.29721362229102166</v>
      </c>
      <c r="AC973" s="16">
        <f t="shared" si="539"/>
        <v>64.60808893273439</v>
      </c>
      <c r="AD973" s="20">
        <f>'PFAS Properties'!$W$46</f>
        <v>8</v>
      </c>
      <c r="AE973" s="8">
        <f>'PFAS Properties'!$S$46</f>
        <v>2.0166155475571776</v>
      </c>
      <c r="AF973" s="15">
        <f>'PFAS Properties'!$V$46</f>
        <v>5</v>
      </c>
      <c r="AG973" s="26">
        <v>4.58</v>
      </c>
      <c r="AH973" s="1" t="s">
        <v>190</v>
      </c>
      <c r="AI973" s="39">
        <f t="shared" si="540"/>
        <v>103.20156</v>
      </c>
      <c r="AJ973" s="1">
        <v>1848</v>
      </c>
      <c r="AK973" s="8">
        <f t="shared" si="541"/>
        <v>10.320156000000001</v>
      </c>
      <c r="AL973" s="39">
        <f t="shared" si="542"/>
        <v>15.891219999999999</v>
      </c>
      <c r="AM973" s="1">
        <v>589</v>
      </c>
      <c r="AN973" s="8">
        <f t="shared" si="543"/>
        <v>1.5891219999999999</v>
      </c>
      <c r="AO973" s="3" t="s">
        <v>93</v>
      </c>
      <c r="AP973" s="3">
        <v>26</v>
      </c>
      <c r="AQ973" s="3" t="s">
        <v>661</v>
      </c>
      <c r="AR973" s="4">
        <v>68.8</v>
      </c>
      <c r="AS973" s="4">
        <v>21</v>
      </c>
      <c r="AT973" s="4">
        <v>10.199999999999999</v>
      </c>
      <c r="AU973" s="3" t="s">
        <v>661</v>
      </c>
      <c r="AV973" s="16">
        <f t="shared" si="535"/>
        <v>100</v>
      </c>
      <c r="AW973" s="7">
        <v>1</v>
      </c>
      <c r="AX973" s="1">
        <f t="shared" si="544"/>
        <v>0.01</v>
      </c>
      <c r="AY973" s="1" t="s">
        <v>511</v>
      </c>
      <c r="AZ973" s="1">
        <f t="shared" si="545"/>
        <v>100</v>
      </c>
      <c r="BA973" s="1" t="s">
        <v>55</v>
      </c>
      <c r="BB973" s="1">
        <v>5</v>
      </c>
      <c r="BC973" s="1">
        <v>500</v>
      </c>
      <c r="BD973" s="26">
        <f t="shared" si="546"/>
        <v>55.163625178873723</v>
      </c>
      <c r="BE973" s="16">
        <f t="shared" si="536"/>
        <v>5516.3625178873717</v>
      </c>
      <c r="BF973" s="16">
        <f t="shared" si="537"/>
        <v>3.7416527989006125</v>
      </c>
      <c r="BG973" s="8">
        <f t="shared" si="538"/>
        <v>1.7416527989006123</v>
      </c>
      <c r="BH973" s="13" t="s">
        <v>782</v>
      </c>
      <c r="BI973" s="8">
        <v>88.1</v>
      </c>
      <c r="BJ973" s="13" t="s">
        <v>349</v>
      </c>
      <c r="BK973" s="15">
        <v>0.8</v>
      </c>
      <c r="BL973" s="16">
        <f t="shared" si="547"/>
        <v>88.1</v>
      </c>
      <c r="BM973" s="18">
        <f>'PFAS Properties'!$U$46</f>
        <v>10.39</v>
      </c>
      <c r="BN973" s="8">
        <f t="shared" si="548"/>
        <v>573.15006560849804</v>
      </c>
      <c r="BO973" s="24">
        <f t="shared" si="549"/>
        <v>55.163625178873723</v>
      </c>
      <c r="BP973" s="11"/>
      <c r="BQ973" s="11"/>
    </row>
    <row r="974" spans="1:69" x14ac:dyDescent="0.3">
      <c r="A974" s="20">
        <v>972</v>
      </c>
      <c r="B974" s="2" t="s">
        <v>189</v>
      </c>
      <c r="C974" s="2">
        <v>2021</v>
      </c>
      <c r="D974" s="2" t="s">
        <v>510</v>
      </c>
      <c r="E974" s="41" t="s">
        <v>804</v>
      </c>
      <c r="F974" s="20" t="s">
        <v>29</v>
      </c>
      <c r="G974" s="2" t="s">
        <v>462</v>
      </c>
      <c r="H974" s="2" t="str">
        <f>'PFAS Properties'!$B$46</f>
        <v>PFOS</v>
      </c>
      <c r="I974" s="2" t="str">
        <f>'PFAS Properties'!$C$46</f>
        <v>PFSA</v>
      </c>
      <c r="J974" s="2" t="str">
        <f>'PFAS Properties'!$D$46</f>
        <v>C8HF17O3S</v>
      </c>
      <c r="K974" s="25">
        <f>'PFAS Properties'!$P$46</f>
        <v>499.93739999999997</v>
      </c>
      <c r="L974" s="2">
        <f>'PFAS Properties'!$X$46</f>
        <v>0.1</v>
      </c>
      <c r="M974" s="2" t="str">
        <f>'PFAS Properties'!$Y$46</f>
        <v>-</v>
      </c>
      <c r="N974" s="33">
        <v>0</v>
      </c>
      <c r="O974" s="33">
        <v>0</v>
      </c>
      <c r="P974" s="33">
        <v>0</v>
      </c>
      <c r="Q974" s="33">
        <f t="shared" si="517"/>
        <v>0.99972465296653645</v>
      </c>
      <c r="R974" s="33">
        <v>0</v>
      </c>
      <c r="S974" s="33">
        <f t="shared" si="518"/>
        <v>2.7534703346352183E-4</v>
      </c>
      <c r="T974" s="8">
        <f t="shared" si="529"/>
        <v>1</v>
      </c>
      <c r="U974" s="33">
        <f t="shared" si="530"/>
        <v>0</v>
      </c>
      <c r="V974" s="33">
        <f t="shared" si="531"/>
        <v>-0.99972465296653645</v>
      </c>
      <c r="W974" s="33">
        <f t="shared" si="532"/>
        <v>498.93767534703346</v>
      </c>
      <c r="X974" s="33">
        <v>96485</v>
      </c>
      <c r="Y974" s="16">
        <f t="shared" si="533"/>
        <v>-193.32761967591466</v>
      </c>
      <c r="Z974" s="16">
        <v>8</v>
      </c>
      <c r="AA974" s="16">
        <v>17</v>
      </c>
      <c r="AB974" s="8">
        <f t="shared" si="534"/>
        <v>0.29721362229102166</v>
      </c>
      <c r="AC974" s="16">
        <f t="shared" si="539"/>
        <v>64.60808893273439</v>
      </c>
      <c r="AD974" s="20">
        <f>'PFAS Properties'!$W$46</f>
        <v>8</v>
      </c>
      <c r="AE974" s="8">
        <f>'PFAS Properties'!$S$46</f>
        <v>2.0166155475571776</v>
      </c>
      <c r="AF974" s="15">
        <f>'PFAS Properties'!$V$46</f>
        <v>5</v>
      </c>
      <c r="AG974" s="26">
        <v>3.66</v>
      </c>
      <c r="AH974" s="1" t="s">
        <v>190</v>
      </c>
      <c r="AI974" s="39">
        <f t="shared" si="540"/>
        <v>88.626014999999995</v>
      </c>
      <c r="AJ974" s="1">
        <v>1587</v>
      </c>
      <c r="AK974" s="8">
        <f t="shared" si="541"/>
        <v>8.8626015000000002</v>
      </c>
      <c r="AL974" s="39">
        <f t="shared" si="542"/>
        <v>5.3959999999999999</v>
      </c>
      <c r="AM974" s="1">
        <v>200</v>
      </c>
      <c r="AN974" s="8">
        <f t="shared" si="543"/>
        <v>0.53959999999999997</v>
      </c>
      <c r="AO974" s="3" t="s">
        <v>93</v>
      </c>
      <c r="AP974" s="3">
        <v>24.3</v>
      </c>
      <c r="AQ974" s="3" t="s">
        <v>661</v>
      </c>
      <c r="AR974" s="4">
        <v>41.2</v>
      </c>
      <c r="AS974" s="4">
        <v>56.7</v>
      </c>
      <c r="AT974" s="4">
        <v>2.2000000000000002</v>
      </c>
      <c r="AU974" s="3" t="s">
        <v>661</v>
      </c>
      <c r="AV974" s="16">
        <f t="shared" si="535"/>
        <v>100.10000000000001</v>
      </c>
      <c r="AW974" s="7">
        <v>3.9</v>
      </c>
      <c r="AX974" s="1">
        <f t="shared" si="544"/>
        <v>3.9E-2</v>
      </c>
      <c r="AY974" s="1" t="s">
        <v>511</v>
      </c>
      <c r="AZ974" s="1">
        <f t="shared" si="545"/>
        <v>100</v>
      </c>
      <c r="BA974" s="1" t="s">
        <v>55</v>
      </c>
      <c r="BB974" s="1">
        <v>5</v>
      </c>
      <c r="BC974" s="1">
        <v>500</v>
      </c>
      <c r="BD974" s="26">
        <f t="shared" si="546"/>
        <v>114.4034887820299</v>
      </c>
      <c r="BE974" s="16">
        <f t="shared" si="536"/>
        <v>2933.422789282818</v>
      </c>
      <c r="BF974" s="16">
        <f t="shared" si="537"/>
        <v>3.4673746616235239</v>
      </c>
      <c r="BG974" s="8">
        <f t="shared" si="538"/>
        <v>2.058439268650023</v>
      </c>
      <c r="BH974" s="13" t="s">
        <v>782</v>
      </c>
      <c r="BI974" s="8">
        <v>230.9</v>
      </c>
      <c r="BJ974" s="13" t="s">
        <v>349</v>
      </c>
      <c r="BK974" s="15">
        <v>0.7</v>
      </c>
      <c r="BL974" s="16">
        <f t="shared" si="547"/>
        <v>230.9</v>
      </c>
      <c r="BM974" s="18">
        <f>'PFAS Properties'!$U$46</f>
        <v>10.39</v>
      </c>
      <c r="BN974" s="8">
        <f t="shared" si="548"/>
        <v>1188.6522484452908</v>
      </c>
      <c r="BO974" s="24">
        <f t="shared" si="549"/>
        <v>114.4034887820299</v>
      </c>
      <c r="BP974" s="11"/>
      <c r="BQ974" s="11"/>
    </row>
    <row r="975" spans="1:69" x14ac:dyDescent="0.3">
      <c r="A975" s="20">
        <v>973</v>
      </c>
      <c r="B975" s="2" t="s">
        <v>189</v>
      </c>
      <c r="C975" s="2">
        <v>2021</v>
      </c>
      <c r="D975" s="2" t="s">
        <v>510</v>
      </c>
      <c r="E975" s="41" t="s">
        <v>804</v>
      </c>
      <c r="F975" s="20" t="s">
        <v>29</v>
      </c>
      <c r="G975" s="2" t="s">
        <v>463</v>
      </c>
      <c r="H975" s="2" t="str">
        <f>'PFAS Properties'!$B$46</f>
        <v>PFOS</v>
      </c>
      <c r="I975" s="2" t="str">
        <f>'PFAS Properties'!$C$46</f>
        <v>PFSA</v>
      </c>
      <c r="J975" s="2" t="str">
        <f>'PFAS Properties'!$D$46</f>
        <v>C8HF17O3S</v>
      </c>
      <c r="K975" s="25">
        <f>'PFAS Properties'!$P$46</f>
        <v>499.93739999999997</v>
      </c>
      <c r="L975" s="2">
        <f>'PFAS Properties'!$X$46</f>
        <v>0.1</v>
      </c>
      <c r="M975" s="2" t="str">
        <f>'PFAS Properties'!$Y$46</f>
        <v>-</v>
      </c>
      <c r="N975" s="33">
        <v>0</v>
      </c>
      <c r="O975" s="33">
        <v>0</v>
      </c>
      <c r="P975" s="33">
        <v>0</v>
      </c>
      <c r="Q975" s="33">
        <f t="shared" si="517"/>
        <v>0.99996764168140173</v>
      </c>
      <c r="R975" s="33">
        <v>0</v>
      </c>
      <c r="S975" s="33">
        <f t="shared" si="518"/>
        <v>3.2358318598298044E-5</v>
      </c>
      <c r="T975" s="8">
        <f t="shared" si="529"/>
        <v>1</v>
      </c>
      <c r="U975" s="33">
        <f t="shared" si="530"/>
        <v>0</v>
      </c>
      <c r="V975" s="33">
        <f t="shared" si="531"/>
        <v>-0.99996764168140173</v>
      </c>
      <c r="W975" s="33">
        <f t="shared" si="532"/>
        <v>498.93743235831857</v>
      </c>
      <c r="X975" s="33">
        <v>96485</v>
      </c>
      <c r="Y975" s="16">
        <f t="shared" si="533"/>
        <v>-193.37470321998268</v>
      </c>
      <c r="Z975" s="16">
        <v>8</v>
      </c>
      <c r="AA975" s="16">
        <v>17</v>
      </c>
      <c r="AB975" s="8">
        <f t="shared" si="534"/>
        <v>0.29721362229102166</v>
      </c>
      <c r="AC975" s="16">
        <f t="shared" si="539"/>
        <v>64.60808893273439</v>
      </c>
      <c r="AD975" s="20">
        <f>'PFAS Properties'!$W$46</f>
        <v>8</v>
      </c>
      <c r="AE975" s="8">
        <f>'PFAS Properties'!$S$46</f>
        <v>2.0166155475571776</v>
      </c>
      <c r="AF975" s="15">
        <f>'PFAS Properties'!$V$46</f>
        <v>5</v>
      </c>
      <c r="AG975" s="26">
        <v>4.59</v>
      </c>
      <c r="AH975" s="1" t="s">
        <v>190</v>
      </c>
      <c r="AI975" s="39">
        <f t="shared" si="540"/>
        <v>80.584334999999996</v>
      </c>
      <c r="AJ975" s="1">
        <v>1443</v>
      </c>
      <c r="AK975" s="8">
        <f t="shared" si="541"/>
        <v>8.0584334999999996</v>
      </c>
      <c r="AL975" s="39">
        <f t="shared" si="542"/>
        <v>5.3959999999999999</v>
      </c>
      <c r="AM975" s="1">
        <v>200</v>
      </c>
      <c r="AN975" s="8">
        <f t="shared" si="543"/>
        <v>0.53959999999999997</v>
      </c>
      <c r="AO975" s="3" t="s">
        <v>93</v>
      </c>
      <c r="AP975" s="3">
        <v>19.399999999999999</v>
      </c>
      <c r="AQ975" s="3" t="s">
        <v>661</v>
      </c>
      <c r="AR975" s="4">
        <v>36.200000000000003</v>
      </c>
      <c r="AS975" s="4">
        <v>31.7</v>
      </c>
      <c r="AT975" s="4">
        <v>32.1</v>
      </c>
      <c r="AU975" s="3" t="s">
        <v>661</v>
      </c>
      <c r="AV975" s="16">
        <f t="shared" si="535"/>
        <v>100</v>
      </c>
      <c r="AW975" s="7">
        <v>0.9</v>
      </c>
      <c r="AX975" s="1">
        <f t="shared" si="544"/>
        <v>9.0000000000000011E-3</v>
      </c>
      <c r="AY975" s="1" t="s">
        <v>511</v>
      </c>
      <c r="AZ975" s="1">
        <f t="shared" si="545"/>
        <v>100</v>
      </c>
      <c r="BA975" s="1" t="s">
        <v>55</v>
      </c>
      <c r="BB975" s="1">
        <v>5</v>
      </c>
      <c r="BC975" s="1">
        <v>500</v>
      </c>
      <c r="BD975" s="26">
        <f t="shared" si="546"/>
        <v>37.193182016175925</v>
      </c>
      <c r="BE975" s="16">
        <f t="shared" si="536"/>
        <v>4132.5757795751024</v>
      </c>
      <c r="BF975" s="16">
        <f t="shared" si="537"/>
        <v>3.6162208260304332</v>
      </c>
      <c r="BG975" s="8">
        <f t="shared" si="538"/>
        <v>1.5704633354697579</v>
      </c>
      <c r="BH975" s="13" t="s">
        <v>782</v>
      </c>
      <c r="BI975" s="8">
        <v>59.4</v>
      </c>
      <c r="BJ975" s="13" t="s">
        <v>349</v>
      </c>
      <c r="BK975" s="15">
        <v>0.8</v>
      </c>
      <c r="BL975" s="16">
        <f t="shared" si="547"/>
        <v>59.4</v>
      </c>
      <c r="BM975" s="18">
        <f>'PFAS Properties'!$U$46</f>
        <v>10.39</v>
      </c>
      <c r="BN975" s="8">
        <f t="shared" si="548"/>
        <v>386.4371611480679</v>
      </c>
      <c r="BO975" s="24">
        <f t="shared" si="549"/>
        <v>37.193182016175925</v>
      </c>
      <c r="BP975" s="11"/>
      <c r="BQ975" s="11"/>
    </row>
    <row r="976" spans="1:69" x14ac:dyDescent="0.3">
      <c r="A976" s="20">
        <v>974</v>
      </c>
      <c r="B976" s="2" t="s">
        <v>189</v>
      </c>
      <c r="C976" s="2">
        <v>2021</v>
      </c>
      <c r="D976" s="2" t="s">
        <v>510</v>
      </c>
      <c r="E976" s="41" t="s">
        <v>804</v>
      </c>
      <c r="F976" s="20" t="s">
        <v>29</v>
      </c>
      <c r="G976" s="2" t="s">
        <v>464</v>
      </c>
      <c r="H976" s="2" t="str">
        <f>'PFAS Properties'!$B$46</f>
        <v>PFOS</v>
      </c>
      <c r="I976" s="2" t="str">
        <f>'PFAS Properties'!$C$46</f>
        <v>PFSA</v>
      </c>
      <c r="J976" s="2" t="str">
        <f>'PFAS Properties'!$D$46</f>
        <v>C8HF17O3S</v>
      </c>
      <c r="K976" s="25">
        <f>'PFAS Properties'!$P$46</f>
        <v>499.93739999999997</v>
      </c>
      <c r="L976" s="2">
        <f>'PFAS Properties'!$X$46</f>
        <v>0.1</v>
      </c>
      <c r="M976" s="2" t="str">
        <f>'PFAS Properties'!$Y$46</f>
        <v>-</v>
      </c>
      <c r="N976" s="33">
        <v>0</v>
      </c>
      <c r="O976" s="33">
        <v>0</v>
      </c>
      <c r="P976" s="33">
        <v>0</v>
      </c>
      <c r="Q976" s="33">
        <f t="shared" ref="Q976:Q1039" si="550">(10^(AG976-L976))/(1+(10^(AG976-L976)))</f>
        <v>0.99997181696499315</v>
      </c>
      <c r="R976" s="33">
        <v>0</v>
      </c>
      <c r="S976" s="33">
        <f t="shared" ref="S976:S1039" si="551">(1/(1+(10^(AG976-L976))))</f>
        <v>2.8183035006796315E-5</v>
      </c>
      <c r="T976" s="8">
        <f t="shared" si="529"/>
        <v>1</v>
      </c>
      <c r="U976" s="33">
        <f t="shared" si="530"/>
        <v>0</v>
      </c>
      <c r="V976" s="33">
        <f t="shared" si="531"/>
        <v>-0.99997181696499315</v>
      </c>
      <c r="W976" s="33">
        <f t="shared" si="532"/>
        <v>498.93742818303497</v>
      </c>
      <c r="X976" s="33">
        <v>96485</v>
      </c>
      <c r="Y976" s="16">
        <f t="shared" si="533"/>
        <v>-193.37551225856899</v>
      </c>
      <c r="Z976" s="16">
        <v>8</v>
      </c>
      <c r="AA976" s="16">
        <v>17</v>
      </c>
      <c r="AB976" s="8">
        <f t="shared" si="534"/>
        <v>0.29721362229102166</v>
      </c>
      <c r="AC976" s="16">
        <f t="shared" si="539"/>
        <v>64.60808893273439</v>
      </c>
      <c r="AD976" s="20">
        <f>'PFAS Properties'!$W$46</f>
        <v>8</v>
      </c>
      <c r="AE976" s="8">
        <f>'PFAS Properties'!$S$46</f>
        <v>2.0166155475571776</v>
      </c>
      <c r="AF976" s="15">
        <f>'PFAS Properties'!$V$46</f>
        <v>5</v>
      </c>
      <c r="AG976" s="26">
        <v>4.6500000000000004</v>
      </c>
      <c r="AH976" s="1" t="s">
        <v>190</v>
      </c>
      <c r="AI976" s="39">
        <f t="shared" si="540"/>
        <v>24.795180000000002</v>
      </c>
      <c r="AJ976" s="1">
        <v>444</v>
      </c>
      <c r="AK976" s="8">
        <f t="shared" si="541"/>
        <v>2.4795180000000001</v>
      </c>
      <c r="AL976" s="39">
        <f t="shared" si="542"/>
        <v>3.29156</v>
      </c>
      <c r="AM976" s="1">
        <v>122</v>
      </c>
      <c r="AN976" s="8">
        <f t="shared" si="543"/>
        <v>0.329156</v>
      </c>
      <c r="AO976" s="3" t="s">
        <v>93</v>
      </c>
      <c r="AP976" s="3">
        <v>14.5</v>
      </c>
      <c r="AQ976" s="3" t="s">
        <v>661</v>
      </c>
      <c r="AR976" s="4">
        <v>30.1</v>
      </c>
      <c r="AS976" s="4">
        <v>34.1</v>
      </c>
      <c r="AT976" s="4">
        <v>35.799999999999997</v>
      </c>
      <c r="AU976" s="3" t="s">
        <v>661</v>
      </c>
      <c r="AV976" s="16">
        <f t="shared" si="535"/>
        <v>100</v>
      </c>
      <c r="AW976" s="7">
        <v>2.1</v>
      </c>
      <c r="AX976" s="1">
        <f t="shared" si="544"/>
        <v>2.1000000000000001E-2</v>
      </c>
      <c r="AY976" s="1" t="s">
        <v>511</v>
      </c>
      <c r="AZ976" s="1">
        <f t="shared" si="545"/>
        <v>100</v>
      </c>
      <c r="BA976" s="1" t="s">
        <v>55</v>
      </c>
      <c r="BB976" s="1">
        <v>5</v>
      </c>
      <c r="BC976" s="1">
        <v>500</v>
      </c>
      <c r="BD976" s="26">
        <f t="shared" si="546"/>
        <v>43.997530549347147</v>
      </c>
      <c r="BE976" s="16">
        <f t="shared" si="536"/>
        <v>2095.1205023498642</v>
      </c>
      <c r="BF976" s="16">
        <f t="shared" si="537"/>
        <v>3.3212090067775284</v>
      </c>
      <c r="BG976" s="8">
        <f t="shared" si="538"/>
        <v>1.6434283015114477</v>
      </c>
      <c r="BH976" s="13" t="s">
        <v>782</v>
      </c>
      <c r="BI976" s="8">
        <v>88.8</v>
      </c>
      <c r="BJ976" s="13" t="s">
        <v>349</v>
      </c>
      <c r="BK976" s="15">
        <v>0.7</v>
      </c>
      <c r="BL976" s="16">
        <f t="shared" si="547"/>
        <v>88.8</v>
      </c>
      <c r="BM976" s="18">
        <f>'PFAS Properties'!$U$46</f>
        <v>10.39</v>
      </c>
      <c r="BN976" s="8">
        <f t="shared" si="548"/>
        <v>457.13434240771687</v>
      </c>
      <c r="BO976" s="24">
        <f t="shared" si="549"/>
        <v>43.997530549347147</v>
      </c>
      <c r="BP976" s="11"/>
      <c r="BQ976" s="11"/>
    </row>
    <row r="977" spans="1:69" x14ac:dyDescent="0.3">
      <c r="A977" s="20">
        <v>975</v>
      </c>
      <c r="B977" s="2" t="s">
        <v>189</v>
      </c>
      <c r="C977" s="2">
        <v>2021</v>
      </c>
      <c r="D977" s="2" t="s">
        <v>510</v>
      </c>
      <c r="E977" s="41" t="s">
        <v>804</v>
      </c>
      <c r="F977" s="20" t="s">
        <v>29</v>
      </c>
      <c r="G977" s="2" t="s">
        <v>465</v>
      </c>
      <c r="H977" s="2" t="str">
        <f>'PFAS Properties'!$B$46</f>
        <v>PFOS</v>
      </c>
      <c r="I977" s="2" t="str">
        <f>'PFAS Properties'!$C$46</f>
        <v>PFSA</v>
      </c>
      <c r="J977" s="2" t="str">
        <f>'PFAS Properties'!$D$46</f>
        <v>C8HF17O3S</v>
      </c>
      <c r="K977" s="25">
        <f>'PFAS Properties'!$P$46</f>
        <v>499.93739999999997</v>
      </c>
      <c r="L977" s="2">
        <f>'PFAS Properties'!$X$46</f>
        <v>0.1</v>
      </c>
      <c r="M977" s="2" t="str">
        <f>'PFAS Properties'!$Y$46</f>
        <v>-</v>
      </c>
      <c r="N977" s="33">
        <v>0</v>
      </c>
      <c r="O977" s="33">
        <v>0</v>
      </c>
      <c r="P977" s="33">
        <v>0</v>
      </c>
      <c r="Q977" s="33">
        <f t="shared" si="550"/>
        <v>0.99998952882416614</v>
      </c>
      <c r="R977" s="33">
        <v>0</v>
      </c>
      <c r="S977" s="33">
        <f t="shared" si="551"/>
        <v>1.0471175833837499E-5</v>
      </c>
      <c r="T977" s="8">
        <f t="shared" si="529"/>
        <v>1</v>
      </c>
      <c r="U977" s="33">
        <f t="shared" si="530"/>
        <v>0</v>
      </c>
      <c r="V977" s="33">
        <f t="shared" si="531"/>
        <v>-0.99998952882416614</v>
      </c>
      <c r="W977" s="33">
        <f t="shared" si="532"/>
        <v>498.93741047117584</v>
      </c>
      <c r="X977" s="33">
        <v>96485</v>
      </c>
      <c r="Y977" s="16">
        <f t="shared" si="533"/>
        <v>-193.37894425973028</v>
      </c>
      <c r="Z977" s="16">
        <v>8</v>
      </c>
      <c r="AA977" s="16">
        <v>17</v>
      </c>
      <c r="AB977" s="8">
        <f t="shared" si="534"/>
        <v>0.29721362229102166</v>
      </c>
      <c r="AC977" s="16">
        <f t="shared" si="539"/>
        <v>64.60808893273439</v>
      </c>
      <c r="AD977" s="20">
        <f>'PFAS Properties'!$W$46</f>
        <v>8</v>
      </c>
      <c r="AE977" s="8">
        <f>'PFAS Properties'!$S$46</f>
        <v>2.0166155475571776</v>
      </c>
      <c r="AF977" s="15">
        <f>'PFAS Properties'!$V$46</f>
        <v>5</v>
      </c>
      <c r="AG977" s="26">
        <v>5.08</v>
      </c>
      <c r="AH977" s="1" t="s">
        <v>190</v>
      </c>
      <c r="AI977" s="39">
        <f t="shared" si="540"/>
        <v>0</v>
      </c>
      <c r="AJ977" s="1">
        <v>0</v>
      </c>
      <c r="AK977" s="8">
        <f t="shared" si="541"/>
        <v>0</v>
      </c>
      <c r="AL977" s="39">
        <f t="shared" si="542"/>
        <v>35.991320000000002</v>
      </c>
      <c r="AM977" s="1">
        <v>1334</v>
      </c>
      <c r="AN977" s="8">
        <f t="shared" si="543"/>
        <v>3.599132</v>
      </c>
      <c r="AO977" s="3" t="s">
        <v>93</v>
      </c>
      <c r="AP977" s="3">
        <v>9.6</v>
      </c>
      <c r="AQ977" s="3" t="s">
        <v>661</v>
      </c>
      <c r="AR977" s="4">
        <v>41.3</v>
      </c>
      <c r="AS977" s="4">
        <v>15</v>
      </c>
      <c r="AT977" s="4">
        <v>43.8</v>
      </c>
      <c r="AU977" s="3" t="s">
        <v>661</v>
      </c>
      <c r="AV977" s="16">
        <f t="shared" si="535"/>
        <v>100.1</v>
      </c>
      <c r="AW977" s="7">
        <v>3</v>
      </c>
      <c r="AX977" s="1">
        <f t="shared" si="544"/>
        <v>0.03</v>
      </c>
      <c r="AY977" s="1" t="s">
        <v>511</v>
      </c>
      <c r="AZ977" s="1">
        <f t="shared" si="545"/>
        <v>100</v>
      </c>
      <c r="BA977" s="1" t="s">
        <v>55</v>
      </c>
      <c r="BB977" s="1">
        <v>5</v>
      </c>
      <c r="BC977" s="1">
        <v>500</v>
      </c>
      <c r="BD977" s="26">
        <f t="shared" si="546"/>
        <v>67.086324734027073</v>
      </c>
      <c r="BE977" s="16">
        <f t="shared" si="536"/>
        <v>2236.2108244675692</v>
      </c>
      <c r="BF977" s="16">
        <f t="shared" si="537"/>
        <v>3.3495127453623099</v>
      </c>
      <c r="BG977" s="8">
        <f t="shared" si="538"/>
        <v>1.8266340000819723</v>
      </c>
      <c r="BH977" s="13" t="s">
        <v>782</v>
      </c>
      <c r="BI977" s="8">
        <v>135.4</v>
      </c>
      <c r="BJ977" s="13" t="s">
        <v>349</v>
      </c>
      <c r="BK977" s="15">
        <v>0.7</v>
      </c>
      <c r="BL977" s="16">
        <f t="shared" si="547"/>
        <v>135.4</v>
      </c>
      <c r="BM977" s="18">
        <f>'PFAS Properties'!$U$46</f>
        <v>10.39</v>
      </c>
      <c r="BN977" s="8">
        <f t="shared" si="548"/>
        <v>697.02691398654133</v>
      </c>
      <c r="BO977" s="24">
        <f t="shared" si="549"/>
        <v>67.086324734027073</v>
      </c>
      <c r="BP977" s="11"/>
      <c r="BQ977" s="11"/>
    </row>
    <row r="978" spans="1:69" x14ac:dyDescent="0.3">
      <c r="A978" s="20">
        <v>976</v>
      </c>
      <c r="B978" s="2" t="s">
        <v>189</v>
      </c>
      <c r="C978" s="2">
        <v>2021</v>
      </c>
      <c r="D978" s="2" t="s">
        <v>510</v>
      </c>
      <c r="E978" s="41" t="s">
        <v>804</v>
      </c>
      <c r="F978" s="20" t="s">
        <v>29</v>
      </c>
      <c r="G978" s="2" t="s">
        <v>466</v>
      </c>
      <c r="H978" s="2" t="str">
        <f>'PFAS Properties'!$B$46</f>
        <v>PFOS</v>
      </c>
      <c r="I978" s="2" t="str">
        <f>'PFAS Properties'!$C$46</f>
        <v>PFSA</v>
      </c>
      <c r="J978" s="2" t="str">
        <f>'PFAS Properties'!$D$46</f>
        <v>C8HF17O3S</v>
      </c>
      <c r="K978" s="25">
        <f>'PFAS Properties'!$P$46</f>
        <v>499.93739999999997</v>
      </c>
      <c r="L978" s="2">
        <f>'PFAS Properties'!$X$46</f>
        <v>0.1</v>
      </c>
      <c r="M978" s="2" t="str">
        <f>'PFAS Properties'!$Y$46</f>
        <v>-</v>
      </c>
      <c r="N978" s="33">
        <v>0</v>
      </c>
      <c r="O978" s="33">
        <v>0</v>
      </c>
      <c r="P978" s="33">
        <v>0</v>
      </c>
      <c r="Q978" s="33">
        <f t="shared" si="550"/>
        <v>0.99997910747519814</v>
      </c>
      <c r="R978" s="33">
        <v>0</v>
      </c>
      <c r="S978" s="33">
        <f t="shared" si="551"/>
        <v>2.0892524801828004E-5</v>
      </c>
      <c r="T978" s="8">
        <f t="shared" si="529"/>
        <v>1</v>
      </c>
      <c r="U978" s="33">
        <f t="shared" si="530"/>
        <v>0</v>
      </c>
      <c r="V978" s="33">
        <f t="shared" si="531"/>
        <v>-0.99997910747519814</v>
      </c>
      <c r="W978" s="33">
        <f t="shared" si="532"/>
        <v>498.93742089252476</v>
      </c>
      <c r="X978" s="33">
        <v>96485</v>
      </c>
      <c r="Y978" s="16">
        <f t="shared" si="533"/>
        <v>-193.37692493008601</v>
      </c>
      <c r="Z978" s="16">
        <v>8</v>
      </c>
      <c r="AA978" s="16">
        <v>17</v>
      </c>
      <c r="AB978" s="8">
        <f t="shared" si="534"/>
        <v>0.29721362229102166</v>
      </c>
      <c r="AC978" s="16">
        <f t="shared" si="539"/>
        <v>64.60808893273439</v>
      </c>
      <c r="AD978" s="20">
        <f>'PFAS Properties'!$W$46</f>
        <v>8</v>
      </c>
      <c r="AE978" s="8">
        <f>'PFAS Properties'!$S$46</f>
        <v>2.0166155475571776</v>
      </c>
      <c r="AF978" s="15">
        <f>'PFAS Properties'!$V$46</f>
        <v>5</v>
      </c>
      <c r="AG978" s="26">
        <v>4.78</v>
      </c>
      <c r="AH978" s="1" t="s">
        <v>190</v>
      </c>
      <c r="AI978" s="39">
        <f t="shared" si="540"/>
        <v>0</v>
      </c>
      <c r="AJ978" s="1">
        <v>0</v>
      </c>
      <c r="AK978" s="8">
        <f t="shared" si="541"/>
        <v>0</v>
      </c>
      <c r="AL978" s="39">
        <f t="shared" si="542"/>
        <v>25.79288</v>
      </c>
      <c r="AM978" s="1">
        <v>956</v>
      </c>
      <c r="AN978" s="8">
        <f t="shared" si="543"/>
        <v>2.579288</v>
      </c>
      <c r="AO978" s="3" t="s">
        <v>93</v>
      </c>
      <c r="AP978" s="3">
        <v>7</v>
      </c>
      <c r="AQ978" s="3" t="s">
        <v>661</v>
      </c>
      <c r="AR978" s="4">
        <v>40.4</v>
      </c>
      <c r="AS978" s="4">
        <v>38</v>
      </c>
      <c r="AT978" s="4">
        <v>21.6</v>
      </c>
      <c r="AU978" s="3" t="s">
        <v>661</v>
      </c>
      <c r="AV978" s="16">
        <f t="shared" si="535"/>
        <v>100</v>
      </c>
      <c r="AW978" s="7">
        <v>2.9</v>
      </c>
      <c r="AX978" s="1">
        <f t="shared" si="544"/>
        <v>2.8999999999999998E-2</v>
      </c>
      <c r="AY978" s="1" t="s">
        <v>511</v>
      </c>
      <c r="AZ978" s="1">
        <f t="shared" si="545"/>
        <v>100</v>
      </c>
      <c r="BA978" s="1" t="s">
        <v>55</v>
      </c>
      <c r="BB978" s="1">
        <v>5</v>
      </c>
      <c r="BC978" s="1">
        <v>500</v>
      </c>
      <c r="BD978" s="26">
        <f t="shared" si="546"/>
        <v>49.52829457036222</v>
      </c>
      <c r="BE978" s="16">
        <f t="shared" si="536"/>
        <v>1707.8722265642145</v>
      </c>
      <c r="BF978" s="16">
        <f t="shared" si="537"/>
        <v>3.2324553760872852</v>
      </c>
      <c r="BG978" s="8">
        <f t="shared" si="538"/>
        <v>1.694853373986241</v>
      </c>
      <c r="BH978" s="13" t="s">
        <v>782</v>
      </c>
      <c r="BI978" s="8">
        <v>79.099999999999994</v>
      </c>
      <c r="BJ978" s="13" t="s">
        <v>349</v>
      </c>
      <c r="BK978" s="15">
        <v>0.8</v>
      </c>
      <c r="BL978" s="16">
        <f t="shared" si="547"/>
        <v>79.099999999999994</v>
      </c>
      <c r="BM978" s="18">
        <f>'PFAS Properties'!$U$46</f>
        <v>10.39</v>
      </c>
      <c r="BN978" s="8">
        <f t="shared" si="548"/>
        <v>514.59898058606348</v>
      </c>
      <c r="BO978" s="24">
        <f t="shared" si="549"/>
        <v>49.52829457036222</v>
      </c>
      <c r="BP978" s="11"/>
      <c r="BQ978" s="11"/>
    </row>
    <row r="979" spans="1:69" x14ac:dyDescent="0.3">
      <c r="A979" s="20">
        <v>977</v>
      </c>
      <c r="B979" s="2" t="s">
        <v>189</v>
      </c>
      <c r="C979" s="2">
        <v>2021</v>
      </c>
      <c r="D979" s="2" t="s">
        <v>510</v>
      </c>
      <c r="E979" s="41" t="s">
        <v>804</v>
      </c>
      <c r="F979" s="20" t="s">
        <v>29</v>
      </c>
      <c r="G979" s="2" t="s">
        <v>467</v>
      </c>
      <c r="H979" s="2" t="str">
        <f>'PFAS Properties'!$B$46</f>
        <v>PFOS</v>
      </c>
      <c r="I979" s="2" t="str">
        <f>'PFAS Properties'!$C$46</f>
        <v>PFSA</v>
      </c>
      <c r="J979" s="2" t="str">
        <f>'PFAS Properties'!$D$46</f>
        <v>C8HF17O3S</v>
      </c>
      <c r="K979" s="25">
        <f>'PFAS Properties'!$P$46</f>
        <v>499.93739999999997</v>
      </c>
      <c r="L979" s="2">
        <f>'PFAS Properties'!$X$46</f>
        <v>0.1</v>
      </c>
      <c r="M979" s="2" t="str">
        <f>'PFAS Properties'!$Y$46</f>
        <v>-</v>
      </c>
      <c r="N979" s="33">
        <v>0</v>
      </c>
      <c r="O979" s="33">
        <v>0</v>
      </c>
      <c r="P979" s="33">
        <v>0</v>
      </c>
      <c r="Q979" s="33">
        <f t="shared" si="550"/>
        <v>0.99999942456039381</v>
      </c>
      <c r="R979" s="33">
        <v>0</v>
      </c>
      <c r="S979" s="33">
        <f t="shared" si="551"/>
        <v>5.7543960620622459E-7</v>
      </c>
      <c r="T979" s="8">
        <f t="shared" si="529"/>
        <v>1</v>
      </c>
      <c r="U979" s="33">
        <f t="shared" si="530"/>
        <v>0</v>
      </c>
      <c r="V979" s="33">
        <f t="shared" si="531"/>
        <v>-0.99999942456039381</v>
      </c>
      <c r="W979" s="33">
        <f t="shared" si="532"/>
        <v>498.9374005754396</v>
      </c>
      <c r="X979" s="33">
        <v>96485</v>
      </c>
      <c r="Y979" s="16">
        <f t="shared" si="533"/>
        <v>-193.38086174223579</v>
      </c>
      <c r="Z979" s="16">
        <v>8</v>
      </c>
      <c r="AA979" s="16">
        <v>17</v>
      </c>
      <c r="AB979" s="8">
        <f t="shared" si="534"/>
        <v>0.29721362229102166</v>
      </c>
      <c r="AC979" s="16">
        <f t="shared" si="539"/>
        <v>64.60808893273439</v>
      </c>
      <c r="AD979" s="20">
        <f>'PFAS Properties'!$W$46</f>
        <v>8</v>
      </c>
      <c r="AE979" s="8">
        <f>'PFAS Properties'!$S$46</f>
        <v>2.0166155475571776</v>
      </c>
      <c r="AF979" s="15">
        <f>'PFAS Properties'!$V$46</f>
        <v>5</v>
      </c>
      <c r="AG979" s="26">
        <v>6.34</v>
      </c>
      <c r="AH979" s="1" t="s">
        <v>190</v>
      </c>
      <c r="AI979" s="39">
        <f t="shared" si="540"/>
        <v>54.002114999999996</v>
      </c>
      <c r="AJ979" s="1">
        <v>967</v>
      </c>
      <c r="AK979" s="8">
        <f t="shared" si="541"/>
        <v>5.4002114999999993</v>
      </c>
      <c r="AL979" s="39">
        <f t="shared" si="542"/>
        <v>5.0992199999999999</v>
      </c>
      <c r="AM979" s="1">
        <v>189</v>
      </c>
      <c r="AN979" s="8">
        <f t="shared" si="543"/>
        <v>0.50992199999999999</v>
      </c>
      <c r="AO979" s="3" t="s">
        <v>93</v>
      </c>
      <c r="AP979" s="3">
        <v>47</v>
      </c>
      <c r="AQ979" s="3" t="s">
        <v>661</v>
      </c>
      <c r="AR979" s="4">
        <v>32.299999999999997</v>
      </c>
      <c r="AS979" s="4">
        <v>37.1</v>
      </c>
      <c r="AT979" s="4">
        <v>30.6</v>
      </c>
      <c r="AU979" s="3" t="s">
        <v>661</v>
      </c>
      <c r="AV979" s="16">
        <f t="shared" si="535"/>
        <v>100</v>
      </c>
      <c r="AW979" s="7">
        <v>3</v>
      </c>
      <c r="AX979" s="1">
        <f t="shared" si="544"/>
        <v>0.03</v>
      </c>
      <c r="AY979" s="1" t="s">
        <v>511</v>
      </c>
      <c r="AZ979" s="1">
        <f t="shared" si="545"/>
        <v>100</v>
      </c>
      <c r="BA979" s="1" t="s">
        <v>55</v>
      </c>
      <c r="BB979" s="1">
        <v>5</v>
      </c>
      <c r="BC979" s="1">
        <v>500</v>
      </c>
      <c r="BD979" s="26">
        <f t="shared" si="546"/>
        <v>35.627812402700506</v>
      </c>
      <c r="BE979" s="16">
        <f t="shared" si="536"/>
        <v>1187.5937467566837</v>
      </c>
      <c r="BF979" s="16">
        <f t="shared" si="537"/>
        <v>3.0746679021639731</v>
      </c>
      <c r="BG979" s="8">
        <f t="shared" si="538"/>
        <v>1.5517891568836357</v>
      </c>
      <c r="BH979" s="13" t="s">
        <v>782</v>
      </c>
      <c r="BI979" s="8">
        <v>56.9</v>
      </c>
      <c r="BJ979" s="13" t="s">
        <v>349</v>
      </c>
      <c r="BK979" s="15">
        <v>0.8</v>
      </c>
      <c r="BL979" s="16">
        <f t="shared" si="547"/>
        <v>56.9</v>
      </c>
      <c r="BM979" s="18">
        <f>'PFAS Properties'!$U$46</f>
        <v>10.39</v>
      </c>
      <c r="BN979" s="8">
        <f t="shared" si="548"/>
        <v>370.1729708640583</v>
      </c>
      <c r="BO979" s="24">
        <f t="shared" si="549"/>
        <v>35.627812402700506</v>
      </c>
      <c r="BP979" s="11"/>
      <c r="BQ979" s="11"/>
    </row>
    <row r="980" spans="1:69" x14ac:dyDescent="0.3">
      <c r="A980" s="20">
        <v>978</v>
      </c>
      <c r="B980" s="2" t="s">
        <v>189</v>
      </c>
      <c r="C980" s="2">
        <v>2021</v>
      </c>
      <c r="D980" s="2" t="s">
        <v>510</v>
      </c>
      <c r="E980" s="41" t="s">
        <v>804</v>
      </c>
      <c r="F980" s="20" t="s">
        <v>29</v>
      </c>
      <c r="G980" s="2" t="s">
        <v>468</v>
      </c>
      <c r="H980" s="2" t="str">
        <f>'PFAS Properties'!$B$46</f>
        <v>PFOS</v>
      </c>
      <c r="I980" s="2" t="str">
        <f>'PFAS Properties'!$C$46</f>
        <v>PFSA</v>
      </c>
      <c r="J980" s="2" t="str">
        <f>'PFAS Properties'!$D$46</f>
        <v>C8HF17O3S</v>
      </c>
      <c r="K980" s="25">
        <f>'PFAS Properties'!$P$46</f>
        <v>499.93739999999997</v>
      </c>
      <c r="L980" s="2">
        <f>'PFAS Properties'!$X$46</f>
        <v>0.1</v>
      </c>
      <c r="M980" s="2" t="str">
        <f>'PFAS Properties'!$Y$46</f>
        <v>-</v>
      </c>
      <c r="N980" s="33">
        <v>0</v>
      </c>
      <c r="O980" s="33">
        <v>0</v>
      </c>
      <c r="P980" s="33">
        <v>0</v>
      </c>
      <c r="Q980" s="33">
        <f t="shared" si="550"/>
        <v>0.99999938340537831</v>
      </c>
      <c r="R980" s="33">
        <v>0</v>
      </c>
      <c r="S980" s="33">
        <f t="shared" si="551"/>
        <v>6.1659462167231962E-7</v>
      </c>
      <c r="T980" s="8">
        <f t="shared" si="529"/>
        <v>1</v>
      </c>
      <c r="U980" s="33">
        <f t="shared" si="530"/>
        <v>0</v>
      </c>
      <c r="V980" s="33">
        <f t="shared" si="531"/>
        <v>-0.99999938340537831</v>
      </c>
      <c r="W980" s="33">
        <f t="shared" si="532"/>
        <v>498.93740061659463</v>
      </c>
      <c r="X980" s="33">
        <v>96485</v>
      </c>
      <c r="Y980" s="16">
        <f t="shared" si="533"/>
        <v>-193.38085376768777</v>
      </c>
      <c r="Z980" s="16">
        <v>8</v>
      </c>
      <c r="AA980" s="16">
        <v>17</v>
      </c>
      <c r="AB980" s="8">
        <f t="shared" si="534"/>
        <v>0.29721362229102166</v>
      </c>
      <c r="AC980" s="16">
        <f t="shared" si="539"/>
        <v>64.60808893273439</v>
      </c>
      <c r="AD980" s="20">
        <f>'PFAS Properties'!$W$46</f>
        <v>8</v>
      </c>
      <c r="AE980" s="8">
        <f>'PFAS Properties'!$S$46</f>
        <v>2.0166155475571776</v>
      </c>
      <c r="AF980" s="15">
        <f>'PFAS Properties'!$V$46</f>
        <v>5</v>
      </c>
      <c r="AG980" s="26">
        <v>6.31</v>
      </c>
      <c r="AH980" s="1" t="s">
        <v>190</v>
      </c>
      <c r="AI980" s="39">
        <f t="shared" si="540"/>
        <v>83.823345000000003</v>
      </c>
      <c r="AJ980" s="1">
        <v>1501</v>
      </c>
      <c r="AK980" s="8">
        <f t="shared" si="541"/>
        <v>8.3823345000000007</v>
      </c>
      <c r="AL980" s="39">
        <f t="shared" si="542"/>
        <v>8.3907800000000012</v>
      </c>
      <c r="AM980" s="1">
        <v>311</v>
      </c>
      <c r="AN980" s="8">
        <f t="shared" si="543"/>
        <v>0.8390780000000001</v>
      </c>
      <c r="AO980" s="3" t="s">
        <v>93</v>
      </c>
      <c r="AP980" s="3">
        <v>33.799999999999997</v>
      </c>
      <c r="AQ980" s="3" t="s">
        <v>661</v>
      </c>
      <c r="AR980" s="4">
        <v>31.3</v>
      </c>
      <c r="AS980" s="4">
        <v>61.1</v>
      </c>
      <c r="AT980" s="4">
        <v>7.6</v>
      </c>
      <c r="AU980" s="3" t="s">
        <v>661</v>
      </c>
      <c r="AV980" s="16">
        <f t="shared" si="535"/>
        <v>100</v>
      </c>
      <c r="AW980" s="7">
        <v>2.5</v>
      </c>
      <c r="AX980" s="1">
        <f t="shared" si="544"/>
        <v>2.5000000000000001E-2</v>
      </c>
      <c r="AY980" s="1" t="s">
        <v>511</v>
      </c>
      <c r="AZ980" s="1">
        <f t="shared" si="545"/>
        <v>100</v>
      </c>
      <c r="BA980" s="1" t="s">
        <v>55</v>
      </c>
      <c r="BB980" s="1">
        <v>5</v>
      </c>
      <c r="BC980" s="1">
        <v>500</v>
      </c>
      <c r="BD980" s="26">
        <f t="shared" si="546"/>
        <v>24.451016834826838</v>
      </c>
      <c r="BE980" s="16">
        <f t="shared" si="536"/>
        <v>978.04067339307346</v>
      </c>
      <c r="BF980" s="16">
        <f t="shared" si="537"/>
        <v>2.9903569159970793</v>
      </c>
      <c r="BG980" s="8">
        <f t="shared" si="538"/>
        <v>1.3882969246691168</v>
      </c>
      <c r="BH980" s="13" t="s">
        <v>782</v>
      </c>
      <c r="BI980" s="8">
        <v>30.9</v>
      </c>
      <c r="BJ980" s="13" t="s">
        <v>349</v>
      </c>
      <c r="BK980" s="15">
        <v>0.9</v>
      </c>
      <c r="BL980" s="16">
        <f t="shared" si="547"/>
        <v>30.9</v>
      </c>
      <c r="BM980" s="18">
        <f>'PFAS Properties'!$U$46</f>
        <v>10.39</v>
      </c>
      <c r="BN980" s="8">
        <f t="shared" si="548"/>
        <v>254.04606491385087</v>
      </c>
      <c r="BO980" s="24">
        <f t="shared" si="549"/>
        <v>24.451016834826838</v>
      </c>
      <c r="BP980" s="11"/>
      <c r="BQ980" s="11"/>
    </row>
    <row r="981" spans="1:69" x14ac:dyDescent="0.3">
      <c r="A981" s="20">
        <v>979</v>
      </c>
      <c r="B981" s="2" t="s">
        <v>189</v>
      </c>
      <c r="C981" s="2">
        <v>2021</v>
      </c>
      <c r="D981" s="2" t="s">
        <v>510</v>
      </c>
      <c r="E981" s="41" t="s">
        <v>804</v>
      </c>
      <c r="F981" s="20" t="s">
        <v>29</v>
      </c>
      <c r="G981" s="2" t="s">
        <v>469</v>
      </c>
      <c r="H981" s="2" t="str">
        <f>'PFAS Properties'!$B$46</f>
        <v>PFOS</v>
      </c>
      <c r="I981" s="2" t="str">
        <f>'PFAS Properties'!$C$46</f>
        <v>PFSA</v>
      </c>
      <c r="J981" s="2" t="str">
        <f>'PFAS Properties'!$D$46</f>
        <v>C8HF17O3S</v>
      </c>
      <c r="K981" s="25">
        <f>'PFAS Properties'!$P$46</f>
        <v>499.93739999999997</v>
      </c>
      <c r="L981" s="2">
        <f>'PFAS Properties'!$X$46</f>
        <v>0.1</v>
      </c>
      <c r="M981" s="2" t="str">
        <f>'PFAS Properties'!$Y$46</f>
        <v>-</v>
      </c>
      <c r="N981" s="33">
        <v>0</v>
      </c>
      <c r="O981" s="33">
        <v>0</v>
      </c>
      <c r="P981" s="33">
        <v>0</v>
      </c>
      <c r="Q981" s="33">
        <f t="shared" si="550"/>
        <v>0.99997181696499315</v>
      </c>
      <c r="R981" s="33">
        <v>0</v>
      </c>
      <c r="S981" s="33">
        <f t="shared" si="551"/>
        <v>2.8183035006796315E-5</v>
      </c>
      <c r="T981" s="8">
        <f t="shared" si="529"/>
        <v>1</v>
      </c>
      <c r="U981" s="33">
        <f t="shared" si="530"/>
        <v>0</v>
      </c>
      <c r="V981" s="33">
        <f t="shared" si="531"/>
        <v>-0.99997181696499315</v>
      </c>
      <c r="W981" s="33">
        <f t="shared" si="532"/>
        <v>498.93742818303497</v>
      </c>
      <c r="X981" s="33">
        <v>96485</v>
      </c>
      <c r="Y981" s="16">
        <f t="shared" si="533"/>
        <v>-193.37551225856899</v>
      </c>
      <c r="Z981" s="16">
        <v>8</v>
      </c>
      <c r="AA981" s="16">
        <v>17</v>
      </c>
      <c r="AB981" s="8">
        <f t="shared" si="534"/>
        <v>0.29721362229102166</v>
      </c>
      <c r="AC981" s="16">
        <f t="shared" si="539"/>
        <v>64.60808893273439</v>
      </c>
      <c r="AD981" s="20">
        <f>'PFAS Properties'!$W$46</f>
        <v>8</v>
      </c>
      <c r="AE981" s="8">
        <f>'PFAS Properties'!$S$46</f>
        <v>2.0166155475571776</v>
      </c>
      <c r="AF981" s="15">
        <f>'PFAS Properties'!$V$46</f>
        <v>5</v>
      </c>
      <c r="AG981" s="26">
        <v>4.6500000000000004</v>
      </c>
      <c r="AH981" s="1" t="s">
        <v>190</v>
      </c>
      <c r="AI981" s="39">
        <f t="shared" si="540"/>
        <v>52.605989999999998</v>
      </c>
      <c r="AJ981" s="1">
        <v>942</v>
      </c>
      <c r="AK981" s="8">
        <f t="shared" si="541"/>
        <v>5.260599</v>
      </c>
      <c r="AL981" s="39">
        <f t="shared" si="542"/>
        <v>4.2088799999999997</v>
      </c>
      <c r="AM981" s="1">
        <v>156</v>
      </c>
      <c r="AN981" s="8">
        <f t="shared" si="543"/>
        <v>0.42088799999999998</v>
      </c>
      <c r="AO981" s="3" t="s">
        <v>93</v>
      </c>
      <c r="AP981" s="3">
        <v>49.2</v>
      </c>
      <c r="AQ981" s="3" t="s">
        <v>661</v>
      </c>
      <c r="AR981" s="4">
        <v>49.4</v>
      </c>
      <c r="AS981" s="4">
        <v>47.4</v>
      </c>
      <c r="AT981" s="4">
        <v>3.2</v>
      </c>
      <c r="AU981" s="3" t="s">
        <v>661</v>
      </c>
      <c r="AV981" s="16">
        <f t="shared" si="535"/>
        <v>100</v>
      </c>
      <c r="AW981" s="7">
        <v>2.6</v>
      </c>
      <c r="AX981" s="1">
        <f t="shared" si="544"/>
        <v>2.6000000000000002E-2</v>
      </c>
      <c r="AY981" s="1" t="s">
        <v>511</v>
      </c>
      <c r="AZ981" s="1">
        <f t="shared" si="545"/>
        <v>100</v>
      </c>
      <c r="BA981" s="1" t="s">
        <v>55</v>
      </c>
      <c r="BB981" s="1">
        <v>5</v>
      </c>
      <c r="BC981" s="1">
        <v>500</v>
      </c>
      <c r="BD981" s="26">
        <f t="shared" si="546"/>
        <v>35.189508910927394</v>
      </c>
      <c r="BE981" s="16">
        <f t="shared" si="536"/>
        <v>1353.4426504202843</v>
      </c>
      <c r="BF981" s="16">
        <f t="shared" si="537"/>
        <v>3.1314398580868077</v>
      </c>
      <c r="BG981" s="8">
        <f t="shared" si="538"/>
        <v>1.5464132060576257</v>
      </c>
      <c r="BH981" s="13" t="s">
        <v>782</v>
      </c>
      <c r="BI981" s="8">
        <v>56.2</v>
      </c>
      <c r="BJ981" s="13" t="s">
        <v>349</v>
      </c>
      <c r="BK981" s="15">
        <v>0.8</v>
      </c>
      <c r="BL981" s="16">
        <f t="shared" si="547"/>
        <v>56.2</v>
      </c>
      <c r="BM981" s="18">
        <f>'PFAS Properties'!$U$46</f>
        <v>10.39</v>
      </c>
      <c r="BN981" s="8">
        <f t="shared" si="548"/>
        <v>365.61899758453563</v>
      </c>
      <c r="BO981" s="24">
        <f t="shared" si="549"/>
        <v>35.189508910927394</v>
      </c>
      <c r="BP981" s="11"/>
      <c r="BQ981" s="11"/>
    </row>
    <row r="982" spans="1:69" s="94" customFormat="1" x14ac:dyDescent="0.3">
      <c r="A982" s="83">
        <v>980</v>
      </c>
      <c r="B982" s="84" t="s">
        <v>189</v>
      </c>
      <c r="C982" s="84">
        <v>2021</v>
      </c>
      <c r="D982" s="84" t="s">
        <v>510</v>
      </c>
      <c r="E982" s="100" t="s">
        <v>804</v>
      </c>
      <c r="F982" s="83" t="s">
        <v>29</v>
      </c>
      <c r="G982" s="84" t="s">
        <v>470</v>
      </c>
      <c r="H982" s="84" t="str">
        <f>'PFAS Properties'!$B$46</f>
        <v>PFOS</v>
      </c>
      <c r="I982" s="84" t="str">
        <f>'PFAS Properties'!$C$46</f>
        <v>PFSA</v>
      </c>
      <c r="J982" s="84" t="str">
        <f>'PFAS Properties'!$D$46</f>
        <v>C8HF17O3S</v>
      </c>
      <c r="K982" s="99">
        <f>'PFAS Properties'!$P$46</f>
        <v>499.93739999999997</v>
      </c>
      <c r="L982" s="84">
        <f>'PFAS Properties'!$X$46</f>
        <v>0.1</v>
      </c>
      <c r="M982" s="84" t="str">
        <f>'PFAS Properties'!$Y$46</f>
        <v>-</v>
      </c>
      <c r="N982" s="87">
        <v>0</v>
      </c>
      <c r="O982" s="87">
        <v>0</v>
      </c>
      <c r="P982" s="87">
        <v>0</v>
      </c>
      <c r="Q982" s="87">
        <f t="shared" si="550"/>
        <v>0.99990880723294362</v>
      </c>
      <c r="R982" s="87">
        <v>0</v>
      </c>
      <c r="S982" s="87">
        <f t="shared" si="551"/>
        <v>9.11927670563883E-5</v>
      </c>
      <c r="T982" s="88">
        <f t="shared" si="529"/>
        <v>1</v>
      </c>
      <c r="U982" s="87">
        <f t="shared" si="530"/>
        <v>0</v>
      </c>
      <c r="V982" s="87">
        <f t="shared" si="531"/>
        <v>-0.99990880723294362</v>
      </c>
      <c r="W982" s="87">
        <f t="shared" si="532"/>
        <v>498.93749119276703</v>
      </c>
      <c r="X982" s="87">
        <v>96485</v>
      </c>
      <c r="Y982" s="89">
        <f t="shared" si="533"/>
        <v>-193.36330295651504</v>
      </c>
      <c r="Z982" s="89">
        <v>8</v>
      </c>
      <c r="AA982" s="89">
        <v>17</v>
      </c>
      <c r="AB982" s="88">
        <f t="shared" si="534"/>
        <v>0.29721362229102166</v>
      </c>
      <c r="AC982" s="89">
        <f t="shared" si="539"/>
        <v>64.60808893273439</v>
      </c>
      <c r="AD982" s="83">
        <f>'PFAS Properties'!$W$46</f>
        <v>8</v>
      </c>
      <c r="AE982" s="88">
        <f>'PFAS Properties'!$S$46</f>
        <v>2.0166155475571776</v>
      </c>
      <c r="AF982" s="90">
        <f>'PFAS Properties'!$V$46</f>
        <v>5</v>
      </c>
      <c r="AG982" s="93">
        <v>4.1399999999999997</v>
      </c>
      <c r="AH982" s="84" t="s">
        <v>190</v>
      </c>
      <c r="AI982" s="89">
        <f t="shared" si="540"/>
        <v>103.59247499999999</v>
      </c>
      <c r="AJ982" s="84">
        <v>1855</v>
      </c>
      <c r="AK982" s="88">
        <f t="shared" si="541"/>
        <v>10.359247499999999</v>
      </c>
      <c r="AL982" s="89">
        <f t="shared" si="542"/>
        <v>17.402099999999997</v>
      </c>
      <c r="AM982" s="84">
        <v>645</v>
      </c>
      <c r="AN982" s="88">
        <f t="shared" si="543"/>
        <v>1.7402099999999998</v>
      </c>
      <c r="AO982" s="90" t="s">
        <v>93</v>
      </c>
      <c r="AP982" s="90">
        <v>16.5</v>
      </c>
      <c r="AQ982" s="90" t="s">
        <v>661</v>
      </c>
      <c r="AR982" s="84">
        <v>61.4</v>
      </c>
      <c r="AS982" s="84">
        <v>11.7</v>
      </c>
      <c r="AT982" s="84">
        <v>26.9</v>
      </c>
      <c r="AU982" s="90" t="s">
        <v>661</v>
      </c>
      <c r="AV982" s="89">
        <f t="shared" si="535"/>
        <v>100</v>
      </c>
      <c r="AW982" s="83">
        <v>5.2</v>
      </c>
      <c r="AX982" s="84">
        <f t="shared" si="544"/>
        <v>5.2000000000000005E-2</v>
      </c>
      <c r="AY982" s="84" t="s">
        <v>511</v>
      </c>
      <c r="AZ982" s="84">
        <f t="shared" si="545"/>
        <v>100</v>
      </c>
      <c r="BA982" s="84" t="s">
        <v>55</v>
      </c>
      <c r="BB982" s="84">
        <v>5</v>
      </c>
      <c r="BC982" s="84">
        <v>500</v>
      </c>
      <c r="BD982" s="89">
        <f t="shared" si="546"/>
        <v>232.8</v>
      </c>
      <c r="BE982" s="89">
        <f t="shared" si="536"/>
        <v>4476.9230769230771</v>
      </c>
      <c r="BF982" s="89">
        <f t="shared" si="537"/>
        <v>3.6509796323430517</v>
      </c>
      <c r="BG982" s="88">
        <f t="shared" si="538"/>
        <v>2.3669829759778507</v>
      </c>
      <c r="BH982" s="91" t="s">
        <v>782</v>
      </c>
      <c r="BI982" s="88">
        <v>232.8</v>
      </c>
      <c r="BJ982" s="91" t="s">
        <v>349</v>
      </c>
      <c r="BK982" s="90">
        <v>1</v>
      </c>
      <c r="BL982" s="89">
        <f t="shared" si="547"/>
        <v>232.8</v>
      </c>
      <c r="BM982" s="86">
        <f>'PFAS Properties'!$U$46</f>
        <v>10.39</v>
      </c>
      <c r="BN982" s="88">
        <f t="shared" si="548"/>
        <v>2418.7920000000004</v>
      </c>
      <c r="BO982" s="93">
        <f t="shared" si="549"/>
        <v>232.8</v>
      </c>
    </row>
    <row r="983" spans="1:69" x14ac:dyDescent="0.3">
      <c r="A983" s="20">
        <v>981</v>
      </c>
      <c r="B983" s="2" t="s">
        <v>189</v>
      </c>
      <c r="C983" s="2">
        <v>2021</v>
      </c>
      <c r="D983" s="2" t="s">
        <v>510</v>
      </c>
      <c r="E983" s="41" t="s">
        <v>804</v>
      </c>
      <c r="F983" s="20" t="s">
        <v>29</v>
      </c>
      <c r="G983" s="2" t="s">
        <v>471</v>
      </c>
      <c r="H983" s="2" t="str">
        <f>'PFAS Properties'!$B$46</f>
        <v>PFOS</v>
      </c>
      <c r="I983" s="2" t="str">
        <f>'PFAS Properties'!$C$46</f>
        <v>PFSA</v>
      </c>
      <c r="J983" s="2" t="str">
        <f>'PFAS Properties'!$D$46</f>
        <v>C8HF17O3S</v>
      </c>
      <c r="K983" s="25">
        <f>'PFAS Properties'!$P$46</f>
        <v>499.93739999999997</v>
      </c>
      <c r="L983" s="2">
        <f>'PFAS Properties'!$X$46</f>
        <v>0.1</v>
      </c>
      <c r="M983" s="2" t="str">
        <f>'PFAS Properties'!$Y$46</f>
        <v>-</v>
      </c>
      <c r="N983" s="33">
        <v>0</v>
      </c>
      <c r="O983" s="33">
        <v>0</v>
      </c>
      <c r="P983" s="33">
        <v>0</v>
      </c>
      <c r="Q983" s="33">
        <f t="shared" si="550"/>
        <v>0.99996688798429367</v>
      </c>
      <c r="R983" s="33">
        <v>0</v>
      </c>
      <c r="S983" s="33">
        <f t="shared" si="551"/>
        <v>3.3112015706369511E-5</v>
      </c>
      <c r="T983" s="8">
        <f t="shared" si="529"/>
        <v>1</v>
      </c>
      <c r="U983" s="33">
        <f t="shared" si="530"/>
        <v>0</v>
      </c>
      <c r="V983" s="33">
        <f t="shared" si="531"/>
        <v>-0.99996688798429367</v>
      </c>
      <c r="W983" s="33">
        <f t="shared" si="532"/>
        <v>498.9374331120157</v>
      </c>
      <c r="X983" s="33">
        <v>96485</v>
      </c>
      <c r="Y983" s="16">
        <f t="shared" si="533"/>
        <v>-193.37455717719939</v>
      </c>
      <c r="Z983" s="16">
        <v>8</v>
      </c>
      <c r="AA983" s="16">
        <v>17</v>
      </c>
      <c r="AB983" s="8">
        <f t="shared" si="534"/>
        <v>0.29721362229102166</v>
      </c>
      <c r="AC983" s="16">
        <f t="shared" si="539"/>
        <v>64.60808893273439</v>
      </c>
      <c r="AD983" s="20">
        <f>'PFAS Properties'!$W$46</f>
        <v>8</v>
      </c>
      <c r="AE983" s="8">
        <f>'PFAS Properties'!$S$46</f>
        <v>2.0166155475571776</v>
      </c>
      <c r="AF983" s="15">
        <f>'PFAS Properties'!$V$46</f>
        <v>5</v>
      </c>
      <c r="AG983" s="26">
        <v>4.58</v>
      </c>
      <c r="AH983" s="1" t="s">
        <v>190</v>
      </c>
      <c r="AI983" s="39">
        <f t="shared" si="540"/>
        <v>75.223214999999996</v>
      </c>
      <c r="AJ983" s="1">
        <v>1347</v>
      </c>
      <c r="AK983" s="8">
        <f t="shared" si="541"/>
        <v>7.5223214999999994</v>
      </c>
      <c r="AL983" s="39">
        <f t="shared" si="542"/>
        <v>9.0113199999999996</v>
      </c>
      <c r="AM983" s="1">
        <v>334</v>
      </c>
      <c r="AN983" s="8">
        <f t="shared" si="543"/>
        <v>0.90113199999999993</v>
      </c>
      <c r="AO983" s="3" t="s">
        <v>93</v>
      </c>
      <c r="AP983" s="3">
        <v>20.5</v>
      </c>
      <c r="AQ983" s="3" t="s">
        <v>661</v>
      </c>
      <c r="AR983" s="4">
        <v>28</v>
      </c>
      <c r="AS983" s="4">
        <v>37</v>
      </c>
      <c r="AT983" s="4">
        <v>35</v>
      </c>
      <c r="AU983" s="3" t="s">
        <v>661</v>
      </c>
      <c r="AV983" s="16">
        <f t="shared" si="535"/>
        <v>100</v>
      </c>
      <c r="AW983" s="7">
        <v>1.7</v>
      </c>
      <c r="AX983" s="1">
        <f t="shared" si="544"/>
        <v>1.7000000000000001E-2</v>
      </c>
      <c r="AY983" s="1" t="s">
        <v>511</v>
      </c>
      <c r="AZ983" s="1">
        <f t="shared" si="545"/>
        <v>100</v>
      </c>
      <c r="BA983" s="1" t="s">
        <v>55</v>
      </c>
      <c r="BB983" s="1">
        <v>5</v>
      </c>
      <c r="BC983" s="1">
        <v>500</v>
      </c>
      <c r="BD983" s="26">
        <f t="shared" ref="BD983:BD1029" si="552">BO983</f>
        <v>43.016356978304479</v>
      </c>
      <c r="BE983" s="16">
        <f t="shared" si="536"/>
        <v>2530.3739399002634</v>
      </c>
      <c r="BF983" s="16">
        <f t="shared" si="537"/>
        <v>3.4031847061698408</v>
      </c>
      <c r="BG983" s="8">
        <f t="shared" si="538"/>
        <v>1.6336336275481149</v>
      </c>
      <c r="BH983" s="13" t="s">
        <v>782</v>
      </c>
      <c r="BI983" s="8">
        <v>68.7</v>
      </c>
      <c r="BJ983" s="13" t="s">
        <v>349</v>
      </c>
      <c r="BK983" s="15">
        <v>0.8</v>
      </c>
      <c r="BL983" s="16">
        <f t="shared" si="547"/>
        <v>68.7</v>
      </c>
      <c r="BM983" s="18">
        <f>'PFAS Properties'!$U$46</f>
        <v>10.39</v>
      </c>
      <c r="BN983" s="8">
        <f t="shared" si="548"/>
        <v>446.93994900458358</v>
      </c>
      <c r="BO983" s="24">
        <f t="shared" si="549"/>
        <v>43.016356978304479</v>
      </c>
      <c r="BP983" s="11"/>
      <c r="BQ983" s="11"/>
    </row>
    <row r="984" spans="1:69" x14ac:dyDescent="0.3">
      <c r="A984" s="20">
        <v>982</v>
      </c>
      <c r="B984" s="2" t="s">
        <v>189</v>
      </c>
      <c r="C984" s="2">
        <v>2021</v>
      </c>
      <c r="D984" s="2" t="s">
        <v>510</v>
      </c>
      <c r="E984" s="41" t="s">
        <v>804</v>
      </c>
      <c r="F984" s="20" t="s">
        <v>29</v>
      </c>
      <c r="G984" s="2" t="s">
        <v>472</v>
      </c>
      <c r="H984" s="2" t="str">
        <f>'PFAS Properties'!$B$46</f>
        <v>PFOS</v>
      </c>
      <c r="I984" s="2" t="str">
        <f>'PFAS Properties'!$C$46</f>
        <v>PFSA</v>
      </c>
      <c r="J984" s="2" t="str">
        <f>'PFAS Properties'!$D$46</f>
        <v>C8HF17O3S</v>
      </c>
      <c r="K984" s="25">
        <f>'PFAS Properties'!$P$46</f>
        <v>499.93739999999997</v>
      </c>
      <c r="L984" s="2">
        <f>'PFAS Properties'!$X$46</f>
        <v>0.1</v>
      </c>
      <c r="M984" s="2" t="str">
        <f>'PFAS Properties'!$Y$46</f>
        <v>-</v>
      </c>
      <c r="N984" s="33">
        <v>0</v>
      </c>
      <c r="O984" s="33">
        <v>0</v>
      </c>
      <c r="P984" s="33">
        <v>0</v>
      </c>
      <c r="Q984" s="33">
        <f t="shared" si="550"/>
        <v>0.99999563486073217</v>
      </c>
      <c r="R984" s="33">
        <v>0</v>
      </c>
      <c r="S984" s="33">
        <f t="shared" si="551"/>
        <v>4.3651392678776466E-6</v>
      </c>
      <c r="T984" s="8">
        <f t="shared" si="529"/>
        <v>1</v>
      </c>
      <c r="U984" s="33">
        <f t="shared" si="530"/>
        <v>0</v>
      </c>
      <c r="V984" s="33">
        <f t="shared" si="531"/>
        <v>-0.99999563486073217</v>
      </c>
      <c r="W984" s="33">
        <f t="shared" si="532"/>
        <v>498.93740436513929</v>
      </c>
      <c r="X984" s="33">
        <v>96485</v>
      </c>
      <c r="Y984" s="16">
        <f t="shared" si="533"/>
        <v>-193.38012741760102</v>
      </c>
      <c r="Z984" s="16">
        <v>8</v>
      </c>
      <c r="AA984" s="16">
        <v>17</v>
      </c>
      <c r="AB984" s="8">
        <f t="shared" si="534"/>
        <v>0.29721362229102166</v>
      </c>
      <c r="AC984" s="16">
        <f t="shared" si="539"/>
        <v>64.60808893273439</v>
      </c>
      <c r="AD984" s="20">
        <f>'PFAS Properties'!$W$46</f>
        <v>8</v>
      </c>
      <c r="AE984" s="8">
        <f>'PFAS Properties'!$S$46</f>
        <v>2.0166155475571776</v>
      </c>
      <c r="AF984" s="15">
        <f>'PFAS Properties'!$V$46</f>
        <v>5</v>
      </c>
      <c r="AG984" s="26">
        <v>5.46</v>
      </c>
      <c r="AH984" s="1" t="s">
        <v>190</v>
      </c>
      <c r="AI984" s="39">
        <f t="shared" si="540"/>
        <v>21.612015</v>
      </c>
      <c r="AJ984" s="1">
        <v>387</v>
      </c>
      <c r="AK984" s="8">
        <f t="shared" si="541"/>
        <v>2.1612014999999998</v>
      </c>
      <c r="AL984" s="39">
        <f t="shared" si="542"/>
        <v>3.9120999999999997</v>
      </c>
      <c r="AM984" s="1">
        <v>145</v>
      </c>
      <c r="AN984" s="8">
        <f t="shared" si="543"/>
        <v>0.39120999999999995</v>
      </c>
      <c r="AO984" s="3" t="s">
        <v>93</v>
      </c>
      <c r="AP984" s="3">
        <v>34.5</v>
      </c>
      <c r="AQ984" s="3" t="s">
        <v>661</v>
      </c>
      <c r="AR984" s="4">
        <v>46.8</v>
      </c>
      <c r="AS984" s="4">
        <v>34.299999999999997</v>
      </c>
      <c r="AT984" s="4">
        <v>18.899999999999999</v>
      </c>
      <c r="AU984" s="3" t="s">
        <v>661</v>
      </c>
      <c r="AV984" s="16">
        <f t="shared" si="535"/>
        <v>100</v>
      </c>
      <c r="AW984" s="7">
        <v>1.3</v>
      </c>
      <c r="AX984" s="1">
        <f t="shared" si="544"/>
        <v>1.3000000000000001E-2</v>
      </c>
      <c r="AY984" s="1" t="s">
        <v>511</v>
      </c>
      <c r="AZ984" s="1">
        <f t="shared" si="545"/>
        <v>100</v>
      </c>
      <c r="BA984" s="1" t="s">
        <v>55</v>
      </c>
      <c r="BB984" s="1">
        <v>5</v>
      </c>
      <c r="BC984" s="1">
        <v>500</v>
      </c>
      <c r="BD984" s="26">
        <f t="shared" si="552"/>
        <v>31.709931927457401</v>
      </c>
      <c r="BE984" s="16">
        <f t="shared" si="536"/>
        <v>2439.2255328813385</v>
      </c>
      <c r="BF984" s="16">
        <f t="shared" si="537"/>
        <v>3.3872519574098972</v>
      </c>
      <c r="BG984" s="8">
        <f t="shared" si="538"/>
        <v>1.5011953097167339</v>
      </c>
      <c r="BH984" s="13" t="s">
        <v>782</v>
      </c>
      <c r="BI984" s="8">
        <v>64</v>
      </c>
      <c r="BJ984" s="13" t="s">
        <v>349</v>
      </c>
      <c r="BK984" s="15">
        <v>0.7</v>
      </c>
      <c r="BL984" s="16">
        <f t="shared" si="547"/>
        <v>64</v>
      </c>
      <c r="BM984" s="18">
        <f>'PFAS Properties'!$U$46</f>
        <v>10.39</v>
      </c>
      <c r="BN984" s="8">
        <f t="shared" si="548"/>
        <v>329.46619272628243</v>
      </c>
      <c r="BO984" s="24">
        <f t="shared" si="549"/>
        <v>31.709931927457401</v>
      </c>
      <c r="BP984" s="11"/>
      <c r="BQ984" s="11"/>
    </row>
    <row r="985" spans="1:69" x14ac:dyDescent="0.3">
      <c r="A985" s="20">
        <v>983</v>
      </c>
      <c r="B985" s="2" t="s">
        <v>189</v>
      </c>
      <c r="C985" s="2">
        <v>2021</v>
      </c>
      <c r="D985" s="2" t="s">
        <v>510</v>
      </c>
      <c r="E985" s="41" t="s">
        <v>804</v>
      </c>
      <c r="F985" s="20" t="s">
        <v>29</v>
      </c>
      <c r="G985" s="2" t="s">
        <v>473</v>
      </c>
      <c r="H985" s="2" t="str">
        <f>'PFAS Properties'!$B$46</f>
        <v>PFOS</v>
      </c>
      <c r="I985" s="2" t="str">
        <f>'PFAS Properties'!$C$46</f>
        <v>PFSA</v>
      </c>
      <c r="J985" s="2" t="str">
        <f>'PFAS Properties'!$D$46</f>
        <v>C8HF17O3S</v>
      </c>
      <c r="K985" s="25">
        <f>'PFAS Properties'!$P$46</f>
        <v>499.93739999999997</v>
      </c>
      <c r="L985" s="2">
        <f>'PFAS Properties'!$X$46</f>
        <v>0.1</v>
      </c>
      <c r="M985" s="2" t="str">
        <f>'PFAS Properties'!$Y$46</f>
        <v>-</v>
      </c>
      <c r="N985" s="33">
        <v>0</v>
      </c>
      <c r="O985" s="33">
        <v>0</v>
      </c>
      <c r="P985" s="33">
        <v>0</v>
      </c>
      <c r="Q985" s="33">
        <f t="shared" si="550"/>
        <v>0.99997910747519814</v>
      </c>
      <c r="R985" s="33">
        <v>0</v>
      </c>
      <c r="S985" s="33">
        <f t="shared" si="551"/>
        <v>2.0892524801828004E-5</v>
      </c>
      <c r="T985" s="8">
        <f t="shared" si="529"/>
        <v>1</v>
      </c>
      <c r="U985" s="33">
        <f t="shared" si="530"/>
        <v>0</v>
      </c>
      <c r="V985" s="33">
        <f t="shared" si="531"/>
        <v>-0.99997910747519814</v>
      </c>
      <c r="W985" s="33">
        <f t="shared" si="532"/>
        <v>498.93742089252476</v>
      </c>
      <c r="X985" s="33">
        <v>96485</v>
      </c>
      <c r="Y985" s="16">
        <f t="shared" si="533"/>
        <v>-193.37692493008601</v>
      </c>
      <c r="Z985" s="16">
        <v>8</v>
      </c>
      <c r="AA985" s="16">
        <v>17</v>
      </c>
      <c r="AB985" s="8">
        <f t="shared" si="534"/>
        <v>0.29721362229102166</v>
      </c>
      <c r="AC985" s="16">
        <f t="shared" si="539"/>
        <v>64.60808893273439</v>
      </c>
      <c r="AD985" s="20">
        <f>'PFAS Properties'!$W$46</f>
        <v>8</v>
      </c>
      <c r="AE985" s="8">
        <f>'PFAS Properties'!$S$46</f>
        <v>2.0166155475571776</v>
      </c>
      <c r="AF985" s="15">
        <f>'PFAS Properties'!$V$46</f>
        <v>5</v>
      </c>
      <c r="AG985" s="26">
        <v>4.78</v>
      </c>
      <c r="AH985" s="1" t="s">
        <v>190</v>
      </c>
      <c r="AI985" s="39">
        <f t="shared" si="540"/>
        <v>21.388634999999997</v>
      </c>
      <c r="AJ985" s="1">
        <v>383</v>
      </c>
      <c r="AK985" s="8">
        <f t="shared" si="541"/>
        <v>2.1388634999999998</v>
      </c>
      <c r="AL985" s="39">
        <f t="shared" si="542"/>
        <v>3.9120999999999997</v>
      </c>
      <c r="AM985" s="1">
        <v>145</v>
      </c>
      <c r="AN985" s="8">
        <f t="shared" si="543"/>
        <v>0.39120999999999995</v>
      </c>
      <c r="AO985" s="3" t="s">
        <v>93</v>
      </c>
      <c r="AP985" s="3">
        <v>12.1</v>
      </c>
      <c r="AQ985" s="3" t="s">
        <v>661</v>
      </c>
      <c r="AR985" s="4">
        <v>36.9</v>
      </c>
      <c r="AS985" s="4">
        <v>20.5</v>
      </c>
      <c r="AT985" s="4">
        <v>42.6</v>
      </c>
      <c r="AU985" s="3" t="s">
        <v>661</v>
      </c>
      <c r="AV985" s="16">
        <f t="shared" si="535"/>
        <v>100</v>
      </c>
      <c r="AW985" s="7">
        <v>3.5</v>
      </c>
      <c r="AX985" s="1">
        <f t="shared" si="544"/>
        <v>3.5000000000000003E-2</v>
      </c>
      <c r="AY985" s="1" t="s">
        <v>511</v>
      </c>
      <c r="AZ985" s="1">
        <f t="shared" si="545"/>
        <v>100</v>
      </c>
      <c r="BA985" s="1" t="s">
        <v>55</v>
      </c>
      <c r="BB985" s="1">
        <v>5</v>
      </c>
      <c r="BC985" s="1">
        <v>500</v>
      </c>
      <c r="BD985" s="26">
        <f t="shared" si="552"/>
        <v>62.677399323555726</v>
      </c>
      <c r="BE985" s="16">
        <f t="shared" si="536"/>
        <v>1790.7828378158777</v>
      </c>
      <c r="BF985" s="16">
        <f t="shared" si="537"/>
        <v>3.2530429236176075</v>
      </c>
      <c r="BG985" s="8">
        <f t="shared" si="538"/>
        <v>1.7971109679678832</v>
      </c>
      <c r="BH985" s="13" t="s">
        <v>782</v>
      </c>
      <c r="BI985" s="8">
        <v>100.1</v>
      </c>
      <c r="BJ985" s="13" t="s">
        <v>349</v>
      </c>
      <c r="BK985" s="15">
        <v>0.8</v>
      </c>
      <c r="BL985" s="16">
        <f t="shared" si="547"/>
        <v>100.1</v>
      </c>
      <c r="BM985" s="18">
        <f>'PFAS Properties'!$U$46</f>
        <v>10.39</v>
      </c>
      <c r="BN985" s="8">
        <f t="shared" si="548"/>
        <v>651.21817897174401</v>
      </c>
      <c r="BO985" s="24">
        <f t="shared" si="549"/>
        <v>62.677399323555726</v>
      </c>
      <c r="BP985" s="11"/>
      <c r="BQ985" s="11"/>
    </row>
    <row r="986" spans="1:69" x14ac:dyDescent="0.3">
      <c r="A986" s="20">
        <v>984</v>
      </c>
      <c r="B986" s="2" t="s">
        <v>189</v>
      </c>
      <c r="C986" s="2">
        <v>2021</v>
      </c>
      <c r="D986" s="2" t="s">
        <v>510</v>
      </c>
      <c r="E986" s="41" t="s">
        <v>804</v>
      </c>
      <c r="F986" s="20" t="s">
        <v>29</v>
      </c>
      <c r="G986" s="2" t="s">
        <v>474</v>
      </c>
      <c r="H986" s="2" t="str">
        <f>'PFAS Properties'!$B$46</f>
        <v>PFOS</v>
      </c>
      <c r="I986" s="2" t="str">
        <f>'PFAS Properties'!$C$46</f>
        <v>PFSA</v>
      </c>
      <c r="J986" s="2" t="str">
        <f>'PFAS Properties'!$D$46</f>
        <v>C8HF17O3S</v>
      </c>
      <c r="K986" s="25">
        <f>'PFAS Properties'!$P$46</f>
        <v>499.93739999999997</v>
      </c>
      <c r="L986" s="2">
        <f>'PFAS Properties'!$X$46</f>
        <v>0.1</v>
      </c>
      <c r="M986" s="2" t="str">
        <f>'PFAS Properties'!$Y$46</f>
        <v>-</v>
      </c>
      <c r="N986" s="33">
        <v>0</v>
      </c>
      <c r="O986" s="33">
        <v>0</v>
      </c>
      <c r="P986" s="33">
        <v>0</v>
      </c>
      <c r="Q986" s="33">
        <f t="shared" si="550"/>
        <v>0.99998094575589147</v>
      </c>
      <c r="R986" s="33">
        <v>0</v>
      </c>
      <c r="S986" s="33">
        <f t="shared" si="551"/>
        <v>1.9054244108495825E-5</v>
      </c>
      <c r="T986" s="8">
        <f t="shared" si="529"/>
        <v>1</v>
      </c>
      <c r="U986" s="33">
        <f t="shared" si="530"/>
        <v>0</v>
      </c>
      <c r="V986" s="33">
        <f t="shared" si="531"/>
        <v>-0.99998094575589147</v>
      </c>
      <c r="W986" s="33">
        <f t="shared" si="532"/>
        <v>498.93741905424406</v>
      </c>
      <c r="X986" s="33">
        <v>96485</v>
      </c>
      <c r="Y986" s="16">
        <f t="shared" si="533"/>
        <v>-193.37728113105828</v>
      </c>
      <c r="Z986" s="16">
        <v>8</v>
      </c>
      <c r="AA986" s="16">
        <v>17</v>
      </c>
      <c r="AB986" s="8">
        <f t="shared" si="534"/>
        <v>0.29721362229102166</v>
      </c>
      <c r="AC986" s="16">
        <f t="shared" si="539"/>
        <v>64.60808893273439</v>
      </c>
      <c r="AD986" s="20">
        <f>'PFAS Properties'!$W$46</f>
        <v>8</v>
      </c>
      <c r="AE986" s="8">
        <f>'PFAS Properties'!$S$46</f>
        <v>2.0166155475571776</v>
      </c>
      <c r="AF986" s="15">
        <f>'PFAS Properties'!$V$46</f>
        <v>5</v>
      </c>
      <c r="AG986" s="26">
        <v>4.82</v>
      </c>
      <c r="AH986" s="1" t="s">
        <v>190</v>
      </c>
      <c r="AI986" s="39">
        <f t="shared" si="540"/>
        <v>10.778084999999999</v>
      </c>
      <c r="AJ986" s="1">
        <v>193</v>
      </c>
      <c r="AK986" s="8">
        <f t="shared" si="541"/>
        <v>1.0778084999999999</v>
      </c>
      <c r="AL986" s="39">
        <f t="shared" si="542"/>
        <v>1.51088</v>
      </c>
      <c r="AM986" s="1">
        <v>56</v>
      </c>
      <c r="AN986" s="8">
        <f t="shared" si="543"/>
        <v>0.151088</v>
      </c>
      <c r="AO986" s="3" t="s">
        <v>93</v>
      </c>
      <c r="AP986" s="3">
        <v>11.8</v>
      </c>
      <c r="AQ986" s="3" t="s">
        <v>661</v>
      </c>
      <c r="AR986" s="4">
        <v>36.1</v>
      </c>
      <c r="AS986" s="4">
        <v>38</v>
      </c>
      <c r="AT986" s="4">
        <v>25.9</v>
      </c>
      <c r="AU986" s="3" t="s">
        <v>661</v>
      </c>
      <c r="AV986" s="16">
        <f t="shared" si="535"/>
        <v>100</v>
      </c>
      <c r="AW986" s="7">
        <v>1.5</v>
      </c>
      <c r="AX986" s="1">
        <f t="shared" si="544"/>
        <v>1.4999999999999999E-2</v>
      </c>
      <c r="AY986" s="1" t="s">
        <v>511</v>
      </c>
      <c r="AZ986" s="1">
        <f t="shared" si="545"/>
        <v>100</v>
      </c>
      <c r="BA986" s="1" t="s">
        <v>55</v>
      </c>
      <c r="BB986" s="1">
        <v>5</v>
      </c>
      <c r="BC986" s="1">
        <v>500</v>
      </c>
      <c r="BD986" s="26">
        <f t="shared" si="552"/>
        <v>53.786099919015356</v>
      </c>
      <c r="BE986" s="16">
        <f t="shared" si="536"/>
        <v>3585.7399946010237</v>
      </c>
      <c r="BF986" s="16">
        <f t="shared" si="537"/>
        <v>3.5545787952641255</v>
      </c>
      <c r="BG986" s="8">
        <f t="shared" si="538"/>
        <v>1.7306700543198068</v>
      </c>
      <c r="BH986" s="13" t="s">
        <v>782</v>
      </c>
      <c r="BI986" s="8">
        <v>85.9</v>
      </c>
      <c r="BJ986" s="13" t="s">
        <v>349</v>
      </c>
      <c r="BK986" s="15">
        <v>0.8</v>
      </c>
      <c r="BL986" s="16">
        <f t="shared" si="547"/>
        <v>85.9</v>
      </c>
      <c r="BM986" s="18">
        <f>'PFAS Properties'!$U$46</f>
        <v>10.39</v>
      </c>
      <c r="BN986" s="8">
        <f t="shared" si="548"/>
        <v>558.83757815856961</v>
      </c>
      <c r="BO986" s="24">
        <f t="shared" si="549"/>
        <v>53.786099919015356</v>
      </c>
      <c r="BP986" s="11"/>
      <c r="BQ986" s="11"/>
    </row>
    <row r="987" spans="1:69" x14ac:dyDescent="0.3">
      <c r="A987" s="20">
        <v>985</v>
      </c>
      <c r="B987" s="2" t="s">
        <v>189</v>
      </c>
      <c r="C987" s="2">
        <v>2021</v>
      </c>
      <c r="D987" s="2" t="s">
        <v>510</v>
      </c>
      <c r="E987" s="41" t="s">
        <v>804</v>
      </c>
      <c r="F987" s="20" t="s">
        <v>29</v>
      </c>
      <c r="G987" s="2" t="s">
        <v>475</v>
      </c>
      <c r="H987" s="2" t="str">
        <f>'PFAS Properties'!$B$46</f>
        <v>PFOS</v>
      </c>
      <c r="I987" s="2" t="str">
        <f>'PFAS Properties'!$C$46</f>
        <v>PFSA</v>
      </c>
      <c r="J987" s="2" t="str">
        <f>'PFAS Properties'!$D$46</f>
        <v>C8HF17O3S</v>
      </c>
      <c r="K987" s="25">
        <f>'PFAS Properties'!$P$46</f>
        <v>499.93739999999997</v>
      </c>
      <c r="L987" s="2">
        <f>'PFAS Properties'!$X$46</f>
        <v>0.1</v>
      </c>
      <c r="M987" s="2" t="str">
        <f>'PFAS Properties'!$Y$46</f>
        <v>-</v>
      </c>
      <c r="N987" s="33">
        <v>0</v>
      </c>
      <c r="O987" s="33">
        <v>0</v>
      </c>
      <c r="P987" s="33">
        <v>0</v>
      </c>
      <c r="Q987" s="33">
        <f t="shared" si="550"/>
        <v>0.99999573422300891</v>
      </c>
      <c r="R987" s="33">
        <v>0</v>
      </c>
      <c r="S987" s="33">
        <f t="shared" si="551"/>
        <v>4.2657769910849565E-6</v>
      </c>
      <c r="T987" s="8">
        <f t="shared" si="529"/>
        <v>1</v>
      </c>
      <c r="U987" s="33">
        <f t="shared" si="530"/>
        <v>0</v>
      </c>
      <c r="V987" s="33">
        <f t="shared" si="531"/>
        <v>-0.99999573422300891</v>
      </c>
      <c r="W987" s="33">
        <f t="shared" si="532"/>
        <v>498.93740426577699</v>
      </c>
      <c r="X987" s="33">
        <v>96485</v>
      </c>
      <c r="Y987" s="16">
        <f t="shared" si="533"/>
        <v>-193.38014667088586</v>
      </c>
      <c r="Z987" s="16">
        <v>8</v>
      </c>
      <c r="AA987" s="16">
        <v>17</v>
      </c>
      <c r="AB987" s="8">
        <f t="shared" si="534"/>
        <v>0.29721362229102166</v>
      </c>
      <c r="AC987" s="16">
        <f t="shared" si="539"/>
        <v>64.60808893273439</v>
      </c>
      <c r="AD987" s="20">
        <f>'PFAS Properties'!$W$46</f>
        <v>8</v>
      </c>
      <c r="AE987" s="8">
        <f>'PFAS Properties'!$S$46</f>
        <v>2.0166155475571776</v>
      </c>
      <c r="AF987" s="15">
        <f>'PFAS Properties'!$V$46</f>
        <v>5</v>
      </c>
      <c r="AG987" s="26">
        <v>5.47</v>
      </c>
      <c r="AH987" s="1" t="s">
        <v>190</v>
      </c>
      <c r="AI987" s="39">
        <f t="shared" si="540"/>
        <v>34.791435</v>
      </c>
      <c r="AJ987" s="1">
        <v>623</v>
      </c>
      <c r="AK987" s="8">
        <f t="shared" si="541"/>
        <v>3.4791435000000002</v>
      </c>
      <c r="AL987" s="39">
        <f t="shared" si="542"/>
        <v>2.4012200000000004</v>
      </c>
      <c r="AM987" s="1">
        <v>89</v>
      </c>
      <c r="AN987" s="8">
        <f t="shared" si="543"/>
        <v>0.24012200000000003</v>
      </c>
      <c r="AO987" s="3" t="s">
        <v>93</v>
      </c>
      <c r="AP987" s="3">
        <v>22.5</v>
      </c>
      <c r="AQ987" s="3" t="s">
        <v>661</v>
      </c>
      <c r="AR987" s="4">
        <v>20.3</v>
      </c>
      <c r="AS987" s="4">
        <v>39.200000000000003</v>
      </c>
      <c r="AT987" s="4">
        <v>40.6</v>
      </c>
      <c r="AU987" s="3" t="s">
        <v>661</v>
      </c>
      <c r="AV987" s="16">
        <f t="shared" si="535"/>
        <v>100.1</v>
      </c>
      <c r="AW987" s="7">
        <v>1.9</v>
      </c>
      <c r="AX987" s="1">
        <f t="shared" si="544"/>
        <v>1.9E-2</v>
      </c>
      <c r="AY987" s="1" t="s">
        <v>511</v>
      </c>
      <c r="AZ987" s="1">
        <f t="shared" si="545"/>
        <v>100</v>
      </c>
      <c r="BA987" s="1" t="s">
        <v>55</v>
      </c>
      <c r="BB987" s="1">
        <v>5</v>
      </c>
      <c r="BC987" s="1">
        <v>500</v>
      </c>
      <c r="BD987" s="26">
        <f t="shared" si="552"/>
        <v>40.636995165821851</v>
      </c>
      <c r="BE987" s="16">
        <f t="shared" si="536"/>
        <v>2138.7892192537815</v>
      </c>
      <c r="BF987" s="16">
        <f t="shared" si="537"/>
        <v>3.3301679863361047</v>
      </c>
      <c r="BG987" s="8">
        <f t="shared" si="538"/>
        <v>1.6089215872889338</v>
      </c>
      <c r="BH987" s="13" t="s">
        <v>782</v>
      </c>
      <c r="BI987" s="8">
        <v>64.900000000000006</v>
      </c>
      <c r="BJ987" s="13" t="s">
        <v>349</v>
      </c>
      <c r="BK987" s="15">
        <v>0.8</v>
      </c>
      <c r="BL987" s="16">
        <f t="shared" si="547"/>
        <v>64.900000000000006</v>
      </c>
      <c r="BM987" s="18">
        <f>'PFAS Properties'!$U$46</f>
        <v>10.39</v>
      </c>
      <c r="BN987" s="8">
        <f t="shared" si="548"/>
        <v>422.21837977288902</v>
      </c>
      <c r="BO987" s="24">
        <f t="shared" si="549"/>
        <v>40.636995165821851</v>
      </c>
      <c r="BP987" s="11"/>
      <c r="BQ987" s="11"/>
    </row>
    <row r="988" spans="1:69" x14ac:dyDescent="0.3">
      <c r="A988" s="20">
        <v>986</v>
      </c>
      <c r="B988" s="2" t="s">
        <v>189</v>
      </c>
      <c r="C988" s="2">
        <v>2021</v>
      </c>
      <c r="D988" s="2" t="s">
        <v>510</v>
      </c>
      <c r="E988" s="41" t="s">
        <v>804</v>
      </c>
      <c r="F988" s="20" t="s">
        <v>29</v>
      </c>
      <c r="G988" s="2" t="s">
        <v>476</v>
      </c>
      <c r="H988" s="2" t="str">
        <f>'PFAS Properties'!$B$46</f>
        <v>PFOS</v>
      </c>
      <c r="I988" s="2" t="str">
        <f>'PFAS Properties'!$C$46</f>
        <v>PFSA</v>
      </c>
      <c r="J988" s="2" t="str">
        <f>'PFAS Properties'!$D$46</f>
        <v>C8HF17O3S</v>
      </c>
      <c r="K988" s="25">
        <f>'PFAS Properties'!$P$46</f>
        <v>499.93739999999997</v>
      </c>
      <c r="L988" s="2">
        <f>'PFAS Properties'!$X$46</f>
        <v>0.1</v>
      </c>
      <c r="M988" s="2" t="str">
        <f>'PFAS Properties'!$Y$46</f>
        <v>-</v>
      </c>
      <c r="N988" s="33">
        <v>0</v>
      </c>
      <c r="O988" s="33">
        <v>0</v>
      </c>
      <c r="P988" s="33">
        <v>0</v>
      </c>
      <c r="Q988" s="33">
        <f t="shared" si="550"/>
        <v>0.99998378216204897</v>
      </c>
      <c r="R988" s="33">
        <v>0</v>
      </c>
      <c r="S988" s="33">
        <f t="shared" si="551"/>
        <v>1.6217837951055827E-5</v>
      </c>
      <c r="T988" s="8">
        <f t="shared" si="529"/>
        <v>1</v>
      </c>
      <c r="U988" s="33">
        <f t="shared" si="530"/>
        <v>0</v>
      </c>
      <c r="V988" s="33">
        <f t="shared" si="531"/>
        <v>-0.99998378216204897</v>
      </c>
      <c r="W988" s="33">
        <f t="shared" si="532"/>
        <v>498.93741621783789</v>
      </c>
      <c r="X988" s="33">
        <v>96485</v>
      </c>
      <c r="Y988" s="16">
        <f t="shared" si="533"/>
        <v>-193.37783073735298</v>
      </c>
      <c r="Z988" s="16">
        <v>8</v>
      </c>
      <c r="AA988" s="16">
        <v>17</v>
      </c>
      <c r="AB988" s="8">
        <f t="shared" si="534"/>
        <v>0.29721362229102166</v>
      </c>
      <c r="AC988" s="16">
        <f t="shared" si="539"/>
        <v>64.60808893273439</v>
      </c>
      <c r="AD988" s="20">
        <f>'PFAS Properties'!$W$46</f>
        <v>8</v>
      </c>
      <c r="AE988" s="8">
        <f>'PFAS Properties'!$S$46</f>
        <v>2.0166155475571776</v>
      </c>
      <c r="AF988" s="15">
        <f>'PFAS Properties'!$V$46</f>
        <v>5</v>
      </c>
      <c r="AG988" s="26">
        <v>4.8899999999999997</v>
      </c>
      <c r="AH988" s="1" t="s">
        <v>190</v>
      </c>
      <c r="AI988" s="39">
        <f t="shared" si="540"/>
        <v>0</v>
      </c>
      <c r="AJ988" s="1">
        <v>0</v>
      </c>
      <c r="AK988" s="8">
        <f t="shared" si="541"/>
        <v>0</v>
      </c>
      <c r="AL988" s="39">
        <f t="shared" si="542"/>
        <v>23.68844</v>
      </c>
      <c r="AM988" s="1">
        <v>878</v>
      </c>
      <c r="AN988" s="8">
        <f t="shared" si="543"/>
        <v>2.3688440000000002</v>
      </c>
      <c r="AO988" s="3" t="s">
        <v>93</v>
      </c>
      <c r="AP988" s="3">
        <v>7.6</v>
      </c>
      <c r="AQ988" s="3" t="s">
        <v>661</v>
      </c>
      <c r="AR988" s="4">
        <v>32.9</v>
      </c>
      <c r="AS988" s="4">
        <v>23.6</v>
      </c>
      <c r="AT988" s="4">
        <v>43.5</v>
      </c>
      <c r="AU988" s="3" t="s">
        <v>661</v>
      </c>
      <c r="AV988" s="16">
        <f t="shared" si="535"/>
        <v>100</v>
      </c>
      <c r="AW988" s="7">
        <v>2.9</v>
      </c>
      <c r="AX988" s="1">
        <f t="shared" si="544"/>
        <v>2.8999999999999998E-2</v>
      </c>
      <c r="AY988" s="1" t="s">
        <v>511</v>
      </c>
      <c r="AZ988" s="1">
        <f t="shared" si="545"/>
        <v>100</v>
      </c>
      <c r="BA988" s="1" t="s">
        <v>55</v>
      </c>
      <c r="BB988" s="1">
        <v>5</v>
      </c>
      <c r="BC988" s="1">
        <v>500</v>
      </c>
      <c r="BD988" s="26">
        <f t="shared" si="552"/>
        <v>65.550374906290855</v>
      </c>
      <c r="BE988" s="16">
        <f t="shared" si="536"/>
        <v>2260.3577553893401</v>
      </c>
      <c r="BF988" s="16">
        <f t="shared" si="537"/>
        <v>3.3541771820213917</v>
      </c>
      <c r="BG988" s="8">
        <f t="shared" si="538"/>
        <v>1.8165751799203478</v>
      </c>
      <c r="BH988" s="13" t="s">
        <v>782</v>
      </c>
      <c r="BI988" s="8">
        <v>132.30000000000001</v>
      </c>
      <c r="BJ988" s="13" t="s">
        <v>349</v>
      </c>
      <c r="BK988" s="15">
        <v>0.7</v>
      </c>
      <c r="BL988" s="16">
        <f t="shared" si="547"/>
        <v>132.30000000000001</v>
      </c>
      <c r="BM988" s="18">
        <f>'PFAS Properties'!$U$46</f>
        <v>10.39</v>
      </c>
      <c r="BN988" s="8">
        <f t="shared" si="548"/>
        <v>681.06839527636203</v>
      </c>
      <c r="BO988" s="24">
        <f t="shared" si="549"/>
        <v>65.550374906290855</v>
      </c>
      <c r="BP988" s="11"/>
      <c r="BQ988" s="11"/>
    </row>
    <row r="989" spans="1:69" x14ac:dyDescent="0.3">
      <c r="A989" s="20">
        <v>987</v>
      </c>
      <c r="B989" s="2" t="s">
        <v>189</v>
      </c>
      <c r="C989" s="2">
        <v>2021</v>
      </c>
      <c r="D989" s="2" t="s">
        <v>510</v>
      </c>
      <c r="E989" s="41" t="s">
        <v>804</v>
      </c>
      <c r="F989" s="20" t="s">
        <v>29</v>
      </c>
      <c r="G989" s="2" t="s">
        <v>477</v>
      </c>
      <c r="H989" s="2" t="str">
        <f>'PFAS Properties'!$B$46</f>
        <v>PFOS</v>
      </c>
      <c r="I989" s="2" t="str">
        <f>'PFAS Properties'!$C$46</f>
        <v>PFSA</v>
      </c>
      <c r="J989" s="2" t="str">
        <f>'PFAS Properties'!$D$46</f>
        <v>C8HF17O3S</v>
      </c>
      <c r="K989" s="25">
        <f>'PFAS Properties'!$P$46</f>
        <v>499.93739999999997</v>
      </c>
      <c r="L989" s="2">
        <f>'PFAS Properties'!$X$46</f>
        <v>0.1</v>
      </c>
      <c r="M989" s="2" t="str">
        <f>'PFAS Properties'!$Y$46</f>
        <v>-</v>
      </c>
      <c r="N989" s="33">
        <v>0</v>
      </c>
      <c r="O989" s="33">
        <v>0</v>
      </c>
      <c r="P989" s="33">
        <v>0</v>
      </c>
      <c r="Q989" s="33">
        <f t="shared" si="550"/>
        <v>0.99998554581121912</v>
      </c>
      <c r="R989" s="33">
        <v>0</v>
      </c>
      <c r="S989" s="33">
        <f t="shared" si="551"/>
        <v>1.4454188780866049E-5</v>
      </c>
      <c r="T989" s="8">
        <f t="shared" si="529"/>
        <v>1</v>
      </c>
      <c r="U989" s="33">
        <f t="shared" si="530"/>
        <v>0</v>
      </c>
      <c r="V989" s="33">
        <f t="shared" si="531"/>
        <v>-0.99998554581121912</v>
      </c>
      <c r="W989" s="33">
        <f t="shared" si="532"/>
        <v>498.93741445418874</v>
      </c>
      <c r="X989" s="33">
        <v>96485</v>
      </c>
      <c r="Y989" s="16">
        <f t="shared" si="533"/>
        <v>-193.37817247709006</v>
      </c>
      <c r="Z989" s="16">
        <v>8</v>
      </c>
      <c r="AA989" s="16">
        <v>17</v>
      </c>
      <c r="AB989" s="8">
        <f t="shared" si="534"/>
        <v>0.29721362229102166</v>
      </c>
      <c r="AC989" s="16">
        <f t="shared" si="539"/>
        <v>64.60808893273439</v>
      </c>
      <c r="AD989" s="20">
        <f>'PFAS Properties'!$W$46</f>
        <v>8</v>
      </c>
      <c r="AE989" s="8">
        <f>'PFAS Properties'!$S$46</f>
        <v>2.0166155475571776</v>
      </c>
      <c r="AF989" s="15">
        <f>'PFAS Properties'!$V$46</f>
        <v>5</v>
      </c>
      <c r="AG989" s="26">
        <v>4.9400000000000004</v>
      </c>
      <c r="AH989" s="1" t="s">
        <v>190</v>
      </c>
      <c r="AI989" s="39">
        <f t="shared" si="540"/>
        <v>112.02507</v>
      </c>
      <c r="AJ989" s="1">
        <v>2006</v>
      </c>
      <c r="AK989" s="8">
        <f t="shared" si="541"/>
        <v>11.202507000000001</v>
      </c>
      <c r="AL989" s="39">
        <f t="shared" si="542"/>
        <v>22.798099999999998</v>
      </c>
      <c r="AM989" s="1">
        <v>845</v>
      </c>
      <c r="AN989" s="8">
        <f t="shared" si="543"/>
        <v>2.2798099999999999</v>
      </c>
      <c r="AO989" s="3" t="s">
        <v>93</v>
      </c>
      <c r="AP989" s="3">
        <v>18</v>
      </c>
      <c r="AQ989" s="3" t="s">
        <v>661</v>
      </c>
      <c r="AR989" s="4">
        <v>23.3</v>
      </c>
      <c r="AS989" s="4">
        <v>28.5</v>
      </c>
      <c r="AT989" s="4">
        <v>48.2</v>
      </c>
      <c r="AU989" s="3" t="s">
        <v>661</v>
      </c>
      <c r="AV989" s="16">
        <f t="shared" si="535"/>
        <v>100</v>
      </c>
      <c r="AW989" s="7">
        <v>2.4</v>
      </c>
      <c r="AX989" s="1">
        <f t="shared" si="544"/>
        <v>2.4E-2</v>
      </c>
      <c r="AY989" s="1" t="s">
        <v>511</v>
      </c>
      <c r="AZ989" s="1">
        <f t="shared" si="545"/>
        <v>100</v>
      </c>
      <c r="BA989" s="1" t="s">
        <v>55</v>
      </c>
      <c r="BB989" s="1">
        <v>5</v>
      </c>
      <c r="BC989" s="1">
        <v>500</v>
      </c>
      <c r="BD989" s="26">
        <f t="shared" si="552"/>
        <v>48.060365577552624</v>
      </c>
      <c r="BE989" s="16">
        <f t="shared" si="536"/>
        <v>2002.515232398026</v>
      </c>
      <c r="BF989" s="16">
        <f t="shared" si="537"/>
        <v>3.3015758282874854</v>
      </c>
      <c r="BG989" s="8">
        <f t="shared" si="538"/>
        <v>1.6817870699990916</v>
      </c>
      <c r="BH989" s="13" t="s">
        <v>782</v>
      </c>
      <c r="BI989" s="8">
        <v>97</v>
      </c>
      <c r="BJ989" s="13" t="s">
        <v>349</v>
      </c>
      <c r="BK989" s="15">
        <v>0.7</v>
      </c>
      <c r="BL989" s="16">
        <f t="shared" si="547"/>
        <v>97</v>
      </c>
      <c r="BM989" s="18">
        <f>'PFAS Properties'!$U$46</f>
        <v>10.39</v>
      </c>
      <c r="BN989" s="8">
        <f t="shared" si="548"/>
        <v>499.34719835077181</v>
      </c>
      <c r="BO989" s="24">
        <f t="shared" si="549"/>
        <v>48.060365577552624</v>
      </c>
      <c r="BP989" s="11"/>
      <c r="BQ989" s="11"/>
    </row>
    <row r="990" spans="1:69" x14ac:dyDescent="0.3">
      <c r="A990" s="20">
        <v>988</v>
      </c>
      <c r="B990" s="2" t="s">
        <v>189</v>
      </c>
      <c r="C990" s="2">
        <v>2021</v>
      </c>
      <c r="D990" s="2" t="s">
        <v>510</v>
      </c>
      <c r="E990" s="41" t="s">
        <v>804</v>
      </c>
      <c r="F990" s="20" t="s">
        <v>29</v>
      </c>
      <c r="G990" s="2" t="s">
        <v>478</v>
      </c>
      <c r="H990" s="2" t="str">
        <f>'PFAS Properties'!$B$46</f>
        <v>PFOS</v>
      </c>
      <c r="I990" s="2" t="str">
        <f>'PFAS Properties'!$C$46</f>
        <v>PFSA</v>
      </c>
      <c r="J990" s="2" t="str">
        <f>'PFAS Properties'!$D$46</f>
        <v>C8HF17O3S</v>
      </c>
      <c r="K990" s="25">
        <f>'PFAS Properties'!$P$46</f>
        <v>499.93739999999997</v>
      </c>
      <c r="L990" s="2">
        <f>'PFAS Properties'!$X$46</f>
        <v>0.1</v>
      </c>
      <c r="M990" s="2" t="str">
        <f>'PFAS Properties'!$Y$46</f>
        <v>-</v>
      </c>
      <c r="N990" s="33">
        <v>0</v>
      </c>
      <c r="O990" s="33">
        <v>0</v>
      </c>
      <c r="P990" s="33">
        <v>0</v>
      </c>
      <c r="Q990" s="33">
        <f t="shared" si="550"/>
        <v>0.99999943765899102</v>
      </c>
      <c r="R990" s="33">
        <v>0</v>
      </c>
      <c r="S990" s="33">
        <f t="shared" si="551"/>
        <v>5.6234100896276051E-7</v>
      </c>
      <c r="T990" s="8">
        <f t="shared" si="529"/>
        <v>1</v>
      </c>
      <c r="U990" s="33">
        <f t="shared" si="530"/>
        <v>0</v>
      </c>
      <c r="V990" s="33">
        <f t="shared" si="531"/>
        <v>-0.99999943765899102</v>
      </c>
      <c r="W990" s="33">
        <f t="shared" si="532"/>
        <v>498.93740056234094</v>
      </c>
      <c r="X990" s="33">
        <v>96485</v>
      </c>
      <c r="Y990" s="16">
        <f t="shared" si="533"/>
        <v>-193.38086428033213</v>
      </c>
      <c r="Z990" s="16">
        <v>8</v>
      </c>
      <c r="AA990" s="16">
        <v>17</v>
      </c>
      <c r="AB990" s="8">
        <f t="shared" si="534"/>
        <v>0.29721362229102166</v>
      </c>
      <c r="AC990" s="16">
        <f t="shared" si="539"/>
        <v>64.60808893273439</v>
      </c>
      <c r="AD990" s="20">
        <f>'PFAS Properties'!$W$46</f>
        <v>8</v>
      </c>
      <c r="AE990" s="8">
        <f>'PFAS Properties'!$S$46</f>
        <v>2.0166155475571776</v>
      </c>
      <c r="AF990" s="15">
        <f>'PFAS Properties'!$V$46</f>
        <v>5</v>
      </c>
      <c r="AG990" s="26">
        <v>6.35</v>
      </c>
      <c r="AH990" s="1" t="s">
        <v>190</v>
      </c>
      <c r="AI990" s="39">
        <f t="shared" si="540"/>
        <v>53.611199999999997</v>
      </c>
      <c r="AJ990" s="1">
        <v>960</v>
      </c>
      <c r="AK990" s="8">
        <f t="shared" si="541"/>
        <v>5.3611199999999997</v>
      </c>
      <c r="AL990" s="39">
        <f t="shared" si="542"/>
        <v>5.98956</v>
      </c>
      <c r="AM990" s="1">
        <v>222</v>
      </c>
      <c r="AN990" s="8">
        <f t="shared" si="543"/>
        <v>0.59895600000000004</v>
      </c>
      <c r="AO990" s="3" t="s">
        <v>93</v>
      </c>
      <c r="AP990" s="3">
        <v>35.4</v>
      </c>
      <c r="AQ990" s="3" t="s">
        <v>661</v>
      </c>
      <c r="AR990" s="4">
        <v>29.6</v>
      </c>
      <c r="AS990" s="4">
        <v>43</v>
      </c>
      <c r="AT990" s="4">
        <v>27.4</v>
      </c>
      <c r="AU990" s="3" t="s">
        <v>661</v>
      </c>
      <c r="AV990" s="16">
        <f t="shared" si="535"/>
        <v>100</v>
      </c>
      <c r="AW990" s="7">
        <v>1.6</v>
      </c>
      <c r="AX990" s="1">
        <f t="shared" si="544"/>
        <v>1.6E-2</v>
      </c>
      <c r="AY990" s="1" t="s">
        <v>511</v>
      </c>
      <c r="AZ990" s="1">
        <f t="shared" si="545"/>
        <v>100</v>
      </c>
      <c r="BA990" s="1" t="s">
        <v>55</v>
      </c>
      <c r="BB990" s="1">
        <v>5</v>
      </c>
      <c r="BC990" s="1">
        <v>500</v>
      </c>
      <c r="BD990" s="26">
        <f t="shared" si="552"/>
        <v>37.631485507949044</v>
      </c>
      <c r="BE990" s="16">
        <f t="shared" si="536"/>
        <v>2351.9678442468153</v>
      </c>
      <c r="BF990" s="16">
        <f t="shared" si="537"/>
        <v>3.3714313798353794</v>
      </c>
      <c r="BG990" s="8">
        <f t="shared" si="538"/>
        <v>1.575551362491304</v>
      </c>
      <c r="BH990" s="13" t="s">
        <v>782</v>
      </c>
      <c r="BI990" s="8">
        <v>60.1</v>
      </c>
      <c r="BJ990" s="13" t="s">
        <v>349</v>
      </c>
      <c r="BK990" s="15">
        <v>0.8</v>
      </c>
      <c r="BL990" s="16">
        <f t="shared" si="547"/>
        <v>60.1</v>
      </c>
      <c r="BM990" s="18">
        <f>'PFAS Properties'!$U$46</f>
        <v>10.39</v>
      </c>
      <c r="BN990" s="8">
        <f t="shared" si="548"/>
        <v>390.99113442759062</v>
      </c>
      <c r="BO990" s="24">
        <f t="shared" si="549"/>
        <v>37.631485507949044</v>
      </c>
      <c r="BP990" s="11"/>
      <c r="BQ990" s="11"/>
    </row>
    <row r="991" spans="1:69" x14ac:dyDescent="0.3">
      <c r="A991" s="20">
        <v>989</v>
      </c>
      <c r="B991" s="2" t="s">
        <v>189</v>
      </c>
      <c r="C991" s="2">
        <v>2021</v>
      </c>
      <c r="D991" s="2" t="s">
        <v>510</v>
      </c>
      <c r="E991" s="41" t="s">
        <v>804</v>
      </c>
      <c r="F991" s="20" t="s">
        <v>29</v>
      </c>
      <c r="G991" s="2" t="s">
        <v>479</v>
      </c>
      <c r="H991" s="2" t="str">
        <f>'PFAS Properties'!$B$46</f>
        <v>PFOS</v>
      </c>
      <c r="I991" s="2" t="str">
        <f>'PFAS Properties'!$C$46</f>
        <v>PFSA</v>
      </c>
      <c r="J991" s="2" t="str">
        <f>'PFAS Properties'!$D$46</f>
        <v>C8HF17O3S</v>
      </c>
      <c r="K991" s="25">
        <f>'PFAS Properties'!$P$46</f>
        <v>499.93739999999997</v>
      </c>
      <c r="L991" s="2">
        <f>'PFAS Properties'!$X$46</f>
        <v>0.1</v>
      </c>
      <c r="M991" s="2" t="str">
        <f>'PFAS Properties'!$Y$46</f>
        <v>-</v>
      </c>
      <c r="N991" s="33">
        <v>0</v>
      </c>
      <c r="O991" s="33">
        <v>0</v>
      </c>
      <c r="P991" s="33">
        <v>0</v>
      </c>
      <c r="Q991" s="33">
        <f t="shared" si="550"/>
        <v>0.99999841510931942</v>
      </c>
      <c r="R991" s="33">
        <v>0</v>
      </c>
      <c r="S991" s="33">
        <f t="shared" si="551"/>
        <v>1.5848906805786579E-6</v>
      </c>
      <c r="T991" s="8">
        <f t="shared" si="529"/>
        <v>1</v>
      </c>
      <c r="U991" s="33">
        <f t="shared" si="530"/>
        <v>0</v>
      </c>
      <c r="V991" s="33">
        <f t="shared" si="531"/>
        <v>-0.99999841510931942</v>
      </c>
      <c r="W991" s="33">
        <f t="shared" si="532"/>
        <v>498.93740158489061</v>
      </c>
      <c r="X991" s="33">
        <v>96485</v>
      </c>
      <c r="Y991" s="16">
        <f t="shared" si="533"/>
        <v>-193.38066614235672</v>
      </c>
      <c r="Z991" s="16">
        <v>8</v>
      </c>
      <c r="AA991" s="16">
        <v>17</v>
      </c>
      <c r="AB991" s="8">
        <f t="shared" si="534"/>
        <v>0.29721362229102166</v>
      </c>
      <c r="AC991" s="16">
        <f t="shared" si="539"/>
        <v>64.60808893273439</v>
      </c>
      <c r="AD991" s="20">
        <f>'PFAS Properties'!$W$46</f>
        <v>8</v>
      </c>
      <c r="AE991" s="8">
        <f>'PFAS Properties'!$S$46</f>
        <v>2.0166155475571776</v>
      </c>
      <c r="AF991" s="15">
        <f>'PFAS Properties'!$V$46</f>
        <v>5</v>
      </c>
      <c r="AG991" s="26">
        <v>5.9</v>
      </c>
      <c r="AH991" s="1" t="s">
        <v>190</v>
      </c>
      <c r="AI991" s="39">
        <f t="shared" si="540"/>
        <v>154.80233999999999</v>
      </c>
      <c r="AJ991" s="1">
        <v>2772</v>
      </c>
      <c r="AK991" s="8">
        <f t="shared" si="541"/>
        <v>15.480233999999999</v>
      </c>
      <c r="AL991" s="39">
        <f t="shared" si="542"/>
        <v>14.7041</v>
      </c>
      <c r="AM991" s="1">
        <v>545</v>
      </c>
      <c r="AN991" s="8">
        <f t="shared" si="543"/>
        <v>1.47041</v>
      </c>
      <c r="AO991" s="3" t="s">
        <v>93</v>
      </c>
      <c r="AP991" s="3">
        <v>41.9</v>
      </c>
      <c r="AQ991" s="3" t="s">
        <v>661</v>
      </c>
      <c r="AR991" s="4">
        <v>23.3</v>
      </c>
      <c r="AS991" s="4">
        <v>42</v>
      </c>
      <c r="AT991" s="4">
        <v>34.799999999999997</v>
      </c>
      <c r="AU991" s="3" t="s">
        <v>661</v>
      </c>
      <c r="AV991" s="16">
        <f t="shared" si="535"/>
        <v>100.1</v>
      </c>
      <c r="AW991" s="7">
        <v>2.5</v>
      </c>
      <c r="AX991" s="1">
        <f t="shared" si="544"/>
        <v>2.5000000000000001E-2</v>
      </c>
      <c r="AY991" s="1" t="s">
        <v>511</v>
      </c>
      <c r="AZ991" s="1">
        <f t="shared" si="545"/>
        <v>100</v>
      </c>
      <c r="BA991" s="1" t="s">
        <v>55</v>
      </c>
      <c r="BB991" s="1">
        <v>5</v>
      </c>
      <c r="BC991" s="1">
        <v>500</v>
      </c>
      <c r="BD991" s="26">
        <f t="shared" si="552"/>
        <v>30.917183629270966</v>
      </c>
      <c r="BE991" s="16">
        <f t="shared" si="536"/>
        <v>1236.6873451708386</v>
      </c>
      <c r="BF991" s="16">
        <f t="shared" si="537"/>
        <v>3.0922599167432332</v>
      </c>
      <c r="BG991" s="8">
        <f t="shared" si="538"/>
        <v>1.4901999254152707</v>
      </c>
      <c r="BH991" s="13" t="s">
        <v>782</v>
      </c>
      <c r="BI991" s="8">
        <v>62.4</v>
      </c>
      <c r="BJ991" s="13" t="s">
        <v>349</v>
      </c>
      <c r="BK991" s="15">
        <v>0.7</v>
      </c>
      <c r="BL991" s="16">
        <f t="shared" si="547"/>
        <v>62.4</v>
      </c>
      <c r="BM991" s="18">
        <f>'PFAS Properties'!$U$46</f>
        <v>10.39</v>
      </c>
      <c r="BN991" s="8">
        <f t="shared" si="548"/>
        <v>321.22953790812534</v>
      </c>
      <c r="BO991" s="24">
        <f t="shared" si="549"/>
        <v>30.917183629270966</v>
      </c>
      <c r="BP991" s="11"/>
      <c r="BQ991" s="11"/>
    </row>
    <row r="992" spans="1:69" x14ac:dyDescent="0.3">
      <c r="A992" s="20">
        <v>990</v>
      </c>
      <c r="B992" s="2" t="s">
        <v>189</v>
      </c>
      <c r="C992" s="2">
        <v>2021</v>
      </c>
      <c r="D992" s="2" t="s">
        <v>510</v>
      </c>
      <c r="E992" s="41" t="s">
        <v>804</v>
      </c>
      <c r="F992" s="20" t="s">
        <v>29</v>
      </c>
      <c r="G992" s="2" t="s">
        <v>480</v>
      </c>
      <c r="H992" s="2" t="str">
        <f>'PFAS Properties'!$B$46</f>
        <v>PFOS</v>
      </c>
      <c r="I992" s="2" t="str">
        <f>'PFAS Properties'!$C$46</f>
        <v>PFSA</v>
      </c>
      <c r="J992" s="2" t="str">
        <f>'PFAS Properties'!$D$46</f>
        <v>C8HF17O3S</v>
      </c>
      <c r="K992" s="25">
        <f>'PFAS Properties'!$P$46</f>
        <v>499.93739999999997</v>
      </c>
      <c r="L992" s="2">
        <f>'PFAS Properties'!$X$46</f>
        <v>0.1</v>
      </c>
      <c r="M992" s="2" t="str">
        <f>'PFAS Properties'!$Y$46</f>
        <v>-</v>
      </c>
      <c r="N992" s="33">
        <v>0</v>
      </c>
      <c r="O992" s="33">
        <v>0</v>
      </c>
      <c r="P992" s="33">
        <v>0</v>
      </c>
      <c r="Q992" s="33">
        <f t="shared" si="550"/>
        <v>0.99999935434618781</v>
      </c>
      <c r="R992" s="33">
        <v>0</v>
      </c>
      <c r="S992" s="33">
        <f t="shared" si="551"/>
        <v>6.4565381216553922E-7</v>
      </c>
      <c r="T992" s="8">
        <f t="shared" si="529"/>
        <v>1</v>
      </c>
      <c r="U992" s="33">
        <f t="shared" si="530"/>
        <v>0</v>
      </c>
      <c r="V992" s="33">
        <f t="shared" si="531"/>
        <v>-0.99999935434618781</v>
      </c>
      <c r="W992" s="33">
        <f t="shared" si="532"/>
        <v>498.93740064565378</v>
      </c>
      <c r="X992" s="33">
        <v>96485</v>
      </c>
      <c r="Y992" s="16">
        <f t="shared" si="533"/>
        <v>-193.38084813693033</v>
      </c>
      <c r="Z992" s="16">
        <v>8</v>
      </c>
      <c r="AA992" s="16">
        <v>17</v>
      </c>
      <c r="AB992" s="8">
        <f t="shared" si="534"/>
        <v>0.29721362229102166</v>
      </c>
      <c r="AC992" s="16">
        <f t="shared" si="539"/>
        <v>64.60808893273439</v>
      </c>
      <c r="AD992" s="20">
        <f>'PFAS Properties'!$W$46</f>
        <v>8</v>
      </c>
      <c r="AE992" s="8">
        <f>'PFAS Properties'!$S$46</f>
        <v>2.0166155475571776</v>
      </c>
      <c r="AF992" s="15">
        <f>'PFAS Properties'!$V$46</f>
        <v>5</v>
      </c>
      <c r="AG992" s="26">
        <v>6.29</v>
      </c>
      <c r="AH992" s="1" t="s">
        <v>190</v>
      </c>
      <c r="AI992" s="39">
        <f t="shared" si="540"/>
        <v>61.820415000000004</v>
      </c>
      <c r="AJ992" s="1">
        <v>1107</v>
      </c>
      <c r="AK992" s="8">
        <f t="shared" si="541"/>
        <v>6.1820415000000004</v>
      </c>
      <c r="AL992" s="39">
        <f t="shared" si="542"/>
        <v>8.3907800000000012</v>
      </c>
      <c r="AM992" s="1">
        <v>311</v>
      </c>
      <c r="AN992" s="8">
        <f t="shared" si="543"/>
        <v>0.8390780000000001</v>
      </c>
      <c r="AO992" s="3" t="s">
        <v>93</v>
      </c>
      <c r="AP992" s="3">
        <v>35.1</v>
      </c>
      <c r="AQ992" s="3" t="s">
        <v>661</v>
      </c>
      <c r="AR992" s="4">
        <v>27.5</v>
      </c>
      <c r="AS992" s="4">
        <v>36.1</v>
      </c>
      <c r="AT992" s="4">
        <v>36.5</v>
      </c>
      <c r="AU992" s="3" t="s">
        <v>661</v>
      </c>
      <c r="AV992" s="16">
        <f t="shared" si="535"/>
        <v>100.1</v>
      </c>
      <c r="AW992" s="7">
        <v>1.6</v>
      </c>
      <c r="AX992" s="1">
        <f t="shared" si="544"/>
        <v>1.6E-2</v>
      </c>
      <c r="AY992" s="1" t="s">
        <v>511</v>
      </c>
      <c r="AZ992" s="1">
        <f t="shared" si="545"/>
        <v>100</v>
      </c>
      <c r="BA992" s="1" t="s">
        <v>55</v>
      </c>
      <c r="BB992" s="1">
        <v>5</v>
      </c>
      <c r="BC992" s="1">
        <v>500</v>
      </c>
      <c r="BD992" s="26">
        <f t="shared" si="552"/>
        <v>30.994318346813273</v>
      </c>
      <c r="BE992" s="16">
        <f t="shared" si="536"/>
        <v>1937.1448966758296</v>
      </c>
      <c r="BF992" s="16">
        <f t="shared" si="537"/>
        <v>3.2871621067662087</v>
      </c>
      <c r="BG992" s="8">
        <f t="shared" si="538"/>
        <v>1.4912820894221333</v>
      </c>
      <c r="BH992" s="13" t="s">
        <v>782</v>
      </c>
      <c r="BI992" s="8">
        <v>49.5</v>
      </c>
      <c r="BJ992" s="13" t="s">
        <v>349</v>
      </c>
      <c r="BK992" s="15">
        <v>0.8</v>
      </c>
      <c r="BL992" s="16">
        <f t="shared" si="547"/>
        <v>49.5</v>
      </c>
      <c r="BM992" s="18">
        <f>'PFAS Properties'!$U$46</f>
        <v>10.39</v>
      </c>
      <c r="BN992" s="8">
        <f t="shared" si="548"/>
        <v>322.03096762338993</v>
      </c>
      <c r="BO992" s="24">
        <f t="shared" si="549"/>
        <v>30.994318346813273</v>
      </c>
      <c r="BP992" s="11"/>
      <c r="BQ992" s="11"/>
    </row>
    <row r="993" spans="1:69" x14ac:dyDescent="0.3">
      <c r="A993" s="20">
        <v>991</v>
      </c>
      <c r="B993" s="2" t="s">
        <v>189</v>
      </c>
      <c r="C993" s="2">
        <v>2021</v>
      </c>
      <c r="D993" s="2" t="s">
        <v>510</v>
      </c>
      <c r="E993" s="41" t="s">
        <v>804</v>
      </c>
      <c r="F993" s="20" t="s">
        <v>29</v>
      </c>
      <c r="G993" s="2" t="s">
        <v>481</v>
      </c>
      <c r="H993" s="2" t="str">
        <f>'PFAS Properties'!$B$46</f>
        <v>PFOS</v>
      </c>
      <c r="I993" s="2" t="str">
        <f>'PFAS Properties'!$C$46</f>
        <v>PFSA</v>
      </c>
      <c r="J993" s="2" t="str">
        <f>'PFAS Properties'!$D$46</f>
        <v>C8HF17O3S</v>
      </c>
      <c r="K993" s="25">
        <f>'PFAS Properties'!$P$46</f>
        <v>499.93739999999997</v>
      </c>
      <c r="L993" s="2">
        <f>'PFAS Properties'!$X$46</f>
        <v>0.1</v>
      </c>
      <c r="M993" s="2" t="str">
        <f>'PFAS Properties'!$Y$46</f>
        <v>-</v>
      </c>
      <c r="N993" s="33">
        <v>0</v>
      </c>
      <c r="O993" s="33">
        <v>0</v>
      </c>
      <c r="P993" s="33">
        <v>0</v>
      </c>
      <c r="Q993" s="33">
        <f t="shared" si="550"/>
        <v>0.99999960189298798</v>
      </c>
      <c r="R993" s="33">
        <v>0</v>
      </c>
      <c r="S993" s="33">
        <f t="shared" si="551"/>
        <v>3.9810701206424001E-7</v>
      </c>
      <c r="T993" s="8">
        <f t="shared" si="529"/>
        <v>1</v>
      </c>
      <c r="U993" s="33">
        <f t="shared" si="530"/>
        <v>0</v>
      </c>
      <c r="V993" s="33">
        <f t="shared" si="531"/>
        <v>-0.99999960189298798</v>
      </c>
      <c r="W993" s="33">
        <f t="shared" si="532"/>
        <v>498.937400398107</v>
      </c>
      <c r="X993" s="33">
        <v>96485</v>
      </c>
      <c r="Y993" s="16">
        <f t="shared" si="533"/>
        <v>-193.38089610371694</v>
      </c>
      <c r="Z993" s="16">
        <v>8</v>
      </c>
      <c r="AA993" s="16">
        <v>17</v>
      </c>
      <c r="AB993" s="8">
        <f t="shared" si="534"/>
        <v>0.29721362229102166</v>
      </c>
      <c r="AC993" s="16">
        <f t="shared" si="539"/>
        <v>64.60808893273439</v>
      </c>
      <c r="AD993" s="20">
        <f>'PFAS Properties'!$W$46</f>
        <v>8</v>
      </c>
      <c r="AE993" s="8">
        <f>'PFAS Properties'!$S$46</f>
        <v>2.0166155475571776</v>
      </c>
      <c r="AF993" s="15">
        <f>'PFAS Properties'!$V$46</f>
        <v>5</v>
      </c>
      <c r="AG993" s="26">
        <v>6.5</v>
      </c>
      <c r="AH993" s="1" t="s">
        <v>190</v>
      </c>
      <c r="AI993" s="39">
        <f t="shared" si="540"/>
        <v>158.82317999999998</v>
      </c>
      <c r="AJ993" s="1">
        <v>2844</v>
      </c>
      <c r="AK993" s="8">
        <f t="shared" si="541"/>
        <v>15.882317999999998</v>
      </c>
      <c r="AL993" s="39">
        <f t="shared" si="542"/>
        <v>15.891219999999999</v>
      </c>
      <c r="AM993" s="1">
        <v>589</v>
      </c>
      <c r="AN993" s="8">
        <f t="shared" si="543"/>
        <v>1.5891219999999999</v>
      </c>
      <c r="AO993" s="3" t="s">
        <v>93</v>
      </c>
      <c r="AP993" s="3">
        <v>39.9</v>
      </c>
      <c r="AQ993" s="3" t="s">
        <v>661</v>
      </c>
      <c r="AR993" s="4">
        <v>50.8</v>
      </c>
      <c r="AS993" s="4">
        <v>16</v>
      </c>
      <c r="AT993" s="4">
        <v>33.299999999999997</v>
      </c>
      <c r="AU993" s="3" t="s">
        <v>661</v>
      </c>
      <c r="AV993" s="16">
        <f t="shared" si="535"/>
        <v>100.1</v>
      </c>
      <c r="AW993" s="7">
        <v>2.2000000000000002</v>
      </c>
      <c r="AX993" s="1">
        <f t="shared" si="544"/>
        <v>2.2000000000000002E-2</v>
      </c>
      <c r="AY993" s="1" t="s">
        <v>511</v>
      </c>
      <c r="AZ993" s="1">
        <f t="shared" si="545"/>
        <v>100</v>
      </c>
      <c r="BA993" s="1" t="s">
        <v>55</v>
      </c>
      <c r="BB993" s="1">
        <v>5</v>
      </c>
      <c r="BC993" s="1">
        <v>500</v>
      </c>
      <c r="BD993" s="26">
        <f t="shared" si="552"/>
        <v>40.826537356601413</v>
      </c>
      <c r="BE993" s="16">
        <f t="shared" si="536"/>
        <v>1855.7516980273367</v>
      </c>
      <c r="BF993" s="16">
        <f t="shared" si="537"/>
        <v>3.2685198666077562</v>
      </c>
      <c r="BG993" s="8">
        <f t="shared" si="538"/>
        <v>1.6109425474299626</v>
      </c>
      <c r="BH993" s="13" t="s">
        <v>782</v>
      </c>
      <c r="BI993" s="8">
        <v>82.4</v>
      </c>
      <c r="BJ993" s="13" t="s">
        <v>349</v>
      </c>
      <c r="BK993" s="15">
        <v>0.7</v>
      </c>
      <c r="BL993" s="16">
        <f t="shared" si="547"/>
        <v>82.4</v>
      </c>
      <c r="BM993" s="18">
        <f>'PFAS Properties'!$U$46</f>
        <v>10.39</v>
      </c>
      <c r="BN993" s="8">
        <f t="shared" si="548"/>
        <v>424.18772313508867</v>
      </c>
      <c r="BO993" s="24">
        <f t="shared" si="549"/>
        <v>40.826537356601413</v>
      </c>
      <c r="BP993" s="11"/>
      <c r="BQ993" s="11"/>
    </row>
    <row r="994" spans="1:69" x14ac:dyDescent="0.3">
      <c r="A994" s="20">
        <v>992</v>
      </c>
      <c r="B994" s="2" t="s">
        <v>189</v>
      </c>
      <c r="C994" s="2">
        <v>2021</v>
      </c>
      <c r="D994" s="2" t="s">
        <v>510</v>
      </c>
      <c r="E994" s="41" t="s">
        <v>804</v>
      </c>
      <c r="F994" s="20" t="s">
        <v>29</v>
      </c>
      <c r="G994" s="2" t="s">
        <v>482</v>
      </c>
      <c r="H994" s="2" t="str">
        <f>'PFAS Properties'!$B$46</f>
        <v>PFOS</v>
      </c>
      <c r="I994" s="2" t="str">
        <f>'PFAS Properties'!$C$46</f>
        <v>PFSA</v>
      </c>
      <c r="J994" s="2" t="str">
        <f>'PFAS Properties'!$D$46</f>
        <v>C8HF17O3S</v>
      </c>
      <c r="K994" s="25">
        <f>'PFAS Properties'!$P$46</f>
        <v>499.93739999999997</v>
      </c>
      <c r="L994" s="2">
        <f>'PFAS Properties'!$X$46</f>
        <v>0.1</v>
      </c>
      <c r="M994" s="2" t="str">
        <f>'PFAS Properties'!$Y$46</f>
        <v>-</v>
      </c>
      <c r="N994" s="33">
        <v>0</v>
      </c>
      <c r="O994" s="33">
        <v>0</v>
      </c>
      <c r="P994" s="33">
        <v>0</v>
      </c>
      <c r="Q994" s="33">
        <f t="shared" si="550"/>
        <v>0.99999958313079029</v>
      </c>
      <c r="R994" s="33">
        <v>0</v>
      </c>
      <c r="S994" s="33">
        <f t="shared" si="551"/>
        <v>4.1686920969032374E-7</v>
      </c>
      <c r="T994" s="8">
        <f t="shared" si="529"/>
        <v>1</v>
      </c>
      <c r="U994" s="33">
        <f t="shared" si="530"/>
        <v>0</v>
      </c>
      <c r="V994" s="33">
        <f t="shared" si="531"/>
        <v>-0.99999958313079029</v>
      </c>
      <c r="W994" s="33">
        <f t="shared" si="532"/>
        <v>498.9374004168692</v>
      </c>
      <c r="X994" s="33">
        <v>96485</v>
      </c>
      <c r="Y994" s="16">
        <f t="shared" si="533"/>
        <v>-193.38089246819291</v>
      </c>
      <c r="Z994" s="16">
        <v>8</v>
      </c>
      <c r="AA994" s="16">
        <v>17</v>
      </c>
      <c r="AB994" s="8">
        <f t="shared" si="534"/>
        <v>0.29721362229102166</v>
      </c>
      <c r="AC994" s="16">
        <f t="shared" si="539"/>
        <v>64.60808893273439</v>
      </c>
      <c r="AD994" s="20">
        <f>'PFAS Properties'!$W$46</f>
        <v>8</v>
      </c>
      <c r="AE994" s="8">
        <f>'PFAS Properties'!$S$46</f>
        <v>2.0166155475571776</v>
      </c>
      <c r="AF994" s="15">
        <f>'PFAS Properties'!$V$46</f>
        <v>5</v>
      </c>
      <c r="AG994" s="26">
        <v>6.48</v>
      </c>
      <c r="AH994" s="1" t="s">
        <v>190</v>
      </c>
      <c r="AI994" s="39">
        <f t="shared" si="540"/>
        <v>158.82317999999998</v>
      </c>
      <c r="AJ994" s="1">
        <v>2844</v>
      </c>
      <c r="AK994" s="8">
        <f t="shared" si="541"/>
        <v>15.882317999999998</v>
      </c>
      <c r="AL994" s="39">
        <f t="shared" si="542"/>
        <v>15.891219999999999</v>
      </c>
      <c r="AM994" s="1">
        <v>589</v>
      </c>
      <c r="AN994" s="8">
        <f t="shared" si="543"/>
        <v>1.5891219999999999</v>
      </c>
      <c r="AO994" s="3" t="s">
        <v>93</v>
      </c>
      <c r="AP994" s="3">
        <v>39.9</v>
      </c>
      <c r="AQ994" s="3" t="s">
        <v>661</v>
      </c>
      <c r="AR994" s="4">
        <v>32.200000000000003</v>
      </c>
      <c r="AS994" s="4">
        <v>34.1</v>
      </c>
      <c r="AT994" s="4">
        <v>33.700000000000003</v>
      </c>
      <c r="AU994" s="3" t="s">
        <v>661</v>
      </c>
      <c r="AV994" s="16">
        <f t="shared" si="535"/>
        <v>100.00000000000001</v>
      </c>
      <c r="AW994" s="7">
        <v>2.2000000000000002</v>
      </c>
      <c r="AX994" s="1">
        <f t="shared" si="544"/>
        <v>2.2000000000000002E-2</v>
      </c>
      <c r="AY994" s="1" t="s">
        <v>511</v>
      </c>
      <c r="AZ994" s="1">
        <f t="shared" si="545"/>
        <v>100</v>
      </c>
      <c r="BA994" s="1" t="s">
        <v>55</v>
      </c>
      <c r="BB994" s="1">
        <v>5</v>
      </c>
      <c r="BC994" s="1">
        <v>500</v>
      </c>
      <c r="BD994" s="26">
        <f t="shared" si="552"/>
        <v>25.985135583691932</v>
      </c>
      <c r="BE994" s="16">
        <f t="shared" si="536"/>
        <v>1181.1425265314513</v>
      </c>
      <c r="BF994" s="16">
        <f t="shared" si="537"/>
        <v>3.0723023063784507</v>
      </c>
      <c r="BG994" s="8">
        <f t="shared" si="538"/>
        <v>1.4147249872006571</v>
      </c>
      <c r="BH994" s="13" t="s">
        <v>782</v>
      </c>
      <c r="BI994" s="8">
        <v>41.5</v>
      </c>
      <c r="BJ994" s="13" t="s">
        <v>349</v>
      </c>
      <c r="BK994" s="15">
        <v>0.8</v>
      </c>
      <c r="BL994" s="16">
        <f t="shared" si="547"/>
        <v>41.5</v>
      </c>
      <c r="BM994" s="18">
        <f>'PFAS Properties'!$U$46</f>
        <v>10.39</v>
      </c>
      <c r="BN994" s="8">
        <f t="shared" si="548"/>
        <v>269.9855587145592</v>
      </c>
      <c r="BO994" s="24">
        <f t="shared" si="549"/>
        <v>25.985135583691932</v>
      </c>
      <c r="BP994" s="11"/>
      <c r="BQ994" s="11"/>
    </row>
    <row r="995" spans="1:69" x14ac:dyDescent="0.3">
      <c r="A995" s="20">
        <v>993</v>
      </c>
      <c r="B995" s="2" t="s">
        <v>189</v>
      </c>
      <c r="C995" s="2">
        <v>2021</v>
      </c>
      <c r="D995" s="2" t="s">
        <v>510</v>
      </c>
      <c r="E995" s="41" t="s">
        <v>804</v>
      </c>
      <c r="F995" s="20" t="s">
        <v>29</v>
      </c>
      <c r="G995" s="2" t="s">
        <v>483</v>
      </c>
      <c r="H995" s="2" t="str">
        <f>'PFAS Properties'!$B$46</f>
        <v>PFOS</v>
      </c>
      <c r="I995" s="2" t="str">
        <f>'PFAS Properties'!$C$46</f>
        <v>PFSA</v>
      </c>
      <c r="J995" s="2" t="str">
        <f>'PFAS Properties'!$D$46</f>
        <v>C8HF17O3S</v>
      </c>
      <c r="K995" s="25">
        <f>'PFAS Properties'!$P$46</f>
        <v>499.93739999999997</v>
      </c>
      <c r="L995" s="2">
        <f>'PFAS Properties'!$X$46</f>
        <v>0.1</v>
      </c>
      <c r="M995" s="2" t="str">
        <f>'PFAS Properties'!$Y$46</f>
        <v>-</v>
      </c>
      <c r="N995" s="33">
        <v>0</v>
      </c>
      <c r="O995" s="33">
        <v>0</v>
      </c>
      <c r="P995" s="33">
        <v>0</v>
      </c>
      <c r="Q995" s="33">
        <f t="shared" si="550"/>
        <v>0.99999978620383678</v>
      </c>
      <c r="R995" s="33">
        <v>0</v>
      </c>
      <c r="S995" s="33">
        <f t="shared" si="551"/>
        <v>2.137961632414136E-7</v>
      </c>
      <c r="T995" s="8">
        <f t="shared" si="529"/>
        <v>1</v>
      </c>
      <c r="U995" s="33">
        <f t="shared" si="530"/>
        <v>0</v>
      </c>
      <c r="V995" s="33">
        <f t="shared" si="531"/>
        <v>-0.99999978620383678</v>
      </c>
      <c r="W995" s="33">
        <f t="shared" si="532"/>
        <v>498.93740021379614</v>
      </c>
      <c r="X995" s="33">
        <v>96485</v>
      </c>
      <c r="Y995" s="16">
        <f t="shared" si="533"/>
        <v>-193.38093181736446</v>
      </c>
      <c r="Z995" s="16">
        <v>8</v>
      </c>
      <c r="AA995" s="16">
        <v>17</v>
      </c>
      <c r="AB995" s="8">
        <f t="shared" si="534"/>
        <v>0.29721362229102166</v>
      </c>
      <c r="AC995" s="16">
        <f t="shared" si="539"/>
        <v>64.60808893273439</v>
      </c>
      <c r="AD995" s="20">
        <f>'PFAS Properties'!$W$46</f>
        <v>8</v>
      </c>
      <c r="AE995" s="8">
        <f>'PFAS Properties'!$S$46</f>
        <v>2.0166155475571776</v>
      </c>
      <c r="AF995" s="15">
        <f>'PFAS Properties'!$V$46</f>
        <v>5</v>
      </c>
      <c r="AG995" s="26">
        <v>6.77</v>
      </c>
      <c r="AH995" s="1" t="s">
        <v>190</v>
      </c>
      <c r="AI995" s="39">
        <f t="shared" si="540"/>
        <v>80.807715000000002</v>
      </c>
      <c r="AJ995" s="1">
        <v>1447</v>
      </c>
      <c r="AK995" s="8">
        <f t="shared" si="541"/>
        <v>8.0807715000000009</v>
      </c>
      <c r="AL995" s="39">
        <f t="shared" si="542"/>
        <v>10.49522</v>
      </c>
      <c r="AM995" s="1">
        <v>389</v>
      </c>
      <c r="AN995" s="8">
        <f t="shared" si="543"/>
        <v>1.0495220000000001</v>
      </c>
      <c r="AO995" s="3" t="s">
        <v>93</v>
      </c>
      <c r="AP995" s="3">
        <v>50.9</v>
      </c>
      <c r="AQ995" s="3" t="s">
        <v>661</v>
      </c>
      <c r="AR995" s="4">
        <v>24</v>
      </c>
      <c r="AS995" s="4">
        <v>37</v>
      </c>
      <c r="AT995" s="4">
        <v>39.1</v>
      </c>
      <c r="AU995" s="3" t="s">
        <v>661</v>
      </c>
      <c r="AV995" s="16">
        <f t="shared" si="535"/>
        <v>100.1</v>
      </c>
      <c r="AW995" s="7">
        <v>2.2000000000000002</v>
      </c>
      <c r="AX995" s="1">
        <f t="shared" si="544"/>
        <v>2.2000000000000002E-2</v>
      </c>
      <c r="AY995" s="1" t="s">
        <v>511</v>
      </c>
      <c r="AZ995" s="1">
        <f t="shared" si="545"/>
        <v>100</v>
      </c>
      <c r="BA995" s="1" t="s">
        <v>55</v>
      </c>
      <c r="BB995" s="1">
        <v>5</v>
      </c>
      <c r="BC995" s="1">
        <v>500</v>
      </c>
      <c r="BD995" s="26">
        <f t="shared" si="552"/>
        <v>18.972279715322067</v>
      </c>
      <c r="BE995" s="16">
        <f t="shared" si="536"/>
        <v>862.37635069645751</v>
      </c>
      <c r="BF995" s="16">
        <f t="shared" si="537"/>
        <v>2.9356968381686634</v>
      </c>
      <c r="BG995" s="8">
        <f t="shared" si="538"/>
        <v>1.2781195189908696</v>
      </c>
      <c r="BH995" s="13" t="s">
        <v>782</v>
      </c>
      <c r="BI995" s="8">
        <v>30.3</v>
      </c>
      <c r="BJ995" s="13" t="s">
        <v>349</v>
      </c>
      <c r="BK995" s="15">
        <v>0.8</v>
      </c>
      <c r="BL995" s="16">
        <f t="shared" si="547"/>
        <v>30.3</v>
      </c>
      <c r="BM995" s="18">
        <f>'PFAS Properties'!$U$46</f>
        <v>10.39</v>
      </c>
      <c r="BN995" s="8">
        <f t="shared" si="548"/>
        <v>197.12198624219627</v>
      </c>
      <c r="BO995" s="24">
        <f t="shared" si="549"/>
        <v>18.972279715322067</v>
      </c>
      <c r="BP995" s="11"/>
      <c r="BQ995" s="11"/>
    </row>
    <row r="996" spans="1:69" x14ac:dyDescent="0.3">
      <c r="A996" s="20">
        <v>994</v>
      </c>
      <c r="B996" s="2" t="s">
        <v>189</v>
      </c>
      <c r="C996" s="2">
        <v>2021</v>
      </c>
      <c r="D996" s="2" t="s">
        <v>510</v>
      </c>
      <c r="E996" s="41" t="s">
        <v>804</v>
      </c>
      <c r="F996" s="20" t="s">
        <v>29</v>
      </c>
      <c r="G996" s="2" t="s">
        <v>484</v>
      </c>
      <c r="H996" s="2" t="str">
        <f>'PFAS Properties'!$B$46</f>
        <v>PFOS</v>
      </c>
      <c r="I996" s="2" t="str">
        <f>'PFAS Properties'!$C$46</f>
        <v>PFSA</v>
      </c>
      <c r="J996" s="2" t="str">
        <f>'PFAS Properties'!$D$46</f>
        <v>C8HF17O3S</v>
      </c>
      <c r="K996" s="25">
        <f>'PFAS Properties'!$P$46</f>
        <v>499.93739999999997</v>
      </c>
      <c r="L996" s="2">
        <f>'PFAS Properties'!$X$46</f>
        <v>0.1</v>
      </c>
      <c r="M996" s="2" t="str">
        <f>'PFAS Properties'!$Y$46</f>
        <v>-</v>
      </c>
      <c r="N996" s="33">
        <v>0</v>
      </c>
      <c r="O996" s="33">
        <v>0</v>
      </c>
      <c r="P996" s="33">
        <v>0</v>
      </c>
      <c r="Q996" s="33">
        <f t="shared" si="550"/>
        <v>0.99999927556456469</v>
      </c>
      <c r="R996" s="33">
        <v>0</v>
      </c>
      <c r="S996" s="33">
        <f t="shared" si="551"/>
        <v>7.2443543526790742E-7</v>
      </c>
      <c r="T996" s="8">
        <f t="shared" si="529"/>
        <v>1</v>
      </c>
      <c r="U996" s="33">
        <f t="shared" si="530"/>
        <v>0</v>
      </c>
      <c r="V996" s="33">
        <f t="shared" si="531"/>
        <v>-0.99999927556456469</v>
      </c>
      <c r="W996" s="33">
        <f t="shared" si="532"/>
        <v>498.93740072443541</v>
      </c>
      <c r="X996" s="33">
        <v>96485</v>
      </c>
      <c r="Y996" s="16">
        <f t="shared" si="533"/>
        <v>-193.38083287152875</v>
      </c>
      <c r="Z996" s="16">
        <v>8</v>
      </c>
      <c r="AA996" s="16">
        <v>17</v>
      </c>
      <c r="AB996" s="8">
        <f t="shared" si="534"/>
        <v>0.29721362229102166</v>
      </c>
      <c r="AC996" s="16">
        <f t="shared" si="539"/>
        <v>64.60808893273439</v>
      </c>
      <c r="AD996" s="20">
        <f>'PFAS Properties'!$W$46</f>
        <v>8</v>
      </c>
      <c r="AE996" s="8">
        <f>'PFAS Properties'!$S$46</f>
        <v>2.0166155475571776</v>
      </c>
      <c r="AF996" s="15">
        <f>'PFAS Properties'!$V$46</f>
        <v>5</v>
      </c>
      <c r="AG996" s="26">
        <v>6.24</v>
      </c>
      <c r="AH996" s="1" t="s">
        <v>190</v>
      </c>
      <c r="AI996" s="39">
        <f t="shared" si="540"/>
        <v>148.603545</v>
      </c>
      <c r="AJ996" s="1">
        <v>2661</v>
      </c>
      <c r="AK996" s="8">
        <f t="shared" si="541"/>
        <v>14.8603545</v>
      </c>
      <c r="AL996" s="39">
        <f t="shared" si="542"/>
        <v>17.698880000000003</v>
      </c>
      <c r="AM996" s="1">
        <v>656</v>
      </c>
      <c r="AN996" s="8">
        <f t="shared" si="543"/>
        <v>1.7698880000000003</v>
      </c>
      <c r="AO996" s="3" t="s">
        <v>93</v>
      </c>
      <c r="AP996" s="3">
        <v>43.3</v>
      </c>
      <c r="AQ996" s="3" t="s">
        <v>661</v>
      </c>
      <c r="AR996" s="4">
        <v>17.600000000000001</v>
      </c>
      <c r="AS996" s="4">
        <v>33.1</v>
      </c>
      <c r="AT996" s="4">
        <v>49.3</v>
      </c>
      <c r="AU996" s="3" t="s">
        <v>661</v>
      </c>
      <c r="AV996" s="16">
        <f t="shared" si="535"/>
        <v>100</v>
      </c>
      <c r="AW996" s="7">
        <v>2.8</v>
      </c>
      <c r="AX996" s="1">
        <f t="shared" si="544"/>
        <v>2.7999999999999997E-2</v>
      </c>
      <c r="AY996" s="1" t="s">
        <v>511</v>
      </c>
      <c r="AZ996" s="1">
        <f t="shared" si="545"/>
        <v>100</v>
      </c>
      <c r="BA996" s="1" t="s">
        <v>55</v>
      </c>
      <c r="BB996" s="1">
        <v>5</v>
      </c>
      <c r="BC996" s="1">
        <v>500</v>
      </c>
      <c r="BD996" s="26">
        <f t="shared" si="552"/>
        <v>21.226411958726665</v>
      </c>
      <c r="BE996" s="16">
        <f t="shared" si="536"/>
        <v>758.0861413830952</v>
      </c>
      <c r="BF996" s="16">
        <f t="shared" si="537"/>
        <v>2.8797185573494275</v>
      </c>
      <c r="BG996" s="8">
        <f t="shared" si="538"/>
        <v>1.3268765886916467</v>
      </c>
      <c r="BH996" s="13" t="s">
        <v>782</v>
      </c>
      <c r="BI996" s="8">
        <v>33.9</v>
      </c>
      <c r="BJ996" s="13" t="s">
        <v>349</v>
      </c>
      <c r="BK996" s="15">
        <v>0.8</v>
      </c>
      <c r="BL996" s="16">
        <f t="shared" si="547"/>
        <v>33.9</v>
      </c>
      <c r="BM996" s="18">
        <f>'PFAS Properties'!$U$46</f>
        <v>10.39</v>
      </c>
      <c r="BN996" s="8">
        <f t="shared" si="548"/>
        <v>220.54242025117006</v>
      </c>
      <c r="BO996" s="24">
        <f t="shared" si="549"/>
        <v>21.226411958726665</v>
      </c>
      <c r="BP996" s="11"/>
      <c r="BQ996" s="11"/>
    </row>
    <row r="997" spans="1:69" x14ac:dyDescent="0.3">
      <c r="A997" s="20">
        <v>995</v>
      </c>
      <c r="B997" s="2" t="s">
        <v>189</v>
      </c>
      <c r="C997" s="2">
        <v>2021</v>
      </c>
      <c r="D997" s="2" t="s">
        <v>510</v>
      </c>
      <c r="E997" s="41" t="s">
        <v>804</v>
      </c>
      <c r="F997" s="20" t="s">
        <v>29</v>
      </c>
      <c r="G997" s="2" t="s">
        <v>485</v>
      </c>
      <c r="H997" s="2" t="str">
        <f>'PFAS Properties'!$B$46</f>
        <v>PFOS</v>
      </c>
      <c r="I997" s="2" t="str">
        <f>'PFAS Properties'!$C$46</f>
        <v>PFSA</v>
      </c>
      <c r="J997" s="2" t="str">
        <f>'PFAS Properties'!$D$46</f>
        <v>C8HF17O3S</v>
      </c>
      <c r="K997" s="25">
        <f>'PFAS Properties'!$P$46</f>
        <v>499.93739999999997</v>
      </c>
      <c r="L997" s="2">
        <f>'PFAS Properties'!$X$46</f>
        <v>0.1</v>
      </c>
      <c r="M997" s="2" t="str">
        <f>'PFAS Properties'!$Y$46</f>
        <v>-</v>
      </c>
      <c r="N997" s="33">
        <v>0</v>
      </c>
      <c r="O997" s="33">
        <v>0</v>
      </c>
      <c r="P997" s="33">
        <v>0</v>
      </c>
      <c r="Q997" s="33">
        <f t="shared" si="550"/>
        <v>0.99999996369219579</v>
      </c>
      <c r="R997" s="33">
        <v>0</v>
      </c>
      <c r="S997" s="33">
        <f t="shared" si="551"/>
        <v>3.6307804158753317E-8</v>
      </c>
      <c r="T997" s="8">
        <f t="shared" si="529"/>
        <v>1</v>
      </c>
      <c r="U997" s="33">
        <f t="shared" si="530"/>
        <v>0</v>
      </c>
      <c r="V997" s="33">
        <f t="shared" si="531"/>
        <v>-0.99999996369219579</v>
      </c>
      <c r="W997" s="33">
        <f t="shared" si="532"/>
        <v>498.93740003630774</v>
      </c>
      <c r="X997" s="33">
        <v>96485</v>
      </c>
      <c r="Y997" s="16">
        <f t="shared" si="533"/>
        <v>-193.380966209028</v>
      </c>
      <c r="Z997" s="16">
        <v>8</v>
      </c>
      <c r="AA997" s="16">
        <v>17</v>
      </c>
      <c r="AB997" s="8">
        <f t="shared" si="534"/>
        <v>0.29721362229102166</v>
      </c>
      <c r="AC997" s="16">
        <f t="shared" si="539"/>
        <v>64.60808893273439</v>
      </c>
      <c r="AD997" s="20">
        <f>'PFAS Properties'!$W$46</f>
        <v>8</v>
      </c>
      <c r="AE997" s="8">
        <f>'PFAS Properties'!$S$46</f>
        <v>2.0166155475571776</v>
      </c>
      <c r="AF997" s="15">
        <f>'PFAS Properties'!$V$46</f>
        <v>5</v>
      </c>
      <c r="AG997" s="26">
        <v>7.54</v>
      </c>
      <c r="AH997" s="1" t="s">
        <v>190</v>
      </c>
      <c r="AI997" s="39">
        <f t="shared" si="540"/>
        <v>57.017744999999998</v>
      </c>
      <c r="AJ997" s="1">
        <v>1021</v>
      </c>
      <c r="AK997" s="8">
        <f t="shared" si="541"/>
        <v>5.7017745</v>
      </c>
      <c r="AL997" s="39">
        <f t="shared" si="542"/>
        <v>9.6048800000000014</v>
      </c>
      <c r="AM997" s="1">
        <v>356</v>
      </c>
      <c r="AN997" s="8">
        <f t="shared" si="543"/>
        <v>0.96048800000000012</v>
      </c>
      <c r="AO997" s="3" t="s">
        <v>93</v>
      </c>
      <c r="AP997" s="3">
        <v>39.9</v>
      </c>
      <c r="AQ997" s="3" t="s">
        <v>661</v>
      </c>
      <c r="AR997" s="4">
        <v>49.7</v>
      </c>
      <c r="AS997" s="4">
        <v>23</v>
      </c>
      <c r="AT997" s="4">
        <v>27.3</v>
      </c>
      <c r="AU997" s="3" t="s">
        <v>661</v>
      </c>
      <c r="AV997" s="16">
        <f t="shared" si="535"/>
        <v>100</v>
      </c>
      <c r="AW997" s="7">
        <v>1.9</v>
      </c>
      <c r="AX997" s="1">
        <f t="shared" si="544"/>
        <v>1.9E-2</v>
      </c>
      <c r="AY997" s="1" t="s">
        <v>511</v>
      </c>
      <c r="AZ997" s="1">
        <f t="shared" si="545"/>
        <v>100</v>
      </c>
      <c r="BA997" s="1" t="s">
        <v>55</v>
      </c>
      <c r="BB997" s="1">
        <v>5</v>
      </c>
      <c r="BC997" s="1">
        <v>500</v>
      </c>
      <c r="BD997" s="26">
        <f t="shared" si="552"/>
        <v>21.839743192272518</v>
      </c>
      <c r="BE997" s="16">
        <f t="shared" si="536"/>
        <v>1149.460168014343</v>
      </c>
      <c r="BF997" s="16">
        <f t="shared" si="537"/>
        <v>3.0604939263566711</v>
      </c>
      <c r="BG997" s="8">
        <f t="shared" si="538"/>
        <v>1.3392475273094999</v>
      </c>
      <c r="BH997" s="13" t="s">
        <v>782</v>
      </c>
      <c r="BI997" s="8">
        <v>27.6</v>
      </c>
      <c r="BJ997" s="13" t="s">
        <v>349</v>
      </c>
      <c r="BK997" s="15">
        <v>0.9</v>
      </c>
      <c r="BL997" s="16">
        <f t="shared" si="547"/>
        <v>27.6</v>
      </c>
      <c r="BM997" s="18">
        <f>'PFAS Properties'!$U$46</f>
        <v>10.39</v>
      </c>
      <c r="BN997" s="8">
        <f t="shared" si="548"/>
        <v>226.91493176771149</v>
      </c>
      <c r="BO997" s="24">
        <f t="shared" si="549"/>
        <v>21.839743192272518</v>
      </c>
      <c r="BP997" s="11"/>
      <c r="BQ997" s="11"/>
    </row>
    <row r="998" spans="1:69" x14ac:dyDescent="0.3">
      <c r="A998" s="20">
        <v>996</v>
      </c>
      <c r="B998" s="2" t="s">
        <v>189</v>
      </c>
      <c r="C998" s="2">
        <v>2021</v>
      </c>
      <c r="D998" s="2" t="s">
        <v>510</v>
      </c>
      <c r="E998" s="41" t="s">
        <v>804</v>
      </c>
      <c r="F998" s="20" t="s">
        <v>29</v>
      </c>
      <c r="G998" s="2" t="s">
        <v>486</v>
      </c>
      <c r="H998" s="2" t="str">
        <f>'PFAS Properties'!$B$46</f>
        <v>PFOS</v>
      </c>
      <c r="I998" s="2" t="str">
        <f>'PFAS Properties'!$C$46</f>
        <v>PFSA</v>
      </c>
      <c r="J998" s="2" t="str">
        <f>'PFAS Properties'!$D$46</f>
        <v>C8HF17O3S</v>
      </c>
      <c r="K998" s="25">
        <f>'PFAS Properties'!$P$46</f>
        <v>499.93739999999997</v>
      </c>
      <c r="L998" s="2">
        <f>'PFAS Properties'!$X$46</f>
        <v>0.1</v>
      </c>
      <c r="M998" s="2" t="str">
        <f>'PFAS Properties'!$Y$46</f>
        <v>-</v>
      </c>
      <c r="N998" s="33">
        <v>0</v>
      </c>
      <c r="O998" s="33">
        <v>0</v>
      </c>
      <c r="P998" s="33">
        <v>0</v>
      </c>
      <c r="Q998" s="33">
        <f t="shared" si="550"/>
        <v>0.99999998004737722</v>
      </c>
      <c r="R998" s="33">
        <v>0</v>
      </c>
      <c r="S998" s="33">
        <f t="shared" si="551"/>
        <v>1.995262275158161E-8</v>
      </c>
      <c r="T998" s="8">
        <f t="shared" si="529"/>
        <v>1</v>
      </c>
      <c r="U998" s="33">
        <f t="shared" si="530"/>
        <v>0</v>
      </c>
      <c r="V998" s="33">
        <f t="shared" si="531"/>
        <v>-0.99999998004737722</v>
      </c>
      <c r="W998" s="33">
        <f t="shared" si="532"/>
        <v>498.93740001995263</v>
      </c>
      <c r="X998" s="33">
        <v>96485</v>
      </c>
      <c r="Y998" s="16">
        <f t="shared" si="533"/>
        <v>-193.38096937814788</v>
      </c>
      <c r="Z998" s="16">
        <v>8</v>
      </c>
      <c r="AA998" s="16">
        <v>17</v>
      </c>
      <c r="AB998" s="8">
        <f t="shared" si="534"/>
        <v>0.29721362229102166</v>
      </c>
      <c r="AC998" s="16">
        <f t="shared" si="539"/>
        <v>64.60808893273439</v>
      </c>
      <c r="AD998" s="20">
        <f>'PFAS Properties'!$W$46</f>
        <v>8</v>
      </c>
      <c r="AE998" s="8">
        <f>'PFAS Properties'!$S$46</f>
        <v>2.0166155475571776</v>
      </c>
      <c r="AF998" s="15">
        <f>'PFAS Properties'!$V$46</f>
        <v>5</v>
      </c>
      <c r="AG998" s="26">
        <v>7.8</v>
      </c>
      <c r="AH998" s="1" t="s">
        <v>190</v>
      </c>
      <c r="AI998" s="39">
        <f t="shared" si="540"/>
        <v>59.195699999999995</v>
      </c>
      <c r="AJ998" s="1">
        <v>1060</v>
      </c>
      <c r="AK998" s="8">
        <f t="shared" si="541"/>
        <v>5.9195699999999993</v>
      </c>
      <c r="AL998" s="39">
        <f t="shared" si="542"/>
        <v>9.9016599999999997</v>
      </c>
      <c r="AM998" s="1">
        <v>367</v>
      </c>
      <c r="AN998" s="8">
        <f t="shared" si="543"/>
        <v>0.99016599999999999</v>
      </c>
      <c r="AO998" s="3" t="s">
        <v>93</v>
      </c>
      <c r="AP998" s="3">
        <v>40.1</v>
      </c>
      <c r="AQ998" s="3" t="s">
        <v>661</v>
      </c>
      <c r="AR998" s="4">
        <v>42.6</v>
      </c>
      <c r="AS998" s="4">
        <v>4.8</v>
      </c>
      <c r="AT998" s="4">
        <v>52.6</v>
      </c>
      <c r="AU998" s="3" t="s">
        <v>661</v>
      </c>
      <c r="AV998" s="16">
        <f t="shared" si="535"/>
        <v>100</v>
      </c>
      <c r="AW998" s="26">
        <v>1.6</v>
      </c>
      <c r="AX998" s="1">
        <f t="shared" si="544"/>
        <v>1.6E-2</v>
      </c>
      <c r="AY998" s="1" t="s">
        <v>511</v>
      </c>
      <c r="AZ998" s="1">
        <f t="shared" si="545"/>
        <v>100</v>
      </c>
      <c r="BA998" s="1" t="s">
        <v>55</v>
      </c>
      <c r="BB998" s="1">
        <v>5</v>
      </c>
      <c r="BC998" s="1">
        <v>500</v>
      </c>
      <c r="BD998" s="26">
        <f t="shared" si="552"/>
        <v>19.410583207095179</v>
      </c>
      <c r="BE998" s="16">
        <f t="shared" si="536"/>
        <v>1213.1614504434488</v>
      </c>
      <c r="BF998" s="16">
        <f t="shared" si="537"/>
        <v>3.0839186016669125</v>
      </c>
      <c r="BG998" s="8">
        <f t="shared" si="538"/>
        <v>1.2880385843228372</v>
      </c>
      <c r="BH998" s="13" t="s">
        <v>782</v>
      </c>
      <c r="BI998" s="8">
        <v>31</v>
      </c>
      <c r="BJ998" s="13" t="s">
        <v>349</v>
      </c>
      <c r="BK998" s="15">
        <v>0.8</v>
      </c>
      <c r="BL998" s="16">
        <f t="shared" si="547"/>
        <v>31</v>
      </c>
      <c r="BM998" s="18">
        <f>'PFAS Properties'!$U$46</f>
        <v>10.39</v>
      </c>
      <c r="BN998" s="8">
        <f t="shared" si="548"/>
        <v>201.67595952171894</v>
      </c>
      <c r="BO998" s="24">
        <f t="shared" si="549"/>
        <v>19.410583207095179</v>
      </c>
      <c r="BP998" s="11"/>
      <c r="BQ998" s="11"/>
    </row>
    <row r="999" spans="1:69" x14ac:dyDescent="0.3">
      <c r="A999" s="20">
        <v>997</v>
      </c>
      <c r="B999" s="2" t="s">
        <v>189</v>
      </c>
      <c r="C999" s="2">
        <v>2021</v>
      </c>
      <c r="D999" s="2" t="s">
        <v>510</v>
      </c>
      <c r="E999" s="41" t="s">
        <v>804</v>
      </c>
      <c r="F999" s="20" t="s">
        <v>29</v>
      </c>
      <c r="G999" s="2" t="s">
        <v>487</v>
      </c>
      <c r="H999" s="2" t="str">
        <f>'PFAS Properties'!$B$46</f>
        <v>PFOS</v>
      </c>
      <c r="I999" s="2" t="str">
        <f>'PFAS Properties'!$C$46</f>
        <v>PFSA</v>
      </c>
      <c r="J999" s="2" t="str">
        <f>'PFAS Properties'!$D$46</f>
        <v>C8HF17O3S</v>
      </c>
      <c r="K999" s="25">
        <f>'PFAS Properties'!$P$46</f>
        <v>499.93739999999997</v>
      </c>
      <c r="L999" s="2">
        <f>'PFAS Properties'!$X$46</f>
        <v>0.1</v>
      </c>
      <c r="M999" s="2" t="str">
        <f>'PFAS Properties'!$Y$46</f>
        <v>-</v>
      </c>
      <c r="N999" s="33">
        <v>0</v>
      </c>
      <c r="O999" s="33">
        <v>0</v>
      </c>
      <c r="P999" s="33">
        <v>0</v>
      </c>
      <c r="Q999" s="33">
        <f t="shared" si="550"/>
        <v>0.99999462971087649</v>
      </c>
      <c r="R999" s="33">
        <v>0</v>
      </c>
      <c r="S999" s="33">
        <f t="shared" si="551"/>
        <v>5.3702891235423617E-6</v>
      </c>
      <c r="T999" s="8">
        <f t="shared" si="529"/>
        <v>1</v>
      </c>
      <c r="U999" s="33">
        <f t="shared" si="530"/>
        <v>0</v>
      </c>
      <c r="V999" s="33">
        <f t="shared" si="531"/>
        <v>-0.99999462971087649</v>
      </c>
      <c r="W999" s="33">
        <f t="shared" si="532"/>
        <v>498.93740537028913</v>
      </c>
      <c r="X999" s="33">
        <v>96485</v>
      </c>
      <c r="Y999" s="16">
        <f t="shared" si="533"/>
        <v>-193.3799326511658</v>
      </c>
      <c r="Z999" s="16">
        <v>8</v>
      </c>
      <c r="AA999" s="16">
        <v>17</v>
      </c>
      <c r="AB999" s="8">
        <f t="shared" si="534"/>
        <v>0.29721362229102166</v>
      </c>
      <c r="AC999" s="16">
        <f t="shared" si="539"/>
        <v>64.60808893273439</v>
      </c>
      <c r="AD999" s="20">
        <f>'PFAS Properties'!$W$46</f>
        <v>8</v>
      </c>
      <c r="AE999" s="8">
        <f>'PFAS Properties'!$S$46</f>
        <v>2.0166155475571776</v>
      </c>
      <c r="AF999" s="15">
        <f>'PFAS Properties'!$V$46</f>
        <v>5</v>
      </c>
      <c r="AG999" s="26">
        <v>5.37</v>
      </c>
      <c r="AH999" s="1" t="s">
        <v>190</v>
      </c>
      <c r="AI999" s="39">
        <f t="shared" si="540"/>
        <v>115.37577</v>
      </c>
      <c r="AJ999" s="1">
        <v>2066</v>
      </c>
      <c r="AK999" s="8">
        <f t="shared" si="541"/>
        <v>11.537577000000001</v>
      </c>
      <c r="AL999" s="39">
        <f t="shared" si="542"/>
        <v>15.00088</v>
      </c>
      <c r="AM999" s="1">
        <v>556</v>
      </c>
      <c r="AN999" s="8">
        <f t="shared" si="543"/>
        <v>1.5000880000000001</v>
      </c>
      <c r="AO999" s="3" t="s">
        <v>93</v>
      </c>
      <c r="AP999" s="3">
        <v>33.9</v>
      </c>
      <c r="AQ999" s="3" t="s">
        <v>661</v>
      </c>
      <c r="AR999" s="4">
        <v>19.8</v>
      </c>
      <c r="AS999" s="4">
        <v>30.8</v>
      </c>
      <c r="AT999" s="4">
        <v>49.4</v>
      </c>
      <c r="AU999" s="3" t="s">
        <v>661</v>
      </c>
      <c r="AV999" s="16">
        <f t="shared" si="535"/>
        <v>100</v>
      </c>
      <c r="AW999" s="26">
        <v>2</v>
      </c>
      <c r="AX999" s="1">
        <f t="shared" si="544"/>
        <v>0.02</v>
      </c>
      <c r="AY999" s="1" t="s">
        <v>511</v>
      </c>
      <c r="AZ999" s="1">
        <f t="shared" si="545"/>
        <v>100</v>
      </c>
      <c r="BA999" s="1" t="s">
        <v>55</v>
      </c>
      <c r="BB999" s="1">
        <v>5</v>
      </c>
      <c r="BC999" s="1">
        <v>500</v>
      </c>
      <c r="BD999" s="26">
        <f t="shared" si="552"/>
        <v>33.624139297451975</v>
      </c>
      <c r="BE999" s="16">
        <f t="shared" si="536"/>
        <v>1681.2069648725987</v>
      </c>
      <c r="BF999" s="16">
        <f t="shared" si="537"/>
        <v>3.225621180524139</v>
      </c>
      <c r="BG999" s="8">
        <f t="shared" si="538"/>
        <v>1.5266511761881201</v>
      </c>
      <c r="BH999" s="13" t="s">
        <v>782</v>
      </c>
      <c r="BI999" s="8">
        <v>53.7</v>
      </c>
      <c r="BJ999" s="13" t="s">
        <v>349</v>
      </c>
      <c r="BK999" s="15">
        <v>0.8</v>
      </c>
      <c r="BL999" s="16">
        <f t="shared" si="547"/>
        <v>53.7</v>
      </c>
      <c r="BM999" s="18">
        <f>'PFAS Properties'!$U$46</f>
        <v>10.39</v>
      </c>
      <c r="BN999" s="8">
        <f t="shared" si="548"/>
        <v>349.35480730052603</v>
      </c>
      <c r="BO999" s="24">
        <f t="shared" si="549"/>
        <v>33.624139297451975</v>
      </c>
      <c r="BP999" s="11"/>
      <c r="BQ999" s="11"/>
    </row>
    <row r="1000" spans="1:69" x14ac:dyDescent="0.3">
      <c r="A1000" s="20">
        <v>998</v>
      </c>
      <c r="B1000" s="2" t="s">
        <v>189</v>
      </c>
      <c r="C1000" s="2">
        <v>2021</v>
      </c>
      <c r="D1000" s="2" t="s">
        <v>510</v>
      </c>
      <c r="E1000" s="41" t="s">
        <v>804</v>
      </c>
      <c r="F1000" s="20" t="s">
        <v>29</v>
      </c>
      <c r="G1000" s="2" t="s">
        <v>488</v>
      </c>
      <c r="H1000" s="2" t="str">
        <f>'PFAS Properties'!$B$46</f>
        <v>PFOS</v>
      </c>
      <c r="I1000" s="2" t="str">
        <f>'PFAS Properties'!$C$46</f>
        <v>PFSA</v>
      </c>
      <c r="J1000" s="2" t="str">
        <f>'PFAS Properties'!$D$46</f>
        <v>C8HF17O3S</v>
      </c>
      <c r="K1000" s="25">
        <f>'PFAS Properties'!$P$46</f>
        <v>499.93739999999997</v>
      </c>
      <c r="L1000" s="2">
        <f>'PFAS Properties'!$X$46</f>
        <v>0.1</v>
      </c>
      <c r="M1000" s="2" t="str">
        <f>'PFAS Properties'!$Y$46</f>
        <v>-</v>
      </c>
      <c r="N1000" s="33">
        <v>0</v>
      </c>
      <c r="O1000" s="33">
        <v>0</v>
      </c>
      <c r="P1000" s="33">
        <v>0</v>
      </c>
      <c r="Q1000" s="33">
        <f t="shared" si="550"/>
        <v>0.99999718162501194</v>
      </c>
      <c r="R1000" s="33">
        <v>0</v>
      </c>
      <c r="S1000" s="33">
        <f t="shared" si="551"/>
        <v>2.8183749880044879E-6</v>
      </c>
      <c r="T1000" s="8">
        <f t="shared" si="529"/>
        <v>1</v>
      </c>
      <c r="U1000" s="33">
        <f t="shared" si="530"/>
        <v>0</v>
      </c>
      <c r="V1000" s="33">
        <f t="shared" si="531"/>
        <v>-0.99999718162501194</v>
      </c>
      <c r="W1000" s="33">
        <f t="shared" si="532"/>
        <v>498.93740281837495</v>
      </c>
      <c r="X1000" s="33">
        <v>96485</v>
      </c>
      <c r="Y1000" s="16">
        <f t="shared" si="533"/>
        <v>-193.3804271318821</v>
      </c>
      <c r="Z1000" s="16">
        <v>8</v>
      </c>
      <c r="AA1000" s="16">
        <v>17</v>
      </c>
      <c r="AB1000" s="8">
        <f t="shared" si="534"/>
        <v>0.29721362229102166</v>
      </c>
      <c r="AC1000" s="16">
        <f t="shared" si="539"/>
        <v>64.60808893273439</v>
      </c>
      <c r="AD1000" s="20">
        <f>'PFAS Properties'!$W$46</f>
        <v>8</v>
      </c>
      <c r="AE1000" s="8">
        <f>'PFAS Properties'!$S$46</f>
        <v>2.0166155475571776</v>
      </c>
      <c r="AF1000" s="15">
        <f>'PFAS Properties'!$V$46</f>
        <v>5</v>
      </c>
      <c r="AG1000" s="26">
        <v>5.65</v>
      </c>
      <c r="AH1000" s="1" t="s">
        <v>190</v>
      </c>
      <c r="AI1000" s="39">
        <f t="shared" si="540"/>
        <v>122.18886000000001</v>
      </c>
      <c r="AJ1000" s="1">
        <v>2188</v>
      </c>
      <c r="AK1000" s="8">
        <f t="shared" si="541"/>
        <v>12.218886000000001</v>
      </c>
      <c r="AL1000" s="39">
        <f t="shared" si="542"/>
        <v>15.29766</v>
      </c>
      <c r="AM1000" s="1">
        <v>567</v>
      </c>
      <c r="AN1000" s="8">
        <f t="shared" si="543"/>
        <v>1.529766</v>
      </c>
      <c r="AO1000" s="3" t="s">
        <v>93</v>
      </c>
      <c r="AP1000" s="3">
        <v>33.5</v>
      </c>
      <c r="AQ1000" s="3" t="s">
        <v>661</v>
      </c>
      <c r="AR1000" s="4">
        <v>25.6</v>
      </c>
      <c r="AS1000" s="4">
        <v>30.1</v>
      </c>
      <c r="AT1000" s="4">
        <v>44.2</v>
      </c>
      <c r="AU1000" s="3" t="s">
        <v>661</v>
      </c>
      <c r="AV1000" s="16">
        <f t="shared" si="535"/>
        <v>99.9</v>
      </c>
      <c r="AW1000" s="26">
        <v>1.9</v>
      </c>
      <c r="AX1000" s="1">
        <f t="shared" si="544"/>
        <v>1.9E-2</v>
      </c>
      <c r="AY1000" s="1" t="s">
        <v>511</v>
      </c>
      <c r="AZ1000" s="1">
        <f t="shared" si="545"/>
        <v>100</v>
      </c>
      <c r="BA1000" s="1" t="s">
        <v>55</v>
      </c>
      <c r="BB1000" s="1">
        <v>5</v>
      </c>
      <c r="BC1000" s="1">
        <v>500</v>
      </c>
      <c r="BD1000" s="26">
        <f t="shared" si="552"/>
        <v>30.669449786087707</v>
      </c>
      <c r="BE1000" s="16">
        <f t="shared" si="536"/>
        <v>1614.1815676888268</v>
      </c>
      <c r="BF1000" s="16">
        <f t="shared" si="537"/>
        <v>3.2079523838001358</v>
      </c>
      <c r="BG1000" s="8">
        <f t="shared" si="538"/>
        <v>1.4867059847529647</v>
      </c>
      <c r="BH1000" s="13" t="s">
        <v>782</v>
      </c>
      <c r="BI1000" s="8">
        <v>61.9</v>
      </c>
      <c r="BJ1000" s="13" t="s">
        <v>349</v>
      </c>
      <c r="BK1000" s="15">
        <v>0.7</v>
      </c>
      <c r="BL1000" s="16">
        <f t="shared" si="547"/>
        <v>61.9</v>
      </c>
      <c r="BM1000" s="18">
        <f>'PFAS Properties'!$U$46</f>
        <v>10.39</v>
      </c>
      <c r="BN1000" s="8">
        <f t="shared" si="548"/>
        <v>318.65558327745129</v>
      </c>
      <c r="BO1000" s="24">
        <f t="shared" si="549"/>
        <v>30.669449786087707</v>
      </c>
      <c r="BP1000" s="11"/>
      <c r="BQ1000" s="11"/>
    </row>
    <row r="1001" spans="1:69" x14ac:dyDescent="0.3">
      <c r="A1001" s="20">
        <v>999</v>
      </c>
      <c r="B1001" s="2" t="s">
        <v>189</v>
      </c>
      <c r="C1001" s="2">
        <v>2021</v>
      </c>
      <c r="D1001" s="2" t="s">
        <v>510</v>
      </c>
      <c r="E1001" s="41" t="s">
        <v>804</v>
      </c>
      <c r="F1001" s="20" t="s">
        <v>29</v>
      </c>
      <c r="G1001" s="2" t="s">
        <v>489</v>
      </c>
      <c r="H1001" s="2" t="str">
        <f>'PFAS Properties'!$B$46</f>
        <v>PFOS</v>
      </c>
      <c r="I1001" s="2" t="str">
        <f>'PFAS Properties'!$C$46</f>
        <v>PFSA</v>
      </c>
      <c r="J1001" s="2" t="str">
        <f>'PFAS Properties'!$D$46</f>
        <v>C8HF17O3S</v>
      </c>
      <c r="K1001" s="25">
        <f>'PFAS Properties'!$P$46</f>
        <v>499.93739999999997</v>
      </c>
      <c r="L1001" s="2">
        <f>'PFAS Properties'!$X$46</f>
        <v>0.1</v>
      </c>
      <c r="M1001" s="2" t="str">
        <f>'PFAS Properties'!$Y$46</f>
        <v>-</v>
      </c>
      <c r="N1001" s="33">
        <v>0</v>
      </c>
      <c r="O1001" s="33">
        <v>0</v>
      </c>
      <c r="P1001" s="33">
        <v>0</v>
      </c>
      <c r="Q1001" s="33">
        <f t="shared" si="550"/>
        <v>0.99999967640644782</v>
      </c>
      <c r="R1001" s="33">
        <v>0</v>
      </c>
      <c r="S1001" s="33">
        <f t="shared" si="551"/>
        <v>3.2359355221680673E-7</v>
      </c>
      <c r="T1001" s="8">
        <f t="shared" si="529"/>
        <v>1</v>
      </c>
      <c r="U1001" s="33">
        <f t="shared" si="530"/>
        <v>0</v>
      </c>
      <c r="V1001" s="33">
        <f t="shared" si="531"/>
        <v>-0.99999967640644782</v>
      </c>
      <c r="W1001" s="33">
        <f t="shared" si="532"/>
        <v>498.93740032359358</v>
      </c>
      <c r="X1001" s="33">
        <v>96485</v>
      </c>
      <c r="Y1001" s="16">
        <f t="shared" si="533"/>
        <v>-193.38091054208263</v>
      </c>
      <c r="Z1001" s="16">
        <v>8</v>
      </c>
      <c r="AA1001" s="16">
        <v>17</v>
      </c>
      <c r="AB1001" s="8">
        <f t="shared" si="534"/>
        <v>0.29721362229102166</v>
      </c>
      <c r="AC1001" s="16">
        <f t="shared" si="539"/>
        <v>64.60808893273439</v>
      </c>
      <c r="AD1001" s="20">
        <f>'PFAS Properties'!$W$46</f>
        <v>8</v>
      </c>
      <c r="AE1001" s="8">
        <f>'PFAS Properties'!$S$46</f>
        <v>2.0166155475571776</v>
      </c>
      <c r="AF1001" s="15">
        <f>'PFAS Properties'!$V$46</f>
        <v>5</v>
      </c>
      <c r="AG1001" s="26">
        <v>6.59</v>
      </c>
      <c r="AH1001" s="1" t="s">
        <v>190</v>
      </c>
      <c r="AI1001" s="39">
        <f t="shared" si="540"/>
        <v>148.99446</v>
      </c>
      <c r="AJ1001" s="1">
        <v>2668</v>
      </c>
      <c r="AK1001" s="8">
        <f t="shared" si="541"/>
        <v>14.899446000000001</v>
      </c>
      <c r="AL1001" s="39">
        <f t="shared" si="542"/>
        <v>31.809420000000003</v>
      </c>
      <c r="AM1001" s="1">
        <v>1179</v>
      </c>
      <c r="AN1001" s="8">
        <f t="shared" si="543"/>
        <v>3.1809420000000004</v>
      </c>
      <c r="AO1001" s="3" t="s">
        <v>93</v>
      </c>
      <c r="AP1001" s="3">
        <v>24.4</v>
      </c>
      <c r="AQ1001" s="3" t="s">
        <v>661</v>
      </c>
      <c r="AR1001" s="4">
        <v>69</v>
      </c>
      <c r="AS1001" s="4">
        <v>13.6</v>
      </c>
      <c r="AT1001" s="4">
        <v>17.399999999999999</v>
      </c>
      <c r="AU1001" s="3" t="s">
        <v>661</v>
      </c>
      <c r="AV1001" s="16">
        <f t="shared" si="535"/>
        <v>100</v>
      </c>
      <c r="AW1001" s="26">
        <v>1.5</v>
      </c>
      <c r="AX1001" s="1">
        <f t="shared" si="544"/>
        <v>1.4999999999999999E-2</v>
      </c>
      <c r="AY1001" s="1" t="s">
        <v>511</v>
      </c>
      <c r="AZ1001" s="1">
        <f t="shared" si="545"/>
        <v>100</v>
      </c>
      <c r="BA1001" s="1" t="s">
        <v>55</v>
      </c>
      <c r="BB1001" s="1">
        <v>5</v>
      </c>
      <c r="BC1001" s="1">
        <v>500</v>
      </c>
      <c r="BD1001" s="26">
        <f t="shared" si="552"/>
        <v>16.405073549222376</v>
      </c>
      <c r="BE1001" s="16">
        <f t="shared" si="536"/>
        <v>1093.6715699481583</v>
      </c>
      <c r="BF1001" s="16">
        <f t="shared" si="537"/>
        <v>3.0388869227526287</v>
      </c>
      <c r="BG1001" s="8">
        <f t="shared" si="538"/>
        <v>1.2149781818083099</v>
      </c>
      <c r="BH1001" s="13" t="s">
        <v>782</v>
      </c>
      <c r="BI1001" s="8">
        <v>26.2</v>
      </c>
      <c r="BJ1001" s="13" t="s">
        <v>349</v>
      </c>
      <c r="BK1001" s="15">
        <v>0.8</v>
      </c>
      <c r="BL1001" s="16">
        <f t="shared" si="547"/>
        <v>26.2</v>
      </c>
      <c r="BM1001" s="18">
        <f>'PFAS Properties'!$U$46</f>
        <v>10.39</v>
      </c>
      <c r="BN1001" s="8">
        <f t="shared" si="548"/>
        <v>170.44871417642051</v>
      </c>
      <c r="BO1001" s="24">
        <f t="shared" si="549"/>
        <v>16.405073549222376</v>
      </c>
      <c r="BP1001" s="11"/>
      <c r="BQ1001" s="11"/>
    </row>
    <row r="1002" spans="1:69" x14ac:dyDescent="0.3">
      <c r="A1002" s="20">
        <v>1000</v>
      </c>
      <c r="B1002" s="2" t="s">
        <v>189</v>
      </c>
      <c r="C1002" s="2">
        <v>2021</v>
      </c>
      <c r="D1002" s="2" t="s">
        <v>510</v>
      </c>
      <c r="E1002" s="41" t="s">
        <v>804</v>
      </c>
      <c r="F1002" s="20" t="s">
        <v>29</v>
      </c>
      <c r="G1002" s="2" t="s">
        <v>490</v>
      </c>
      <c r="H1002" s="2" t="str">
        <f>'PFAS Properties'!$B$46</f>
        <v>PFOS</v>
      </c>
      <c r="I1002" s="2" t="str">
        <f>'PFAS Properties'!$C$46</f>
        <v>PFSA</v>
      </c>
      <c r="J1002" s="2" t="str">
        <f>'PFAS Properties'!$D$46</f>
        <v>C8HF17O3S</v>
      </c>
      <c r="K1002" s="25">
        <f>'PFAS Properties'!$P$46</f>
        <v>499.93739999999997</v>
      </c>
      <c r="L1002" s="2">
        <f>'PFAS Properties'!$X$46</f>
        <v>0.1</v>
      </c>
      <c r="M1002" s="2" t="str">
        <f>'PFAS Properties'!$Y$46</f>
        <v>-</v>
      </c>
      <c r="N1002" s="33">
        <v>0</v>
      </c>
      <c r="O1002" s="33">
        <v>0</v>
      </c>
      <c r="P1002" s="33">
        <v>0</v>
      </c>
      <c r="Q1002" s="33">
        <f t="shared" si="550"/>
        <v>0.99999969800491917</v>
      </c>
      <c r="R1002" s="33">
        <v>0</v>
      </c>
      <c r="S1002" s="33">
        <f t="shared" si="551"/>
        <v>3.0199508083914471E-7</v>
      </c>
      <c r="T1002" s="8">
        <f t="shared" si="529"/>
        <v>1</v>
      </c>
      <c r="U1002" s="33">
        <f t="shared" si="530"/>
        <v>0</v>
      </c>
      <c r="V1002" s="33">
        <f t="shared" si="531"/>
        <v>-0.99999969800491917</v>
      </c>
      <c r="W1002" s="33">
        <f t="shared" si="532"/>
        <v>498.93740030199507</v>
      </c>
      <c r="X1002" s="33">
        <v>96485</v>
      </c>
      <c r="Y1002" s="16">
        <f t="shared" si="533"/>
        <v>-193.3809147271873</v>
      </c>
      <c r="Z1002" s="16">
        <v>8</v>
      </c>
      <c r="AA1002" s="16">
        <v>17</v>
      </c>
      <c r="AB1002" s="8">
        <f t="shared" si="534"/>
        <v>0.29721362229102166</v>
      </c>
      <c r="AC1002" s="16">
        <f t="shared" si="539"/>
        <v>64.60808893273439</v>
      </c>
      <c r="AD1002" s="20">
        <f>'PFAS Properties'!$W$46</f>
        <v>8</v>
      </c>
      <c r="AE1002" s="8">
        <f>'PFAS Properties'!$S$46</f>
        <v>2.0166155475571776</v>
      </c>
      <c r="AF1002" s="15">
        <f>'PFAS Properties'!$V$46</f>
        <v>5</v>
      </c>
      <c r="AG1002" s="26">
        <v>6.62</v>
      </c>
      <c r="AH1002" s="1" t="s">
        <v>190</v>
      </c>
      <c r="AI1002" s="39">
        <f t="shared" si="540"/>
        <v>156.58938000000001</v>
      </c>
      <c r="AJ1002" s="1">
        <v>2804</v>
      </c>
      <c r="AK1002" s="8">
        <f t="shared" si="541"/>
        <v>15.658938000000001</v>
      </c>
      <c r="AL1002" s="39">
        <f t="shared" si="542"/>
        <v>33.293320000000001</v>
      </c>
      <c r="AM1002" s="1">
        <v>1234</v>
      </c>
      <c r="AN1002" s="8">
        <f t="shared" si="543"/>
        <v>3.329332</v>
      </c>
      <c r="AO1002" s="3" t="s">
        <v>93</v>
      </c>
      <c r="AP1002" s="3">
        <v>12.9</v>
      </c>
      <c r="AQ1002" s="3" t="s">
        <v>661</v>
      </c>
      <c r="AR1002" s="4">
        <v>68.7</v>
      </c>
      <c r="AS1002" s="4">
        <v>12.4</v>
      </c>
      <c r="AT1002" s="4">
        <v>19</v>
      </c>
      <c r="AU1002" s="3" t="s">
        <v>661</v>
      </c>
      <c r="AV1002" s="16">
        <f t="shared" si="535"/>
        <v>100.10000000000001</v>
      </c>
      <c r="AW1002" s="26">
        <v>1.3</v>
      </c>
      <c r="AX1002" s="1">
        <f t="shared" si="544"/>
        <v>1.3000000000000001E-2</v>
      </c>
      <c r="AY1002" s="1" t="s">
        <v>511</v>
      </c>
      <c r="AZ1002" s="1">
        <f t="shared" si="545"/>
        <v>100</v>
      </c>
      <c r="BA1002" s="1" t="s">
        <v>55</v>
      </c>
      <c r="BB1002" s="1">
        <v>5</v>
      </c>
      <c r="BC1002" s="1">
        <v>500</v>
      </c>
      <c r="BD1002" s="26">
        <f t="shared" si="552"/>
        <v>13.775252598583677</v>
      </c>
      <c r="BE1002" s="16">
        <f t="shared" si="536"/>
        <v>1059.6348152756673</v>
      </c>
      <c r="BF1002" s="16">
        <f t="shared" si="537"/>
        <v>3.0251562190039341</v>
      </c>
      <c r="BG1002" s="8">
        <f t="shared" si="538"/>
        <v>1.1390995713107708</v>
      </c>
      <c r="BH1002" s="13" t="s">
        <v>782</v>
      </c>
      <c r="BI1002" s="8">
        <v>22</v>
      </c>
      <c r="BJ1002" s="13" t="s">
        <v>349</v>
      </c>
      <c r="BK1002" s="15">
        <v>0.8</v>
      </c>
      <c r="BL1002" s="16">
        <f t="shared" si="547"/>
        <v>22</v>
      </c>
      <c r="BM1002" s="18">
        <f>'PFAS Properties'!$U$46</f>
        <v>10.39</v>
      </c>
      <c r="BN1002" s="8">
        <f t="shared" si="548"/>
        <v>143.1248744992844</v>
      </c>
      <c r="BO1002" s="24">
        <f t="shared" si="549"/>
        <v>13.775252598583677</v>
      </c>
      <c r="BP1002" s="11"/>
      <c r="BQ1002" s="11"/>
    </row>
    <row r="1003" spans="1:69" x14ac:dyDescent="0.3">
      <c r="A1003" s="20">
        <v>1001</v>
      </c>
      <c r="B1003" s="2" t="s">
        <v>189</v>
      </c>
      <c r="C1003" s="2">
        <v>2021</v>
      </c>
      <c r="D1003" s="2" t="s">
        <v>510</v>
      </c>
      <c r="E1003" s="41" t="s">
        <v>804</v>
      </c>
      <c r="F1003" s="20" t="s">
        <v>29</v>
      </c>
      <c r="G1003" s="2" t="s">
        <v>491</v>
      </c>
      <c r="H1003" s="2" t="str">
        <f>'PFAS Properties'!$B$46</f>
        <v>PFOS</v>
      </c>
      <c r="I1003" s="2" t="str">
        <f>'PFAS Properties'!$C$46</f>
        <v>PFSA</v>
      </c>
      <c r="J1003" s="2" t="str">
        <f>'PFAS Properties'!$D$46</f>
        <v>C8HF17O3S</v>
      </c>
      <c r="K1003" s="25">
        <f>'PFAS Properties'!$P$46</f>
        <v>499.93739999999997</v>
      </c>
      <c r="L1003" s="2">
        <f>'PFAS Properties'!$X$46</f>
        <v>0.1</v>
      </c>
      <c r="M1003" s="2" t="str">
        <f>'PFAS Properties'!$Y$46</f>
        <v>-</v>
      </c>
      <c r="N1003" s="33">
        <v>0</v>
      </c>
      <c r="O1003" s="33">
        <v>0</v>
      </c>
      <c r="P1003" s="33">
        <v>0</v>
      </c>
      <c r="Q1003" s="33">
        <f t="shared" si="550"/>
        <v>0.99997958303741419</v>
      </c>
      <c r="R1003" s="33">
        <v>0</v>
      </c>
      <c r="S1003" s="33">
        <f t="shared" si="551"/>
        <v>2.0416962585823003E-5</v>
      </c>
      <c r="T1003" s="8">
        <f t="shared" si="529"/>
        <v>1</v>
      </c>
      <c r="U1003" s="33">
        <f t="shared" si="530"/>
        <v>0</v>
      </c>
      <c r="V1003" s="33">
        <f t="shared" si="531"/>
        <v>-0.99997958303741419</v>
      </c>
      <c r="W1003" s="33">
        <f t="shared" si="532"/>
        <v>498.93742041696254</v>
      </c>
      <c r="X1003" s="33">
        <v>96485</v>
      </c>
      <c r="Y1003" s="16">
        <f t="shared" si="533"/>
        <v>-193.37701707908366</v>
      </c>
      <c r="Z1003" s="16">
        <v>8</v>
      </c>
      <c r="AA1003" s="16">
        <v>17</v>
      </c>
      <c r="AB1003" s="8">
        <f t="shared" si="534"/>
        <v>0.29721362229102166</v>
      </c>
      <c r="AC1003" s="16">
        <f t="shared" si="539"/>
        <v>64.60808893273439</v>
      </c>
      <c r="AD1003" s="20">
        <f>'PFAS Properties'!$W$46</f>
        <v>8</v>
      </c>
      <c r="AE1003" s="8">
        <f>'PFAS Properties'!$S$46</f>
        <v>2.0166155475571776</v>
      </c>
      <c r="AF1003" s="15">
        <f>'PFAS Properties'!$V$46</f>
        <v>5</v>
      </c>
      <c r="AG1003" s="26">
        <v>4.79</v>
      </c>
      <c r="AH1003" s="1" t="s">
        <v>190</v>
      </c>
      <c r="AI1003" s="39">
        <f t="shared" si="540"/>
        <v>89.798760000000001</v>
      </c>
      <c r="AJ1003" s="1">
        <v>1608</v>
      </c>
      <c r="AK1003" s="8">
        <f t="shared" si="541"/>
        <v>8.9798760000000009</v>
      </c>
      <c r="AL1003" s="39">
        <f t="shared" si="542"/>
        <v>19.506540000000001</v>
      </c>
      <c r="AM1003" s="1">
        <v>723</v>
      </c>
      <c r="AN1003" s="8">
        <f t="shared" si="543"/>
        <v>1.9506540000000001</v>
      </c>
      <c r="AO1003" s="3" t="s">
        <v>93</v>
      </c>
      <c r="AP1003" s="3">
        <v>8.1999999999999993</v>
      </c>
      <c r="AQ1003" s="3" t="s">
        <v>661</v>
      </c>
      <c r="AR1003" s="4">
        <v>76.3</v>
      </c>
      <c r="AS1003" s="4">
        <v>19.3</v>
      </c>
      <c r="AT1003" s="4">
        <v>4.4000000000000004</v>
      </c>
      <c r="AU1003" s="3" t="s">
        <v>661</v>
      </c>
      <c r="AV1003" s="16">
        <f t="shared" si="535"/>
        <v>100</v>
      </c>
      <c r="AW1003" s="26">
        <v>1</v>
      </c>
      <c r="AX1003" s="1">
        <f t="shared" si="544"/>
        <v>0.01</v>
      </c>
      <c r="AY1003" s="1" t="s">
        <v>511</v>
      </c>
      <c r="AZ1003" s="1">
        <f t="shared" si="545"/>
        <v>100</v>
      </c>
      <c r="BA1003" s="1" t="s">
        <v>55</v>
      </c>
      <c r="BB1003" s="1">
        <v>5</v>
      </c>
      <c r="BC1003" s="1">
        <v>500</v>
      </c>
      <c r="BD1003" s="26">
        <f t="shared" si="552"/>
        <v>23.042240710358147</v>
      </c>
      <c r="BE1003" s="16">
        <f t="shared" si="536"/>
        <v>2304.2240710358146</v>
      </c>
      <c r="BF1003" s="16">
        <f t="shared" si="537"/>
        <v>3.362524709162082</v>
      </c>
      <c r="BG1003" s="8">
        <f t="shared" si="538"/>
        <v>1.362524709162082</v>
      </c>
      <c r="BH1003" s="13" t="s">
        <v>782</v>
      </c>
      <c r="BI1003" s="8">
        <v>36.799999999999997</v>
      </c>
      <c r="BJ1003" s="13" t="s">
        <v>349</v>
      </c>
      <c r="BK1003" s="15">
        <v>0.8</v>
      </c>
      <c r="BL1003" s="16">
        <f t="shared" si="547"/>
        <v>36.799999999999997</v>
      </c>
      <c r="BM1003" s="18">
        <f>'PFAS Properties'!$U$46</f>
        <v>10.39</v>
      </c>
      <c r="BN1003" s="8">
        <f t="shared" si="548"/>
        <v>239.40888098062118</v>
      </c>
      <c r="BO1003" s="24">
        <f t="shared" si="549"/>
        <v>23.042240710358147</v>
      </c>
      <c r="BP1003" s="11"/>
      <c r="BQ1003" s="11"/>
    </row>
    <row r="1004" spans="1:69" x14ac:dyDescent="0.3">
      <c r="A1004" s="20">
        <v>1002</v>
      </c>
      <c r="B1004" s="2" t="s">
        <v>189</v>
      </c>
      <c r="C1004" s="2">
        <v>2021</v>
      </c>
      <c r="D1004" s="2" t="s">
        <v>510</v>
      </c>
      <c r="E1004" s="41" t="s">
        <v>804</v>
      </c>
      <c r="F1004" s="20" t="s">
        <v>29</v>
      </c>
      <c r="G1004" s="2" t="s">
        <v>492</v>
      </c>
      <c r="H1004" s="2" t="str">
        <f>'PFAS Properties'!$B$46</f>
        <v>PFOS</v>
      </c>
      <c r="I1004" s="2" t="str">
        <f>'PFAS Properties'!$C$46</f>
        <v>PFSA</v>
      </c>
      <c r="J1004" s="2" t="str">
        <f>'PFAS Properties'!$D$46</f>
        <v>C8HF17O3S</v>
      </c>
      <c r="K1004" s="25">
        <f>'PFAS Properties'!$P$46</f>
        <v>499.93739999999997</v>
      </c>
      <c r="L1004" s="2">
        <f>'PFAS Properties'!$X$46</f>
        <v>0.1</v>
      </c>
      <c r="M1004" s="2" t="str">
        <f>'PFAS Properties'!$Y$46</f>
        <v>-</v>
      </c>
      <c r="N1004" s="33">
        <v>0</v>
      </c>
      <c r="O1004" s="33">
        <v>0</v>
      </c>
      <c r="P1004" s="33">
        <v>0</v>
      </c>
      <c r="Q1004" s="33">
        <f t="shared" si="550"/>
        <v>0.99997761328979029</v>
      </c>
      <c r="R1004" s="33">
        <v>0</v>
      </c>
      <c r="S1004" s="33">
        <f t="shared" si="551"/>
        <v>2.2386710209669665E-5</v>
      </c>
      <c r="T1004" s="8">
        <f t="shared" si="529"/>
        <v>1</v>
      </c>
      <c r="U1004" s="33">
        <f t="shared" si="530"/>
        <v>0</v>
      </c>
      <c r="V1004" s="33">
        <f t="shared" si="531"/>
        <v>-0.99997761328979029</v>
      </c>
      <c r="W1004" s="33">
        <f t="shared" si="532"/>
        <v>498.93742238671013</v>
      </c>
      <c r="X1004" s="33">
        <v>96485</v>
      </c>
      <c r="Y1004" s="16">
        <f t="shared" si="533"/>
        <v>-193.37663540395798</v>
      </c>
      <c r="Z1004" s="16">
        <v>8</v>
      </c>
      <c r="AA1004" s="16">
        <v>17</v>
      </c>
      <c r="AB1004" s="8">
        <f t="shared" si="534"/>
        <v>0.29721362229102166</v>
      </c>
      <c r="AC1004" s="16">
        <f t="shared" si="539"/>
        <v>64.60808893273439</v>
      </c>
      <c r="AD1004" s="20">
        <f>'PFAS Properties'!$W$46</f>
        <v>8</v>
      </c>
      <c r="AE1004" s="8">
        <f>'PFAS Properties'!$S$46</f>
        <v>2.0166155475571776</v>
      </c>
      <c r="AF1004" s="15">
        <f>'PFAS Properties'!$V$46</f>
        <v>5</v>
      </c>
      <c r="AG1004" s="26">
        <v>4.75</v>
      </c>
      <c r="AH1004" s="1" t="s">
        <v>190</v>
      </c>
      <c r="AI1004" s="39">
        <f t="shared" ref="AI1004:AI1021" si="553">(AJ1004*55.845)/1000</f>
        <v>93.987134999999995</v>
      </c>
      <c r="AJ1004" s="1">
        <v>1683</v>
      </c>
      <c r="AK1004" s="8">
        <f t="shared" ref="AK1004:AK1021" si="554">AI1004/10</f>
        <v>9.3987134999999995</v>
      </c>
      <c r="AL1004" s="39">
        <f t="shared" ref="AL1004:AL1021" si="555">(AM1004*26.98)/1000</f>
        <v>20.396879999999999</v>
      </c>
      <c r="AM1004" s="1">
        <v>756</v>
      </c>
      <c r="AN1004" s="8">
        <f t="shared" ref="AN1004:AN1021" si="556">AL1004/10</f>
        <v>2.0396879999999999</v>
      </c>
      <c r="AO1004" s="3" t="s">
        <v>93</v>
      </c>
      <c r="AP1004" s="3">
        <v>8</v>
      </c>
      <c r="AQ1004" s="3" t="s">
        <v>661</v>
      </c>
      <c r="AR1004" s="4">
        <v>68.2</v>
      </c>
      <c r="AS1004" s="4">
        <v>19</v>
      </c>
      <c r="AT1004" s="4">
        <v>12.8</v>
      </c>
      <c r="AU1004" s="3" t="s">
        <v>661</v>
      </c>
      <c r="AV1004" s="16">
        <f t="shared" si="535"/>
        <v>100</v>
      </c>
      <c r="AW1004" s="26">
        <v>1.1000000000000001</v>
      </c>
      <c r="AX1004" s="1">
        <f t="shared" ref="AX1004:AX1035" si="557">AW1004/100</f>
        <v>1.1000000000000001E-2</v>
      </c>
      <c r="AY1004" s="1" t="s">
        <v>511</v>
      </c>
      <c r="AZ1004" s="1">
        <f t="shared" ref="AZ1004:AZ1021" si="558">2/0.02</f>
        <v>100</v>
      </c>
      <c r="BA1004" s="1" t="s">
        <v>55</v>
      </c>
      <c r="BB1004" s="1">
        <v>5</v>
      </c>
      <c r="BC1004" s="1">
        <v>500</v>
      </c>
      <c r="BD1004" s="26">
        <f t="shared" si="552"/>
        <v>18.972279715322067</v>
      </c>
      <c r="BE1004" s="16">
        <f t="shared" si="536"/>
        <v>1724.752701392915</v>
      </c>
      <c r="BF1004" s="16">
        <f t="shared" si="537"/>
        <v>3.2367268338326447</v>
      </c>
      <c r="BG1004" s="8">
        <f t="shared" si="538"/>
        <v>1.2781195189908696</v>
      </c>
      <c r="BH1004" s="13" t="s">
        <v>782</v>
      </c>
      <c r="BI1004" s="8">
        <v>30.3</v>
      </c>
      <c r="BJ1004" s="13" t="s">
        <v>349</v>
      </c>
      <c r="BK1004" s="15">
        <v>0.8</v>
      </c>
      <c r="BL1004" s="16">
        <f t="shared" ref="BL1004:BL1021" si="559">BI1004</f>
        <v>30.3</v>
      </c>
      <c r="BM1004" s="18">
        <f>'PFAS Properties'!$U$46</f>
        <v>10.39</v>
      </c>
      <c r="BN1004" s="8">
        <f t="shared" ref="BN1004:BN1029" si="560">(BL1004*(BM1004^BK1004))</f>
        <v>197.12198624219627</v>
      </c>
      <c r="BO1004" s="24">
        <f t="shared" ref="BO1004:BO1029" si="561">BN1004/BM1004</f>
        <v>18.972279715322067</v>
      </c>
      <c r="BP1004" s="11"/>
      <c r="BQ1004" s="11"/>
    </row>
    <row r="1005" spans="1:69" x14ac:dyDescent="0.3">
      <c r="A1005" s="20">
        <v>1003</v>
      </c>
      <c r="B1005" s="2" t="s">
        <v>189</v>
      </c>
      <c r="C1005" s="2">
        <v>2021</v>
      </c>
      <c r="D1005" s="2" t="s">
        <v>510</v>
      </c>
      <c r="E1005" s="41" t="s">
        <v>804</v>
      </c>
      <c r="F1005" s="20" t="s">
        <v>29</v>
      </c>
      <c r="G1005" s="2" t="s">
        <v>493</v>
      </c>
      <c r="H1005" s="2" t="str">
        <f>'PFAS Properties'!$B$46</f>
        <v>PFOS</v>
      </c>
      <c r="I1005" s="2" t="str">
        <f>'PFAS Properties'!$C$46</f>
        <v>PFSA</v>
      </c>
      <c r="J1005" s="2" t="str">
        <f>'PFAS Properties'!$D$46</f>
        <v>C8HF17O3S</v>
      </c>
      <c r="K1005" s="25">
        <f>'PFAS Properties'!$P$46</f>
        <v>499.93739999999997</v>
      </c>
      <c r="L1005" s="2">
        <f>'PFAS Properties'!$X$46</f>
        <v>0.1</v>
      </c>
      <c r="M1005" s="2" t="str">
        <f>'PFAS Properties'!$Y$46</f>
        <v>-</v>
      </c>
      <c r="N1005" s="33">
        <v>0</v>
      </c>
      <c r="O1005" s="33">
        <v>0</v>
      </c>
      <c r="P1005" s="33">
        <v>0</v>
      </c>
      <c r="Q1005" s="33">
        <f t="shared" si="550"/>
        <v>0.99999929205471683</v>
      </c>
      <c r="R1005" s="33">
        <v>0</v>
      </c>
      <c r="S1005" s="33">
        <f t="shared" si="551"/>
        <v>7.0794528319725796E-7</v>
      </c>
      <c r="T1005" s="8">
        <f t="shared" si="529"/>
        <v>1</v>
      </c>
      <c r="U1005" s="33">
        <f t="shared" si="530"/>
        <v>0</v>
      </c>
      <c r="V1005" s="33">
        <f t="shared" si="531"/>
        <v>-0.99999929205471683</v>
      </c>
      <c r="W1005" s="33">
        <f t="shared" si="532"/>
        <v>498.93740070794524</v>
      </c>
      <c r="X1005" s="33">
        <v>96485</v>
      </c>
      <c r="Y1005" s="16">
        <f t="shared" si="533"/>
        <v>-193.38083606680181</v>
      </c>
      <c r="Z1005" s="16">
        <v>8</v>
      </c>
      <c r="AA1005" s="16">
        <v>17</v>
      </c>
      <c r="AB1005" s="8">
        <f t="shared" si="534"/>
        <v>0.29721362229102166</v>
      </c>
      <c r="AC1005" s="16">
        <f t="shared" si="539"/>
        <v>64.60808893273439</v>
      </c>
      <c r="AD1005" s="20">
        <f>'PFAS Properties'!$W$46</f>
        <v>8</v>
      </c>
      <c r="AE1005" s="8">
        <f>'PFAS Properties'!$S$46</f>
        <v>2.0166155475571776</v>
      </c>
      <c r="AF1005" s="15">
        <f>'PFAS Properties'!$V$46</f>
        <v>5</v>
      </c>
      <c r="AG1005" s="26">
        <v>6.25</v>
      </c>
      <c r="AH1005" s="1" t="s">
        <v>190</v>
      </c>
      <c r="AI1005" s="39">
        <f t="shared" si="553"/>
        <v>272.57944500000002</v>
      </c>
      <c r="AJ1005" s="1">
        <v>4881</v>
      </c>
      <c r="AK1005" s="8">
        <f t="shared" si="554"/>
        <v>27.257944500000001</v>
      </c>
      <c r="AL1005" s="39">
        <f t="shared" si="555"/>
        <v>53.096640000000001</v>
      </c>
      <c r="AM1005" s="1">
        <v>1968</v>
      </c>
      <c r="AN1005" s="8">
        <f t="shared" si="556"/>
        <v>5.3096639999999997</v>
      </c>
      <c r="AO1005" s="3" t="s">
        <v>93</v>
      </c>
      <c r="AP1005" s="3">
        <v>24.3</v>
      </c>
      <c r="AQ1005" s="3" t="s">
        <v>661</v>
      </c>
      <c r="AR1005" s="4">
        <v>27</v>
      </c>
      <c r="AS1005" s="4">
        <v>43.5</v>
      </c>
      <c r="AT1005" s="4">
        <v>29.5</v>
      </c>
      <c r="AU1005" s="3" t="s">
        <v>661</v>
      </c>
      <c r="AV1005" s="16">
        <f t="shared" si="535"/>
        <v>100</v>
      </c>
      <c r="AW1005" s="26">
        <v>2.4</v>
      </c>
      <c r="AX1005" s="1">
        <f t="shared" si="557"/>
        <v>2.4E-2</v>
      </c>
      <c r="AY1005" s="1" t="s">
        <v>511</v>
      </c>
      <c r="AZ1005" s="1">
        <f t="shared" si="558"/>
        <v>100</v>
      </c>
      <c r="BA1005" s="1" t="s">
        <v>55</v>
      </c>
      <c r="BB1005" s="1">
        <v>5</v>
      </c>
      <c r="BC1005" s="1">
        <v>500</v>
      </c>
      <c r="BD1005" s="26">
        <f t="shared" si="552"/>
        <v>32.872761882983774</v>
      </c>
      <c r="BE1005" s="16">
        <f t="shared" si="536"/>
        <v>1369.6984117909906</v>
      </c>
      <c r="BF1005" s="16">
        <f t="shared" si="537"/>
        <v>3.1366249521829155</v>
      </c>
      <c r="BG1005" s="8">
        <f t="shared" si="538"/>
        <v>1.5168361938945214</v>
      </c>
      <c r="BH1005" s="13" t="s">
        <v>782</v>
      </c>
      <c r="BI1005" s="8">
        <v>52.5</v>
      </c>
      <c r="BJ1005" s="13" t="s">
        <v>349</v>
      </c>
      <c r="BK1005" s="15">
        <v>0.8</v>
      </c>
      <c r="BL1005" s="16">
        <f t="shared" si="559"/>
        <v>52.5</v>
      </c>
      <c r="BM1005" s="18">
        <f>'PFAS Properties'!$U$46</f>
        <v>10.39</v>
      </c>
      <c r="BN1005" s="8">
        <f t="shared" si="560"/>
        <v>341.54799596420145</v>
      </c>
      <c r="BO1005" s="24">
        <f t="shared" si="561"/>
        <v>32.872761882983774</v>
      </c>
      <c r="BP1005" s="11"/>
      <c r="BQ1005" s="11"/>
    </row>
    <row r="1006" spans="1:69" x14ac:dyDescent="0.3">
      <c r="A1006" s="20">
        <v>1004</v>
      </c>
      <c r="B1006" s="2" t="s">
        <v>189</v>
      </c>
      <c r="C1006" s="2">
        <v>2021</v>
      </c>
      <c r="D1006" s="2" t="s">
        <v>510</v>
      </c>
      <c r="E1006" s="41" t="s">
        <v>804</v>
      </c>
      <c r="F1006" s="20" t="s">
        <v>29</v>
      </c>
      <c r="G1006" s="2" t="s">
        <v>494</v>
      </c>
      <c r="H1006" s="2" t="str">
        <f>'PFAS Properties'!$B$46</f>
        <v>PFOS</v>
      </c>
      <c r="I1006" s="2" t="str">
        <f>'PFAS Properties'!$C$46</f>
        <v>PFSA</v>
      </c>
      <c r="J1006" s="2" t="str">
        <f>'PFAS Properties'!$D$46</f>
        <v>C8HF17O3S</v>
      </c>
      <c r="K1006" s="25">
        <f>'PFAS Properties'!$P$46</f>
        <v>499.93739999999997</v>
      </c>
      <c r="L1006" s="2">
        <f>'PFAS Properties'!$X$46</f>
        <v>0.1</v>
      </c>
      <c r="M1006" s="2" t="str">
        <f>'PFAS Properties'!$Y$46</f>
        <v>-</v>
      </c>
      <c r="N1006" s="33">
        <v>0</v>
      </c>
      <c r="O1006" s="33">
        <v>0</v>
      </c>
      <c r="P1006" s="33">
        <v>0</v>
      </c>
      <c r="Q1006" s="33">
        <f t="shared" si="550"/>
        <v>0.99999865103893715</v>
      </c>
      <c r="R1006" s="33">
        <v>0</v>
      </c>
      <c r="S1006" s="33">
        <f t="shared" si="551"/>
        <v>1.3489610628932487E-6</v>
      </c>
      <c r="T1006" s="8">
        <f t="shared" si="529"/>
        <v>1</v>
      </c>
      <c r="U1006" s="33">
        <f t="shared" si="530"/>
        <v>0</v>
      </c>
      <c r="V1006" s="33">
        <f t="shared" si="531"/>
        <v>-0.99999865103893715</v>
      </c>
      <c r="W1006" s="33">
        <f t="shared" si="532"/>
        <v>498.93740134896103</v>
      </c>
      <c r="X1006" s="33">
        <v>96485</v>
      </c>
      <c r="Y1006" s="16">
        <f t="shared" si="533"/>
        <v>-193.38071185809846</v>
      </c>
      <c r="Z1006" s="16">
        <v>8</v>
      </c>
      <c r="AA1006" s="16">
        <v>17</v>
      </c>
      <c r="AB1006" s="8">
        <f t="shared" si="534"/>
        <v>0.29721362229102166</v>
      </c>
      <c r="AC1006" s="16">
        <f t="shared" si="539"/>
        <v>64.60808893273439</v>
      </c>
      <c r="AD1006" s="20">
        <f>'PFAS Properties'!$W$46</f>
        <v>8</v>
      </c>
      <c r="AE1006" s="8">
        <f>'PFAS Properties'!$S$46</f>
        <v>2.0166155475571776</v>
      </c>
      <c r="AF1006" s="15">
        <f>'PFAS Properties'!$V$46</f>
        <v>5</v>
      </c>
      <c r="AG1006" s="26">
        <v>5.97</v>
      </c>
      <c r="AH1006" s="1" t="s">
        <v>190</v>
      </c>
      <c r="AI1006" s="39">
        <f t="shared" si="553"/>
        <v>215.00325000000001</v>
      </c>
      <c r="AJ1006" s="1">
        <v>3850</v>
      </c>
      <c r="AK1006" s="8">
        <f t="shared" si="554"/>
        <v>21.500325</v>
      </c>
      <c r="AL1006" s="39">
        <f t="shared" si="555"/>
        <v>47.107080000000003</v>
      </c>
      <c r="AM1006" s="1">
        <v>1746</v>
      </c>
      <c r="AN1006" s="8">
        <f t="shared" si="556"/>
        <v>4.7107080000000003</v>
      </c>
      <c r="AO1006" s="3" t="s">
        <v>93</v>
      </c>
      <c r="AP1006" s="3">
        <v>19.3</v>
      </c>
      <c r="AQ1006" s="3" t="s">
        <v>661</v>
      </c>
      <c r="AR1006" s="4">
        <v>12.1</v>
      </c>
      <c r="AS1006" s="4">
        <v>53.5</v>
      </c>
      <c r="AT1006" s="4">
        <v>34.4</v>
      </c>
      <c r="AU1006" s="3" t="s">
        <v>661</v>
      </c>
      <c r="AV1006" s="16">
        <f t="shared" si="535"/>
        <v>100</v>
      </c>
      <c r="AW1006" s="26">
        <v>1</v>
      </c>
      <c r="AX1006" s="1">
        <f t="shared" si="557"/>
        <v>0.01</v>
      </c>
      <c r="AY1006" s="1" t="s">
        <v>511</v>
      </c>
      <c r="AZ1006" s="1">
        <f t="shared" si="558"/>
        <v>100</v>
      </c>
      <c r="BA1006" s="1" t="s">
        <v>55</v>
      </c>
      <c r="BB1006" s="1">
        <v>5</v>
      </c>
      <c r="BC1006" s="1">
        <v>500</v>
      </c>
      <c r="BD1006" s="26">
        <f t="shared" si="552"/>
        <v>22.393649722511313</v>
      </c>
      <c r="BE1006" s="16">
        <f t="shared" si="536"/>
        <v>2239.3649722511313</v>
      </c>
      <c r="BF1006" s="16">
        <f t="shared" si="537"/>
        <v>3.3501248807685724</v>
      </c>
      <c r="BG1006" s="8">
        <f t="shared" si="538"/>
        <v>1.3501248807685724</v>
      </c>
      <c r="BH1006" s="13" t="s">
        <v>782</v>
      </c>
      <c r="BI1006" s="8">
        <v>28.3</v>
      </c>
      <c r="BJ1006" s="13" t="s">
        <v>349</v>
      </c>
      <c r="BK1006" s="15">
        <v>0.9</v>
      </c>
      <c r="BL1006" s="16">
        <f t="shared" si="559"/>
        <v>28.3</v>
      </c>
      <c r="BM1006" s="18">
        <f>'PFAS Properties'!$U$46</f>
        <v>10.39</v>
      </c>
      <c r="BN1006" s="8">
        <f t="shared" si="560"/>
        <v>232.67002061689257</v>
      </c>
      <c r="BO1006" s="24">
        <f t="shared" si="561"/>
        <v>22.393649722511313</v>
      </c>
      <c r="BP1006" s="11"/>
      <c r="BQ1006" s="11"/>
    </row>
    <row r="1007" spans="1:69" x14ac:dyDescent="0.3">
      <c r="A1007" s="20">
        <v>1005</v>
      </c>
      <c r="B1007" s="2" t="s">
        <v>189</v>
      </c>
      <c r="C1007" s="2">
        <v>2021</v>
      </c>
      <c r="D1007" s="2" t="s">
        <v>510</v>
      </c>
      <c r="E1007" s="41" t="s">
        <v>804</v>
      </c>
      <c r="F1007" s="20" t="s">
        <v>29</v>
      </c>
      <c r="G1007" s="2" t="s">
        <v>495</v>
      </c>
      <c r="H1007" s="2" t="str">
        <f>'PFAS Properties'!$B$46</f>
        <v>PFOS</v>
      </c>
      <c r="I1007" s="2" t="str">
        <f>'PFAS Properties'!$C$46</f>
        <v>PFSA</v>
      </c>
      <c r="J1007" s="2" t="str">
        <f>'PFAS Properties'!$D$46</f>
        <v>C8HF17O3S</v>
      </c>
      <c r="K1007" s="25">
        <f>'PFAS Properties'!$P$46</f>
        <v>499.93739999999997</v>
      </c>
      <c r="L1007" s="2">
        <f>'PFAS Properties'!$X$46</f>
        <v>0.1</v>
      </c>
      <c r="M1007" s="2" t="str">
        <f>'PFAS Properties'!$Y$46</f>
        <v>-</v>
      </c>
      <c r="N1007" s="33">
        <v>0</v>
      </c>
      <c r="O1007" s="33">
        <v>0</v>
      </c>
      <c r="P1007" s="33">
        <v>0</v>
      </c>
      <c r="Q1007" s="33">
        <f t="shared" si="550"/>
        <v>0.99998554581121912</v>
      </c>
      <c r="R1007" s="33">
        <v>0</v>
      </c>
      <c r="S1007" s="33">
        <f t="shared" si="551"/>
        <v>1.4454188780866049E-5</v>
      </c>
      <c r="T1007" s="8">
        <f t="shared" si="529"/>
        <v>1</v>
      </c>
      <c r="U1007" s="33">
        <f t="shared" si="530"/>
        <v>0</v>
      </c>
      <c r="V1007" s="33">
        <f t="shared" si="531"/>
        <v>-0.99998554581121912</v>
      </c>
      <c r="W1007" s="33">
        <f t="shared" si="532"/>
        <v>498.93741445418874</v>
      </c>
      <c r="X1007" s="33">
        <v>96485</v>
      </c>
      <c r="Y1007" s="16">
        <f t="shared" si="533"/>
        <v>-193.37817247709006</v>
      </c>
      <c r="Z1007" s="16">
        <v>8</v>
      </c>
      <c r="AA1007" s="16">
        <v>17</v>
      </c>
      <c r="AB1007" s="8">
        <f t="shared" si="534"/>
        <v>0.29721362229102166</v>
      </c>
      <c r="AC1007" s="16">
        <f t="shared" si="539"/>
        <v>64.60808893273439</v>
      </c>
      <c r="AD1007" s="20">
        <f>'PFAS Properties'!$W$46</f>
        <v>8</v>
      </c>
      <c r="AE1007" s="8">
        <f>'PFAS Properties'!$S$46</f>
        <v>2.0166155475571776</v>
      </c>
      <c r="AF1007" s="15">
        <f>'PFAS Properties'!$V$46</f>
        <v>5</v>
      </c>
      <c r="AG1007" s="26">
        <v>4.9400000000000004</v>
      </c>
      <c r="AH1007" s="1" t="s">
        <v>190</v>
      </c>
      <c r="AI1007" s="39">
        <f t="shared" si="553"/>
        <v>237.620475</v>
      </c>
      <c r="AJ1007" s="1">
        <v>4255</v>
      </c>
      <c r="AK1007" s="8">
        <f t="shared" si="554"/>
        <v>23.762047500000001</v>
      </c>
      <c r="AL1007" s="39">
        <f t="shared" si="555"/>
        <v>50.101860000000002</v>
      </c>
      <c r="AM1007" s="1">
        <v>1857</v>
      </c>
      <c r="AN1007" s="8">
        <f t="shared" si="556"/>
        <v>5.010186</v>
      </c>
      <c r="AO1007" s="3" t="s">
        <v>93</v>
      </c>
      <c r="AP1007" s="3">
        <v>14.1</v>
      </c>
      <c r="AQ1007" s="3" t="s">
        <v>661</v>
      </c>
      <c r="AR1007" s="4">
        <v>12.7</v>
      </c>
      <c r="AS1007" s="4">
        <v>52.1</v>
      </c>
      <c r="AT1007" s="4">
        <v>35.200000000000003</v>
      </c>
      <c r="AU1007" s="3" t="s">
        <v>661</v>
      </c>
      <c r="AV1007" s="16">
        <f t="shared" si="535"/>
        <v>100</v>
      </c>
      <c r="AW1007" s="26">
        <v>2.4</v>
      </c>
      <c r="AX1007" s="1">
        <f t="shared" si="557"/>
        <v>2.4E-2</v>
      </c>
      <c r="AY1007" s="1" t="s">
        <v>511</v>
      </c>
      <c r="AZ1007" s="1">
        <f t="shared" si="558"/>
        <v>100</v>
      </c>
      <c r="BA1007" s="1" t="s">
        <v>55</v>
      </c>
      <c r="BB1007" s="1">
        <v>5</v>
      </c>
      <c r="BC1007" s="1">
        <v>500</v>
      </c>
      <c r="BD1007" s="26">
        <f t="shared" si="552"/>
        <v>43.016356978304479</v>
      </c>
      <c r="BE1007" s="16">
        <f t="shared" si="536"/>
        <v>1792.3482074293534</v>
      </c>
      <c r="BF1007" s="16">
        <f t="shared" si="537"/>
        <v>3.253422385836509</v>
      </c>
      <c r="BG1007" s="8">
        <f t="shared" si="538"/>
        <v>1.6336336275481149</v>
      </c>
      <c r="BH1007" s="13" t="s">
        <v>782</v>
      </c>
      <c r="BI1007" s="8">
        <v>68.7</v>
      </c>
      <c r="BJ1007" s="13" t="s">
        <v>349</v>
      </c>
      <c r="BK1007" s="15">
        <v>0.8</v>
      </c>
      <c r="BL1007" s="16">
        <f t="shared" si="559"/>
        <v>68.7</v>
      </c>
      <c r="BM1007" s="18">
        <f>'PFAS Properties'!$U$46</f>
        <v>10.39</v>
      </c>
      <c r="BN1007" s="8">
        <f t="shared" si="560"/>
        <v>446.93994900458358</v>
      </c>
      <c r="BO1007" s="24">
        <f t="shared" si="561"/>
        <v>43.016356978304479</v>
      </c>
      <c r="BP1007" s="11"/>
      <c r="BQ1007" s="11"/>
    </row>
    <row r="1008" spans="1:69" x14ac:dyDescent="0.3">
      <c r="A1008" s="20">
        <v>1006</v>
      </c>
      <c r="B1008" s="2" t="s">
        <v>189</v>
      </c>
      <c r="C1008" s="2">
        <v>2021</v>
      </c>
      <c r="D1008" s="2" t="s">
        <v>510</v>
      </c>
      <c r="E1008" s="41" t="s">
        <v>804</v>
      </c>
      <c r="F1008" s="20" t="s">
        <v>29</v>
      </c>
      <c r="G1008" s="2" t="s">
        <v>496</v>
      </c>
      <c r="H1008" s="2" t="str">
        <f>'PFAS Properties'!$B$46</f>
        <v>PFOS</v>
      </c>
      <c r="I1008" s="2" t="str">
        <f>'PFAS Properties'!$C$46</f>
        <v>PFSA</v>
      </c>
      <c r="J1008" s="2" t="str">
        <f>'PFAS Properties'!$D$46</f>
        <v>C8HF17O3S</v>
      </c>
      <c r="K1008" s="25">
        <f>'PFAS Properties'!$P$46</f>
        <v>499.93739999999997</v>
      </c>
      <c r="L1008" s="2">
        <f>'PFAS Properties'!$X$46</f>
        <v>0.1</v>
      </c>
      <c r="M1008" s="2" t="str">
        <f>'PFAS Properties'!$Y$46</f>
        <v>-</v>
      </c>
      <c r="N1008" s="33">
        <v>0</v>
      </c>
      <c r="O1008" s="33">
        <v>0</v>
      </c>
      <c r="P1008" s="33">
        <v>0</v>
      </c>
      <c r="Q1008" s="33">
        <f t="shared" si="550"/>
        <v>0.99999818030245269</v>
      </c>
      <c r="R1008" s="33">
        <v>0</v>
      </c>
      <c r="S1008" s="33">
        <f t="shared" si="551"/>
        <v>1.8196975473047906E-6</v>
      </c>
      <c r="T1008" s="8">
        <f t="shared" si="529"/>
        <v>1</v>
      </c>
      <c r="U1008" s="33">
        <f t="shared" si="530"/>
        <v>0</v>
      </c>
      <c r="V1008" s="33">
        <f t="shared" si="531"/>
        <v>-0.99999818030245269</v>
      </c>
      <c r="W1008" s="33">
        <f t="shared" si="532"/>
        <v>498.93740181969753</v>
      </c>
      <c r="X1008" s="33">
        <v>96485</v>
      </c>
      <c r="Y1008" s="16">
        <f t="shared" si="533"/>
        <v>-193.38062064416883</v>
      </c>
      <c r="Z1008" s="16">
        <v>8</v>
      </c>
      <c r="AA1008" s="16">
        <v>17</v>
      </c>
      <c r="AB1008" s="8">
        <f t="shared" si="534"/>
        <v>0.29721362229102166</v>
      </c>
      <c r="AC1008" s="16">
        <f t="shared" si="539"/>
        <v>64.60808893273439</v>
      </c>
      <c r="AD1008" s="20">
        <f>'PFAS Properties'!$W$46</f>
        <v>8</v>
      </c>
      <c r="AE1008" s="8">
        <f>'PFAS Properties'!$S$46</f>
        <v>2.0166155475571776</v>
      </c>
      <c r="AF1008" s="15">
        <f>'PFAS Properties'!$V$46</f>
        <v>5</v>
      </c>
      <c r="AG1008" s="26">
        <v>5.84</v>
      </c>
      <c r="AH1008" s="1" t="s">
        <v>190</v>
      </c>
      <c r="AI1008" s="39">
        <f t="shared" si="553"/>
        <v>148.603545</v>
      </c>
      <c r="AJ1008" s="1">
        <v>2661</v>
      </c>
      <c r="AK1008" s="8">
        <f t="shared" si="554"/>
        <v>14.8603545</v>
      </c>
      <c r="AL1008" s="39">
        <f t="shared" si="555"/>
        <v>22.204540000000001</v>
      </c>
      <c r="AM1008" s="1">
        <v>823</v>
      </c>
      <c r="AN1008" s="8">
        <f t="shared" si="556"/>
        <v>2.2204540000000001</v>
      </c>
      <c r="AO1008" s="3" t="s">
        <v>93</v>
      </c>
      <c r="AP1008" s="3">
        <v>19.5</v>
      </c>
      <c r="AQ1008" s="3" t="s">
        <v>661</v>
      </c>
      <c r="AR1008" s="4">
        <v>27.5</v>
      </c>
      <c r="AS1008" s="4">
        <v>44.6</v>
      </c>
      <c r="AT1008" s="4">
        <v>27.8</v>
      </c>
      <c r="AU1008" s="3" t="s">
        <v>661</v>
      </c>
      <c r="AV1008" s="16">
        <f t="shared" si="535"/>
        <v>99.899999999999991</v>
      </c>
      <c r="AW1008" s="26">
        <v>2.9</v>
      </c>
      <c r="AX1008" s="1">
        <f t="shared" si="557"/>
        <v>2.8999999999999998E-2</v>
      </c>
      <c r="AY1008" s="1" t="s">
        <v>511</v>
      </c>
      <c r="AZ1008" s="1">
        <f t="shared" si="558"/>
        <v>100</v>
      </c>
      <c r="BA1008" s="1" t="s">
        <v>55</v>
      </c>
      <c r="BB1008" s="1">
        <v>5</v>
      </c>
      <c r="BC1008" s="1">
        <v>500</v>
      </c>
      <c r="BD1008" s="26">
        <f t="shared" si="552"/>
        <v>31.370007054047374</v>
      </c>
      <c r="BE1008" s="16">
        <f t="shared" si="536"/>
        <v>1081.7243811740475</v>
      </c>
      <c r="BF1008" s="16">
        <f t="shared" si="537"/>
        <v>3.0341166184568542</v>
      </c>
      <c r="BG1008" s="8">
        <f t="shared" si="538"/>
        <v>1.4965146163558103</v>
      </c>
      <c r="BH1008" s="13" t="s">
        <v>782</v>
      </c>
      <c r="BI1008" s="8">
        <v>50.1</v>
      </c>
      <c r="BJ1008" s="13" t="s">
        <v>349</v>
      </c>
      <c r="BK1008" s="15">
        <v>0.8</v>
      </c>
      <c r="BL1008" s="16">
        <f t="shared" si="559"/>
        <v>50.1</v>
      </c>
      <c r="BM1008" s="18">
        <f>'PFAS Properties'!$U$46</f>
        <v>10.39</v>
      </c>
      <c r="BN1008" s="8">
        <f t="shared" si="560"/>
        <v>325.93437329155222</v>
      </c>
      <c r="BO1008" s="24">
        <f t="shared" si="561"/>
        <v>31.370007054047374</v>
      </c>
      <c r="BP1008" s="11"/>
      <c r="BQ1008" s="11"/>
    </row>
    <row r="1009" spans="1:69" x14ac:dyDescent="0.3">
      <c r="A1009" s="20">
        <v>1007</v>
      </c>
      <c r="B1009" s="2" t="s">
        <v>189</v>
      </c>
      <c r="C1009" s="2">
        <v>2021</v>
      </c>
      <c r="D1009" s="2" t="s">
        <v>510</v>
      </c>
      <c r="E1009" s="41" t="s">
        <v>804</v>
      </c>
      <c r="F1009" s="20" t="s">
        <v>29</v>
      </c>
      <c r="G1009" s="2" t="s">
        <v>497</v>
      </c>
      <c r="H1009" s="2" t="str">
        <f>'PFAS Properties'!$B$46</f>
        <v>PFOS</v>
      </c>
      <c r="I1009" s="2" t="str">
        <f>'PFAS Properties'!$C$46</f>
        <v>PFSA</v>
      </c>
      <c r="J1009" s="2" t="str">
        <f>'PFAS Properties'!$D$46</f>
        <v>C8HF17O3S</v>
      </c>
      <c r="K1009" s="25">
        <f>'PFAS Properties'!$P$46</f>
        <v>499.93739999999997</v>
      </c>
      <c r="L1009" s="2">
        <f>'PFAS Properties'!$X$46</f>
        <v>0.1</v>
      </c>
      <c r="M1009" s="2" t="str">
        <f>'PFAS Properties'!$Y$46</f>
        <v>-</v>
      </c>
      <c r="N1009" s="33">
        <v>0</v>
      </c>
      <c r="O1009" s="33">
        <v>0</v>
      </c>
      <c r="P1009" s="33">
        <v>0</v>
      </c>
      <c r="Q1009" s="33">
        <f t="shared" si="550"/>
        <v>0.99999922375348593</v>
      </c>
      <c r="R1009" s="33">
        <v>0</v>
      </c>
      <c r="S1009" s="33">
        <f t="shared" si="551"/>
        <v>7.7624651406957183E-7</v>
      </c>
      <c r="T1009" s="8">
        <f t="shared" si="529"/>
        <v>1</v>
      </c>
      <c r="U1009" s="33">
        <f t="shared" si="530"/>
        <v>0</v>
      </c>
      <c r="V1009" s="33">
        <f t="shared" si="531"/>
        <v>-0.99999922375348593</v>
      </c>
      <c r="W1009" s="33">
        <f t="shared" si="532"/>
        <v>498.93740077624648</v>
      </c>
      <c r="X1009" s="33">
        <v>96485</v>
      </c>
      <c r="Y1009" s="16">
        <f t="shared" si="533"/>
        <v>-193.38082283217074</v>
      </c>
      <c r="Z1009" s="16">
        <v>8</v>
      </c>
      <c r="AA1009" s="16">
        <v>17</v>
      </c>
      <c r="AB1009" s="8">
        <f t="shared" si="534"/>
        <v>0.29721362229102166</v>
      </c>
      <c r="AC1009" s="16">
        <f t="shared" si="539"/>
        <v>64.60808893273439</v>
      </c>
      <c r="AD1009" s="20">
        <f>'PFAS Properties'!$W$46</f>
        <v>8</v>
      </c>
      <c r="AE1009" s="8">
        <f>'PFAS Properties'!$S$46</f>
        <v>2.0166155475571776</v>
      </c>
      <c r="AF1009" s="15">
        <f>'PFAS Properties'!$V$46</f>
        <v>5</v>
      </c>
      <c r="AG1009" s="26">
        <v>6.21</v>
      </c>
      <c r="AH1009" s="1" t="s">
        <v>190</v>
      </c>
      <c r="AI1009" s="39">
        <f t="shared" si="553"/>
        <v>232.98534000000001</v>
      </c>
      <c r="AJ1009" s="1">
        <v>4172</v>
      </c>
      <c r="AK1009" s="8">
        <f t="shared" si="554"/>
        <v>23.298534</v>
      </c>
      <c r="AL1009" s="39">
        <f t="shared" si="555"/>
        <v>26.089659999999999</v>
      </c>
      <c r="AM1009" s="1">
        <v>967</v>
      </c>
      <c r="AN1009" s="8">
        <f t="shared" si="556"/>
        <v>2.6089659999999997</v>
      </c>
      <c r="AO1009" s="3" t="s">
        <v>93</v>
      </c>
      <c r="AP1009" s="3">
        <v>22.1</v>
      </c>
      <c r="AQ1009" s="3" t="s">
        <v>661</v>
      </c>
      <c r="AR1009" s="4">
        <v>15.2</v>
      </c>
      <c r="AS1009" s="4">
        <v>50.2</v>
      </c>
      <c r="AT1009" s="4">
        <v>34.6</v>
      </c>
      <c r="AU1009" s="3" t="s">
        <v>661</v>
      </c>
      <c r="AV1009" s="16">
        <f t="shared" si="535"/>
        <v>100</v>
      </c>
      <c r="AW1009" s="26">
        <v>1.9</v>
      </c>
      <c r="AX1009" s="1">
        <f t="shared" si="557"/>
        <v>1.9E-2</v>
      </c>
      <c r="AY1009" s="1" t="s">
        <v>511</v>
      </c>
      <c r="AZ1009" s="1">
        <f t="shared" si="558"/>
        <v>100</v>
      </c>
      <c r="BA1009" s="1" t="s">
        <v>55</v>
      </c>
      <c r="BB1009" s="1">
        <v>5</v>
      </c>
      <c r="BC1009" s="1">
        <v>500</v>
      </c>
      <c r="BD1009" s="26">
        <f t="shared" si="552"/>
        <v>18.784435361705015</v>
      </c>
      <c r="BE1009" s="16">
        <f t="shared" si="536"/>
        <v>988.65449272131661</v>
      </c>
      <c r="BF1009" s="16">
        <f t="shared" si="537"/>
        <v>2.9950445442553981</v>
      </c>
      <c r="BG1009" s="8">
        <f t="shared" si="538"/>
        <v>1.273798145208227</v>
      </c>
      <c r="BH1009" s="13" t="s">
        <v>782</v>
      </c>
      <c r="BI1009" s="8">
        <v>30</v>
      </c>
      <c r="BJ1009" s="13" t="s">
        <v>349</v>
      </c>
      <c r="BK1009" s="15">
        <v>0.8</v>
      </c>
      <c r="BL1009" s="16">
        <f t="shared" si="559"/>
        <v>30</v>
      </c>
      <c r="BM1009" s="18">
        <f>'PFAS Properties'!$U$46</f>
        <v>10.39</v>
      </c>
      <c r="BN1009" s="8">
        <f t="shared" si="560"/>
        <v>195.1702834081151</v>
      </c>
      <c r="BO1009" s="24">
        <f t="shared" si="561"/>
        <v>18.784435361705015</v>
      </c>
      <c r="BP1009" s="11"/>
      <c r="BQ1009" s="11"/>
    </row>
    <row r="1010" spans="1:69" x14ac:dyDescent="0.3">
      <c r="A1010" s="20">
        <v>1008</v>
      </c>
      <c r="B1010" s="2" t="s">
        <v>189</v>
      </c>
      <c r="C1010" s="2">
        <v>2021</v>
      </c>
      <c r="D1010" s="2" t="s">
        <v>510</v>
      </c>
      <c r="E1010" s="41" t="s">
        <v>804</v>
      </c>
      <c r="F1010" s="20" t="s">
        <v>29</v>
      </c>
      <c r="G1010" s="2" t="s">
        <v>498</v>
      </c>
      <c r="H1010" s="2" t="str">
        <f>'PFAS Properties'!$B$46</f>
        <v>PFOS</v>
      </c>
      <c r="I1010" s="2" t="str">
        <f>'PFAS Properties'!$C$46</f>
        <v>PFSA</v>
      </c>
      <c r="J1010" s="2" t="str">
        <f>'PFAS Properties'!$D$46</f>
        <v>C8HF17O3S</v>
      </c>
      <c r="K1010" s="25">
        <f>'PFAS Properties'!$P$46</f>
        <v>499.93739999999997</v>
      </c>
      <c r="L1010" s="2">
        <f>'PFAS Properties'!$X$46</f>
        <v>0.1</v>
      </c>
      <c r="M1010" s="2" t="str">
        <f>'PFAS Properties'!$Y$46</f>
        <v>-</v>
      </c>
      <c r="N1010" s="33">
        <v>0</v>
      </c>
      <c r="O1010" s="33">
        <v>0</v>
      </c>
      <c r="P1010" s="33">
        <v>0</v>
      </c>
      <c r="Q1010" s="33">
        <f t="shared" si="550"/>
        <v>0.99999952137013681</v>
      </c>
      <c r="R1010" s="33">
        <v>0</v>
      </c>
      <c r="S1010" s="33">
        <f t="shared" si="551"/>
        <v>4.7862986323598187E-7</v>
      </c>
      <c r="T1010" s="8">
        <f t="shared" si="529"/>
        <v>1</v>
      </c>
      <c r="U1010" s="33">
        <f t="shared" si="530"/>
        <v>0</v>
      </c>
      <c r="V1010" s="33">
        <f t="shared" si="531"/>
        <v>-0.99999952137013681</v>
      </c>
      <c r="W1010" s="33">
        <f t="shared" si="532"/>
        <v>498.93740047862985</v>
      </c>
      <c r="X1010" s="33">
        <v>96485</v>
      </c>
      <c r="Y1010" s="16">
        <f t="shared" si="533"/>
        <v>-193.38088050092014</v>
      </c>
      <c r="Z1010" s="16">
        <v>8</v>
      </c>
      <c r="AA1010" s="16">
        <v>17</v>
      </c>
      <c r="AB1010" s="8">
        <f t="shared" si="534"/>
        <v>0.29721362229102166</v>
      </c>
      <c r="AC1010" s="16">
        <f t="shared" si="539"/>
        <v>64.60808893273439</v>
      </c>
      <c r="AD1010" s="20">
        <f>'PFAS Properties'!$W$46</f>
        <v>8</v>
      </c>
      <c r="AE1010" s="8">
        <f>'PFAS Properties'!$S$46</f>
        <v>2.0166155475571776</v>
      </c>
      <c r="AF1010" s="15">
        <f>'PFAS Properties'!$V$46</f>
        <v>5</v>
      </c>
      <c r="AG1010" s="26">
        <v>6.42</v>
      </c>
      <c r="AH1010" s="1" t="s">
        <v>190</v>
      </c>
      <c r="AI1010" s="39">
        <f t="shared" si="553"/>
        <v>27.587430000000001</v>
      </c>
      <c r="AJ1010" s="1">
        <v>494</v>
      </c>
      <c r="AK1010" s="8">
        <f t="shared" si="554"/>
        <v>2.7587429999999999</v>
      </c>
      <c r="AL1010" s="39">
        <f t="shared" si="555"/>
        <v>9.0113199999999996</v>
      </c>
      <c r="AM1010" s="1">
        <v>334</v>
      </c>
      <c r="AN1010" s="8">
        <f t="shared" si="556"/>
        <v>0.90113199999999993</v>
      </c>
      <c r="AO1010" s="3" t="s">
        <v>93</v>
      </c>
      <c r="AP1010" s="3">
        <v>34.9</v>
      </c>
      <c r="AQ1010" s="3" t="s">
        <v>661</v>
      </c>
      <c r="AR1010" s="4">
        <v>34.299999999999997</v>
      </c>
      <c r="AS1010" s="4">
        <v>23</v>
      </c>
      <c r="AT1010" s="4">
        <v>42.7</v>
      </c>
      <c r="AU1010" s="3" t="s">
        <v>661</v>
      </c>
      <c r="AV1010" s="16">
        <f t="shared" si="535"/>
        <v>100</v>
      </c>
      <c r="AW1010" s="26">
        <v>1.4</v>
      </c>
      <c r="AX1010" s="1">
        <f t="shared" si="557"/>
        <v>1.3999999999999999E-2</v>
      </c>
      <c r="AY1010" s="1" t="s">
        <v>511</v>
      </c>
      <c r="AZ1010" s="1">
        <f t="shared" si="558"/>
        <v>100</v>
      </c>
      <c r="BA1010" s="1" t="s">
        <v>55</v>
      </c>
      <c r="BB1010" s="1">
        <v>5</v>
      </c>
      <c r="BC1010" s="1">
        <v>500</v>
      </c>
      <c r="BD1010" s="26">
        <f t="shared" si="552"/>
        <v>17.09197293308284</v>
      </c>
      <c r="BE1010" s="16">
        <f t="shared" si="536"/>
        <v>1220.8552095059172</v>
      </c>
      <c r="BF1010" s="16">
        <f t="shared" si="537"/>
        <v>3.0866641607169751</v>
      </c>
      <c r="BG1010" s="8">
        <f t="shared" si="538"/>
        <v>1.2327921963952131</v>
      </c>
      <c r="BH1010" s="13" t="s">
        <v>782</v>
      </c>
      <c r="BI1010" s="8">
        <v>21.6</v>
      </c>
      <c r="BJ1010" s="13" t="s">
        <v>349</v>
      </c>
      <c r="BK1010" s="15">
        <v>0.9</v>
      </c>
      <c r="BL1010" s="16">
        <f t="shared" si="559"/>
        <v>21.6</v>
      </c>
      <c r="BM1010" s="18">
        <f>'PFAS Properties'!$U$46</f>
        <v>10.39</v>
      </c>
      <c r="BN1010" s="8">
        <f t="shared" si="560"/>
        <v>177.58559877473073</v>
      </c>
      <c r="BO1010" s="24">
        <f t="shared" si="561"/>
        <v>17.09197293308284</v>
      </c>
      <c r="BP1010" s="11"/>
      <c r="BQ1010" s="11"/>
    </row>
    <row r="1011" spans="1:69" x14ac:dyDescent="0.3">
      <c r="A1011" s="20">
        <v>1009</v>
      </c>
      <c r="B1011" s="2" t="s">
        <v>189</v>
      </c>
      <c r="C1011" s="2">
        <v>2021</v>
      </c>
      <c r="D1011" s="2" t="s">
        <v>510</v>
      </c>
      <c r="E1011" s="41" t="s">
        <v>804</v>
      </c>
      <c r="F1011" s="20" t="s">
        <v>29</v>
      </c>
      <c r="G1011" s="2" t="s">
        <v>499</v>
      </c>
      <c r="H1011" s="2" t="str">
        <f>'PFAS Properties'!$B$46</f>
        <v>PFOS</v>
      </c>
      <c r="I1011" s="2" t="str">
        <f>'PFAS Properties'!$C$46</f>
        <v>PFSA</v>
      </c>
      <c r="J1011" s="2" t="str">
        <f>'PFAS Properties'!$D$46</f>
        <v>C8HF17O3S</v>
      </c>
      <c r="K1011" s="25">
        <f>'PFAS Properties'!$P$46</f>
        <v>499.93739999999997</v>
      </c>
      <c r="L1011" s="2">
        <f>'PFAS Properties'!$X$46</f>
        <v>0.1</v>
      </c>
      <c r="M1011" s="2" t="str">
        <f>'PFAS Properties'!$Y$46</f>
        <v>-</v>
      </c>
      <c r="N1011" s="33">
        <v>0</v>
      </c>
      <c r="O1011" s="33">
        <v>0</v>
      </c>
      <c r="P1011" s="33">
        <v>0</v>
      </c>
      <c r="Q1011" s="33">
        <f t="shared" si="550"/>
        <v>0.99999383408800013</v>
      </c>
      <c r="R1011" s="33">
        <v>0</v>
      </c>
      <c r="S1011" s="33">
        <f t="shared" si="551"/>
        <v>6.1659119999096004E-6</v>
      </c>
      <c r="T1011" s="8">
        <f t="shared" si="529"/>
        <v>1</v>
      </c>
      <c r="U1011" s="33">
        <f t="shared" si="530"/>
        <v>0</v>
      </c>
      <c r="V1011" s="33">
        <f t="shared" si="531"/>
        <v>-0.99999383408800013</v>
      </c>
      <c r="W1011" s="33">
        <f t="shared" si="532"/>
        <v>498.93740616591202</v>
      </c>
      <c r="X1011" s="33">
        <v>96485</v>
      </c>
      <c r="Y1011" s="16">
        <f t="shared" si="533"/>
        <v>-193.37977848447119</v>
      </c>
      <c r="Z1011" s="16">
        <v>8</v>
      </c>
      <c r="AA1011" s="16">
        <v>17</v>
      </c>
      <c r="AB1011" s="8">
        <f t="shared" si="534"/>
        <v>0.29721362229102166</v>
      </c>
      <c r="AC1011" s="16">
        <f t="shared" si="539"/>
        <v>64.60808893273439</v>
      </c>
      <c r="AD1011" s="20">
        <f>'PFAS Properties'!$W$46</f>
        <v>8</v>
      </c>
      <c r="AE1011" s="8">
        <f>'PFAS Properties'!$S$46</f>
        <v>2.0166155475571776</v>
      </c>
      <c r="AF1011" s="15">
        <f>'PFAS Properties'!$V$46</f>
        <v>5</v>
      </c>
      <c r="AG1011" s="26">
        <v>5.31</v>
      </c>
      <c r="AH1011" s="1" t="s">
        <v>190</v>
      </c>
      <c r="AI1011" s="39">
        <f t="shared" si="553"/>
        <v>55.621619999999993</v>
      </c>
      <c r="AJ1011" s="1">
        <v>996</v>
      </c>
      <c r="AK1011" s="8">
        <f t="shared" si="554"/>
        <v>5.5621619999999989</v>
      </c>
      <c r="AL1011" s="39">
        <f t="shared" si="555"/>
        <v>15.29766</v>
      </c>
      <c r="AM1011" s="1">
        <v>567</v>
      </c>
      <c r="AN1011" s="8">
        <f t="shared" si="556"/>
        <v>1.529766</v>
      </c>
      <c r="AO1011" s="3" t="s">
        <v>93</v>
      </c>
      <c r="AP1011" s="3">
        <v>30.4</v>
      </c>
      <c r="AQ1011" s="3" t="s">
        <v>661</v>
      </c>
      <c r="AR1011" s="4">
        <v>70.2</v>
      </c>
      <c r="AS1011" s="4">
        <v>1.1000000000000001</v>
      </c>
      <c r="AT1011" s="4">
        <v>28.7</v>
      </c>
      <c r="AU1011" s="3" t="s">
        <v>661</v>
      </c>
      <c r="AV1011" s="16">
        <f t="shared" si="535"/>
        <v>100</v>
      </c>
      <c r="AW1011" s="26">
        <v>1.3</v>
      </c>
      <c r="AX1011" s="1">
        <f t="shared" si="557"/>
        <v>1.3000000000000001E-2</v>
      </c>
      <c r="AY1011" s="1" t="s">
        <v>511</v>
      </c>
      <c r="AZ1011" s="1">
        <f t="shared" si="558"/>
        <v>100</v>
      </c>
      <c r="BA1011" s="1" t="s">
        <v>55</v>
      </c>
      <c r="BB1011" s="1">
        <v>5</v>
      </c>
      <c r="BC1011" s="1">
        <v>500</v>
      </c>
      <c r="BD1011" s="26">
        <f t="shared" si="552"/>
        <v>29.992481794189008</v>
      </c>
      <c r="BE1011" s="16">
        <f t="shared" si="536"/>
        <v>2307.1139841683848</v>
      </c>
      <c r="BF1011" s="16">
        <f t="shared" si="537"/>
        <v>3.3630690515962911</v>
      </c>
      <c r="BG1011" s="8">
        <f t="shared" si="538"/>
        <v>1.4770124039031278</v>
      </c>
      <c r="BH1011" s="13" t="s">
        <v>782</v>
      </c>
      <c r="BI1011" s="8">
        <v>47.9</v>
      </c>
      <c r="BJ1011" s="13" t="s">
        <v>349</v>
      </c>
      <c r="BK1011" s="15">
        <v>0.8</v>
      </c>
      <c r="BL1011" s="16">
        <f t="shared" si="559"/>
        <v>47.9</v>
      </c>
      <c r="BM1011" s="18">
        <f>'PFAS Properties'!$U$46</f>
        <v>10.39</v>
      </c>
      <c r="BN1011" s="8">
        <f t="shared" si="560"/>
        <v>311.62188584162379</v>
      </c>
      <c r="BO1011" s="24">
        <f t="shared" si="561"/>
        <v>29.992481794189008</v>
      </c>
      <c r="BP1011" s="11"/>
      <c r="BQ1011" s="11"/>
    </row>
    <row r="1012" spans="1:69" x14ac:dyDescent="0.3">
      <c r="A1012" s="20">
        <v>1010</v>
      </c>
      <c r="B1012" s="2" t="s">
        <v>189</v>
      </c>
      <c r="C1012" s="2">
        <v>2021</v>
      </c>
      <c r="D1012" s="2" t="s">
        <v>510</v>
      </c>
      <c r="E1012" s="41" t="s">
        <v>804</v>
      </c>
      <c r="F1012" s="20" t="s">
        <v>29</v>
      </c>
      <c r="G1012" s="2" t="s">
        <v>500</v>
      </c>
      <c r="H1012" s="2" t="str">
        <f>'PFAS Properties'!$B$46</f>
        <v>PFOS</v>
      </c>
      <c r="I1012" s="2" t="str">
        <f>'PFAS Properties'!$C$46</f>
        <v>PFSA</v>
      </c>
      <c r="J1012" s="2" t="str">
        <f>'PFAS Properties'!$D$46</f>
        <v>C8HF17O3S</v>
      </c>
      <c r="K1012" s="25">
        <f>'PFAS Properties'!$P$46</f>
        <v>499.93739999999997</v>
      </c>
      <c r="L1012" s="2">
        <f>'PFAS Properties'!$X$46</f>
        <v>0.1</v>
      </c>
      <c r="M1012" s="2" t="str">
        <f>'PFAS Properties'!$Y$46</f>
        <v>-</v>
      </c>
      <c r="N1012" s="33">
        <v>0</v>
      </c>
      <c r="O1012" s="33">
        <v>0</v>
      </c>
      <c r="P1012" s="33">
        <v>0</v>
      </c>
      <c r="Q1012" s="33">
        <f t="shared" si="550"/>
        <v>0.99999563486073217</v>
      </c>
      <c r="R1012" s="33">
        <v>0</v>
      </c>
      <c r="S1012" s="33">
        <f t="shared" si="551"/>
        <v>4.3651392678776466E-6</v>
      </c>
      <c r="T1012" s="8">
        <f t="shared" si="529"/>
        <v>1</v>
      </c>
      <c r="U1012" s="33">
        <f t="shared" si="530"/>
        <v>0</v>
      </c>
      <c r="V1012" s="33">
        <f t="shared" si="531"/>
        <v>-0.99999563486073217</v>
      </c>
      <c r="W1012" s="33">
        <f t="shared" si="532"/>
        <v>498.93740436513929</v>
      </c>
      <c r="X1012" s="33">
        <v>96485</v>
      </c>
      <c r="Y1012" s="16">
        <f t="shared" si="533"/>
        <v>-193.38012741760102</v>
      </c>
      <c r="Z1012" s="16">
        <v>8</v>
      </c>
      <c r="AA1012" s="16">
        <v>17</v>
      </c>
      <c r="AB1012" s="8">
        <f t="shared" si="534"/>
        <v>0.29721362229102166</v>
      </c>
      <c r="AC1012" s="16">
        <f t="shared" si="539"/>
        <v>64.60808893273439</v>
      </c>
      <c r="AD1012" s="20">
        <f>'PFAS Properties'!$W$46</f>
        <v>8</v>
      </c>
      <c r="AE1012" s="8">
        <f>'PFAS Properties'!$S$46</f>
        <v>2.0166155475571776</v>
      </c>
      <c r="AF1012" s="15">
        <f>'PFAS Properties'!$V$46</f>
        <v>5</v>
      </c>
      <c r="AG1012" s="26">
        <v>5.46</v>
      </c>
      <c r="AH1012" s="1" t="s">
        <v>190</v>
      </c>
      <c r="AI1012" s="39">
        <f t="shared" si="553"/>
        <v>314.18396999999999</v>
      </c>
      <c r="AJ1012" s="1">
        <v>5626</v>
      </c>
      <c r="AK1012" s="8">
        <f t="shared" si="554"/>
        <v>31.418396999999999</v>
      </c>
      <c r="AL1012" s="39">
        <f t="shared" si="555"/>
        <v>52.206300000000006</v>
      </c>
      <c r="AM1012" s="1">
        <v>1935</v>
      </c>
      <c r="AN1012" s="8">
        <f t="shared" si="556"/>
        <v>5.2206300000000008</v>
      </c>
      <c r="AO1012" s="3" t="s">
        <v>93</v>
      </c>
      <c r="AP1012" s="3">
        <v>9.6</v>
      </c>
      <c r="AQ1012" s="3" t="s">
        <v>661</v>
      </c>
      <c r="AR1012" s="4">
        <v>28</v>
      </c>
      <c r="AS1012" s="4">
        <v>13.7</v>
      </c>
      <c r="AT1012" s="4">
        <v>58.3</v>
      </c>
      <c r="AU1012" s="3" t="s">
        <v>661</v>
      </c>
      <c r="AV1012" s="16">
        <f t="shared" si="535"/>
        <v>100</v>
      </c>
      <c r="AW1012" s="26">
        <v>3</v>
      </c>
      <c r="AX1012" s="1">
        <f t="shared" si="557"/>
        <v>0.03</v>
      </c>
      <c r="AY1012" s="1" t="s">
        <v>511</v>
      </c>
      <c r="AZ1012" s="1">
        <f t="shared" si="558"/>
        <v>100</v>
      </c>
      <c r="BA1012" s="1" t="s">
        <v>55</v>
      </c>
      <c r="BB1012" s="1">
        <v>5</v>
      </c>
      <c r="BC1012" s="1">
        <v>500</v>
      </c>
      <c r="BD1012" s="26">
        <f t="shared" si="552"/>
        <v>34.12505757376411</v>
      </c>
      <c r="BE1012" s="16">
        <f t="shared" si="536"/>
        <v>1137.5019191254703</v>
      </c>
      <c r="BF1012" s="16">
        <f t="shared" si="537"/>
        <v>3.0559521380455443</v>
      </c>
      <c r="BG1012" s="8">
        <f t="shared" si="538"/>
        <v>1.5330733927652069</v>
      </c>
      <c r="BH1012" s="13" t="s">
        <v>782</v>
      </c>
      <c r="BI1012" s="8">
        <v>54.5</v>
      </c>
      <c r="BJ1012" s="13" t="s">
        <v>349</v>
      </c>
      <c r="BK1012" s="15">
        <v>0.8</v>
      </c>
      <c r="BL1012" s="16">
        <f t="shared" si="559"/>
        <v>54.5</v>
      </c>
      <c r="BM1012" s="18">
        <f>'PFAS Properties'!$U$46</f>
        <v>10.39</v>
      </c>
      <c r="BN1012" s="8">
        <f t="shared" si="560"/>
        <v>354.55934819140913</v>
      </c>
      <c r="BO1012" s="24">
        <f t="shared" si="561"/>
        <v>34.12505757376411</v>
      </c>
      <c r="BP1012" s="11"/>
      <c r="BQ1012" s="11"/>
    </row>
    <row r="1013" spans="1:69" x14ac:dyDescent="0.3">
      <c r="A1013" s="20">
        <v>1011</v>
      </c>
      <c r="B1013" s="2" t="s">
        <v>189</v>
      </c>
      <c r="C1013" s="2">
        <v>2021</v>
      </c>
      <c r="D1013" s="2" t="s">
        <v>510</v>
      </c>
      <c r="E1013" s="41" t="s">
        <v>804</v>
      </c>
      <c r="F1013" s="20" t="s">
        <v>29</v>
      </c>
      <c r="G1013" s="2" t="s">
        <v>501</v>
      </c>
      <c r="H1013" s="2" t="str">
        <f>'PFAS Properties'!$B$46</f>
        <v>PFOS</v>
      </c>
      <c r="I1013" s="2" t="str">
        <f>'PFAS Properties'!$C$46</f>
        <v>PFSA</v>
      </c>
      <c r="J1013" s="2" t="str">
        <f>'PFAS Properties'!$D$46</f>
        <v>C8HF17O3S</v>
      </c>
      <c r="K1013" s="25">
        <f>'PFAS Properties'!$P$46</f>
        <v>499.93739999999997</v>
      </c>
      <c r="L1013" s="2">
        <f>'PFAS Properties'!$X$46</f>
        <v>0.1</v>
      </c>
      <c r="M1013" s="2" t="str">
        <f>'PFAS Properties'!$Y$46</f>
        <v>-</v>
      </c>
      <c r="N1013" s="33">
        <v>0</v>
      </c>
      <c r="O1013" s="33">
        <v>0</v>
      </c>
      <c r="P1013" s="33">
        <v>0</v>
      </c>
      <c r="Q1013" s="33">
        <f t="shared" si="550"/>
        <v>0.99999258695254067</v>
      </c>
      <c r="R1013" s="33">
        <v>0</v>
      </c>
      <c r="S1013" s="33">
        <f t="shared" si="551"/>
        <v>7.4130474593291472E-6</v>
      </c>
      <c r="T1013" s="8">
        <f t="shared" si="529"/>
        <v>1</v>
      </c>
      <c r="U1013" s="33">
        <f t="shared" si="530"/>
        <v>0</v>
      </c>
      <c r="V1013" s="33">
        <f t="shared" si="531"/>
        <v>-0.99999258695254067</v>
      </c>
      <c r="W1013" s="33">
        <f t="shared" si="532"/>
        <v>498.93740741304742</v>
      </c>
      <c r="X1013" s="33">
        <v>96485</v>
      </c>
      <c r="Y1013" s="16">
        <f t="shared" si="533"/>
        <v>-193.37953682883705</v>
      </c>
      <c r="Z1013" s="16">
        <v>8</v>
      </c>
      <c r="AA1013" s="16">
        <v>17</v>
      </c>
      <c r="AB1013" s="8">
        <f t="shared" si="534"/>
        <v>0.29721362229102166</v>
      </c>
      <c r="AC1013" s="16">
        <f t="shared" si="539"/>
        <v>64.60808893273439</v>
      </c>
      <c r="AD1013" s="20">
        <f>'PFAS Properties'!$W$46</f>
        <v>8</v>
      </c>
      <c r="AE1013" s="8">
        <f>'PFAS Properties'!$S$46</f>
        <v>2.0166155475571776</v>
      </c>
      <c r="AF1013" s="15">
        <f>'PFAS Properties'!$V$46</f>
        <v>5</v>
      </c>
      <c r="AG1013" s="26">
        <v>5.23</v>
      </c>
      <c r="AH1013" s="1" t="s">
        <v>190</v>
      </c>
      <c r="AI1013" s="39">
        <f t="shared" si="553"/>
        <v>387.62014500000004</v>
      </c>
      <c r="AJ1013" s="1">
        <v>6941</v>
      </c>
      <c r="AK1013" s="8">
        <f t="shared" si="554"/>
        <v>38.762014500000006</v>
      </c>
      <c r="AL1013" s="39">
        <f t="shared" si="555"/>
        <v>61.48742</v>
      </c>
      <c r="AM1013" s="1">
        <v>2279</v>
      </c>
      <c r="AN1013" s="8">
        <f t="shared" si="556"/>
        <v>6.1487420000000004</v>
      </c>
      <c r="AO1013" s="3" t="s">
        <v>93</v>
      </c>
      <c r="AP1013" s="3">
        <v>9.8000000000000007</v>
      </c>
      <c r="AQ1013" s="3" t="s">
        <v>661</v>
      </c>
      <c r="AR1013" s="4">
        <v>51.4</v>
      </c>
      <c r="AS1013" s="4">
        <v>6.6</v>
      </c>
      <c r="AT1013" s="4">
        <v>42</v>
      </c>
      <c r="AU1013" s="3" t="s">
        <v>661</v>
      </c>
      <c r="AV1013" s="16">
        <f t="shared" si="535"/>
        <v>100</v>
      </c>
      <c r="AW1013" s="26">
        <v>2.2000000000000002</v>
      </c>
      <c r="AX1013" s="1">
        <f t="shared" si="557"/>
        <v>2.2000000000000002E-2</v>
      </c>
      <c r="AY1013" s="1" t="s">
        <v>511</v>
      </c>
      <c r="AZ1013" s="1">
        <f t="shared" si="558"/>
        <v>100</v>
      </c>
      <c r="BA1013" s="1" t="s">
        <v>55</v>
      </c>
      <c r="BB1013" s="1">
        <v>5</v>
      </c>
      <c r="BC1013" s="1">
        <v>500</v>
      </c>
      <c r="BD1013" s="26">
        <f t="shared" si="552"/>
        <v>34.975240909363961</v>
      </c>
      <c r="BE1013" s="16">
        <f t="shared" si="536"/>
        <v>1589.7836776983618</v>
      </c>
      <c r="BF1013" s="16">
        <f t="shared" si="537"/>
        <v>3.2013380337711679</v>
      </c>
      <c r="BG1013" s="8">
        <f t="shared" si="538"/>
        <v>1.5437607145933743</v>
      </c>
      <c r="BH1013" s="13" t="s">
        <v>782</v>
      </c>
      <c r="BI1013" s="8">
        <v>44.2</v>
      </c>
      <c r="BJ1013" s="13" t="s">
        <v>349</v>
      </c>
      <c r="BK1013" s="15">
        <v>0.9</v>
      </c>
      <c r="BL1013" s="16">
        <f t="shared" si="559"/>
        <v>44.2</v>
      </c>
      <c r="BM1013" s="18">
        <f>'PFAS Properties'!$U$46</f>
        <v>10.39</v>
      </c>
      <c r="BN1013" s="8">
        <f t="shared" si="560"/>
        <v>363.39275304829158</v>
      </c>
      <c r="BO1013" s="24">
        <f t="shared" si="561"/>
        <v>34.975240909363961</v>
      </c>
      <c r="BP1013" s="11"/>
      <c r="BQ1013" s="11"/>
    </row>
    <row r="1014" spans="1:69" x14ac:dyDescent="0.3">
      <c r="A1014" s="20">
        <v>1012</v>
      </c>
      <c r="B1014" s="2" t="s">
        <v>189</v>
      </c>
      <c r="C1014" s="2">
        <v>2021</v>
      </c>
      <c r="D1014" s="2" t="s">
        <v>510</v>
      </c>
      <c r="E1014" s="41" t="s">
        <v>804</v>
      </c>
      <c r="F1014" s="20" t="s">
        <v>29</v>
      </c>
      <c r="G1014" s="2" t="s">
        <v>502</v>
      </c>
      <c r="H1014" s="2" t="str">
        <f>'PFAS Properties'!$B$46</f>
        <v>PFOS</v>
      </c>
      <c r="I1014" s="2" t="str">
        <f>'PFAS Properties'!$C$46</f>
        <v>PFSA</v>
      </c>
      <c r="J1014" s="2" t="str">
        <f>'PFAS Properties'!$D$46</f>
        <v>C8HF17O3S</v>
      </c>
      <c r="K1014" s="25">
        <f>'PFAS Properties'!$P$46</f>
        <v>499.93739999999997</v>
      </c>
      <c r="L1014" s="2">
        <f>'PFAS Properties'!$X$46</f>
        <v>0.1</v>
      </c>
      <c r="M1014" s="2" t="str">
        <f>'PFAS Properties'!$Y$46</f>
        <v>-</v>
      </c>
      <c r="N1014" s="33">
        <v>0</v>
      </c>
      <c r="O1014" s="33">
        <v>0</v>
      </c>
      <c r="P1014" s="33">
        <v>0</v>
      </c>
      <c r="Q1014" s="33">
        <f t="shared" si="550"/>
        <v>0.99996284785742329</v>
      </c>
      <c r="R1014" s="33">
        <v>0</v>
      </c>
      <c r="S1014" s="33">
        <f t="shared" si="551"/>
        <v>3.7152142576736807E-5</v>
      </c>
      <c r="T1014" s="8">
        <f t="shared" si="529"/>
        <v>1</v>
      </c>
      <c r="U1014" s="33">
        <f t="shared" si="530"/>
        <v>0</v>
      </c>
      <c r="V1014" s="33">
        <f t="shared" si="531"/>
        <v>-0.99996284785742329</v>
      </c>
      <c r="W1014" s="33">
        <f t="shared" si="532"/>
        <v>498.93743715214259</v>
      </c>
      <c r="X1014" s="33">
        <v>96485</v>
      </c>
      <c r="Y1014" s="16">
        <f t="shared" si="533"/>
        <v>-193.37377432774821</v>
      </c>
      <c r="Z1014" s="16">
        <v>8</v>
      </c>
      <c r="AA1014" s="16">
        <v>17</v>
      </c>
      <c r="AB1014" s="8">
        <f t="shared" si="534"/>
        <v>0.29721362229102166</v>
      </c>
      <c r="AC1014" s="16">
        <f t="shared" si="539"/>
        <v>64.60808893273439</v>
      </c>
      <c r="AD1014" s="20">
        <f>'PFAS Properties'!$W$46</f>
        <v>8</v>
      </c>
      <c r="AE1014" s="8">
        <f>'PFAS Properties'!$S$46</f>
        <v>2.0166155475571776</v>
      </c>
      <c r="AF1014" s="15">
        <f>'PFAS Properties'!$V$46</f>
        <v>5</v>
      </c>
      <c r="AG1014" s="26">
        <v>4.53</v>
      </c>
      <c r="AH1014" s="1" t="s">
        <v>190</v>
      </c>
      <c r="AI1014" s="39">
        <f t="shared" si="553"/>
        <v>372.59783999999996</v>
      </c>
      <c r="AJ1014" s="1">
        <v>6672</v>
      </c>
      <c r="AK1014" s="8">
        <f t="shared" si="554"/>
        <v>37.259783999999996</v>
      </c>
      <c r="AL1014" s="39">
        <f t="shared" si="555"/>
        <v>68.124499999999998</v>
      </c>
      <c r="AM1014" s="1">
        <v>2525</v>
      </c>
      <c r="AN1014" s="8">
        <f t="shared" si="556"/>
        <v>6.8124500000000001</v>
      </c>
      <c r="AO1014" s="3" t="s">
        <v>93</v>
      </c>
      <c r="AP1014" s="3">
        <v>9.4</v>
      </c>
      <c r="AQ1014" s="3" t="s">
        <v>661</v>
      </c>
      <c r="AR1014" s="4">
        <v>34.799999999999997</v>
      </c>
      <c r="AS1014" s="4">
        <v>18</v>
      </c>
      <c r="AT1014" s="4">
        <v>47.2</v>
      </c>
      <c r="AU1014" s="3" t="s">
        <v>661</v>
      </c>
      <c r="AV1014" s="16">
        <f t="shared" si="535"/>
        <v>100</v>
      </c>
      <c r="AW1014" s="26">
        <v>3.4</v>
      </c>
      <c r="AX1014" s="1">
        <f t="shared" si="557"/>
        <v>3.4000000000000002E-2</v>
      </c>
      <c r="AY1014" s="1" t="s">
        <v>511</v>
      </c>
      <c r="AZ1014" s="1">
        <f t="shared" si="558"/>
        <v>100</v>
      </c>
      <c r="BA1014" s="1" t="s">
        <v>55</v>
      </c>
      <c r="BB1014" s="1">
        <v>5</v>
      </c>
      <c r="BC1014" s="1">
        <v>500</v>
      </c>
      <c r="BD1014" s="26">
        <f t="shared" si="552"/>
        <v>46.961088404262533</v>
      </c>
      <c r="BE1014" s="16">
        <f t="shared" si="536"/>
        <v>1381.2084824783096</v>
      </c>
      <c r="BF1014" s="16">
        <f t="shared" si="537"/>
        <v>3.1402592368380096</v>
      </c>
      <c r="BG1014" s="8">
        <f t="shared" si="538"/>
        <v>1.6717381538802645</v>
      </c>
      <c r="BH1014" s="13" t="s">
        <v>782</v>
      </c>
      <c r="BI1014" s="8">
        <v>75</v>
      </c>
      <c r="BJ1014" s="13" t="s">
        <v>349</v>
      </c>
      <c r="BK1014" s="15">
        <v>0.8</v>
      </c>
      <c r="BL1014" s="16">
        <f t="shared" si="559"/>
        <v>75</v>
      </c>
      <c r="BM1014" s="18">
        <f>'PFAS Properties'!$U$46</f>
        <v>10.39</v>
      </c>
      <c r="BN1014" s="8">
        <f t="shared" si="560"/>
        <v>487.92570852028774</v>
      </c>
      <c r="BO1014" s="24">
        <f t="shared" si="561"/>
        <v>46.961088404262533</v>
      </c>
      <c r="BP1014" s="11"/>
      <c r="BQ1014" s="11"/>
    </row>
    <row r="1015" spans="1:69" x14ac:dyDescent="0.3">
      <c r="A1015" s="20">
        <v>1013</v>
      </c>
      <c r="B1015" s="2" t="s">
        <v>189</v>
      </c>
      <c r="C1015" s="2">
        <v>2021</v>
      </c>
      <c r="D1015" s="2" t="s">
        <v>510</v>
      </c>
      <c r="E1015" s="41" t="s">
        <v>804</v>
      </c>
      <c r="F1015" s="20" t="s">
        <v>29</v>
      </c>
      <c r="G1015" s="2" t="s">
        <v>503</v>
      </c>
      <c r="H1015" s="2" t="str">
        <f>'PFAS Properties'!$B$46</f>
        <v>PFOS</v>
      </c>
      <c r="I1015" s="2" t="str">
        <f>'PFAS Properties'!$C$46</f>
        <v>PFSA</v>
      </c>
      <c r="J1015" s="2" t="str">
        <f>'PFAS Properties'!$D$46</f>
        <v>C8HF17O3S</v>
      </c>
      <c r="K1015" s="25">
        <f>'PFAS Properties'!$P$46</f>
        <v>499.93739999999997</v>
      </c>
      <c r="L1015" s="2">
        <f>'PFAS Properties'!$X$46</f>
        <v>0.1</v>
      </c>
      <c r="M1015" s="2" t="str">
        <f>'PFAS Properties'!$Y$46</f>
        <v>-</v>
      </c>
      <c r="N1015" s="33">
        <v>0</v>
      </c>
      <c r="O1015" s="33">
        <v>0</v>
      </c>
      <c r="P1015" s="33">
        <v>0</v>
      </c>
      <c r="Q1015" s="33">
        <f t="shared" si="550"/>
        <v>0.9999661167325008</v>
      </c>
      <c r="R1015" s="33">
        <v>0</v>
      </c>
      <c r="S1015" s="33">
        <f t="shared" si="551"/>
        <v>3.3883267499201894E-5</v>
      </c>
      <c r="T1015" s="8">
        <f t="shared" si="529"/>
        <v>1</v>
      </c>
      <c r="U1015" s="33">
        <f t="shared" si="530"/>
        <v>0</v>
      </c>
      <c r="V1015" s="33">
        <f t="shared" si="531"/>
        <v>-0.9999661167325008</v>
      </c>
      <c r="W1015" s="33">
        <f t="shared" si="532"/>
        <v>498.93743388326749</v>
      </c>
      <c r="X1015" s="33">
        <v>96485</v>
      </c>
      <c r="Y1015" s="16">
        <f t="shared" si="533"/>
        <v>-193.37440773287102</v>
      </c>
      <c r="Z1015" s="16">
        <v>8</v>
      </c>
      <c r="AA1015" s="16">
        <v>17</v>
      </c>
      <c r="AB1015" s="8">
        <f t="shared" si="534"/>
        <v>0.29721362229102166</v>
      </c>
      <c r="AC1015" s="16">
        <f t="shared" si="539"/>
        <v>64.60808893273439</v>
      </c>
      <c r="AD1015" s="20">
        <f>'PFAS Properties'!$W$46</f>
        <v>8</v>
      </c>
      <c r="AE1015" s="8">
        <f>'PFAS Properties'!$S$46</f>
        <v>2.0166155475571776</v>
      </c>
      <c r="AF1015" s="15">
        <f>'PFAS Properties'!$V$46</f>
        <v>5</v>
      </c>
      <c r="AG1015" s="26">
        <v>4.57</v>
      </c>
      <c r="AH1015" s="1" t="s">
        <v>190</v>
      </c>
      <c r="AI1015" s="39">
        <f t="shared" si="553"/>
        <v>397.00210499999997</v>
      </c>
      <c r="AJ1015" s="1">
        <v>7109</v>
      </c>
      <c r="AK1015" s="8">
        <f t="shared" si="554"/>
        <v>39.700210499999997</v>
      </c>
      <c r="AL1015" s="39">
        <f t="shared" si="555"/>
        <v>66.586640000000003</v>
      </c>
      <c r="AM1015" s="1">
        <v>2468</v>
      </c>
      <c r="AN1015" s="8">
        <f t="shared" si="556"/>
        <v>6.6586639999999999</v>
      </c>
      <c r="AO1015" s="3" t="s">
        <v>93</v>
      </c>
      <c r="AP1015" s="3">
        <v>9.4</v>
      </c>
      <c r="AQ1015" s="3" t="s">
        <v>661</v>
      </c>
      <c r="AR1015" s="4">
        <v>53.1</v>
      </c>
      <c r="AS1015" s="4">
        <v>9.8000000000000007</v>
      </c>
      <c r="AT1015" s="4">
        <v>37.1</v>
      </c>
      <c r="AU1015" s="3" t="s">
        <v>661</v>
      </c>
      <c r="AV1015" s="16">
        <f t="shared" si="535"/>
        <v>100</v>
      </c>
      <c r="AW1015" s="26">
        <v>3.2</v>
      </c>
      <c r="AX1015" s="1">
        <f t="shared" si="557"/>
        <v>3.2000000000000001E-2</v>
      </c>
      <c r="AY1015" s="1" t="s">
        <v>511</v>
      </c>
      <c r="AZ1015" s="1">
        <f t="shared" si="558"/>
        <v>100</v>
      </c>
      <c r="BA1015" s="1" t="s">
        <v>55</v>
      </c>
      <c r="BB1015" s="1">
        <v>5</v>
      </c>
      <c r="BC1015" s="1">
        <v>500</v>
      </c>
      <c r="BD1015" s="26">
        <f t="shared" si="552"/>
        <v>56.973243110276137</v>
      </c>
      <c r="BE1015" s="16">
        <f t="shared" si="536"/>
        <v>1780.4138471961292</v>
      </c>
      <c r="BF1015" s="16">
        <f t="shared" si="537"/>
        <v>3.2505209633556449</v>
      </c>
      <c r="BG1015" s="8">
        <f t="shared" si="538"/>
        <v>1.7556709416755507</v>
      </c>
      <c r="BH1015" s="13" t="s">
        <v>782</v>
      </c>
      <c r="BI1015" s="8">
        <v>72</v>
      </c>
      <c r="BJ1015" s="13" t="s">
        <v>349</v>
      </c>
      <c r="BK1015" s="15">
        <v>0.9</v>
      </c>
      <c r="BL1015" s="16">
        <f t="shared" si="559"/>
        <v>72</v>
      </c>
      <c r="BM1015" s="18">
        <f>'PFAS Properties'!$U$46</f>
        <v>10.39</v>
      </c>
      <c r="BN1015" s="8">
        <f t="shared" si="560"/>
        <v>591.95199591576909</v>
      </c>
      <c r="BO1015" s="24">
        <f t="shared" si="561"/>
        <v>56.973243110276137</v>
      </c>
      <c r="BP1015" s="11"/>
      <c r="BQ1015" s="11"/>
    </row>
    <row r="1016" spans="1:69" x14ac:dyDescent="0.3">
      <c r="A1016" s="20">
        <v>1014</v>
      </c>
      <c r="B1016" s="2" t="s">
        <v>189</v>
      </c>
      <c r="C1016" s="2">
        <v>2021</v>
      </c>
      <c r="D1016" s="2" t="s">
        <v>510</v>
      </c>
      <c r="E1016" s="41" t="s">
        <v>804</v>
      </c>
      <c r="F1016" s="20" t="s">
        <v>29</v>
      </c>
      <c r="G1016" s="2" t="s">
        <v>504</v>
      </c>
      <c r="H1016" s="2" t="str">
        <f>'PFAS Properties'!$B$46</f>
        <v>PFOS</v>
      </c>
      <c r="I1016" s="2" t="str">
        <f>'PFAS Properties'!$C$46</f>
        <v>PFSA</v>
      </c>
      <c r="J1016" s="2" t="str">
        <f>'PFAS Properties'!$D$46</f>
        <v>C8HF17O3S</v>
      </c>
      <c r="K1016" s="25">
        <f>'PFAS Properties'!$P$46</f>
        <v>499.93739999999997</v>
      </c>
      <c r="L1016" s="2">
        <f>'PFAS Properties'!$X$46</f>
        <v>0.1</v>
      </c>
      <c r="M1016" s="2" t="str">
        <f>'PFAS Properties'!$Y$46</f>
        <v>-</v>
      </c>
      <c r="N1016" s="33">
        <v>0</v>
      </c>
      <c r="O1016" s="33">
        <v>0</v>
      </c>
      <c r="P1016" s="33">
        <v>0</v>
      </c>
      <c r="Q1016" s="33">
        <f t="shared" si="550"/>
        <v>0.99998378216204897</v>
      </c>
      <c r="R1016" s="33">
        <v>0</v>
      </c>
      <c r="S1016" s="33">
        <f t="shared" si="551"/>
        <v>1.6217837951055827E-5</v>
      </c>
      <c r="T1016" s="8">
        <f t="shared" si="529"/>
        <v>1</v>
      </c>
      <c r="U1016" s="33">
        <f t="shared" si="530"/>
        <v>0</v>
      </c>
      <c r="V1016" s="33">
        <f t="shared" si="531"/>
        <v>-0.99998378216204897</v>
      </c>
      <c r="W1016" s="33">
        <f t="shared" si="532"/>
        <v>498.93741621783789</v>
      </c>
      <c r="X1016" s="33">
        <v>96485</v>
      </c>
      <c r="Y1016" s="16">
        <f t="shared" si="533"/>
        <v>-193.37783073735298</v>
      </c>
      <c r="Z1016" s="16">
        <v>8</v>
      </c>
      <c r="AA1016" s="16">
        <v>17</v>
      </c>
      <c r="AB1016" s="8">
        <f t="shared" si="534"/>
        <v>0.29721362229102166</v>
      </c>
      <c r="AC1016" s="16">
        <f t="shared" si="539"/>
        <v>64.60808893273439</v>
      </c>
      <c r="AD1016" s="20">
        <f>'PFAS Properties'!$W$46</f>
        <v>8</v>
      </c>
      <c r="AE1016" s="8">
        <f>'PFAS Properties'!$S$46</f>
        <v>2.0166155475571776</v>
      </c>
      <c r="AF1016" s="15">
        <f>'PFAS Properties'!$V$46</f>
        <v>5</v>
      </c>
      <c r="AG1016" s="26">
        <v>4.8899999999999997</v>
      </c>
      <c r="AH1016" s="1" t="s">
        <v>190</v>
      </c>
      <c r="AI1016" s="39">
        <f t="shared" si="553"/>
        <v>258.45066000000003</v>
      </c>
      <c r="AJ1016" s="1">
        <v>4628</v>
      </c>
      <c r="AK1016" s="8">
        <f t="shared" si="554"/>
        <v>25.845066000000003</v>
      </c>
      <c r="AL1016" s="39">
        <f t="shared" si="555"/>
        <v>37.79898</v>
      </c>
      <c r="AM1016" s="1">
        <v>1401</v>
      </c>
      <c r="AN1016" s="8">
        <f t="shared" si="556"/>
        <v>3.7798980000000002</v>
      </c>
      <c r="AO1016" s="3" t="s">
        <v>93</v>
      </c>
      <c r="AP1016" s="3">
        <v>15.8</v>
      </c>
      <c r="AQ1016" s="3" t="s">
        <v>661</v>
      </c>
      <c r="AR1016" s="4">
        <v>31.3</v>
      </c>
      <c r="AS1016" s="4">
        <v>32.200000000000003</v>
      </c>
      <c r="AT1016" s="4">
        <v>36.5</v>
      </c>
      <c r="AU1016" s="3" t="s">
        <v>661</v>
      </c>
      <c r="AV1016" s="16">
        <f t="shared" si="535"/>
        <v>100</v>
      </c>
      <c r="AW1016" s="26">
        <v>2</v>
      </c>
      <c r="AX1016" s="1">
        <f t="shared" si="557"/>
        <v>0.02</v>
      </c>
      <c r="AY1016" s="1" t="s">
        <v>511</v>
      </c>
      <c r="AZ1016" s="1">
        <f t="shared" si="558"/>
        <v>100</v>
      </c>
      <c r="BA1016" s="1" t="s">
        <v>55</v>
      </c>
      <c r="BB1016" s="1">
        <v>5</v>
      </c>
      <c r="BC1016" s="1">
        <v>500</v>
      </c>
      <c r="BD1016" s="26">
        <f t="shared" si="552"/>
        <v>44.233392914783835</v>
      </c>
      <c r="BE1016" s="16">
        <f t="shared" si="536"/>
        <v>2211.6696457391918</v>
      </c>
      <c r="BF1016" s="16">
        <f t="shared" si="537"/>
        <v>3.3447202574667245</v>
      </c>
      <c r="BG1016" s="8">
        <f t="shared" si="538"/>
        <v>1.6457502531307056</v>
      </c>
      <c r="BH1016" s="13" t="s">
        <v>782</v>
      </c>
      <c r="BI1016" s="8">
        <v>55.9</v>
      </c>
      <c r="BJ1016" s="13" t="s">
        <v>349</v>
      </c>
      <c r="BK1016" s="15">
        <v>0.9</v>
      </c>
      <c r="BL1016" s="16">
        <f t="shared" si="559"/>
        <v>55.9</v>
      </c>
      <c r="BM1016" s="18">
        <f>'PFAS Properties'!$U$46</f>
        <v>10.39</v>
      </c>
      <c r="BN1016" s="8">
        <f t="shared" si="560"/>
        <v>459.58495238460404</v>
      </c>
      <c r="BO1016" s="24">
        <f t="shared" si="561"/>
        <v>44.233392914783835</v>
      </c>
      <c r="BP1016" s="11"/>
      <c r="BQ1016" s="11"/>
    </row>
    <row r="1017" spans="1:69" x14ac:dyDescent="0.3">
      <c r="A1017" s="20">
        <v>1015</v>
      </c>
      <c r="B1017" s="2" t="s">
        <v>189</v>
      </c>
      <c r="C1017" s="2">
        <v>2021</v>
      </c>
      <c r="D1017" s="2" t="s">
        <v>510</v>
      </c>
      <c r="E1017" s="41" t="s">
        <v>804</v>
      </c>
      <c r="F1017" s="20" t="s">
        <v>29</v>
      </c>
      <c r="G1017" s="2" t="s">
        <v>505</v>
      </c>
      <c r="H1017" s="2" t="str">
        <f>'PFAS Properties'!$B$46</f>
        <v>PFOS</v>
      </c>
      <c r="I1017" s="2" t="str">
        <f>'PFAS Properties'!$C$46</f>
        <v>PFSA</v>
      </c>
      <c r="J1017" s="2" t="str">
        <f>'PFAS Properties'!$D$46</f>
        <v>C8HF17O3S</v>
      </c>
      <c r="K1017" s="25">
        <f>'PFAS Properties'!$P$46</f>
        <v>499.93739999999997</v>
      </c>
      <c r="L1017" s="2">
        <f>'PFAS Properties'!$X$46</f>
        <v>0.1</v>
      </c>
      <c r="M1017" s="2" t="str">
        <f>'PFAS Properties'!$Y$46</f>
        <v>-</v>
      </c>
      <c r="N1017" s="33">
        <v>0</v>
      </c>
      <c r="O1017" s="33">
        <v>0</v>
      </c>
      <c r="P1017" s="33">
        <v>0</v>
      </c>
      <c r="Q1017" s="33">
        <f t="shared" si="550"/>
        <v>0.99998378216204897</v>
      </c>
      <c r="R1017" s="33">
        <v>0</v>
      </c>
      <c r="S1017" s="33">
        <f t="shared" si="551"/>
        <v>1.6217837951055827E-5</v>
      </c>
      <c r="T1017" s="8">
        <f t="shared" si="529"/>
        <v>1</v>
      </c>
      <c r="U1017" s="33">
        <f t="shared" si="530"/>
        <v>0</v>
      </c>
      <c r="V1017" s="33">
        <f t="shared" si="531"/>
        <v>-0.99998378216204897</v>
      </c>
      <c r="W1017" s="33">
        <f t="shared" si="532"/>
        <v>498.93741621783789</v>
      </c>
      <c r="X1017" s="33">
        <v>96485</v>
      </c>
      <c r="Y1017" s="16">
        <f t="shared" si="533"/>
        <v>-193.37783073735298</v>
      </c>
      <c r="Z1017" s="16">
        <v>8</v>
      </c>
      <c r="AA1017" s="16">
        <v>17</v>
      </c>
      <c r="AB1017" s="8">
        <f t="shared" si="534"/>
        <v>0.29721362229102166</v>
      </c>
      <c r="AC1017" s="16">
        <f t="shared" si="539"/>
        <v>64.60808893273439</v>
      </c>
      <c r="AD1017" s="20">
        <f>'PFAS Properties'!$W$46</f>
        <v>8</v>
      </c>
      <c r="AE1017" s="8">
        <f>'PFAS Properties'!$S$46</f>
        <v>2.0166155475571776</v>
      </c>
      <c r="AF1017" s="15">
        <f>'PFAS Properties'!$V$46</f>
        <v>5</v>
      </c>
      <c r="AG1017" s="26">
        <v>4.8899999999999997</v>
      </c>
      <c r="AH1017" s="1" t="s">
        <v>190</v>
      </c>
      <c r="AI1017" s="39">
        <f t="shared" si="553"/>
        <v>388.40197499999999</v>
      </c>
      <c r="AJ1017" s="1">
        <v>6955</v>
      </c>
      <c r="AK1017" s="8">
        <f t="shared" si="554"/>
        <v>38.840197500000002</v>
      </c>
      <c r="AL1017" s="39">
        <f t="shared" si="555"/>
        <v>40.496980000000001</v>
      </c>
      <c r="AM1017" s="1">
        <v>1501</v>
      </c>
      <c r="AN1017" s="8">
        <f t="shared" si="556"/>
        <v>4.0496980000000002</v>
      </c>
      <c r="AO1017" s="3" t="s">
        <v>93</v>
      </c>
      <c r="AP1017" s="3">
        <v>14.9</v>
      </c>
      <c r="AQ1017" s="3" t="s">
        <v>661</v>
      </c>
      <c r="AR1017" s="4">
        <v>30.5</v>
      </c>
      <c r="AS1017" s="4">
        <v>25.8</v>
      </c>
      <c r="AT1017" s="4">
        <v>43.7</v>
      </c>
      <c r="AU1017" s="3" t="s">
        <v>661</v>
      </c>
      <c r="AV1017" s="16">
        <f t="shared" si="535"/>
        <v>100</v>
      </c>
      <c r="AW1017" s="26">
        <v>2</v>
      </c>
      <c r="AX1017" s="1">
        <f t="shared" si="557"/>
        <v>0.02</v>
      </c>
      <c r="AY1017" s="1" t="s">
        <v>511</v>
      </c>
      <c r="AZ1017" s="1">
        <f t="shared" si="558"/>
        <v>100</v>
      </c>
      <c r="BA1017" s="1" t="s">
        <v>55</v>
      </c>
      <c r="BB1017" s="1">
        <v>5</v>
      </c>
      <c r="BC1017" s="1">
        <v>500</v>
      </c>
      <c r="BD1017" s="26">
        <f t="shared" si="552"/>
        <v>32.443096771129468</v>
      </c>
      <c r="BE1017" s="16">
        <f t="shared" si="536"/>
        <v>1622.1548385564734</v>
      </c>
      <c r="BF1017" s="16">
        <f t="shared" si="537"/>
        <v>3.2100923063000368</v>
      </c>
      <c r="BG1017" s="8">
        <f t="shared" si="538"/>
        <v>1.5111223019640179</v>
      </c>
      <c r="BH1017" s="13" t="s">
        <v>782</v>
      </c>
      <c r="BI1017" s="8">
        <v>41</v>
      </c>
      <c r="BJ1017" s="13" t="s">
        <v>349</v>
      </c>
      <c r="BK1017" s="15">
        <v>0.9</v>
      </c>
      <c r="BL1017" s="16">
        <f t="shared" si="559"/>
        <v>41</v>
      </c>
      <c r="BM1017" s="18">
        <f>'PFAS Properties'!$U$46</f>
        <v>10.39</v>
      </c>
      <c r="BN1017" s="8">
        <f t="shared" si="560"/>
        <v>337.08377545203518</v>
      </c>
      <c r="BO1017" s="24">
        <f t="shared" si="561"/>
        <v>32.443096771129468</v>
      </c>
      <c r="BP1017" s="11"/>
      <c r="BQ1017" s="11"/>
    </row>
    <row r="1018" spans="1:69" x14ac:dyDescent="0.3">
      <c r="A1018" s="20">
        <v>1016</v>
      </c>
      <c r="B1018" s="2" t="s">
        <v>189</v>
      </c>
      <c r="C1018" s="2">
        <v>2021</v>
      </c>
      <c r="D1018" s="2" t="s">
        <v>510</v>
      </c>
      <c r="E1018" s="41" t="s">
        <v>804</v>
      </c>
      <c r="F1018" s="20" t="s">
        <v>29</v>
      </c>
      <c r="G1018" s="2" t="s">
        <v>506</v>
      </c>
      <c r="H1018" s="2" t="str">
        <f>'PFAS Properties'!$B$46</f>
        <v>PFOS</v>
      </c>
      <c r="I1018" s="2" t="str">
        <f>'PFAS Properties'!$C$46</f>
        <v>PFSA</v>
      </c>
      <c r="J1018" s="2" t="str">
        <f>'PFAS Properties'!$D$46</f>
        <v>C8HF17O3S</v>
      </c>
      <c r="K1018" s="25">
        <f>'PFAS Properties'!$P$46</f>
        <v>499.93739999999997</v>
      </c>
      <c r="L1018" s="2">
        <f>'PFAS Properties'!$X$46</f>
        <v>0.1</v>
      </c>
      <c r="M1018" s="2" t="str">
        <f>'PFAS Properties'!$Y$46</f>
        <v>-</v>
      </c>
      <c r="N1018" s="33">
        <v>0</v>
      </c>
      <c r="O1018" s="33">
        <v>0</v>
      </c>
      <c r="P1018" s="33">
        <v>0</v>
      </c>
      <c r="Q1018" s="33">
        <f t="shared" si="550"/>
        <v>0.99994504893239999</v>
      </c>
      <c r="R1018" s="33">
        <v>0</v>
      </c>
      <c r="S1018" s="33">
        <f t="shared" si="551"/>
        <v>5.4951067599991519E-5</v>
      </c>
      <c r="T1018" s="8">
        <f t="shared" si="529"/>
        <v>1</v>
      </c>
      <c r="U1018" s="33">
        <f t="shared" si="530"/>
        <v>0</v>
      </c>
      <c r="V1018" s="33">
        <f t="shared" si="531"/>
        <v>-0.99994504893239999</v>
      </c>
      <c r="W1018" s="33">
        <f t="shared" si="532"/>
        <v>498.93745495106754</v>
      </c>
      <c r="X1018" s="33">
        <v>96485</v>
      </c>
      <c r="Y1018" s="16">
        <f t="shared" si="533"/>
        <v>-193.37032545633338</v>
      </c>
      <c r="Z1018" s="16">
        <v>8</v>
      </c>
      <c r="AA1018" s="16">
        <v>17</v>
      </c>
      <c r="AB1018" s="8">
        <f t="shared" si="534"/>
        <v>0.29721362229102166</v>
      </c>
      <c r="AC1018" s="16">
        <f t="shared" si="539"/>
        <v>64.60808893273439</v>
      </c>
      <c r="AD1018" s="20">
        <f>'PFAS Properties'!$W$46</f>
        <v>8</v>
      </c>
      <c r="AE1018" s="8">
        <f>'PFAS Properties'!$S$46</f>
        <v>2.0166155475571776</v>
      </c>
      <c r="AF1018" s="15">
        <f>'PFAS Properties'!$V$46</f>
        <v>5</v>
      </c>
      <c r="AG1018" s="26">
        <v>4.3600000000000003</v>
      </c>
      <c r="AH1018" s="1" t="s">
        <v>190</v>
      </c>
      <c r="AI1018" s="39">
        <f t="shared" si="553"/>
        <v>27.810809999999996</v>
      </c>
      <c r="AJ1018" s="1">
        <v>498</v>
      </c>
      <c r="AK1018" s="8">
        <f t="shared" si="554"/>
        <v>2.7810809999999995</v>
      </c>
      <c r="AL1018" s="39">
        <f t="shared" si="555"/>
        <v>9.9016599999999997</v>
      </c>
      <c r="AM1018" s="1">
        <v>367</v>
      </c>
      <c r="AN1018" s="8">
        <f t="shared" si="556"/>
        <v>0.99016599999999999</v>
      </c>
      <c r="AO1018" s="3" t="s">
        <v>93</v>
      </c>
      <c r="AP1018" s="3">
        <v>8.8000000000000007</v>
      </c>
      <c r="AQ1018" s="3" t="s">
        <v>661</v>
      </c>
      <c r="AR1018" s="4">
        <v>54.1</v>
      </c>
      <c r="AS1018" s="4">
        <v>31.6</v>
      </c>
      <c r="AT1018" s="4">
        <v>14.4</v>
      </c>
      <c r="AU1018" s="3" t="s">
        <v>661</v>
      </c>
      <c r="AV1018" s="16">
        <f t="shared" si="535"/>
        <v>100.10000000000001</v>
      </c>
      <c r="AW1018" s="26">
        <v>1.7</v>
      </c>
      <c r="AX1018" s="1">
        <f t="shared" si="557"/>
        <v>1.7000000000000001E-2</v>
      </c>
      <c r="AY1018" s="1" t="s">
        <v>511</v>
      </c>
      <c r="AZ1018" s="1">
        <f t="shared" si="558"/>
        <v>100</v>
      </c>
      <c r="BA1018" s="1" t="s">
        <v>55</v>
      </c>
      <c r="BB1018" s="1">
        <v>5</v>
      </c>
      <c r="BC1018" s="1">
        <v>500</v>
      </c>
      <c r="BD1018" s="26">
        <f t="shared" si="552"/>
        <v>13.9</v>
      </c>
      <c r="BE1018" s="16">
        <f t="shared" si="536"/>
        <v>817.64705882352939</v>
      </c>
      <c r="BF1018" s="16">
        <f t="shared" si="537"/>
        <v>2.9125658788758213</v>
      </c>
      <c r="BG1018" s="8">
        <f t="shared" si="538"/>
        <v>1.1430148002540952</v>
      </c>
      <c r="BH1018" s="13" t="s">
        <v>782</v>
      </c>
      <c r="BI1018" s="8">
        <v>13.9</v>
      </c>
      <c r="BJ1018" s="13" t="s">
        <v>349</v>
      </c>
      <c r="BK1018" s="15">
        <v>1</v>
      </c>
      <c r="BL1018" s="16">
        <f t="shared" si="559"/>
        <v>13.9</v>
      </c>
      <c r="BM1018" s="18">
        <f>'PFAS Properties'!$U$46</f>
        <v>10.39</v>
      </c>
      <c r="BN1018" s="8">
        <f t="shared" si="560"/>
        <v>144.42100000000002</v>
      </c>
      <c r="BO1018" s="24">
        <f t="shared" si="561"/>
        <v>13.9</v>
      </c>
      <c r="BP1018" s="11"/>
      <c r="BQ1018" s="11"/>
    </row>
    <row r="1019" spans="1:69" x14ac:dyDescent="0.3">
      <c r="A1019" s="20">
        <v>1017</v>
      </c>
      <c r="B1019" s="2" t="s">
        <v>189</v>
      </c>
      <c r="C1019" s="2">
        <v>2021</v>
      </c>
      <c r="D1019" s="2" t="s">
        <v>510</v>
      </c>
      <c r="E1019" s="41" t="s">
        <v>804</v>
      </c>
      <c r="F1019" s="20" t="s">
        <v>29</v>
      </c>
      <c r="G1019" s="2" t="s">
        <v>507</v>
      </c>
      <c r="H1019" s="2" t="str">
        <f>'PFAS Properties'!$B$46</f>
        <v>PFOS</v>
      </c>
      <c r="I1019" s="2" t="str">
        <f>'PFAS Properties'!$C$46</f>
        <v>PFSA</v>
      </c>
      <c r="J1019" s="2" t="str">
        <f>'PFAS Properties'!$D$46</f>
        <v>C8HF17O3S</v>
      </c>
      <c r="K1019" s="25">
        <f>'PFAS Properties'!$P$46</f>
        <v>499.93739999999997</v>
      </c>
      <c r="L1019" s="2">
        <f>'PFAS Properties'!$X$46</f>
        <v>0.1</v>
      </c>
      <c r="M1019" s="2" t="str">
        <f>'PFAS Properties'!$Y$46</f>
        <v>-</v>
      </c>
      <c r="N1019" s="33">
        <v>0</v>
      </c>
      <c r="O1019" s="33">
        <v>0</v>
      </c>
      <c r="P1019" s="33">
        <v>0</v>
      </c>
      <c r="Q1019" s="33">
        <f t="shared" si="550"/>
        <v>0.99996837822336671</v>
      </c>
      <c r="R1019" s="33">
        <v>0</v>
      </c>
      <c r="S1019" s="33">
        <f t="shared" si="551"/>
        <v>3.1621776633305525E-5</v>
      </c>
      <c r="T1019" s="8">
        <f t="shared" si="529"/>
        <v>1</v>
      </c>
      <c r="U1019" s="33">
        <f t="shared" si="530"/>
        <v>0</v>
      </c>
      <c r="V1019" s="33">
        <f t="shared" si="531"/>
        <v>-0.99996837822336671</v>
      </c>
      <c r="W1019" s="33">
        <f t="shared" si="532"/>
        <v>498.93743162177657</v>
      </c>
      <c r="X1019" s="33">
        <v>96485</v>
      </c>
      <c r="Y1019" s="16">
        <f t="shared" si="533"/>
        <v>-193.37484593863954</v>
      </c>
      <c r="Z1019" s="16">
        <v>8</v>
      </c>
      <c r="AA1019" s="16">
        <v>17</v>
      </c>
      <c r="AB1019" s="8">
        <f t="shared" si="534"/>
        <v>0.29721362229102166</v>
      </c>
      <c r="AC1019" s="16">
        <f t="shared" si="539"/>
        <v>64.60808893273439</v>
      </c>
      <c r="AD1019" s="20">
        <f>'PFAS Properties'!$W$46</f>
        <v>8</v>
      </c>
      <c r="AE1019" s="8">
        <f>'PFAS Properties'!$S$46</f>
        <v>2.0166155475571776</v>
      </c>
      <c r="AF1019" s="15">
        <f>'PFAS Properties'!$V$46</f>
        <v>5</v>
      </c>
      <c r="AG1019" s="26">
        <v>4.5999999999999996</v>
      </c>
      <c r="AH1019" s="1" t="s">
        <v>190</v>
      </c>
      <c r="AI1019" s="39">
        <f t="shared" si="553"/>
        <v>51.377400000000002</v>
      </c>
      <c r="AJ1019" s="1">
        <v>920</v>
      </c>
      <c r="AK1019" s="8">
        <f t="shared" si="554"/>
        <v>5.13774</v>
      </c>
      <c r="AL1019" s="39">
        <f t="shared" si="555"/>
        <v>6.9068800000000001</v>
      </c>
      <c r="AM1019" s="1">
        <v>256</v>
      </c>
      <c r="AN1019" s="8">
        <f t="shared" si="556"/>
        <v>0.69068799999999997</v>
      </c>
      <c r="AO1019" s="3" t="s">
        <v>93</v>
      </c>
      <c r="AP1019" s="3">
        <v>13.7</v>
      </c>
      <c r="AQ1019" s="3" t="s">
        <v>661</v>
      </c>
      <c r="AR1019" s="4">
        <v>33.700000000000003</v>
      </c>
      <c r="AS1019" s="4">
        <v>30</v>
      </c>
      <c r="AT1019" s="4">
        <v>36.4</v>
      </c>
      <c r="AU1019" s="3" t="s">
        <v>661</v>
      </c>
      <c r="AV1019" s="16">
        <f t="shared" si="535"/>
        <v>100.1</v>
      </c>
      <c r="AW1019" s="26">
        <v>1.3</v>
      </c>
      <c r="AX1019" s="1">
        <f t="shared" si="557"/>
        <v>1.3000000000000001E-2</v>
      </c>
      <c r="AY1019" s="1" t="s">
        <v>511</v>
      </c>
      <c r="AZ1019" s="1">
        <f t="shared" si="558"/>
        <v>100</v>
      </c>
      <c r="BA1019" s="1" t="s">
        <v>55</v>
      </c>
      <c r="BB1019" s="1">
        <v>5</v>
      </c>
      <c r="BC1019" s="1">
        <v>500</v>
      </c>
      <c r="BD1019" s="26">
        <f t="shared" si="552"/>
        <v>24.767534852106152</v>
      </c>
      <c r="BE1019" s="16">
        <f t="shared" si="536"/>
        <v>1905.19498862355</v>
      </c>
      <c r="BF1019" s="16">
        <f t="shared" si="537"/>
        <v>3.279939430483894</v>
      </c>
      <c r="BG1019" s="8">
        <f t="shared" si="538"/>
        <v>1.3938827827907307</v>
      </c>
      <c r="BH1019" s="13" t="s">
        <v>782</v>
      </c>
      <c r="BI1019" s="8">
        <v>31.3</v>
      </c>
      <c r="BJ1019" s="13" t="s">
        <v>349</v>
      </c>
      <c r="BK1019" s="15">
        <v>0.9</v>
      </c>
      <c r="BL1019" s="16">
        <f t="shared" si="559"/>
        <v>31.3</v>
      </c>
      <c r="BM1019" s="18">
        <f>'PFAS Properties'!$U$46</f>
        <v>10.39</v>
      </c>
      <c r="BN1019" s="8">
        <f t="shared" si="560"/>
        <v>257.33468711338293</v>
      </c>
      <c r="BO1019" s="24">
        <f t="shared" si="561"/>
        <v>24.767534852106152</v>
      </c>
      <c r="BP1019" s="11"/>
      <c r="BQ1019" s="11"/>
    </row>
    <row r="1020" spans="1:69" x14ac:dyDescent="0.3">
      <c r="A1020" s="20">
        <v>1018</v>
      </c>
      <c r="B1020" s="2" t="s">
        <v>189</v>
      </c>
      <c r="C1020" s="2">
        <v>2021</v>
      </c>
      <c r="D1020" s="2" t="s">
        <v>510</v>
      </c>
      <c r="E1020" s="41" t="s">
        <v>804</v>
      </c>
      <c r="F1020" s="20" t="s">
        <v>29</v>
      </c>
      <c r="G1020" s="2" t="s">
        <v>508</v>
      </c>
      <c r="H1020" s="2" t="str">
        <f>'PFAS Properties'!$B$46</f>
        <v>PFOS</v>
      </c>
      <c r="I1020" s="2" t="str">
        <f>'PFAS Properties'!$C$46</f>
        <v>PFSA</v>
      </c>
      <c r="J1020" s="2" t="str">
        <f>'PFAS Properties'!$D$46</f>
        <v>C8HF17O3S</v>
      </c>
      <c r="K1020" s="25">
        <f>'PFAS Properties'!$P$46</f>
        <v>499.93739999999997</v>
      </c>
      <c r="L1020" s="2">
        <f>'PFAS Properties'!$X$46</f>
        <v>0.1</v>
      </c>
      <c r="M1020" s="2" t="str">
        <f>'PFAS Properties'!$Y$46</f>
        <v>-</v>
      </c>
      <c r="N1020" s="33">
        <v>0</v>
      </c>
      <c r="O1020" s="33">
        <v>0</v>
      </c>
      <c r="P1020" s="33">
        <v>0</v>
      </c>
      <c r="Q1020" s="33">
        <f t="shared" si="550"/>
        <v>0.9999964518786969</v>
      </c>
      <c r="R1020" s="33">
        <v>0</v>
      </c>
      <c r="S1020" s="33">
        <f t="shared" si="551"/>
        <v>3.5481213031263005E-6</v>
      </c>
      <c r="T1020" s="8">
        <f t="shared" si="529"/>
        <v>1</v>
      </c>
      <c r="U1020" s="33">
        <f t="shared" si="530"/>
        <v>0</v>
      </c>
      <c r="V1020" s="33">
        <f t="shared" si="531"/>
        <v>-0.9999964518786969</v>
      </c>
      <c r="W1020" s="33">
        <f t="shared" si="532"/>
        <v>498.93740354812127</v>
      </c>
      <c r="X1020" s="33">
        <v>96485</v>
      </c>
      <c r="Y1020" s="16">
        <f t="shared" si="533"/>
        <v>-193.38028572999212</v>
      </c>
      <c r="Z1020" s="16">
        <v>8</v>
      </c>
      <c r="AA1020" s="16">
        <v>17</v>
      </c>
      <c r="AB1020" s="8">
        <f t="shared" si="534"/>
        <v>0.29721362229102166</v>
      </c>
      <c r="AC1020" s="16">
        <f t="shared" si="539"/>
        <v>64.60808893273439</v>
      </c>
      <c r="AD1020" s="20">
        <f>'PFAS Properties'!$W$46</f>
        <v>8</v>
      </c>
      <c r="AE1020" s="8">
        <f>'PFAS Properties'!$S$46</f>
        <v>2.0166155475571776</v>
      </c>
      <c r="AF1020" s="15">
        <f>'PFAS Properties'!$V$46</f>
        <v>5</v>
      </c>
      <c r="AG1020" s="26">
        <v>5.55</v>
      </c>
      <c r="AH1020" s="1" t="s">
        <v>190</v>
      </c>
      <c r="AI1020" s="39">
        <f t="shared" si="553"/>
        <v>106.21719</v>
      </c>
      <c r="AJ1020" s="1">
        <v>1902</v>
      </c>
      <c r="AK1020" s="8">
        <f t="shared" si="554"/>
        <v>10.621719000000001</v>
      </c>
      <c r="AL1020" s="39">
        <f t="shared" si="555"/>
        <v>8.3907800000000012</v>
      </c>
      <c r="AM1020" s="1">
        <v>311</v>
      </c>
      <c r="AN1020" s="8">
        <f t="shared" si="556"/>
        <v>0.8390780000000001</v>
      </c>
      <c r="AO1020" s="3" t="s">
        <v>93</v>
      </c>
      <c r="AP1020" s="3">
        <v>24.2</v>
      </c>
      <c r="AQ1020" s="3" t="s">
        <v>661</v>
      </c>
      <c r="AR1020" s="4">
        <v>13.8</v>
      </c>
      <c r="AS1020" s="4">
        <v>57.4</v>
      </c>
      <c r="AT1020" s="4">
        <v>28.8</v>
      </c>
      <c r="AU1020" s="3" t="s">
        <v>661</v>
      </c>
      <c r="AV1020" s="16">
        <f t="shared" si="535"/>
        <v>100</v>
      </c>
      <c r="AW1020" s="26">
        <v>1.9</v>
      </c>
      <c r="AX1020" s="1">
        <f t="shared" si="557"/>
        <v>1.9E-2</v>
      </c>
      <c r="AY1020" s="1" t="s">
        <v>511</v>
      </c>
      <c r="AZ1020" s="1">
        <f t="shared" si="558"/>
        <v>100</v>
      </c>
      <c r="BA1020" s="1" t="s">
        <v>55</v>
      </c>
      <c r="BB1020" s="1">
        <v>5</v>
      </c>
      <c r="BC1020" s="1">
        <v>500</v>
      </c>
      <c r="BD1020" s="26">
        <f t="shared" si="552"/>
        <v>25.796218408263918</v>
      </c>
      <c r="BE1020" s="16">
        <f t="shared" si="536"/>
        <v>1357.6957056981009</v>
      </c>
      <c r="BF1020" s="16">
        <f t="shared" si="537"/>
        <v>3.1328024443593923</v>
      </c>
      <c r="BG1020" s="8">
        <f t="shared" si="538"/>
        <v>1.4115560453122213</v>
      </c>
      <c r="BH1020" s="13" t="s">
        <v>782</v>
      </c>
      <c r="BI1020" s="8">
        <v>32.6</v>
      </c>
      <c r="BJ1020" s="13" t="s">
        <v>349</v>
      </c>
      <c r="BK1020" s="15">
        <v>0.9</v>
      </c>
      <c r="BL1020" s="16">
        <f t="shared" si="559"/>
        <v>32.6</v>
      </c>
      <c r="BM1020" s="18">
        <f>'PFAS Properties'!$U$46</f>
        <v>10.39</v>
      </c>
      <c r="BN1020" s="8">
        <f t="shared" si="560"/>
        <v>268.02270926186213</v>
      </c>
      <c r="BO1020" s="24">
        <f t="shared" si="561"/>
        <v>25.796218408263918</v>
      </c>
      <c r="BP1020" s="11"/>
      <c r="BQ1020" s="11"/>
    </row>
    <row r="1021" spans="1:69" x14ac:dyDescent="0.3">
      <c r="A1021" s="20">
        <v>1019</v>
      </c>
      <c r="B1021" s="2" t="s">
        <v>189</v>
      </c>
      <c r="C1021" s="2">
        <v>2021</v>
      </c>
      <c r="D1021" s="2" t="s">
        <v>510</v>
      </c>
      <c r="E1021" s="41" t="s">
        <v>804</v>
      </c>
      <c r="F1021" s="20" t="s">
        <v>29</v>
      </c>
      <c r="G1021" s="2" t="s">
        <v>509</v>
      </c>
      <c r="H1021" s="2" t="str">
        <f>'PFAS Properties'!$B$46</f>
        <v>PFOS</v>
      </c>
      <c r="I1021" s="2" t="str">
        <f>'PFAS Properties'!$C$46</f>
        <v>PFSA</v>
      </c>
      <c r="J1021" s="2" t="str">
        <f>'PFAS Properties'!$D$46</f>
        <v>C8HF17O3S</v>
      </c>
      <c r="K1021" s="25">
        <f>'PFAS Properties'!$P$46</f>
        <v>499.93739999999997</v>
      </c>
      <c r="L1021" s="2">
        <f>'PFAS Properties'!$X$46</f>
        <v>0.1</v>
      </c>
      <c r="M1021" s="2" t="str">
        <f>'PFAS Properties'!$Y$46</f>
        <v>-</v>
      </c>
      <c r="N1021" s="33">
        <v>0</v>
      </c>
      <c r="O1021" s="33">
        <v>0</v>
      </c>
      <c r="P1021" s="33">
        <v>0</v>
      </c>
      <c r="Q1021" s="33">
        <f t="shared" si="550"/>
        <v>0.99980051357127842</v>
      </c>
      <c r="R1021" s="33">
        <v>0</v>
      </c>
      <c r="S1021" s="33">
        <f t="shared" si="551"/>
        <v>1.9948642872153033E-4</v>
      </c>
      <c r="T1021" s="8">
        <f t="shared" si="529"/>
        <v>1</v>
      </c>
      <c r="U1021" s="33">
        <f t="shared" si="530"/>
        <v>0</v>
      </c>
      <c r="V1021" s="33">
        <f t="shared" si="531"/>
        <v>-0.99980051357127842</v>
      </c>
      <c r="W1021" s="33">
        <f t="shared" si="532"/>
        <v>498.93759948642861</v>
      </c>
      <c r="X1021" s="33">
        <v>96485</v>
      </c>
      <c r="Y1021" s="16">
        <f t="shared" si="533"/>
        <v>-193.34231906198264</v>
      </c>
      <c r="Z1021" s="16">
        <v>8</v>
      </c>
      <c r="AA1021" s="16">
        <v>17</v>
      </c>
      <c r="AB1021" s="8">
        <f t="shared" si="534"/>
        <v>0.29721362229102166</v>
      </c>
      <c r="AC1021" s="16">
        <f t="shared" si="539"/>
        <v>64.60808893273439</v>
      </c>
      <c r="AD1021" s="20">
        <f>'PFAS Properties'!$W$46</f>
        <v>8</v>
      </c>
      <c r="AE1021" s="8">
        <f>'PFAS Properties'!$S$46</f>
        <v>2.0166155475571776</v>
      </c>
      <c r="AF1021" s="15">
        <f>'PFAS Properties'!$V$46</f>
        <v>5</v>
      </c>
      <c r="AG1021" s="26">
        <v>3.8</v>
      </c>
      <c r="AH1021" s="1" t="s">
        <v>190</v>
      </c>
      <c r="AI1021" s="39">
        <f t="shared" si="553"/>
        <v>306.97996499999999</v>
      </c>
      <c r="AJ1021" s="1">
        <v>5497</v>
      </c>
      <c r="AK1021" s="8">
        <f t="shared" si="554"/>
        <v>30.697996499999999</v>
      </c>
      <c r="AL1021" s="39">
        <f t="shared" si="555"/>
        <v>25.496100000000002</v>
      </c>
      <c r="AM1021" s="1">
        <v>945</v>
      </c>
      <c r="AN1021" s="8">
        <f t="shared" si="556"/>
        <v>2.5496100000000004</v>
      </c>
      <c r="AO1021" s="3" t="s">
        <v>93</v>
      </c>
      <c r="AP1021" s="3">
        <v>22.5</v>
      </c>
      <c r="AQ1021" s="3" t="s">
        <v>661</v>
      </c>
      <c r="AR1021" s="4">
        <v>22.4</v>
      </c>
      <c r="AS1021" s="4">
        <v>46</v>
      </c>
      <c r="AT1021" s="4">
        <v>31.6</v>
      </c>
      <c r="AU1021" s="3" t="s">
        <v>661</v>
      </c>
      <c r="AV1021" s="16">
        <f t="shared" si="535"/>
        <v>100</v>
      </c>
      <c r="AW1021" s="26">
        <v>2.6</v>
      </c>
      <c r="AX1021" s="1">
        <f t="shared" si="557"/>
        <v>2.6000000000000002E-2</v>
      </c>
      <c r="AY1021" s="1" t="s">
        <v>511</v>
      </c>
      <c r="AZ1021" s="1">
        <f t="shared" si="558"/>
        <v>100</v>
      </c>
      <c r="BA1021" s="1" t="s">
        <v>55</v>
      </c>
      <c r="BB1021" s="1">
        <v>5</v>
      </c>
      <c r="BC1021" s="1">
        <v>500</v>
      </c>
      <c r="BD1021" s="26">
        <f t="shared" si="552"/>
        <v>49.6</v>
      </c>
      <c r="BE1021" s="16">
        <f t="shared" si="536"/>
        <v>1907.6923076923076</v>
      </c>
      <c r="BF1021" s="16">
        <f t="shared" si="537"/>
        <v>3.2805083285193795</v>
      </c>
      <c r="BG1021" s="8">
        <f t="shared" si="538"/>
        <v>1.6954816764901974</v>
      </c>
      <c r="BH1021" s="13" t="s">
        <v>782</v>
      </c>
      <c r="BI1021" s="8">
        <v>49.6</v>
      </c>
      <c r="BJ1021" s="13" t="s">
        <v>349</v>
      </c>
      <c r="BK1021" s="15">
        <v>1</v>
      </c>
      <c r="BL1021" s="16">
        <f t="shared" si="559"/>
        <v>49.6</v>
      </c>
      <c r="BM1021" s="18">
        <f>'PFAS Properties'!$U$46</f>
        <v>10.39</v>
      </c>
      <c r="BN1021" s="8">
        <f t="shared" si="560"/>
        <v>515.34400000000005</v>
      </c>
      <c r="BO1021" s="24">
        <f t="shared" si="561"/>
        <v>49.6</v>
      </c>
      <c r="BP1021" s="11"/>
      <c r="BQ1021" s="11"/>
    </row>
    <row r="1022" spans="1:69" s="14" customFormat="1" x14ac:dyDescent="0.3">
      <c r="A1022" s="20">
        <v>1020</v>
      </c>
      <c r="B1022" s="2" t="s">
        <v>269</v>
      </c>
      <c r="C1022" s="2">
        <v>2020</v>
      </c>
      <c r="D1022" s="2" t="s">
        <v>270</v>
      </c>
      <c r="E1022" s="10" t="s">
        <v>805</v>
      </c>
      <c r="F1022" s="20" t="s">
        <v>29</v>
      </c>
      <c r="G1022" s="2" t="s">
        <v>169</v>
      </c>
      <c r="H1022" s="2" t="str">
        <f>'PFAS Properties'!$B$46</f>
        <v>PFOS</v>
      </c>
      <c r="I1022" s="2" t="str">
        <f>'PFAS Properties'!$C$46</f>
        <v>PFSA</v>
      </c>
      <c r="J1022" s="2" t="str">
        <f>'PFAS Properties'!$D$46</f>
        <v>C8HF17O3S</v>
      </c>
      <c r="K1022" s="25">
        <f>'PFAS Properties'!$P$46</f>
        <v>499.93739999999997</v>
      </c>
      <c r="L1022" s="2">
        <f>'PFAS Properties'!$X$46</f>
        <v>0.1</v>
      </c>
      <c r="M1022" s="2" t="str">
        <f>'PFAS Properties'!$Y$46</f>
        <v>-</v>
      </c>
      <c r="N1022" s="33">
        <v>0</v>
      </c>
      <c r="O1022" s="33">
        <v>0</v>
      </c>
      <c r="P1022" s="33">
        <v>0</v>
      </c>
      <c r="Q1022" s="33">
        <f t="shared" si="550"/>
        <v>0.99999809454291277</v>
      </c>
      <c r="R1022" s="33">
        <v>0</v>
      </c>
      <c r="S1022" s="33">
        <f t="shared" si="551"/>
        <v>1.9054570871896133E-6</v>
      </c>
      <c r="T1022" s="8">
        <f t="shared" si="529"/>
        <v>1</v>
      </c>
      <c r="U1022" s="33">
        <f t="shared" si="530"/>
        <v>0</v>
      </c>
      <c r="V1022" s="33">
        <f t="shared" si="531"/>
        <v>-0.99999809454291277</v>
      </c>
      <c r="W1022" s="33">
        <f t="shared" si="532"/>
        <v>498.93740190545702</v>
      </c>
      <c r="X1022" s="33">
        <v>96485</v>
      </c>
      <c r="Y1022" s="16">
        <f t="shared" si="533"/>
        <v>-193.3806040266665</v>
      </c>
      <c r="Z1022" s="16">
        <v>8</v>
      </c>
      <c r="AA1022" s="16">
        <v>17</v>
      </c>
      <c r="AB1022" s="8">
        <f t="shared" si="534"/>
        <v>0.29721362229102166</v>
      </c>
      <c r="AC1022" s="16">
        <f t="shared" si="539"/>
        <v>64.60808893273439</v>
      </c>
      <c r="AD1022" s="20">
        <f>'PFAS Properties'!$W$46</f>
        <v>8</v>
      </c>
      <c r="AE1022" s="8">
        <f>'PFAS Properties'!$S$46</f>
        <v>2.0166155475571776</v>
      </c>
      <c r="AF1022" s="15">
        <f>'PFAS Properties'!$V$46</f>
        <v>5</v>
      </c>
      <c r="AG1022" s="24">
        <v>5.82</v>
      </c>
      <c r="AH1022" s="15" t="s">
        <v>170</v>
      </c>
      <c r="AI1022" s="2" t="s">
        <v>661</v>
      </c>
      <c r="AJ1022" s="2" t="s">
        <v>661</v>
      </c>
      <c r="AK1022" s="2" t="s">
        <v>661</v>
      </c>
      <c r="AL1022" s="2" t="s">
        <v>661</v>
      </c>
      <c r="AM1022" s="2" t="s">
        <v>661</v>
      </c>
      <c r="AN1022" s="2" t="s">
        <v>661</v>
      </c>
      <c r="AO1022" s="2" t="s">
        <v>661</v>
      </c>
      <c r="AP1022" s="15">
        <v>2.3199999999999998</v>
      </c>
      <c r="AQ1022" s="3" t="s">
        <v>661</v>
      </c>
      <c r="AR1022" s="2">
        <v>95.4</v>
      </c>
      <c r="AS1022" s="2">
        <v>0.2</v>
      </c>
      <c r="AT1022" s="2">
        <v>4.4000000000000004</v>
      </c>
      <c r="AU1022" s="3" t="s">
        <v>661</v>
      </c>
      <c r="AV1022" s="16">
        <f t="shared" si="535"/>
        <v>100.00000000000001</v>
      </c>
      <c r="AW1022" s="20">
        <v>0.37</v>
      </c>
      <c r="AX1022" s="8">
        <f t="shared" si="557"/>
        <v>3.7000000000000002E-3</v>
      </c>
      <c r="AY1022" s="8" t="s">
        <v>395</v>
      </c>
      <c r="AZ1022" s="16">
        <f t="shared" ref="AZ1022:AZ1029" si="562">1/0.03</f>
        <v>33.333333333333336</v>
      </c>
      <c r="BA1022" s="16" t="s">
        <v>55</v>
      </c>
      <c r="BB1022" s="16">
        <v>15</v>
      </c>
      <c r="BC1022" s="16">
        <v>560</v>
      </c>
      <c r="BD1022" s="18">
        <f t="shared" si="552"/>
        <v>14.891608583335721</v>
      </c>
      <c r="BE1022" s="16">
        <f t="shared" si="536"/>
        <v>4024.7590765772215</v>
      </c>
      <c r="BF1022" s="16">
        <f t="shared" si="537"/>
        <v>3.6047398884691901</v>
      </c>
      <c r="BG1022" s="8">
        <f t="shared" si="538"/>
        <v>1.1729416125361851</v>
      </c>
      <c r="BH1022" s="13" t="s">
        <v>868</v>
      </c>
      <c r="BI1022" s="8">
        <v>4.2999999999999997E-2</v>
      </c>
      <c r="BJ1022" s="13" t="s">
        <v>349</v>
      </c>
      <c r="BK1022" s="15">
        <v>0.54700000000000004</v>
      </c>
      <c r="BL1022" s="16">
        <f t="shared" ref="BL1022:BL1029" si="563">BI1022*(1000/1)</f>
        <v>43</v>
      </c>
      <c r="BM1022" s="18">
        <f>'PFAS Properties'!$U$46</f>
        <v>10.39</v>
      </c>
      <c r="BN1022" s="8">
        <f t="shared" si="560"/>
        <v>154.72381318085814</v>
      </c>
      <c r="BO1022" s="24">
        <f t="shared" si="561"/>
        <v>14.891608583335721</v>
      </c>
    </row>
    <row r="1023" spans="1:69" s="14" customFormat="1" x14ac:dyDescent="0.3">
      <c r="A1023" s="20">
        <v>1021</v>
      </c>
      <c r="B1023" s="2" t="s">
        <v>269</v>
      </c>
      <c r="C1023" s="2">
        <v>2020</v>
      </c>
      <c r="D1023" s="2" t="s">
        <v>270</v>
      </c>
      <c r="E1023" s="22" t="s">
        <v>805</v>
      </c>
      <c r="F1023" s="20" t="s">
        <v>29</v>
      </c>
      <c r="G1023" s="2" t="s">
        <v>171</v>
      </c>
      <c r="H1023" s="2" t="str">
        <f>'PFAS Properties'!$B$46</f>
        <v>PFOS</v>
      </c>
      <c r="I1023" s="2" t="str">
        <f>'PFAS Properties'!$C$46</f>
        <v>PFSA</v>
      </c>
      <c r="J1023" s="2" t="str">
        <f>'PFAS Properties'!$D$46</f>
        <v>C8HF17O3S</v>
      </c>
      <c r="K1023" s="25">
        <f>'PFAS Properties'!$P$46</f>
        <v>499.93739999999997</v>
      </c>
      <c r="L1023" s="2">
        <f>'PFAS Properties'!$X$46</f>
        <v>0.1</v>
      </c>
      <c r="M1023" s="2" t="str">
        <f>'PFAS Properties'!$Y$46</f>
        <v>-</v>
      </c>
      <c r="N1023" s="33">
        <v>0</v>
      </c>
      <c r="O1023" s="33">
        <v>0</v>
      </c>
      <c r="P1023" s="33">
        <v>0</v>
      </c>
      <c r="Q1023" s="33">
        <f t="shared" si="550"/>
        <v>0.99999424563373951</v>
      </c>
      <c r="R1023" s="33">
        <v>0</v>
      </c>
      <c r="S1023" s="33">
        <f t="shared" si="551"/>
        <v>5.7543662604499578E-6</v>
      </c>
      <c r="T1023" s="8">
        <f t="shared" si="529"/>
        <v>1</v>
      </c>
      <c r="U1023" s="33">
        <f t="shared" si="530"/>
        <v>0</v>
      </c>
      <c r="V1023" s="33">
        <f t="shared" si="531"/>
        <v>-0.99999424563373951</v>
      </c>
      <c r="W1023" s="33">
        <f t="shared" si="532"/>
        <v>498.93740575436618</v>
      </c>
      <c r="X1023" s="33">
        <v>96485</v>
      </c>
      <c r="Y1023" s="16">
        <f t="shared" si="533"/>
        <v>-193.37985822909414</v>
      </c>
      <c r="Z1023" s="16">
        <v>8</v>
      </c>
      <c r="AA1023" s="16">
        <v>17</v>
      </c>
      <c r="AB1023" s="8">
        <f t="shared" si="534"/>
        <v>0.29721362229102166</v>
      </c>
      <c r="AC1023" s="16">
        <f t="shared" si="539"/>
        <v>64.60808893273439</v>
      </c>
      <c r="AD1023" s="20">
        <f>'PFAS Properties'!$W$46</f>
        <v>8</v>
      </c>
      <c r="AE1023" s="8">
        <f>'PFAS Properties'!$S$46</f>
        <v>2.0166155475571776</v>
      </c>
      <c r="AF1023" s="15">
        <f>'PFAS Properties'!$V$46</f>
        <v>5</v>
      </c>
      <c r="AG1023" s="24">
        <v>5.34</v>
      </c>
      <c r="AH1023" s="15" t="s">
        <v>170</v>
      </c>
      <c r="AI1023" s="2" t="s">
        <v>661</v>
      </c>
      <c r="AJ1023" s="2" t="s">
        <v>661</v>
      </c>
      <c r="AK1023" s="2" t="s">
        <v>661</v>
      </c>
      <c r="AL1023" s="2" t="s">
        <v>661</v>
      </c>
      <c r="AM1023" s="2" t="s">
        <v>661</v>
      </c>
      <c r="AN1023" s="2" t="s">
        <v>661</v>
      </c>
      <c r="AO1023" s="2" t="s">
        <v>661</v>
      </c>
      <c r="AP1023" s="15">
        <v>2.16</v>
      </c>
      <c r="AQ1023" s="3" t="s">
        <v>661</v>
      </c>
      <c r="AR1023" s="2">
        <v>93.2</v>
      </c>
      <c r="AS1023" s="2">
        <v>5.6</v>
      </c>
      <c r="AT1023" s="2">
        <v>1.2</v>
      </c>
      <c r="AU1023" s="3" t="s">
        <v>661</v>
      </c>
      <c r="AV1023" s="16">
        <f t="shared" si="535"/>
        <v>100</v>
      </c>
      <c r="AW1023" s="20">
        <v>1.35</v>
      </c>
      <c r="AX1023" s="8">
        <f t="shared" si="557"/>
        <v>1.3500000000000002E-2</v>
      </c>
      <c r="AY1023" s="8" t="s">
        <v>395</v>
      </c>
      <c r="AZ1023" s="16">
        <f t="shared" si="562"/>
        <v>33.333333333333336</v>
      </c>
      <c r="BA1023" s="16" t="s">
        <v>55</v>
      </c>
      <c r="BB1023" s="16">
        <v>15</v>
      </c>
      <c r="BC1023" s="16">
        <v>560</v>
      </c>
      <c r="BD1023" s="18">
        <f t="shared" si="552"/>
        <v>16.472620713738735</v>
      </c>
      <c r="BE1023" s="16">
        <f t="shared" si="536"/>
        <v>1220.1941269436099</v>
      </c>
      <c r="BF1023" s="16">
        <f t="shared" si="537"/>
        <v>3.0864289303087857</v>
      </c>
      <c r="BG1023" s="8">
        <f t="shared" si="538"/>
        <v>1.2167626988037921</v>
      </c>
      <c r="BH1023" s="13" t="s">
        <v>868</v>
      </c>
      <c r="BI1023" s="8">
        <v>0.04</v>
      </c>
      <c r="BJ1023" s="13" t="s">
        <v>349</v>
      </c>
      <c r="BK1023" s="15">
        <v>0.621</v>
      </c>
      <c r="BL1023" s="16">
        <f t="shared" si="563"/>
        <v>40</v>
      </c>
      <c r="BM1023" s="18">
        <f>'PFAS Properties'!$U$46</f>
        <v>10.39</v>
      </c>
      <c r="BN1023" s="8">
        <f t="shared" si="560"/>
        <v>171.15052921574548</v>
      </c>
      <c r="BO1023" s="24">
        <f t="shared" si="561"/>
        <v>16.472620713738735</v>
      </c>
    </row>
    <row r="1024" spans="1:69" s="14" customFormat="1" x14ac:dyDescent="0.3">
      <c r="A1024" s="20">
        <v>1022</v>
      </c>
      <c r="B1024" s="2" t="s">
        <v>269</v>
      </c>
      <c r="C1024" s="2">
        <v>2020</v>
      </c>
      <c r="D1024" s="2" t="s">
        <v>270</v>
      </c>
      <c r="E1024" s="10" t="s">
        <v>805</v>
      </c>
      <c r="F1024" s="20" t="s">
        <v>29</v>
      </c>
      <c r="G1024" s="2" t="s">
        <v>172</v>
      </c>
      <c r="H1024" s="2" t="str">
        <f>'PFAS Properties'!$B$46</f>
        <v>PFOS</v>
      </c>
      <c r="I1024" s="2" t="str">
        <f>'PFAS Properties'!$C$46</f>
        <v>PFSA</v>
      </c>
      <c r="J1024" s="2" t="str">
        <f>'PFAS Properties'!$D$46</f>
        <v>C8HF17O3S</v>
      </c>
      <c r="K1024" s="25">
        <f>'PFAS Properties'!$P$46</f>
        <v>499.93739999999997</v>
      </c>
      <c r="L1024" s="2">
        <f>'PFAS Properties'!$X$46</f>
        <v>0.1</v>
      </c>
      <c r="M1024" s="2" t="str">
        <f>'PFAS Properties'!$Y$46</f>
        <v>-</v>
      </c>
      <c r="N1024" s="33">
        <v>0</v>
      </c>
      <c r="O1024" s="33">
        <v>0</v>
      </c>
      <c r="P1024" s="33">
        <v>0</v>
      </c>
      <c r="Q1024" s="33">
        <f t="shared" si="550"/>
        <v>0.9999986196176408</v>
      </c>
      <c r="R1024" s="33">
        <v>0</v>
      </c>
      <c r="S1024" s="33">
        <f t="shared" si="551"/>
        <v>1.3803823591447935E-6</v>
      </c>
      <c r="T1024" s="8">
        <f t="shared" si="529"/>
        <v>1</v>
      </c>
      <c r="U1024" s="33">
        <f t="shared" si="530"/>
        <v>0</v>
      </c>
      <c r="V1024" s="33">
        <f t="shared" si="531"/>
        <v>-0.9999986196176408</v>
      </c>
      <c r="W1024" s="33">
        <f t="shared" si="532"/>
        <v>498.93740138038225</v>
      </c>
      <c r="X1024" s="33">
        <v>96485</v>
      </c>
      <c r="Y1024" s="16">
        <f t="shared" si="533"/>
        <v>-193.38070576963921</v>
      </c>
      <c r="Z1024" s="16">
        <v>8</v>
      </c>
      <c r="AA1024" s="16">
        <v>17</v>
      </c>
      <c r="AB1024" s="8">
        <f t="shared" si="534"/>
        <v>0.29721362229102166</v>
      </c>
      <c r="AC1024" s="16">
        <f t="shared" si="539"/>
        <v>64.60808893273439</v>
      </c>
      <c r="AD1024" s="20">
        <f>'PFAS Properties'!$W$46</f>
        <v>8</v>
      </c>
      <c r="AE1024" s="8">
        <f>'PFAS Properties'!$S$46</f>
        <v>2.0166155475571776</v>
      </c>
      <c r="AF1024" s="15">
        <f>'PFAS Properties'!$V$46</f>
        <v>5</v>
      </c>
      <c r="AG1024" s="24">
        <v>5.96</v>
      </c>
      <c r="AH1024" s="15" t="s">
        <v>170</v>
      </c>
      <c r="AI1024" s="2" t="s">
        <v>661</v>
      </c>
      <c r="AJ1024" s="2" t="s">
        <v>661</v>
      </c>
      <c r="AK1024" s="2" t="s">
        <v>661</v>
      </c>
      <c r="AL1024" s="2" t="s">
        <v>661</v>
      </c>
      <c r="AM1024" s="2" t="s">
        <v>661</v>
      </c>
      <c r="AN1024" s="2" t="s">
        <v>661</v>
      </c>
      <c r="AO1024" s="2" t="s">
        <v>661</v>
      </c>
      <c r="AP1024" s="15">
        <v>38.700000000000003</v>
      </c>
      <c r="AQ1024" s="3" t="s">
        <v>661</v>
      </c>
      <c r="AR1024" s="2">
        <v>53</v>
      </c>
      <c r="AS1024" s="2">
        <v>16.100000000000001</v>
      </c>
      <c r="AT1024" s="2">
        <v>30.9</v>
      </c>
      <c r="AU1024" s="3" t="s">
        <v>661</v>
      </c>
      <c r="AV1024" s="16">
        <f t="shared" si="535"/>
        <v>100</v>
      </c>
      <c r="AW1024" s="20">
        <v>3.27</v>
      </c>
      <c r="AX1024" s="8">
        <f t="shared" si="557"/>
        <v>3.27E-2</v>
      </c>
      <c r="AY1024" s="8" t="s">
        <v>395</v>
      </c>
      <c r="AZ1024" s="16">
        <f t="shared" si="562"/>
        <v>33.333333333333336</v>
      </c>
      <c r="BA1024" s="16" t="s">
        <v>55</v>
      </c>
      <c r="BB1024" s="16">
        <v>15</v>
      </c>
      <c r="BC1024" s="16">
        <v>560</v>
      </c>
      <c r="BD1024" s="18">
        <f t="shared" si="552"/>
        <v>44.850585259786328</v>
      </c>
      <c r="BE1024" s="16">
        <f t="shared" si="536"/>
        <v>1371.5775308803159</v>
      </c>
      <c r="BF1024" s="16">
        <f t="shared" si="537"/>
        <v>3.1372203619090624</v>
      </c>
      <c r="BG1024" s="8">
        <f t="shared" si="538"/>
        <v>1.6517681145693484</v>
      </c>
      <c r="BH1024" s="13" t="s">
        <v>868</v>
      </c>
      <c r="BI1024" s="8">
        <v>0.10199999999999999</v>
      </c>
      <c r="BJ1024" s="13" t="s">
        <v>349</v>
      </c>
      <c r="BK1024" s="15">
        <v>0.64900000000000002</v>
      </c>
      <c r="BL1024" s="16">
        <f t="shared" si="563"/>
        <v>102</v>
      </c>
      <c r="BM1024" s="18">
        <f>'PFAS Properties'!$U$46</f>
        <v>10.39</v>
      </c>
      <c r="BN1024" s="8">
        <f t="shared" si="560"/>
        <v>465.99758084917994</v>
      </c>
      <c r="BO1024" s="24">
        <f t="shared" si="561"/>
        <v>44.850585259786328</v>
      </c>
    </row>
    <row r="1025" spans="1:67" s="14" customFormat="1" x14ac:dyDescent="0.3">
      <c r="A1025" s="20">
        <v>1023</v>
      </c>
      <c r="B1025" s="2" t="s">
        <v>269</v>
      </c>
      <c r="C1025" s="2">
        <v>2020</v>
      </c>
      <c r="D1025" s="2" t="s">
        <v>270</v>
      </c>
      <c r="E1025" s="10" t="s">
        <v>805</v>
      </c>
      <c r="F1025" s="20" t="s">
        <v>29</v>
      </c>
      <c r="G1025" s="2" t="s">
        <v>173</v>
      </c>
      <c r="H1025" s="2" t="str">
        <f>'PFAS Properties'!$B$46</f>
        <v>PFOS</v>
      </c>
      <c r="I1025" s="2" t="str">
        <f>'PFAS Properties'!$C$46</f>
        <v>PFSA</v>
      </c>
      <c r="J1025" s="2" t="str">
        <f>'PFAS Properties'!$D$46</f>
        <v>C8HF17O3S</v>
      </c>
      <c r="K1025" s="25">
        <f>'PFAS Properties'!$P$46</f>
        <v>499.93739999999997</v>
      </c>
      <c r="L1025" s="2">
        <f>'PFAS Properties'!$X$46</f>
        <v>0.1</v>
      </c>
      <c r="M1025" s="2" t="str">
        <f>'PFAS Properties'!$Y$46</f>
        <v>-</v>
      </c>
      <c r="N1025" s="33">
        <v>0</v>
      </c>
      <c r="O1025" s="33">
        <v>0</v>
      </c>
      <c r="P1025" s="33">
        <v>0</v>
      </c>
      <c r="Q1025" s="33">
        <f t="shared" si="550"/>
        <v>0.99998877994134816</v>
      </c>
      <c r="R1025" s="33">
        <v>0</v>
      </c>
      <c r="S1025" s="33">
        <f t="shared" si="551"/>
        <v>1.1220058651890969E-5</v>
      </c>
      <c r="T1025" s="8">
        <f t="shared" si="529"/>
        <v>1</v>
      </c>
      <c r="U1025" s="33">
        <f t="shared" si="530"/>
        <v>0</v>
      </c>
      <c r="V1025" s="33">
        <f t="shared" si="531"/>
        <v>-0.99998877994134816</v>
      </c>
      <c r="W1025" s="33">
        <f t="shared" si="532"/>
        <v>498.93741122005866</v>
      </c>
      <c r="X1025" s="33">
        <v>96485</v>
      </c>
      <c r="Y1025" s="16">
        <f t="shared" si="533"/>
        <v>-193.37879914979217</v>
      </c>
      <c r="Z1025" s="16">
        <v>8</v>
      </c>
      <c r="AA1025" s="16">
        <v>17</v>
      </c>
      <c r="AB1025" s="8">
        <f t="shared" si="534"/>
        <v>0.29721362229102166</v>
      </c>
      <c r="AC1025" s="16">
        <f t="shared" si="539"/>
        <v>64.60808893273439</v>
      </c>
      <c r="AD1025" s="20">
        <f>'PFAS Properties'!$W$46</f>
        <v>8</v>
      </c>
      <c r="AE1025" s="8">
        <f>'PFAS Properties'!$S$46</f>
        <v>2.0166155475571776</v>
      </c>
      <c r="AF1025" s="15">
        <f>'PFAS Properties'!$V$46</f>
        <v>5</v>
      </c>
      <c r="AG1025" s="24">
        <v>5.05</v>
      </c>
      <c r="AH1025" s="15" t="s">
        <v>170</v>
      </c>
      <c r="AI1025" s="2" t="s">
        <v>661</v>
      </c>
      <c r="AJ1025" s="2" t="s">
        <v>661</v>
      </c>
      <c r="AK1025" s="2" t="s">
        <v>661</v>
      </c>
      <c r="AL1025" s="2" t="s">
        <v>661</v>
      </c>
      <c r="AM1025" s="2" t="s">
        <v>661</v>
      </c>
      <c r="AN1025" s="2" t="s">
        <v>661</v>
      </c>
      <c r="AO1025" s="2" t="s">
        <v>661</v>
      </c>
      <c r="AP1025" s="15">
        <v>6.37</v>
      </c>
      <c r="AQ1025" s="3" t="s">
        <v>661</v>
      </c>
      <c r="AR1025" s="2">
        <v>62</v>
      </c>
      <c r="AS1025" s="2">
        <v>16.8</v>
      </c>
      <c r="AT1025" s="2">
        <v>21.2</v>
      </c>
      <c r="AU1025" s="3" t="s">
        <v>661</v>
      </c>
      <c r="AV1025" s="16">
        <f t="shared" si="535"/>
        <v>100</v>
      </c>
      <c r="AW1025" s="20">
        <v>7.5</v>
      </c>
      <c r="AX1025" s="8">
        <f t="shared" si="557"/>
        <v>7.4999999999999997E-2</v>
      </c>
      <c r="AY1025" s="8" t="s">
        <v>395</v>
      </c>
      <c r="AZ1025" s="16">
        <f t="shared" si="562"/>
        <v>33.333333333333336</v>
      </c>
      <c r="BA1025" s="16" t="s">
        <v>55</v>
      </c>
      <c r="BB1025" s="16">
        <v>15</v>
      </c>
      <c r="BC1025" s="16">
        <v>560</v>
      </c>
      <c r="BD1025" s="18">
        <f t="shared" si="552"/>
        <v>64.69895178517713</v>
      </c>
      <c r="BE1025" s="16">
        <f t="shared" si="536"/>
        <v>862.65269046902847</v>
      </c>
      <c r="BF1025" s="16">
        <f t="shared" si="537"/>
        <v>2.9358359811471533</v>
      </c>
      <c r="BG1025" s="8">
        <f t="shared" si="538"/>
        <v>1.8108972445388531</v>
      </c>
      <c r="BH1025" s="13" t="s">
        <v>868</v>
      </c>
      <c r="BI1025" s="8">
        <v>9.7000000000000003E-2</v>
      </c>
      <c r="BJ1025" s="13" t="s">
        <v>349</v>
      </c>
      <c r="BK1025" s="15">
        <v>0.82699999999999996</v>
      </c>
      <c r="BL1025" s="16">
        <f t="shared" si="563"/>
        <v>97</v>
      </c>
      <c r="BM1025" s="18">
        <f>'PFAS Properties'!$U$46</f>
        <v>10.39</v>
      </c>
      <c r="BN1025" s="8">
        <f t="shared" si="560"/>
        <v>672.22210904799044</v>
      </c>
      <c r="BO1025" s="24">
        <f t="shared" si="561"/>
        <v>64.69895178517713</v>
      </c>
    </row>
    <row r="1026" spans="1:67" s="14" customFormat="1" x14ac:dyDescent="0.3">
      <c r="A1026" s="20">
        <v>1024</v>
      </c>
      <c r="B1026" s="2" t="s">
        <v>269</v>
      </c>
      <c r="C1026" s="2">
        <v>2020</v>
      </c>
      <c r="D1026" s="2" t="s">
        <v>270</v>
      </c>
      <c r="E1026" s="10" t="s">
        <v>805</v>
      </c>
      <c r="F1026" s="20" t="s">
        <v>29</v>
      </c>
      <c r="G1026" s="2" t="s">
        <v>174</v>
      </c>
      <c r="H1026" s="2" t="str">
        <f>'PFAS Properties'!$B$46</f>
        <v>PFOS</v>
      </c>
      <c r="I1026" s="2" t="str">
        <f>'PFAS Properties'!$C$46</f>
        <v>PFSA</v>
      </c>
      <c r="J1026" s="2" t="str">
        <f>'PFAS Properties'!$D$46</f>
        <v>C8HF17O3S</v>
      </c>
      <c r="K1026" s="25">
        <f>'PFAS Properties'!$P$46</f>
        <v>499.93739999999997</v>
      </c>
      <c r="L1026" s="2">
        <f>'PFAS Properties'!$X$46</f>
        <v>0.1</v>
      </c>
      <c r="M1026" s="2" t="str">
        <f>'PFAS Properties'!$Y$46</f>
        <v>-</v>
      </c>
      <c r="N1026" s="33">
        <v>0</v>
      </c>
      <c r="O1026" s="33">
        <v>0</v>
      </c>
      <c r="P1026" s="33">
        <v>0</v>
      </c>
      <c r="Q1026" s="33">
        <f t="shared" si="550"/>
        <v>0.99998976717478893</v>
      </c>
      <c r="R1026" s="33">
        <v>0</v>
      </c>
      <c r="S1026" s="33">
        <f t="shared" si="551"/>
        <v>1.0232825211024223E-5</v>
      </c>
      <c r="T1026" s="8">
        <f t="shared" ref="T1026:T1085" si="564">SUM(N1026:S1026)</f>
        <v>1</v>
      </c>
      <c r="U1026" s="33">
        <f t="shared" ref="U1026:U1085" si="565">((1*N1026)+(1*O1026)+(1*P1026))</f>
        <v>0</v>
      </c>
      <c r="V1026" s="33">
        <f t="shared" ref="V1026:V1085" si="566">-((1*O1026)+(2*P1026)+(1*Q1026)+(2*R1026))</f>
        <v>-0.99998976717478893</v>
      </c>
      <c r="W1026" s="33">
        <f t="shared" ref="W1026:W1085" si="567">(N1026*(K1026+1))+(O1026*K1026)+(P1026*(K1026-1))+(Q1026*(K1026-1))+(R1026*(K1026-2))+(S1026*K1026)</f>
        <v>498.93741023282513</v>
      </c>
      <c r="X1026" s="33">
        <v>96485</v>
      </c>
      <c r="Y1026" s="16">
        <f t="shared" ref="Y1026:Y1085" si="568">((V1026+U1026)/W1026)*X1026</f>
        <v>-193.37899044458507</v>
      </c>
      <c r="Z1026" s="16">
        <v>8</v>
      </c>
      <c r="AA1026" s="16">
        <v>17</v>
      </c>
      <c r="AB1026" s="8">
        <f t="shared" ref="AB1026:AB1085" si="569">(Z1026/AA1026)*(12/19)</f>
        <v>0.29721362229102166</v>
      </c>
      <c r="AC1026" s="16">
        <f t="shared" si="539"/>
        <v>64.60808893273439</v>
      </c>
      <c r="AD1026" s="20">
        <f>'PFAS Properties'!$W$46</f>
        <v>8</v>
      </c>
      <c r="AE1026" s="8">
        <f>'PFAS Properties'!$S$46</f>
        <v>2.0166155475571776</v>
      </c>
      <c r="AF1026" s="15">
        <f>'PFAS Properties'!$V$46</f>
        <v>5</v>
      </c>
      <c r="AG1026" s="24">
        <v>5.09</v>
      </c>
      <c r="AH1026" s="15" t="s">
        <v>170</v>
      </c>
      <c r="AI1026" s="2" t="s">
        <v>661</v>
      </c>
      <c r="AJ1026" s="2" t="s">
        <v>661</v>
      </c>
      <c r="AK1026" s="2" t="s">
        <v>661</v>
      </c>
      <c r="AL1026" s="2" t="s">
        <v>661</v>
      </c>
      <c r="AM1026" s="2" t="s">
        <v>661</v>
      </c>
      <c r="AN1026" s="2" t="s">
        <v>661</v>
      </c>
      <c r="AO1026" s="2" t="s">
        <v>661</v>
      </c>
      <c r="AP1026" s="15">
        <v>7.91</v>
      </c>
      <c r="AQ1026" s="3" t="s">
        <v>661</v>
      </c>
      <c r="AR1026" s="2">
        <v>68.099999999999994</v>
      </c>
      <c r="AS1026" s="2">
        <v>21.2</v>
      </c>
      <c r="AT1026" s="2">
        <v>10.7</v>
      </c>
      <c r="AU1026" s="3" t="s">
        <v>661</v>
      </c>
      <c r="AV1026" s="16">
        <f t="shared" ref="AV1026:AV1085" si="570">SUM(AR1026:AT1026)</f>
        <v>100</v>
      </c>
      <c r="AW1026" s="20">
        <v>5.0599999999999996</v>
      </c>
      <c r="AX1026" s="8">
        <f t="shared" si="557"/>
        <v>5.0599999999999999E-2</v>
      </c>
      <c r="AY1026" s="8" t="s">
        <v>395</v>
      </c>
      <c r="AZ1026" s="16">
        <f t="shared" si="562"/>
        <v>33.333333333333336</v>
      </c>
      <c r="BA1026" s="16" t="s">
        <v>55</v>
      </c>
      <c r="BB1026" s="16">
        <v>15</v>
      </c>
      <c r="BC1026" s="16">
        <v>560</v>
      </c>
      <c r="BD1026" s="18">
        <f t="shared" si="552"/>
        <v>68.939471870425336</v>
      </c>
      <c r="BE1026" s="16">
        <f t="shared" ref="BE1026:BE1085" si="571">BD1026/AX1026</f>
        <v>1362.4401555420027</v>
      </c>
      <c r="BF1026" s="16">
        <f t="shared" ref="BF1026:BF1085" si="572">LOG(BE1026)</f>
        <v>3.1343174352138741</v>
      </c>
      <c r="BG1026" s="8">
        <f t="shared" ref="BG1026:BG1085" si="573">LOG(BD1026)</f>
        <v>1.8384679520536731</v>
      </c>
      <c r="BH1026" s="13" t="s">
        <v>868</v>
      </c>
      <c r="BI1026" s="8">
        <v>0.186</v>
      </c>
      <c r="BJ1026" s="13" t="s">
        <v>349</v>
      </c>
      <c r="BK1026" s="15">
        <v>0.57599999999999996</v>
      </c>
      <c r="BL1026" s="16">
        <f t="shared" si="563"/>
        <v>186</v>
      </c>
      <c r="BM1026" s="18">
        <f>'PFAS Properties'!$U$46</f>
        <v>10.39</v>
      </c>
      <c r="BN1026" s="8">
        <f t="shared" si="560"/>
        <v>716.28111273371928</v>
      </c>
      <c r="BO1026" s="24">
        <f t="shared" si="561"/>
        <v>68.939471870425336</v>
      </c>
    </row>
    <row r="1027" spans="1:67" s="14" customFormat="1" x14ac:dyDescent="0.3">
      <c r="A1027" s="20">
        <v>1025</v>
      </c>
      <c r="B1027" s="2" t="s">
        <v>269</v>
      </c>
      <c r="C1027" s="2">
        <v>2020</v>
      </c>
      <c r="D1027" s="2" t="s">
        <v>270</v>
      </c>
      <c r="E1027" s="10" t="s">
        <v>805</v>
      </c>
      <c r="F1027" s="20" t="s">
        <v>29</v>
      </c>
      <c r="G1027" s="2" t="s">
        <v>175</v>
      </c>
      <c r="H1027" s="2" t="str">
        <f>'PFAS Properties'!$B$46</f>
        <v>PFOS</v>
      </c>
      <c r="I1027" s="2" t="str">
        <f>'PFAS Properties'!$C$46</f>
        <v>PFSA</v>
      </c>
      <c r="J1027" s="2" t="str">
        <f>'PFAS Properties'!$D$46</f>
        <v>C8HF17O3S</v>
      </c>
      <c r="K1027" s="25">
        <f>'PFAS Properties'!$P$46</f>
        <v>499.93739999999997</v>
      </c>
      <c r="L1027" s="2">
        <f>'PFAS Properties'!$X$46</f>
        <v>0.1</v>
      </c>
      <c r="M1027" s="2" t="str">
        <f>'PFAS Properties'!$Y$46</f>
        <v>-</v>
      </c>
      <c r="N1027" s="33">
        <v>0</v>
      </c>
      <c r="O1027" s="33">
        <v>0</v>
      </c>
      <c r="P1027" s="33">
        <v>0</v>
      </c>
      <c r="Q1027" s="33">
        <f t="shared" si="550"/>
        <v>0.99999918717014458</v>
      </c>
      <c r="R1027" s="33">
        <v>0</v>
      </c>
      <c r="S1027" s="33">
        <f t="shared" si="551"/>
        <v>8.1282985547118639E-7</v>
      </c>
      <c r="T1027" s="8">
        <f t="shared" si="564"/>
        <v>1</v>
      </c>
      <c r="U1027" s="33">
        <f t="shared" si="565"/>
        <v>0</v>
      </c>
      <c r="V1027" s="33">
        <f t="shared" si="566"/>
        <v>-0.99999918717014458</v>
      </c>
      <c r="W1027" s="33">
        <f t="shared" si="567"/>
        <v>498.93740081282982</v>
      </c>
      <c r="X1027" s="33">
        <v>96485</v>
      </c>
      <c r="Y1027" s="16">
        <f t="shared" si="568"/>
        <v>-193.38081574346941</v>
      </c>
      <c r="Z1027" s="16">
        <v>8</v>
      </c>
      <c r="AA1027" s="16">
        <v>17</v>
      </c>
      <c r="AB1027" s="8">
        <f t="shared" si="569"/>
        <v>0.29721362229102166</v>
      </c>
      <c r="AC1027" s="16">
        <f t="shared" ref="AC1027:AC1085" si="574">((AA1027*19)/K1027)*100</f>
        <v>64.60808893273439</v>
      </c>
      <c r="AD1027" s="20">
        <f>'PFAS Properties'!$W$46</f>
        <v>8</v>
      </c>
      <c r="AE1027" s="8">
        <f>'PFAS Properties'!$S$46</f>
        <v>2.0166155475571776</v>
      </c>
      <c r="AF1027" s="15">
        <f>'PFAS Properties'!$V$46</f>
        <v>5</v>
      </c>
      <c r="AG1027" s="24">
        <v>6.19</v>
      </c>
      <c r="AH1027" s="15" t="s">
        <v>170</v>
      </c>
      <c r="AI1027" s="2" t="s">
        <v>661</v>
      </c>
      <c r="AJ1027" s="2" t="s">
        <v>661</v>
      </c>
      <c r="AK1027" s="2" t="s">
        <v>661</v>
      </c>
      <c r="AL1027" s="2" t="s">
        <v>661</v>
      </c>
      <c r="AM1027" s="2" t="s">
        <v>661</v>
      </c>
      <c r="AN1027" s="2" t="s">
        <v>661</v>
      </c>
      <c r="AO1027" s="2" t="s">
        <v>661</v>
      </c>
      <c r="AP1027" s="15">
        <v>6.4</v>
      </c>
      <c r="AQ1027" s="3" t="s">
        <v>661</v>
      </c>
      <c r="AR1027" s="2">
        <v>80.7</v>
      </c>
      <c r="AS1027" s="2">
        <v>11.2</v>
      </c>
      <c r="AT1027" s="2">
        <v>8.1</v>
      </c>
      <c r="AU1027" s="3" t="s">
        <v>661</v>
      </c>
      <c r="AV1027" s="16">
        <f t="shared" si="570"/>
        <v>100</v>
      </c>
      <c r="AW1027" s="20">
        <v>0.96</v>
      </c>
      <c r="AX1027" s="8">
        <f t="shared" si="557"/>
        <v>9.5999999999999992E-3</v>
      </c>
      <c r="AY1027" s="8" t="s">
        <v>395</v>
      </c>
      <c r="AZ1027" s="16">
        <f t="shared" si="562"/>
        <v>33.333333333333336</v>
      </c>
      <c r="BA1027" s="16" t="s">
        <v>55</v>
      </c>
      <c r="BB1027" s="16">
        <v>15</v>
      </c>
      <c r="BC1027" s="16">
        <v>560</v>
      </c>
      <c r="BD1027" s="18">
        <f t="shared" si="552"/>
        <v>31.353363716067875</v>
      </c>
      <c r="BE1027" s="16">
        <f t="shared" si="571"/>
        <v>3265.9753870904037</v>
      </c>
      <c r="BF1027" s="16">
        <f t="shared" si="572"/>
        <v>3.5140129075007414</v>
      </c>
      <c r="BG1027" s="8">
        <f t="shared" si="573"/>
        <v>1.49628414054031</v>
      </c>
      <c r="BH1027" s="13" t="s">
        <v>868</v>
      </c>
      <c r="BI1027" s="8">
        <v>8.4000000000000005E-2</v>
      </c>
      <c r="BJ1027" s="13" t="s">
        <v>349</v>
      </c>
      <c r="BK1027" s="15">
        <v>0.57899999999999996</v>
      </c>
      <c r="BL1027" s="16">
        <f t="shared" si="563"/>
        <v>84</v>
      </c>
      <c r="BM1027" s="18">
        <f>'PFAS Properties'!$U$46</f>
        <v>10.39</v>
      </c>
      <c r="BN1027" s="8">
        <f t="shared" si="560"/>
        <v>325.76144900994524</v>
      </c>
      <c r="BO1027" s="24">
        <f t="shared" si="561"/>
        <v>31.353363716067875</v>
      </c>
    </row>
    <row r="1028" spans="1:67" s="14" customFormat="1" x14ac:dyDescent="0.3">
      <c r="A1028" s="20">
        <v>1026</v>
      </c>
      <c r="B1028" s="2" t="s">
        <v>269</v>
      </c>
      <c r="C1028" s="2">
        <v>2020</v>
      </c>
      <c r="D1028" s="2" t="s">
        <v>270</v>
      </c>
      <c r="E1028" s="10" t="s">
        <v>805</v>
      </c>
      <c r="F1028" s="20" t="s">
        <v>29</v>
      </c>
      <c r="G1028" s="2" t="s">
        <v>176</v>
      </c>
      <c r="H1028" s="2" t="str">
        <f>'PFAS Properties'!$B$46</f>
        <v>PFOS</v>
      </c>
      <c r="I1028" s="2" t="str">
        <f>'PFAS Properties'!$C$46</f>
        <v>PFSA</v>
      </c>
      <c r="J1028" s="2" t="str">
        <f>'PFAS Properties'!$D$46</f>
        <v>C8HF17O3S</v>
      </c>
      <c r="K1028" s="25">
        <f>'PFAS Properties'!$P$46</f>
        <v>499.93739999999997</v>
      </c>
      <c r="L1028" s="2">
        <f>'PFAS Properties'!$X$46</f>
        <v>0.1</v>
      </c>
      <c r="M1028" s="2" t="str">
        <f>'PFAS Properties'!$Y$46</f>
        <v>-</v>
      </c>
      <c r="N1028" s="33">
        <v>0</v>
      </c>
      <c r="O1028" s="33">
        <v>0</v>
      </c>
      <c r="P1028" s="33">
        <v>0</v>
      </c>
      <c r="Q1028" s="33">
        <f t="shared" si="550"/>
        <v>0.99999855456231856</v>
      </c>
      <c r="R1028" s="33">
        <v>0</v>
      </c>
      <c r="S1028" s="33">
        <f t="shared" si="551"/>
        <v>1.4454376814528125E-6</v>
      </c>
      <c r="T1028" s="8">
        <f t="shared" si="564"/>
        <v>1</v>
      </c>
      <c r="U1028" s="33">
        <f t="shared" si="565"/>
        <v>0</v>
      </c>
      <c r="V1028" s="33">
        <f t="shared" si="566"/>
        <v>-0.99999855456231856</v>
      </c>
      <c r="W1028" s="33">
        <f t="shared" si="567"/>
        <v>498.93740144543762</v>
      </c>
      <c r="X1028" s="33">
        <v>96485</v>
      </c>
      <c r="Y1028" s="16">
        <f t="shared" si="568"/>
        <v>-193.38069316396323</v>
      </c>
      <c r="Z1028" s="16">
        <v>8</v>
      </c>
      <c r="AA1028" s="16">
        <v>17</v>
      </c>
      <c r="AB1028" s="8">
        <f t="shared" si="569"/>
        <v>0.29721362229102166</v>
      </c>
      <c r="AC1028" s="16">
        <f t="shared" si="574"/>
        <v>64.60808893273439</v>
      </c>
      <c r="AD1028" s="20">
        <f>'PFAS Properties'!$W$46</f>
        <v>8</v>
      </c>
      <c r="AE1028" s="8">
        <f>'PFAS Properties'!$S$46</f>
        <v>2.0166155475571776</v>
      </c>
      <c r="AF1028" s="15">
        <f>'PFAS Properties'!$V$46</f>
        <v>5</v>
      </c>
      <c r="AG1028" s="24">
        <v>5.94</v>
      </c>
      <c r="AH1028" s="15" t="s">
        <v>170</v>
      </c>
      <c r="AI1028" s="2" t="s">
        <v>661</v>
      </c>
      <c r="AJ1028" s="2" t="s">
        <v>661</v>
      </c>
      <c r="AK1028" s="2" t="s">
        <v>661</v>
      </c>
      <c r="AL1028" s="2" t="s">
        <v>661</v>
      </c>
      <c r="AM1028" s="2" t="s">
        <v>661</v>
      </c>
      <c r="AN1028" s="2" t="s">
        <v>661</v>
      </c>
      <c r="AO1028" s="2" t="s">
        <v>661</v>
      </c>
      <c r="AP1028" s="15">
        <v>4.7300000000000004</v>
      </c>
      <c r="AQ1028" s="3" t="s">
        <v>661</v>
      </c>
      <c r="AR1028" s="2">
        <v>78.2</v>
      </c>
      <c r="AS1028" s="2">
        <v>16.2</v>
      </c>
      <c r="AT1028" s="2">
        <v>5.6</v>
      </c>
      <c r="AU1028" s="3" t="s">
        <v>661</v>
      </c>
      <c r="AV1028" s="16">
        <f t="shared" si="570"/>
        <v>100</v>
      </c>
      <c r="AW1028" s="20">
        <v>0.78</v>
      </c>
      <c r="AX1028" s="8">
        <f t="shared" si="557"/>
        <v>7.8000000000000005E-3</v>
      </c>
      <c r="AY1028" s="8" t="s">
        <v>395</v>
      </c>
      <c r="AZ1028" s="16">
        <f t="shared" si="562"/>
        <v>33.333333333333336</v>
      </c>
      <c r="BA1028" s="16" t="s">
        <v>55</v>
      </c>
      <c r="BB1028" s="16">
        <v>15</v>
      </c>
      <c r="BC1028" s="16">
        <v>560</v>
      </c>
      <c r="BD1028" s="18">
        <f t="shared" si="552"/>
        <v>34.677155813274517</v>
      </c>
      <c r="BE1028" s="16">
        <f t="shared" si="571"/>
        <v>4445.7892068300662</v>
      </c>
      <c r="BF1028" s="16">
        <f t="shared" si="572"/>
        <v>3.6479488671617157</v>
      </c>
      <c r="BG1028" s="8">
        <f t="shared" si="573"/>
        <v>1.5400434698521961</v>
      </c>
      <c r="BH1028" s="13" t="s">
        <v>868</v>
      </c>
      <c r="BI1028" s="8">
        <v>9.6000000000000002E-2</v>
      </c>
      <c r="BJ1028" s="13" t="s">
        <v>349</v>
      </c>
      <c r="BK1028" s="15">
        <v>0.56499999999999995</v>
      </c>
      <c r="BL1028" s="16">
        <f t="shared" si="563"/>
        <v>96</v>
      </c>
      <c r="BM1028" s="18">
        <f>'PFAS Properties'!$U$46</f>
        <v>10.39</v>
      </c>
      <c r="BN1028" s="8">
        <f t="shared" si="560"/>
        <v>360.29564889992224</v>
      </c>
      <c r="BO1028" s="24">
        <f t="shared" si="561"/>
        <v>34.677155813274517</v>
      </c>
    </row>
    <row r="1029" spans="1:67" s="14" customFormat="1" x14ac:dyDescent="0.3">
      <c r="A1029" s="20">
        <v>1027</v>
      </c>
      <c r="B1029" s="2" t="s">
        <v>269</v>
      </c>
      <c r="C1029" s="2">
        <v>2020</v>
      </c>
      <c r="D1029" s="2" t="s">
        <v>270</v>
      </c>
      <c r="E1029" s="10" t="s">
        <v>805</v>
      </c>
      <c r="F1029" s="20" t="s">
        <v>29</v>
      </c>
      <c r="G1029" s="2" t="s">
        <v>177</v>
      </c>
      <c r="H1029" s="2" t="str">
        <f>'PFAS Properties'!$B$46</f>
        <v>PFOS</v>
      </c>
      <c r="I1029" s="2" t="str">
        <f>'PFAS Properties'!$C$46</f>
        <v>PFSA</v>
      </c>
      <c r="J1029" s="2" t="str">
        <f>'PFAS Properties'!$D$46</f>
        <v>C8HF17O3S</v>
      </c>
      <c r="K1029" s="25">
        <f>'PFAS Properties'!$P$46</f>
        <v>499.93739999999997</v>
      </c>
      <c r="L1029" s="2">
        <f>'PFAS Properties'!$X$46</f>
        <v>0.1</v>
      </c>
      <c r="M1029" s="2" t="str">
        <f>'PFAS Properties'!$Y$46</f>
        <v>-</v>
      </c>
      <c r="N1029" s="33">
        <v>0</v>
      </c>
      <c r="O1029" s="33">
        <v>0</v>
      </c>
      <c r="P1029" s="33">
        <v>0</v>
      </c>
      <c r="Q1029" s="33">
        <f t="shared" si="550"/>
        <v>0.99999998340413121</v>
      </c>
      <c r="R1029" s="33">
        <v>0</v>
      </c>
      <c r="S1029" s="33">
        <f t="shared" si="551"/>
        <v>1.6595868798952677E-8</v>
      </c>
      <c r="T1029" s="8">
        <f t="shared" si="564"/>
        <v>1</v>
      </c>
      <c r="U1029" s="33">
        <f t="shared" si="565"/>
        <v>0</v>
      </c>
      <c r="V1029" s="33">
        <f t="shared" si="566"/>
        <v>-0.99999998340413121</v>
      </c>
      <c r="W1029" s="33">
        <f t="shared" si="567"/>
        <v>498.9374000165958</v>
      </c>
      <c r="X1029" s="33">
        <v>96485</v>
      </c>
      <c r="Y1029" s="16">
        <f t="shared" si="568"/>
        <v>-193.38097002858132</v>
      </c>
      <c r="Z1029" s="16">
        <v>8</v>
      </c>
      <c r="AA1029" s="16">
        <v>17</v>
      </c>
      <c r="AB1029" s="8">
        <f t="shared" si="569"/>
        <v>0.29721362229102166</v>
      </c>
      <c r="AC1029" s="16">
        <f t="shared" si="574"/>
        <v>64.60808893273439</v>
      </c>
      <c r="AD1029" s="20">
        <f>'PFAS Properties'!$W$46</f>
        <v>8</v>
      </c>
      <c r="AE1029" s="8">
        <f>'PFAS Properties'!$S$46</f>
        <v>2.0166155475571776</v>
      </c>
      <c r="AF1029" s="15">
        <f>'PFAS Properties'!$V$46</f>
        <v>5</v>
      </c>
      <c r="AG1029" s="24">
        <v>7.88</v>
      </c>
      <c r="AH1029" s="15" t="s">
        <v>170</v>
      </c>
      <c r="AI1029" s="2" t="s">
        <v>661</v>
      </c>
      <c r="AJ1029" s="2" t="s">
        <v>661</v>
      </c>
      <c r="AK1029" s="2" t="s">
        <v>661</v>
      </c>
      <c r="AL1029" s="2" t="s">
        <v>661</v>
      </c>
      <c r="AM1029" s="2" t="s">
        <v>661</v>
      </c>
      <c r="AN1029" s="2" t="s">
        <v>661</v>
      </c>
      <c r="AO1029" s="2" t="s">
        <v>661</v>
      </c>
      <c r="AP1029" s="15">
        <v>11.95</v>
      </c>
      <c r="AQ1029" s="3" t="s">
        <v>661</v>
      </c>
      <c r="AR1029" s="2">
        <v>58.8</v>
      </c>
      <c r="AS1029" s="2">
        <v>11.2</v>
      </c>
      <c r="AT1029" s="2">
        <v>30</v>
      </c>
      <c r="AU1029" s="3" t="s">
        <v>661</v>
      </c>
      <c r="AV1029" s="16">
        <f t="shared" si="570"/>
        <v>100</v>
      </c>
      <c r="AW1029" s="20">
        <v>0.82</v>
      </c>
      <c r="AX1029" s="8">
        <f t="shared" si="557"/>
        <v>8.199999999999999E-3</v>
      </c>
      <c r="AY1029" s="8" t="s">
        <v>395</v>
      </c>
      <c r="AZ1029" s="16">
        <f t="shared" si="562"/>
        <v>33.333333333333336</v>
      </c>
      <c r="BA1029" s="16" t="s">
        <v>55</v>
      </c>
      <c r="BB1029" s="16">
        <v>15</v>
      </c>
      <c r="BC1029" s="16">
        <v>560</v>
      </c>
      <c r="BD1029" s="18">
        <f t="shared" si="552"/>
        <v>35.441717115070212</v>
      </c>
      <c r="BE1029" s="16">
        <f t="shared" si="571"/>
        <v>4322.160623789051</v>
      </c>
      <c r="BF1029" s="16">
        <f t="shared" si="572"/>
        <v>3.6357009024660165</v>
      </c>
      <c r="BG1029" s="8">
        <f t="shared" si="573"/>
        <v>1.5495147548497332</v>
      </c>
      <c r="BH1029" s="13" t="s">
        <v>868</v>
      </c>
      <c r="BI1029" s="8">
        <v>0.108</v>
      </c>
      <c r="BJ1029" s="13" t="s">
        <v>349</v>
      </c>
      <c r="BK1029" s="15">
        <v>0.52400000000000002</v>
      </c>
      <c r="BL1029" s="16">
        <f t="shared" si="563"/>
        <v>108</v>
      </c>
      <c r="BM1029" s="18">
        <f>'PFAS Properties'!$U$46</f>
        <v>10.39</v>
      </c>
      <c r="BN1029" s="8">
        <f t="shared" si="560"/>
        <v>368.23944082557955</v>
      </c>
      <c r="BO1029" s="24">
        <f t="shared" si="561"/>
        <v>35.441717115070212</v>
      </c>
    </row>
    <row r="1030" spans="1:67" s="14" customFormat="1" x14ac:dyDescent="0.3">
      <c r="A1030" s="20">
        <v>1028</v>
      </c>
      <c r="B1030" s="2" t="s">
        <v>219</v>
      </c>
      <c r="C1030" s="2">
        <v>2020</v>
      </c>
      <c r="D1030" s="2" t="s">
        <v>205</v>
      </c>
      <c r="E1030" s="22" t="s">
        <v>802</v>
      </c>
      <c r="F1030" s="20" t="s">
        <v>29</v>
      </c>
      <c r="G1030" s="2">
        <v>1</v>
      </c>
      <c r="H1030" s="2" t="str">
        <f>'PFAS Properties'!$B$46</f>
        <v>PFOS</v>
      </c>
      <c r="I1030" s="2" t="str">
        <f>'PFAS Properties'!$C$46</f>
        <v>PFSA</v>
      </c>
      <c r="J1030" s="2" t="str">
        <f>'PFAS Properties'!$D$46</f>
        <v>C8HF17O3S</v>
      </c>
      <c r="K1030" s="25">
        <f>'PFAS Properties'!$P$46</f>
        <v>499.93739999999997</v>
      </c>
      <c r="L1030" s="2">
        <f>'PFAS Properties'!$X$46</f>
        <v>0.1</v>
      </c>
      <c r="M1030" s="2" t="str">
        <f>'PFAS Properties'!$Y$46</f>
        <v>-</v>
      </c>
      <c r="N1030" s="33">
        <v>0</v>
      </c>
      <c r="O1030" s="33">
        <v>0</v>
      </c>
      <c r="P1030" s="33">
        <v>0</v>
      </c>
      <c r="Q1030" s="33">
        <f t="shared" si="550"/>
        <v>0.99999968377233395</v>
      </c>
      <c r="R1030" s="33">
        <v>0</v>
      </c>
      <c r="S1030" s="33">
        <f t="shared" si="551"/>
        <v>3.1622766601686895E-7</v>
      </c>
      <c r="T1030" s="8">
        <f t="shared" si="564"/>
        <v>1</v>
      </c>
      <c r="U1030" s="33">
        <f t="shared" si="565"/>
        <v>0</v>
      </c>
      <c r="V1030" s="33">
        <f t="shared" si="566"/>
        <v>-0.99999968377233395</v>
      </c>
      <c r="W1030" s="33">
        <f t="shared" si="567"/>
        <v>498.93740031622758</v>
      </c>
      <c r="X1030" s="33">
        <v>96485</v>
      </c>
      <c r="Y1030" s="16">
        <f t="shared" si="568"/>
        <v>-193.3809119693598</v>
      </c>
      <c r="Z1030" s="16">
        <v>8</v>
      </c>
      <c r="AA1030" s="16">
        <v>17</v>
      </c>
      <c r="AB1030" s="8">
        <f t="shared" si="569"/>
        <v>0.29721362229102166</v>
      </c>
      <c r="AC1030" s="16">
        <f t="shared" si="574"/>
        <v>64.60808893273439</v>
      </c>
      <c r="AD1030" s="20">
        <f>'PFAS Properties'!$W$46</f>
        <v>8</v>
      </c>
      <c r="AE1030" s="8">
        <f>'PFAS Properties'!$S$46</f>
        <v>2.0166155475571776</v>
      </c>
      <c r="AF1030" s="15">
        <f>'PFAS Properties'!$V$46</f>
        <v>5</v>
      </c>
      <c r="AG1030" s="24">
        <v>6.6</v>
      </c>
      <c r="AH1030" s="2" t="s">
        <v>85</v>
      </c>
      <c r="AI1030" s="2">
        <v>4.17</v>
      </c>
      <c r="AJ1030" s="15">
        <f t="shared" ref="AJ1030:AJ1055" si="575">AI1030*1000/55.845</f>
        <v>74.67096427612141</v>
      </c>
      <c r="AK1030" s="8">
        <f t="shared" ref="AK1030:AK1055" si="576">AI1030/10</f>
        <v>0.41699999999999998</v>
      </c>
      <c r="AL1030" s="2">
        <v>2.58</v>
      </c>
      <c r="AM1030" s="15">
        <f t="shared" ref="AM1030:AM1055" si="577">AL1030*1000/26.98</f>
        <v>95.626389918458116</v>
      </c>
      <c r="AN1030" s="8">
        <f t="shared" ref="AN1030:AN1055" si="578">AL1030/10</f>
        <v>0.25800000000000001</v>
      </c>
      <c r="AO1030" s="15" t="s">
        <v>86</v>
      </c>
      <c r="AP1030" s="15">
        <v>10</v>
      </c>
      <c r="AQ1030" s="15" t="s">
        <v>711</v>
      </c>
      <c r="AR1030" s="16">
        <v>43</v>
      </c>
      <c r="AS1030" s="2">
        <v>12</v>
      </c>
      <c r="AT1030" s="2">
        <v>45</v>
      </c>
      <c r="AU1030" s="15" t="s">
        <v>664</v>
      </c>
      <c r="AV1030" s="16">
        <f t="shared" si="570"/>
        <v>100</v>
      </c>
      <c r="AW1030" s="20">
        <v>1.8</v>
      </c>
      <c r="AX1030" s="8">
        <f t="shared" si="557"/>
        <v>1.8000000000000002E-2</v>
      </c>
      <c r="AY1030" s="8" t="s">
        <v>87</v>
      </c>
      <c r="AZ1030" s="16">
        <v>20</v>
      </c>
      <c r="BA1030" s="16" t="s">
        <v>55</v>
      </c>
      <c r="BB1030" s="16" t="s">
        <v>391</v>
      </c>
      <c r="BC1030" s="16" t="s">
        <v>55</v>
      </c>
      <c r="BD1030" s="20">
        <v>4.2300000000000004</v>
      </c>
      <c r="BE1030" s="16">
        <f t="shared" si="571"/>
        <v>235</v>
      </c>
      <c r="BF1030" s="16">
        <f t="shared" si="572"/>
        <v>2.3710678622717363</v>
      </c>
      <c r="BG1030" s="8">
        <f t="shared" si="573"/>
        <v>0.6263403673750424</v>
      </c>
      <c r="BH1030" s="13" t="s">
        <v>859</v>
      </c>
      <c r="BI1030" s="13"/>
      <c r="BJ1030" s="13"/>
      <c r="BK1030" s="13"/>
      <c r="BL1030" s="13"/>
      <c r="BM1030" s="17"/>
      <c r="BN1030" s="17"/>
      <c r="BO1030" s="2"/>
    </row>
    <row r="1031" spans="1:67" s="14" customFormat="1" x14ac:dyDescent="0.3">
      <c r="A1031" s="20">
        <v>1029</v>
      </c>
      <c r="B1031" s="2" t="s">
        <v>219</v>
      </c>
      <c r="C1031" s="2">
        <v>2020</v>
      </c>
      <c r="D1031" s="2" t="s">
        <v>205</v>
      </c>
      <c r="E1031" s="10" t="s">
        <v>802</v>
      </c>
      <c r="F1031" s="20" t="s">
        <v>29</v>
      </c>
      <c r="G1031" s="2">
        <v>2</v>
      </c>
      <c r="H1031" s="2" t="str">
        <f>'PFAS Properties'!$B$46</f>
        <v>PFOS</v>
      </c>
      <c r="I1031" s="2" t="str">
        <f>'PFAS Properties'!$C$46</f>
        <v>PFSA</v>
      </c>
      <c r="J1031" s="2" t="str">
        <f>'PFAS Properties'!$D$46</f>
        <v>C8HF17O3S</v>
      </c>
      <c r="K1031" s="25">
        <f>'PFAS Properties'!$P$46</f>
        <v>499.93739999999997</v>
      </c>
      <c r="L1031" s="2">
        <f>'PFAS Properties'!$X$46</f>
        <v>0.1</v>
      </c>
      <c r="M1031" s="2" t="str">
        <f>'PFAS Properties'!$Y$46</f>
        <v>-</v>
      </c>
      <c r="N1031" s="33">
        <v>0</v>
      </c>
      <c r="O1031" s="33">
        <v>0</v>
      </c>
      <c r="P1031" s="33">
        <v>0</v>
      </c>
      <c r="Q1031" s="33">
        <f t="shared" si="550"/>
        <v>0.99999968377233395</v>
      </c>
      <c r="R1031" s="33">
        <v>0</v>
      </c>
      <c r="S1031" s="33">
        <f t="shared" si="551"/>
        <v>3.1622766601686895E-7</v>
      </c>
      <c r="T1031" s="8">
        <f t="shared" si="564"/>
        <v>1</v>
      </c>
      <c r="U1031" s="33">
        <f t="shared" si="565"/>
        <v>0</v>
      </c>
      <c r="V1031" s="33">
        <f t="shared" si="566"/>
        <v>-0.99999968377233395</v>
      </c>
      <c r="W1031" s="33">
        <f t="shared" si="567"/>
        <v>498.93740031622758</v>
      </c>
      <c r="X1031" s="33">
        <v>96485</v>
      </c>
      <c r="Y1031" s="16">
        <f t="shared" si="568"/>
        <v>-193.3809119693598</v>
      </c>
      <c r="Z1031" s="16">
        <v>8</v>
      </c>
      <c r="AA1031" s="16">
        <v>17</v>
      </c>
      <c r="AB1031" s="8">
        <f t="shared" si="569"/>
        <v>0.29721362229102166</v>
      </c>
      <c r="AC1031" s="16">
        <f t="shared" si="574"/>
        <v>64.60808893273439</v>
      </c>
      <c r="AD1031" s="20">
        <f>'PFAS Properties'!$W$46</f>
        <v>8</v>
      </c>
      <c r="AE1031" s="8">
        <f>'PFAS Properties'!$S$46</f>
        <v>2.0166155475571776</v>
      </c>
      <c r="AF1031" s="15">
        <f>'PFAS Properties'!$V$46</f>
        <v>5</v>
      </c>
      <c r="AG1031" s="24">
        <v>6.6</v>
      </c>
      <c r="AH1031" s="2" t="s">
        <v>85</v>
      </c>
      <c r="AI1031" s="2">
        <v>6.06</v>
      </c>
      <c r="AJ1031" s="15">
        <f t="shared" si="575"/>
        <v>108.51463873220521</v>
      </c>
      <c r="AK1031" s="8">
        <f t="shared" si="576"/>
        <v>0.60599999999999998</v>
      </c>
      <c r="AL1031" s="2">
        <v>3.75</v>
      </c>
      <c r="AM1031" s="15">
        <f t="shared" si="577"/>
        <v>138.99184581171238</v>
      </c>
      <c r="AN1031" s="8">
        <f t="shared" si="578"/>
        <v>0.375</v>
      </c>
      <c r="AO1031" s="15" t="s">
        <v>86</v>
      </c>
      <c r="AP1031" s="15">
        <v>9.5399999999999991</v>
      </c>
      <c r="AQ1031" s="15" t="s">
        <v>711</v>
      </c>
      <c r="AR1031" s="16">
        <v>36</v>
      </c>
      <c r="AS1031" s="16">
        <v>23</v>
      </c>
      <c r="AT1031" s="16">
        <v>41</v>
      </c>
      <c r="AU1031" s="15" t="s">
        <v>664</v>
      </c>
      <c r="AV1031" s="16">
        <f t="shared" si="570"/>
        <v>100</v>
      </c>
      <c r="AW1031" s="20">
        <v>2.1</v>
      </c>
      <c r="AX1031" s="8">
        <f t="shared" si="557"/>
        <v>2.1000000000000001E-2</v>
      </c>
      <c r="AY1031" s="8" t="s">
        <v>87</v>
      </c>
      <c r="AZ1031" s="16">
        <v>20</v>
      </c>
      <c r="BA1031" s="16" t="s">
        <v>55</v>
      </c>
      <c r="BB1031" s="16" t="s">
        <v>391</v>
      </c>
      <c r="BC1031" s="16" t="s">
        <v>55</v>
      </c>
      <c r="BD1031" s="20">
        <v>3.99</v>
      </c>
      <c r="BE1031" s="16">
        <f t="shared" si="571"/>
        <v>190</v>
      </c>
      <c r="BF1031" s="16">
        <f t="shared" si="572"/>
        <v>2.2787536009528289</v>
      </c>
      <c r="BG1031" s="8">
        <f t="shared" si="573"/>
        <v>0.60097289568674828</v>
      </c>
      <c r="BH1031" s="13" t="s">
        <v>859</v>
      </c>
      <c r="BI1031" s="13"/>
      <c r="BJ1031" s="13"/>
      <c r="BK1031" s="13"/>
      <c r="BL1031" s="13"/>
      <c r="BM1031" s="17"/>
      <c r="BN1031" s="17"/>
      <c r="BO1031" s="2"/>
    </row>
    <row r="1032" spans="1:67" s="14" customFormat="1" x14ac:dyDescent="0.3">
      <c r="A1032" s="20">
        <v>1030</v>
      </c>
      <c r="B1032" s="2" t="s">
        <v>219</v>
      </c>
      <c r="C1032" s="2">
        <v>2020</v>
      </c>
      <c r="D1032" s="2" t="s">
        <v>205</v>
      </c>
      <c r="E1032" s="10" t="s">
        <v>802</v>
      </c>
      <c r="F1032" s="20" t="s">
        <v>29</v>
      </c>
      <c r="G1032" s="2">
        <v>3</v>
      </c>
      <c r="H1032" s="2" t="str">
        <f>'PFAS Properties'!$B$46</f>
        <v>PFOS</v>
      </c>
      <c r="I1032" s="2" t="str">
        <f>'PFAS Properties'!$C$46</f>
        <v>PFSA</v>
      </c>
      <c r="J1032" s="2" t="str">
        <f>'PFAS Properties'!$D$46</f>
        <v>C8HF17O3S</v>
      </c>
      <c r="K1032" s="25">
        <f>'PFAS Properties'!$P$46</f>
        <v>499.93739999999997</v>
      </c>
      <c r="L1032" s="2">
        <f>'PFAS Properties'!$X$46</f>
        <v>0.1</v>
      </c>
      <c r="M1032" s="2" t="str">
        <f>'PFAS Properties'!$Y$46</f>
        <v>-</v>
      </c>
      <c r="N1032" s="33">
        <v>0</v>
      </c>
      <c r="O1032" s="33">
        <v>0</v>
      </c>
      <c r="P1032" s="33">
        <v>0</v>
      </c>
      <c r="Q1032" s="33">
        <f t="shared" si="550"/>
        <v>0.99999936904305364</v>
      </c>
      <c r="R1032" s="33">
        <v>0</v>
      </c>
      <c r="S1032" s="33">
        <f t="shared" si="551"/>
        <v>6.309569463732732E-7</v>
      </c>
      <c r="T1032" s="8">
        <f t="shared" si="564"/>
        <v>1</v>
      </c>
      <c r="U1032" s="33">
        <f t="shared" si="565"/>
        <v>0</v>
      </c>
      <c r="V1032" s="33">
        <f t="shared" si="566"/>
        <v>-0.99999936904305364</v>
      </c>
      <c r="W1032" s="33">
        <f t="shared" si="567"/>
        <v>498.93740063095692</v>
      </c>
      <c r="X1032" s="33">
        <v>96485</v>
      </c>
      <c r="Y1032" s="16">
        <f t="shared" si="568"/>
        <v>-193.38085098472084</v>
      </c>
      <c r="Z1032" s="16">
        <v>8</v>
      </c>
      <c r="AA1032" s="16">
        <v>17</v>
      </c>
      <c r="AB1032" s="8">
        <f t="shared" si="569"/>
        <v>0.29721362229102166</v>
      </c>
      <c r="AC1032" s="16">
        <f t="shared" si="574"/>
        <v>64.60808893273439</v>
      </c>
      <c r="AD1032" s="20">
        <f>'PFAS Properties'!$W$46</f>
        <v>8</v>
      </c>
      <c r="AE1032" s="8">
        <f>'PFAS Properties'!$S$46</f>
        <v>2.0166155475571776</v>
      </c>
      <c r="AF1032" s="15">
        <f>'PFAS Properties'!$V$46</f>
        <v>5</v>
      </c>
      <c r="AG1032" s="24">
        <v>6.3</v>
      </c>
      <c r="AH1032" s="2" t="s">
        <v>85</v>
      </c>
      <c r="AI1032" s="2">
        <v>0.46600000000000003</v>
      </c>
      <c r="AJ1032" s="15">
        <f t="shared" si="575"/>
        <v>8.3445250246217206</v>
      </c>
      <c r="AK1032" s="8">
        <f t="shared" si="576"/>
        <v>4.6600000000000003E-2</v>
      </c>
      <c r="AL1032" s="2">
        <v>0.185</v>
      </c>
      <c r="AM1032" s="15">
        <f t="shared" si="577"/>
        <v>6.8569310600444773</v>
      </c>
      <c r="AN1032" s="8">
        <f t="shared" si="578"/>
        <v>1.8499999999999999E-2</v>
      </c>
      <c r="AO1032" s="15" t="s">
        <v>86</v>
      </c>
      <c r="AP1032" s="15">
        <v>2.83</v>
      </c>
      <c r="AQ1032" s="15" t="s">
        <v>711</v>
      </c>
      <c r="AR1032" s="16">
        <v>91</v>
      </c>
      <c r="AS1032" s="16">
        <v>2</v>
      </c>
      <c r="AT1032" s="16">
        <v>7</v>
      </c>
      <c r="AU1032" s="15" t="s">
        <v>664</v>
      </c>
      <c r="AV1032" s="16">
        <f t="shared" si="570"/>
        <v>100</v>
      </c>
      <c r="AW1032" s="20">
        <v>0.6</v>
      </c>
      <c r="AX1032" s="8">
        <f t="shared" si="557"/>
        <v>6.0000000000000001E-3</v>
      </c>
      <c r="AY1032" s="8" t="s">
        <v>87</v>
      </c>
      <c r="AZ1032" s="16">
        <v>20</v>
      </c>
      <c r="BA1032" s="16" t="s">
        <v>55</v>
      </c>
      <c r="BB1032" s="16" t="s">
        <v>391</v>
      </c>
      <c r="BC1032" s="16" t="s">
        <v>55</v>
      </c>
      <c r="BD1032" s="20">
        <v>22.41</v>
      </c>
      <c r="BE1032" s="16">
        <f t="shared" si="571"/>
        <v>3735</v>
      </c>
      <c r="BF1032" s="16">
        <f t="shared" si="572"/>
        <v>3.5722906061514177</v>
      </c>
      <c r="BG1032" s="8">
        <f t="shared" si="573"/>
        <v>1.3504418565350613</v>
      </c>
      <c r="BH1032" s="13" t="s">
        <v>859</v>
      </c>
      <c r="BI1032" s="13"/>
      <c r="BJ1032" s="13"/>
      <c r="BK1032" s="13"/>
      <c r="BL1032" s="13"/>
      <c r="BM1032" s="17"/>
      <c r="BN1032" s="17"/>
      <c r="BO1032" s="2"/>
    </row>
    <row r="1033" spans="1:67" s="14" customFormat="1" x14ac:dyDescent="0.3">
      <c r="A1033" s="20">
        <v>1031</v>
      </c>
      <c r="B1033" s="2" t="s">
        <v>219</v>
      </c>
      <c r="C1033" s="2">
        <v>2020</v>
      </c>
      <c r="D1033" s="2" t="s">
        <v>205</v>
      </c>
      <c r="E1033" s="10" t="s">
        <v>802</v>
      </c>
      <c r="F1033" s="20" t="s">
        <v>29</v>
      </c>
      <c r="G1033" s="2">
        <v>4</v>
      </c>
      <c r="H1033" s="2" t="str">
        <f>'PFAS Properties'!$B$46</f>
        <v>PFOS</v>
      </c>
      <c r="I1033" s="2" t="str">
        <f>'PFAS Properties'!$C$46</f>
        <v>PFSA</v>
      </c>
      <c r="J1033" s="2" t="str">
        <f>'PFAS Properties'!$D$46</f>
        <v>C8HF17O3S</v>
      </c>
      <c r="K1033" s="25">
        <f>'PFAS Properties'!$P$46</f>
        <v>499.93739999999997</v>
      </c>
      <c r="L1033" s="2">
        <f>'PFAS Properties'!$X$46</f>
        <v>0.1</v>
      </c>
      <c r="M1033" s="2" t="str">
        <f>'PFAS Properties'!$Y$46</f>
        <v>-</v>
      </c>
      <c r="N1033" s="33">
        <v>0</v>
      </c>
      <c r="O1033" s="33">
        <v>0</v>
      </c>
      <c r="P1033" s="33">
        <v>0</v>
      </c>
      <c r="Q1033" s="33">
        <f t="shared" si="550"/>
        <v>0.99999993690426958</v>
      </c>
      <c r="R1033" s="33">
        <v>0</v>
      </c>
      <c r="S1033" s="33">
        <f t="shared" si="551"/>
        <v>6.3095730466947729E-8</v>
      </c>
      <c r="T1033" s="8">
        <f t="shared" si="564"/>
        <v>1</v>
      </c>
      <c r="U1033" s="33">
        <f t="shared" si="565"/>
        <v>0</v>
      </c>
      <c r="V1033" s="33">
        <f t="shared" si="566"/>
        <v>-0.99999993690426958</v>
      </c>
      <c r="W1033" s="33">
        <f t="shared" si="567"/>
        <v>498.93740006309571</v>
      </c>
      <c r="X1033" s="33">
        <v>96485</v>
      </c>
      <c r="Y1033" s="16">
        <f t="shared" si="568"/>
        <v>-193.38096101837013</v>
      </c>
      <c r="Z1033" s="16">
        <v>8</v>
      </c>
      <c r="AA1033" s="16">
        <v>17</v>
      </c>
      <c r="AB1033" s="8">
        <f t="shared" si="569"/>
        <v>0.29721362229102166</v>
      </c>
      <c r="AC1033" s="16">
        <f t="shared" si="574"/>
        <v>64.60808893273439</v>
      </c>
      <c r="AD1033" s="20">
        <f>'PFAS Properties'!$W$46</f>
        <v>8</v>
      </c>
      <c r="AE1033" s="8">
        <f>'PFAS Properties'!$S$46</f>
        <v>2.0166155475571776</v>
      </c>
      <c r="AF1033" s="15">
        <f>'PFAS Properties'!$V$46</f>
        <v>5</v>
      </c>
      <c r="AG1033" s="24">
        <v>7.3</v>
      </c>
      <c r="AH1033" s="2" t="s">
        <v>85</v>
      </c>
      <c r="AI1033" s="2">
        <v>7.87</v>
      </c>
      <c r="AJ1033" s="15">
        <f t="shared" si="575"/>
        <v>140.92577670337542</v>
      </c>
      <c r="AK1033" s="8">
        <f t="shared" si="576"/>
        <v>0.78700000000000003</v>
      </c>
      <c r="AL1033" s="2">
        <v>2.4</v>
      </c>
      <c r="AM1033" s="15">
        <f t="shared" si="577"/>
        <v>88.954781319495922</v>
      </c>
      <c r="AN1033" s="8">
        <f t="shared" si="578"/>
        <v>0.24</v>
      </c>
      <c r="AO1033" s="15" t="s">
        <v>86</v>
      </c>
      <c r="AP1033" s="15">
        <v>27.69</v>
      </c>
      <c r="AQ1033" s="15" t="s">
        <v>711</v>
      </c>
      <c r="AR1033" s="16">
        <v>27</v>
      </c>
      <c r="AS1033" s="16">
        <v>21</v>
      </c>
      <c r="AT1033" s="16">
        <v>52</v>
      </c>
      <c r="AU1033" s="15" t="s">
        <v>664</v>
      </c>
      <c r="AV1033" s="16">
        <f t="shared" si="570"/>
        <v>100</v>
      </c>
      <c r="AW1033" s="20">
        <v>1.8</v>
      </c>
      <c r="AX1033" s="8">
        <f t="shared" si="557"/>
        <v>1.8000000000000002E-2</v>
      </c>
      <c r="AY1033" s="8" t="s">
        <v>87</v>
      </c>
      <c r="AZ1033" s="16">
        <v>20</v>
      </c>
      <c r="BA1033" s="16" t="s">
        <v>55</v>
      </c>
      <c r="BB1033" s="16" t="s">
        <v>391</v>
      </c>
      <c r="BC1033" s="16" t="s">
        <v>55</v>
      </c>
      <c r="BD1033" s="20">
        <v>8.67</v>
      </c>
      <c r="BE1033" s="16">
        <f t="shared" si="571"/>
        <v>481.66666666666663</v>
      </c>
      <c r="BF1033" s="16">
        <f t="shared" si="572"/>
        <v>2.6827465923729044</v>
      </c>
      <c r="BG1033" s="8">
        <f t="shared" si="573"/>
        <v>0.93801909747621026</v>
      </c>
      <c r="BH1033" s="13" t="s">
        <v>859</v>
      </c>
      <c r="BI1033" s="13"/>
      <c r="BJ1033" s="13"/>
      <c r="BK1033" s="13"/>
      <c r="BL1033" s="13"/>
      <c r="BM1033" s="17"/>
      <c r="BN1033" s="17"/>
      <c r="BO1033" s="2"/>
    </row>
    <row r="1034" spans="1:67" s="14" customFormat="1" x14ac:dyDescent="0.3">
      <c r="A1034" s="20">
        <v>1032</v>
      </c>
      <c r="B1034" s="2" t="s">
        <v>219</v>
      </c>
      <c r="C1034" s="2">
        <v>2020</v>
      </c>
      <c r="D1034" s="2" t="s">
        <v>205</v>
      </c>
      <c r="E1034" s="10" t="s">
        <v>802</v>
      </c>
      <c r="F1034" s="20" t="s">
        <v>29</v>
      </c>
      <c r="G1034" s="2">
        <v>5</v>
      </c>
      <c r="H1034" s="2" t="str">
        <f>'PFAS Properties'!$B$46</f>
        <v>PFOS</v>
      </c>
      <c r="I1034" s="2" t="str">
        <f>'PFAS Properties'!$C$46</f>
        <v>PFSA</v>
      </c>
      <c r="J1034" s="2" t="str">
        <f>'PFAS Properties'!$D$46</f>
        <v>C8HF17O3S</v>
      </c>
      <c r="K1034" s="25">
        <f>'PFAS Properties'!$P$46</f>
        <v>499.93739999999997</v>
      </c>
      <c r="L1034" s="2">
        <f>'PFAS Properties'!$X$46</f>
        <v>0.1</v>
      </c>
      <c r="M1034" s="2" t="str">
        <f>'PFAS Properties'!$Y$46</f>
        <v>-</v>
      </c>
      <c r="N1034" s="33">
        <v>0</v>
      </c>
      <c r="O1034" s="33">
        <v>0</v>
      </c>
      <c r="P1034" s="33">
        <v>0</v>
      </c>
      <c r="Q1034" s="33">
        <f t="shared" si="550"/>
        <v>0.99999936904305364</v>
      </c>
      <c r="R1034" s="33">
        <v>0</v>
      </c>
      <c r="S1034" s="33">
        <f t="shared" si="551"/>
        <v>6.309569463732732E-7</v>
      </c>
      <c r="T1034" s="8">
        <f t="shared" si="564"/>
        <v>1</v>
      </c>
      <c r="U1034" s="33">
        <f t="shared" si="565"/>
        <v>0</v>
      </c>
      <c r="V1034" s="33">
        <f t="shared" si="566"/>
        <v>-0.99999936904305364</v>
      </c>
      <c r="W1034" s="33">
        <f t="shared" si="567"/>
        <v>498.93740063095692</v>
      </c>
      <c r="X1034" s="33">
        <v>96485</v>
      </c>
      <c r="Y1034" s="16">
        <f t="shared" si="568"/>
        <v>-193.38085098472084</v>
      </c>
      <c r="Z1034" s="16">
        <v>8</v>
      </c>
      <c r="AA1034" s="16">
        <v>17</v>
      </c>
      <c r="AB1034" s="8">
        <f t="shared" si="569"/>
        <v>0.29721362229102166</v>
      </c>
      <c r="AC1034" s="16">
        <f t="shared" si="574"/>
        <v>64.60808893273439</v>
      </c>
      <c r="AD1034" s="20">
        <f>'PFAS Properties'!$W$46</f>
        <v>8</v>
      </c>
      <c r="AE1034" s="8">
        <f>'PFAS Properties'!$S$46</f>
        <v>2.0166155475571776</v>
      </c>
      <c r="AF1034" s="15">
        <f>'PFAS Properties'!$V$46</f>
        <v>5</v>
      </c>
      <c r="AG1034" s="24">
        <v>6.3</v>
      </c>
      <c r="AH1034" s="2" t="s">
        <v>85</v>
      </c>
      <c r="AI1034" s="2">
        <v>4.12</v>
      </c>
      <c r="AJ1034" s="15">
        <f t="shared" si="575"/>
        <v>73.775628973050402</v>
      </c>
      <c r="AK1034" s="8">
        <f t="shared" si="576"/>
        <v>0.41200000000000003</v>
      </c>
      <c r="AL1034" s="2">
        <v>2.57</v>
      </c>
      <c r="AM1034" s="15">
        <f t="shared" si="577"/>
        <v>95.255744996293544</v>
      </c>
      <c r="AN1034" s="8">
        <f t="shared" si="578"/>
        <v>0.25700000000000001</v>
      </c>
      <c r="AO1034" s="15" t="s">
        <v>86</v>
      </c>
      <c r="AP1034" s="15">
        <v>7.18</v>
      </c>
      <c r="AQ1034" s="15" t="s">
        <v>711</v>
      </c>
      <c r="AR1034" s="16">
        <v>40</v>
      </c>
      <c r="AS1034" s="16">
        <v>12</v>
      </c>
      <c r="AT1034" s="16">
        <v>48</v>
      </c>
      <c r="AU1034" s="15" t="s">
        <v>664</v>
      </c>
      <c r="AV1034" s="16">
        <f t="shared" si="570"/>
        <v>100</v>
      </c>
      <c r="AW1034" s="20">
        <v>1.5</v>
      </c>
      <c r="AX1034" s="8">
        <f t="shared" si="557"/>
        <v>1.4999999999999999E-2</v>
      </c>
      <c r="AY1034" s="8" t="s">
        <v>87</v>
      </c>
      <c r="AZ1034" s="16">
        <v>20</v>
      </c>
      <c r="BA1034" s="16" t="s">
        <v>55</v>
      </c>
      <c r="BB1034" s="16" t="s">
        <v>391</v>
      </c>
      <c r="BC1034" s="16" t="s">
        <v>55</v>
      </c>
      <c r="BD1034" s="20">
        <v>2.42</v>
      </c>
      <c r="BE1034" s="16">
        <f t="shared" si="571"/>
        <v>161.33333333333334</v>
      </c>
      <c r="BF1034" s="16">
        <f t="shared" si="572"/>
        <v>2.2077241069247502</v>
      </c>
      <c r="BG1034" s="8">
        <f t="shared" si="573"/>
        <v>0.38381536598043126</v>
      </c>
      <c r="BH1034" s="13" t="s">
        <v>859</v>
      </c>
      <c r="BI1034" s="13"/>
      <c r="BJ1034" s="13"/>
      <c r="BK1034" s="13"/>
      <c r="BL1034" s="13"/>
      <c r="BM1034" s="17"/>
      <c r="BN1034" s="17"/>
      <c r="BO1034" s="2"/>
    </row>
    <row r="1035" spans="1:67" s="14" customFormat="1" x14ac:dyDescent="0.3">
      <c r="A1035" s="20">
        <v>1033</v>
      </c>
      <c r="B1035" s="2" t="s">
        <v>219</v>
      </c>
      <c r="C1035" s="2">
        <v>2020</v>
      </c>
      <c r="D1035" s="2" t="s">
        <v>205</v>
      </c>
      <c r="E1035" s="10" t="s">
        <v>802</v>
      </c>
      <c r="F1035" s="20" t="s">
        <v>29</v>
      </c>
      <c r="G1035" s="2">
        <v>6</v>
      </c>
      <c r="H1035" s="2" t="str">
        <f>'PFAS Properties'!$B$46</f>
        <v>PFOS</v>
      </c>
      <c r="I1035" s="2" t="str">
        <f>'PFAS Properties'!$C$46</f>
        <v>PFSA</v>
      </c>
      <c r="J1035" s="2" t="str">
        <f>'PFAS Properties'!$D$46</f>
        <v>C8HF17O3S</v>
      </c>
      <c r="K1035" s="25">
        <f>'PFAS Properties'!$P$46</f>
        <v>499.93739999999997</v>
      </c>
      <c r="L1035" s="2">
        <f>'PFAS Properties'!$X$46</f>
        <v>0.1</v>
      </c>
      <c r="M1035" s="2" t="str">
        <f>'PFAS Properties'!$Y$46</f>
        <v>-</v>
      </c>
      <c r="N1035" s="33">
        <v>0</v>
      </c>
      <c r="O1035" s="33">
        <v>0</v>
      </c>
      <c r="P1035" s="33">
        <v>0</v>
      </c>
      <c r="Q1035" s="33">
        <f t="shared" si="550"/>
        <v>0.99999000009999905</v>
      </c>
      <c r="R1035" s="33">
        <v>0</v>
      </c>
      <c r="S1035" s="33">
        <f t="shared" si="551"/>
        <v>9.9999000009999908E-6</v>
      </c>
      <c r="T1035" s="8">
        <f t="shared" si="564"/>
        <v>1</v>
      </c>
      <c r="U1035" s="33">
        <f t="shared" si="565"/>
        <v>0</v>
      </c>
      <c r="V1035" s="33">
        <f t="shared" si="566"/>
        <v>-0.99999000009999905</v>
      </c>
      <c r="W1035" s="33">
        <f t="shared" si="567"/>
        <v>498.93740999989996</v>
      </c>
      <c r="X1035" s="33">
        <v>96485</v>
      </c>
      <c r="Y1035" s="16">
        <f t="shared" si="568"/>
        <v>-193.37903557816551</v>
      </c>
      <c r="Z1035" s="16">
        <v>8</v>
      </c>
      <c r="AA1035" s="16">
        <v>17</v>
      </c>
      <c r="AB1035" s="8">
        <f t="shared" si="569"/>
        <v>0.29721362229102166</v>
      </c>
      <c r="AC1035" s="16">
        <f t="shared" si="574"/>
        <v>64.60808893273439</v>
      </c>
      <c r="AD1035" s="20">
        <f>'PFAS Properties'!$W$46</f>
        <v>8</v>
      </c>
      <c r="AE1035" s="8">
        <f>'PFAS Properties'!$S$46</f>
        <v>2.0166155475571776</v>
      </c>
      <c r="AF1035" s="15">
        <f>'PFAS Properties'!$V$46</f>
        <v>5</v>
      </c>
      <c r="AG1035" s="24">
        <v>5.0999999999999996</v>
      </c>
      <c r="AH1035" s="2" t="s">
        <v>85</v>
      </c>
      <c r="AI1035" s="2">
        <v>2.35</v>
      </c>
      <c r="AJ1035" s="15">
        <f t="shared" si="575"/>
        <v>42.080759244337003</v>
      </c>
      <c r="AK1035" s="8">
        <f t="shared" si="576"/>
        <v>0.23500000000000001</v>
      </c>
      <c r="AL1035" s="2">
        <v>0.92900000000000005</v>
      </c>
      <c r="AM1035" s="15">
        <f t="shared" si="577"/>
        <v>34.43291326908821</v>
      </c>
      <c r="AN1035" s="8">
        <f t="shared" si="578"/>
        <v>9.290000000000001E-2</v>
      </c>
      <c r="AO1035" s="15" t="s">
        <v>86</v>
      </c>
      <c r="AP1035" s="15">
        <v>3.64</v>
      </c>
      <c r="AQ1035" s="15" t="s">
        <v>711</v>
      </c>
      <c r="AR1035" s="16">
        <v>48</v>
      </c>
      <c r="AS1035" s="16">
        <v>22</v>
      </c>
      <c r="AT1035" s="16">
        <v>30</v>
      </c>
      <c r="AU1035" s="15" t="s">
        <v>664</v>
      </c>
      <c r="AV1035" s="16">
        <f t="shared" si="570"/>
        <v>100</v>
      </c>
      <c r="AW1035" s="20">
        <v>0.9</v>
      </c>
      <c r="AX1035" s="8">
        <f t="shared" si="557"/>
        <v>9.0000000000000011E-3</v>
      </c>
      <c r="AY1035" s="8" t="s">
        <v>87</v>
      </c>
      <c r="AZ1035" s="16">
        <v>20</v>
      </c>
      <c r="BA1035" s="16" t="s">
        <v>55</v>
      </c>
      <c r="BB1035" s="16" t="s">
        <v>391</v>
      </c>
      <c r="BC1035" s="16" t="s">
        <v>55</v>
      </c>
      <c r="BD1035" s="20">
        <v>4.1900000000000004</v>
      </c>
      <c r="BE1035" s="16">
        <f t="shared" si="571"/>
        <v>465.55555555555554</v>
      </c>
      <c r="BF1035" s="16">
        <f t="shared" si="572"/>
        <v>2.6679715135269704</v>
      </c>
      <c r="BG1035" s="8">
        <f t="shared" si="573"/>
        <v>0.62221402296629535</v>
      </c>
      <c r="BH1035" s="13" t="s">
        <v>859</v>
      </c>
      <c r="BI1035" s="13"/>
      <c r="BJ1035" s="13"/>
      <c r="BK1035" s="13"/>
      <c r="BL1035" s="13"/>
      <c r="BM1035" s="17"/>
      <c r="BN1035" s="17"/>
      <c r="BO1035" s="2"/>
    </row>
    <row r="1036" spans="1:67" s="14" customFormat="1" x14ac:dyDescent="0.3">
      <c r="A1036" s="20">
        <v>1034</v>
      </c>
      <c r="B1036" s="2" t="s">
        <v>219</v>
      </c>
      <c r="C1036" s="2">
        <v>2020</v>
      </c>
      <c r="D1036" s="2" t="s">
        <v>205</v>
      </c>
      <c r="E1036" s="10" t="s">
        <v>802</v>
      </c>
      <c r="F1036" s="20" t="s">
        <v>29</v>
      </c>
      <c r="G1036" s="2">
        <v>7</v>
      </c>
      <c r="H1036" s="2" t="str">
        <f>'PFAS Properties'!$B$46</f>
        <v>PFOS</v>
      </c>
      <c r="I1036" s="2" t="str">
        <f>'PFAS Properties'!$C$46</f>
        <v>PFSA</v>
      </c>
      <c r="J1036" s="2" t="str">
        <f>'PFAS Properties'!$D$46</f>
        <v>C8HF17O3S</v>
      </c>
      <c r="K1036" s="25">
        <f>'PFAS Properties'!$P$46</f>
        <v>499.93739999999997</v>
      </c>
      <c r="L1036" s="2">
        <f>'PFAS Properties'!$X$46</f>
        <v>0.1</v>
      </c>
      <c r="M1036" s="2" t="str">
        <f>'PFAS Properties'!$Y$46</f>
        <v>-</v>
      </c>
      <c r="N1036" s="33">
        <v>0</v>
      </c>
      <c r="O1036" s="33">
        <v>0</v>
      </c>
      <c r="P1036" s="33">
        <v>0</v>
      </c>
      <c r="Q1036" s="33">
        <f t="shared" si="550"/>
        <v>0.99999949881301753</v>
      </c>
      <c r="R1036" s="33">
        <v>0</v>
      </c>
      <c r="S1036" s="33">
        <f t="shared" si="551"/>
        <v>5.0118698243875318E-7</v>
      </c>
      <c r="T1036" s="8">
        <f t="shared" si="564"/>
        <v>1</v>
      </c>
      <c r="U1036" s="33">
        <f t="shared" si="565"/>
        <v>0</v>
      </c>
      <c r="V1036" s="33">
        <f t="shared" si="566"/>
        <v>-0.99999949881301753</v>
      </c>
      <c r="W1036" s="33">
        <f t="shared" si="567"/>
        <v>498.93740050118691</v>
      </c>
      <c r="X1036" s="33">
        <v>96485</v>
      </c>
      <c r="Y1036" s="16">
        <f t="shared" si="568"/>
        <v>-193.38087613005968</v>
      </c>
      <c r="Z1036" s="16">
        <v>8</v>
      </c>
      <c r="AA1036" s="16">
        <v>17</v>
      </c>
      <c r="AB1036" s="8">
        <f t="shared" si="569"/>
        <v>0.29721362229102166</v>
      </c>
      <c r="AC1036" s="16">
        <f t="shared" si="574"/>
        <v>64.60808893273439</v>
      </c>
      <c r="AD1036" s="20">
        <f>'PFAS Properties'!$W$46</f>
        <v>8</v>
      </c>
      <c r="AE1036" s="8">
        <f>'PFAS Properties'!$S$46</f>
        <v>2.0166155475571776</v>
      </c>
      <c r="AF1036" s="15">
        <f>'PFAS Properties'!$V$46</f>
        <v>5</v>
      </c>
      <c r="AG1036" s="24">
        <v>6.4</v>
      </c>
      <c r="AH1036" s="2" t="s">
        <v>85</v>
      </c>
      <c r="AI1036" s="2">
        <v>2.2599999999999998</v>
      </c>
      <c r="AJ1036" s="15">
        <f t="shared" si="575"/>
        <v>40.469155698809203</v>
      </c>
      <c r="AK1036" s="8">
        <f t="shared" si="576"/>
        <v>0.22599999999999998</v>
      </c>
      <c r="AL1036" s="2">
        <v>2.06</v>
      </c>
      <c r="AM1036" s="15">
        <f t="shared" si="577"/>
        <v>76.352853965900664</v>
      </c>
      <c r="AN1036" s="8">
        <f t="shared" si="578"/>
        <v>0.20600000000000002</v>
      </c>
      <c r="AO1036" s="15" t="s">
        <v>86</v>
      </c>
      <c r="AP1036" s="15">
        <v>5.83</v>
      </c>
      <c r="AQ1036" s="15" t="s">
        <v>711</v>
      </c>
      <c r="AR1036" s="16">
        <v>66</v>
      </c>
      <c r="AS1036" s="16">
        <v>11</v>
      </c>
      <c r="AT1036" s="16">
        <v>22</v>
      </c>
      <c r="AU1036" s="15" t="s">
        <v>664</v>
      </c>
      <c r="AV1036" s="16">
        <f t="shared" si="570"/>
        <v>99</v>
      </c>
      <c r="AW1036" s="20">
        <v>0.9</v>
      </c>
      <c r="AX1036" s="8">
        <f t="shared" ref="AX1036:AX1059" si="579">AW1036/100</f>
        <v>9.0000000000000011E-3</v>
      </c>
      <c r="AY1036" s="8" t="s">
        <v>87</v>
      </c>
      <c r="AZ1036" s="16">
        <v>20</v>
      </c>
      <c r="BA1036" s="16" t="s">
        <v>55</v>
      </c>
      <c r="BB1036" s="16" t="s">
        <v>391</v>
      </c>
      <c r="BC1036" s="16" t="s">
        <v>55</v>
      </c>
      <c r="BD1036" s="20">
        <v>2.33</v>
      </c>
      <c r="BE1036" s="16">
        <f t="shared" si="571"/>
        <v>258.88888888888886</v>
      </c>
      <c r="BF1036" s="16">
        <f t="shared" si="572"/>
        <v>2.4131134115866941</v>
      </c>
      <c r="BG1036" s="8">
        <f t="shared" si="573"/>
        <v>0.36735592102601899</v>
      </c>
      <c r="BH1036" s="13" t="s">
        <v>859</v>
      </c>
      <c r="BI1036" s="13"/>
      <c r="BJ1036" s="13"/>
      <c r="BK1036" s="13"/>
      <c r="BL1036" s="13"/>
      <c r="BM1036" s="17"/>
      <c r="BN1036" s="17"/>
      <c r="BO1036" s="2"/>
    </row>
    <row r="1037" spans="1:67" s="14" customFormat="1" x14ac:dyDescent="0.3">
      <c r="A1037" s="20">
        <v>1035</v>
      </c>
      <c r="B1037" s="2" t="s">
        <v>219</v>
      </c>
      <c r="C1037" s="2">
        <v>2020</v>
      </c>
      <c r="D1037" s="2" t="s">
        <v>205</v>
      </c>
      <c r="E1037" s="10" t="s">
        <v>802</v>
      </c>
      <c r="F1037" s="20" t="s">
        <v>29</v>
      </c>
      <c r="G1037" s="2">
        <v>8</v>
      </c>
      <c r="H1037" s="2" t="str">
        <f>'PFAS Properties'!$B$46</f>
        <v>PFOS</v>
      </c>
      <c r="I1037" s="2" t="str">
        <f>'PFAS Properties'!$C$46</f>
        <v>PFSA</v>
      </c>
      <c r="J1037" s="2" t="str">
        <f>'PFAS Properties'!$D$46</f>
        <v>C8HF17O3S</v>
      </c>
      <c r="K1037" s="25">
        <f>'PFAS Properties'!$P$46</f>
        <v>499.93739999999997</v>
      </c>
      <c r="L1037" s="2">
        <f>'PFAS Properties'!$X$46</f>
        <v>0.1</v>
      </c>
      <c r="M1037" s="2" t="str">
        <f>'PFAS Properties'!$Y$46</f>
        <v>-</v>
      </c>
      <c r="N1037" s="33">
        <v>0</v>
      </c>
      <c r="O1037" s="33">
        <v>0</v>
      </c>
      <c r="P1037" s="33">
        <v>0</v>
      </c>
      <c r="Q1037" s="33">
        <f t="shared" si="550"/>
        <v>0.99999980047380832</v>
      </c>
      <c r="R1037" s="33">
        <v>0</v>
      </c>
      <c r="S1037" s="33">
        <f t="shared" si="551"/>
        <v>1.9952619168617852E-7</v>
      </c>
      <c r="T1037" s="8">
        <f t="shared" si="564"/>
        <v>1</v>
      </c>
      <c r="U1037" s="33">
        <f t="shared" si="565"/>
        <v>0</v>
      </c>
      <c r="V1037" s="33">
        <f t="shared" si="566"/>
        <v>-0.99999980047380832</v>
      </c>
      <c r="W1037" s="33">
        <f t="shared" si="567"/>
        <v>498.93740019952617</v>
      </c>
      <c r="X1037" s="33">
        <v>96485</v>
      </c>
      <c r="Y1037" s="16">
        <f t="shared" si="568"/>
        <v>-193.38093458243628</v>
      </c>
      <c r="Z1037" s="16">
        <v>8</v>
      </c>
      <c r="AA1037" s="16">
        <v>17</v>
      </c>
      <c r="AB1037" s="8">
        <f t="shared" si="569"/>
        <v>0.29721362229102166</v>
      </c>
      <c r="AC1037" s="16">
        <f t="shared" si="574"/>
        <v>64.60808893273439</v>
      </c>
      <c r="AD1037" s="20">
        <f>'PFAS Properties'!$W$46</f>
        <v>8</v>
      </c>
      <c r="AE1037" s="8">
        <f>'PFAS Properties'!$S$46</f>
        <v>2.0166155475571776</v>
      </c>
      <c r="AF1037" s="15">
        <f>'PFAS Properties'!$V$46</f>
        <v>5</v>
      </c>
      <c r="AG1037" s="24">
        <v>6.8</v>
      </c>
      <c r="AH1037" s="2" t="s">
        <v>85</v>
      </c>
      <c r="AI1037" s="2">
        <v>4.41</v>
      </c>
      <c r="AJ1037" s="15">
        <f t="shared" si="575"/>
        <v>78.968573730862204</v>
      </c>
      <c r="AK1037" s="8">
        <f t="shared" si="576"/>
        <v>0.441</v>
      </c>
      <c r="AL1037" s="2">
        <v>1.85</v>
      </c>
      <c r="AM1037" s="15">
        <f t="shared" si="577"/>
        <v>68.56931060044478</v>
      </c>
      <c r="AN1037" s="8">
        <f t="shared" si="578"/>
        <v>0.185</v>
      </c>
      <c r="AO1037" s="15" t="s">
        <v>86</v>
      </c>
      <c r="AP1037" s="15">
        <v>10.86</v>
      </c>
      <c r="AQ1037" s="15" t="s">
        <v>711</v>
      </c>
      <c r="AR1037" s="16">
        <v>54</v>
      </c>
      <c r="AS1037" s="16">
        <v>21</v>
      </c>
      <c r="AT1037" s="16">
        <v>25</v>
      </c>
      <c r="AU1037" s="15" t="s">
        <v>664</v>
      </c>
      <c r="AV1037" s="16">
        <f t="shared" si="570"/>
        <v>100</v>
      </c>
      <c r="AW1037" s="20">
        <v>1.1000000000000001</v>
      </c>
      <c r="AX1037" s="8">
        <f t="shared" si="579"/>
        <v>1.1000000000000001E-2</v>
      </c>
      <c r="AY1037" s="8" t="s">
        <v>87</v>
      </c>
      <c r="AZ1037" s="16">
        <v>20</v>
      </c>
      <c r="BA1037" s="16" t="s">
        <v>55</v>
      </c>
      <c r="BB1037" s="16" t="s">
        <v>391</v>
      </c>
      <c r="BC1037" s="16" t="s">
        <v>55</v>
      </c>
      <c r="BD1037" s="20">
        <v>5.0999999999999996</v>
      </c>
      <c r="BE1037" s="16">
        <f t="shared" si="571"/>
        <v>463.63636363636357</v>
      </c>
      <c r="BF1037" s="16">
        <f t="shared" si="572"/>
        <v>2.6661774909397113</v>
      </c>
      <c r="BG1037" s="8">
        <f t="shared" si="573"/>
        <v>0.70757017609793638</v>
      </c>
      <c r="BH1037" s="13" t="s">
        <v>859</v>
      </c>
      <c r="BI1037" s="13"/>
      <c r="BJ1037" s="13"/>
      <c r="BK1037" s="13"/>
      <c r="BL1037" s="13"/>
      <c r="BM1037" s="17"/>
      <c r="BN1037" s="17"/>
      <c r="BO1037" s="2"/>
    </row>
    <row r="1038" spans="1:67" s="14" customFormat="1" x14ac:dyDescent="0.3">
      <c r="A1038" s="20">
        <v>1036</v>
      </c>
      <c r="B1038" s="2" t="s">
        <v>219</v>
      </c>
      <c r="C1038" s="2">
        <v>2020</v>
      </c>
      <c r="D1038" s="2" t="s">
        <v>205</v>
      </c>
      <c r="E1038" s="10" t="s">
        <v>802</v>
      </c>
      <c r="F1038" s="20" t="s">
        <v>29</v>
      </c>
      <c r="G1038" s="2">
        <v>9</v>
      </c>
      <c r="H1038" s="2" t="str">
        <f>'PFAS Properties'!$B$46</f>
        <v>PFOS</v>
      </c>
      <c r="I1038" s="2" t="str">
        <f>'PFAS Properties'!$C$46</f>
        <v>PFSA</v>
      </c>
      <c r="J1038" s="2" t="str">
        <f>'PFAS Properties'!$D$46</f>
        <v>C8HF17O3S</v>
      </c>
      <c r="K1038" s="25">
        <f>'PFAS Properties'!$P$46</f>
        <v>499.93739999999997</v>
      </c>
      <c r="L1038" s="2">
        <f>'PFAS Properties'!$X$46</f>
        <v>0.1</v>
      </c>
      <c r="M1038" s="2" t="str">
        <f>'PFAS Properties'!$Y$46</f>
        <v>-</v>
      </c>
      <c r="N1038" s="33">
        <v>0</v>
      </c>
      <c r="O1038" s="33">
        <v>0</v>
      </c>
      <c r="P1038" s="33">
        <v>0</v>
      </c>
      <c r="Q1038" s="33">
        <f t="shared" si="550"/>
        <v>0.99999990000001004</v>
      </c>
      <c r="R1038" s="33">
        <v>0</v>
      </c>
      <c r="S1038" s="33">
        <f t="shared" si="551"/>
        <v>9.9999990000001005E-8</v>
      </c>
      <c r="T1038" s="8">
        <f t="shared" si="564"/>
        <v>1</v>
      </c>
      <c r="U1038" s="33">
        <f t="shared" si="565"/>
        <v>0</v>
      </c>
      <c r="V1038" s="33">
        <f t="shared" si="566"/>
        <v>-0.99999990000001004</v>
      </c>
      <c r="W1038" s="33">
        <f t="shared" si="567"/>
        <v>498.93740009999999</v>
      </c>
      <c r="X1038" s="33">
        <v>96485</v>
      </c>
      <c r="Y1038" s="16">
        <f t="shared" si="568"/>
        <v>-193.38095386748492</v>
      </c>
      <c r="Z1038" s="16">
        <v>8</v>
      </c>
      <c r="AA1038" s="16">
        <v>17</v>
      </c>
      <c r="AB1038" s="8">
        <f t="shared" si="569"/>
        <v>0.29721362229102166</v>
      </c>
      <c r="AC1038" s="16">
        <f t="shared" si="574"/>
        <v>64.60808893273439</v>
      </c>
      <c r="AD1038" s="20">
        <f>'PFAS Properties'!$W$46</f>
        <v>8</v>
      </c>
      <c r="AE1038" s="8">
        <f>'PFAS Properties'!$S$46</f>
        <v>2.0166155475571776</v>
      </c>
      <c r="AF1038" s="15">
        <f>'PFAS Properties'!$V$46</f>
        <v>5</v>
      </c>
      <c r="AG1038" s="24">
        <v>7.1</v>
      </c>
      <c r="AH1038" s="2" t="s">
        <v>85</v>
      </c>
      <c r="AI1038" s="2">
        <v>33.700000000000003</v>
      </c>
      <c r="AJ1038" s="15">
        <f t="shared" si="575"/>
        <v>603.45599426985405</v>
      </c>
      <c r="AK1038" s="8">
        <f t="shared" si="576"/>
        <v>3.37</v>
      </c>
      <c r="AL1038" s="2">
        <v>1.47</v>
      </c>
      <c r="AM1038" s="15">
        <f t="shared" si="577"/>
        <v>54.484803558191253</v>
      </c>
      <c r="AN1038" s="8">
        <f t="shared" si="578"/>
        <v>0.14699999999999999</v>
      </c>
      <c r="AO1038" s="15" t="s">
        <v>86</v>
      </c>
      <c r="AP1038" s="15">
        <v>15.69</v>
      </c>
      <c r="AQ1038" s="15" t="s">
        <v>711</v>
      </c>
      <c r="AR1038" s="16">
        <v>60</v>
      </c>
      <c r="AS1038" s="16">
        <v>16</v>
      </c>
      <c r="AT1038" s="16">
        <v>24</v>
      </c>
      <c r="AU1038" s="15" t="s">
        <v>664</v>
      </c>
      <c r="AV1038" s="16">
        <f t="shared" si="570"/>
        <v>100</v>
      </c>
      <c r="AW1038" s="20">
        <v>1.6</v>
      </c>
      <c r="AX1038" s="8">
        <f t="shared" si="579"/>
        <v>1.6E-2</v>
      </c>
      <c r="AY1038" s="8" t="s">
        <v>87</v>
      </c>
      <c r="AZ1038" s="16">
        <v>20</v>
      </c>
      <c r="BA1038" s="16" t="s">
        <v>55</v>
      </c>
      <c r="BB1038" s="16" t="s">
        <v>391</v>
      </c>
      <c r="BC1038" s="16" t="s">
        <v>55</v>
      </c>
      <c r="BD1038" s="20">
        <v>4.7300000000000004</v>
      </c>
      <c r="BE1038" s="16">
        <f t="shared" si="571"/>
        <v>295.625</v>
      </c>
      <c r="BF1038" s="16">
        <f t="shared" si="572"/>
        <v>2.470741158081887</v>
      </c>
      <c r="BG1038" s="8">
        <f t="shared" si="573"/>
        <v>0.67486114073781156</v>
      </c>
      <c r="BH1038" s="13" t="s">
        <v>859</v>
      </c>
      <c r="BI1038" s="13"/>
      <c r="BJ1038" s="13"/>
      <c r="BK1038" s="13"/>
      <c r="BL1038" s="13"/>
      <c r="BM1038" s="17"/>
      <c r="BN1038" s="17"/>
      <c r="BO1038" s="2"/>
    </row>
    <row r="1039" spans="1:67" s="14" customFormat="1" x14ac:dyDescent="0.3">
      <c r="A1039" s="20">
        <v>1037</v>
      </c>
      <c r="B1039" s="2" t="s">
        <v>219</v>
      </c>
      <c r="C1039" s="2">
        <v>2020</v>
      </c>
      <c r="D1039" s="2" t="s">
        <v>205</v>
      </c>
      <c r="E1039" s="10" t="s">
        <v>802</v>
      </c>
      <c r="F1039" s="20" t="s">
        <v>29</v>
      </c>
      <c r="G1039" s="2">
        <v>10</v>
      </c>
      <c r="H1039" s="2" t="str">
        <f>'PFAS Properties'!$B$46</f>
        <v>PFOS</v>
      </c>
      <c r="I1039" s="2" t="str">
        <f>'PFAS Properties'!$C$46</f>
        <v>PFSA</v>
      </c>
      <c r="J1039" s="2" t="str">
        <f>'PFAS Properties'!$D$46</f>
        <v>C8HF17O3S</v>
      </c>
      <c r="K1039" s="25">
        <f>'PFAS Properties'!$P$46</f>
        <v>499.93739999999997</v>
      </c>
      <c r="L1039" s="2">
        <f>'PFAS Properties'!$X$46</f>
        <v>0.1</v>
      </c>
      <c r="M1039" s="2" t="str">
        <f>'PFAS Properties'!$Y$46</f>
        <v>-</v>
      </c>
      <c r="N1039" s="33">
        <v>0</v>
      </c>
      <c r="O1039" s="33">
        <v>0</v>
      </c>
      <c r="P1039" s="33">
        <v>0</v>
      </c>
      <c r="Q1039" s="33">
        <f t="shared" si="550"/>
        <v>0.99999683773233983</v>
      </c>
      <c r="R1039" s="33">
        <v>0</v>
      </c>
      <c r="S1039" s="33">
        <f t="shared" si="551"/>
        <v>3.1622676601999995E-6</v>
      </c>
      <c r="T1039" s="8">
        <f t="shared" si="564"/>
        <v>1</v>
      </c>
      <c r="U1039" s="33">
        <f t="shared" si="565"/>
        <v>0</v>
      </c>
      <c r="V1039" s="33">
        <f t="shared" si="566"/>
        <v>-0.99999683773233983</v>
      </c>
      <c r="W1039" s="33">
        <f t="shared" si="567"/>
        <v>498.93740316226763</v>
      </c>
      <c r="X1039" s="33">
        <v>96485</v>
      </c>
      <c r="Y1039" s="16">
        <f t="shared" si="568"/>
        <v>-193.38036049629545</v>
      </c>
      <c r="Z1039" s="16">
        <v>8</v>
      </c>
      <c r="AA1039" s="16">
        <v>17</v>
      </c>
      <c r="AB1039" s="8">
        <f t="shared" si="569"/>
        <v>0.29721362229102166</v>
      </c>
      <c r="AC1039" s="16">
        <f t="shared" si="574"/>
        <v>64.60808893273439</v>
      </c>
      <c r="AD1039" s="20">
        <f>'PFAS Properties'!$W$46</f>
        <v>8</v>
      </c>
      <c r="AE1039" s="8">
        <f>'PFAS Properties'!$S$46</f>
        <v>2.0166155475571776</v>
      </c>
      <c r="AF1039" s="15">
        <f>'PFAS Properties'!$V$46</f>
        <v>5</v>
      </c>
      <c r="AG1039" s="24">
        <v>5.6</v>
      </c>
      <c r="AH1039" s="2" t="s">
        <v>85</v>
      </c>
      <c r="AI1039" s="2">
        <v>8.5</v>
      </c>
      <c r="AJ1039" s="15">
        <f t="shared" si="575"/>
        <v>152.20700152207002</v>
      </c>
      <c r="AK1039" s="8">
        <f t="shared" si="576"/>
        <v>0.85</v>
      </c>
      <c r="AL1039" s="2">
        <v>37.299999999999997</v>
      </c>
      <c r="AM1039" s="15">
        <f t="shared" si="577"/>
        <v>1382.5055596738325</v>
      </c>
      <c r="AN1039" s="8">
        <f t="shared" si="578"/>
        <v>3.7299999999999995</v>
      </c>
      <c r="AO1039" s="15" t="s">
        <v>86</v>
      </c>
      <c r="AP1039" s="15">
        <v>15.2</v>
      </c>
      <c r="AQ1039" s="15" t="s">
        <v>711</v>
      </c>
      <c r="AR1039" s="16">
        <v>44</v>
      </c>
      <c r="AS1039" s="16">
        <v>0</v>
      </c>
      <c r="AT1039" s="16">
        <v>56</v>
      </c>
      <c r="AU1039" s="15" t="s">
        <v>664</v>
      </c>
      <c r="AV1039" s="16">
        <f t="shared" si="570"/>
        <v>100</v>
      </c>
      <c r="AW1039" s="20">
        <v>1.6</v>
      </c>
      <c r="AX1039" s="8">
        <f t="shared" si="579"/>
        <v>1.6E-2</v>
      </c>
      <c r="AY1039" s="8" t="s">
        <v>87</v>
      </c>
      <c r="AZ1039" s="16">
        <v>20</v>
      </c>
      <c r="BA1039" s="16" t="s">
        <v>55</v>
      </c>
      <c r="BB1039" s="16" t="s">
        <v>391</v>
      </c>
      <c r="BC1039" s="16" t="s">
        <v>55</v>
      </c>
      <c r="BD1039" s="20">
        <v>6.11</v>
      </c>
      <c r="BE1039" s="16">
        <f t="shared" si="571"/>
        <v>381.875</v>
      </c>
      <c r="BF1039" s="16">
        <f t="shared" si="572"/>
        <v>2.5819212275866295</v>
      </c>
      <c r="BG1039" s="8">
        <f t="shared" si="573"/>
        <v>0.78604121024255424</v>
      </c>
      <c r="BH1039" s="13" t="s">
        <v>859</v>
      </c>
      <c r="BI1039" s="13"/>
      <c r="BJ1039" s="13"/>
      <c r="BK1039" s="13"/>
      <c r="BL1039" s="13"/>
      <c r="BM1039" s="17"/>
      <c r="BN1039" s="17"/>
      <c r="BO1039" s="2"/>
    </row>
    <row r="1040" spans="1:67" s="14" customFormat="1" x14ac:dyDescent="0.3">
      <c r="A1040" s="20">
        <v>1038</v>
      </c>
      <c r="B1040" s="2" t="s">
        <v>219</v>
      </c>
      <c r="C1040" s="2">
        <v>2020</v>
      </c>
      <c r="D1040" s="2" t="s">
        <v>205</v>
      </c>
      <c r="E1040" s="10" t="s">
        <v>802</v>
      </c>
      <c r="F1040" s="20" t="s">
        <v>29</v>
      </c>
      <c r="G1040" s="2">
        <v>11</v>
      </c>
      <c r="H1040" s="2" t="str">
        <f>'PFAS Properties'!$B$46</f>
        <v>PFOS</v>
      </c>
      <c r="I1040" s="2" t="str">
        <f>'PFAS Properties'!$C$46</f>
        <v>PFSA</v>
      </c>
      <c r="J1040" s="2" t="str">
        <f>'PFAS Properties'!$D$46</f>
        <v>C8HF17O3S</v>
      </c>
      <c r="K1040" s="25">
        <f>'PFAS Properties'!$P$46</f>
        <v>499.93739999999997</v>
      </c>
      <c r="L1040" s="2">
        <f>'PFAS Properties'!$X$46</f>
        <v>0.1</v>
      </c>
      <c r="M1040" s="2" t="str">
        <f>'PFAS Properties'!$Y$46</f>
        <v>-</v>
      </c>
      <c r="N1040" s="33">
        <v>0</v>
      </c>
      <c r="O1040" s="33">
        <v>0</v>
      </c>
      <c r="P1040" s="33">
        <v>0</v>
      </c>
      <c r="Q1040" s="33">
        <f t="shared" ref="Q1040:Q1085" si="580">(10^(AG1040-L1040))/(1+(10^(AG1040-L1040)))</f>
        <v>0.99999498815278243</v>
      </c>
      <c r="R1040" s="33">
        <v>0</v>
      </c>
      <c r="S1040" s="33">
        <f t="shared" ref="S1040:S1085" si="581">(1/(1+(10^(AG1040-L1040))))</f>
        <v>5.011847217534286E-6</v>
      </c>
      <c r="T1040" s="8">
        <f t="shared" si="564"/>
        <v>1</v>
      </c>
      <c r="U1040" s="33">
        <f t="shared" si="565"/>
        <v>0</v>
      </c>
      <c r="V1040" s="33">
        <f t="shared" si="566"/>
        <v>-0.99999498815278243</v>
      </c>
      <c r="W1040" s="33">
        <f t="shared" si="567"/>
        <v>498.93740501184715</v>
      </c>
      <c r="X1040" s="33">
        <v>96485</v>
      </c>
      <c r="Y1040" s="16">
        <f t="shared" si="568"/>
        <v>-193.38000210593594</v>
      </c>
      <c r="Z1040" s="16">
        <v>8</v>
      </c>
      <c r="AA1040" s="16">
        <v>17</v>
      </c>
      <c r="AB1040" s="8">
        <f t="shared" si="569"/>
        <v>0.29721362229102166</v>
      </c>
      <c r="AC1040" s="16">
        <f t="shared" si="574"/>
        <v>64.60808893273439</v>
      </c>
      <c r="AD1040" s="20">
        <f>'PFAS Properties'!$W$46</f>
        <v>8</v>
      </c>
      <c r="AE1040" s="8">
        <f>'PFAS Properties'!$S$46</f>
        <v>2.0166155475571776</v>
      </c>
      <c r="AF1040" s="15">
        <f>'PFAS Properties'!$V$46</f>
        <v>5</v>
      </c>
      <c r="AG1040" s="24">
        <v>5.4</v>
      </c>
      <c r="AH1040" s="2" t="s">
        <v>85</v>
      </c>
      <c r="AI1040" s="2">
        <v>2.72</v>
      </c>
      <c r="AJ1040" s="15">
        <f t="shared" si="575"/>
        <v>48.706240487062409</v>
      </c>
      <c r="AK1040" s="8">
        <f t="shared" si="576"/>
        <v>0.27200000000000002</v>
      </c>
      <c r="AL1040" s="2">
        <v>2.65</v>
      </c>
      <c r="AM1040" s="15">
        <f t="shared" si="577"/>
        <v>98.220904373610082</v>
      </c>
      <c r="AN1040" s="8">
        <f t="shared" si="578"/>
        <v>0.26500000000000001</v>
      </c>
      <c r="AO1040" s="15" t="s">
        <v>86</v>
      </c>
      <c r="AP1040" s="15">
        <v>7.61</v>
      </c>
      <c r="AQ1040" s="15" t="s">
        <v>711</v>
      </c>
      <c r="AR1040" s="16">
        <v>34</v>
      </c>
      <c r="AS1040" s="16">
        <v>22</v>
      </c>
      <c r="AT1040" s="16">
        <v>44</v>
      </c>
      <c r="AU1040" s="15" t="s">
        <v>664</v>
      </c>
      <c r="AV1040" s="16">
        <f t="shared" si="570"/>
        <v>100</v>
      </c>
      <c r="AW1040" s="20">
        <v>1.7</v>
      </c>
      <c r="AX1040" s="8">
        <f t="shared" si="579"/>
        <v>1.7000000000000001E-2</v>
      </c>
      <c r="AY1040" s="8" t="s">
        <v>87</v>
      </c>
      <c r="AZ1040" s="16">
        <v>20</v>
      </c>
      <c r="BA1040" s="16" t="s">
        <v>55</v>
      </c>
      <c r="BB1040" s="16" t="s">
        <v>391</v>
      </c>
      <c r="BC1040" s="16" t="s">
        <v>55</v>
      </c>
      <c r="BD1040" s="20">
        <v>3.7</v>
      </c>
      <c r="BE1040" s="16">
        <f t="shared" si="571"/>
        <v>217.64705882352942</v>
      </c>
      <c r="BF1040" s="16">
        <f t="shared" si="572"/>
        <v>2.3377528026887209</v>
      </c>
      <c r="BG1040" s="8">
        <f t="shared" si="573"/>
        <v>0.56820172406699498</v>
      </c>
      <c r="BH1040" s="13" t="s">
        <v>859</v>
      </c>
      <c r="BI1040" s="13"/>
      <c r="BJ1040" s="13"/>
      <c r="BK1040" s="13"/>
      <c r="BL1040" s="13"/>
      <c r="BM1040" s="17"/>
      <c r="BN1040" s="17"/>
      <c r="BO1040" s="2"/>
    </row>
    <row r="1041" spans="1:67" s="14" customFormat="1" x14ac:dyDescent="0.3">
      <c r="A1041" s="20">
        <v>1039</v>
      </c>
      <c r="B1041" s="2" t="s">
        <v>219</v>
      </c>
      <c r="C1041" s="2">
        <v>2020</v>
      </c>
      <c r="D1041" s="2" t="s">
        <v>205</v>
      </c>
      <c r="E1041" s="10" t="s">
        <v>802</v>
      </c>
      <c r="F1041" s="20" t="s">
        <v>29</v>
      </c>
      <c r="G1041" s="2">
        <v>12</v>
      </c>
      <c r="H1041" s="2" t="str">
        <f>'PFAS Properties'!$B$46</f>
        <v>PFOS</v>
      </c>
      <c r="I1041" s="2" t="str">
        <f>'PFAS Properties'!$C$46</f>
        <v>PFSA</v>
      </c>
      <c r="J1041" s="2" t="str">
        <f>'PFAS Properties'!$D$46</f>
        <v>C8HF17O3S</v>
      </c>
      <c r="K1041" s="25">
        <f>'PFAS Properties'!$P$46</f>
        <v>499.93739999999997</v>
      </c>
      <c r="L1041" s="2">
        <f>'PFAS Properties'!$X$46</f>
        <v>0.1</v>
      </c>
      <c r="M1041" s="2" t="str">
        <f>'PFAS Properties'!$Y$46</f>
        <v>-</v>
      </c>
      <c r="N1041" s="33">
        <v>0</v>
      </c>
      <c r="O1041" s="33">
        <v>0</v>
      </c>
      <c r="P1041" s="33">
        <v>0</v>
      </c>
      <c r="Q1041" s="33">
        <f t="shared" si="580"/>
        <v>0.99999974881141995</v>
      </c>
      <c r="R1041" s="33">
        <v>0</v>
      </c>
      <c r="S1041" s="33">
        <f t="shared" si="581"/>
        <v>2.5118858005523878E-7</v>
      </c>
      <c r="T1041" s="8">
        <f t="shared" si="564"/>
        <v>1</v>
      </c>
      <c r="U1041" s="33">
        <f t="shared" si="565"/>
        <v>0</v>
      </c>
      <c r="V1041" s="33">
        <f t="shared" si="566"/>
        <v>-0.99999974881141995</v>
      </c>
      <c r="W1041" s="33">
        <f t="shared" si="567"/>
        <v>498.93740025118859</v>
      </c>
      <c r="X1041" s="33">
        <v>96485</v>
      </c>
      <c r="Y1041" s="16">
        <f t="shared" si="568"/>
        <v>-193.38092457188972</v>
      </c>
      <c r="Z1041" s="16">
        <v>8</v>
      </c>
      <c r="AA1041" s="16">
        <v>17</v>
      </c>
      <c r="AB1041" s="8">
        <f t="shared" si="569"/>
        <v>0.29721362229102166</v>
      </c>
      <c r="AC1041" s="16">
        <f t="shared" si="574"/>
        <v>64.60808893273439</v>
      </c>
      <c r="AD1041" s="20">
        <f>'PFAS Properties'!$W$46</f>
        <v>8</v>
      </c>
      <c r="AE1041" s="8">
        <f>'PFAS Properties'!$S$46</f>
        <v>2.0166155475571776</v>
      </c>
      <c r="AF1041" s="15">
        <f>'PFAS Properties'!$V$46</f>
        <v>5</v>
      </c>
      <c r="AG1041" s="24">
        <v>6.7</v>
      </c>
      <c r="AH1041" s="2" t="s">
        <v>85</v>
      </c>
      <c r="AI1041" s="2">
        <v>3.45</v>
      </c>
      <c r="AJ1041" s="15">
        <f t="shared" si="575"/>
        <v>61.778135911899007</v>
      </c>
      <c r="AK1041" s="8">
        <f t="shared" si="576"/>
        <v>0.34500000000000003</v>
      </c>
      <c r="AL1041" s="2">
        <v>2.15</v>
      </c>
      <c r="AM1041" s="15">
        <f t="shared" si="577"/>
        <v>79.688658265381761</v>
      </c>
      <c r="AN1041" s="8">
        <f t="shared" si="578"/>
        <v>0.215</v>
      </c>
      <c r="AO1041" s="15" t="s">
        <v>86</v>
      </c>
      <c r="AP1041" s="15">
        <v>12.76</v>
      </c>
      <c r="AQ1041" s="15" t="s">
        <v>711</v>
      </c>
      <c r="AR1041" s="16">
        <v>54</v>
      </c>
      <c r="AS1041" s="16">
        <v>19</v>
      </c>
      <c r="AT1041" s="16">
        <v>28</v>
      </c>
      <c r="AU1041" s="15" t="s">
        <v>664</v>
      </c>
      <c r="AV1041" s="16">
        <f t="shared" si="570"/>
        <v>101</v>
      </c>
      <c r="AW1041" s="20">
        <v>1.3</v>
      </c>
      <c r="AX1041" s="8">
        <f t="shared" si="579"/>
        <v>1.3000000000000001E-2</v>
      </c>
      <c r="AY1041" s="8" t="s">
        <v>87</v>
      </c>
      <c r="AZ1041" s="16">
        <v>20</v>
      </c>
      <c r="BA1041" s="16" t="s">
        <v>55</v>
      </c>
      <c r="BB1041" s="16" t="s">
        <v>391</v>
      </c>
      <c r="BC1041" s="16" t="s">
        <v>55</v>
      </c>
      <c r="BD1041" s="20">
        <v>4.0999999999999996</v>
      </c>
      <c r="BE1041" s="16">
        <f t="shared" si="571"/>
        <v>315.3846153846153</v>
      </c>
      <c r="BF1041" s="16">
        <f t="shared" si="572"/>
        <v>2.4988405044128985</v>
      </c>
      <c r="BG1041" s="8">
        <f t="shared" si="573"/>
        <v>0.61278385671973545</v>
      </c>
      <c r="BH1041" s="13" t="s">
        <v>859</v>
      </c>
      <c r="BI1041" s="13"/>
      <c r="BJ1041" s="13"/>
      <c r="BK1041" s="13"/>
      <c r="BL1041" s="13"/>
      <c r="BM1041" s="17"/>
      <c r="BN1041" s="17"/>
      <c r="BO1041" s="2"/>
    </row>
    <row r="1042" spans="1:67" s="14" customFormat="1" x14ac:dyDescent="0.3">
      <c r="A1042" s="20">
        <v>1040</v>
      </c>
      <c r="B1042" s="2" t="s">
        <v>219</v>
      </c>
      <c r="C1042" s="2">
        <v>2020</v>
      </c>
      <c r="D1042" s="2" t="s">
        <v>205</v>
      </c>
      <c r="E1042" s="10" t="s">
        <v>802</v>
      </c>
      <c r="F1042" s="20" t="s">
        <v>29</v>
      </c>
      <c r="G1042" s="2">
        <v>13</v>
      </c>
      <c r="H1042" s="2" t="str">
        <f>'PFAS Properties'!$B$46</f>
        <v>PFOS</v>
      </c>
      <c r="I1042" s="2" t="str">
        <f>'PFAS Properties'!$C$46</f>
        <v>PFSA</v>
      </c>
      <c r="J1042" s="2" t="str">
        <f>'PFAS Properties'!$D$46</f>
        <v>C8HF17O3S</v>
      </c>
      <c r="K1042" s="25">
        <f>'PFAS Properties'!$P$46</f>
        <v>499.93739999999997</v>
      </c>
      <c r="L1042" s="2">
        <f>'PFAS Properties'!$X$46</f>
        <v>0.1</v>
      </c>
      <c r="M1042" s="2" t="str">
        <f>'PFAS Properties'!$Y$46</f>
        <v>-</v>
      </c>
      <c r="N1042" s="33">
        <v>0</v>
      </c>
      <c r="O1042" s="33">
        <v>0</v>
      </c>
      <c r="P1042" s="33">
        <v>0</v>
      </c>
      <c r="Q1042" s="33">
        <f t="shared" si="580"/>
        <v>0.9999992056723962</v>
      </c>
      <c r="R1042" s="33">
        <v>0</v>
      </c>
      <c r="S1042" s="33">
        <f t="shared" si="581"/>
        <v>7.9432760376743655E-7</v>
      </c>
      <c r="T1042" s="8">
        <f t="shared" si="564"/>
        <v>1</v>
      </c>
      <c r="U1042" s="33">
        <f t="shared" si="565"/>
        <v>0</v>
      </c>
      <c r="V1042" s="33">
        <f t="shared" si="566"/>
        <v>-0.9999992056723962</v>
      </c>
      <c r="W1042" s="33">
        <f t="shared" si="567"/>
        <v>498.93740079432757</v>
      </c>
      <c r="X1042" s="33">
        <v>96485</v>
      </c>
      <c r="Y1042" s="16">
        <f t="shared" si="568"/>
        <v>-193.38081932862406</v>
      </c>
      <c r="Z1042" s="16">
        <v>8</v>
      </c>
      <c r="AA1042" s="16">
        <v>17</v>
      </c>
      <c r="AB1042" s="8">
        <f t="shared" si="569"/>
        <v>0.29721362229102166</v>
      </c>
      <c r="AC1042" s="16">
        <f t="shared" si="574"/>
        <v>64.60808893273439</v>
      </c>
      <c r="AD1042" s="20">
        <f>'PFAS Properties'!$W$46</f>
        <v>8</v>
      </c>
      <c r="AE1042" s="8">
        <f>'PFAS Properties'!$S$46</f>
        <v>2.0166155475571776</v>
      </c>
      <c r="AF1042" s="15">
        <f>'PFAS Properties'!$V$46</f>
        <v>5</v>
      </c>
      <c r="AG1042" s="24">
        <v>6.2</v>
      </c>
      <c r="AH1042" s="2" t="s">
        <v>85</v>
      </c>
      <c r="AI1042" s="2">
        <v>2.71</v>
      </c>
      <c r="AJ1042" s="15">
        <f t="shared" si="575"/>
        <v>48.527173426448208</v>
      </c>
      <c r="AK1042" s="8">
        <f t="shared" si="576"/>
        <v>0.27100000000000002</v>
      </c>
      <c r="AL1042" s="2">
        <v>1.63</v>
      </c>
      <c r="AM1042" s="15">
        <f t="shared" si="577"/>
        <v>60.415122312824316</v>
      </c>
      <c r="AN1042" s="8">
        <f t="shared" si="578"/>
        <v>0.16299999999999998</v>
      </c>
      <c r="AO1042" s="15" t="s">
        <v>86</v>
      </c>
      <c r="AP1042" s="15">
        <v>5.24</v>
      </c>
      <c r="AQ1042" s="15" t="s">
        <v>711</v>
      </c>
      <c r="AR1042" s="16">
        <v>55</v>
      </c>
      <c r="AS1042" s="16">
        <v>13</v>
      </c>
      <c r="AT1042" s="16">
        <v>32</v>
      </c>
      <c r="AU1042" s="15" t="s">
        <v>664</v>
      </c>
      <c r="AV1042" s="16">
        <f t="shared" si="570"/>
        <v>100</v>
      </c>
      <c r="AW1042" s="20">
        <v>1.6</v>
      </c>
      <c r="AX1042" s="8">
        <f t="shared" si="579"/>
        <v>1.6E-2</v>
      </c>
      <c r="AY1042" s="8" t="s">
        <v>87</v>
      </c>
      <c r="AZ1042" s="16">
        <v>20</v>
      </c>
      <c r="BA1042" s="16" t="s">
        <v>55</v>
      </c>
      <c r="BB1042" s="16" t="s">
        <v>391</v>
      </c>
      <c r="BC1042" s="16" t="s">
        <v>55</v>
      </c>
      <c r="BD1042" s="20">
        <v>3.8</v>
      </c>
      <c r="BE1042" s="16">
        <f t="shared" si="571"/>
        <v>237.49999999999997</v>
      </c>
      <c r="BF1042" s="16">
        <f t="shared" si="572"/>
        <v>2.3756636139608855</v>
      </c>
      <c r="BG1042" s="8">
        <f t="shared" si="573"/>
        <v>0.57978359661681012</v>
      </c>
      <c r="BH1042" s="13" t="s">
        <v>859</v>
      </c>
      <c r="BI1042" s="13"/>
      <c r="BJ1042" s="13"/>
      <c r="BK1042" s="13"/>
      <c r="BL1042" s="13"/>
      <c r="BM1042" s="17"/>
      <c r="BN1042" s="17"/>
      <c r="BO1042" s="2"/>
    </row>
    <row r="1043" spans="1:67" s="14" customFormat="1" x14ac:dyDescent="0.3">
      <c r="A1043" s="20">
        <v>1041</v>
      </c>
      <c r="B1043" s="2" t="s">
        <v>219</v>
      </c>
      <c r="C1043" s="2">
        <v>2020</v>
      </c>
      <c r="D1043" s="2" t="s">
        <v>205</v>
      </c>
      <c r="E1043" s="10" t="s">
        <v>802</v>
      </c>
      <c r="F1043" s="20" t="s">
        <v>29</v>
      </c>
      <c r="G1043" s="2">
        <v>14</v>
      </c>
      <c r="H1043" s="2" t="str">
        <f>'PFAS Properties'!$B$46</f>
        <v>PFOS</v>
      </c>
      <c r="I1043" s="2" t="str">
        <f>'PFAS Properties'!$C$46</f>
        <v>PFSA</v>
      </c>
      <c r="J1043" s="2" t="str">
        <f>'PFAS Properties'!$D$46</f>
        <v>C8HF17O3S</v>
      </c>
      <c r="K1043" s="25">
        <f>'PFAS Properties'!$P$46</f>
        <v>499.93739999999997</v>
      </c>
      <c r="L1043" s="2">
        <f>'PFAS Properties'!$X$46</f>
        <v>0.1</v>
      </c>
      <c r="M1043" s="2" t="str">
        <f>'PFAS Properties'!$Y$46</f>
        <v>-</v>
      </c>
      <c r="N1043" s="33">
        <v>0</v>
      </c>
      <c r="O1043" s="33">
        <v>0</v>
      </c>
      <c r="P1043" s="33">
        <v>0</v>
      </c>
      <c r="Q1043" s="33">
        <f t="shared" si="580"/>
        <v>0.99999987410747471</v>
      </c>
      <c r="R1043" s="33">
        <v>0</v>
      </c>
      <c r="S1043" s="33">
        <f t="shared" si="581"/>
        <v>1.2589252533048661E-7</v>
      </c>
      <c r="T1043" s="8">
        <f t="shared" si="564"/>
        <v>1</v>
      </c>
      <c r="U1043" s="33">
        <f t="shared" si="565"/>
        <v>0</v>
      </c>
      <c r="V1043" s="33">
        <f t="shared" si="566"/>
        <v>-0.99999987410747471</v>
      </c>
      <c r="W1043" s="33">
        <f t="shared" si="567"/>
        <v>498.93740012589251</v>
      </c>
      <c r="X1043" s="33">
        <v>96485</v>
      </c>
      <c r="Y1043" s="16">
        <f t="shared" si="568"/>
        <v>-193.38094885032569</v>
      </c>
      <c r="Z1043" s="16">
        <v>8</v>
      </c>
      <c r="AA1043" s="16">
        <v>17</v>
      </c>
      <c r="AB1043" s="8">
        <f t="shared" si="569"/>
        <v>0.29721362229102166</v>
      </c>
      <c r="AC1043" s="16">
        <f t="shared" si="574"/>
        <v>64.60808893273439</v>
      </c>
      <c r="AD1043" s="20">
        <f>'PFAS Properties'!$W$46</f>
        <v>8</v>
      </c>
      <c r="AE1043" s="8">
        <f>'PFAS Properties'!$S$46</f>
        <v>2.0166155475571776</v>
      </c>
      <c r="AF1043" s="15">
        <f>'PFAS Properties'!$V$46</f>
        <v>5</v>
      </c>
      <c r="AG1043" s="24">
        <v>7</v>
      </c>
      <c r="AH1043" s="2" t="s">
        <v>85</v>
      </c>
      <c r="AI1043" s="2">
        <v>3.22</v>
      </c>
      <c r="AJ1043" s="15">
        <f t="shared" si="575"/>
        <v>57.659593517772407</v>
      </c>
      <c r="AK1043" s="8">
        <f t="shared" si="576"/>
        <v>0.32200000000000001</v>
      </c>
      <c r="AL1043" s="2">
        <v>1.79</v>
      </c>
      <c r="AM1043" s="15">
        <f t="shared" si="577"/>
        <v>66.345441067457372</v>
      </c>
      <c r="AN1043" s="8">
        <f t="shared" si="578"/>
        <v>0.17899999999999999</v>
      </c>
      <c r="AO1043" s="15" t="s">
        <v>86</v>
      </c>
      <c r="AP1043" s="15">
        <v>17.75</v>
      </c>
      <c r="AQ1043" s="15" t="s">
        <v>711</v>
      </c>
      <c r="AR1043" s="16">
        <v>36</v>
      </c>
      <c r="AS1043" s="16">
        <v>8</v>
      </c>
      <c r="AT1043" s="16">
        <v>56</v>
      </c>
      <c r="AU1043" s="15" t="s">
        <v>664</v>
      </c>
      <c r="AV1043" s="16">
        <f t="shared" si="570"/>
        <v>100</v>
      </c>
      <c r="AW1043" s="20">
        <v>1.2</v>
      </c>
      <c r="AX1043" s="8">
        <f t="shared" si="579"/>
        <v>1.2E-2</v>
      </c>
      <c r="AY1043" s="8" t="s">
        <v>87</v>
      </c>
      <c r="AZ1043" s="16">
        <v>20</v>
      </c>
      <c r="BA1043" s="16" t="s">
        <v>55</v>
      </c>
      <c r="BB1043" s="16" t="s">
        <v>391</v>
      </c>
      <c r="BC1043" s="16" t="s">
        <v>55</v>
      </c>
      <c r="BD1043" s="20">
        <v>3.77</v>
      </c>
      <c r="BE1043" s="16">
        <f t="shared" si="571"/>
        <v>314.16666666666669</v>
      </c>
      <c r="BF1043" s="16">
        <f t="shared" si="572"/>
        <v>2.4971601041581679</v>
      </c>
      <c r="BG1043" s="8">
        <f t="shared" si="573"/>
        <v>0.57634135020579291</v>
      </c>
      <c r="BH1043" s="13" t="s">
        <v>859</v>
      </c>
      <c r="BI1043" s="13"/>
      <c r="BJ1043" s="13"/>
      <c r="BK1043" s="13"/>
      <c r="BL1043" s="13"/>
      <c r="BM1043" s="17"/>
      <c r="BN1043" s="17"/>
      <c r="BO1043" s="2"/>
    </row>
    <row r="1044" spans="1:67" s="14" customFormat="1" x14ac:dyDescent="0.3">
      <c r="A1044" s="20">
        <v>1042</v>
      </c>
      <c r="B1044" s="2" t="s">
        <v>219</v>
      </c>
      <c r="C1044" s="2">
        <v>2020</v>
      </c>
      <c r="D1044" s="2" t="s">
        <v>205</v>
      </c>
      <c r="E1044" s="10" t="s">
        <v>802</v>
      </c>
      <c r="F1044" s="20" t="s">
        <v>29</v>
      </c>
      <c r="G1044" s="2">
        <v>15</v>
      </c>
      <c r="H1044" s="2" t="str">
        <f>'PFAS Properties'!$B$46</f>
        <v>PFOS</v>
      </c>
      <c r="I1044" s="2" t="str">
        <f>'PFAS Properties'!$C$46</f>
        <v>PFSA</v>
      </c>
      <c r="J1044" s="2" t="str">
        <f>'PFAS Properties'!$D$46</f>
        <v>C8HF17O3S</v>
      </c>
      <c r="K1044" s="25">
        <f>'PFAS Properties'!$P$46</f>
        <v>499.93739999999997</v>
      </c>
      <c r="L1044" s="2">
        <f>'PFAS Properties'!$X$46</f>
        <v>0.1</v>
      </c>
      <c r="M1044" s="2" t="str">
        <f>'PFAS Properties'!$Y$46</f>
        <v>-</v>
      </c>
      <c r="N1044" s="33">
        <v>0</v>
      </c>
      <c r="O1044" s="33">
        <v>0</v>
      </c>
      <c r="P1044" s="33">
        <v>0</v>
      </c>
      <c r="Q1044" s="33">
        <f t="shared" si="580"/>
        <v>0.99999992056718279</v>
      </c>
      <c r="R1044" s="33">
        <v>0</v>
      </c>
      <c r="S1044" s="33">
        <f t="shared" si="581"/>
        <v>7.9432817162854954E-8</v>
      </c>
      <c r="T1044" s="8">
        <f t="shared" si="564"/>
        <v>1</v>
      </c>
      <c r="U1044" s="33">
        <f t="shared" si="565"/>
        <v>0</v>
      </c>
      <c r="V1044" s="33">
        <f t="shared" si="566"/>
        <v>-0.99999992056718279</v>
      </c>
      <c r="W1044" s="33">
        <f t="shared" si="567"/>
        <v>498.93740007943279</v>
      </c>
      <c r="X1044" s="33">
        <v>96485</v>
      </c>
      <c r="Y1044" s="16">
        <f t="shared" si="568"/>
        <v>-193.38095785275635</v>
      </c>
      <c r="Z1044" s="16">
        <v>8</v>
      </c>
      <c r="AA1044" s="16">
        <v>17</v>
      </c>
      <c r="AB1044" s="8">
        <f t="shared" si="569"/>
        <v>0.29721362229102166</v>
      </c>
      <c r="AC1044" s="16">
        <f t="shared" si="574"/>
        <v>64.60808893273439</v>
      </c>
      <c r="AD1044" s="20">
        <f>'PFAS Properties'!$W$46</f>
        <v>8</v>
      </c>
      <c r="AE1044" s="8">
        <f>'PFAS Properties'!$S$46</f>
        <v>2.0166155475571776</v>
      </c>
      <c r="AF1044" s="15">
        <f>'PFAS Properties'!$V$46</f>
        <v>5</v>
      </c>
      <c r="AG1044" s="24">
        <v>7.2</v>
      </c>
      <c r="AH1044" s="2" t="s">
        <v>85</v>
      </c>
      <c r="AI1044" s="2">
        <v>2.4300000000000002</v>
      </c>
      <c r="AJ1044" s="15">
        <f t="shared" si="575"/>
        <v>43.513295729250608</v>
      </c>
      <c r="AK1044" s="8">
        <f t="shared" si="576"/>
        <v>0.24300000000000002</v>
      </c>
      <c r="AL1044" s="2">
        <v>2.08</v>
      </c>
      <c r="AM1044" s="15">
        <f t="shared" si="577"/>
        <v>77.094143810229795</v>
      </c>
      <c r="AN1044" s="8">
        <f t="shared" si="578"/>
        <v>0.20800000000000002</v>
      </c>
      <c r="AO1044" s="15" t="s">
        <v>86</v>
      </c>
      <c r="AP1044" s="15">
        <v>10.81</v>
      </c>
      <c r="AQ1044" s="15" t="s">
        <v>711</v>
      </c>
      <c r="AR1044" s="16">
        <v>67</v>
      </c>
      <c r="AS1044" s="16">
        <v>4</v>
      </c>
      <c r="AT1044" s="16">
        <v>29</v>
      </c>
      <c r="AU1044" s="15" t="s">
        <v>664</v>
      </c>
      <c r="AV1044" s="16">
        <f t="shared" si="570"/>
        <v>100</v>
      </c>
      <c r="AW1044" s="20">
        <v>1.5</v>
      </c>
      <c r="AX1044" s="8">
        <f t="shared" si="579"/>
        <v>1.4999999999999999E-2</v>
      </c>
      <c r="AY1044" s="8" t="s">
        <v>87</v>
      </c>
      <c r="AZ1044" s="16">
        <v>20</v>
      </c>
      <c r="BA1044" s="16" t="s">
        <v>55</v>
      </c>
      <c r="BB1044" s="16" t="s">
        <v>391</v>
      </c>
      <c r="BC1044" s="16" t="s">
        <v>55</v>
      </c>
      <c r="BD1044" s="20">
        <v>12.07</v>
      </c>
      <c r="BE1044" s="16">
        <f t="shared" si="571"/>
        <v>804.66666666666674</v>
      </c>
      <c r="BF1044" s="16">
        <f t="shared" si="572"/>
        <v>2.9056160110416682</v>
      </c>
      <c r="BG1044" s="8">
        <f t="shared" si="573"/>
        <v>1.0817072700973491</v>
      </c>
      <c r="BH1044" s="13" t="s">
        <v>859</v>
      </c>
      <c r="BI1044" s="13"/>
      <c r="BJ1044" s="13"/>
      <c r="BK1044" s="13"/>
      <c r="BL1044" s="13"/>
      <c r="BM1044" s="17"/>
      <c r="BN1044" s="17"/>
      <c r="BO1044" s="2"/>
    </row>
    <row r="1045" spans="1:67" s="14" customFormat="1" x14ac:dyDescent="0.3">
      <c r="A1045" s="20">
        <v>1043</v>
      </c>
      <c r="B1045" s="2" t="s">
        <v>219</v>
      </c>
      <c r="C1045" s="2">
        <v>2020</v>
      </c>
      <c r="D1045" s="2" t="s">
        <v>205</v>
      </c>
      <c r="E1045" s="10" t="s">
        <v>802</v>
      </c>
      <c r="F1045" s="20" t="s">
        <v>29</v>
      </c>
      <c r="G1045" s="2">
        <v>16</v>
      </c>
      <c r="H1045" s="2" t="str">
        <f>'PFAS Properties'!$B$46</f>
        <v>PFOS</v>
      </c>
      <c r="I1045" s="2" t="str">
        <f>'PFAS Properties'!$C$46</f>
        <v>PFSA</v>
      </c>
      <c r="J1045" s="2" t="str">
        <f>'PFAS Properties'!$D$46</f>
        <v>C8HF17O3S</v>
      </c>
      <c r="K1045" s="25">
        <f>'PFAS Properties'!$P$46</f>
        <v>499.93739999999997</v>
      </c>
      <c r="L1045" s="2">
        <f>'PFAS Properties'!$X$46</f>
        <v>0.1</v>
      </c>
      <c r="M1045" s="2" t="str">
        <f>'PFAS Properties'!$Y$46</f>
        <v>-</v>
      </c>
      <c r="N1045" s="33">
        <v>0</v>
      </c>
      <c r="O1045" s="33">
        <v>0</v>
      </c>
      <c r="P1045" s="33">
        <v>0</v>
      </c>
      <c r="Q1045" s="33">
        <f t="shared" si="580"/>
        <v>0.99999990000001004</v>
      </c>
      <c r="R1045" s="33">
        <v>0</v>
      </c>
      <c r="S1045" s="33">
        <f t="shared" si="581"/>
        <v>9.9999990000001005E-8</v>
      </c>
      <c r="T1045" s="8">
        <f t="shared" si="564"/>
        <v>1</v>
      </c>
      <c r="U1045" s="33">
        <f t="shared" si="565"/>
        <v>0</v>
      </c>
      <c r="V1045" s="33">
        <f t="shared" si="566"/>
        <v>-0.99999990000001004</v>
      </c>
      <c r="W1045" s="33">
        <f t="shared" si="567"/>
        <v>498.93740009999999</v>
      </c>
      <c r="X1045" s="33">
        <v>96485</v>
      </c>
      <c r="Y1045" s="16">
        <f t="shared" si="568"/>
        <v>-193.38095386748492</v>
      </c>
      <c r="Z1045" s="16">
        <v>8</v>
      </c>
      <c r="AA1045" s="16">
        <v>17</v>
      </c>
      <c r="AB1045" s="8">
        <f t="shared" si="569"/>
        <v>0.29721362229102166</v>
      </c>
      <c r="AC1045" s="16">
        <f t="shared" si="574"/>
        <v>64.60808893273439</v>
      </c>
      <c r="AD1045" s="20">
        <f>'PFAS Properties'!$W$46</f>
        <v>8</v>
      </c>
      <c r="AE1045" s="8">
        <f>'PFAS Properties'!$S$46</f>
        <v>2.0166155475571776</v>
      </c>
      <c r="AF1045" s="15">
        <f>'PFAS Properties'!$V$46</f>
        <v>5</v>
      </c>
      <c r="AG1045" s="24">
        <v>7.1</v>
      </c>
      <c r="AH1045" s="2" t="s">
        <v>85</v>
      </c>
      <c r="AI1045" s="2">
        <v>1.82</v>
      </c>
      <c r="AJ1045" s="15">
        <f t="shared" si="575"/>
        <v>32.590205031784407</v>
      </c>
      <c r="AK1045" s="8">
        <f t="shared" si="576"/>
        <v>0.182</v>
      </c>
      <c r="AL1045" s="2">
        <v>1.61</v>
      </c>
      <c r="AM1045" s="15">
        <f t="shared" si="577"/>
        <v>59.673832468495178</v>
      </c>
      <c r="AN1045" s="8">
        <f t="shared" si="578"/>
        <v>0.161</v>
      </c>
      <c r="AO1045" s="15" t="s">
        <v>86</v>
      </c>
      <c r="AP1045" s="15">
        <v>14.74</v>
      </c>
      <c r="AQ1045" s="15" t="s">
        <v>711</v>
      </c>
      <c r="AR1045" s="16">
        <v>60</v>
      </c>
      <c r="AS1045" s="16">
        <v>9</v>
      </c>
      <c r="AT1045" s="16">
        <v>31</v>
      </c>
      <c r="AU1045" s="15" t="s">
        <v>664</v>
      </c>
      <c r="AV1045" s="16">
        <f t="shared" si="570"/>
        <v>100</v>
      </c>
      <c r="AW1045" s="20">
        <v>1</v>
      </c>
      <c r="AX1045" s="8">
        <f t="shared" si="579"/>
        <v>0.01</v>
      </c>
      <c r="AY1045" s="8" t="s">
        <v>87</v>
      </c>
      <c r="AZ1045" s="16">
        <v>20</v>
      </c>
      <c r="BA1045" s="16" t="s">
        <v>55</v>
      </c>
      <c r="BB1045" s="16" t="s">
        <v>391</v>
      </c>
      <c r="BC1045" s="16" t="s">
        <v>55</v>
      </c>
      <c r="BD1045" s="20">
        <v>7.49</v>
      </c>
      <c r="BE1045" s="16">
        <f t="shared" si="571"/>
        <v>749</v>
      </c>
      <c r="BF1045" s="16">
        <f t="shared" si="572"/>
        <v>2.8744818176994666</v>
      </c>
      <c r="BG1045" s="8">
        <f t="shared" si="573"/>
        <v>0.87448181769946653</v>
      </c>
      <c r="BH1045" s="13" t="s">
        <v>859</v>
      </c>
      <c r="BI1045" s="13"/>
      <c r="BJ1045" s="13"/>
      <c r="BK1045" s="13"/>
      <c r="BL1045" s="13"/>
      <c r="BM1045" s="17"/>
      <c r="BN1045" s="17"/>
      <c r="BO1045" s="2"/>
    </row>
    <row r="1046" spans="1:67" s="14" customFormat="1" x14ac:dyDescent="0.3">
      <c r="A1046" s="20">
        <v>1044</v>
      </c>
      <c r="B1046" s="2" t="s">
        <v>219</v>
      </c>
      <c r="C1046" s="2">
        <v>2020</v>
      </c>
      <c r="D1046" s="2" t="s">
        <v>205</v>
      </c>
      <c r="E1046" s="22" t="s">
        <v>802</v>
      </c>
      <c r="F1046" s="20" t="s">
        <v>29</v>
      </c>
      <c r="G1046" s="2">
        <v>17</v>
      </c>
      <c r="H1046" s="2" t="str">
        <f>'PFAS Properties'!$B$46</f>
        <v>PFOS</v>
      </c>
      <c r="I1046" s="2" t="str">
        <f>'PFAS Properties'!$C$46</f>
        <v>PFSA</v>
      </c>
      <c r="J1046" s="2" t="str">
        <f>'PFAS Properties'!$D$46</f>
        <v>C8HF17O3S</v>
      </c>
      <c r="K1046" s="25">
        <f>'PFAS Properties'!$P$46</f>
        <v>499.93739999999997</v>
      </c>
      <c r="L1046" s="2">
        <f>'PFAS Properties'!$X$46</f>
        <v>0.1</v>
      </c>
      <c r="M1046" s="2" t="str">
        <f>'PFAS Properties'!$Y$46</f>
        <v>-</v>
      </c>
      <c r="N1046" s="33">
        <v>0</v>
      </c>
      <c r="O1046" s="33">
        <v>0</v>
      </c>
      <c r="P1046" s="33">
        <v>0</v>
      </c>
      <c r="Q1046" s="33">
        <f t="shared" si="580"/>
        <v>0.99998741090436938</v>
      </c>
      <c r="R1046" s="33">
        <v>0</v>
      </c>
      <c r="S1046" s="33">
        <f t="shared" si="581"/>
        <v>1.258909563061765E-5</v>
      </c>
      <c r="T1046" s="8">
        <f t="shared" si="564"/>
        <v>1</v>
      </c>
      <c r="U1046" s="33">
        <f t="shared" si="565"/>
        <v>0</v>
      </c>
      <c r="V1046" s="33">
        <f t="shared" si="566"/>
        <v>-0.99998741090436938</v>
      </c>
      <c r="W1046" s="33">
        <f t="shared" si="567"/>
        <v>498.93741258909557</v>
      </c>
      <c r="X1046" s="33">
        <v>96485</v>
      </c>
      <c r="Y1046" s="16">
        <f t="shared" si="568"/>
        <v>-193.37853387348241</v>
      </c>
      <c r="Z1046" s="16">
        <v>8</v>
      </c>
      <c r="AA1046" s="16">
        <v>17</v>
      </c>
      <c r="AB1046" s="8">
        <f t="shared" si="569"/>
        <v>0.29721362229102166</v>
      </c>
      <c r="AC1046" s="16">
        <f t="shared" si="574"/>
        <v>64.60808893273439</v>
      </c>
      <c r="AD1046" s="20">
        <f>'PFAS Properties'!$W$46</f>
        <v>8</v>
      </c>
      <c r="AE1046" s="8">
        <f>'PFAS Properties'!$S$46</f>
        <v>2.0166155475571776</v>
      </c>
      <c r="AF1046" s="15">
        <f>'PFAS Properties'!$V$46</f>
        <v>5</v>
      </c>
      <c r="AG1046" s="24">
        <v>5</v>
      </c>
      <c r="AH1046" s="2" t="s">
        <v>85</v>
      </c>
      <c r="AI1046" s="2">
        <v>3.66</v>
      </c>
      <c r="AJ1046" s="15">
        <f t="shared" si="575"/>
        <v>65.538544184797203</v>
      </c>
      <c r="AK1046" s="8">
        <f t="shared" si="576"/>
        <v>0.36599999999999999</v>
      </c>
      <c r="AL1046" s="2">
        <v>2.37</v>
      </c>
      <c r="AM1046" s="15">
        <f t="shared" si="577"/>
        <v>87.842846553002218</v>
      </c>
      <c r="AN1046" s="8">
        <f t="shared" si="578"/>
        <v>0.23700000000000002</v>
      </c>
      <c r="AO1046" s="15" t="s">
        <v>86</v>
      </c>
      <c r="AP1046" s="15">
        <v>5.42</v>
      </c>
      <c r="AQ1046" s="15" t="s">
        <v>711</v>
      </c>
      <c r="AR1046" s="16">
        <v>38</v>
      </c>
      <c r="AS1046" s="16">
        <v>16</v>
      </c>
      <c r="AT1046" s="16">
        <v>46</v>
      </c>
      <c r="AU1046" s="15" t="s">
        <v>664</v>
      </c>
      <c r="AV1046" s="16">
        <f t="shared" si="570"/>
        <v>100</v>
      </c>
      <c r="AW1046" s="20">
        <v>1.6</v>
      </c>
      <c r="AX1046" s="8">
        <f t="shared" si="579"/>
        <v>1.6E-2</v>
      </c>
      <c r="AY1046" s="8" t="s">
        <v>87</v>
      </c>
      <c r="AZ1046" s="16">
        <v>20</v>
      </c>
      <c r="BA1046" s="16" t="s">
        <v>55</v>
      </c>
      <c r="BB1046" s="16" t="s">
        <v>391</v>
      </c>
      <c r="BC1046" s="16" t="s">
        <v>55</v>
      </c>
      <c r="BD1046" s="20">
        <v>5.44</v>
      </c>
      <c r="BE1046" s="16">
        <f t="shared" si="571"/>
        <v>340</v>
      </c>
      <c r="BF1046" s="16">
        <f t="shared" si="572"/>
        <v>2.5314789170422549</v>
      </c>
      <c r="BG1046" s="8">
        <f t="shared" si="573"/>
        <v>0.73559889969817993</v>
      </c>
      <c r="BH1046" s="13" t="s">
        <v>859</v>
      </c>
      <c r="BI1046" s="13"/>
      <c r="BJ1046" s="13"/>
      <c r="BK1046" s="13"/>
      <c r="BL1046" s="13"/>
      <c r="BM1046" s="17"/>
      <c r="BN1046" s="17"/>
      <c r="BO1046" s="2"/>
    </row>
    <row r="1047" spans="1:67" s="14" customFormat="1" x14ac:dyDescent="0.3">
      <c r="A1047" s="20">
        <v>1045</v>
      </c>
      <c r="B1047" s="2" t="s">
        <v>219</v>
      </c>
      <c r="C1047" s="2">
        <v>2020</v>
      </c>
      <c r="D1047" s="2" t="s">
        <v>205</v>
      </c>
      <c r="E1047" s="10" t="s">
        <v>802</v>
      </c>
      <c r="F1047" s="20" t="s">
        <v>29</v>
      </c>
      <c r="G1047" s="2">
        <v>18</v>
      </c>
      <c r="H1047" s="2" t="str">
        <f>'PFAS Properties'!$B$46</f>
        <v>PFOS</v>
      </c>
      <c r="I1047" s="2" t="str">
        <f>'PFAS Properties'!$C$46</f>
        <v>PFSA</v>
      </c>
      <c r="J1047" s="2" t="str">
        <f>'PFAS Properties'!$D$46</f>
        <v>C8HF17O3S</v>
      </c>
      <c r="K1047" s="25">
        <f>'PFAS Properties'!$P$46</f>
        <v>499.93739999999997</v>
      </c>
      <c r="L1047" s="2">
        <f>'PFAS Properties'!$X$46</f>
        <v>0.1</v>
      </c>
      <c r="M1047" s="2" t="str">
        <f>'PFAS Properties'!$Y$46</f>
        <v>-</v>
      </c>
      <c r="N1047" s="33">
        <v>0</v>
      </c>
      <c r="O1047" s="33">
        <v>0</v>
      </c>
      <c r="P1047" s="33">
        <v>0</v>
      </c>
      <c r="Q1047" s="33">
        <f t="shared" si="580"/>
        <v>0.99998741090436938</v>
      </c>
      <c r="R1047" s="33">
        <v>0</v>
      </c>
      <c r="S1047" s="33">
        <f t="shared" si="581"/>
        <v>1.258909563061765E-5</v>
      </c>
      <c r="T1047" s="8">
        <f t="shared" si="564"/>
        <v>1</v>
      </c>
      <c r="U1047" s="33">
        <f t="shared" si="565"/>
        <v>0</v>
      </c>
      <c r="V1047" s="33">
        <f t="shared" si="566"/>
        <v>-0.99998741090436938</v>
      </c>
      <c r="W1047" s="33">
        <f t="shared" si="567"/>
        <v>498.93741258909557</v>
      </c>
      <c r="X1047" s="33">
        <v>96485</v>
      </c>
      <c r="Y1047" s="16">
        <f t="shared" si="568"/>
        <v>-193.37853387348241</v>
      </c>
      <c r="Z1047" s="16">
        <v>8</v>
      </c>
      <c r="AA1047" s="16">
        <v>17</v>
      </c>
      <c r="AB1047" s="8">
        <f t="shared" si="569"/>
        <v>0.29721362229102166</v>
      </c>
      <c r="AC1047" s="16">
        <f t="shared" si="574"/>
        <v>64.60808893273439</v>
      </c>
      <c r="AD1047" s="20">
        <f>'PFAS Properties'!$W$46</f>
        <v>8</v>
      </c>
      <c r="AE1047" s="8">
        <f>'PFAS Properties'!$S$46</f>
        <v>2.0166155475571776</v>
      </c>
      <c r="AF1047" s="15">
        <f>'PFAS Properties'!$V$46</f>
        <v>5</v>
      </c>
      <c r="AG1047" s="24">
        <v>5</v>
      </c>
      <c r="AH1047" s="2" t="s">
        <v>85</v>
      </c>
      <c r="AI1047" s="2">
        <v>4.32</v>
      </c>
      <c r="AJ1047" s="15">
        <f t="shared" si="575"/>
        <v>77.356970185334404</v>
      </c>
      <c r="AK1047" s="8">
        <f t="shared" si="576"/>
        <v>0.43200000000000005</v>
      </c>
      <c r="AL1047" s="2">
        <v>19.399999999999999</v>
      </c>
      <c r="AM1047" s="15">
        <f t="shared" si="577"/>
        <v>719.05114899925866</v>
      </c>
      <c r="AN1047" s="8">
        <f t="shared" si="578"/>
        <v>1.94</v>
      </c>
      <c r="AO1047" s="15" t="s">
        <v>86</v>
      </c>
      <c r="AP1047" s="15">
        <v>17.3</v>
      </c>
      <c r="AQ1047" s="15" t="s">
        <v>711</v>
      </c>
      <c r="AR1047" s="16">
        <v>49</v>
      </c>
      <c r="AS1047" s="16">
        <v>38</v>
      </c>
      <c r="AT1047" s="16">
        <v>13</v>
      </c>
      <c r="AU1047" s="15" t="s">
        <v>664</v>
      </c>
      <c r="AV1047" s="16">
        <f t="shared" si="570"/>
        <v>100</v>
      </c>
      <c r="AW1047" s="20">
        <v>4.8</v>
      </c>
      <c r="AX1047" s="8">
        <f t="shared" si="579"/>
        <v>4.8000000000000001E-2</v>
      </c>
      <c r="AY1047" s="8" t="s">
        <v>87</v>
      </c>
      <c r="AZ1047" s="16">
        <v>20</v>
      </c>
      <c r="BA1047" s="16" t="s">
        <v>55</v>
      </c>
      <c r="BB1047" s="16" t="s">
        <v>391</v>
      </c>
      <c r="BC1047" s="16" t="s">
        <v>55</v>
      </c>
      <c r="BD1047" s="20">
        <v>31.6</v>
      </c>
      <c r="BE1047" s="16">
        <f t="shared" si="571"/>
        <v>658.33333333333337</v>
      </c>
      <c r="BF1047" s="16">
        <f t="shared" si="572"/>
        <v>2.8184458452428167</v>
      </c>
      <c r="BG1047" s="8">
        <f t="shared" si="573"/>
        <v>1.4996870826184039</v>
      </c>
      <c r="BH1047" s="13" t="s">
        <v>859</v>
      </c>
      <c r="BI1047" s="13"/>
      <c r="BJ1047" s="13"/>
      <c r="BK1047" s="13"/>
      <c r="BL1047" s="13"/>
      <c r="BM1047" s="17"/>
      <c r="BN1047" s="17"/>
      <c r="BO1047" s="2"/>
    </row>
    <row r="1048" spans="1:67" s="14" customFormat="1" x14ac:dyDescent="0.3">
      <c r="A1048" s="20">
        <v>1046</v>
      </c>
      <c r="B1048" s="2" t="s">
        <v>219</v>
      </c>
      <c r="C1048" s="2">
        <v>2020</v>
      </c>
      <c r="D1048" s="2" t="s">
        <v>205</v>
      </c>
      <c r="E1048" s="10" t="s">
        <v>802</v>
      </c>
      <c r="F1048" s="20" t="s">
        <v>29</v>
      </c>
      <c r="G1048" s="2">
        <v>19</v>
      </c>
      <c r="H1048" s="2" t="str">
        <f>'PFAS Properties'!$B$46</f>
        <v>PFOS</v>
      </c>
      <c r="I1048" s="2" t="str">
        <f>'PFAS Properties'!$C$46</f>
        <v>PFSA</v>
      </c>
      <c r="J1048" s="2" t="str">
        <f>'PFAS Properties'!$D$46</f>
        <v>C8HF17O3S</v>
      </c>
      <c r="K1048" s="25">
        <f>'PFAS Properties'!$P$46</f>
        <v>499.93739999999997</v>
      </c>
      <c r="L1048" s="2">
        <f>'PFAS Properties'!$X$46</f>
        <v>0.1</v>
      </c>
      <c r="M1048" s="2" t="str">
        <f>'PFAS Properties'!$Y$46</f>
        <v>-</v>
      </c>
      <c r="N1048" s="33">
        <v>0</v>
      </c>
      <c r="O1048" s="33">
        <v>0</v>
      </c>
      <c r="P1048" s="33">
        <v>0</v>
      </c>
      <c r="Q1048" s="33">
        <f t="shared" si="580"/>
        <v>0.99999800474166611</v>
      </c>
      <c r="R1048" s="33">
        <v>0</v>
      </c>
      <c r="S1048" s="33">
        <f t="shared" si="581"/>
        <v>1.9952583339051124E-6</v>
      </c>
      <c r="T1048" s="8">
        <f t="shared" si="564"/>
        <v>1</v>
      </c>
      <c r="U1048" s="33">
        <f t="shared" si="565"/>
        <v>0</v>
      </c>
      <c r="V1048" s="33">
        <f t="shared" si="566"/>
        <v>-0.99999800474166611</v>
      </c>
      <c r="W1048" s="33">
        <f t="shared" si="567"/>
        <v>498.93740199525831</v>
      </c>
      <c r="X1048" s="33">
        <v>96485</v>
      </c>
      <c r="Y1048" s="16">
        <f t="shared" si="568"/>
        <v>-193.38058662600847</v>
      </c>
      <c r="Z1048" s="16">
        <v>8</v>
      </c>
      <c r="AA1048" s="16">
        <v>17</v>
      </c>
      <c r="AB1048" s="8">
        <f t="shared" si="569"/>
        <v>0.29721362229102166</v>
      </c>
      <c r="AC1048" s="16">
        <f t="shared" si="574"/>
        <v>64.60808893273439</v>
      </c>
      <c r="AD1048" s="20">
        <f>'PFAS Properties'!$W$46</f>
        <v>8</v>
      </c>
      <c r="AE1048" s="8">
        <f>'PFAS Properties'!$S$46</f>
        <v>2.0166155475571776</v>
      </c>
      <c r="AF1048" s="15">
        <f>'PFAS Properties'!$V$46</f>
        <v>5</v>
      </c>
      <c r="AG1048" s="24">
        <v>5.8</v>
      </c>
      <c r="AH1048" s="2" t="s">
        <v>85</v>
      </c>
      <c r="AI1048" s="2">
        <v>1.58</v>
      </c>
      <c r="AJ1048" s="15">
        <f t="shared" si="575"/>
        <v>28.292595577043603</v>
      </c>
      <c r="AK1048" s="8">
        <f t="shared" si="576"/>
        <v>0.158</v>
      </c>
      <c r="AL1048" s="2">
        <v>0.65500000000000003</v>
      </c>
      <c r="AM1048" s="15">
        <f t="shared" si="577"/>
        <v>24.277242401779095</v>
      </c>
      <c r="AN1048" s="8">
        <f t="shared" si="578"/>
        <v>6.5500000000000003E-2</v>
      </c>
      <c r="AO1048" s="15" t="s">
        <v>86</v>
      </c>
      <c r="AP1048" s="15">
        <v>4.34</v>
      </c>
      <c r="AQ1048" s="15" t="s">
        <v>711</v>
      </c>
      <c r="AR1048" s="16">
        <v>74</v>
      </c>
      <c r="AS1048" s="16">
        <v>5</v>
      </c>
      <c r="AT1048" s="16">
        <v>21</v>
      </c>
      <c r="AU1048" s="15" t="s">
        <v>664</v>
      </c>
      <c r="AV1048" s="16">
        <f t="shared" si="570"/>
        <v>100</v>
      </c>
      <c r="AW1048" s="20">
        <v>0.8</v>
      </c>
      <c r="AX1048" s="8">
        <f t="shared" si="579"/>
        <v>8.0000000000000002E-3</v>
      </c>
      <c r="AY1048" s="8" t="s">
        <v>87</v>
      </c>
      <c r="AZ1048" s="16">
        <v>20</v>
      </c>
      <c r="BA1048" s="16" t="s">
        <v>55</v>
      </c>
      <c r="BB1048" s="16" t="s">
        <v>391</v>
      </c>
      <c r="BC1048" s="16" t="s">
        <v>55</v>
      </c>
      <c r="BD1048" s="20">
        <v>7.01</v>
      </c>
      <c r="BE1048" s="16">
        <f t="shared" si="571"/>
        <v>876.25</v>
      </c>
      <c r="BF1048" s="16">
        <f t="shared" si="572"/>
        <v>2.9426280309747153</v>
      </c>
      <c r="BG1048" s="8">
        <f t="shared" si="573"/>
        <v>0.84571801796665869</v>
      </c>
      <c r="BH1048" s="13" t="s">
        <v>859</v>
      </c>
      <c r="BI1048" s="13"/>
      <c r="BJ1048" s="13"/>
      <c r="BK1048" s="13"/>
      <c r="BL1048" s="13"/>
      <c r="BM1048" s="17"/>
      <c r="BN1048" s="17"/>
      <c r="BO1048" s="2"/>
    </row>
    <row r="1049" spans="1:67" s="14" customFormat="1" x14ac:dyDescent="0.3">
      <c r="A1049" s="20">
        <v>1047</v>
      </c>
      <c r="B1049" s="2" t="s">
        <v>219</v>
      </c>
      <c r="C1049" s="2">
        <v>2020</v>
      </c>
      <c r="D1049" s="2" t="s">
        <v>205</v>
      </c>
      <c r="E1049" s="10" t="s">
        <v>802</v>
      </c>
      <c r="F1049" s="20" t="s">
        <v>29</v>
      </c>
      <c r="G1049" s="2">
        <v>20</v>
      </c>
      <c r="H1049" s="2" t="str">
        <f>'PFAS Properties'!$B$46</f>
        <v>PFOS</v>
      </c>
      <c r="I1049" s="2" t="str">
        <f>'PFAS Properties'!$C$46</f>
        <v>PFSA</v>
      </c>
      <c r="J1049" s="2" t="str">
        <f>'PFAS Properties'!$D$46</f>
        <v>C8HF17O3S</v>
      </c>
      <c r="K1049" s="25">
        <f>'PFAS Properties'!$P$46</f>
        <v>499.93739999999997</v>
      </c>
      <c r="L1049" s="2">
        <f>'PFAS Properties'!$X$46</f>
        <v>0.1</v>
      </c>
      <c r="M1049" s="2" t="str">
        <f>'PFAS Properties'!$Y$46</f>
        <v>-</v>
      </c>
      <c r="N1049" s="33">
        <v>0</v>
      </c>
      <c r="O1049" s="33">
        <v>0</v>
      </c>
      <c r="P1049" s="33">
        <v>0</v>
      </c>
      <c r="Q1049" s="33">
        <f t="shared" si="580"/>
        <v>0.99999601894414336</v>
      </c>
      <c r="R1049" s="33">
        <v>0</v>
      </c>
      <c r="S1049" s="33">
        <f t="shared" si="581"/>
        <v>3.981055856666137E-6</v>
      </c>
      <c r="T1049" s="8">
        <f t="shared" si="564"/>
        <v>1</v>
      </c>
      <c r="U1049" s="33">
        <f t="shared" si="565"/>
        <v>0</v>
      </c>
      <c r="V1049" s="33">
        <f t="shared" si="566"/>
        <v>-0.99999601894414336</v>
      </c>
      <c r="W1049" s="33">
        <f t="shared" si="567"/>
        <v>498.93740398105581</v>
      </c>
      <c r="X1049" s="33">
        <v>96485</v>
      </c>
      <c r="Y1049" s="16">
        <f t="shared" si="568"/>
        <v>-193.38020184088887</v>
      </c>
      <c r="Z1049" s="16">
        <v>8</v>
      </c>
      <c r="AA1049" s="16">
        <v>17</v>
      </c>
      <c r="AB1049" s="8">
        <f t="shared" si="569"/>
        <v>0.29721362229102166</v>
      </c>
      <c r="AC1049" s="16">
        <f t="shared" si="574"/>
        <v>64.60808893273439</v>
      </c>
      <c r="AD1049" s="20">
        <f>'PFAS Properties'!$W$46</f>
        <v>8</v>
      </c>
      <c r="AE1049" s="8">
        <f>'PFAS Properties'!$S$46</f>
        <v>2.0166155475571776</v>
      </c>
      <c r="AF1049" s="15">
        <f>'PFAS Properties'!$V$46</f>
        <v>5</v>
      </c>
      <c r="AG1049" s="24">
        <v>5.5</v>
      </c>
      <c r="AH1049" s="2" t="s">
        <v>85</v>
      </c>
      <c r="AI1049" s="2">
        <v>2.91</v>
      </c>
      <c r="AJ1049" s="15">
        <f t="shared" si="575"/>
        <v>52.10851463873221</v>
      </c>
      <c r="AK1049" s="8">
        <f t="shared" si="576"/>
        <v>0.29100000000000004</v>
      </c>
      <c r="AL1049" s="2">
        <v>2.72</v>
      </c>
      <c r="AM1049" s="15">
        <f t="shared" si="577"/>
        <v>100.81541882876205</v>
      </c>
      <c r="AN1049" s="8">
        <f t="shared" si="578"/>
        <v>0.27200000000000002</v>
      </c>
      <c r="AO1049" s="15" t="s">
        <v>86</v>
      </c>
      <c r="AP1049" s="15">
        <v>16.3</v>
      </c>
      <c r="AQ1049" s="15" t="s">
        <v>711</v>
      </c>
      <c r="AR1049" s="16">
        <v>21</v>
      </c>
      <c r="AS1049" s="16">
        <v>21</v>
      </c>
      <c r="AT1049" s="16">
        <v>58</v>
      </c>
      <c r="AU1049" s="15" t="s">
        <v>664</v>
      </c>
      <c r="AV1049" s="16">
        <f t="shared" si="570"/>
        <v>100</v>
      </c>
      <c r="AW1049" s="20">
        <v>1</v>
      </c>
      <c r="AX1049" s="8">
        <f t="shared" si="579"/>
        <v>0.01</v>
      </c>
      <c r="AY1049" s="8" t="s">
        <v>87</v>
      </c>
      <c r="AZ1049" s="16">
        <v>20</v>
      </c>
      <c r="BA1049" s="16" t="s">
        <v>55</v>
      </c>
      <c r="BB1049" s="16" t="s">
        <v>391</v>
      </c>
      <c r="BC1049" s="16" t="s">
        <v>55</v>
      </c>
      <c r="BD1049" s="20">
        <v>19.96</v>
      </c>
      <c r="BE1049" s="16">
        <f t="shared" si="571"/>
        <v>1996</v>
      </c>
      <c r="BF1049" s="16">
        <f t="shared" si="572"/>
        <v>3.3001605369513523</v>
      </c>
      <c r="BG1049" s="8">
        <f t="shared" si="573"/>
        <v>1.3001605369513523</v>
      </c>
      <c r="BH1049" s="13" t="s">
        <v>859</v>
      </c>
      <c r="BI1049" s="13"/>
      <c r="BJ1049" s="13"/>
      <c r="BK1049" s="13"/>
      <c r="BL1049" s="13"/>
      <c r="BM1049" s="17"/>
      <c r="BN1049" s="17"/>
      <c r="BO1049" s="2"/>
    </row>
    <row r="1050" spans="1:67" s="14" customFormat="1" x14ac:dyDescent="0.3">
      <c r="A1050" s="20">
        <v>1048</v>
      </c>
      <c r="B1050" s="2" t="s">
        <v>219</v>
      </c>
      <c r="C1050" s="2">
        <v>2020</v>
      </c>
      <c r="D1050" s="2" t="s">
        <v>205</v>
      </c>
      <c r="E1050" s="10" t="s">
        <v>802</v>
      </c>
      <c r="F1050" s="20" t="s">
        <v>29</v>
      </c>
      <c r="G1050" s="2">
        <v>21</v>
      </c>
      <c r="H1050" s="2" t="str">
        <f>'PFAS Properties'!$B$46</f>
        <v>PFOS</v>
      </c>
      <c r="I1050" s="2" t="str">
        <f>'PFAS Properties'!$C$46</f>
        <v>PFSA</v>
      </c>
      <c r="J1050" s="2" t="str">
        <f>'PFAS Properties'!$D$46</f>
        <v>C8HF17O3S</v>
      </c>
      <c r="K1050" s="25">
        <f>'PFAS Properties'!$P$46</f>
        <v>499.93739999999997</v>
      </c>
      <c r="L1050" s="2">
        <f>'PFAS Properties'!$X$46</f>
        <v>0.1</v>
      </c>
      <c r="M1050" s="2" t="str">
        <f>'PFAS Properties'!$Y$46</f>
        <v>-</v>
      </c>
      <c r="N1050" s="33">
        <v>0</v>
      </c>
      <c r="O1050" s="33">
        <v>0</v>
      </c>
      <c r="P1050" s="33">
        <v>0</v>
      </c>
      <c r="Q1050" s="33">
        <f t="shared" si="580"/>
        <v>0.9999974881198781</v>
      </c>
      <c r="R1050" s="33">
        <v>0</v>
      </c>
      <c r="S1050" s="33">
        <f t="shared" si="581"/>
        <v>2.5118801219519806E-6</v>
      </c>
      <c r="T1050" s="8">
        <f t="shared" si="564"/>
        <v>1</v>
      </c>
      <c r="U1050" s="33">
        <f t="shared" si="565"/>
        <v>0</v>
      </c>
      <c r="V1050" s="33">
        <f t="shared" si="566"/>
        <v>-0.9999974881198781</v>
      </c>
      <c r="W1050" s="33">
        <f t="shared" si="567"/>
        <v>498.93740251188012</v>
      </c>
      <c r="X1050" s="33">
        <v>96485</v>
      </c>
      <c r="Y1050" s="16">
        <f t="shared" si="568"/>
        <v>-193.38048652094997</v>
      </c>
      <c r="Z1050" s="16">
        <v>8</v>
      </c>
      <c r="AA1050" s="16">
        <v>17</v>
      </c>
      <c r="AB1050" s="8">
        <f t="shared" si="569"/>
        <v>0.29721362229102166</v>
      </c>
      <c r="AC1050" s="16">
        <f t="shared" si="574"/>
        <v>64.60808893273439</v>
      </c>
      <c r="AD1050" s="20">
        <f>'PFAS Properties'!$W$46</f>
        <v>8</v>
      </c>
      <c r="AE1050" s="8">
        <f>'PFAS Properties'!$S$46</f>
        <v>2.0166155475571776</v>
      </c>
      <c r="AF1050" s="15">
        <f>'PFAS Properties'!$V$46</f>
        <v>5</v>
      </c>
      <c r="AG1050" s="24">
        <v>5.7</v>
      </c>
      <c r="AH1050" s="2" t="s">
        <v>85</v>
      </c>
      <c r="AI1050" s="2">
        <v>2.2599999999999998</v>
      </c>
      <c r="AJ1050" s="15">
        <f t="shared" si="575"/>
        <v>40.469155698809203</v>
      </c>
      <c r="AK1050" s="8">
        <f t="shared" si="576"/>
        <v>0.22599999999999998</v>
      </c>
      <c r="AL1050" s="2">
        <v>5.72</v>
      </c>
      <c r="AM1050" s="15">
        <f t="shared" si="577"/>
        <v>212.00889547813193</v>
      </c>
      <c r="AN1050" s="8">
        <f t="shared" si="578"/>
        <v>0.57199999999999995</v>
      </c>
      <c r="AO1050" s="15" t="s">
        <v>86</v>
      </c>
      <c r="AP1050" s="15">
        <v>9.98</v>
      </c>
      <c r="AQ1050" s="15" t="s">
        <v>711</v>
      </c>
      <c r="AR1050" s="16">
        <v>70</v>
      </c>
      <c r="AS1050" s="16">
        <v>8</v>
      </c>
      <c r="AT1050" s="16">
        <v>22</v>
      </c>
      <c r="AU1050" s="15" t="s">
        <v>664</v>
      </c>
      <c r="AV1050" s="16">
        <f t="shared" si="570"/>
        <v>100</v>
      </c>
      <c r="AW1050" s="20">
        <v>3.5</v>
      </c>
      <c r="AX1050" s="8">
        <f t="shared" si="579"/>
        <v>3.5000000000000003E-2</v>
      </c>
      <c r="AY1050" s="8" t="s">
        <v>87</v>
      </c>
      <c r="AZ1050" s="16">
        <v>20</v>
      </c>
      <c r="BA1050" s="16" t="s">
        <v>55</v>
      </c>
      <c r="BB1050" s="16" t="s">
        <v>391</v>
      </c>
      <c r="BC1050" s="16" t="s">
        <v>55</v>
      </c>
      <c r="BD1050" s="20">
        <v>7.36</v>
      </c>
      <c r="BE1050" s="16">
        <f t="shared" si="571"/>
        <v>210.28571428571428</v>
      </c>
      <c r="BF1050" s="16">
        <f t="shared" si="572"/>
        <v>2.3228097699872232</v>
      </c>
      <c r="BG1050" s="8">
        <f t="shared" si="573"/>
        <v>0.86687781433749889</v>
      </c>
      <c r="BH1050" s="13" t="s">
        <v>859</v>
      </c>
      <c r="BI1050" s="13"/>
      <c r="BJ1050" s="13"/>
      <c r="BK1050" s="13"/>
      <c r="BL1050" s="13"/>
      <c r="BM1050" s="17"/>
      <c r="BN1050" s="17"/>
      <c r="BO1050" s="2"/>
    </row>
    <row r="1051" spans="1:67" s="14" customFormat="1" x14ac:dyDescent="0.3">
      <c r="A1051" s="20">
        <v>1049</v>
      </c>
      <c r="B1051" s="2" t="s">
        <v>219</v>
      </c>
      <c r="C1051" s="2">
        <v>2020</v>
      </c>
      <c r="D1051" s="2" t="s">
        <v>205</v>
      </c>
      <c r="E1051" s="10" t="s">
        <v>802</v>
      </c>
      <c r="F1051" s="20" t="s">
        <v>29</v>
      </c>
      <c r="G1051" s="2">
        <v>22</v>
      </c>
      <c r="H1051" s="2" t="str">
        <f>'PFAS Properties'!$B$46</f>
        <v>PFOS</v>
      </c>
      <c r="I1051" s="2" t="str">
        <f>'PFAS Properties'!$C$46</f>
        <v>PFSA</v>
      </c>
      <c r="J1051" s="2" t="str">
        <f>'PFAS Properties'!$D$46</f>
        <v>C8HF17O3S</v>
      </c>
      <c r="K1051" s="25">
        <f>'PFAS Properties'!$P$46</f>
        <v>499.93739999999997</v>
      </c>
      <c r="L1051" s="2">
        <f>'PFAS Properties'!$X$46</f>
        <v>0.1</v>
      </c>
      <c r="M1051" s="2" t="str">
        <f>'PFAS Properties'!$Y$46</f>
        <v>-</v>
      </c>
      <c r="N1051" s="33">
        <v>0</v>
      </c>
      <c r="O1051" s="33">
        <v>0</v>
      </c>
      <c r="P1051" s="33">
        <v>0</v>
      </c>
      <c r="Q1051" s="33">
        <f t="shared" si="580"/>
        <v>0.99999987410747471</v>
      </c>
      <c r="R1051" s="33">
        <v>0</v>
      </c>
      <c r="S1051" s="33">
        <f t="shared" si="581"/>
        <v>1.2589252533048661E-7</v>
      </c>
      <c r="T1051" s="8">
        <f t="shared" si="564"/>
        <v>1</v>
      </c>
      <c r="U1051" s="33">
        <f t="shared" si="565"/>
        <v>0</v>
      </c>
      <c r="V1051" s="33">
        <f t="shared" si="566"/>
        <v>-0.99999987410747471</v>
      </c>
      <c r="W1051" s="33">
        <f t="shared" si="567"/>
        <v>498.93740012589251</v>
      </c>
      <c r="X1051" s="33">
        <v>96485</v>
      </c>
      <c r="Y1051" s="16">
        <f t="shared" si="568"/>
        <v>-193.38094885032569</v>
      </c>
      <c r="Z1051" s="16">
        <v>8</v>
      </c>
      <c r="AA1051" s="16">
        <v>17</v>
      </c>
      <c r="AB1051" s="8">
        <f t="shared" si="569"/>
        <v>0.29721362229102166</v>
      </c>
      <c r="AC1051" s="16">
        <f t="shared" si="574"/>
        <v>64.60808893273439</v>
      </c>
      <c r="AD1051" s="20">
        <f>'PFAS Properties'!$W$46</f>
        <v>8</v>
      </c>
      <c r="AE1051" s="8">
        <f>'PFAS Properties'!$S$46</f>
        <v>2.0166155475571776</v>
      </c>
      <c r="AF1051" s="15">
        <f>'PFAS Properties'!$V$46</f>
        <v>5</v>
      </c>
      <c r="AG1051" s="24">
        <v>7</v>
      </c>
      <c r="AH1051" s="2" t="s">
        <v>85</v>
      </c>
      <c r="AI1051" s="2">
        <v>3.78</v>
      </c>
      <c r="AJ1051" s="15">
        <f t="shared" si="575"/>
        <v>67.687348912167607</v>
      </c>
      <c r="AK1051" s="8">
        <f t="shared" si="576"/>
        <v>0.378</v>
      </c>
      <c r="AL1051" s="2">
        <v>2.46</v>
      </c>
      <c r="AM1051" s="15">
        <f t="shared" si="577"/>
        <v>91.178650852483315</v>
      </c>
      <c r="AN1051" s="8">
        <f t="shared" si="578"/>
        <v>0.246</v>
      </c>
      <c r="AO1051" s="15" t="s">
        <v>86</v>
      </c>
      <c r="AP1051" s="15">
        <v>19.12</v>
      </c>
      <c r="AQ1051" s="15" t="s">
        <v>711</v>
      </c>
      <c r="AR1051" s="16">
        <v>35</v>
      </c>
      <c r="AS1051" s="16">
        <v>13</v>
      </c>
      <c r="AT1051" s="16">
        <v>52</v>
      </c>
      <c r="AU1051" s="15" t="s">
        <v>664</v>
      </c>
      <c r="AV1051" s="16">
        <f t="shared" si="570"/>
        <v>100</v>
      </c>
      <c r="AW1051" s="20">
        <v>1.1000000000000001</v>
      </c>
      <c r="AX1051" s="8">
        <f t="shared" si="579"/>
        <v>1.1000000000000001E-2</v>
      </c>
      <c r="AY1051" s="8" t="s">
        <v>87</v>
      </c>
      <c r="AZ1051" s="16">
        <v>20</v>
      </c>
      <c r="BA1051" s="16" t="s">
        <v>55</v>
      </c>
      <c r="BB1051" s="16" t="s">
        <v>391</v>
      </c>
      <c r="BC1051" s="16" t="s">
        <v>55</v>
      </c>
      <c r="BD1051" s="20">
        <v>5.18</v>
      </c>
      <c r="BE1051" s="16">
        <f t="shared" si="571"/>
        <v>470.90909090909082</v>
      </c>
      <c r="BF1051" s="16">
        <f t="shared" si="572"/>
        <v>2.6729370745870078</v>
      </c>
      <c r="BG1051" s="8">
        <f t="shared" si="573"/>
        <v>0.71432975974523305</v>
      </c>
      <c r="BH1051" s="13" t="s">
        <v>859</v>
      </c>
      <c r="BI1051" s="13"/>
      <c r="BJ1051" s="13"/>
      <c r="BK1051" s="13"/>
      <c r="BL1051" s="13"/>
      <c r="BM1051" s="17"/>
      <c r="BN1051" s="17"/>
      <c r="BO1051" s="2"/>
    </row>
    <row r="1052" spans="1:67" s="14" customFormat="1" x14ac:dyDescent="0.3">
      <c r="A1052" s="20">
        <v>1050</v>
      </c>
      <c r="B1052" s="2" t="s">
        <v>219</v>
      </c>
      <c r="C1052" s="2">
        <v>2020</v>
      </c>
      <c r="D1052" s="2" t="s">
        <v>205</v>
      </c>
      <c r="E1052" s="10" t="s">
        <v>802</v>
      </c>
      <c r="F1052" s="20" t="s">
        <v>29</v>
      </c>
      <c r="G1052" s="2">
        <v>23</v>
      </c>
      <c r="H1052" s="2" t="str">
        <f>'PFAS Properties'!$B$46</f>
        <v>PFOS</v>
      </c>
      <c r="I1052" s="2" t="str">
        <f>'PFAS Properties'!$C$46</f>
        <v>PFSA</v>
      </c>
      <c r="J1052" s="2" t="str">
        <f>'PFAS Properties'!$D$46</f>
        <v>C8HF17O3S</v>
      </c>
      <c r="K1052" s="25">
        <f>'PFAS Properties'!$P$46</f>
        <v>499.93739999999997</v>
      </c>
      <c r="L1052" s="2">
        <f>'PFAS Properties'!$X$46</f>
        <v>0.1</v>
      </c>
      <c r="M1052" s="2" t="str">
        <f>'PFAS Properties'!$Y$46</f>
        <v>-</v>
      </c>
      <c r="N1052" s="33">
        <v>0</v>
      </c>
      <c r="O1052" s="33">
        <v>0</v>
      </c>
      <c r="P1052" s="33">
        <v>0</v>
      </c>
      <c r="Q1052" s="33">
        <f t="shared" si="580"/>
        <v>0.99999960189298798</v>
      </c>
      <c r="R1052" s="33">
        <v>0</v>
      </c>
      <c r="S1052" s="33">
        <f t="shared" si="581"/>
        <v>3.9810701206424001E-7</v>
      </c>
      <c r="T1052" s="8">
        <f t="shared" si="564"/>
        <v>1</v>
      </c>
      <c r="U1052" s="33">
        <f t="shared" si="565"/>
        <v>0</v>
      </c>
      <c r="V1052" s="33">
        <f t="shared" si="566"/>
        <v>-0.99999960189298798</v>
      </c>
      <c r="W1052" s="33">
        <f t="shared" si="567"/>
        <v>498.937400398107</v>
      </c>
      <c r="X1052" s="33">
        <v>96485</v>
      </c>
      <c r="Y1052" s="16">
        <f t="shared" si="568"/>
        <v>-193.38089610371694</v>
      </c>
      <c r="Z1052" s="16">
        <v>8</v>
      </c>
      <c r="AA1052" s="16">
        <v>17</v>
      </c>
      <c r="AB1052" s="8">
        <f t="shared" si="569"/>
        <v>0.29721362229102166</v>
      </c>
      <c r="AC1052" s="16">
        <f t="shared" si="574"/>
        <v>64.60808893273439</v>
      </c>
      <c r="AD1052" s="20">
        <f>'PFAS Properties'!$W$46</f>
        <v>8</v>
      </c>
      <c r="AE1052" s="8">
        <f>'PFAS Properties'!$S$46</f>
        <v>2.0166155475571776</v>
      </c>
      <c r="AF1052" s="15">
        <f>'PFAS Properties'!$V$46</f>
        <v>5</v>
      </c>
      <c r="AG1052" s="24">
        <v>6.5</v>
      </c>
      <c r="AH1052" s="2" t="s">
        <v>85</v>
      </c>
      <c r="AI1052" s="2">
        <v>2.0299999999999998</v>
      </c>
      <c r="AJ1052" s="15">
        <f t="shared" si="575"/>
        <v>36.350613304682604</v>
      </c>
      <c r="AK1052" s="8">
        <f t="shared" si="576"/>
        <v>0.20299999999999999</v>
      </c>
      <c r="AL1052" s="2">
        <v>1.53</v>
      </c>
      <c r="AM1052" s="15">
        <f t="shared" si="577"/>
        <v>56.708673091178653</v>
      </c>
      <c r="AN1052" s="8">
        <f t="shared" si="578"/>
        <v>0.153</v>
      </c>
      <c r="AO1052" s="15" t="s">
        <v>86</v>
      </c>
      <c r="AP1052" s="15">
        <v>7.1</v>
      </c>
      <c r="AQ1052" s="15" t="s">
        <v>711</v>
      </c>
      <c r="AR1052" s="16">
        <v>60</v>
      </c>
      <c r="AS1052" s="16">
        <v>16</v>
      </c>
      <c r="AT1052" s="16">
        <v>24</v>
      </c>
      <c r="AU1052" s="15" t="s">
        <v>664</v>
      </c>
      <c r="AV1052" s="16">
        <f t="shared" si="570"/>
        <v>100</v>
      </c>
      <c r="AW1052" s="20">
        <v>1.3</v>
      </c>
      <c r="AX1052" s="8">
        <f t="shared" si="579"/>
        <v>1.3000000000000001E-2</v>
      </c>
      <c r="AY1052" s="8" t="s">
        <v>87</v>
      </c>
      <c r="AZ1052" s="16">
        <v>20</v>
      </c>
      <c r="BA1052" s="16" t="s">
        <v>55</v>
      </c>
      <c r="BB1052" s="16" t="s">
        <v>391</v>
      </c>
      <c r="BC1052" s="16" t="s">
        <v>55</v>
      </c>
      <c r="BD1052" s="20">
        <v>2.69</v>
      </c>
      <c r="BE1052" s="16">
        <f t="shared" si="571"/>
        <v>206.92307692307691</v>
      </c>
      <c r="BF1052" s="16">
        <f t="shared" si="572"/>
        <v>2.3158089276955711</v>
      </c>
      <c r="BG1052" s="8">
        <f t="shared" si="573"/>
        <v>0.42975228000240795</v>
      </c>
      <c r="BH1052" s="13" t="s">
        <v>859</v>
      </c>
      <c r="BI1052" s="13"/>
      <c r="BJ1052" s="13"/>
      <c r="BK1052" s="13"/>
      <c r="BL1052" s="13"/>
      <c r="BM1052" s="17"/>
      <c r="BN1052" s="17"/>
      <c r="BO1052" s="2"/>
    </row>
    <row r="1053" spans="1:67" s="14" customFormat="1" x14ac:dyDescent="0.3">
      <c r="A1053" s="20">
        <v>1051</v>
      </c>
      <c r="B1053" s="2" t="s">
        <v>219</v>
      </c>
      <c r="C1053" s="2">
        <v>2020</v>
      </c>
      <c r="D1053" s="2" t="s">
        <v>205</v>
      </c>
      <c r="E1053" s="10" t="s">
        <v>802</v>
      </c>
      <c r="F1053" s="20" t="s">
        <v>29</v>
      </c>
      <c r="G1053" s="2">
        <v>26</v>
      </c>
      <c r="H1053" s="2" t="str">
        <f>'PFAS Properties'!$B$46</f>
        <v>PFOS</v>
      </c>
      <c r="I1053" s="2" t="str">
        <f>'PFAS Properties'!$C$46</f>
        <v>PFSA</v>
      </c>
      <c r="J1053" s="2" t="str">
        <f>'PFAS Properties'!$D$46</f>
        <v>C8HF17O3S</v>
      </c>
      <c r="K1053" s="25">
        <f>'PFAS Properties'!$P$46</f>
        <v>499.93739999999997</v>
      </c>
      <c r="L1053" s="2">
        <f>'PFAS Properties'!$X$46</f>
        <v>0.1</v>
      </c>
      <c r="M1053" s="2" t="str">
        <f>'PFAS Properties'!$Y$46</f>
        <v>-</v>
      </c>
      <c r="N1053" s="33">
        <v>0</v>
      </c>
      <c r="O1053" s="33">
        <v>0</v>
      </c>
      <c r="P1053" s="33">
        <v>0</v>
      </c>
      <c r="Q1053" s="33">
        <f t="shared" si="580"/>
        <v>0.99999960189298798</v>
      </c>
      <c r="R1053" s="33">
        <v>0</v>
      </c>
      <c r="S1053" s="33">
        <f t="shared" si="581"/>
        <v>3.9810701206424001E-7</v>
      </c>
      <c r="T1053" s="8">
        <f t="shared" si="564"/>
        <v>1</v>
      </c>
      <c r="U1053" s="33">
        <f t="shared" si="565"/>
        <v>0</v>
      </c>
      <c r="V1053" s="33">
        <f t="shared" si="566"/>
        <v>-0.99999960189298798</v>
      </c>
      <c r="W1053" s="33">
        <f t="shared" si="567"/>
        <v>498.937400398107</v>
      </c>
      <c r="X1053" s="33">
        <v>96485</v>
      </c>
      <c r="Y1053" s="16">
        <f t="shared" si="568"/>
        <v>-193.38089610371694</v>
      </c>
      <c r="Z1053" s="16">
        <v>8</v>
      </c>
      <c r="AA1053" s="16">
        <v>17</v>
      </c>
      <c r="AB1053" s="8">
        <f t="shared" si="569"/>
        <v>0.29721362229102166</v>
      </c>
      <c r="AC1053" s="16">
        <f t="shared" si="574"/>
        <v>64.60808893273439</v>
      </c>
      <c r="AD1053" s="20">
        <f>'PFAS Properties'!$W$46</f>
        <v>8</v>
      </c>
      <c r="AE1053" s="8">
        <f>'PFAS Properties'!$S$46</f>
        <v>2.0166155475571776</v>
      </c>
      <c r="AF1053" s="15">
        <f>'PFAS Properties'!$V$46</f>
        <v>5</v>
      </c>
      <c r="AG1053" s="24">
        <v>6.5</v>
      </c>
      <c r="AH1053" s="2" t="s">
        <v>85</v>
      </c>
      <c r="AI1053" s="2">
        <v>3.27</v>
      </c>
      <c r="AJ1053" s="15">
        <f t="shared" si="575"/>
        <v>58.554928820843408</v>
      </c>
      <c r="AK1053" s="8">
        <f t="shared" si="576"/>
        <v>0.32700000000000001</v>
      </c>
      <c r="AL1053" s="2">
        <v>1.42</v>
      </c>
      <c r="AM1053" s="15">
        <f t="shared" si="577"/>
        <v>52.631578947368418</v>
      </c>
      <c r="AN1053" s="8">
        <f t="shared" si="578"/>
        <v>0.14199999999999999</v>
      </c>
      <c r="AO1053" s="15" t="s">
        <v>86</v>
      </c>
      <c r="AP1053" s="15">
        <v>12.67</v>
      </c>
      <c r="AQ1053" s="15" t="s">
        <v>711</v>
      </c>
      <c r="AR1053" s="16">
        <v>49</v>
      </c>
      <c r="AS1053" s="16">
        <v>8</v>
      </c>
      <c r="AT1053" s="16">
        <v>43</v>
      </c>
      <c r="AU1053" s="15" t="s">
        <v>664</v>
      </c>
      <c r="AV1053" s="16">
        <f t="shared" si="570"/>
        <v>100</v>
      </c>
      <c r="AW1053" s="20">
        <v>1.3</v>
      </c>
      <c r="AX1053" s="8">
        <f t="shared" si="579"/>
        <v>1.3000000000000001E-2</v>
      </c>
      <c r="AY1053" s="8" t="s">
        <v>87</v>
      </c>
      <c r="AZ1053" s="16">
        <v>20</v>
      </c>
      <c r="BA1053" s="16" t="s">
        <v>55</v>
      </c>
      <c r="BB1053" s="16" t="s">
        <v>391</v>
      </c>
      <c r="BC1053" s="16" t="s">
        <v>55</v>
      </c>
      <c r="BD1053" s="20">
        <v>1.3</v>
      </c>
      <c r="BE1053" s="16">
        <f t="shared" si="571"/>
        <v>100</v>
      </c>
      <c r="BF1053" s="16">
        <f t="shared" si="572"/>
        <v>2</v>
      </c>
      <c r="BG1053" s="8">
        <f t="shared" si="573"/>
        <v>0.11394335230683679</v>
      </c>
      <c r="BH1053" s="13" t="s">
        <v>859</v>
      </c>
      <c r="BI1053" s="2"/>
      <c r="BJ1053" s="2"/>
      <c r="BK1053" s="2"/>
      <c r="BL1053" s="2"/>
      <c r="BM1053" s="2"/>
      <c r="BN1053" s="2"/>
      <c r="BO1053" s="2"/>
    </row>
    <row r="1054" spans="1:67" s="14" customFormat="1" x14ac:dyDescent="0.3">
      <c r="A1054" s="20">
        <v>1052</v>
      </c>
      <c r="B1054" s="2" t="s">
        <v>219</v>
      </c>
      <c r="C1054" s="2">
        <v>2020</v>
      </c>
      <c r="D1054" s="2" t="s">
        <v>205</v>
      </c>
      <c r="E1054" s="10" t="s">
        <v>802</v>
      </c>
      <c r="F1054" s="20" t="s">
        <v>29</v>
      </c>
      <c r="G1054" s="2">
        <v>27</v>
      </c>
      <c r="H1054" s="2" t="str">
        <f>'PFAS Properties'!$B$46</f>
        <v>PFOS</v>
      </c>
      <c r="I1054" s="2" t="str">
        <f>'PFAS Properties'!$C$46</f>
        <v>PFSA</v>
      </c>
      <c r="J1054" s="2" t="str">
        <f>'PFAS Properties'!$D$46</f>
        <v>C8HF17O3S</v>
      </c>
      <c r="K1054" s="25">
        <f>'PFAS Properties'!$P$46</f>
        <v>499.93739999999997</v>
      </c>
      <c r="L1054" s="2">
        <f>'PFAS Properties'!$X$46</f>
        <v>0.1</v>
      </c>
      <c r="M1054" s="2" t="str">
        <f>'PFAS Properties'!$Y$46</f>
        <v>-</v>
      </c>
      <c r="N1054" s="33">
        <v>0</v>
      </c>
      <c r="O1054" s="33">
        <v>0</v>
      </c>
      <c r="P1054" s="33">
        <v>0</v>
      </c>
      <c r="Q1054" s="33">
        <f t="shared" si="580"/>
        <v>0.99998741090436938</v>
      </c>
      <c r="R1054" s="33">
        <v>0</v>
      </c>
      <c r="S1054" s="33">
        <f t="shared" si="581"/>
        <v>1.258909563061765E-5</v>
      </c>
      <c r="T1054" s="8">
        <f t="shared" si="564"/>
        <v>1</v>
      </c>
      <c r="U1054" s="33">
        <f t="shared" si="565"/>
        <v>0</v>
      </c>
      <c r="V1054" s="33">
        <f t="shared" si="566"/>
        <v>-0.99998741090436938</v>
      </c>
      <c r="W1054" s="33">
        <f t="shared" si="567"/>
        <v>498.93741258909557</v>
      </c>
      <c r="X1054" s="33">
        <v>96485</v>
      </c>
      <c r="Y1054" s="16">
        <f t="shared" si="568"/>
        <v>-193.37853387348241</v>
      </c>
      <c r="Z1054" s="16">
        <v>8</v>
      </c>
      <c r="AA1054" s="16">
        <v>17</v>
      </c>
      <c r="AB1054" s="8">
        <f t="shared" si="569"/>
        <v>0.29721362229102166</v>
      </c>
      <c r="AC1054" s="16">
        <f t="shared" si="574"/>
        <v>64.60808893273439</v>
      </c>
      <c r="AD1054" s="20">
        <f>'PFAS Properties'!$W$46</f>
        <v>8</v>
      </c>
      <c r="AE1054" s="8">
        <f>'PFAS Properties'!$S$46</f>
        <v>2.0166155475571776</v>
      </c>
      <c r="AF1054" s="15">
        <f>'PFAS Properties'!$V$46</f>
        <v>5</v>
      </c>
      <c r="AG1054" s="24">
        <v>5</v>
      </c>
      <c r="AH1054" s="2" t="s">
        <v>85</v>
      </c>
      <c r="AI1054" s="2">
        <v>10.4</v>
      </c>
      <c r="AJ1054" s="15">
        <f t="shared" si="575"/>
        <v>186.22974303876802</v>
      </c>
      <c r="AK1054" s="8">
        <f t="shared" si="576"/>
        <v>1.04</v>
      </c>
      <c r="AL1054" s="2">
        <v>4.1500000000000004</v>
      </c>
      <c r="AM1054" s="15">
        <f t="shared" si="577"/>
        <v>153.81764269829503</v>
      </c>
      <c r="AN1054" s="8">
        <f t="shared" si="578"/>
        <v>0.41500000000000004</v>
      </c>
      <c r="AO1054" s="15" t="s">
        <v>86</v>
      </c>
      <c r="AP1054" s="15">
        <v>6.82</v>
      </c>
      <c r="AQ1054" s="15" t="s">
        <v>711</v>
      </c>
      <c r="AR1054" s="16">
        <v>24</v>
      </c>
      <c r="AS1054" s="16">
        <v>29</v>
      </c>
      <c r="AT1054" s="16">
        <v>47</v>
      </c>
      <c r="AU1054" s="15" t="s">
        <v>664</v>
      </c>
      <c r="AV1054" s="16">
        <f t="shared" si="570"/>
        <v>100</v>
      </c>
      <c r="AW1054" s="20">
        <v>2</v>
      </c>
      <c r="AX1054" s="8">
        <f t="shared" si="579"/>
        <v>0.02</v>
      </c>
      <c r="AY1054" s="8" t="s">
        <v>87</v>
      </c>
      <c r="AZ1054" s="16">
        <v>20</v>
      </c>
      <c r="BA1054" s="16" t="s">
        <v>55</v>
      </c>
      <c r="BB1054" s="16" t="s">
        <v>391</v>
      </c>
      <c r="BC1054" s="16" t="s">
        <v>55</v>
      </c>
      <c r="BD1054" s="20">
        <v>3.36</v>
      </c>
      <c r="BE1054" s="16">
        <f t="shared" si="571"/>
        <v>168</v>
      </c>
      <c r="BF1054" s="16">
        <f t="shared" si="572"/>
        <v>2.2253092817258628</v>
      </c>
      <c r="BG1054" s="8">
        <f t="shared" si="573"/>
        <v>0.52633927738984398</v>
      </c>
      <c r="BH1054" s="13" t="s">
        <v>859</v>
      </c>
      <c r="BI1054" s="13"/>
      <c r="BJ1054" s="13"/>
      <c r="BK1054" s="13"/>
      <c r="BL1054" s="13"/>
      <c r="BM1054" s="17"/>
      <c r="BN1054" s="17"/>
      <c r="BO1054" s="2"/>
    </row>
    <row r="1055" spans="1:67" s="14" customFormat="1" x14ac:dyDescent="0.3">
      <c r="A1055" s="20">
        <v>1053</v>
      </c>
      <c r="B1055" s="2" t="s">
        <v>219</v>
      </c>
      <c r="C1055" s="2">
        <v>2020</v>
      </c>
      <c r="D1055" s="2" t="s">
        <v>205</v>
      </c>
      <c r="E1055" s="10" t="s">
        <v>802</v>
      </c>
      <c r="F1055" s="20" t="s">
        <v>29</v>
      </c>
      <c r="G1055" s="2">
        <v>28</v>
      </c>
      <c r="H1055" s="2" t="str">
        <f>'PFAS Properties'!$B$46</f>
        <v>PFOS</v>
      </c>
      <c r="I1055" s="2" t="str">
        <f>'PFAS Properties'!$C$46</f>
        <v>PFSA</v>
      </c>
      <c r="J1055" s="2" t="str">
        <f>'PFAS Properties'!$D$46</f>
        <v>C8HF17O3S</v>
      </c>
      <c r="K1055" s="25">
        <f>'PFAS Properties'!$P$46</f>
        <v>499.93739999999997</v>
      </c>
      <c r="L1055" s="2">
        <f>'PFAS Properties'!$X$46</f>
        <v>0.1</v>
      </c>
      <c r="M1055" s="2" t="str">
        <f>'PFAS Properties'!$Y$46</f>
        <v>-</v>
      </c>
      <c r="N1055" s="33">
        <v>0</v>
      </c>
      <c r="O1055" s="33">
        <v>0</v>
      </c>
      <c r="P1055" s="33">
        <v>0</v>
      </c>
      <c r="Q1055" s="33">
        <f t="shared" si="580"/>
        <v>0.99999984151070587</v>
      </c>
      <c r="R1055" s="33">
        <v>0</v>
      </c>
      <c r="S1055" s="33">
        <f t="shared" si="581"/>
        <v>1.584892941272506E-7</v>
      </c>
      <c r="T1055" s="8">
        <f t="shared" si="564"/>
        <v>1</v>
      </c>
      <c r="U1055" s="33">
        <f t="shared" si="565"/>
        <v>0</v>
      </c>
      <c r="V1055" s="33">
        <f t="shared" si="566"/>
        <v>-0.99999984151070587</v>
      </c>
      <c r="W1055" s="33">
        <f t="shared" si="567"/>
        <v>498.93740015848931</v>
      </c>
      <c r="X1055" s="33">
        <v>96485</v>
      </c>
      <c r="Y1055" s="16">
        <f t="shared" si="568"/>
        <v>-193.38094253409676</v>
      </c>
      <c r="Z1055" s="16">
        <v>8</v>
      </c>
      <c r="AA1055" s="16">
        <v>17</v>
      </c>
      <c r="AB1055" s="8">
        <f t="shared" si="569"/>
        <v>0.29721362229102166</v>
      </c>
      <c r="AC1055" s="16">
        <f t="shared" si="574"/>
        <v>64.60808893273439</v>
      </c>
      <c r="AD1055" s="20">
        <f>'PFAS Properties'!$W$46</f>
        <v>8</v>
      </c>
      <c r="AE1055" s="8">
        <f>'PFAS Properties'!$S$46</f>
        <v>2.0166155475571776</v>
      </c>
      <c r="AF1055" s="15">
        <f>'PFAS Properties'!$V$46</f>
        <v>5</v>
      </c>
      <c r="AG1055" s="24">
        <v>6.9</v>
      </c>
      <c r="AH1055" s="2" t="s">
        <v>85</v>
      </c>
      <c r="AI1055" s="2">
        <v>4.2</v>
      </c>
      <c r="AJ1055" s="15">
        <f t="shared" si="575"/>
        <v>75.208165457964014</v>
      </c>
      <c r="AK1055" s="8">
        <f t="shared" si="576"/>
        <v>0.42000000000000004</v>
      </c>
      <c r="AL1055" s="2">
        <v>1.48</v>
      </c>
      <c r="AM1055" s="15">
        <f t="shared" si="577"/>
        <v>54.855448480355818</v>
      </c>
      <c r="AN1055" s="8">
        <f t="shared" si="578"/>
        <v>0.14799999999999999</v>
      </c>
      <c r="AO1055" s="15" t="s">
        <v>86</v>
      </c>
      <c r="AP1055" s="15">
        <v>20.41</v>
      </c>
      <c r="AQ1055" s="15" t="s">
        <v>711</v>
      </c>
      <c r="AR1055" s="16">
        <v>42</v>
      </c>
      <c r="AS1055" s="16">
        <v>6</v>
      </c>
      <c r="AT1055" s="16">
        <v>52</v>
      </c>
      <c r="AU1055" s="15" t="s">
        <v>664</v>
      </c>
      <c r="AV1055" s="16">
        <f t="shared" si="570"/>
        <v>100</v>
      </c>
      <c r="AW1055" s="20">
        <v>1.8</v>
      </c>
      <c r="AX1055" s="8">
        <f t="shared" si="579"/>
        <v>1.8000000000000002E-2</v>
      </c>
      <c r="AY1055" s="8" t="s">
        <v>87</v>
      </c>
      <c r="AZ1055" s="16">
        <v>20</v>
      </c>
      <c r="BA1055" s="16" t="s">
        <v>55</v>
      </c>
      <c r="BB1055" s="16" t="s">
        <v>391</v>
      </c>
      <c r="BC1055" s="16" t="s">
        <v>55</v>
      </c>
      <c r="BD1055" s="20">
        <v>7.47</v>
      </c>
      <c r="BE1055" s="16">
        <f t="shared" si="571"/>
        <v>414.99999999999994</v>
      </c>
      <c r="BF1055" s="16">
        <f t="shared" si="572"/>
        <v>2.6180480967120925</v>
      </c>
      <c r="BG1055" s="8">
        <f t="shared" si="573"/>
        <v>0.87332060181539872</v>
      </c>
      <c r="BH1055" s="13" t="s">
        <v>859</v>
      </c>
      <c r="BI1055" s="2"/>
      <c r="BJ1055" s="2"/>
      <c r="BK1055" s="2"/>
      <c r="BL1055" s="2"/>
      <c r="BM1055" s="2"/>
      <c r="BN1055" s="2"/>
      <c r="BO1055" s="2"/>
    </row>
    <row r="1056" spans="1:67" s="14" customFormat="1" x14ac:dyDescent="0.3">
      <c r="A1056" s="20">
        <v>1054</v>
      </c>
      <c r="B1056" s="2" t="s">
        <v>268</v>
      </c>
      <c r="C1056" s="2">
        <v>2020</v>
      </c>
      <c r="D1056" s="2" t="s">
        <v>229</v>
      </c>
      <c r="E1056" s="22" t="s">
        <v>806</v>
      </c>
      <c r="F1056" s="20" t="s">
        <v>29</v>
      </c>
      <c r="G1056" s="2" t="s">
        <v>124</v>
      </c>
      <c r="H1056" s="2" t="str">
        <f>'PFAS Properties'!$B$46</f>
        <v>PFOS</v>
      </c>
      <c r="I1056" s="2" t="str">
        <f>'PFAS Properties'!$C$46</f>
        <v>PFSA</v>
      </c>
      <c r="J1056" s="2" t="str">
        <f>'PFAS Properties'!$D$46</f>
        <v>C8HF17O3S</v>
      </c>
      <c r="K1056" s="25">
        <f>'PFAS Properties'!$P$46</f>
        <v>499.93739999999997</v>
      </c>
      <c r="L1056" s="2">
        <f>'PFAS Properties'!$X$46</f>
        <v>0.1</v>
      </c>
      <c r="M1056" s="2" t="str">
        <f>'PFAS Properties'!$Y$46</f>
        <v>-</v>
      </c>
      <c r="N1056" s="33">
        <v>0</v>
      </c>
      <c r="O1056" s="33">
        <v>0</v>
      </c>
      <c r="P1056" s="33">
        <v>0</v>
      </c>
      <c r="Q1056" s="33">
        <f t="shared" si="580"/>
        <v>0.99999952137013681</v>
      </c>
      <c r="R1056" s="33">
        <v>0</v>
      </c>
      <c r="S1056" s="33">
        <f t="shared" si="581"/>
        <v>4.7862986323598187E-7</v>
      </c>
      <c r="T1056" s="8">
        <f t="shared" si="564"/>
        <v>1</v>
      </c>
      <c r="U1056" s="33">
        <f t="shared" si="565"/>
        <v>0</v>
      </c>
      <c r="V1056" s="33">
        <f t="shared" si="566"/>
        <v>-0.99999952137013681</v>
      </c>
      <c r="W1056" s="33">
        <f t="shared" si="567"/>
        <v>498.93740047862985</v>
      </c>
      <c r="X1056" s="33">
        <v>96485</v>
      </c>
      <c r="Y1056" s="16">
        <f t="shared" si="568"/>
        <v>-193.38088050092014</v>
      </c>
      <c r="Z1056" s="16">
        <v>8</v>
      </c>
      <c r="AA1056" s="16">
        <v>17</v>
      </c>
      <c r="AB1056" s="8">
        <f t="shared" si="569"/>
        <v>0.29721362229102166</v>
      </c>
      <c r="AC1056" s="16">
        <f t="shared" si="574"/>
        <v>64.60808893273439</v>
      </c>
      <c r="AD1056" s="20">
        <f>'PFAS Properties'!$W$46</f>
        <v>8</v>
      </c>
      <c r="AE1056" s="8">
        <f>'PFAS Properties'!$S$46</f>
        <v>2.0166155475571776</v>
      </c>
      <c r="AF1056" s="15">
        <f>'PFAS Properties'!$V$46</f>
        <v>5</v>
      </c>
      <c r="AG1056" s="24">
        <v>6.42</v>
      </c>
      <c r="AH1056" s="2" t="s">
        <v>661</v>
      </c>
      <c r="AI1056" s="2" t="s">
        <v>661</v>
      </c>
      <c r="AJ1056" s="2" t="s">
        <v>661</v>
      </c>
      <c r="AK1056" s="2" t="s">
        <v>661</v>
      </c>
      <c r="AL1056" s="2" t="s">
        <v>661</v>
      </c>
      <c r="AM1056" s="2" t="s">
        <v>661</v>
      </c>
      <c r="AN1056" s="2" t="s">
        <v>661</v>
      </c>
      <c r="AO1056" s="2" t="s">
        <v>661</v>
      </c>
      <c r="AP1056" s="72">
        <v>9.9537166666666668</v>
      </c>
      <c r="AQ1056" s="70" t="s">
        <v>752</v>
      </c>
      <c r="AR1056" s="2">
        <f>31.9+29.6</f>
        <v>61.5</v>
      </c>
      <c r="AS1056" s="2">
        <f>17.1+11</f>
        <v>28.1</v>
      </c>
      <c r="AT1056" s="2">
        <v>8.6</v>
      </c>
      <c r="AU1056" s="2" t="s">
        <v>661</v>
      </c>
      <c r="AV1056" s="16">
        <f t="shared" si="570"/>
        <v>98.199999999999989</v>
      </c>
      <c r="AW1056" s="20">
        <v>1.38</v>
      </c>
      <c r="AX1056" s="8">
        <f t="shared" si="579"/>
        <v>1.38E-2</v>
      </c>
      <c r="AY1056" s="12" t="s">
        <v>125</v>
      </c>
      <c r="AZ1056" s="16">
        <f>1/0.02</f>
        <v>50</v>
      </c>
      <c r="BA1056" s="16" t="s">
        <v>55</v>
      </c>
      <c r="BB1056" s="16">
        <v>10</v>
      </c>
      <c r="BC1056" s="16">
        <v>1000</v>
      </c>
      <c r="BD1056" s="24">
        <f>BO1056</f>
        <v>55.707171041158894</v>
      </c>
      <c r="BE1056" s="16">
        <f t="shared" si="571"/>
        <v>4036.7515247216588</v>
      </c>
      <c r="BF1056" s="16">
        <f t="shared" si="572"/>
        <v>3.6060320179851582</v>
      </c>
      <c r="BG1056" s="8">
        <f t="shared" si="573"/>
        <v>1.7459111043863946</v>
      </c>
      <c r="BH1056" s="13" t="s">
        <v>782</v>
      </c>
      <c r="BI1056" s="8">
        <v>70.400000000000006</v>
      </c>
      <c r="BJ1056" s="13" t="s">
        <v>349</v>
      </c>
      <c r="BK1056" s="15">
        <v>0.9</v>
      </c>
      <c r="BL1056" s="16">
        <f>BI1056</f>
        <v>70.400000000000006</v>
      </c>
      <c r="BM1056" s="18">
        <f>'PFAS Properties'!$U$46</f>
        <v>10.39</v>
      </c>
      <c r="BN1056" s="8">
        <f>(BL1056*(BM1056^BK1056))</f>
        <v>578.79750711764098</v>
      </c>
      <c r="BO1056" s="24">
        <f>BN1056/BM1056</f>
        <v>55.707171041158894</v>
      </c>
    </row>
    <row r="1057" spans="1:69" s="14" customFormat="1" x14ac:dyDescent="0.3">
      <c r="A1057" s="20">
        <v>1055</v>
      </c>
      <c r="B1057" s="2" t="s">
        <v>267</v>
      </c>
      <c r="C1057" s="2">
        <v>2017</v>
      </c>
      <c r="D1057" s="2" t="s">
        <v>199</v>
      </c>
      <c r="E1057" s="22" t="s">
        <v>815</v>
      </c>
      <c r="F1057" s="20" t="s">
        <v>29</v>
      </c>
      <c r="G1057" s="2" t="s">
        <v>62</v>
      </c>
      <c r="H1057" s="2" t="str">
        <f>'PFAS Properties'!$B$46</f>
        <v>PFOS</v>
      </c>
      <c r="I1057" s="2" t="str">
        <f>'PFAS Properties'!$C$46</f>
        <v>PFSA</v>
      </c>
      <c r="J1057" s="2" t="str">
        <f>'PFAS Properties'!$D$46</f>
        <v>C8HF17O3S</v>
      </c>
      <c r="K1057" s="25">
        <f>'PFAS Properties'!$P$46</f>
        <v>499.93739999999997</v>
      </c>
      <c r="L1057" s="2">
        <f>'PFAS Properties'!$X$46</f>
        <v>0.1</v>
      </c>
      <c r="M1057" s="2" t="str">
        <f>'PFAS Properties'!$Y$46</f>
        <v>-</v>
      </c>
      <c r="N1057" s="33">
        <v>0</v>
      </c>
      <c r="O1057" s="33">
        <v>0</v>
      </c>
      <c r="P1057" s="33">
        <v>0</v>
      </c>
      <c r="Q1057" s="33">
        <f t="shared" si="580"/>
        <v>0.99999902276373409</v>
      </c>
      <c r="R1057" s="33">
        <v>0</v>
      </c>
      <c r="S1057" s="33">
        <f t="shared" si="581"/>
        <v>9.7723626596415504E-7</v>
      </c>
      <c r="T1057" s="8">
        <f t="shared" si="564"/>
        <v>1</v>
      </c>
      <c r="U1057" s="33">
        <f t="shared" si="565"/>
        <v>0</v>
      </c>
      <c r="V1057" s="33">
        <f t="shared" si="566"/>
        <v>-0.99999902276373409</v>
      </c>
      <c r="W1057" s="33">
        <f t="shared" si="567"/>
        <v>498.93740097723622</v>
      </c>
      <c r="X1057" s="33">
        <v>96485</v>
      </c>
      <c r="Y1057" s="16">
        <f t="shared" si="568"/>
        <v>-193.38078388667631</v>
      </c>
      <c r="Z1057" s="16">
        <v>8</v>
      </c>
      <c r="AA1057" s="16">
        <v>17</v>
      </c>
      <c r="AB1057" s="8">
        <f t="shared" si="569"/>
        <v>0.29721362229102166</v>
      </c>
      <c r="AC1057" s="16">
        <f t="shared" si="574"/>
        <v>64.60808893273439</v>
      </c>
      <c r="AD1057" s="20">
        <f>'PFAS Properties'!$W$46</f>
        <v>8</v>
      </c>
      <c r="AE1057" s="8">
        <f>'PFAS Properties'!$S$46</f>
        <v>2.0166155475571776</v>
      </c>
      <c r="AF1057" s="15">
        <f>'PFAS Properties'!$V$46</f>
        <v>5</v>
      </c>
      <c r="AG1057" s="24">
        <v>6.11</v>
      </c>
      <c r="AH1057" s="2" t="s">
        <v>661</v>
      </c>
      <c r="AI1057" s="2">
        <v>38.82</v>
      </c>
      <c r="AJ1057" s="15">
        <f>AI1057*1000/55.845</f>
        <v>695.13832930432443</v>
      </c>
      <c r="AK1057" s="15">
        <f>AI1057/10</f>
        <v>3.8820000000000001</v>
      </c>
      <c r="AL1057" s="2" t="s">
        <v>661</v>
      </c>
      <c r="AM1057" s="2" t="s">
        <v>661</v>
      </c>
      <c r="AN1057" s="2" t="s">
        <v>661</v>
      </c>
      <c r="AO1057" s="15" t="s">
        <v>93</v>
      </c>
      <c r="AP1057" s="72">
        <v>11.357100000000001</v>
      </c>
      <c r="AQ1057" s="70" t="s">
        <v>752</v>
      </c>
      <c r="AR1057" s="72">
        <v>38.426100000000012</v>
      </c>
      <c r="AS1057" s="72">
        <v>36.2271</v>
      </c>
      <c r="AT1057" s="72">
        <v>25.5412</v>
      </c>
      <c r="AU1057" s="70" t="s">
        <v>752</v>
      </c>
      <c r="AV1057" s="16">
        <f t="shared" si="570"/>
        <v>100.19440000000002</v>
      </c>
      <c r="AW1057" s="24">
        <f>0.491/2</f>
        <v>0.2455</v>
      </c>
      <c r="AX1057" s="8">
        <f t="shared" si="579"/>
        <v>2.4550000000000002E-3</v>
      </c>
      <c r="AY1057" s="12" t="s">
        <v>127</v>
      </c>
      <c r="AZ1057" s="16">
        <v>40</v>
      </c>
      <c r="BA1057" s="16" t="s">
        <v>55</v>
      </c>
      <c r="BB1057" s="16">
        <v>1000</v>
      </c>
      <c r="BC1057" s="16">
        <v>20000</v>
      </c>
      <c r="BD1057" s="24">
        <f>BO1057</f>
        <v>14.111334630934246</v>
      </c>
      <c r="BE1057" s="16">
        <f t="shared" si="571"/>
        <v>5747.9978130078389</v>
      </c>
      <c r="BF1057" s="16">
        <f t="shared" si="572"/>
        <v>3.7595165942223119</v>
      </c>
      <c r="BG1057" s="8">
        <f t="shared" si="573"/>
        <v>1.1495680906812993</v>
      </c>
      <c r="BH1057" s="13" t="s">
        <v>782</v>
      </c>
      <c r="BI1057" s="8">
        <v>23.13</v>
      </c>
      <c r="BJ1057" s="13" t="s">
        <v>372</v>
      </c>
      <c r="BK1057" s="15">
        <v>0.78890000000000005</v>
      </c>
      <c r="BL1057" s="16">
        <f>BI1057</f>
        <v>23.13</v>
      </c>
      <c r="BM1057" s="18">
        <f>'PFAS Properties'!$U$46</f>
        <v>10.39</v>
      </c>
      <c r="BN1057" s="8">
        <f>(BL1057*(BM1057^BK1057))</f>
        <v>146.61676681540683</v>
      </c>
      <c r="BO1057" s="24">
        <f>BN1057/BM1057</f>
        <v>14.111334630934246</v>
      </c>
    </row>
    <row r="1058" spans="1:69" s="14" customFormat="1" x14ac:dyDescent="0.3">
      <c r="A1058" s="20">
        <v>1056</v>
      </c>
      <c r="B1058" s="2" t="s">
        <v>214</v>
      </c>
      <c r="C1058" s="2">
        <v>2022</v>
      </c>
      <c r="D1058" s="2" t="s">
        <v>201</v>
      </c>
      <c r="E1058" s="22" t="s">
        <v>808</v>
      </c>
      <c r="F1058" s="20" t="s">
        <v>29</v>
      </c>
      <c r="G1058" s="2" t="s">
        <v>215</v>
      </c>
      <c r="H1058" s="2" t="str">
        <f>'PFAS Properties'!$B$47</f>
        <v>PFNS</v>
      </c>
      <c r="I1058" s="2" t="str">
        <f>'PFAS Properties'!$C$47</f>
        <v>PFSA</v>
      </c>
      <c r="J1058" s="2" t="str">
        <f>'PFAS Properties'!$D$47</f>
        <v>C9HF19O3S</v>
      </c>
      <c r="K1058" s="25">
        <f>'PFAS Properties'!$P$47</f>
        <v>549.93420000000003</v>
      </c>
      <c r="L1058" s="2">
        <f>'PFAS Properties'!$X$47</f>
        <v>0.1</v>
      </c>
      <c r="M1058" s="2" t="str">
        <f>'PFAS Properties'!$Y$47</f>
        <v>-</v>
      </c>
      <c r="N1058" s="33">
        <v>0</v>
      </c>
      <c r="O1058" s="33">
        <v>0</v>
      </c>
      <c r="P1058" s="33">
        <v>0</v>
      </c>
      <c r="Q1058" s="33">
        <f t="shared" si="580"/>
        <v>0.99998004777494953</v>
      </c>
      <c r="R1058" s="33">
        <v>0</v>
      </c>
      <c r="S1058" s="33">
        <f t="shared" si="581"/>
        <v>1.9952225050461341E-5</v>
      </c>
      <c r="T1058" s="8">
        <f t="shared" si="564"/>
        <v>1</v>
      </c>
      <c r="U1058" s="33">
        <f t="shared" si="565"/>
        <v>0</v>
      </c>
      <c r="V1058" s="33">
        <f t="shared" si="566"/>
        <v>-0.99998004777494953</v>
      </c>
      <c r="W1058" s="33">
        <f t="shared" si="567"/>
        <v>548.93421995222502</v>
      </c>
      <c r="X1058" s="33">
        <v>96485</v>
      </c>
      <c r="Y1058" s="16">
        <f t="shared" si="568"/>
        <v>-175.76436557000062</v>
      </c>
      <c r="Z1058" s="16">
        <v>9</v>
      </c>
      <c r="AA1058" s="16">
        <v>19</v>
      </c>
      <c r="AB1058" s="8">
        <f t="shared" si="569"/>
        <v>0.29916897506925205</v>
      </c>
      <c r="AC1058" s="16">
        <f t="shared" si="574"/>
        <v>65.644217071787864</v>
      </c>
      <c r="AD1058" s="20">
        <f>'PFAS Properties'!$W$47</f>
        <v>9</v>
      </c>
      <c r="AE1058" s="8">
        <f>'PFAS Properties'!$S$47</f>
        <v>1.1238516409670858</v>
      </c>
      <c r="AF1058" s="15">
        <f>'PFAS Properties'!$V$47</f>
        <v>5.6</v>
      </c>
      <c r="AG1058" s="24">
        <v>4.8</v>
      </c>
      <c r="AH1058" s="2" t="s">
        <v>216</v>
      </c>
      <c r="AI1058" s="2">
        <v>8.3000000000000007</v>
      </c>
      <c r="AJ1058" s="15">
        <f>AI1058*1000/55.845</f>
        <v>148.62566030978601</v>
      </c>
      <c r="AK1058" s="15">
        <f>AI1058/10</f>
        <v>0.83000000000000007</v>
      </c>
      <c r="AL1058" s="15">
        <v>7.85</v>
      </c>
      <c r="AM1058" s="15">
        <f>AL1058*1000/26.98</f>
        <v>290.95626389918459</v>
      </c>
      <c r="AN1058" s="15">
        <f>AL1058/10</f>
        <v>0.78499999999999992</v>
      </c>
      <c r="AO1058" s="15" t="s">
        <v>217</v>
      </c>
      <c r="AP1058" s="72">
        <v>15.34083666666667</v>
      </c>
      <c r="AQ1058" s="70" t="s">
        <v>752</v>
      </c>
      <c r="AR1058" s="16">
        <v>32</v>
      </c>
      <c r="AS1058" s="16">
        <v>40</v>
      </c>
      <c r="AT1058" s="16">
        <v>28</v>
      </c>
      <c r="AU1058" s="2" t="s">
        <v>661</v>
      </c>
      <c r="AV1058" s="16">
        <f t="shared" si="570"/>
        <v>100</v>
      </c>
      <c r="AW1058" s="20">
        <v>4.9000000000000004</v>
      </c>
      <c r="AX1058" s="8">
        <f t="shared" si="579"/>
        <v>4.9000000000000002E-2</v>
      </c>
      <c r="AY1058" s="8" t="s">
        <v>218</v>
      </c>
      <c r="AZ1058" s="16">
        <f>1.5/0.075</f>
        <v>20</v>
      </c>
      <c r="BA1058" s="16" t="s">
        <v>55</v>
      </c>
      <c r="BB1058" s="16">
        <v>10</v>
      </c>
      <c r="BC1058" s="16" t="s">
        <v>55</v>
      </c>
      <c r="BD1058" s="20">
        <v>46.55</v>
      </c>
      <c r="BE1058" s="16">
        <f t="shared" si="571"/>
        <v>949.99999999999989</v>
      </c>
      <c r="BF1058" s="16">
        <f t="shared" si="572"/>
        <v>2.9777236052888476</v>
      </c>
      <c r="BG1058" s="8">
        <f t="shared" si="573"/>
        <v>1.6679196853173615</v>
      </c>
      <c r="BH1058" s="2" t="s">
        <v>374</v>
      </c>
      <c r="BI1058" s="2"/>
      <c r="BJ1058" s="2"/>
      <c r="BK1058" s="2"/>
      <c r="BL1058" s="2"/>
      <c r="BM1058" s="20"/>
      <c r="BN1058" s="20"/>
      <c r="BO1058" s="2"/>
    </row>
    <row r="1059" spans="1:69" s="14" customFormat="1" x14ac:dyDescent="0.3">
      <c r="A1059" s="20">
        <v>1057</v>
      </c>
      <c r="B1059" s="2" t="s">
        <v>214</v>
      </c>
      <c r="C1059" s="2">
        <v>2022</v>
      </c>
      <c r="D1059" s="2" t="s">
        <v>201</v>
      </c>
      <c r="E1059" s="10" t="s">
        <v>808</v>
      </c>
      <c r="F1059" s="20" t="s">
        <v>29</v>
      </c>
      <c r="G1059" s="2" t="s">
        <v>233</v>
      </c>
      <c r="H1059" s="2" t="str">
        <f>'PFAS Properties'!$B$47</f>
        <v>PFNS</v>
      </c>
      <c r="I1059" s="2" t="str">
        <f>'PFAS Properties'!$C$47</f>
        <v>PFSA</v>
      </c>
      <c r="J1059" s="2" t="str">
        <f>'PFAS Properties'!$D$47</f>
        <v>C9HF19O3S</v>
      </c>
      <c r="K1059" s="25">
        <f>'PFAS Properties'!$P$47</f>
        <v>549.93420000000003</v>
      </c>
      <c r="L1059" s="2">
        <f>'PFAS Properties'!$X$47</f>
        <v>0.1</v>
      </c>
      <c r="M1059" s="2" t="str">
        <f>'PFAS Properties'!$Y$47</f>
        <v>-</v>
      </c>
      <c r="N1059" s="33">
        <v>0</v>
      </c>
      <c r="O1059" s="33">
        <v>0</v>
      </c>
      <c r="P1059" s="33">
        <v>0</v>
      </c>
      <c r="Q1059" s="33">
        <f t="shared" si="580"/>
        <v>0.99999841510931942</v>
      </c>
      <c r="R1059" s="33">
        <v>0</v>
      </c>
      <c r="S1059" s="33">
        <f t="shared" si="581"/>
        <v>1.5848906805786579E-6</v>
      </c>
      <c r="T1059" s="8">
        <f t="shared" si="564"/>
        <v>1</v>
      </c>
      <c r="U1059" s="33">
        <f t="shared" si="565"/>
        <v>0</v>
      </c>
      <c r="V1059" s="33">
        <f t="shared" si="566"/>
        <v>-0.99999841510931942</v>
      </c>
      <c r="W1059" s="33">
        <f t="shared" si="567"/>
        <v>548.93420158489062</v>
      </c>
      <c r="X1059" s="33">
        <v>96485</v>
      </c>
      <c r="Y1059" s="16">
        <f t="shared" si="568"/>
        <v>-175.76759983846929</v>
      </c>
      <c r="Z1059" s="16">
        <v>9</v>
      </c>
      <c r="AA1059" s="16">
        <v>19</v>
      </c>
      <c r="AB1059" s="8">
        <f t="shared" si="569"/>
        <v>0.29916897506925205</v>
      </c>
      <c r="AC1059" s="16">
        <f t="shared" si="574"/>
        <v>65.644217071787864</v>
      </c>
      <c r="AD1059" s="20">
        <f>'PFAS Properties'!$W$47</f>
        <v>9</v>
      </c>
      <c r="AE1059" s="8">
        <f>'PFAS Properties'!$S$47</f>
        <v>1.1238516409670858</v>
      </c>
      <c r="AF1059" s="15">
        <f>'PFAS Properties'!$V$47</f>
        <v>5.6</v>
      </c>
      <c r="AG1059" s="24">
        <v>5.9</v>
      </c>
      <c r="AH1059" s="2" t="s">
        <v>216</v>
      </c>
      <c r="AI1059" s="2">
        <v>1.4</v>
      </c>
      <c r="AJ1059" s="15">
        <f>AI1059*1000/55.845</f>
        <v>25.069388485988004</v>
      </c>
      <c r="AK1059" s="15">
        <f>AI1059/10</f>
        <v>0.13999999999999999</v>
      </c>
      <c r="AL1059" s="15">
        <v>0.92</v>
      </c>
      <c r="AM1059" s="15">
        <f>AL1059*1000/26.98</f>
        <v>34.099332839140104</v>
      </c>
      <c r="AN1059" s="15">
        <f>AL1059/10</f>
        <v>9.1999999999999998E-2</v>
      </c>
      <c r="AO1059" s="15" t="s">
        <v>217</v>
      </c>
      <c r="AP1059" s="72">
        <v>15.34083666666667</v>
      </c>
      <c r="AQ1059" s="70" t="s">
        <v>752</v>
      </c>
      <c r="AR1059" s="16">
        <v>37</v>
      </c>
      <c r="AS1059" s="16">
        <v>22</v>
      </c>
      <c r="AT1059" s="16">
        <v>41</v>
      </c>
      <c r="AU1059" s="2" t="s">
        <v>661</v>
      </c>
      <c r="AV1059" s="16">
        <f t="shared" si="570"/>
        <v>100</v>
      </c>
      <c r="AW1059" s="20">
        <v>2.6</v>
      </c>
      <c r="AX1059" s="8">
        <f t="shared" si="579"/>
        <v>2.6000000000000002E-2</v>
      </c>
      <c r="AY1059" s="8" t="s">
        <v>218</v>
      </c>
      <c r="AZ1059" s="16">
        <f>1.5/0.075</f>
        <v>20</v>
      </c>
      <c r="BA1059" s="16" t="s">
        <v>55</v>
      </c>
      <c r="BB1059" s="16">
        <v>10</v>
      </c>
      <c r="BC1059" s="16" t="s">
        <v>55</v>
      </c>
      <c r="BD1059" s="20">
        <v>16.21</v>
      </c>
      <c r="BE1059" s="16">
        <f t="shared" si="571"/>
        <v>623.46153846153845</v>
      </c>
      <c r="BF1059" s="16">
        <f t="shared" si="572"/>
        <v>2.7948096668776969</v>
      </c>
      <c r="BG1059" s="8">
        <f t="shared" si="573"/>
        <v>1.2097830148485149</v>
      </c>
      <c r="BH1059" s="2" t="s">
        <v>374</v>
      </c>
      <c r="BI1059" s="2"/>
      <c r="BJ1059" s="2"/>
      <c r="BK1059" s="2"/>
      <c r="BL1059" s="2"/>
      <c r="BM1059" s="20"/>
      <c r="BN1059" s="20"/>
      <c r="BO1059" s="2"/>
    </row>
    <row r="1060" spans="1:69" s="46" customFormat="1" x14ac:dyDescent="0.3">
      <c r="A1060" s="20">
        <v>1058</v>
      </c>
      <c r="B1060" s="2" t="s">
        <v>181</v>
      </c>
      <c r="C1060" s="2">
        <v>2020</v>
      </c>
      <c r="D1060" s="2" t="s">
        <v>203</v>
      </c>
      <c r="E1060" s="10" t="s">
        <v>787</v>
      </c>
      <c r="F1060" s="20" t="s">
        <v>29</v>
      </c>
      <c r="G1060" s="2" t="s">
        <v>62</v>
      </c>
      <c r="H1060" s="2" t="str">
        <f>'PFAS Properties'!$B$47</f>
        <v>PFNS</v>
      </c>
      <c r="I1060" s="2" t="str">
        <f>'PFAS Properties'!$C$47</f>
        <v>PFSA</v>
      </c>
      <c r="J1060" s="2" t="str">
        <f>'PFAS Properties'!$D$47</f>
        <v>C9HF19O3S</v>
      </c>
      <c r="K1060" s="25">
        <f>'PFAS Properties'!$P$47</f>
        <v>549.93420000000003</v>
      </c>
      <c r="L1060" s="2">
        <f>'PFAS Properties'!$X$47</f>
        <v>0.1</v>
      </c>
      <c r="M1060" s="2" t="str">
        <f>'PFAS Properties'!$Y$47</f>
        <v>-</v>
      </c>
      <c r="N1060" s="33">
        <v>0</v>
      </c>
      <c r="O1060" s="33">
        <v>0</v>
      </c>
      <c r="P1060" s="33">
        <v>0</v>
      </c>
      <c r="Q1060" s="33">
        <f t="shared" si="580"/>
        <v>0.9999999601892845</v>
      </c>
      <c r="R1060" s="33">
        <v>0</v>
      </c>
      <c r="S1060" s="33">
        <f t="shared" si="581"/>
        <v>3.9810715470456442E-8</v>
      </c>
      <c r="T1060" s="8">
        <f t="shared" si="564"/>
        <v>1</v>
      </c>
      <c r="U1060" s="33">
        <f t="shared" si="565"/>
        <v>0</v>
      </c>
      <c r="V1060" s="33">
        <f t="shared" si="566"/>
        <v>-0.9999999601892845</v>
      </c>
      <c r="W1060" s="33">
        <f t="shared" si="567"/>
        <v>548.93420003981066</v>
      </c>
      <c r="X1060" s="33">
        <v>96485</v>
      </c>
      <c r="Y1060" s="16">
        <f t="shared" si="568"/>
        <v>-175.7678719086289</v>
      </c>
      <c r="Z1060" s="16">
        <v>9</v>
      </c>
      <c r="AA1060" s="16">
        <v>19</v>
      </c>
      <c r="AB1060" s="8">
        <f t="shared" si="569"/>
        <v>0.29916897506925205</v>
      </c>
      <c r="AC1060" s="16">
        <f t="shared" si="574"/>
        <v>65.644217071787864</v>
      </c>
      <c r="AD1060" s="20">
        <f>'PFAS Properties'!$W$47</f>
        <v>9</v>
      </c>
      <c r="AE1060" s="8">
        <f>'PFAS Properties'!$S$47</f>
        <v>1.1238516409670858</v>
      </c>
      <c r="AF1060" s="15">
        <f>'PFAS Properties'!$V$47</f>
        <v>5.6</v>
      </c>
      <c r="AG1060" s="24">
        <v>7.5</v>
      </c>
      <c r="AH1060" s="2" t="s">
        <v>183</v>
      </c>
      <c r="AI1060" s="2" t="s">
        <v>661</v>
      </c>
      <c r="AJ1060" s="2" t="s">
        <v>661</v>
      </c>
      <c r="AK1060" s="2" t="s">
        <v>661</v>
      </c>
      <c r="AL1060" s="2" t="s">
        <v>661</v>
      </c>
      <c r="AM1060" s="2" t="s">
        <v>661</v>
      </c>
      <c r="AN1060" s="2" t="s">
        <v>661</v>
      </c>
      <c r="AO1060" s="2" t="s">
        <v>661</v>
      </c>
      <c r="AP1060" s="15">
        <v>41.4</v>
      </c>
      <c r="AQ1060" s="2" t="s">
        <v>661</v>
      </c>
      <c r="AR1060" s="16">
        <v>16.899999999999999</v>
      </c>
      <c r="AS1060" s="16">
        <v>17.5</v>
      </c>
      <c r="AT1060" s="16">
        <v>65.599999999999994</v>
      </c>
      <c r="AU1060" s="2" t="s">
        <v>661</v>
      </c>
      <c r="AV1060" s="16">
        <f t="shared" si="570"/>
        <v>100</v>
      </c>
      <c r="AW1060" s="20">
        <v>0.7</v>
      </c>
      <c r="AX1060" s="8">
        <v>6.9999999999999993E-3</v>
      </c>
      <c r="AY1060" s="13" t="s">
        <v>184</v>
      </c>
      <c r="AZ1060" s="16">
        <v>100</v>
      </c>
      <c r="BA1060" s="16" t="s">
        <v>55</v>
      </c>
      <c r="BB1060" s="16">
        <v>5</v>
      </c>
      <c r="BC1060" s="16" t="s">
        <v>55</v>
      </c>
      <c r="BD1060" s="20">
        <v>15.54</v>
      </c>
      <c r="BE1060" s="16">
        <f t="shared" si="571"/>
        <v>2220</v>
      </c>
      <c r="BF1060" s="16">
        <f t="shared" si="572"/>
        <v>3.3463529744506388</v>
      </c>
      <c r="BG1060" s="8">
        <f t="shared" si="573"/>
        <v>1.1914510144648955</v>
      </c>
      <c r="BH1060" s="13" t="s">
        <v>841</v>
      </c>
      <c r="BI1060" s="9"/>
      <c r="BJ1060" s="13"/>
      <c r="BK1060" s="9"/>
      <c r="BL1060" s="9"/>
      <c r="BM1060" s="19"/>
      <c r="BN1060" s="19"/>
      <c r="BO1060" s="129"/>
    </row>
    <row r="1061" spans="1:69" s="46" customFormat="1" x14ac:dyDescent="0.3">
      <c r="A1061" s="20">
        <v>1059</v>
      </c>
      <c r="B1061" s="2" t="s">
        <v>181</v>
      </c>
      <c r="C1061" s="2">
        <v>2020</v>
      </c>
      <c r="D1061" s="2" t="s">
        <v>203</v>
      </c>
      <c r="E1061" s="10" t="s">
        <v>787</v>
      </c>
      <c r="F1061" s="20" t="s">
        <v>29</v>
      </c>
      <c r="G1061" s="2" t="s">
        <v>57</v>
      </c>
      <c r="H1061" s="2" t="str">
        <f>'PFAS Properties'!$B$47</f>
        <v>PFNS</v>
      </c>
      <c r="I1061" s="2" t="str">
        <f>'PFAS Properties'!$C$47</f>
        <v>PFSA</v>
      </c>
      <c r="J1061" s="2" t="str">
        <f>'PFAS Properties'!$D$47</f>
        <v>C9HF19O3S</v>
      </c>
      <c r="K1061" s="25">
        <f>'PFAS Properties'!$P$47</f>
        <v>549.93420000000003</v>
      </c>
      <c r="L1061" s="2">
        <f>'PFAS Properties'!$X$47</f>
        <v>0.1</v>
      </c>
      <c r="M1061" s="2" t="str">
        <f>'PFAS Properties'!$Y$47</f>
        <v>-</v>
      </c>
      <c r="N1061" s="33">
        <v>0</v>
      </c>
      <c r="O1061" s="33">
        <v>0</v>
      </c>
      <c r="P1061" s="33">
        <v>0</v>
      </c>
      <c r="Q1061" s="33">
        <f t="shared" si="580"/>
        <v>0.99999980047380832</v>
      </c>
      <c r="R1061" s="33">
        <v>0</v>
      </c>
      <c r="S1061" s="33">
        <f t="shared" si="581"/>
        <v>1.9952619168617852E-7</v>
      </c>
      <c r="T1061" s="8">
        <f t="shared" si="564"/>
        <v>1</v>
      </c>
      <c r="U1061" s="33">
        <f t="shared" si="565"/>
        <v>0</v>
      </c>
      <c r="V1061" s="33">
        <f t="shared" si="566"/>
        <v>-0.99999980047380832</v>
      </c>
      <c r="W1061" s="33">
        <f t="shared" si="567"/>
        <v>548.93420019952623</v>
      </c>
      <c r="X1061" s="33">
        <v>96485</v>
      </c>
      <c r="Y1061" s="16">
        <f t="shared" si="568"/>
        <v>-175.76784378463776</v>
      </c>
      <c r="Z1061" s="16">
        <v>9</v>
      </c>
      <c r="AA1061" s="16">
        <v>19</v>
      </c>
      <c r="AB1061" s="8">
        <f t="shared" si="569"/>
        <v>0.29916897506925205</v>
      </c>
      <c r="AC1061" s="16">
        <f t="shared" si="574"/>
        <v>65.644217071787864</v>
      </c>
      <c r="AD1061" s="20">
        <f>'PFAS Properties'!$W$47</f>
        <v>9</v>
      </c>
      <c r="AE1061" s="8">
        <f>'PFAS Properties'!$S$47</f>
        <v>1.1238516409670858</v>
      </c>
      <c r="AF1061" s="15">
        <f>'PFAS Properties'!$V$47</f>
        <v>5.6</v>
      </c>
      <c r="AG1061" s="24">
        <v>6.8</v>
      </c>
      <c r="AH1061" s="2" t="s">
        <v>183</v>
      </c>
      <c r="AI1061" s="2" t="s">
        <v>661</v>
      </c>
      <c r="AJ1061" s="2" t="s">
        <v>661</v>
      </c>
      <c r="AK1061" s="2" t="s">
        <v>661</v>
      </c>
      <c r="AL1061" s="2" t="s">
        <v>661</v>
      </c>
      <c r="AM1061" s="2" t="s">
        <v>661</v>
      </c>
      <c r="AN1061" s="2" t="s">
        <v>661</v>
      </c>
      <c r="AO1061" s="2" t="s">
        <v>661</v>
      </c>
      <c r="AP1061" s="15">
        <v>7.1</v>
      </c>
      <c r="AQ1061" s="2" t="s">
        <v>661</v>
      </c>
      <c r="AR1061" s="16">
        <v>48.9</v>
      </c>
      <c r="AS1061" s="16">
        <v>27</v>
      </c>
      <c r="AT1061" s="16">
        <v>24.2</v>
      </c>
      <c r="AU1061" s="2" t="s">
        <v>661</v>
      </c>
      <c r="AV1061" s="16">
        <f t="shared" si="570"/>
        <v>100.10000000000001</v>
      </c>
      <c r="AW1061" s="20">
        <v>0.37</v>
      </c>
      <c r="AX1061" s="8">
        <v>3.7000000000000002E-3</v>
      </c>
      <c r="AY1061" s="13" t="s">
        <v>184</v>
      </c>
      <c r="AZ1061" s="16">
        <v>100</v>
      </c>
      <c r="BA1061" s="16" t="s">
        <v>55</v>
      </c>
      <c r="BB1061" s="16">
        <v>5</v>
      </c>
      <c r="BC1061" s="16" t="s">
        <v>55</v>
      </c>
      <c r="BD1061" s="20">
        <v>25.22</v>
      </c>
      <c r="BE1061" s="16">
        <f t="shared" si="571"/>
        <v>6816.2162162162158</v>
      </c>
      <c r="BF1061" s="16">
        <f t="shared" si="572"/>
        <v>3.833543358170068</v>
      </c>
      <c r="BG1061" s="8">
        <f t="shared" si="573"/>
        <v>1.4017450822370627</v>
      </c>
      <c r="BH1061" s="13" t="s">
        <v>841</v>
      </c>
      <c r="BI1061" s="9"/>
      <c r="BJ1061" s="13"/>
      <c r="BK1061" s="9"/>
      <c r="BL1061" s="9"/>
      <c r="BM1061" s="19"/>
      <c r="BN1061" s="19"/>
      <c r="BO1061" s="129"/>
    </row>
    <row r="1062" spans="1:69" s="46" customFormat="1" x14ac:dyDescent="0.3">
      <c r="A1062" s="20">
        <v>1060</v>
      </c>
      <c r="B1062" s="2" t="s">
        <v>181</v>
      </c>
      <c r="C1062" s="2">
        <v>2020</v>
      </c>
      <c r="D1062" s="2" t="s">
        <v>203</v>
      </c>
      <c r="E1062" s="10" t="s">
        <v>787</v>
      </c>
      <c r="F1062" s="20" t="s">
        <v>29</v>
      </c>
      <c r="G1062" s="2" t="s">
        <v>58</v>
      </c>
      <c r="H1062" s="2" t="str">
        <f>'PFAS Properties'!$B$47</f>
        <v>PFNS</v>
      </c>
      <c r="I1062" s="2" t="str">
        <f>'PFAS Properties'!$C$47</f>
        <v>PFSA</v>
      </c>
      <c r="J1062" s="2" t="str">
        <f>'PFAS Properties'!$D$47</f>
        <v>C9HF19O3S</v>
      </c>
      <c r="K1062" s="25">
        <f>'PFAS Properties'!$P$47</f>
        <v>549.93420000000003</v>
      </c>
      <c r="L1062" s="2">
        <f>'PFAS Properties'!$X$47</f>
        <v>0.1</v>
      </c>
      <c r="M1062" s="2" t="str">
        <f>'PFAS Properties'!$Y$47</f>
        <v>-</v>
      </c>
      <c r="N1062" s="33">
        <v>0</v>
      </c>
      <c r="O1062" s="33">
        <v>0</v>
      </c>
      <c r="P1062" s="33">
        <v>0</v>
      </c>
      <c r="Q1062" s="33">
        <f t="shared" si="580"/>
        <v>0.9999992056723962</v>
      </c>
      <c r="R1062" s="33">
        <v>0</v>
      </c>
      <c r="S1062" s="33">
        <f t="shared" si="581"/>
        <v>7.9432760376743655E-7</v>
      </c>
      <c r="T1062" s="8">
        <f t="shared" si="564"/>
        <v>1</v>
      </c>
      <c r="U1062" s="33">
        <f t="shared" si="565"/>
        <v>0</v>
      </c>
      <c r="V1062" s="33">
        <f t="shared" si="566"/>
        <v>-0.9999992056723962</v>
      </c>
      <c r="W1062" s="33">
        <f t="shared" si="567"/>
        <v>548.93420079432769</v>
      </c>
      <c r="X1062" s="33">
        <v>96485</v>
      </c>
      <c r="Y1062" s="16">
        <f t="shared" si="568"/>
        <v>-175.76773904720085</v>
      </c>
      <c r="Z1062" s="16">
        <v>9</v>
      </c>
      <c r="AA1062" s="16">
        <v>19</v>
      </c>
      <c r="AB1062" s="8">
        <f t="shared" si="569"/>
        <v>0.29916897506925205</v>
      </c>
      <c r="AC1062" s="16">
        <f t="shared" si="574"/>
        <v>65.644217071787864</v>
      </c>
      <c r="AD1062" s="20">
        <f>'PFAS Properties'!$W$47</f>
        <v>9</v>
      </c>
      <c r="AE1062" s="8">
        <f>'PFAS Properties'!$S$47</f>
        <v>1.1238516409670858</v>
      </c>
      <c r="AF1062" s="15">
        <f>'PFAS Properties'!$V$47</f>
        <v>5.6</v>
      </c>
      <c r="AG1062" s="24">
        <v>6.2</v>
      </c>
      <c r="AH1062" s="2" t="s">
        <v>183</v>
      </c>
      <c r="AI1062" s="2" t="s">
        <v>661</v>
      </c>
      <c r="AJ1062" s="2" t="s">
        <v>661</v>
      </c>
      <c r="AK1062" s="2" t="s">
        <v>661</v>
      </c>
      <c r="AL1062" s="2" t="s">
        <v>661</v>
      </c>
      <c r="AM1062" s="2" t="s">
        <v>661</v>
      </c>
      <c r="AN1062" s="2" t="s">
        <v>661</v>
      </c>
      <c r="AO1062" s="2" t="s">
        <v>661</v>
      </c>
      <c r="AP1062" s="15">
        <v>8</v>
      </c>
      <c r="AQ1062" s="2" t="s">
        <v>661</v>
      </c>
      <c r="AR1062" s="16">
        <v>51.44</v>
      </c>
      <c r="AS1062" s="16">
        <v>10.17</v>
      </c>
      <c r="AT1062" s="16">
        <v>38.380000000000003</v>
      </c>
      <c r="AU1062" s="2" t="s">
        <v>661</v>
      </c>
      <c r="AV1062" s="16">
        <f t="shared" si="570"/>
        <v>99.990000000000009</v>
      </c>
      <c r="AW1062" s="20">
        <v>0.08</v>
      </c>
      <c r="AX1062" s="8">
        <v>8.0000000000000004E-4</v>
      </c>
      <c r="AY1062" s="8" t="s">
        <v>184</v>
      </c>
      <c r="AZ1062" s="16">
        <v>100</v>
      </c>
      <c r="BA1062" s="16" t="s">
        <v>55</v>
      </c>
      <c r="BB1062" s="16">
        <v>5</v>
      </c>
      <c r="BC1062" s="16" t="s">
        <v>55</v>
      </c>
      <c r="BD1062" s="20">
        <v>12.2</v>
      </c>
      <c r="BE1062" s="16">
        <f t="shared" si="571"/>
        <v>15249.999999999998</v>
      </c>
      <c r="BF1062" s="16">
        <f t="shared" si="572"/>
        <v>4.1832698436828046</v>
      </c>
      <c r="BG1062" s="8">
        <f t="shared" si="573"/>
        <v>1.0863598306747482</v>
      </c>
      <c r="BH1062" s="13" t="s">
        <v>841</v>
      </c>
      <c r="BI1062" s="9"/>
      <c r="BJ1062" s="13"/>
      <c r="BK1062" s="9"/>
      <c r="BL1062" s="9"/>
      <c r="BM1062" s="19"/>
      <c r="BN1062" s="19"/>
      <c r="BO1062" s="129"/>
    </row>
    <row r="1063" spans="1:69" s="46" customFormat="1" x14ac:dyDescent="0.3">
      <c r="A1063" s="20">
        <v>1061</v>
      </c>
      <c r="B1063" s="2" t="s">
        <v>181</v>
      </c>
      <c r="C1063" s="2">
        <v>2020</v>
      </c>
      <c r="D1063" s="2" t="s">
        <v>203</v>
      </c>
      <c r="E1063" s="10" t="s">
        <v>787</v>
      </c>
      <c r="F1063" s="20" t="s">
        <v>29</v>
      </c>
      <c r="G1063" s="2" t="s">
        <v>59</v>
      </c>
      <c r="H1063" s="2" t="str">
        <f>'PFAS Properties'!$B$47</f>
        <v>PFNS</v>
      </c>
      <c r="I1063" s="2" t="str">
        <f>'PFAS Properties'!$C$47</f>
        <v>PFSA</v>
      </c>
      <c r="J1063" s="2" t="str">
        <f>'PFAS Properties'!$D$47</f>
        <v>C9HF19O3S</v>
      </c>
      <c r="K1063" s="25">
        <f>'PFAS Properties'!$P$47</f>
        <v>549.93420000000003</v>
      </c>
      <c r="L1063" s="2">
        <f>'PFAS Properties'!$X$47</f>
        <v>0.1</v>
      </c>
      <c r="M1063" s="2" t="str">
        <f>'PFAS Properties'!$Y$47</f>
        <v>-</v>
      </c>
      <c r="N1063" s="33">
        <v>0</v>
      </c>
      <c r="O1063" s="33">
        <v>0</v>
      </c>
      <c r="P1063" s="33">
        <v>0</v>
      </c>
      <c r="Q1063" s="33">
        <f t="shared" si="580"/>
        <v>0.99999997488113634</v>
      </c>
      <c r="R1063" s="33">
        <v>0</v>
      </c>
      <c r="S1063" s="33">
        <f t="shared" si="581"/>
        <v>2.5118863684138424E-8</v>
      </c>
      <c r="T1063" s="8">
        <f t="shared" si="564"/>
        <v>1</v>
      </c>
      <c r="U1063" s="33">
        <f t="shared" si="565"/>
        <v>0</v>
      </c>
      <c r="V1063" s="33">
        <f t="shared" si="566"/>
        <v>-0.99999997488113634</v>
      </c>
      <c r="W1063" s="33">
        <f t="shared" si="567"/>
        <v>548.93420002511891</v>
      </c>
      <c r="X1063" s="33">
        <v>96485</v>
      </c>
      <c r="Y1063" s="16">
        <f t="shared" si="568"/>
        <v>-175.7678744956888</v>
      </c>
      <c r="Z1063" s="16">
        <v>9</v>
      </c>
      <c r="AA1063" s="16">
        <v>19</v>
      </c>
      <c r="AB1063" s="8">
        <f t="shared" si="569"/>
        <v>0.29916897506925205</v>
      </c>
      <c r="AC1063" s="16">
        <f t="shared" si="574"/>
        <v>65.644217071787864</v>
      </c>
      <c r="AD1063" s="20">
        <f>'PFAS Properties'!$W$47</f>
        <v>9</v>
      </c>
      <c r="AE1063" s="8">
        <f>'PFAS Properties'!$S$47</f>
        <v>1.1238516409670858</v>
      </c>
      <c r="AF1063" s="15">
        <f>'PFAS Properties'!$V$47</f>
        <v>5.6</v>
      </c>
      <c r="AG1063" s="24">
        <v>7.7</v>
      </c>
      <c r="AH1063" s="2" t="s">
        <v>183</v>
      </c>
      <c r="AI1063" s="2" t="s">
        <v>661</v>
      </c>
      <c r="AJ1063" s="2" t="s">
        <v>661</v>
      </c>
      <c r="AK1063" s="2" t="s">
        <v>661</v>
      </c>
      <c r="AL1063" s="2" t="s">
        <v>661</v>
      </c>
      <c r="AM1063" s="2" t="s">
        <v>661</v>
      </c>
      <c r="AN1063" s="2" t="s">
        <v>661</v>
      </c>
      <c r="AO1063" s="2" t="s">
        <v>661</v>
      </c>
      <c r="AP1063" s="15">
        <v>4.8</v>
      </c>
      <c r="AQ1063" s="2" t="s">
        <v>661</v>
      </c>
      <c r="AR1063" s="16">
        <v>46</v>
      </c>
      <c r="AS1063" s="16">
        <v>37</v>
      </c>
      <c r="AT1063" s="16">
        <v>17</v>
      </c>
      <c r="AU1063" s="2" t="s">
        <v>661</v>
      </c>
      <c r="AV1063" s="16">
        <f t="shared" si="570"/>
        <v>100</v>
      </c>
      <c r="AW1063" s="20">
        <v>0.25</v>
      </c>
      <c r="AX1063" s="8">
        <v>2.5000000000000001E-3</v>
      </c>
      <c r="AY1063" s="13" t="s">
        <v>184</v>
      </c>
      <c r="AZ1063" s="16">
        <v>100</v>
      </c>
      <c r="BA1063" s="16" t="s">
        <v>55</v>
      </c>
      <c r="BB1063" s="16">
        <v>5</v>
      </c>
      <c r="BC1063" s="16" t="s">
        <v>55</v>
      </c>
      <c r="BD1063" s="18">
        <v>5.88</v>
      </c>
      <c r="BE1063" s="16">
        <f t="shared" si="571"/>
        <v>2352</v>
      </c>
      <c r="BF1063" s="16">
        <f t="shared" si="572"/>
        <v>3.371437317404101</v>
      </c>
      <c r="BG1063" s="8">
        <f t="shared" si="573"/>
        <v>0.76937732607613851</v>
      </c>
      <c r="BH1063" s="13" t="s">
        <v>841</v>
      </c>
      <c r="BI1063" s="9"/>
      <c r="BJ1063" s="13"/>
      <c r="BK1063" s="9"/>
      <c r="BL1063" s="9"/>
      <c r="BM1063" s="19"/>
      <c r="BN1063" s="19"/>
      <c r="BO1063" s="129"/>
    </row>
    <row r="1064" spans="1:69" s="46" customFormat="1" x14ac:dyDescent="0.3">
      <c r="A1064" s="20">
        <v>1062</v>
      </c>
      <c r="B1064" s="2" t="s">
        <v>181</v>
      </c>
      <c r="C1064" s="2">
        <v>2020</v>
      </c>
      <c r="D1064" s="2" t="s">
        <v>203</v>
      </c>
      <c r="E1064" s="10" t="s">
        <v>787</v>
      </c>
      <c r="F1064" s="20" t="s">
        <v>29</v>
      </c>
      <c r="G1064" s="2" t="s">
        <v>61</v>
      </c>
      <c r="H1064" s="2" t="str">
        <f>'PFAS Properties'!$B$47</f>
        <v>PFNS</v>
      </c>
      <c r="I1064" s="2" t="str">
        <f>'PFAS Properties'!$C$47</f>
        <v>PFSA</v>
      </c>
      <c r="J1064" s="2" t="str">
        <f>'PFAS Properties'!$D$47</f>
        <v>C9HF19O3S</v>
      </c>
      <c r="K1064" s="25">
        <f>'PFAS Properties'!$P$47</f>
        <v>549.93420000000003</v>
      </c>
      <c r="L1064" s="2">
        <f>'PFAS Properties'!$X$47</f>
        <v>0.1</v>
      </c>
      <c r="M1064" s="2" t="str">
        <f>'PFAS Properties'!$Y$47</f>
        <v>-</v>
      </c>
      <c r="N1064" s="33">
        <v>0</v>
      </c>
      <c r="O1064" s="33">
        <v>0</v>
      </c>
      <c r="P1064" s="33">
        <v>0</v>
      </c>
      <c r="Q1064" s="33">
        <f t="shared" si="580"/>
        <v>0.99999994988127916</v>
      </c>
      <c r="R1064" s="33">
        <v>0</v>
      </c>
      <c r="S1064" s="33">
        <f t="shared" si="581"/>
        <v>5.0118720850840682E-8</v>
      </c>
      <c r="T1064" s="8">
        <f t="shared" si="564"/>
        <v>1</v>
      </c>
      <c r="U1064" s="33">
        <f t="shared" si="565"/>
        <v>0</v>
      </c>
      <c r="V1064" s="33">
        <f t="shared" si="566"/>
        <v>-0.99999994988127916</v>
      </c>
      <c r="W1064" s="33">
        <f t="shared" si="567"/>
        <v>548.93420005011876</v>
      </c>
      <c r="X1064" s="33">
        <v>96485</v>
      </c>
      <c r="Y1064" s="16">
        <f t="shared" si="568"/>
        <v>-175.76787009351204</v>
      </c>
      <c r="Z1064" s="16">
        <v>9</v>
      </c>
      <c r="AA1064" s="16">
        <v>19</v>
      </c>
      <c r="AB1064" s="8">
        <f t="shared" si="569"/>
        <v>0.29916897506925205</v>
      </c>
      <c r="AC1064" s="16">
        <f t="shared" si="574"/>
        <v>65.644217071787864</v>
      </c>
      <c r="AD1064" s="20">
        <f>'PFAS Properties'!$W$47</f>
        <v>9</v>
      </c>
      <c r="AE1064" s="8">
        <f>'PFAS Properties'!$S$47</f>
        <v>1.1238516409670858</v>
      </c>
      <c r="AF1064" s="15">
        <f>'PFAS Properties'!$V$47</f>
        <v>5.6</v>
      </c>
      <c r="AG1064" s="24">
        <v>7.4</v>
      </c>
      <c r="AH1064" s="2" t="s">
        <v>183</v>
      </c>
      <c r="AI1064" s="2" t="s">
        <v>661</v>
      </c>
      <c r="AJ1064" s="2" t="s">
        <v>661</v>
      </c>
      <c r="AK1064" s="2" t="s">
        <v>661</v>
      </c>
      <c r="AL1064" s="2" t="s">
        <v>661</v>
      </c>
      <c r="AM1064" s="2" t="s">
        <v>661</v>
      </c>
      <c r="AN1064" s="2" t="s">
        <v>661</v>
      </c>
      <c r="AO1064" s="2" t="s">
        <v>661</v>
      </c>
      <c r="AP1064" s="15">
        <v>29.6</v>
      </c>
      <c r="AQ1064" s="2" t="s">
        <v>661</v>
      </c>
      <c r="AR1064" s="16">
        <v>39.799999999999997</v>
      </c>
      <c r="AS1064" s="16">
        <v>7.7</v>
      </c>
      <c r="AT1064" s="16">
        <v>52.5</v>
      </c>
      <c r="AU1064" s="2" t="s">
        <v>661</v>
      </c>
      <c r="AV1064" s="16">
        <f t="shared" si="570"/>
        <v>100</v>
      </c>
      <c r="AW1064" s="20">
        <v>2.23</v>
      </c>
      <c r="AX1064" s="8">
        <v>2.23E-2</v>
      </c>
      <c r="AY1064" s="8" t="s">
        <v>184</v>
      </c>
      <c r="AZ1064" s="16">
        <v>100</v>
      </c>
      <c r="BA1064" s="16" t="s">
        <v>55</v>
      </c>
      <c r="BB1064" s="16">
        <v>5</v>
      </c>
      <c r="BC1064" s="16" t="s">
        <v>55</v>
      </c>
      <c r="BD1064" s="20">
        <v>13.73</v>
      </c>
      <c r="BE1064" s="16">
        <f t="shared" si="571"/>
        <v>615.69506726457405</v>
      </c>
      <c r="BF1064" s="16">
        <f t="shared" si="572"/>
        <v>2.7893656741885944</v>
      </c>
      <c r="BG1064" s="8">
        <f t="shared" si="573"/>
        <v>1.137670537236755</v>
      </c>
      <c r="BH1064" s="13" t="s">
        <v>841</v>
      </c>
      <c r="BI1064" s="9"/>
      <c r="BJ1064" s="13"/>
      <c r="BK1064" s="9"/>
      <c r="BL1064" s="9"/>
      <c r="BM1064" s="19"/>
      <c r="BN1064" s="19"/>
      <c r="BO1064" s="129"/>
    </row>
    <row r="1065" spans="1:69" s="46" customFormat="1" x14ac:dyDescent="0.3">
      <c r="A1065" s="20">
        <v>1063</v>
      </c>
      <c r="B1065" s="2" t="s">
        <v>181</v>
      </c>
      <c r="C1065" s="2">
        <v>2020</v>
      </c>
      <c r="D1065" s="2" t="s">
        <v>203</v>
      </c>
      <c r="E1065" s="10" t="s">
        <v>787</v>
      </c>
      <c r="F1065" s="20" t="s">
        <v>29</v>
      </c>
      <c r="G1065" s="2" t="s">
        <v>60</v>
      </c>
      <c r="H1065" s="2" t="str">
        <f>'PFAS Properties'!$B$47</f>
        <v>PFNS</v>
      </c>
      <c r="I1065" s="2" t="str">
        <f>'PFAS Properties'!$C$47</f>
        <v>PFSA</v>
      </c>
      <c r="J1065" s="2" t="str">
        <f>'PFAS Properties'!$D$47</f>
        <v>C9HF19O3S</v>
      </c>
      <c r="K1065" s="25">
        <f>'PFAS Properties'!$P$47</f>
        <v>549.93420000000003</v>
      </c>
      <c r="L1065" s="2">
        <f>'PFAS Properties'!$X$47</f>
        <v>0.1</v>
      </c>
      <c r="M1065" s="2" t="str">
        <f>'PFAS Properties'!$Y$47</f>
        <v>-</v>
      </c>
      <c r="N1065" s="33">
        <v>0</v>
      </c>
      <c r="O1065" s="33">
        <v>0</v>
      </c>
      <c r="P1065" s="33">
        <v>0</v>
      </c>
      <c r="Q1065" s="33">
        <f t="shared" si="580"/>
        <v>0.99999997488113634</v>
      </c>
      <c r="R1065" s="33">
        <v>0</v>
      </c>
      <c r="S1065" s="33">
        <f t="shared" si="581"/>
        <v>2.5118863684138424E-8</v>
      </c>
      <c r="T1065" s="8">
        <f t="shared" si="564"/>
        <v>1</v>
      </c>
      <c r="U1065" s="33">
        <f t="shared" si="565"/>
        <v>0</v>
      </c>
      <c r="V1065" s="33">
        <f t="shared" si="566"/>
        <v>-0.99999997488113634</v>
      </c>
      <c r="W1065" s="33">
        <f t="shared" si="567"/>
        <v>548.93420002511891</v>
      </c>
      <c r="X1065" s="33">
        <v>96485</v>
      </c>
      <c r="Y1065" s="16">
        <f t="shared" si="568"/>
        <v>-175.7678744956888</v>
      </c>
      <c r="Z1065" s="16">
        <v>9</v>
      </c>
      <c r="AA1065" s="16">
        <v>19</v>
      </c>
      <c r="AB1065" s="8">
        <f t="shared" si="569"/>
        <v>0.29916897506925205</v>
      </c>
      <c r="AC1065" s="16">
        <f t="shared" si="574"/>
        <v>65.644217071787864</v>
      </c>
      <c r="AD1065" s="20">
        <f>'PFAS Properties'!$W$47</f>
        <v>9</v>
      </c>
      <c r="AE1065" s="8">
        <f>'PFAS Properties'!$S$47</f>
        <v>1.1238516409670858</v>
      </c>
      <c r="AF1065" s="15">
        <f>'PFAS Properties'!$V$47</f>
        <v>5.6</v>
      </c>
      <c r="AG1065" s="24">
        <v>7.7</v>
      </c>
      <c r="AH1065" s="2" t="s">
        <v>183</v>
      </c>
      <c r="AI1065" s="2" t="s">
        <v>661</v>
      </c>
      <c r="AJ1065" s="2" t="s">
        <v>661</v>
      </c>
      <c r="AK1065" s="2" t="s">
        <v>661</v>
      </c>
      <c r="AL1065" s="2" t="s">
        <v>661</v>
      </c>
      <c r="AM1065" s="2" t="s">
        <v>661</v>
      </c>
      <c r="AN1065" s="2" t="s">
        <v>661</v>
      </c>
      <c r="AO1065" s="2" t="s">
        <v>661</v>
      </c>
      <c r="AP1065" s="15">
        <v>21.63</v>
      </c>
      <c r="AQ1065" s="2" t="s">
        <v>661</v>
      </c>
      <c r="AR1065" s="16">
        <v>70</v>
      </c>
      <c r="AS1065" s="16">
        <v>11</v>
      </c>
      <c r="AT1065" s="16">
        <v>19</v>
      </c>
      <c r="AU1065" s="2" t="s">
        <v>661</v>
      </c>
      <c r="AV1065" s="16">
        <f t="shared" si="570"/>
        <v>100</v>
      </c>
      <c r="AW1065" s="20">
        <v>4.9000000000000004</v>
      </c>
      <c r="AX1065" s="8">
        <v>4.9000000000000002E-2</v>
      </c>
      <c r="AY1065" s="8" t="s">
        <v>184</v>
      </c>
      <c r="AZ1065" s="16">
        <v>100</v>
      </c>
      <c r="BA1065" s="16" t="s">
        <v>55</v>
      </c>
      <c r="BB1065" s="16">
        <v>5</v>
      </c>
      <c r="BC1065" s="16" t="s">
        <v>55</v>
      </c>
      <c r="BD1065" s="20">
        <v>119.76</v>
      </c>
      <c r="BE1065" s="16">
        <f t="shared" si="571"/>
        <v>2444.0816326530612</v>
      </c>
      <c r="BF1065" s="16">
        <f t="shared" si="572"/>
        <v>3.3881157073064823</v>
      </c>
      <c r="BG1065" s="8">
        <f t="shared" si="573"/>
        <v>2.0783117873349961</v>
      </c>
      <c r="BH1065" s="13" t="s">
        <v>841</v>
      </c>
      <c r="BI1065" s="9"/>
      <c r="BJ1065" s="13"/>
      <c r="BK1065" s="9"/>
      <c r="BL1065" s="9"/>
      <c r="BM1065" s="19"/>
      <c r="BN1065" s="19"/>
      <c r="BO1065" s="129"/>
    </row>
    <row r="1066" spans="1:69" s="46" customFormat="1" x14ac:dyDescent="0.3">
      <c r="A1066" s="20">
        <v>1064</v>
      </c>
      <c r="B1066" s="2" t="s">
        <v>181</v>
      </c>
      <c r="C1066" s="2">
        <v>2020</v>
      </c>
      <c r="D1066" s="2" t="s">
        <v>203</v>
      </c>
      <c r="E1066" s="10" t="s">
        <v>787</v>
      </c>
      <c r="F1066" s="20" t="s">
        <v>29</v>
      </c>
      <c r="G1066" s="2" t="s">
        <v>77</v>
      </c>
      <c r="H1066" s="2" t="str">
        <f>'PFAS Properties'!$B$47</f>
        <v>PFNS</v>
      </c>
      <c r="I1066" s="2" t="str">
        <f>'PFAS Properties'!$C$47</f>
        <v>PFSA</v>
      </c>
      <c r="J1066" s="2" t="str">
        <f>'PFAS Properties'!$D$47</f>
        <v>C9HF19O3S</v>
      </c>
      <c r="K1066" s="25">
        <f>'PFAS Properties'!$P$47</f>
        <v>549.93420000000003</v>
      </c>
      <c r="L1066" s="2">
        <f>'PFAS Properties'!$X$47</f>
        <v>0.1</v>
      </c>
      <c r="M1066" s="2" t="str">
        <f>'PFAS Properties'!$Y$47</f>
        <v>-</v>
      </c>
      <c r="N1066" s="33">
        <v>0</v>
      </c>
      <c r="O1066" s="33">
        <v>0</v>
      </c>
      <c r="P1066" s="33">
        <v>0</v>
      </c>
      <c r="Q1066" s="33">
        <f t="shared" si="580"/>
        <v>0.99999997488113634</v>
      </c>
      <c r="R1066" s="33">
        <v>0</v>
      </c>
      <c r="S1066" s="33">
        <f t="shared" si="581"/>
        <v>2.5118863684138424E-8</v>
      </c>
      <c r="T1066" s="8">
        <f t="shared" si="564"/>
        <v>1</v>
      </c>
      <c r="U1066" s="33">
        <f t="shared" si="565"/>
        <v>0</v>
      </c>
      <c r="V1066" s="33">
        <f t="shared" si="566"/>
        <v>-0.99999997488113634</v>
      </c>
      <c r="W1066" s="33">
        <f t="shared" si="567"/>
        <v>548.93420002511891</v>
      </c>
      <c r="X1066" s="33">
        <v>96485</v>
      </c>
      <c r="Y1066" s="16">
        <f t="shared" si="568"/>
        <v>-175.7678744956888</v>
      </c>
      <c r="Z1066" s="16">
        <v>9</v>
      </c>
      <c r="AA1066" s="16">
        <v>19</v>
      </c>
      <c r="AB1066" s="8">
        <f t="shared" si="569"/>
        <v>0.29916897506925205</v>
      </c>
      <c r="AC1066" s="16">
        <f t="shared" si="574"/>
        <v>65.644217071787864</v>
      </c>
      <c r="AD1066" s="20">
        <f>'PFAS Properties'!$W$47</f>
        <v>9</v>
      </c>
      <c r="AE1066" s="8">
        <f>'PFAS Properties'!$S$47</f>
        <v>1.1238516409670858</v>
      </c>
      <c r="AF1066" s="15">
        <f>'PFAS Properties'!$V$47</f>
        <v>5.6</v>
      </c>
      <c r="AG1066" s="24">
        <v>7.7</v>
      </c>
      <c r="AH1066" s="2" t="s">
        <v>183</v>
      </c>
      <c r="AI1066" s="2" t="s">
        <v>661</v>
      </c>
      <c r="AJ1066" s="2" t="s">
        <v>661</v>
      </c>
      <c r="AK1066" s="2" t="s">
        <v>661</v>
      </c>
      <c r="AL1066" s="2" t="s">
        <v>661</v>
      </c>
      <c r="AM1066" s="2" t="s">
        <v>661</v>
      </c>
      <c r="AN1066" s="2" t="s">
        <v>661</v>
      </c>
      <c r="AO1066" s="2" t="s">
        <v>661</v>
      </c>
      <c r="AP1066" s="15">
        <v>7.8</v>
      </c>
      <c r="AQ1066" s="2" t="s">
        <v>661</v>
      </c>
      <c r="AR1066" s="16">
        <v>48.9</v>
      </c>
      <c r="AS1066" s="16">
        <v>32.6</v>
      </c>
      <c r="AT1066" s="16">
        <v>18.5</v>
      </c>
      <c r="AU1066" s="2" t="s">
        <v>661</v>
      </c>
      <c r="AV1066" s="16">
        <f t="shared" si="570"/>
        <v>100</v>
      </c>
      <c r="AW1066" s="20">
        <v>0.13</v>
      </c>
      <c r="AX1066" s="8">
        <v>1.2999999999999999E-3</v>
      </c>
      <c r="AY1066" s="8" t="s">
        <v>184</v>
      </c>
      <c r="AZ1066" s="16">
        <v>100</v>
      </c>
      <c r="BA1066" s="16" t="s">
        <v>55</v>
      </c>
      <c r="BB1066" s="16">
        <v>5</v>
      </c>
      <c r="BC1066" s="16" t="s">
        <v>55</v>
      </c>
      <c r="BD1066" s="20">
        <v>9.4600000000000009</v>
      </c>
      <c r="BE1066" s="16">
        <f t="shared" si="571"/>
        <v>7276.923076923078</v>
      </c>
      <c r="BF1066" s="16">
        <f t="shared" si="572"/>
        <v>3.8619477840949559</v>
      </c>
      <c r="BG1066" s="8">
        <f t="shared" si="573"/>
        <v>0.97589113640179281</v>
      </c>
      <c r="BH1066" s="13" t="s">
        <v>841</v>
      </c>
      <c r="BI1066" s="9"/>
      <c r="BJ1066" s="13"/>
      <c r="BK1066" s="9"/>
      <c r="BL1066" s="9"/>
      <c r="BM1066" s="19"/>
      <c r="BN1066" s="19"/>
      <c r="BO1066" s="129"/>
    </row>
    <row r="1067" spans="1:69" s="46" customFormat="1" x14ac:dyDescent="0.3">
      <c r="A1067" s="20">
        <v>1065</v>
      </c>
      <c r="B1067" s="2" t="s">
        <v>181</v>
      </c>
      <c r="C1067" s="2">
        <v>2020</v>
      </c>
      <c r="D1067" s="2" t="s">
        <v>203</v>
      </c>
      <c r="E1067" s="10" t="s">
        <v>787</v>
      </c>
      <c r="F1067" s="20" t="s">
        <v>29</v>
      </c>
      <c r="G1067" s="2" t="s">
        <v>182</v>
      </c>
      <c r="H1067" s="2" t="str">
        <f>'PFAS Properties'!$B$47</f>
        <v>PFNS</v>
      </c>
      <c r="I1067" s="2" t="str">
        <f>'PFAS Properties'!$C$47</f>
        <v>PFSA</v>
      </c>
      <c r="J1067" s="2" t="str">
        <f>'PFAS Properties'!$D$47</f>
        <v>C9HF19O3S</v>
      </c>
      <c r="K1067" s="25">
        <f>'PFAS Properties'!$P$47</f>
        <v>549.93420000000003</v>
      </c>
      <c r="L1067" s="2">
        <f>'PFAS Properties'!$X$47</f>
        <v>0.1</v>
      </c>
      <c r="M1067" s="2" t="str">
        <f>'PFAS Properties'!$Y$47</f>
        <v>-</v>
      </c>
      <c r="N1067" s="33">
        <v>0</v>
      </c>
      <c r="O1067" s="33">
        <v>0</v>
      </c>
      <c r="P1067" s="33">
        <v>0</v>
      </c>
      <c r="Q1067" s="33">
        <f t="shared" si="580"/>
        <v>0.9999999601892845</v>
      </c>
      <c r="R1067" s="33">
        <v>0</v>
      </c>
      <c r="S1067" s="33">
        <f t="shared" si="581"/>
        <v>3.9810715470456442E-8</v>
      </c>
      <c r="T1067" s="8">
        <f t="shared" si="564"/>
        <v>1</v>
      </c>
      <c r="U1067" s="33">
        <f t="shared" si="565"/>
        <v>0</v>
      </c>
      <c r="V1067" s="33">
        <f t="shared" si="566"/>
        <v>-0.9999999601892845</v>
      </c>
      <c r="W1067" s="33">
        <f t="shared" si="567"/>
        <v>548.93420003981066</v>
      </c>
      <c r="X1067" s="33">
        <v>96485</v>
      </c>
      <c r="Y1067" s="16">
        <f t="shared" si="568"/>
        <v>-175.7678719086289</v>
      </c>
      <c r="Z1067" s="16">
        <v>9</v>
      </c>
      <c r="AA1067" s="16">
        <v>19</v>
      </c>
      <c r="AB1067" s="8">
        <f t="shared" si="569"/>
        <v>0.29916897506925205</v>
      </c>
      <c r="AC1067" s="16">
        <f t="shared" si="574"/>
        <v>65.644217071787864</v>
      </c>
      <c r="AD1067" s="20">
        <f>'PFAS Properties'!$W$47</f>
        <v>9</v>
      </c>
      <c r="AE1067" s="8">
        <f>'PFAS Properties'!$S$47</f>
        <v>1.1238516409670858</v>
      </c>
      <c r="AF1067" s="15">
        <f>'PFAS Properties'!$V$47</f>
        <v>5.6</v>
      </c>
      <c r="AG1067" s="24">
        <v>7.5</v>
      </c>
      <c r="AH1067" s="2" t="s">
        <v>183</v>
      </c>
      <c r="AI1067" s="2" t="s">
        <v>661</v>
      </c>
      <c r="AJ1067" s="2" t="s">
        <v>661</v>
      </c>
      <c r="AK1067" s="2" t="s">
        <v>661</v>
      </c>
      <c r="AL1067" s="2" t="s">
        <v>661</v>
      </c>
      <c r="AM1067" s="2" t="s">
        <v>661</v>
      </c>
      <c r="AN1067" s="2" t="s">
        <v>661</v>
      </c>
      <c r="AO1067" s="2" t="s">
        <v>661</v>
      </c>
      <c r="AP1067" s="15">
        <v>2.2799999999999998</v>
      </c>
      <c r="AQ1067" s="2" t="s">
        <v>661</v>
      </c>
      <c r="AR1067" s="16">
        <v>93</v>
      </c>
      <c r="AS1067" s="16">
        <v>1</v>
      </c>
      <c r="AT1067" s="16">
        <v>5</v>
      </c>
      <c r="AU1067" s="2" t="s">
        <v>661</v>
      </c>
      <c r="AV1067" s="16">
        <f t="shared" si="570"/>
        <v>99</v>
      </c>
      <c r="AW1067" s="20">
        <v>0.4</v>
      </c>
      <c r="AX1067" s="8">
        <v>4.0000000000000001E-3</v>
      </c>
      <c r="AY1067" s="8" t="s">
        <v>184</v>
      </c>
      <c r="AZ1067" s="16">
        <v>100</v>
      </c>
      <c r="BA1067" s="16" t="s">
        <v>55</v>
      </c>
      <c r="BB1067" s="16">
        <v>5</v>
      </c>
      <c r="BC1067" s="16" t="s">
        <v>55</v>
      </c>
      <c r="BD1067" s="20">
        <v>6.26</v>
      </c>
      <c r="BE1067" s="16">
        <f t="shared" si="571"/>
        <v>1565</v>
      </c>
      <c r="BF1067" s="16">
        <f t="shared" si="572"/>
        <v>3.1945143418824671</v>
      </c>
      <c r="BG1067" s="8">
        <f t="shared" si="573"/>
        <v>0.7965743332104297</v>
      </c>
      <c r="BH1067" s="13" t="s">
        <v>841</v>
      </c>
      <c r="BI1067" s="9"/>
      <c r="BJ1067" s="13"/>
      <c r="BK1067" s="9"/>
      <c r="BL1067" s="9"/>
      <c r="BM1067" s="19"/>
      <c r="BN1067" s="19"/>
      <c r="BO1067" s="129"/>
    </row>
    <row r="1068" spans="1:69" s="46" customFormat="1" x14ac:dyDescent="0.3">
      <c r="A1068" s="20">
        <v>1066</v>
      </c>
      <c r="B1068" s="2" t="s">
        <v>181</v>
      </c>
      <c r="C1068" s="2">
        <v>2020</v>
      </c>
      <c r="D1068" s="2" t="s">
        <v>203</v>
      </c>
      <c r="E1068" s="10" t="s">
        <v>787</v>
      </c>
      <c r="F1068" s="20" t="s">
        <v>29</v>
      </c>
      <c r="G1068" s="2" t="s">
        <v>78</v>
      </c>
      <c r="H1068" s="2" t="str">
        <f>'PFAS Properties'!$B$47</f>
        <v>PFNS</v>
      </c>
      <c r="I1068" s="2" t="str">
        <f>'PFAS Properties'!$C$47</f>
        <v>PFSA</v>
      </c>
      <c r="J1068" s="2" t="str">
        <f>'PFAS Properties'!$D$47</f>
        <v>C9HF19O3S</v>
      </c>
      <c r="K1068" s="25">
        <f>'PFAS Properties'!$P$47</f>
        <v>549.93420000000003</v>
      </c>
      <c r="L1068" s="2">
        <f>'PFAS Properties'!$X$47</f>
        <v>0.1</v>
      </c>
      <c r="M1068" s="2" t="str">
        <f>'PFAS Properties'!$Y$47</f>
        <v>-</v>
      </c>
      <c r="N1068" s="33">
        <v>0</v>
      </c>
      <c r="O1068" s="33">
        <v>0</v>
      </c>
      <c r="P1068" s="33">
        <v>0</v>
      </c>
      <c r="Q1068" s="33">
        <f t="shared" si="580"/>
        <v>0.99999990000001004</v>
      </c>
      <c r="R1068" s="33">
        <v>0</v>
      </c>
      <c r="S1068" s="33">
        <f t="shared" si="581"/>
        <v>9.9999990000001005E-8</v>
      </c>
      <c r="T1068" s="8">
        <f t="shared" si="564"/>
        <v>1</v>
      </c>
      <c r="U1068" s="33">
        <f t="shared" si="565"/>
        <v>0</v>
      </c>
      <c r="V1068" s="33">
        <f t="shared" si="566"/>
        <v>-0.99999990000001004</v>
      </c>
      <c r="W1068" s="33">
        <f t="shared" si="567"/>
        <v>548.93420010000011</v>
      </c>
      <c r="X1068" s="33">
        <v>96485</v>
      </c>
      <c r="Y1068" s="16">
        <f t="shared" si="568"/>
        <v>-175.76786131001523</v>
      </c>
      <c r="Z1068" s="16">
        <v>9</v>
      </c>
      <c r="AA1068" s="16">
        <v>19</v>
      </c>
      <c r="AB1068" s="8">
        <f t="shared" si="569"/>
        <v>0.29916897506925205</v>
      </c>
      <c r="AC1068" s="16">
        <f t="shared" si="574"/>
        <v>65.644217071787864</v>
      </c>
      <c r="AD1068" s="20">
        <f>'PFAS Properties'!$W$47</f>
        <v>9</v>
      </c>
      <c r="AE1068" s="8">
        <f>'PFAS Properties'!$S$47</f>
        <v>1.1238516409670858</v>
      </c>
      <c r="AF1068" s="15">
        <f>'PFAS Properties'!$V$47</f>
        <v>5.6</v>
      </c>
      <c r="AG1068" s="24">
        <v>7.1</v>
      </c>
      <c r="AH1068" s="2" t="s">
        <v>183</v>
      </c>
      <c r="AI1068" s="2" t="s">
        <v>661</v>
      </c>
      <c r="AJ1068" s="2" t="s">
        <v>661</v>
      </c>
      <c r="AK1068" s="2" t="s">
        <v>661</v>
      </c>
      <c r="AL1068" s="2" t="s">
        <v>661</v>
      </c>
      <c r="AM1068" s="2" t="s">
        <v>661</v>
      </c>
      <c r="AN1068" s="2" t="s">
        <v>661</v>
      </c>
      <c r="AO1068" s="2" t="s">
        <v>661</v>
      </c>
      <c r="AP1068" s="15">
        <v>17.420000000000002</v>
      </c>
      <c r="AQ1068" s="2" t="s">
        <v>661</v>
      </c>
      <c r="AR1068" s="16">
        <v>48.86</v>
      </c>
      <c r="AS1068" s="16">
        <v>16.05</v>
      </c>
      <c r="AT1068" s="16">
        <v>35.090000000000003</v>
      </c>
      <c r="AU1068" s="2" t="s">
        <v>661</v>
      </c>
      <c r="AV1068" s="16">
        <f t="shared" si="570"/>
        <v>100</v>
      </c>
      <c r="AW1068" s="20">
        <v>1.19</v>
      </c>
      <c r="AX1068" s="8">
        <v>1.1899999999999999E-2</v>
      </c>
      <c r="AY1068" s="8" t="s">
        <v>184</v>
      </c>
      <c r="AZ1068" s="16">
        <v>100</v>
      </c>
      <c r="BA1068" s="16" t="s">
        <v>55</v>
      </c>
      <c r="BB1068" s="16">
        <v>5</v>
      </c>
      <c r="BC1068" s="16" t="s">
        <v>55</v>
      </c>
      <c r="BD1068" s="20">
        <v>21.39</v>
      </c>
      <c r="BE1068" s="16">
        <f t="shared" si="571"/>
        <v>1797.4789915966389</v>
      </c>
      <c r="BF1068" s="16">
        <f t="shared" si="572"/>
        <v>3.2546638231789973</v>
      </c>
      <c r="BG1068" s="8">
        <f t="shared" si="573"/>
        <v>1.3302107845715281</v>
      </c>
      <c r="BH1068" s="13" t="s">
        <v>841</v>
      </c>
      <c r="BI1068" s="9"/>
      <c r="BJ1068" s="13"/>
      <c r="BK1068" s="9"/>
      <c r="BL1068" s="9"/>
      <c r="BM1068" s="19"/>
      <c r="BN1068" s="19"/>
      <c r="BO1068" s="129"/>
    </row>
    <row r="1069" spans="1:69" s="46" customFormat="1" x14ac:dyDescent="0.3">
      <c r="A1069" s="20">
        <v>1067</v>
      </c>
      <c r="B1069" s="2" t="s">
        <v>181</v>
      </c>
      <c r="C1069" s="2">
        <v>2020</v>
      </c>
      <c r="D1069" s="2" t="s">
        <v>203</v>
      </c>
      <c r="E1069" s="10" t="s">
        <v>787</v>
      </c>
      <c r="F1069" s="20" t="s">
        <v>29</v>
      </c>
      <c r="G1069" s="2" t="s">
        <v>98</v>
      </c>
      <c r="H1069" s="2" t="str">
        <f>'PFAS Properties'!$B$47</f>
        <v>PFNS</v>
      </c>
      <c r="I1069" s="2" t="str">
        <f>'PFAS Properties'!$C$47</f>
        <v>PFSA</v>
      </c>
      <c r="J1069" s="2" t="str">
        <f>'PFAS Properties'!$D$47</f>
        <v>C9HF19O3S</v>
      </c>
      <c r="K1069" s="25">
        <f>'PFAS Properties'!$P$47</f>
        <v>549.93420000000003</v>
      </c>
      <c r="L1069" s="2">
        <f>'PFAS Properties'!$X$47</f>
        <v>0.1</v>
      </c>
      <c r="M1069" s="2" t="str">
        <f>'PFAS Properties'!$Y$47</f>
        <v>-</v>
      </c>
      <c r="N1069" s="33">
        <v>0</v>
      </c>
      <c r="O1069" s="33">
        <v>0</v>
      </c>
      <c r="P1069" s="33">
        <v>0</v>
      </c>
      <c r="Q1069" s="33">
        <f t="shared" si="580"/>
        <v>0.99999949881301753</v>
      </c>
      <c r="R1069" s="33">
        <v>0</v>
      </c>
      <c r="S1069" s="33">
        <f t="shared" si="581"/>
        <v>5.0118698243875318E-7</v>
      </c>
      <c r="T1069" s="8">
        <f t="shared" si="564"/>
        <v>1</v>
      </c>
      <c r="U1069" s="33">
        <f t="shared" si="565"/>
        <v>0</v>
      </c>
      <c r="V1069" s="33">
        <f t="shared" si="566"/>
        <v>-0.99999949881301753</v>
      </c>
      <c r="W1069" s="33">
        <f t="shared" si="567"/>
        <v>548.93420050118698</v>
      </c>
      <c r="X1069" s="33">
        <v>96485</v>
      </c>
      <c r="Y1069" s="16">
        <f t="shared" si="568"/>
        <v>-175.76779066576918</v>
      </c>
      <c r="Z1069" s="16">
        <v>9</v>
      </c>
      <c r="AA1069" s="16">
        <v>19</v>
      </c>
      <c r="AB1069" s="8">
        <f t="shared" si="569"/>
        <v>0.29916897506925205</v>
      </c>
      <c r="AC1069" s="16">
        <f t="shared" si="574"/>
        <v>65.644217071787864</v>
      </c>
      <c r="AD1069" s="20">
        <f>'PFAS Properties'!$W$47</f>
        <v>9</v>
      </c>
      <c r="AE1069" s="8">
        <f>'PFAS Properties'!$S$47</f>
        <v>1.1238516409670858</v>
      </c>
      <c r="AF1069" s="15">
        <f>'PFAS Properties'!$V$47</f>
        <v>5.6</v>
      </c>
      <c r="AG1069" s="24">
        <v>6.4</v>
      </c>
      <c r="AH1069" s="2" t="s">
        <v>183</v>
      </c>
      <c r="AI1069" s="2" t="s">
        <v>661</v>
      </c>
      <c r="AJ1069" s="15" t="s">
        <v>661</v>
      </c>
      <c r="AK1069" s="8" t="s">
        <v>661</v>
      </c>
      <c r="AL1069" s="2" t="s">
        <v>661</v>
      </c>
      <c r="AM1069" s="15" t="s">
        <v>661</v>
      </c>
      <c r="AN1069" s="8" t="s">
        <v>661</v>
      </c>
      <c r="AO1069" s="15" t="s">
        <v>661</v>
      </c>
      <c r="AP1069" s="15">
        <v>16.54</v>
      </c>
      <c r="AQ1069" s="13" t="s">
        <v>661</v>
      </c>
      <c r="AR1069" s="16">
        <v>29.38</v>
      </c>
      <c r="AS1069" s="16">
        <v>13.9</v>
      </c>
      <c r="AT1069" s="16">
        <v>56.71</v>
      </c>
      <c r="AU1069" s="15" t="s">
        <v>661</v>
      </c>
      <c r="AV1069" s="16">
        <f t="shared" si="570"/>
        <v>99.990000000000009</v>
      </c>
      <c r="AW1069" s="20">
        <v>0.17</v>
      </c>
      <c r="AX1069" s="8">
        <v>1.7000000000000001E-3</v>
      </c>
      <c r="AY1069" s="8" t="s">
        <v>184</v>
      </c>
      <c r="AZ1069" s="16">
        <v>100</v>
      </c>
      <c r="BA1069" s="16" t="s">
        <v>55</v>
      </c>
      <c r="BB1069" s="16">
        <v>5</v>
      </c>
      <c r="BC1069" s="16" t="s">
        <v>55</v>
      </c>
      <c r="BD1069" s="20">
        <v>9.57</v>
      </c>
      <c r="BE1069" s="16">
        <f t="shared" si="571"/>
        <v>5629.411764705882</v>
      </c>
      <c r="BF1069" s="16">
        <f t="shared" si="572"/>
        <v>3.7504630163985695</v>
      </c>
      <c r="BG1069" s="8">
        <f t="shared" si="573"/>
        <v>0.9809119377768436</v>
      </c>
      <c r="BH1069" s="13" t="s">
        <v>841</v>
      </c>
      <c r="BI1069" s="9"/>
      <c r="BJ1069" s="13"/>
      <c r="BK1069" s="9"/>
      <c r="BL1069" s="9"/>
      <c r="BM1069" s="19"/>
      <c r="BN1069" s="19"/>
      <c r="BO1069" s="129"/>
    </row>
    <row r="1070" spans="1:69" x14ac:dyDescent="0.3">
      <c r="A1070" s="20">
        <v>1068</v>
      </c>
      <c r="B1070" s="1" t="s">
        <v>873</v>
      </c>
      <c r="C1070" s="1">
        <v>2007</v>
      </c>
      <c r="D1070" s="1" t="s">
        <v>203</v>
      </c>
      <c r="E1070" s="10" t="s">
        <v>225</v>
      </c>
      <c r="F1070" s="7" t="s">
        <v>63</v>
      </c>
      <c r="G1070" s="4">
        <v>1</v>
      </c>
      <c r="H1070" s="2" t="str">
        <f>'PFAS Properties'!$B$48</f>
        <v>PFDS</v>
      </c>
      <c r="I1070" s="2" t="str">
        <f>'PFAS Properties'!$C$48</f>
        <v>PFSA</v>
      </c>
      <c r="J1070" s="2" t="str">
        <f>'PFAS Properties'!$D$48</f>
        <v>C10HF21O3S</v>
      </c>
      <c r="K1070" s="25">
        <f>'PFAS Properties'!$P$48</f>
        <v>599.93099999999993</v>
      </c>
      <c r="L1070" s="2">
        <f>'PFAS Properties'!$X$48</f>
        <v>0.1</v>
      </c>
      <c r="M1070" s="2" t="str">
        <f>'PFAS Properties'!$Y$48</f>
        <v>-</v>
      </c>
      <c r="N1070" s="33">
        <v>0</v>
      </c>
      <c r="O1070" s="33">
        <v>0</v>
      </c>
      <c r="P1070" s="33">
        <v>0</v>
      </c>
      <c r="Q1070" s="33">
        <f t="shared" si="580"/>
        <v>0.99999987410747471</v>
      </c>
      <c r="R1070" s="33">
        <v>0</v>
      </c>
      <c r="S1070" s="33">
        <f t="shared" si="581"/>
        <v>1.2589252533048661E-7</v>
      </c>
      <c r="T1070" s="8">
        <f t="shared" si="564"/>
        <v>1</v>
      </c>
      <c r="U1070" s="33">
        <f t="shared" si="565"/>
        <v>0</v>
      </c>
      <c r="V1070" s="33">
        <f t="shared" si="566"/>
        <v>-0.99999987410747471</v>
      </c>
      <c r="W1070" s="33">
        <f t="shared" si="567"/>
        <v>598.93100012589241</v>
      </c>
      <c r="X1070" s="33">
        <v>96485</v>
      </c>
      <c r="Y1070" s="16">
        <f t="shared" si="568"/>
        <v>-161.09533123678526</v>
      </c>
      <c r="Z1070" s="16">
        <v>10</v>
      </c>
      <c r="AA1070" s="16">
        <v>21</v>
      </c>
      <c r="AB1070" s="8">
        <f t="shared" si="569"/>
        <v>0.3007518796992481</v>
      </c>
      <c r="AC1070" s="16">
        <f t="shared" si="574"/>
        <v>66.507648379563662</v>
      </c>
      <c r="AD1070" s="20">
        <f>'PFAS Properties'!$W$48</f>
        <v>10</v>
      </c>
      <c r="AE1070" s="8">
        <f>'PFAS Properties'!$S$48</f>
        <v>0.22530928172586284</v>
      </c>
      <c r="AF1070" s="15">
        <f>'PFAS Properties'!$V$48</f>
        <v>6.4</v>
      </c>
      <c r="AG1070" s="26">
        <v>7</v>
      </c>
      <c r="AH1070" s="1" t="s">
        <v>363</v>
      </c>
      <c r="AI1070" s="6">
        <f>334*55.85/1000</f>
        <v>18.6539</v>
      </c>
      <c r="AJ1070" s="3">
        <f>AI1070*1000/55.845</f>
        <v>334.0299041991226</v>
      </c>
      <c r="AK1070" s="8">
        <f>AI1070/10</f>
        <v>1.8653900000000001</v>
      </c>
      <c r="AL1070" s="6">
        <f>41*26.98/1000</f>
        <v>1.1061800000000002</v>
      </c>
      <c r="AM1070" s="3">
        <f>AL1070*1000/26.98</f>
        <v>41</v>
      </c>
      <c r="AN1070" s="8">
        <f>AL1070/10</f>
        <v>0.11061800000000002</v>
      </c>
      <c r="AO1070" s="3" t="s">
        <v>93</v>
      </c>
      <c r="AP1070" s="15">
        <v>38.6</v>
      </c>
      <c r="AQ1070" s="1" t="s">
        <v>363</v>
      </c>
      <c r="AR1070" s="4">
        <v>11</v>
      </c>
      <c r="AS1070" s="4">
        <v>36</v>
      </c>
      <c r="AT1070" s="4">
        <v>53</v>
      </c>
      <c r="AU1070" s="1" t="s">
        <v>363</v>
      </c>
      <c r="AV1070" s="16">
        <f t="shared" si="570"/>
        <v>100</v>
      </c>
      <c r="AW1070" s="7">
        <v>2.48</v>
      </c>
      <c r="AX1070" s="31">
        <f>AW1070/100</f>
        <v>2.4799999999999999E-2</v>
      </c>
      <c r="AY1070" s="5" t="s">
        <v>87</v>
      </c>
      <c r="AZ1070" s="39">
        <f>5/0.05</f>
        <v>100</v>
      </c>
      <c r="BA1070" s="30" t="s">
        <v>55</v>
      </c>
      <c r="BB1070" s="15">
        <f>1*K1070/1000</f>
        <v>0.59993099999999988</v>
      </c>
      <c r="BC1070" s="16">
        <f>200*K1070/1000</f>
        <v>119.98619999999998</v>
      </c>
      <c r="BD1070" s="26">
        <v>177.07</v>
      </c>
      <c r="BE1070" s="16">
        <f t="shared" si="571"/>
        <v>7139.9193548387093</v>
      </c>
      <c r="BF1070" s="16">
        <f t="shared" si="572"/>
        <v>3.8536933064615617</v>
      </c>
      <c r="BG1070" s="8">
        <f t="shared" si="573"/>
        <v>2.2481449872877777</v>
      </c>
      <c r="BH1070" s="5" t="s">
        <v>844</v>
      </c>
      <c r="BI1070" s="13"/>
      <c r="BJ1070" s="13"/>
      <c r="BK1070" s="8"/>
      <c r="BL1070" s="8"/>
      <c r="BM1070" s="18"/>
      <c r="BN1070" s="8"/>
      <c r="BO1070" s="24"/>
      <c r="BP1070" s="11"/>
      <c r="BQ1070" s="11"/>
    </row>
    <row r="1071" spans="1:69" x14ac:dyDescent="0.3">
      <c r="A1071" s="20">
        <v>1069</v>
      </c>
      <c r="B1071" s="1" t="s">
        <v>873</v>
      </c>
      <c r="C1071" s="1">
        <v>2007</v>
      </c>
      <c r="D1071" s="1" t="s">
        <v>203</v>
      </c>
      <c r="E1071" s="10" t="s">
        <v>225</v>
      </c>
      <c r="F1071" s="7" t="s">
        <v>63</v>
      </c>
      <c r="G1071" s="4">
        <v>2</v>
      </c>
      <c r="H1071" s="2" t="str">
        <f>'PFAS Properties'!$B$48</f>
        <v>PFDS</v>
      </c>
      <c r="I1071" s="2" t="str">
        <f>'PFAS Properties'!$C$48</f>
        <v>PFSA</v>
      </c>
      <c r="J1071" s="2" t="str">
        <f>'PFAS Properties'!$D$48</f>
        <v>C10HF21O3S</v>
      </c>
      <c r="K1071" s="25">
        <f>'PFAS Properties'!$P$48</f>
        <v>599.93099999999993</v>
      </c>
      <c r="L1071" s="2">
        <f>'PFAS Properties'!$X$48</f>
        <v>0.1</v>
      </c>
      <c r="M1071" s="2" t="str">
        <f>'PFAS Properties'!$Y$48</f>
        <v>-</v>
      </c>
      <c r="N1071" s="33">
        <v>0</v>
      </c>
      <c r="O1071" s="33">
        <v>0</v>
      </c>
      <c r="P1071" s="33">
        <v>0</v>
      </c>
      <c r="Q1071" s="33">
        <f t="shared" si="580"/>
        <v>0.9999999601892845</v>
      </c>
      <c r="R1071" s="33">
        <v>0</v>
      </c>
      <c r="S1071" s="33">
        <f t="shared" si="581"/>
        <v>3.9810715470456442E-8</v>
      </c>
      <c r="T1071" s="8">
        <f t="shared" si="564"/>
        <v>1</v>
      </c>
      <c r="U1071" s="33">
        <f t="shared" si="565"/>
        <v>0</v>
      </c>
      <c r="V1071" s="33">
        <f t="shared" si="566"/>
        <v>-0.9999999601892845</v>
      </c>
      <c r="W1071" s="33">
        <f t="shared" si="567"/>
        <v>598.93100003981067</v>
      </c>
      <c r="X1071" s="33">
        <v>96485</v>
      </c>
      <c r="Y1071" s="16">
        <f t="shared" si="568"/>
        <v>-161.09534512731818</v>
      </c>
      <c r="Z1071" s="16">
        <v>10</v>
      </c>
      <c r="AA1071" s="16">
        <v>21</v>
      </c>
      <c r="AB1071" s="8">
        <f t="shared" si="569"/>
        <v>0.3007518796992481</v>
      </c>
      <c r="AC1071" s="16">
        <f t="shared" si="574"/>
        <v>66.507648379563662</v>
      </c>
      <c r="AD1071" s="20">
        <f>'PFAS Properties'!$W$48</f>
        <v>10</v>
      </c>
      <c r="AE1071" s="8">
        <f>'PFAS Properties'!$S$48</f>
        <v>0.22530928172586284</v>
      </c>
      <c r="AF1071" s="15">
        <f>'PFAS Properties'!$V$48</f>
        <v>6.4</v>
      </c>
      <c r="AG1071" s="26">
        <v>7.5</v>
      </c>
      <c r="AH1071" s="1" t="s">
        <v>363</v>
      </c>
      <c r="AI1071" s="6">
        <f>116*55.845/1000</f>
        <v>6.4780199999999999</v>
      </c>
      <c r="AJ1071" s="3">
        <f>AI1071*1000/55.845</f>
        <v>116</v>
      </c>
      <c r="AK1071" s="8">
        <f>AI1071/10</f>
        <v>0.64780199999999999</v>
      </c>
      <c r="AL1071" s="6">
        <f>7*26.98/1000</f>
        <v>0.18886</v>
      </c>
      <c r="AM1071" s="3">
        <f>AL1071*1000/26.98</f>
        <v>7</v>
      </c>
      <c r="AN1071" s="8">
        <f>AL1071/10</f>
        <v>1.8886E-2</v>
      </c>
      <c r="AO1071" s="3" t="s">
        <v>93</v>
      </c>
      <c r="AP1071" s="15">
        <v>30</v>
      </c>
      <c r="AQ1071" s="1" t="s">
        <v>363</v>
      </c>
      <c r="AR1071" s="4">
        <v>49</v>
      </c>
      <c r="AS1071" s="4">
        <v>25</v>
      </c>
      <c r="AT1071" s="4">
        <v>26</v>
      </c>
      <c r="AU1071" s="1" t="s">
        <v>363</v>
      </c>
      <c r="AV1071" s="16">
        <f t="shared" si="570"/>
        <v>100</v>
      </c>
      <c r="AW1071" s="7">
        <v>1.02</v>
      </c>
      <c r="AX1071" s="6">
        <f>AW1071/100</f>
        <v>1.0200000000000001E-2</v>
      </c>
      <c r="AY1071" s="5" t="s">
        <v>87</v>
      </c>
      <c r="AZ1071" s="39">
        <f>5/0.05</f>
        <v>100</v>
      </c>
      <c r="BA1071" s="30" t="s">
        <v>55</v>
      </c>
      <c r="BB1071" s="15">
        <f>1*K1071/1000</f>
        <v>0.59993099999999988</v>
      </c>
      <c r="BC1071" s="16">
        <f>200*K1071/1000</f>
        <v>119.98619999999998</v>
      </c>
      <c r="BD1071" s="26">
        <v>13.31</v>
      </c>
      <c r="BE1071" s="16">
        <f t="shared" si="571"/>
        <v>1304.9019607843136</v>
      </c>
      <c r="BF1071" s="16">
        <f t="shared" si="572"/>
        <v>3.1155778837127577</v>
      </c>
      <c r="BG1071" s="8">
        <f t="shared" si="573"/>
        <v>1.1241780554746752</v>
      </c>
      <c r="BH1071" s="5" t="s">
        <v>844</v>
      </c>
      <c r="BI1071" s="13"/>
      <c r="BJ1071" s="13"/>
      <c r="BK1071" s="8"/>
      <c r="BL1071" s="8"/>
      <c r="BM1071" s="18"/>
      <c r="BN1071" s="8"/>
      <c r="BO1071" s="24"/>
      <c r="BP1071" s="11"/>
      <c r="BQ1071" s="11"/>
    </row>
    <row r="1072" spans="1:69" x14ac:dyDescent="0.3">
      <c r="A1072" s="20">
        <v>1070</v>
      </c>
      <c r="B1072" s="1" t="s">
        <v>873</v>
      </c>
      <c r="C1072" s="1">
        <v>2007</v>
      </c>
      <c r="D1072" s="1" t="s">
        <v>203</v>
      </c>
      <c r="E1072" s="10" t="s">
        <v>225</v>
      </c>
      <c r="F1072" s="7" t="s">
        <v>63</v>
      </c>
      <c r="G1072" s="4">
        <v>3</v>
      </c>
      <c r="H1072" s="2" t="str">
        <f>'PFAS Properties'!$B$48</f>
        <v>PFDS</v>
      </c>
      <c r="I1072" s="2" t="str">
        <f>'PFAS Properties'!$C$48</f>
        <v>PFSA</v>
      </c>
      <c r="J1072" s="2" t="str">
        <f>'PFAS Properties'!$D$48</f>
        <v>C10HF21O3S</v>
      </c>
      <c r="K1072" s="25">
        <f>'PFAS Properties'!$P$48</f>
        <v>599.93099999999993</v>
      </c>
      <c r="L1072" s="2">
        <f>'PFAS Properties'!$X$48</f>
        <v>0.1</v>
      </c>
      <c r="M1072" s="2" t="str">
        <f>'PFAS Properties'!$Y$48</f>
        <v>-</v>
      </c>
      <c r="N1072" s="33">
        <v>0</v>
      </c>
      <c r="O1072" s="33">
        <v>0</v>
      </c>
      <c r="P1072" s="33">
        <v>0</v>
      </c>
      <c r="Q1072" s="33">
        <f t="shared" si="580"/>
        <v>0.99999996837722438</v>
      </c>
      <c r="R1072" s="33">
        <v>0</v>
      </c>
      <c r="S1072" s="33">
        <f t="shared" si="581"/>
        <v>3.1622775601683729E-8</v>
      </c>
      <c r="T1072" s="8">
        <f t="shared" si="564"/>
        <v>1</v>
      </c>
      <c r="U1072" s="33">
        <f t="shared" si="565"/>
        <v>0</v>
      </c>
      <c r="V1072" s="33">
        <f t="shared" si="566"/>
        <v>-0.99999996837722438</v>
      </c>
      <c r="W1072" s="33">
        <f t="shared" si="567"/>
        <v>598.93100003162272</v>
      </c>
      <c r="X1072" s="33">
        <v>96485</v>
      </c>
      <c r="Y1072" s="16">
        <f t="shared" si="568"/>
        <v>-161.09534644855955</v>
      </c>
      <c r="Z1072" s="16">
        <v>10</v>
      </c>
      <c r="AA1072" s="16">
        <v>21</v>
      </c>
      <c r="AB1072" s="8">
        <f t="shared" si="569"/>
        <v>0.3007518796992481</v>
      </c>
      <c r="AC1072" s="16">
        <f t="shared" si="574"/>
        <v>66.507648379563662</v>
      </c>
      <c r="AD1072" s="20">
        <f>'PFAS Properties'!$W$48</f>
        <v>10</v>
      </c>
      <c r="AE1072" s="8">
        <f>'PFAS Properties'!$S$48</f>
        <v>0.22530928172586284</v>
      </c>
      <c r="AF1072" s="15">
        <f>'PFAS Properties'!$V$48</f>
        <v>6.4</v>
      </c>
      <c r="AG1072" s="26">
        <v>7.6</v>
      </c>
      <c r="AH1072" s="1" t="s">
        <v>363</v>
      </c>
      <c r="AI1072" s="6">
        <f>121*55.85/1000</f>
        <v>6.7578500000000004</v>
      </c>
      <c r="AJ1072" s="3">
        <f>AI1072*1000/55.845</f>
        <v>121.01083355716717</v>
      </c>
      <c r="AK1072" s="8">
        <f>AI1072/10</f>
        <v>0.67578500000000008</v>
      </c>
      <c r="AL1072" s="6">
        <f>14*26.98/1000</f>
        <v>0.37772</v>
      </c>
      <c r="AM1072" s="3">
        <f>AL1072*1000/26.98</f>
        <v>14</v>
      </c>
      <c r="AN1072" s="8">
        <f>AL1072/10</f>
        <v>3.7772E-2</v>
      </c>
      <c r="AO1072" s="3" t="s">
        <v>93</v>
      </c>
      <c r="AP1072" s="15">
        <v>32.1</v>
      </c>
      <c r="AQ1072" s="1" t="s">
        <v>363</v>
      </c>
      <c r="AR1072" s="4">
        <v>31</v>
      </c>
      <c r="AS1072" s="4">
        <v>38</v>
      </c>
      <c r="AT1072" s="4">
        <v>31</v>
      </c>
      <c r="AU1072" s="1" t="s">
        <v>363</v>
      </c>
      <c r="AV1072" s="16">
        <f t="shared" si="570"/>
        <v>100</v>
      </c>
      <c r="AW1072" s="7">
        <v>4.34</v>
      </c>
      <c r="AX1072" s="6">
        <f>AW1072/100</f>
        <v>4.3400000000000001E-2</v>
      </c>
      <c r="AY1072" s="5" t="s">
        <v>87</v>
      </c>
      <c r="AZ1072" s="39">
        <f>5/0.05</f>
        <v>100</v>
      </c>
      <c r="BA1072" s="30" t="s">
        <v>55</v>
      </c>
      <c r="BB1072" s="15">
        <f>1*K1072/1000</f>
        <v>0.59993099999999988</v>
      </c>
      <c r="BC1072" s="16">
        <f>200*K1072/1000</f>
        <v>119.98619999999998</v>
      </c>
      <c r="BD1072" s="26">
        <v>101.59</v>
      </c>
      <c r="BE1072" s="16">
        <f t="shared" si="571"/>
        <v>2340.7834101382487</v>
      </c>
      <c r="BF1072" s="16">
        <f t="shared" si="572"/>
        <v>3.3693612308117613</v>
      </c>
      <c r="BG1072" s="8">
        <f t="shared" si="573"/>
        <v>2.0068509603242721</v>
      </c>
      <c r="BH1072" s="5" t="s">
        <v>844</v>
      </c>
      <c r="BI1072" s="13"/>
      <c r="BJ1072" s="13"/>
      <c r="BK1072" s="8"/>
      <c r="BL1072" s="8"/>
      <c r="BM1072" s="18"/>
      <c r="BN1072" s="8"/>
      <c r="BO1072" s="24"/>
      <c r="BP1072" s="11"/>
      <c r="BQ1072" s="11"/>
    </row>
    <row r="1073" spans="1:69" x14ac:dyDescent="0.3">
      <c r="A1073" s="20">
        <v>1071</v>
      </c>
      <c r="B1073" s="1" t="s">
        <v>873</v>
      </c>
      <c r="C1073" s="1">
        <v>2007</v>
      </c>
      <c r="D1073" s="1" t="s">
        <v>203</v>
      </c>
      <c r="E1073" s="10" t="s">
        <v>225</v>
      </c>
      <c r="F1073" s="7" t="s">
        <v>63</v>
      </c>
      <c r="G1073" s="4">
        <v>4</v>
      </c>
      <c r="H1073" s="2" t="str">
        <f>'PFAS Properties'!$B$48</f>
        <v>PFDS</v>
      </c>
      <c r="I1073" s="2" t="str">
        <f>'PFAS Properties'!$C$48</f>
        <v>PFSA</v>
      </c>
      <c r="J1073" s="2" t="str">
        <f>'PFAS Properties'!$D$48</f>
        <v>C10HF21O3S</v>
      </c>
      <c r="K1073" s="25">
        <f>'PFAS Properties'!$P$48</f>
        <v>599.93099999999993</v>
      </c>
      <c r="L1073" s="2">
        <f>'PFAS Properties'!$X$48</f>
        <v>0.1</v>
      </c>
      <c r="M1073" s="2" t="str">
        <f>'PFAS Properties'!$Y$48</f>
        <v>-</v>
      </c>
      <c r="N1073" s="33">
        <v>0</v>
      </c>
      <c r="O1073" s="33">
        <v>0</v>
      </c>
      <c r="P1073" s="33">
        <v>0</v>
      </c>
      <c r="Q1073" s="33">
        <f t="shared" si="580"/>
        <v>0.99999949881301753</v>
      </c>
      <c r="R1073" s="33">
        <v>0</v>
      </c>
      <c r="S1073" s="33">
        <f t="shared" si="581"/>
        <v>5.0118698243875318E-7</v>
      </c>
      <c r="T1073" s="8">
        <f t="shared" si="564"/>
        <v>1</v>
      </c>
      <c r="U1073" s="33">
        <f t="shared" si="565"/>
        <v>0</v>
      </c>
      <c r="V1073" s="33">
        <f t="shared" si="566"/>
        <v>-0.99999949881301753</v>
      </c>
      <c r="W1073" s="33">
        <f t="shared" si="567"/>
        <v>598.93100050118687</v>
      </c>
      <c r="X1073" s="33">
        <v>96485</v>
      </c>
      <c r="Y1073" s="16">
        <f t="shared" si="568"/>
        <v>-161.0952706776493</v>
      </c>
      <c r="Z1073" s="16">
        <v>10</v>
      </c>
      <c r="AA1073" s="16">
        <v>21</v>
      </c>
      <c r="AB1073" s="8">
        <f t="shared" si="569"/>
        <v>0.3007518796992481</v>
      </c>
      <c r="AC1073" s="16">
        <f t="shared" si="574"/>
        <v>66.507648379563662</v>
      </c>
      <c r="AD1073" s="20">
        <f>'PFAS Properties'!$W$48</f>
        <v>10</v>
      </c>
      <c r="AE1073" s="8">
        <f>'PFAS Properties'!$S$48</f>
        <v>0.22530928172586284</v>
      </c>
      <c r="AF1073" s="15">
        <f>'PFAS Properties'!$V$48</f>
        <v>6.4</v>
      </c>
      <c r="AG1073" s="26">
        <v>6.4</v>
      </c>
      <c r="AH1073" s="1" t="s">
        <v>363</v>
      </c>
      <c r="AI1073" s="6">
        <f>1025*55.874/1000</f>
        <v>57.270850000000003</v>
      </c>
      <c r="AJ1073" s="3">
        <f>AI1073*1000/55.845</f>
        <v>1025.5322768376759</v>
      </c>
      <c r="AK1073" s="8">
        <f>AI1073/10</f>
        <v>5.7270850000000006</v>
      </c>
      <c r="AL1073" s="6">
        <f>171*26.98/1000</f>
        <v>4.6135799999999998</v>
      </c>
      <c r="AM1073" s="3">
        <f>AL1073*1000/26.98</f>
        <v>171</v>
      </c>
      <c r="AN1073" s="8">
        <f>AL1073/10</f>
        <v>0.46135799999999999</v>
      </c>
      <c r="AO1073" s="3" t="s">
        <v>93</v>
      </c>
      <c r="AP1073" s="15">
        <v>32.1</v>
      </c>
      <c r="AQ1073" s="1" t="s">
        <v>363</v>
      </c>
      <c r="AR1073" s="4">
        <v>65</v>
      </c>
      <c r="AS1073" s="4">
        <v>22</v>
      </c>
      <c r="AT1073" s="4">
        <v>13</v>
      </c>
      <c r="AU1073" s="1" t="s">
        <v>363</v>
      </c>
      <c r="AV1073" s="16">
        <f t="shared" si="570"/>
        <v>100</v>
      </c>
      <c r="AW1073" s="7">
        <v>0.56000000000000005</v>
      </c>
      <c r="AX1073" s="6">
        <f>AW1073/100</f>
        <v>5.6000000000000008E-3</v>
      </c>
      <c r="AY1073" s="5" t="s">
        <v>87</v>
      </c>
      <c r="AZ1073" s="39">
        <f>5/0.05</f>
        <v>100</v>
      </c>
      <c r="BA1073" s="30" t="s">
        <v>55</v>
      </c>
      <c r="BB1073" s="15">
        <f>1*K1073/1000</f>
        <v>0.59993099999999988</v>
      </c>
      <c r="BC1073" s="16">
        <f>200*K1073/1000</f>
        <v>119.98619999999998</v>
      </c>
      <c r="BD1073" s="26">
        <v>9.1999999999999993</v>
      </c>
      <c r="BE1073" s="16">
        <f t="shared" si="571"/>
        <v>1642.8571428571424</v>
      </c>
      <c r="BF1073" s="16">
        <f t="shared" si="572"/>
        <v>3.2155998003393549</v>
      </c>
      <c r="BG1073" s="8">
        <f t="shared" si="573"/>
        <v>0.96378782734555524</v>
      </c>
      <c r="BH1073" s="5" t="s">
        <v>844</v>
      </c>
      <c r="BI1073" s="13"/>
      <c r="BJ1073" s="13"/>
      <c r="BK1073" s="8"/>
      <c r="BL1073" s="8"/>
      <c r="BM1073" s="18"/>
      <c r="BN1073" s="8"/>
      <c r="BO1073" s="24"/>
      <c r="BP1073" s="11"/>
      <c r="BQ1073" s="11"/>
    </row>
    <row r="1074" spans="1:69" x14ac:dyDescent="0.3">
      <c r="A1074" s="20">
        <v>1072</v>
      </c>
      <c r="B1074" s="1" t="s">
        <v>873</v>
      </c>
      <c r="C1074" s="1">
        <v>2007</v>
      </c>
      <c r="D1074" s="1" t="s">
        <v>203</v>
      </c>
      <c r="E1074" s="10" t="s">
        <v>225</v>
      </c>
      <c r="F1074" s="7" t="s">
        <v>63</v>
      </c>
      <c r="G1074" s="4">
        <v>5</v>
      </c>
      <c r="H1074" s="2" t="str">
        <f>'PFAS Properties'!$B$48</f>
        <v>PFDS</v>
      </c>
      <c r="I1074" s="2" t="str">
        <f>'PFAS Properties'!$C$48</f>
        <v>PFSA</v>
      </c>
      <c r="J1074" s="2" t="str">
        <f>'PFAS Properties'!$D$48</f>
        <v>C10HF21O3S</v>
      </c>
      <c r="K1074" s="25">
        <f>'PFAS Properties'!$P$48</f>
        <v>599.93099999999993</v>
      </c>
      <c r="L1074" s="2">
        <f>'PFAS Properties'!$X$48</f>
        <v>0.1</v>
      </c>
      <c r="M1074" s="2" t="str">
        <f>'PFAS Properties'!$Y$48</f>
        <v>-</v>
      </c>
      <c r="N1074" s="33">
        <v>0</v>
      </c>
      <c r="O1074" s="33">
        <v>0</v>
      </c>
      <c r="P1074" s="33">
        <v>0</v>
      </c>
      <c r="Q1074" s="33">
        <f t="shared" si="580"/>
        <v>0.9999974881198781</v>
      </c>
      <c r="R1074" s="33">
        <v>0</v>
      </c>
      <c r="S1074" s="33">
        <f t="shared" si="581"/>
        <v>2.5118801219519806E-6</v>
      </c>
      <c r="T1074" s="8">
        <f t="shared" si="564"/>
        <v>1</v>
      </c>
      <c r="U1074" s="33">
        <f t="shared" si="565"/>
        <v>0</v>
      </c>
      <c r="V1074" s="33">
        <f t="shared" si="566"/>
        <v>-0.9999974881198781</v>
      </c>
      <c r="W1074" s="33">
        <f t="shared" si="567"/>
        <v>598.93100251188014</v>
      </c>
      <c r="X1074" s="33">
        <v>96485</v>
      </c>
      <c r="Y1074" s="16">
        <f t="shared" si="568"/>
        <v>-161.09494622351363</v>
      </c>
      <c r="Z1074" s="16">
        <v>10</v>
      </c>
      <c r="AA1074" s="16">
        <v>21</v>
      </c>
      <c r="AB1074" s="8">
        <f t="shared" si="569"/>
        <v>0.3007518796992481</v>
      </c>
      <c r="AC1074" s="16">
        <f t="shared" si="574"/>
        <v>66.507648379563662</v>
      </c>
      <c r="AD1074" s="20">
        <f>'PFAS Properties'!$W$48</f>
        <v>10</v>
      </c>
      <c r="AE1074" s="8">
        <f>'PFAS Properties'!$S$48</f>
        <v>0.22530928172586284</v>
      </c>
      <c r="AF1074" s="15">
        <f>'PFAS Properties'!$V$48</f>
        <v>6.4</v>
      </c>
      <c r="AG1074" s="26">
        <v>5.7</v>
      </c>
      <c r="AH1074" s="1" t="s">
        <v>363</v>
      </c>
      <c r="AI1074" s="6">
        <f>268*55.85/1000</f>
        <v>14.9678</v>
      </c>
      <c r="AJ1074" s="3">
        <f>AI1074*1000/55.845</f>
        <v>268.02399498612232</v>
      </c>
      <c r="AK1074" s="8">
        <f>AI1074/10</f>
        <v>1.49678</v>
      </c>
      <c r="AL1074" s="6">
        <f>90*26.98/1000</f>
        <v>2.4281999999999999</v>
      </c>
      <c r="AM1074" s="3">
        <f>AL1074*1000/26.98</f>
        <v>89.999999999999986</v>
      </c>
      <c r="AN1074" s="8">
        <f>AL1074/10</f>
        <v>0.24281999999999998</v>
      </c>
      <c r="AO1074" s="3" t="s">
        <v>93</v>
      </c>
      <c r="AP1074" s="15">
        <v>22</v>
      </c>
      <c r="AQ1074" s="1" t="s">
        <v>363</v>
      </c>
      <c r="AR1074" s="4">
        <v>80</v>
      </c>
      <c r="AS1074" s="4">
        <v>15</v>
      </c>
      <c r="AT1074" s="4">
        <v>5</v>
      </c>
      <c r="AU1074" s="1" t="s">
        <v>363</v>
      </c>
      <c r="AV1074" s="16">
        <f t="shared" si="570"/>
        <v>100</v>
      </c>
      <c r="AW1074" s="7">
        <v>9.66</v>
      </c>
      <c r="AX1074" s="6">
        <f>AW1074/100</f>
        <v>9.6600000000000005E-2</v>
      </c>
      <c r="AY1074" s="5" t="s">
        <v>87</v>
      </c>
      <c r="AZ1074" s="39">
        <f>5/0.05</f>
        <v>100</v>
      </c>
      <c r="BA1074" s="30" t="s">
        <v>55</v>
      </c>
      <c r="BB1074" s="15">
        <f>1*K1074/1000</f>
        <v>0.59993099999999988</v>
      </c>
      <c r="BC1074" s="16">
        <f>200*K1074/1000</f>
        <v>119.98619999999998</v>
      </c>
      <c r="BD1074" s="26">
        <v>438.9</v>
      </c>
      <c r="BE1074" s="16">
        <f t="shared" si="571"/>
        <v>4543.478260869565</v>
      </c>
      <c r="BF1074" s="16">
        <f t="shared" si="572"/>
        <v>3.6573884544294799</v>
      </c>
      <c r="BG1074" s="8">
        <f t="shared" si="573"/>
        <v>2.6423655808449733</v>
      </c>
      <c r="BH1074" s="5" t="s">
        <v>844</v>
      </c>
      <c r="BI1074" s="16"/>
      <c r="BJ1074" s="13"/>
      <c r="BK1074" s="8"/>
      <c r="BL1074" s="8"/>
      <c r="BM1074" s="18"/>
      <c r="BN1074" s="8"/>
      <c r="BO1074" s="24"/>
      <c r="BP1074" s="11"/>
      <c r="BQ1074" s="11"/>
    </row>
    <row r="1075" spans="1:69" s="14" customFormat="1" x14ac:dyDescent="0.3">
      <c r="A1075" s="20">
        <v>1073</v>
      </c>
      <c r="B1075" s="2" t="s">
        <v>234</v>
      </c>
      <c r="C1075" s="2">
        <v>2022</v>
      </c>
      <c r="D1075" s="2" t="s">
        <v>205</v>
      </c>
      <c r="E1075" s="10" t="s">
        <v>799</v>
      </c>
      <c r="F1075" s="20" t="s">
        <v>63</v>
      </c>
      <c r="G1075" s="2" t="s">
        <v>63</v>
      </c>
      <c r="H1075" s="2" t="str">
        <f>'PFAS Properties'!$B$48</f>
        <v>PFDS</v>
      </c>
      <c r="I1075" s="2" t="str">
        <f>'PFAS Properties'!$C$48</f>
        <v>PFSA</v>
      </c>
      <c r="J1075" s="2" t="str">
        <f>'PFAS Properties'!$D$48</f>
        <v>C10HF21O3S</v>
      </c>
      <c r="K1075" s="25">
        <f>'PFAS Properties'!$P$48</f>
        <v>599.93099999999993</v>
      </c>
      <c r="L1075" s="2">
        <f>'PFAS Properties'!$X$48</f>
        <v>0.1</v>
      </c>
      <c r="M1075" s="2" t="str">
        <f>'PFAS Properties'!$Y$48</f>
        <v>-</v>
      </c>
      <c r="N1075" s="33">
        <v>0</v>
      </c>
      <c r="O1075" s="33">
        <v>0</v>
      </c>
      <c r="P1075" s="33">
        <v>0</v>
      </c>
      <c r="Q1075" s="33">
        <f t="shared" si="580"/>
        <v>0.99999998797735579</v>
      </c>
      <c r="R1075" s="33">
        <v>0</v>
      </c>
      <c r="S1075" s="33">
        <f t="shared" si="581"/>
        <v>1.2022644201630123E-8</v>
      </c>
      <c r="T1075" s="8">
        <f t="shared" si="564"/>
        <v>1</v>
      </c>
      <c r="U1075" s="33">
        <f t="shared" si="565"/>
        <v>0</v>
      </c>
      <c r="V1075" s="33">
        <f t="shared" si="566"/>
        <v>-0.99999998797735579</v>
      </c>
      <c r="W1075" s="33">
        <f t="shared" si="567"/>
        <v>598.93100001202254</v>
      </c>
      <c r="X1075" s="33">
        <v>96485</v>
      </c>
      <c r="Y1075" s="16">
        <f t="shared" si="568"/>
        <v>-161.0953496113215</v>
      </c>
      <c r="Z1075" s="16">
        <v>10</v>
      </c>
      <c r="AA1075" s="16">
        <v>21</v>
      </c>
      <c r="AB1075" s="8">
        <f t="shared" si="569"/>
        <v>0.3007518796992481</v>
      </c>
      <c r="AC1075" s="16">
        <f t="shared" si="574"/>
        <v>66.507648379563662</v>
      </c>
      <c r="AD1075" s="20">
        <f>'PFAS Properties'!$W$48</f>
        <v>10</v>
      </c>
      <c r="AE1075" s="8">
        <f>'PFAS Properties'!$S$48</f>
        <v>0.22530928172586284</v>
      </c>
      <c r="AF1075" s="15">
        <f>'PFAS Properties'!$V$48</f>
        <v>6.4</v>
      </c>
      <c r="AG1075" s="24">
        <v>8.02</v>
      </c>
      <c r="AH1075" s="1" t="s">
        <v>363</v>
      </c>
      <c r="AI1075" s="1" t="s">
        <v>363</v>
      </c>
      <c r="AJ1075" s="1" t="s">
        <v>363</v>
      </c>
      <c r="AK1075" s="1" t="s">
        <v>363</v>
      </c>
      <c r="AL1075" s="1" t="s">
        <v>363</v>
      </c>
      <c r="AM1075" s="1" t="s">
        <v>363</v>
      </c>
      <c r="AN1075" s="1" t="s">
        <v>363</v>
      </c>
      <c r="AO1075" s="1" t="s">
        <v>363</v>
      </c>
      <c r="AP1075" s="72">
        <v>11.934691666666669</v>
      </c>
      <c r="AQ1075" s="70" t="s">
        <v>752</v>
      </c>
      <c r="AR1075" s="16">
        <v>6.34</v>
      </c>
      <c r="AS1075" s="16">
        <v>85.56</v>
      </c>
      <c r="AT1075" s="16">
        <v>8.08</v>
      </c>
      <c r="AU1075" s="2" t="s">
        <v>661</v>
      </c>
      <c r="AV1075" s="16">
        <f t="shared" si="570"/>
        <v>99.98</v>
      </c>
      <c r="AW1075" s="20">
        <v>0.37</v>
      </c>
      <c r="AX1075" s="8">
        <v>3.7000000000000002E-3</v>
      </c>
      <c r="AY1075" s="13" t="s">
        <v>392</v>
      </c>
      <c r="AZ1075" s="16">
        <f>1/0.02</f>
        <v>50</v>
      </c>
      <c r="BA1075" s="16" t="s">
        <v>55</v>
      </c>
      <c r="BB1075" s="16">
        <v>10</v>
      </c>
      <c r="BC1075" s="16" t="s">
        <v>55</v>
      </c>
      <c r="BD1075" s="18">
        <f>BO1075</f>
        <v>191.48682646544191</v>
      </c>
      <c r="BE1075" s="16">
        <f t="shared" si="571"/>
        <v>51753.196342011324</v>
      </c>
      <c r="BF1075" s="16">
        <f t="shared" si="572"/>
        <v>4.7139371775266339</v>
      </c>
      <c r="BG1075" s="8">
        <f t="shared" si="573"/>
        <v>2.2821389015936289</v>
      </c>
      <c r="BH1075" s="13" t="s">
        <v>782</v>
      </c>
      <c r="BI1075" s="8">
        <v>131.66</v>
      </c>
      <c r="BJ1075" s="13" t="s">
        <v>366</v>
      </c>
      <c r="BK1075" s="8">
        <v>0.79</v>
      </c>
      <c r="BL1075" s="8">
        <f>BI1075</f>
        <v>131.66</v>
      </c>
      <c r="BM1075" s="18">
        <f>'PFAS Properties'!$U$48</f>
        <v>0.16800000000000001</v>
      </c>
      <c r="BN1075" s="8">
        <f>(BL1075*(BM1075^BK1075))</f>
        <v>32.169786846194242</v>
      </c>
      <c r="BO1075" s="24">
        <f>BN1075/BM1075</f>
        <v>191.48682646544191</v>
      </c>
    </row>
    <row r="1076" spans="1:69" x14ac:dyDescent="0.3">
      <c r="A1076" s="20">
        <v>1074</v>
      </c>
      <c r="B1076" s="2" t="s">
        <v>181</v>
      </c>
      <c r="C1076" s="2">
        <v>2020</v>
      </c>
      <c r="D1076" s="2" t="s">
        <v>203</v>
      </c>
      <c r="E1076" s="10" t="s">
        <v>787</v>
      </c>
      <c r="F1076" s="20" t="s">
        <v>29</v>
      </c>
      <c r="G1076" s="2" t="s">
        <v>62</v>
      </c>
      <c r="H1076" s="2" t="str">
        <f>'PFAS Properties'!$B$48</f>
        <v>PFDS</v>
      </c>
      <c r="I1076" s="2" t="str">
        <f>'PFAS Properties'!$C$48</f>
        <v>PFSA</v>
      </c>
      <c r="J1076" s="2" t="str">
        <f>'PFAS Properties'!$D$48</f>
        <v>C10HF21O3S</v>
      </c>
      <c r="K1076" s="25">
        <f>'PFAS Properties'!$P$48</f>
        <v>599.93099999999993</v>
      </c>
      <c r="L1076" s="2">
        <f>'PFAS Properties'!$X$48</f>
        <v>0.1</v>
      </c>
      <c r="M1076" s="2" t="str">
        <f>'PFAS Properties'!$Y$48</f>
        <v>-</v>
      </c>
      <c r="N1076" s="33">
        <v>0</v>
      </c>
      <c r="O1076" s="33">
        <v>0</v>
      </c>
      <c r="P1076" s="33">
        <v>0</v>
      </c>
      <c r="Q1076" s="33">
        <f t="shared" si="580"/>
        <v>0.9999999601892845</v>
      </c>
      <c r="R1076" s="33">
        <v>0</v>
      </c>
      <c r="S1076" s="33">
        <f t="shared" si="581"/>
        <v>3.9810715470456442E-8</v>
      </c>
      <c r="T1076" s="8">
        <f t="shared" si="564"/>
        <v>1</v>
      </c>
      <c r="U1076" s="33">
        <f t="shared" si="565"/>
        <v>0</v>
      </c>
      <c r="V1076" s="33">
        <f t="shared" si="566"/>
        <v>-0.9999999601892845</v>
      </c>
      <c r="W1076" s="33">
        <f t="shared" si="567"/>
        <v>598.93100003981067</v>
      </c>
      <c r="X1076" s="33">
        <v>96485</v>
      </c>
      <c r="Y1076" s="16">
        <f t="shared" si="568"/>
        <v>-161.09534512731818</v>
      </c>
      <c r="Z1076" s="16">
        <v>10</v>
      </c>
      <c r="AA1076" s="16">
        <v>21</v>
      </c>
      <c r="AB1076" s="8">
        <f t="shared" si="569"/>
        <v>0.3007518796992481</v>
      </c>
      <c r="AC1076" s="16">
        <f t="shared" si="574"/>
        <v>66.507648379563662</v>
      </c>
      <c r="AD1076" s="20">
        <f>'PFAS Properties'!$W$48</f>
        <v>10</v>
      </c>
      <c r="AE1076" s="8">
        <f>'PFAS Properties'!$S$48</f>
        <v>0.22530928172586284</v>
      </c>
      <c r="AF1076" s="15">
        <f>'PFAS Properties'!$V$48</f>
        <v>6.4</v>
      </c>
      <c r="AG1076" s="24">
        <v>7.5</v>
      </c>
      <c r="AH1076" s="2" t="s">
        <v>183</v>
      </c>
      <c r="AI1076" s="2" t="s">
        <v>661</v>
      </c>
      <c r="AJ1076" s="2" t="s">
        <v>661</v>
      </c>
      <c r="AK1076" s="2" t="s">
        <v>661</v>
      </c>
      <c r="AL1076" s="2" t="s">
        <v>661</v>
      </c>
      <c r="AM1076" s="2" t="s">
        <v>661</v>
      </c>
      <c r="AN1076" s="2" t="s">
        <v>661</v>
      </c>
      <c r="AO1076" s="2" t="s">
        <v>661</v>
      </c>
      <c r="AP1076" s="15">
        <v>41.4</v>
      </c>
      <c r="AQ1076" s="2" t="s">
        <v>661</v>
      </c>
      <c r="AR1076" s="16">
        <v>16.899999999999999</v>
      </c>
      <c r="AS1076" s="16">
        <v>17.5</v>
      </c>
      <c r="AT1076" s="16">
        <v>65.599999999999994</v>
      </c>
      <c r="AU1076" s="2" t="s">
        <v>661</v>
      </c>
      <c r="AV1076" s="16">
        <f t="shared" si="570"/>
        <v>100</v>
      </c>
      <c r="AW1076" s="20">
        <v>0.7</v>
      </c>
      <c r="AX1076" s="8">
        <v>6.9999999999999993E-3</v>
      </c>
      <c r="AY1076" s="13" t="s">
        <v>184</v>
      </c>
      <c r="AZ1076" s="16">
        <v>100</v>
      </c>
      <c r="BA1076" s="16" t="s">
        <v>55</v>
      </c>
      <c r="BB1076" s="16">
        <v>5</v>
      </c>
      <c r="BC1076" s="16" t="s">
        <v>55</v>
      </c>
      <c r="BD1076" s="27">
        <v>41.98</v>
      </c>
      <c r="BE1076" s="16">
        <f t="shared" si="571"/>
        <v>5997.1428571428569</v>
      </c>
      <c r="BF1076" s="16">
        <f t="shared" si="572"/>
        <v>3.7779443942321249</v>
      </c>
      <c r="BG1076" s="8">
        <f t="shared" si="573"/>
        <v>1.6230424342463816</v>
      </c>
      <c r="BH1076" s="5" t="s">
        <v>841</v>
      </c>
      <c r="BI1076" s="5"/>
      <c r="BJ1076" s="13"/>
      <c r="BK1076" s="5"/>
      <c r="BL1076" s="5"/>
      <c r="BM1076" s="21"/>
      <c r="BN1076" s="21"/>
      <c r="BO1076" s="1"/>
      <c r="BP1076" s="11"/>
      <c r="BQ1076" s="11"/>
    </row>
    <row r="1077" spans="1:69" x14ac:dyDescent="0.3">
      <c r="A1077" s="20">
        <v>1075</v>
      </c>
      <c r="B1077" s="2" t="s">
        <v>181</v>
      </c>
      <c r="C1077" s="2">
        <v>2020</v>
      </c>
      <c r="D1077" s="2" t="s">
        <v>203</v>
      </c>
      <c r="E1077" s="10" t="s">
        <v>787</v>
      </c>
      <c r="F1077" s="20" t="s">
        <v>29</v>
      </c>
      <c r="G1077" s="2" t="s">
        <v>57</v>
      </c>
      <c r="H1077" s="2" t="str">
        <f>'PFAS Properties'!$B$48</f>
        <v>PFDS</v>
      </c>
      <c r="I1077" s="2" t="str">
        <f>'PFAS Properties'!$C$48</f>
        <v>PFSA</v>
      </c>
      <c r="J1077" s="2" t="str">
        <f>'PFAS Properties'!$D$48</f>
        <v>C10HF21O3S</v>
      </c>
      <c r="K1077" s="25">
        <f>'PFAS Properties'!$P$48</f>
        <v>599.93099999999993</v>
      </c>
      <c r="L1077" s="2">
        <f>'PFAS Properties'!$X$48</f>
        <v>0.1</v>
      </c>
      <c r="M1077" s="2" t="str">
        <f>'PFAS Properties'!$Y$48</f>
        <v>-</v>
      </c>
      <c r="N1077" s="33">
        <v>0</v>
      </c>
      <c r="O1077" s="33">
        <v>0</v>
      </c>
      <c r="P1077" s="33">
        <v>0</v>
      </c>
      <c r="Q1077" s="33">
        <f t="shared" si="580"/>
        <v>0.99999980047380832</v>
      </c>
      <c r="R1077" s="33">
        <v>0</v>
      </c>
      <c r="S1077" s="33">
        <f t="shared" si="581"/>
        <v>1.9952619168617852E-7</v>
      </c>
      <c r="T1077" s="8">
        <f t="shared" si="564"/>
        <v>1</v>
      </c>
      <c r="U1077" s="33">
        <f t="shared" si="565"/>
        <v>0</v>
      </c>
      <c r="V1077" s="33">
        <f t="shared" si="566"/>
        <v>-0.99999980047380832</v>
      </c>
      <c r="W1077" s="33">
        <f t="shared" si="567"/>
        <v>598.93100019952612</v>
      </c>
      <c r="X1077" s="33">
        <v>96485</v>
      </c>
      <c r="Y1077" s="16">
        <f t="shared" si="568"/>
        <v>-161.09531935493851</v>
      </c>
      <c r="Z1077" s="16">
        <v>10</v>
      </c>
      <c r="AA1077" s="16">
        <v>21</v>
      </c>
      <c r="AB1077" s="8">
        <f t="shared" si="569"/>
        <v>0.3007518796992481</v>
      </c>
      <c r="AC1077" s="16">
        <f t="shared" si="574"/>
        <v>66.507648379563662</v>
      </c>
      <c r="AD1077" s="20">
        <f>'PFAS Properties'!$W$48</f>
        <v>10</v>
      </c>
      <c r="AE1077" s="8">
        <f>'PFAS Properties'!$S$48</f>
        <v>0.22530928172586284</v>
      </c>
      <c r="AF1077" s="15">
        <f>'PFAS Properties'!$V$48</f>
        <v>6.4</v>
      </c>
      <c r="AG1077" s="24">
        <v>6.8</v>
      </c>
      <c r="AH1077" s="2" t="s">
        <v>183</v>
      </c>
      <c r="AI1077" s="2" t="s">
        <v>661</v>
      </c>
      <c r="AJ1077" s="2" t="s">
        <v>661</v>
      </c>
      <c r="AK1077" s="2" t="s">
        <v>661</v>
      </c>
      <c r="AL1077" s="2" t="s">
        <v>661</v>
      </c>
      <c r="AM1077" s="2" t="s">
        <v>661</v>
      </c>
      <c r="AN1077" s="2" t="s">
        <v>661</v>
      </c>
      <c r="AO1077" s="2" t="s">
        <v>661</v>
      </c>
      <c r="AP1077" s="15">
        <v>7.1</v>
      </c>
      <c r="AQ1077" s="2" t="s">
        <v>661</v>
      </c>
      <c r="AR1077" s="16">
        <v>48.9</v>
      </c>
      <c r="AS1077" s="16">
        <v>27</v>
      </c>
      <c r="AT1077" s="16">
        <v>24.2</v>
      </c>
      <c r="AU1077" s="2" t="s">
        <v>661</v>
      </c>
      <c r="AV1077" s="16">
        <f t="shared" si="570"/>
        <v>100.10000000000001</v>
      </c>
      <c r="AW1077" s="20">
        <v>0.37</v>
      </c>
      <c r="AX1077" s="8">
        <v>3.7000000000000002E-3</v>
      </c>
      <c r="AY1077" s="13" t="s">
        <v>184</v>
      </c>
      <c r="AZ1077" s="16">
        <v>100</v>
      </c>
      <c r="BA1077" s="16" t="s">
        <v>55</v>
      </c>
      <c r="BB1077" s="16">
        <v>5</v>
      </c>
      <c r="BC1077" s="16" t="s">
        <v>55</v>
      </c>
      <c r="BD1077" s="7">
        <v>124.51</v>
      </c>
      <c r="BE1077" s="16">
        <f t="shared" si="571"/>
        <v>33651.351351351354</v>
      </c>
      <c r="BF1077" s="16">
        <f t="shared" si="572"/>
        <v>4.5270025090548236</v>
      </c>
      <c r="BG1077" s="8">
        <f t="shared" si="573"/>
        <v>2.0952042331218186</v>
      </c>
      <c r="BH1077" s="5" t="s">
        <v>841</v>
      </c>
      <c r="BI1077" s="5"/>
      <c r="BJ1077" s="13"/>
      <c r="BK1077" s="5"/>
      <c r="BL1077" s="5"/>
      <c r="BM1077" s="21"/>
      <c r="BN1077" s="21"/>
      <c r="BO1077" s="1"/>
      <c r="BP1077" s="11"/>
      <c r="BQ1077" s="11"/>
    </row>
    <row r="1078" spans="1:69" x14ac:dyDescent="0.3">
      <c r="A1078" s="20">
        <v>1076</v>
      </c>
      <c r="B1078" s="2" t="s">
        <v>181</v>
      </c>
      <c r="C1078" s="2">
        <v>2020</v>
      </c>
      <c r="D1078" s="2" t="s">
        <v>203</v>
      </c>
      <c r="E1078" s="10" t="s">
        <v>787</v>
      </c>
      <c r="F1078" s="20" t="s">
        <v>29</v>
      </c>
      <c r="G1078" s="2" t="s">
        <v>58</v>
      </c>
      <c r="H1078" s="2" t="str">
        <f>'PFAS Properties'!$B$48</f>
        <v>PFDS</v>
      </c>
      <c r="I1078" s="2" t="str">
        <f>'PFAS Properties'!$C$48</f>
        <v>PFSA</v>
      </c>
      <c r="J1078" s="2" t="str">
        <f>'PFAS Properties'!$D$48</f>
        <v>C10HF21O3S</v>
      </c>
      <c r="K1078" s="25">
        <f>'PFAS Properties'!$P$48</f>
        <v>599.93099999999993</v>
      </c>
      <c r="L1078" s="2">
        <f>'PFAS Properties'!$X$48</f>
        <v>0.1</v>
      </c>
      <c r="M1078" s="2" t="str">
        <f>'PFAS Properties'!$Y$48</f>
        <v>-</v>
      </c>
      <c r="N1078" s="33">
        <v>0</v>
      </c>
      <c r="O1078" s="33">
        <v>0</v>
      </c>
      <c r="P1078" s="33">
        <v>0</v>
      </c>
      <c r="Q1078" s="33">
        <f t="shared" si="580"/>
        <v>0.9999992056723962</v>
      </c>
      <c r="R1078" s="33">
        <v>0</v>
      </c>
      <c r="S1078" s="33">
        <f t="shared" si="581"/>
        <v>7.9432760376743655E-7</v>
      </c>
      <c r="T1078" s="8">
        <f t="shared" si="564"/>
        <v>1</v>
      </c>
      <c r="U1078" s="33">
        <f t="shared" si="565"/>
        <v>0</v>
      </c>
      <c r="V1078" s="33">
        <f t="shared" si="566"/>
        <v>-0.9999992056723962</v>
      </c>
      <c r="W1078" s="33">
        <f t="shared" si="567"/>
        <v>598.93100079432747</v>
      </c>
      <c r="X1078" s="33">
        <v>96485</v>
      </c>
      <c r="Y1078" s="16">
        <f t="shared" si="568"/>
        <v>-161.09522337521148</v>
      </c>
      <c r="Z1078" s="16">
        <v>10</v>
      </c>
      <c r="AA1078" s="16">
        <v>21</v>
      </c>
      <c r="AB1078" s="8">
        <f t="shared" si="569"/>
        <v>0.3007518796992481</v>
      </c>
      <c r="AC1078" s="16">
        <f t="shared" si="574"/>
        <v>66.507648379563662</v>
      </c>
      <c r="AD1078" s="20">
        <f>'PFAS Properties'!$W$48</f>
        <v>10</v>
      </c>
      <c r="AE1078" s="8">
        <f>'PFAS Properties'!$S$48</f>
        <v>0.22530928172586284</v>
      </c>
      <c r="AF1078" s="15">
        <f>'PFAS Properties'!$V$48</f>
        <v>6.4</v>
      </c>
      <c r="AG1078" s="24">
        <v>6.2</v>
      </c>
      <c r="AH1078" s="2" t="s">
        <v>183</v>
      </c>
      <c r="AI1078" s="2" t="s">
        <v>661</v>
      </c>
      <c r="AJ1078" s="2" t="s">
        <v>661</v>
      </c>
      <c r="AK1078" s="2" t="s">
        <v>661</v>
      </c>
      <c r="AL1078" s="2" t="s">
        <v>661</v>
      </c>
      <c r="AM1078" s="2" t="s">
        <v>661</v>
      </c>
      <c r="AN1078" s="2" t="s">
        <v>661</v>
      </c>
      <c r="AO1078" s="2" t="s">
        <v>661</v>
      </c>
      <c r="AP1078" s="15">
        <v>8</v>
      </c>
      <c r="AQ1078" s="2" t="s">
        <v>661</v>
      </c>
      <c r="AR1078" s="16">
        <v>51.44</v>
      </c>
      <c r="AS1078" s="16">
        <v>10.17</v>
      </c>
      <c r="AT1078" s="16">
        <v>38.380000000000003</v>
      </c>
      <c r="AU1078" s="2" t="s">
        <v>661</v>
      </c>
      <c r="AV1078" s="16">
        <f t="shared" si="570"/>
        <v>99.990000000000009</v>
      </c>
      <c r="AW1078" s="20">
        <v>0.08</v>
      </c>
      <c r="AX1078" s="8">
        <v>8.0000000000000004E-4</v>
      </c>
      <c r="AY1078" s="8" t="s">
        <v>184</v>
      </c>
      <c r="AZ1078" s="16">
        <v>100</v>
      </c>
      <c r="BA1078" s="16" t="s">
        <v>55</v>
      </c>
      <c r="BB1078" s="16">
        <v>5</v>
      </c>
      <c r="BC1078" s="16" t="s">
        <v>55</v>
      </c>
      <c r="BD1078" s="7">
        <v>56.23</v>
      </c>
      <c r="BE1078" s="16">
        <f t="shared" si="571"/>
        <v>70287.499999999985</v>
      </c>
      <c r="BF1078" s="16">
        <f t="shared" si="572"/>
        <v>4.8468780965174592</v>
      </c>
      <c r="BG1078" s="8">
        <f t="shared" si="573"/>
        <v>1.7499680835094029</v>
      </c>
      <c r="BH1078" s="5" t="s">
        <v>841</v>
      </c>
      <c r="BI1078" s="5"/>
      <c r="BJ1078" s="13"/>
      <c r="BK1078" s="5"/>
      <c r="BL1078" s="5"/>
      <c r="BM1078" s="21"/>
      <c r="BN1078" s="21"/>
      <c r="BO1078" s="1"/>
      <c r="BP1078" s="11"/>
      <c r="BQ1078" s="11"/>
    </row>
    <row r="1079" spans="1:69" x14ac:dyDescent="0.3">
      <c r="A1079" s="20">
        <v>1077</v>
      </c>
      <c r="B1079" s="2" t="s">
        <v>181</v>
      </c>
      <c r="C1079" s="2">
        <v>2020</v>
      </c>
      <c r="D1079" s="2" t="s">
        <v>203</v>
      </c>
      <c r="E1079" s="10" t="s">
        <v>787</v>
      </c>
      <c r="F1079" s="20" t="s">
        <v>29</v>
      </c>
      <c r="G1079" s="2" t="s">
        <v>59</v>
      </c>
      <c r="H1079" s="2" t="str">
        <f>'PFAS Properties'!$B$48</f>
        <v>PFDS</v>
      </c>
      <c r="I1079" s="2" t="str">
        <f>'PFAS Properties'!$C$48</f>
        <v>PFSA</v>
      </c>
      <c r="J1079" s="2" t="str">
        <f>'PFAS Properties'!$D$48</f>
        <v>C10HF21O3S</v>
      </c>
      <c r="K1079" s="25">
        <f>'PFAS Properties'!$P$48</f>
        <v>599.93099999999993</v>
      </c>
      <c r="L1079" s="2">
        <f>'PFAS Properties'!$X$48</f>
        <v>0.1</v>
      </c>
      <c r="M1079" s="2" t="str">
        <f>'PFAS Properties'!$Y$48</f>
        <v>-</v>
      </c>
      <c r="N1079" s="33">
        <v>0</v>
      </c>
      <c r="O1079" s="33">
        <v>0</v>
      </c>
      <c r="P1079" s="33">
        <v>0</v>
      </c>
      <c r="Q1079" s="33">
        <f t="shared" si="580"/>
        <v>0.99999997488113634</v>
      </c>
      <c r="R1079" s="33">
        <v>0</v>
      </c>
      <c r="S1079" s="33">
        <f t="shared" si="581"/>
        <v>2.5118863684138424E-8</v>
      </c>
      <c r="T1079" s="8">
        <f t="shared" si="564"/>
        <v>1</v>
      </c>
      <c r="U1079" s="33">
        <f t="shared" si="565"/>
        <v>0</v>
      </c>
      <c r="V1079" s="33">
        <f t="shared" si="566"/>
        <v>-0.99999997488113634</v>
      </c>
      <c r="W1079" s="33">
        <f t="shared" si="567"/>
        <v>598.93100002511881</v>
      </c>
      <c r="X1079" s="33">
        <v>96485</v>
      </c>
      <c r="Y1079" s="16">
        <f t="shared" si="568"/>
        <v>-161.09534749805891</v>
      </c>
      <c r="Z1079" s="16">
        <v>10</v>
      </c>
      <c r="AA1079" s="16">
        <v>21</v>
      </c>
      <c r="AB1079" s="8">
        <f t="shared" si="569"/>
        <v>0.3007518796992481</v>
      </c>
      <c r="AC1079" s="16">
        <f t="shared" si="574"/>
        <v>66.507648379563662</v>
      </c>
      <c r="AD1079" s="20">
        <f>'PFAS Properties'!$W$48</f>
        <v>10</v>
      </c>
      <c r="AE1079" s="8">
        <f>'PFAS Properties'!$S$48</f>
        <v>0.22530928172586284</v>
      </c>
      <c r="AF1079" s="15">
        <f>'PFAS Properties'!$V$48</f>
        <v>6.4</v>
      </c>
      <c r="AG1079" s="24">
        <v>7.7</v>
      </c>
      <c r="AH1079" s="2" t="s">
        <v>183</v>
      </c>
      <c r="AI1079" s="2" t="s">
        <v>661</v>
      </c>
      <c r="AJ1079" s="2" t="s">
        <v>661</v>
      </c>
      <c r="AK1079" s="2" t="s">
        <v>661</v>
      </c>
      <c r="AL1079" s="2" t="s">
        <v>661</v>
      </c>
      <c r="AM1079" s="2" t="s">
        <v>661</v>
      </c>
      <c r="AN1079" s="2" t="s">
        <v>661</v>
      </c>
      <c r="AO1079" s="2" t="s">
        <v>661</v>
      </c>
      <c r="AP1079" s="15">
        <v>4.8</v>
      </c>
      <c r="AQ1079" s="2" t="s">
        <v>661</v>
      </c>
      <c r="AR1079" s="16">
        <v>46</v>
      </c>
      <c r="AS1079" s="16">
        <v>37</v>
      </c>
      <c r="AT1079" s="16">
        <v>17</v>
      </c>
      <c r="AU1079" s="2" t="s">
        <v>661</v>
      </c>
      <c r="AV1079" s="16">
        <f t="shared" si="570"/>
        <v>100</v>
      </c>
      <c r="AW1079" s="20">
        <v>0.25</v>
      </c>
      <c r="AX1079" s="8">
        <v>2.5000000000000001E-3</v>
      </c>
      <c r="AY1079" s="13" t="s">
        <v>184</v>
      </c>
      <c r="AZ1079" s="16">
        <v>100</v>
      </c>
      <c r="BA1079" s="16" t="s">
        <v>55</v>
      </c>
      <c r="BB1079" s="16">
        <v>5</v>
      </c>
      <c r="BC1079" s="16" t="s">
        <v>55</v>
      </c>
      <c r="BD1079" s="27">
        <v>10.36</v>
      </c>
      <c r="BE1079" s="16">
        <f t="shared" si="571"/>
        <v>4144</v>
      </c>
      <c r="BF1079" s="16">
        <f t="shared" si="572"/>
        <v>3.6174197467371765</v>
      </c>
      <c r="BG1079" s="8">
        <f t="shared" si="573"/>
        <v>1.0153597554092142</v>
      </c>
      <c r="BH1079" s="5" t="s">
        <v>841</v>
      </c>
      <c r="BI1079" s="5"/>
      <c r="BJ1079" s="13"/>
      <c r="BK1079" s="5"/>
      <c r="BL1079" s="5"/>
      <c r="BM1079" s="21"/>
      <c r="BN1079" s="21"/>
      <c r="BO1079" s="1"/>
      <c r="BP1079" s="11"/>
      <c r="BQ1079" s="11"/>
    </row>
    <row r="1080" spans="1:69" x14ac:dyDescent="0.3">
      <c r="A1080" s="20">
        <v>1078</v>
      </c>
      <c r="B1080" s="2" t="s">
        <v>181</v>
      </c>
      <c r="C1080" s="2">
        <v>2020</v>
      </c>
      <c r="D1080" s="2" t="s">
        <v>203</v>
      </c>
      <c r="E1080" s="10" t="s">
        <v>787</v>
      </c>
      <c r="F1080" s="20" t="s">
        <v>29</v>
      </c>
      <c r="G1080" s="2" t="s">
        <v>61</v>
      </c>
      <c r="H1080" s="2" t="str">
        <f>'PFAS Properties'!$B$48</f>
        <v>PFDS</v>
      </c>
      <c r="I1080" s="2" t="str">
        <f>'PFAS Properties'!$C$48</f>
        <v>PFSA</v>
      </c>
      <c r="J1080" s="2" t="str">
        <f>'PFAS Properties'!$D$48</f>
        <v>C10HF21O3S</v>
      </c>
      <c r="K1080" s="25">
        <f>'PFAS Properties'!$P$48</f>
        <v>599.93099999999993</v>
      </c>
      <c r="L1080" s="2">
        <f>'PFAS Properties'!$X$48</f>
        <v>0.1</v>
      </c>
      <c r="M1080" s="2" t="str">
        <f>'PFAS Properties'!$Y$48</f>
        <v>-</v>
      </c>
      <c r="N1080" s="33">
        <v>0</v>
      </c>
      <c r="O1080" s="33">
        <v>0</v>
      </c>
      <c r="P1080" s="33">
        <v>0</v>
      </c>
      <c r="Q1080" s="33">
        <f t="shared" si="580"/>
        <v>0.99999994988127916</v>
      </c>
      <c r="R1080" s="33">
        <v>0</v>
      </c>
      <c r="S1080" s="33">
        <f t="shared" si="581"/>
        <v>5.0118720850840682E-8</v>
      </c>
      <c r="T1080" s="8">
        <f t="shared" si="564"/>
        <v>1</v>
      </c>
      <c r="U1080" s="33">
        <f t="shared" si="565"/>
        <v>0</v>
      </c>
      <c r="V1080" s="33">
        <f t="shared" si="566"/>
        <v>-0.99999994988127916</v>
      </c>
      <c r="W1080" s="33">
        <f t="shared" si="567"/>
        <v>598.93100005011866</v>
      </c>
      <c r="X1080" s="33">
        <v>96485</v>
      </c>
      <c r="Y1080" s="16">
        <f t="shared" si="568"/>
        <v>-161.09534346397388</v>
      </c>
      <c r="Z1080" s="16">
        <v>10</v>
      </c>
      <c r="AA1080" s="16">
        <v>21</v>
      </c>
      <c r="AB1080" s="8">
        <f t="shared" si="569"/>
        <v>0.3007518796992481</v>
      </c>
      <c r="AC1080" s="16">
        <f t="shared" si="574"/>
        <v>66.507648379563662</v>
      </c>
      <c r="AD1080" s="20">
        <f>'PFAS Properties'!$W$48</f>
        <v>10</v>
      </c>
      <c r="AE1080" s="8">
        <f>'PFAS Properties'!$S$48</f>
        <v>0.22530928172586284</v>
      </c>
      <c r="AF1080" s="15">
        <f>'PFAS Properties'!$V$48</f>
        <v>6.4</v>
      </c>
      <c r="AG1080" s="24">
        <v>7.4</v>
      </c>
      <c r="AH1080" s="2" t="s">
        <v>183</v>
      </c>
      <c r="AI1080" s="2" t="s">
        <v>661</v>
      </c>
      <c r="AJ1080" s="2" t="s">
        <v>661</v>
      </c>
      <c r="AK1080" s="2" t="s">
        <v>661</v>
      </c>
      <c r="AL1080" s="2" t="s">
        <v>661</v>
      </c>
      <c r="AM1080" s="2" t="s">
        <v>661</v>
      </c>
      <c r="AN1080" s="2" t="s">
        <v>661</v>
      </c>
      <c r="AO1080" s="2" t="s">
        <v>661</v>
      </c>
      <c r="AP1080" s="15">
        <v>29.6</v>
      </c>
      <c r="AQ1080" s="2" t="s">
        <v>661</v>
      </c>
      <c r="AR1080" s="16">
        <v>39.799999999999997</v>
      </c>
      <c r="AS1080" s="16">
        <v>7.7</v>
      </c>
      <c r="AT1080" s="16">
        <v>52.5</v>
      </c>
      <c r="AU1080" s="2" t="s">
        <v>661</v>
      </c>
      <c r="AV1080" s="16">
        <f t="shared" si="570"/>
        <v>100</v>
      </c>
      <c r="AW1080" s="20">
        <v>2.23</v>
      </c>
      <c r="AX1080" s="8">
        <v>2.23E-2</v>
      </c>
      <c r="AY1080" s="8" t="s">
        <v>184</v>
      </c>
      <c r="AZ1080" s="16">
        <v>100</v>
      </c>
      <c r="BA1080" s="16" t="s">
        <v>55</v>
      </c>
      <c r="BB1080" s="16">
        <v>5</v>
      </c>
      <c r="BC1080" s="16" t="s">
        <v>55</v>
      </c>
      <c r="BD1080" s="7">
        <v>66.5</v>
      </c>
      <c r="BE1080" s="16">
        <f t="shared" si="571"/>
        <v>2982.0627802690583</v>
      </c>
      <c r="BF1080" s="16">
        <f t="shared" si="572"/>
        <v>3.4745167822549439</v>
      </c>
      <c r="BG1080" s="8">
        <f t="shared" si="573"/>
        <v>1.8228216453031045</v>
      </c>
      <c r="BH1080" s="5" t="s">
        <v>841</v>
      </c>
      <c r="BI1080" s="5"/>
      <c r="BJ1080" s="13"/>
      <c r="BK1080" s="5"/>
      <c r="BL1080" s="5"/>
      <c r="BM1080" s="21"/>
      <c r="BN1080" s="21"/>
      <c r="BO1080" s="1"/>
      <c r="BP1080" s="11"/>
      <c r="BQ1080" s="11"/>
    </row>
    <row r="1081" spans="1:69" x14ac:dyDescent="0.3">
      <c r="A1081" s="20">
        <v>1079</v>
      </c>
      <c r="B1081" s="2" t="s">
        <v>181</v>
      </c>
      <c r="C1081" s="2">
        <v>2020</v>
      </c>
      <c r="D1081" s="2" t="s">
        <v>203</v>
      </c>
      <c r="E1081" s="10" t="s">
        <v>787</v>
      </c>
      <c r="F1081" s="20" t="s">
        <v>29</v>
      </c>
      <c r="G1081" s="2" t="s">
        <v>60</v>
      </c>
      <c r="H1081" s="2" t="str">
        <f>'PFAS Properties'!$B$48</f>
        <v>PFDS</v>
      </c>
      <c r="I1081" s="2" t="str">
        <f>'PFAS Properties'!$C$48</f>
        <v>PFSA</v>
      </c>
      <c r="J1081" s="2" t="str">
        <f>'PFAS Properties'!$D$48</f>
        <v>C10HF21O3S</v>
      </c>
      <c r="K1081" s="25">
        <f>'PFAS Properties'!$P$48</f>
        <v>599.93099999999993</v>
      </c>
      <c r="L1081" s="2">
        <f>'PFAS Properties'!$X$48</f>
        <v>0.1</v>
      </c>
      <c r="M1081" s="2" t="str">
        <f>'PFAS Properties'!$Y$48</f>
        <v>-</v>
      </c>
      <c r="N1081" s="33">
        <v>0</v>
      </c>
      <c r="O1081" s="33">
        <v>0</v>
      </c>
      <c r="P1081" s="33">
        <v>0</v>
      </c>
      <c r="Q1081" s="33">
        <f t="shared" si="580"/>
        <v>0.99999997488113634</v>
      </c>
      <c r="R1081" s="33">
        <v>0</v>
      </c>
      <c r="S1081" s="33">
        <f t="shared" si="581"/>
        <v>2.5118863684138424E-8</v>
      </c>
      <c r="T1081" s="8">
        <f t="shared" si="564"/>
        <v>1</v>
      </c>
      <c r="U1081" s="33">
        <f t="shared" si="565"/>
        <v>0</v>
      </c>
      <c r="V1081" s="33">
        <f t="shared" si="566"/>
        <v>-0.99999997488113634</v>
      </c>
      <c r="W1081" s="33">
        <f t="shared" si="567"/>
        <v>598.93100002511881</v>
      </c>
      <c r="X1081" s="33">
        <v>96485</v>
      </c>
      <c r="Y1081" s="16">
        <f t="shared" si="568"/>
        <v>-161.09534749805891</v>
      </c>
      <c r="Z1081" s="16">
        <v>10</v>
      </c>
      <c r="AA1081" s="16">
        <v>21</v>
      </c>
      <c r="AB1081" s="8">
        <f t="shared" si="569"/>
        <v>0.3007518796992481</v>
      </c>
      <c r="AC1081" s="16">
        <f t="shared" si="574"/>
        <v>66.507648379563662</v>
      </c>
      <c r="AD1081" s="20">
        <f>'PFAS Properties'!$W$48</f>
        <v>10</v>
      </c>
      <c r="AE1081" s="8">
        <f>'PFAS Properties'!$S$48</f>
        <v>0.22530928172586284</v>
      </c>
      <c r="AF1081" s="15">
        <f>'PFAS Properties'!$V$48</f>
        <v>6.4</v>
      </c>
      <c r="AG1081" s="24">
        <v>7.7</v>
      </c>
      <c r="AH1081" s="2" t="s">
        <v>183</v>
      </c>
      <c r="AI1081" s="2" t="s">
        <v>661</v>
      </c>
      <c r="AJ1081" s="2" t="s">
        <v>661</v>
      </c>
      <c r="AK1081" s="2" t="s">
        <v>661</v>
      </c>
      <c r="AL1081" s="2" t="s">
        <v>661</v>
      </c>
      <c r="AM1081" s="2" t="s">
        <v>661</v>
      </c>
      <c r="AN1081" s="2" t="s">
        <v>661</v>
      </c>
      <c r="AO1081" s="2" t="s">
        <v>661</v>
      </c>
      <c r="AP1081" s="15">
        <v>21.63</v>
      </c>
      <c r="AQ1081" s="2" t="s">
        <v>661</v>
      </c>
      <c r="AR1081" s="16">
        <v>70</v>
      </c>
      <c r="AS1081" s="16">
        <v>11</v>
      </c>
      <c r="AT1081" s="16">
        <v>19</v>
      </c>
      <c r="AU1081" s="2" t="s">
        <v>661</v>
      </c>
      <c r="AV1081" s="16">
        <f t="shared" si="570"/>
        <v>100</v>
      </c>
      <c r="AW1081" s="20">
        <v>4.9000000000000004</v>
      </c>
      <c r="AX1081" s="8">
        <v>4.9000000000000002E-2</v>
      </c>
      <c r="AY1081" s="8" t="s">
        <v>184</v>
      </c>
      <c r="AZ1081" s="16">
        <v>100</v>
      </c>
      <c r="BA1081" s="16" t="s">
        <v>55</v>
      </c>
      <c r="BB1081" s="16">
        <v>5</v>
      </c>
      <c r="BC1081" s="16" t="s">
        <v>55</v>
      </c>
      <c r="BD1081" s="7">
        <v>324.98</v>
      </c>
      <c r="BE1081" s="16">
        <f t="shared" si="571"/>
        <v>6632.2448979591836</v>
      </c>
      <c r="BF1081" s="16">
        <f t="shared" si="572"/>
        <v>3.8216605543137234</v>
      </c>
      <c r="BG1081" s="8">
        <f t="shared" si="573"/>
        <v>2.5118566343422368</v>
      </c>
      <c r="BH1081" s="5" t="s">
        <v>841</v>
      </c>
      <c r="BI1081" s="5"/>
      <c r="BJ1081" s="13"/>
      <c r="BK1081" s="5"/>
      <c r="BL1081" s="5"/>
      <c r="BM1081" s="21"/>
      <c r="BN1081" s="21"/>
      <c r="BO1081" s="1"/>
      <c r="BP1081" s="11"/>
      <c r="BQ1081" s="11"/>
    </row>
    <row r="1082" spans="1:69" x14ac:dyDescent="0.3">
      <c r="A1082" s="20">
        <v>1080</v>
      </c>
      <c r="B1082" s="2" t="s">
        <v>181</v>
      </c>
      <c r="C1082" s="2">
        <v>2020</v>
      </c>
      <c r="D1082" s="2" t="s">
        <v>203</v>
      </c>
      <c r="E1082" s="10" t="s">
        <v>787</v>
      </c>
      <c r="F1082" s="20" t="s">
        <v>29</v>
      </c>
      <c r="G1082" s="2" t="s">
        <v>77</v>
      </c>
      <c r="H1082" s="2" t="str">
        <f>'PFAS Properties'!$B$48</f>
        <v>PFDS</v>
      </c>
      <c r="I1082" s="2" t="str">
        <f>'PFAS Properties'!$C$48</f>
        <v>PFSA</v>
      </c>
      <c r="J1082" s="2" t="str">
        <f>'PFAS Properties'!$D$48</f>
        <v>C10HF21O3S</v>
      </c>
      <c r="K1082" s="25">
        <f>'PFAS Properties'!$P$48</f>
        <v>599.93099999999993</v>
      </c>
      <c r="L1082" s="2">
        <f>'PFAS Properties'!$X$48</f>
        <v>0.1</v>
      </c>
      <c r="M1082" s="2" t="str">
        <f>'PFAS Properties'!$Y$48</f>
        <v>-</v>
      </c>
      <c r="N1082" s="33">
        <v>0</v>
      </c>
      <c r="O1082" s="33">
        <v>0</v>
      </c>
      <c r="P1082" s="33">
        <v>0</v>
      </c>
      <c r="Q1082" s="33">
        <f t="shared" si="580"/>
        <v>0.99999997488113634</v>
      </c>
      <c r="R1082" s="33">
        <v>0</v>
      </c>
      <c r="S1082" s="33">
        <f t="shared" si="581"/>
        <v>2.5118863684138424E-8</v>
      </c>
      <c r="T1082" s="8">
        <f t="shared" si="564"/>
        <v>1</v>
      </c>
      <c r="U1082" s="33">
        <f t="shared" si="565"/>
        <v>0</v>
      </c>
      <c r="V1082" s="33">
        <f t="shared" si="566"/>
        <v>-0.99999997488113634</v>
      </c>
      <c r="W1082" s="33">
        <f t="shared" si="567"/>
        <v>598.93100002511881</v>
      </c>
      <c r="X1082" s="33">
        <v>96485</v>
      </c>
      <c r="Y1082" s="16">
        <f t="shared" si="568"/>
        <v>-161.09534749805891</v>
      </c>
      <c r="Z1082" s="16">
        <v>10</v>
      </c>
      <c r="AA1082" s="16">
        <v>21</v>
      </c>
      <c r="AB1082" s="8">
        <f t="shared" si="569"/>
        <v>0.3007518796992481</v>
      </c>
      <c r="AC1082" s="16">
        <f t="shared" si="574"/>
        <v>66.507648379563662</v>
      </c>
      <c r="AD1082" s="20">
        <f>'PFAS Properties'!$W$48</f>
        <v>10</v>
      </c>
      <c r="AE1082" s="8">
        <f>'PFAS Properties'!$S$48</f>
        <v>0.22530928172586284</v>
      </c>
      <c r="AF1082" s="15">
        <f>'PFAS Properties'!$V$48</f>
        <v>6.4</v>
      </c>
      <c r="AG1082" s="24">
        <v>7.7</v>
      </c>
      <c r="AH1082" s="2" t="s">
        <v>183</v>
      </c>
      <c r="AI1082" s="2" t="s">
        <v>661</v>
      </c>
      <c r="AJ1082" s="2" t="s">
        <v>661</v>
      </c>
      <c r="AK1082" s="2" t="s">
        <v>661</v>
      </c>
      <c r="AL1082" s="2" t="s">
        <v>661</v>
      </c>
      <c r="AM1082" s="2" t="s">
        <v>661</v>
      </c>
      <c r="AN1082" s="2" t="s">
        <v>661</v>
      </c>
      <c r="AO1082" s="2" t="s">
        <v>661</v>
      </c>
      <c r="AP1082" s="15">
        <v>7.8</v>
      </c>
      <c r="AQ1082" s="2" t="s">
        <v>661</v>
      </c>
      <c r="AR1082" s="16">
        <v>48.9</v>
      </c>
      <c r="AS1082" s="16">
        <v>32.6</v>
      </c>
      <c r="AT1082" s="16">
        <v>18.5</v>
      </c>
      <c r="AU1082" s="2" t="s">
        <v>661</v>
      </c>
      <c r="AV1082" s="16">
        <f t="shared" si="570"/>
        <v>100</v>
      </c>
      <c r="AW1082" s="20">
        <v>0.13</v>
      </c>
      <c r="AX1082" s="8">
        <v>1.2999999999999999E-3</v>
      </c>
      <c r="AY1082" s="8" t="s">
        <v>184</v>
      </c>
      <c r="AZ1082" s="16">
        <v>100</v>
      </c>
      <c r="BA1082" s="16" t="s">
        <v>55</v>
      </c>
      <c r="BB1082" s="16">
        <v>5</v>
      </c>
      <c r="BC1082" s="16" t="s">
        <v>55</v>
      </c>
      <c r="BD1082" s="7">
        <v>28.93</v>
      </c>
      <c r="BE1082" s="16">
        <f t="shared" si="571"/>
        <v>22253.846153846156</v>
      </c>
      <c r="BF1082" s="16">
        <f t="shared" si="572"/>
        <v>4.3474050813411464</v>
      </c>
      <c r="BG1082" s="8">
        <f t="shared" si="573"/>
        <v>1.4613484336479829</v>
      </c>
      <c r="BH1082" s="5" t="s">
        <v>841</v>
      </c>
      <c r="BI1082" s="5"/>
      <c r="BJ1082" s="13"/>
      <c r="BK1082" s="5"/>
      <c r="BL1082" s="5"/>
      <c r="BM1082" s="21"/>
      <c r="BN1082" s="21"/>
      <c r="BO1082" s="1"/>
      <c r="BP1082" s="11"/>
      <c r="BQ1082" s="11"/>
    </row>
    <row r="1083" spans="1:69" x14ac:dyDescent="0.3">
      <c r="A1083" s="20">
        <v>1081</v>
      </c>
      <c r="B1083" s="2" t="s">
        <v>181</v>
      </c>
      <c r="C1083" s="2">
        <v>2020</v>
      </c>
      <c r="D1083" s="2" t="s">
        <v>203</v>
      </c>
      <c r="E1083" s="10" t="s">
        <v>787</v>
      </c>
      <c r="F1083" s="20" t="s">
        <v>29</v>
      </c>
      <c r="G1083" s="2" t="s">
        <v>182</v>
      </c>
      <c r="H1083" s="2" t="str">
        <f>'PFAS Properties'!$B$48</f>
        <v>PFDS</v>
      </c>
      <c r="I1083" s="2" t="str">
        <f>'PFAS Properties'!$C$48</f>
        <v>PFSA</v>
      </c>
      <c r="J1083" s="2" t="str">
        <f>'PFAS Properties'!$D$48</f>
        <v>C10HF21O3S</v>
      </c>
      <c r="K1083" s="25">
        <f>'PFAS Properties'!$P$48</f>
        <v>599.93099999999993</v>
      </c>
      <c r="L1083" s="2">
        <f>'PFAS Properties'!$X$48</f>
        <v>0.1</v>
      </c>
      <c r="M1083" s="2" t="str">
        <f>'PFAS Properties'!$Y$48</f>
        <v>-</v>
      </c>
      <c r="N1083" s="33">
        <v>0</v>
      </c>
      <c r="O1083" s="33">
        <v>0</v>
      </c>
      <c r="P1083" s="33">
        <v>0</v>
      </c>
      <c r="Q1083" s="33">
        <f t="shared" si="580"/>
        <v>0.9999999601892845</v>
      </c>
      <c r="R1083" s="33">
        <v>0</v>
      </c>
      <c r="S1083" s="33">
        <f t="shared" si="581"/>
        <v>3.9810715470456442E-8</v>
      </c>
      <c r="T1083" s="8">
        <f t="shared" si="564"/>
        <v>1</v>
      </c>
      <c r="U1083" s="33">
        <f t="shared" si="565"/>
        <v>0</v>
      </c>
      <c r="V1083" s="33">
        <f t="shared" si="566"/>
        <v>-0.9999999601892845</v>
      </c>
      <c r="W1083" s="33">
        <f t="shared" si="567"/>
        <v>598.93100003981067</v>
      </c>
      <c r="X1083" s="33">
        <v>96485</v>
      </c>
      <c r="Y1083" s="16">
        <f t="shared" si="568"/>
        <v>-161.09534512731818</v>
      </c>
      <c r="Z1083" s="16">
        <v>10</v>
      </c>
      <c r="AA1083" s="16">
        <v>21</v>
      </c>
      <c r="AB1083" s="8">
        <f t="shared" si="569"/>
        <v>0.3007518796992481</v>
      </c>
      <c r="AC1083" s="16">
        <f t="shared" si="574"/>
        <v>66.507648379563662</v>
      </c>
      <c r="AD1083" s="20">
        <f>'PFAS Properties'!$W$48</f>
        <v>10</v>
      </c>
      <c r="AE1083" s="8">
        <f>'PFAS Properties'!$S$48</f>
        <v>0.22530928172586284</v>
      </c>
      <c r="AF1083" s="15">
        <f>'PFAS Properties'!$V$48</f>
        <v>6.4</v>
      </c>
      <c r="AG1083" s="24">
        <v>7.5</v>
      </c>
      <c r="AH1083" s="2" t="s">
        <v>183</v>
      </c>
      <c r="AI1083" s="2" t="s">
        <v>661</v>
      </c>
      <c r="AJ1083" s="2" t="s">
        <v>661</v>
      </c>
      <c r="AK1083" s="2" t="s">
        <v>661</v>
      </c>
      <c r="AL1083" s="2" t="s">
        <v>661</v>
      </c>
      <c r="AM1083" s="2" t="s">
        <v>661</v>
      </c>
      <c r="AN1083" s="2" t="s">
        <v>661</v>
      </c>
      <c r="AO1083" s="2" t="s">
        <v>661</v>
      </c>
      <c r="AP1083" s="15">
        <v>2.2799999999999998</v>
      </c>
      <c r="AQ1083" s="2" t="s">
        <v>661</v>
      </c>
      <c r="AR1083" s="16">
        <v>93</v>
      </c>
      <c r="AS1083" s="16">
        <v>1</v>
      </c>
      <c r="AT1083" s="16">
        <v>5</v>
      </c>
      <c r="AU1083" s="2" t="s">
        <v>661</v>
      </c>
      <c r="AV1083" s="16">
        <f t="shared" si="570"/>
        <v>99</v>
      </c>
      <c r="AW1083" s="20">
        <v>0.4</v>
      </c>
      <c r="AX1083" s="8">
        <v>4.0000000000000001E-3</v>
      </c>
      <c r="AY1083" s="8" t="s">
        <v>184</v>
      </c>
      <c r="AZ1083" s="16">
        <v>100</v>
      </c>
      <c r="BA1083" s="16" t="s">
        <v>55</v>
      </c>
      <c r="BB1083" s="16">
        <v>5</v>
      </c>
      <c r="BC1083" s="16" t="s">
        <v>55</v>
      </c>
      <c r="BD1083" s="7">
        <v>27.34</v>
      </c>
      <c r="BE1083" s="16">
        <f t="shared" si="571"/>
        <v>6835</v>
      </c>
      <c r="BF1083" s="16">
        <f t="shared" si="572"/>
        <v>3.834738518903841</v>
      </c>
      <c r="BG1083" s="8">
        <f t="shared" si="573"/>
        <v>1.4367985102318035</v>
      </c>
      <c r="BH1083" s="5" t="s">
        <v>841</v>
      </c>
      <c r="BI1083" s="5"/>
      <c r="BJ1083" s="13"/>
      <c r="BK1083" s="5"/>
      <c r="BL1083" s="5"/>
      <c r="BM1083" s="21"/>
      <c r="BN1083" s="21"/>
      <c r="BO1083" s="1"/>
      <c r="BP1083" s="11"/>
      <c r="BQ1083" s="11"/>
    </row>
    <row r="1084" spans="1:69" x14ac:dyDescent="0.3">
      <c r="A1084" s="20">
        <v>1082</v>
      </c>
      <c r="B1084" s="2" t="s">
        <v>181</v>
      </c>
      <c r="C1084" s="2">
        <v>2020</v>
      </c>
      <c r="D1084" s="2" t="s">
        <v>203</v>
      </c>
      <c r="E1084" s="10" t="s">
        <v>787</v>
      </c>
      <c r="F1084" s="20" t="s">
        <v>29</v>
      </c>
      <c r="G1084" s="2" t="s">
        <v>78</v>
      </c>
      <c r="H1084" s="2" t="str">
        <f>'PFAS Properties'!$B$48</f>
        <v>PFDS</v>
      </c>
      <c r="I1084" s="2" t="str">
        <f>'PFAS Properties'!$C$48</f>
        <v>PFSA</v>
      </c>
      <c r="J1084" s="2" t="str">
        <f>'PFAS Properties'!$D$48</f>
        <v>C10HF21O3S</v>
      </c>
      <c r="K1084" s="25">
        <f>'PFAS Properties'!$P$48</f>
        <v>599.93099999999993</v>
      </c>
      <c r="L1084" s="2">
        <f>'PFAS Properties'!$X$48</f>
        <v>0.1</v>
      </c>
      <c r="M1084" s="2" t="str">
        <f>'PFAS Properties'!$Y$48</f>
        <v>-</v>
      </c>
      <c r="N1084" s="33">
        <v>0</v>
      </c>
      <c r="O1084" s="33">
        <v>0</v>
      </c>
      <c r="P1084" s="33">
        <v>0</v>
      </c>
      <c r="Q1084" s="33">
        <f t="shared" si="580"/>
        <v>0.99999990000001004</v>
      </c>
      <c r="R1084" s="33">
        <v>0</v>
      </c>
      <c r="S1084" s="33">
        <f t="shared" si="581"/>
        <v>9.9999990000001005E-8</v>
      </c>
      <c r="T1084" s="8">
        <f t="shared" si="564"/>
        <v>1</v>
      </c>
      <c r="U1084" s="33">
        <f t="shared" si="565"/>
        <v>0</v>
      </c>
      <c r="V1084" s="33">
        <f t="shared" si="566"/>
        <v>-0.99999990000001004</v>
      </c>
      <c r="W1084" s="33">
        <f t="shared" si="567"/>
        <v>598.93100010000001</v>
      </c>
      <c r="X1084" s="33">
        <v>96485</v>
      </c>
      <c r="Y1084" s="16">
        <f t="shared" si="568"/>
        <v>-161.09533541491663</v>
      </c>
      <c r="Z1084" s="16">
        <v>10</v>
      </c>
      <c r="AA1084" s="16">
        <v>21</v>
      </c>
      <c r="AB1084" s="8">
        <f t="shared" si="569"/>
        <v>0.3007518796992481</v>
      </c>
      <c r="AC1084" s="16">
        <f t="shared" si="574"/>
        <v>66.507648379563662</v>
      </c>
      <c r="AD1084" s="20">
        <f>'PFAS Properties'!$W$48</f>
        <v>10</v>
      </c>
      <c r="AE1084" s="8">
        <f>'PFAS Properties'!$S$48</f>
        <v>0.22530928172586284</v>
      </c>
      <c r="AF1084" s="15">
        <f>'PFAS Properties'!$V$48</f>
        <v>6.4</v>
      </c>
      <c r="AG1084" s="24">
        <v>7.1</v>
      </c>
      <c r="AH1084" s="2" t="s">
        <v>183</v>
      </c>
      <c r="AI1084" s="2" t="s">
        <v>661</v>
      </c>
      <c r="AJ1084" s="2" t="s">
        <v>661</v>
      </c>
      <c r="AK1084" s="2" t="s">
        <v>661</v>
      </c>
      <c r="AL1084" s="2" t="s">
        <v>661</v>
      </c>
      <c r="AM1084" s="2" t="s">
        <v>661</v>
      </c>
      <c r="AN1084" s="2" t="s">
        <v>661</v>
      </c>
      <c r="AO1084" s="2" t="s">
        <v>661</v>
      </c>
      <c r="AP1084" s="15">
        <v>17.420000000000002</v>
      </c>
      <c r="AQ1084" s="2" t="s">
        <v>661</v>
      </c>
      <c r="AR1084" s="16">
        <v>48.86</v>
      </c>
      <c r="AS1084" s="16">
        <v>16.05</v>
      </c>
      <c r="AT1084" s="16">
        <v>35.090000000000003</v>
      </c>
      <c r="AU1084" s="2" t="s">
        <v>661</v>
      </c>
      <c r="AV1084" s="16">
        <f t="shared" si="570"/>
        <v>100</v>
      </c>
      <c r="AW1084" s="20">
        <v>1.19</v>
      </c>
      <c r="AX1084" s="8">
        <v>1.1899999999999999E-2</v>
      </c>
      <c r="AY1084" s="8" t="s">
        <v>184</v>
      </c>
      <c r="AZ1084" s="16">
        <v>100</v>
      </c>
      <c r="BA1084" s="16" t="s">
        <v>55</v>
      </c>
      <c r="BB1084" s="16">
        <v>5</v>
      </c>
      <c r="BC1084" s="16" t="s">
        <v>55</v>
      </c>
      <c r="BD1084" s="7">
        <v>76.739999999999995</v>
      </c>
      <c r="BE1084" s="16">
        <f t="shared" si="571"/>
        <v>6448.7394957983197</v>
      </c>
      <c r="BF1084" s="16">
        <f t="shared" si="572"/>
        <v>3.8094748334697668</v>
      </c>
      <c r="BG1084" s="8">
        <f t="shared" si="573"/>
        <v>1.8850217948622976</v>
      </c>
      <c r="BH1084" s="5" t="s">
        <v>841</v>
      </c>
      <c r="BI1084" s="5"/>
      <c r="BJ1084" s="13"/>
      <c r="BK1084" s="5"/>
      <c r="BL1084" s="5"/>
      <c r="BM1084" s="21"/>
      <c r="BN1084" s="21"/>
      <c r="BO1084" s="1"/>
      <c r="BP1084" s="11"/>
      <c r="BQ1084" s="11"/>
    </row>
    <row r="1085" spans="1:69" x14ac:dyDescent="0.3">
      <c r="A1085" s="20">
        <v>1083</v>
      </c>
      <c r="B1085" s="2" t="s">
        <v>181</v>
      </c>
      <c r="C1085" s="2">
        <v>2020</v>
      </c>
      <c r="D1085" s="2" t="s">
        <v>203</v>
      </c>
      <c r="E1085" s="10" t="s">
        <v>787</v>
      </c>
      <c r="F1085" s="20" t="s">
        <v>29</v>
      </c>
      <c r="G1085" s="2" t="s">
        <v>98</v>
      </c>
      <c r="H1085" s="2" t="str">
        <f>'PFAS Properties'!$B$48</f>
        <v>PFDS</v>
      </c>
      <c r="I1085" s="2" t="str">
        <f>'PFAS Properties'!$C$48</f>
        <v>PFSA</v>
      </c>
      <c r="J1085" s="2" t="str">
        <f>'PFAS Properties'!$D$48</f>
        <v>C10HF21O3S</v>
      </c>
      <c r="K1085" s="25">
        <f>'PFAS Properties'!$P$48</f>
        <v>599.93099999999993</v>
      </c>
      <c r="L1085" s="2">
        <f>'PFAS Properties'!$X$48</f>
        <v>0.1</v>
      </c>
      <c r="M1085" s="2" t="str">
        <f>'PFAS Properties'!$Y$48</f>
        <v>-</v>
      </c>
      <c r="N1085" s="33">
        <v>0</v>
      </c>
      <c r="O1085" s="33">
        <v>0</v>
      </c>
      <c r="P1085" s="33">
        <v>0</v>
      </c>
      <c r="Q1085" s="33">
        <f t="shared" si="580"/>
        <v>0.99999949881301753</v>
      </c>
      <c r="R1085" s="33">
        <v>0</v>
      </c>
      <c r="S1085" s="33">
        <f t="shared" si="581"/>
        <v>5.0118698243875318E-7</v>
      </c>
      <c r="T1085" s="8">
        <f t="shared" si="564"/>
        <v>1</v>
      </c>
      <c r="U1085" s="33">
        <f t="shared" si="565"/>
        <v>0</v>
      </c>
      <c r="V1085" s="33">
        <f t="shared" si="566"/>
        <v>-0.99999949881301753</v>
      </c>
      <c r="W1085" s="33">
        <f t="shared" si="567"/>
        <v>598.93100050118687</v>
      </c>
      <c r="X1085" s="33">
        <v>96485</v>
      </c>
      <c r="Y1085" s="16">
        <f t="shared" si="568"/>
        <v>-161.0952706776493</v>
      </c>
      <c r="Z1085" s="16">
        <v>10</v>
      </c>
      <c r="AA1085" s="16">
        <v>21</v>
      </c>
      <c r="AB1085" s="8">
        <f t="shared" si="569"/>
        <v>0.3007518796992481</v>
      </c>
      <c r="AC1085" s="16">
        <f t="shared" si="574"/>
        <v>66.507648379563662</v>
      </c>
      <c r="AD1085" s="20">
        <f>'PFAS Properties'!$W$48</f>
        <v>10</v>
      </c>
      <c r="AE1085" s="8">
        <f>'PFAS Properties'!$S$48</f>
        <v>0.22530928172586284</v>
      </c>
      <c r="AF1085" s="15">
        <f>'PFAS Properties'!$V$48</f>
        <v>6.4</v>
      </c>
      <c r="AG1085" s="24">
        <v>6.4</v>
      </c>
      <c r="AH1085" s="2" t="s">
        <v>183</v>
      </c>
      <c r="AI1085" s="2" t="s">
        <v>661</v>
      </c>
      <c r="AJ1085" s="15" t="s">
        <v>661</v>
      </c>
      <c r="AK1085" s="8" t="s">
        <v>661</v>
      </c>
      <c r="AL1085" s="2" t="s">
        <v>661</v>
      </c>
      <c r="AM1085" s="15" t="s">
        <v>661</v>
      </c>
      <c r="AN1085" s="8" t="s">
        <v>661</v>
      </c>
      <c r="AO1085" s="15" t="s">
        <v>661</v>
      </c>
      <c r="AP1085" s="15">
        <v>16.54</v>
      </c>
      <c r="AQ1085" s="13" t="s">
        <v>661</v>
      </c>
      <c r="AR1085" s="16">
        <v>29.38</v>
      </c>
      <c r="AS1085" s="16">
        <v>13.9</v>
      </c>
      <c r="AT1085" s="16">
        <v>56.71</v>
      </c>
      <c r="AU1085" s="15" t="s">
        <v>661</v>
      </c>
      <c r="AV1085" s="16">
        <f t="shared" si="570"/>
        <v>99.990000000000009</v>
      </c>
      <c r="AW1085" s="20">
        <v>0.17</v>
      </c>
      <c r="AX1085" s="8">
        <v>1.7000000000000001E-3</v>
      </c>
      <c r="AY1085" s="8" t="s">
        <v>184</v>
      </c>
      <c r="AZ1085" s="16">
        <v>100</v>
      </c>
      <c r="BA1085" s="16" t="s">
        <v>55</v>
      </c>
      <c r="BB1085" s="16">
        <v>5</v>
      </c>
      <c r="BC1085" s="16" t="s">
        <v>55</v>
      </c>
      <c r="BD1085" s="7">
        <v>13.61</v>
      </c>
      <c r="BE1085" s="16">
        <f t="shared" si="571"/>
        <v>8005.8823529411757</v>
      </c>
      <c r="BF1085" s="16">
        <f t="shared" si="572"/>
        <v>3.9034092038250607</v>
      </c>
      <c r="BG1085" s="8">
        <f t="shared" si="573"/>
        <v>1.1338581252033346</v>
      </c>
      <c r="BH1085" s="5" t="s">
        <v>841</v>
      </c>
      <c r="BI1085" s="5"/>
      <c r="BJ1085" s="13"/>
      <c r="BK1085" s="5"/>
      <c r="BL1085" s="5"/>
      <c r="BM1085" s="21"/>
      <c r="BN1085" s="21"/>
      <c r="BO1085" s="1"/>
      <c r="BP1085" s="11"/>
      <c r="BQ1085" s="11"/>
    </row>
    <row r="1086" spans="1:69" s="14" customFormat="1" x14ac:dyDescent="0.3">
      <c r="A1086" s="20">
        <v>1084</v>
      </c>
      <c r="B1086" s="2" t="s">
        <v>181</v>
      </c>
      <c r="C1086" s="2">
        <v>2020</v>
      </c>
      <c r="D1086" s="2" t="s">
        <v>203</v>
      </c>
      <c r="E1086" s="10" t="s">
        <v>787</v>
      </c>
      <c r="F1086" s="20" t="s">
        <v>29</v>
      </c>
      <c r="G1086" s="2" t="s">
        <v>62</v>
      </c>
      <c r="H1086" s="2" t="str">
        <f>'PFAS Properties'!$B$49</f>
        <v>PFEtCHxS</v>
      </c>
      <c r="I1086" s="2" t="str">
        <f>'PFAS Properties'!$C$49</f>
        <v>PFSA</v>
      </c>
      <c r="J1086" s="2" t="str">
        <f>'PFAS Properties'!$D$49</f>
        <v>C8HF15O3S</v>
      </c>
      <c r="K1086" s="25">
        <f>'PFAS Properties'!$P$49</f>
        <v>461.94059999999996</v>
      </c>
      <c r="L1086" s="2">
        <f>'PFAS Properties'!$X$49</f>
        <v>0.1</v>
      </c>
      <c r="M1086" s="2" t="str">
        <f>'PFAS Properties'!$Y$49</f>
        <v>-</v>
      </c>
      <c r="N1086" s="33">
        <v>0</v>
      </c>
      <c r="O1086" s="33">
        <v>0</v>
      </c>
      <c r="P1086" s="33">
        <v>0</v>
      </c>
      <c r="Q1086" s="33">
        <f t="shared" ref="Q1086:Q1102" si="582">(10^(AG1086-L1086))/(1+(10^(AG1086-L1086)))</f>
        <v>0.9999999601892845</v>
      </c>
      <c r="R1086" s="33">
        <v>0</v>
      </c>
      <c r="S1086" s="33">
        <f t="shared" ref="S1086:S1102" si="583">(1/(1+(10^(AG1086-L1086))))</f>
        <v>3.9810715470456442E-8</v>
      </c>
      <c r="T1086" s="8">
        <f t="shared" ref="T1086:T1095" si="584">SUM(N1086:S1086)</f>
        <v>1</v>
      </c>
      <c r="U1086" s="33">
        <f t="shared" ref="U1086:U1095" si="585">((1*N1086)+(1*O1086)+(1*P1086))</f>
        <v>0</v>
      </c>
      <c r="V1086" s="33">
        <f t="shared" ref="V1086:V1095" si="586">-((1*O1086)+(2*P1086)+(1*Q1086)+(2*R1086))</f>
        <v>-0.9999999601892845</v>
      </c>
      <c r="W1086" s="33">
        <f t="shared" ref="W1086:W1095" si="587">(N1086*(K1086+1))+(O1086*K1086)+(P1086*(K1086-1))+(Q1086*(K1086-1))+(R1086*(K1086-2))+(S1086*K1086)</f>
        <v>460.94060003981065</v>
      </c>
      <c r="X1086" s="33">
        <v>96485</v>
      </c>
      <c r="Y1086" s="16">
        <f t="shared" ref="Y1086:Y1095" si="588">((V1086+U1086)/W1086)*X1086</f>
        <v>-209.32197370014674</v>
      </c>
      <c r="Z1086" s="16">
        <v>8</v>
      </c>
      <c r="AA1086" s="16">
        <v>15</v>
      </c>
      <c r="AB1086" s="8">
        <f t="shared" ref="AB1086:AB1095" si="589">(Z1086/AA1086)*(12/19)</f>
        <v>0.33684210526315789</v>
      </c>
      <c r="AC1086" s="16">
        <f t="shared" ref="AC1086:AC1117" si="590">((AA1086*19)/K1086)*100</f>
        <v>61.69624406254831</v>
      </c>
      <c r="AD1086" s="20">
        <f>'PFAS Properties'!$W$49</f>
        <v>8</v>
      </c>
      <c r="AE1086" s="8">
        <f>'PFAS Properties'!$S$49</f>
        <v>2.3222192947339191</v>
      </c>
      <c r="AF1086" s="2">
        <f>'PFAS Properties'!$V$49</f>
        <v>3.9</v>
      </c>
      <c r="AG1086" s="24">
        <v>7.5</v>
      </c>
      <c r="AH1086" s="2" t="s">
        <v>183</v>
      </c>
      <c r="AI1086" s="2" t="s">
        <v>661</v>
      </c>
      <c r="AJ1086" s="2" t="s">
        <v>661</v>
      </c>
      <c r="AK1086" s="2" t="s">
        <v>661</v>
      </c>
      <c r="AL1086" s="2" t="s">
        <v>661</v>
      </c>
      <c r="AM1086" s="2" t="s">
        <v>661</v>
      </c>
      <c r="AN1086" s="2" t="s">
        <v>661</v>
      </c>
      <c r="AO1086" s="2" t="s">
        <v>661</v>
      </c>
      <c r="AP1086" s="15">
        <v>41.4</v>
      </c>
      <c r="AQ1086" s="2" t="s">
        <v>661</v>
      </c>
      <c r="AR1086" s="16">
        <v>16.899999999999999</v>
      </c>
      <c r="AS1086" s="16">
        <v>17.5</v>
      </c>
      <c r="AT1086" s="16">
        <v>65.599999999999994</v>
      </c>
      <c r="AU1086" s="2" t="s">
        <v>661</v>
      </c>
      <c r="AV1086" s="16">
        <f t="shared" ref="AV1086:AV1095" si="591">SUM(AR1086:AT1086)</f>
        <v>100</v>
      </c>
      <c r="AW1086" s="20">
        <v>0.7</v>
      </c>
      <c r="AX1086" s="8">
        <f t="shared" ref="AX1086:AX1111" si="592">AW1086/100</f>
        <v>6.9999999999999993E-3</v>
      </c>
      <c r="AY1086" s="13" t="s">
        <v>184</v>
      </c>
      <c r="AZ1086" s="16">
        <v>100</v>
      </c>
      <c r="BA1086" s="16" t="s">
        <v>55</v>
      </c>
      <c r="BB1086" s="16">
        <v>5</v>
      </c>
      <c r="BC1086" s="16" t="s">
        <v>55</v>
      </c>
      <c r="BD1086" s="18">
        <v>1.73</v>
      </c>
      <c r="BE1086" s="16">
        <f t="shared" ref="BE1086:BE1111" si="593">BD1086/AX1086</f>
        <v>247.14285714285717</v>
      </c>
      <c r="BF1086" s="16">
        <f t="shared" ref="BF1086:BF1111" si="594">LOG(BE1086)</f>
        <v>2.3929480631145386</v>
      </c>
      <c r="BG1086" s="8">
        <f t="shared" ref="BG1086:BG1111" si="595">LOG(BD1086)</f>
        <v>0.2380461031287954</v>
      </c>
      <c r="BH1086" s="13" t="s">
        <v>345</v>
      </c>
      <c r="BI1086" s="13"/>
      <c r="BJ1086" s="13"/>
      <c r="BK1086" s="13"/>
      <c r="BL1086" s="13"/>
      <c r="BM1086" s="17"/>
      <c r="BN1086" s="17"/>
      <c r="BO1086" s="2"/>
    </row>
    <row r="1087" spans="1:69" s="14" customFormat="1" x14ac:dyDescent="0.3">
      <c r="A1087" s="20">
        <v>1085</v>
      </c>
      <c r="B1087" s="2" t="s">
        <v>181</v>
      </c>
      <c r="C1087" s="2">
        <v>2020</v>
      </c>
      <c r="D1087" s="2" t="s">
        <v>203</v>
      </c>
      <c r="E1087" s="10" t="s">
        <v>787</v>
      </c>
      <c r="F1087" s="20" t="s">
        <v>29</v>
      </c>
      <c r="G1087" s="2" t="s">
        <v>57</v>
      </c>
      <c r="H1087" s="2" t="str">
        <f>'PFAS Properties'!$B$49</f>
        <v>PFEtCHxS</v>
      </c>
      <c r="I1087" s="2" t="str">
        <f>'PFAS Properties'!$C$49</f>
        <v>PFSA</v>
      </c>
      <c r="J1087" s="2" t="str">
        <f>'PFAS Properties'!$D$49</f>
        <v>C8HF15O3S</v>
      </c>
      <c r="K1087" s="25">
        <f>'PFAS Properties'!$P$49</f>
        <v>461.94059999999996</v>
      </c>
      <c r="L1087" s="2">
        <f>'PFAS Properties'!$X$49</f>
        <v>0.1</v>
      </c>
      <c r="M1087" s="2" t="str">
        <f>'PFAS Properties'!$Y$49</f>
        <v>-</v>
      </c>
      <c r="N1087" s="33">
        <v>0</v>
      </c>
      <c r="O1087" s="33">
        <v>0</v>
      </c>
      <c r="P1087" s="33">
        <v>0</v>
      </c>
      <c r="Q1087" s="33">
        <f t="shared" si="582"/>
        <v>0.99999980047380832</v>
      </c>
      <c r="R1087" s="33">
        <v>0</v>
      </c>
      <c r="S1087" s="33">
        <f t="shared" si="583"/>
        <v>1.9952619168617852E-7</v>
      </c>
      <c r="T1087" s="8">
        <f t="shared" si="584"/>
        <v>1</v>
      </c>
      <c r="U1087" s="33">
        <f t="shared" si="585"/>
        <v>0</v>
      </c>
      <c r="V1087" s="33">
        <f t="shared" si="586"/>
        <v>-0.99999980047380832</v>
      </c>
      <c r="W1087" s="33">
        <f t="shared" si="587"/>
        <v>460.94060019952616</v>
      </c>
      <c r="X1087" s="33">
        <v>96485</v>
      </c>
      <c r="Y1087" s="16">
        <f t="shared" si="588"/>
        <v>-209.32194019565685</v>
      </c>
      <c r="Z1087" s="16">
        <v>8</v>
      </c>
      <c r="AA1087" s="16">
        <v>15</v>
      </c>
      <c r="AB1087" s="8">
        <f t="shared" si="589"/>
        <v>0.33684210526315789</v>
      </c>
      <c r="AC1087" s="16">
        <f t="shared" si="590"/>
        <v>61.69624406254831</v>
      </c>
      <c r="AD1087" s="20">
        <f>'PFAS Properties'!$W$49</f>
        <v>8</v>
      </c>
      <c r="AE1087" s="8">
        <f>'PFAS Properties'!$S$49</f>
        <v>2.3222192947339191</v>
      </c>
      <c r="AF1087" s="2">
        <f>'PFAS Properties'!$V$49</f>
        <v>3.9</v>
      </c>
      <c r="AG1087" s="24">
        <v>6.8</v>
      </c>
      <c r="AH1087" s="2" t="s">
        <v>183</v>
      </c>
      <c r="AI1087" s="2" t="s">
        <v>661</v>
      </c>
      <c r="AJ1087" s="2" t="s">
        <v>661</v>
      </c>
      <c r="AK1087" s="2" t="s">
        <v>661</v>
      </c>
      <c r="AL1087" s="2" t="s">
        <v>661</v>
      </c>
      <c r="AM1087" s="2" t="s">
        <v>661</v>
      </c>
      <c r="AN1087" s="2" t="s">
        <v>661</v>
      </c>
      <c r="AO1087" s="2" t="s">
        <v>661</v>
      </c>
      <c r="AP1087" s="15">
        <v>7.1</v>
      </c>
      <c r="AQ1087" s="2" t="s">
        <v>661</v>
      </c>
      <c r="AR1087" s="16">
        <v>48.9</v>
      </c>
      <c r="AS1087" s="16">
        <v>27</v>
      </c>
      <c r="AT1087" s="16">
        <v>24.2</v>
      </c>
      <c r="AU1087" s="2" t="s">
        <v>661</v>
      </c>
      <c r="AV1087" s="16">
        <f t="shared" si="591"/>
        <v>100.10000000000001</v>
      </c>
      <c r="AW1087" s="20">
        <v>0.37</v>
      </c>
      <c r="AX1087" s="8">
        <f t="shared" si="592"/>
        <v>3.7000000000000002E-3</v>
      </c>
      <c r="AY1087" s="13" t="s">
        <v>184</v>
      </c>
      <c r="AZ1087" s="16">
        <v>100</v>
      </c>
      <c r="BA1087" s="16" t="s">
        <v>55</v>
      </c>
      <c r="BB1087" s="16">
        <v>5</v>
      </c>
      <c r="BC1087" s="16" t="s">
        <v>55</v>
      </c>
      <c r="BD1087" s="20">
        <v>1.67</v>
      </c>
      <c r="BE1087" s="16">
        <f t="shared" si="593"/>
        <v>451.3513513513513</v>
      </c>
      <c r="BF1087" s="16">
        <f t="shared" si="594"/>
        <v>2.6545147470805883</v>
      </c>
      <c r="BG1087" s="8">
        <f t="shared" si="595"/>
        <v>0.22271647114758325</v>
      </c>
      <c r="BH1087" s="13" t="s">
        <v>345</v>
      </c>
      <c r="BI1087" s="13"/>
      <c r="BJ1087" s="13"/>
      <c r="BK1087" s="13"/>
      <c r="BL1087" s="13"/>
      <c r="BM1087" s="17"/>
      <c r="BN1087" s="17"/>
      <c r="BO1087" s="2"/>
    </row>
    <row r="1088" spans="1:69" s="14" customFormat="1" x14ac:dyDescent="0.3">
      <c r="A1088" s="20">
        <v>1086</v>
      </c>
      <c r="B1088" s="2" t="s">
        <v>181</v>
      </c>
      <c r="C1088" s="2">
        <v>2020</v>
      </c>
      <c r="D1088" s="2" t="s">
        <v>203</v>
      </c>
      <c r="E1088" s="10" t="s">
        <v>787</v>
      </c>
      <c r="F1088" s="20" t="s">
        <v>29</v>
      </c>
      <c r="G1088" s="2" t="s">
        <v>58</v>
      </c>
      <c r="H1088" s="2" t="str">
        <f>'PFAS Properties'!$B$49</f>
        <v>PFEtCHxS</v>
      </c>
      <c r="I1088" s="2" t="str">
        <f>'PFAS Properties'!$C$49</f>
        <v>PFSA</v>
      </c>
      <c r="J1088" s="2" t="str">
        <f>'PFAS Properties'!$D$49</f>
        <v>C8HF15O3S</v>
      </c>
      <c r="K1088" s="25">
        <f>'PFAS Properties'!$P$49</f>
        <v>461.94059999999996</v>
      </c>
      <c r="L1088" s="2">
        <f>'PFAS Properties'!$X$49</f>
        <v>0.1</v>
      </c>
      <c r="M1088" s="2" t="str">
        <f>'PFAS Properties'!$Y$49</f>
        <v>-</v>
      </c>
      <c r="N1088" s="33">
        <v>0</v>
      </c>
      <c r="O1088" s="33">
        <v>0</v>
      </c>
      <c r="P1088" s="33">
        <v>0</v>
      </c>
      <c r="Q1088" s="33">
        <f t="shared" si="582"/>
        <v>0.9999992056723962</v>
      </c>
      <c r="R1088" s="33">
        <v>0</v>
      </c>
      <c r="S1088" s="33">
        <f t="shared" si="583"/>
        <v>7.9432760376743655E-7</v>
      </c>
      <c r="T1088" s="8">
        <f t="shared" si="584"/>
        <v>1</v>
      </c>
      <c r="U1088" s="33">
        <f t="shared" si="585"/>
        <v>0</v>
      </c>
      <c r="V1088" s="33">
        <f t="shared" si="586"/>
        <v>-0.9999992056723962</v>
      </c>
      <c r="W1088" s="33">
        <f t="shared" si="587"/>
        <v>460.94060079432751</v>
      </c>
      <c r="X1088" s="33">
        <v>96485</v>
      </c>
      <c r="Y1088" s="16">
        <f t="shared" si="588"/>
        <v>-209.32181542053593</v>
      </c>
      <c r="Z1088" s="16">
        <v>8</v>
      </c>
      <c r="AA1088" s="16">
        <v>15</v>
      </c>
      <c r="AB1088" s="8">
        <f t="shared" si="589"/>
        <v>0.33684210526315789</v>
      </c>
      <c r="AC1088" s="16">
        <f t="shared" si="590"/>
        <v>61.69624406254831</v>
      </c>
      <c r="AD1088" s="20">
        <f>'PFAS Properties'!$W$49</f>
        <v>8</v>
      </c>
      <c r="AE1088" s="8">
        <f>'PFAS Properties'!$S$49</f>
        <v>2.3222192947339191</v>
      </c>
      <c r="AF1088" s="2">
        <f>'PFAS Properties'!$V$49</f>
        <v>3.9</v>
      </c>
      <c r="AG1088" s="24">
        <v>6.2</v>
      </c>
      <c r="AH1088" s="2" t="s">
        <v>183</v>
      </c>
      <c r="AI1088" s="2" t="s">
        <v>661</v>
      </c>
      <c r="AJ1088" s="2" t="s">
        <v>661</v>
      </c>
      <c r="AK1088" s="2" t="s">
        <v>661</v>
      </c>
      <c r="AL1088" s="2" t="s">
        <v>661</v>
      </c>
      <c r="AM1088" s="2" t="s">
        <v>661</v>
      </c>
      <c r="AN1088" s="2" t="s">
        <v>661</v>
      </c>
      <c r="AO1088" s="2" t="s">
        <v>661</v>
      </c>
      <c r="AP1088" s="15">
        <v>8</v>
      </c>
      <c r="AQ1088" s="2" t="s">
        <v>661</v>
      </c>
      <c r="AR1088" s="16">
        <v>51.44</v>
      </c>
      <c r="AS1088" s="16">
        <v>10.17</v>
      </c>
      <c r="AT1088" s="16">
        <v>38.380000000000003</v>
      </c>
      <c r="AU1088" s="2" t="s">
        <v>661</v>
      </c>
      <c r="AV1088" s="16">
        <f t="shared" si="591"/>
        <v>99.990000000000009</v>
      </c>
      <c r="AW1088" s="20">
        <v>0.08</v>
      </c>
      <c r="AX1088" s="8">
        <f t="shared" si="592"/>
        <v>8.0000000000000004E-4</v>
      </c>
      <c r="AY1088" s="8" t="s">
        <v>184</v>
      </c>
      <c r="AZ1088" s="16">
        <v>100</v>
      </c>
      <c r="BA1088" s="16" t="s">
        <v>55</v>
      </c>
      <c r="BB1088" s="16">
        <v>5</v>
      </c>
      <c r="BC1088" s="16" t="s">
        <v>55</v>
      </c>
      <c r="BD1088" s="20">
        <v>0.68</v>
      </c>
      <c r="BE1088" s="16">
        <f t="shared" si="593"/>
        <v>850</v>
      </c>
      <c r="BF1088" s="16">
        <f t="shared" si="594"/>
        <v>2.9294189257142929</v>
      </c>
      <c r="BG1088" s="8">
        <f t="shared" si="595"/>
        <v>-0.16749108729376366</v>
      </c>
      <c r="BH1088" s="13" t="s">
        <v>345</v>
      </c>
      <c r="BI1088" s="13"/>
      <c r="BJ1088" s="13"/>
      <c r="BK1088" s="13"/>
      <c r="BL1088" s="13"/>
      <c r="BM1088" s="17"/>
      <c r="BN1088" s="17"/>
      <c r="BO1088" s="2"/>
    </row>
    <row r="1089" spans="1:67" s="14" customFormat="1" x14ac:dyDescent="0.3">
      <c r="A1089" s="20">
        <v>1087</v>
      </c>
      <c r="B1089" s="2" t="s">
        <v>181</v>
      </c>
      <c r="C1089" s="2">
        <v>2020</v>
      </c>
      <c r="D1089" s="2" t="s">
        <v>203</v>
      </c>
      <c r="E1089" s="10" t="s">
        <v>787</v>
      </c>
      <c r="F1089" s="20" t="s">
        <v>29</v>
      </c>
      <c r="G1089" s="2" t="s">
        <v>59</v>
      </c>
      <c r="H1089" s="2" t="str">
        <f>'PFAS Properties'!$B$49</f>
        <v>PFEtCHxS</v>
      </c>
      <c r="I1089" s="2" t="str">
        <f>'PFAS Properties'!$C$49</f>
        <v>PFSA</v>
      </c>
      <c r="J1089" s="2" t="str">
        <f>'PFAS Properties'!$D$49</f>
        <v>C8HF15O3S</v>
      </c>
      <c r="K1089" s="25">
        <f>'PFAS Properties'!$P$49</f>
        <v>461.94059999999996</v>
      </c>
      <c r="L1089" s="2">
        <f>'PFAS Properties'!$X$49</f>
        <v>0.1</v>
      </c>
      <c r="M1089" s="2" t="str">
        <f>'PFAS Properties'!$Y$49</f>
        <v>-</v>
      </c>
      <c r="N1089" s="33">
        <v>0</v>
      </c>
      <c r="O1089" s="33">
        <v>0</v>
      </c>
      <c r="P1089" s="33">
        <v>0</v>
      </c>
      <c r="Q1089" s="33">
        <f t="shared" si="582"/>
        <v>0.99999997488113634</v>
      </c>
      <c r="R1089" s="33">
        <v>0</v>
      </c>
      <c r="S1089" s="33">
        <f t="shared" si="583"/>
        <v>2.5118863684138424E-8</v>
      </c>
      <c r="T1089" s="8">
        <f t="shared" si="584"/>
        <v>1</v>
      </c>
      <c r="U1089" s="33">
        <f t="shared" si="585"/>
        <v>0</v>
      </c>
      <c r="V1089" s="33">
        <f t="shared" si="586"/>
        <v>-0.99999997488113634</v>
      </c>
      <c r="W1089" s="33">
        <f t="shared" si="587"/>
        <v>460.94060002511878</v>
      </c>
      <c r="X1089" s="33">
        <v>96485</v>
      </c>
      <c r="Y1089" s="16">
        <f t="shared" si="588"/>
        <v>-209.32197678214618</v>
      </c>
      <c r="Z1089" s="16">
        <v>8</v>
      </c>
      <c r="AA1089" s="16">
        <v>15</v>
      </c>
      <c r="AB1089" s="8">
        <f t="shared" si="589"/>
        <v>0.33684210526315789</v>
      </c>
      <c r="AC1089" s="16">
        <f t="shared" si="590"/>
        <v>61.69624406254831</v>
      </c>
      <c r="AD1089" s="20">
        <f>'PFAS Properties'!$W$49</f>
        <v>8</v>
      </c>
      <c r="AE1089" s="8">
        <f>'PFAS Properties'!$S$49</f>
        <v>2.3222192947339191</v>
      </c>
      <c r="AF1089" s="2">
        <f>'PFAS Properties'!$V$49</f>
        <v>3.9</v>
      </c>
      <c r="AG1089" s="24">
        <v>7.7</v>
      </c>
      <c r="AH1089" s="2" t="s">
        <v>183</v>
      </c>
      <c r="AI1089" s="2" t="s">
        <v>661</v>
      </c>
      <c r="AJ1089" s="2" t="s">
        <v>661</v>
      </c>
      <c r="AK1089" s="2" t="s">
        <v>661</v>
      </c>
      <c r="AL1089" s="2" t="s">
        <v>661</v>
      </c>
      <c r="AM1089" s="2" t="s">
        <v>661</v>
      </c>
      <c r="AN1089" s="2" t="s">
        <v>661</v>
      </c>
      <c r="AO1089" s="2" t="s">
        <v>661</v>
      </c>
      <c r="AP1089" s="15">
        <v>4.8</v>
      </c>
      <c r="AQ1089" s="2" t="s">
        <v>661</v>
      </c>
      <c r="AR1089" s="16">
        <v>46</v>
      </c>
      <c r="AS1089" s="16">
        <v>37</v>
      </c>
      <c r="AT1089" s="16">
        <v>17</v>
      </c>
      <c r="AU1089" s="2" t="s">
        <v>661</v>
      </c>
      <c r="AV1089" s="16">
        <f t="shared" si="591"/>
        <v>100</v>
      </c>
      <c r="AW1089" s="20">
        <v>0.25</v>
      </c>
      <c r="AX1089" s="8">
        <f t="shared" si="592"/>
        <v>2.5000000000000001E-3</v>
      </c>
      <c r="AY1089" s="13" t="s">
        <v>184</v>
      </c>
      <c r="AZ1089" s="16">
        <v>100</v>
      </c>
      <c r="BA1089" s="16" t="s">
        <v>55</v>
      </c>
      <c r="BB1089" s="16">
        <v>5</v>
      </c>
      <c r="BC1089" s="16" t="s">
        <v>55</v>
      </c>
      <c r="BD1089" s="18">
        <v>1.28</v>
      </c>
      <c r="BE1089" s="16">
        <f t="shared" si="593"/>
        <v>512</v>
      </c>
      <c r="BF1089" s="16">
        <f t="shared" si="594"/>
        <v>2.7092699609758308</v>
      </c>
      <c r="BG1089" s="8">
        <f t="shared" si="595"/>
        <v>0.10720996964786837</v>
      </c>
      <c r="BH1089" s="13" t="s">
        <v>345</v>
      </c>
      <c r="BI1089" s="13"/>
      <c r="BJ1089" s="13"/>
      <c r="BK1089" s="13"/>
      <c r="BL1089" s="13"/>
      <c r="BM1089" s="17"/>
      <c r="BN1089" s="17"/>
      <c r="BO1089" s="2"/>
    </row>
    <row r="1090" spans="1:67" s="14" customFormat="1" x14ac:dyDescent="0.3">
      <c r="A1090" s="20">
        <v>1088</v>
      </c>
      <c r="B1090" s="2" t="s">
        <v>181</v>
      </c>
      <c r="C1090" s="2">
        <v>2020</v>
      </c>
      <c r="D1090" s="2" t="s">
        <v>203</v>
      </c>
      <c r="E1090" s="10" t="s">
        <v>787</v>
      </c>
      <c r="F1090" s="20" t="s">
        <v>29</v>
      </c>
      <c r="G1090" s="2" t="s">
        <v>61</v>
      </c>
      <c r="H1090" s="2" t="str">
        <f>'PFAS Properties'!$B$49</f>
        <v>PFEtCHxS</v>
      </c>
      <c r="I1090" s="2" t="str">
        <f>'PFAS Properties'!$C$49</f>
        <v>PFSA</v>
      </c>
      <c r="J1090" s="2" t="str">
        <f>'PFAS Properties'!$D$49</f>
        <v>C8HF15O3S</v>
      </c>
      <c r="K1090" s="25">
        <f>'PFAS Properties'!$P$49</f>
        <v>461.94059999999996</v>
      </c>
      <c r="L1090" s="2">
        <f>'PFAS Properties'!$X$49</f>
        <v>0.1</v>
      </c>
      <c r="M1090" s="2" t="str">
        <f>'PFAS Properties'!$Y$49</f>
        <v>-</v>
      </c>
      <c r="N1090" s="33">
        <v>0</v>
      </c>
      <c r="O1090" s="33">
        <v>0</v>
      </c>
      <c r="P1090" s="33">
        <v>0</v>
      </c>
      <c r="Q1090" s="33">
        <f t="shared" si="582"/>
        <v>0.99999994988127916</v>
      </c>
      <c r="R1090" s="33">
        <v>0</v>
      </c>
      <c r="S1090" s="33">
        <f t="shared" si="583"/>
        <v>5.0118720850840682E-8</v>
      </c>
      <c r="T1090" s="8">
        <f t="shared" si="584"/>
        <v>1</v>
      </c>
      <c r="U1090" s="33">
        <f t="shared" si="585"/>
        <v>0</v>
      </c>
      <c r="V1090" s="33">
        <f t="shared" si="586"/>
        <v>-0.99999994988127916</v>
      </c>
      <c r="W1090" s="33">
        <f t="shared" si="587"/>
        <v>460.94060005011869</v>
      </c>
      <c r="X1090" s="33">
        <v>96485</v>
      </c>
      <c r="Y1090" s="16">
        <f t="shared" si="588"/>
        <v>-209.32197153777358</v>
      </c>
      <c r="Z1090" s="16">
        <v>8</v>
      </c>
      <c r="AA1090" s="16">
        <v>15</v>
      </c>
      <c r="AB1090" s="8">
        <f t="shared" si="589"/>
        <v>0.33684210526315789</v>
      </c>
      <c r="AC1090" s="16">
        <f t="shared" si="590"/>
        <v>61.69624406254831</v>
      </c>
      <c r="AD1090" s="20">
        <f>'PFAS Properties'!$W$49</f>
        <v>8</v>
      </c>
      <c r="AE1090" s="8">
        <f>'PFAS Properties'!$S$49</f>
        <v>2.3222192947339191</v>
      </c>
      <c r="AF1090" s="2">
        <f>'PFAS Properties'!$V$49</f>
        <v>3.9</v>
      </c>
      <c r="AG1090" s="24">
        <v>7.4</v>
      </c>
      <c r="AH1090" s="2" t="s">
        <v>183</v>
      </c>
      <c r="AI1090" s="2" t="s">
        <v>661</v>
      </c>
      <c r="AJ1090" s="2" t="s">
        <v>661</v>
      </c>
      <c r="AK1090" s="2" t="s">
        <v>661</v>
      </c>
      <c r="AL1090" s="2" t="s">
        <v>661</v>
      </c>
      <c r="AM1090" s="2" t="s">
        <v>661</v>
      </c>
      <c r="AN1090" s="2" t="s">
        <v>661</v>
      </c>
      <c r="AO1090" s="2" t="s">
        <v>661</v>
      </c>
      <c r="AP1090" s="15">
        <v>29.6</v>
      </c>
      <c r="AQ1090" s="2" t="s">
        <v>661</v>
      </c>
      <c r="AR1090" s="16">
        <v>39.799999999999997</v>
      </c>
      <c r="AS1090" s="16">
        <v>7.7</v>
      </c>
      <c r="AT1090" s="16">
        <v>52.5</v>
      </c>
      <c r="AU1090" s="2" t="s">
        <v>661</v>
      </c>
      <c r="AV1090" s="16">
        <f t="shared" si="591"/>
        <v>100</v>
      </c>
      <c r="AW1090" s="20">
        <v>2.23</v>
      </c>
      <c r="AX1090" s="8">
        <f t="shared" si="592"/>
        <v>2.23E-2</v>
      </c>
      <c r="AY1090" s="8" t="s">
        <v>184</v>
      </c>
      <c r="AZ1090" s="16">
        <v>100</v>
      </c>
      <c r="BA1090" s="16" t="s">
        <v>55</v>
      </c>
      <c r="BB1090" s="16">
        <v>5</v>
      </c>
      <c r="BC1090" s="16" t="s">
        <v>55</v>
      </c>
      <c r="BD1090" s="20">
        <v>0.92</v>
      </c>
      <c r="BE1090" s="16">
        <f t="shared" si="593"/>
        <v>41.255605381165921</v>
      </c>
      <c r="BF1090" s="16">
        <f t="shared" si="594"/>
        <v>1.6154829642973947</v>
      </c>
      <c r="BG1090" s="8">
        <f t="shared" si="595"/>
        <v>-3.6212172654444715E-2</v>
      </c>
      <c r="BH1090" s="13" t="s">
        <v>345</v>
      </c>
      <c r="BI1090" s="13"/>
      <c r="BJ1090" s="13"/>
      <c r="BK1090" s="13"/>
      <c r="BL1090" s="13"/>
      <c r="BM1090" s="17"/>
      <c r="BN1090" s="17"/>
      <c r="BO1090" s="2"/>
    </row>
    <row r="1091" spans="1:67" s="14" customFormat="1" x14ac:dyDescent="0.3">
      <c r="A1091" s="20">
        <v>1089</v>
      </c>
      <c r="B1091" s="2" t="s">
        <v>181</v>
      </c>
      <c r="C1091" s="2">
        <v>2020</v>
      </c>
      <c r="D1091" s="2" t="s">
        <v>203</v>
      </c>
      <c r="E1091" s="10" t="s">
        <v>787</v>
      </c>
      <c r="F1091" s="20" t="s">
        <v>29</v>
      </c>
      <c r="G1091" s="2" t="s">
        <v>60</v>
      </c>
      <c r="H1091" s="2" t="str">
        <f>'PFAS Properties'!$B$49</f>
        <v>PFEtCHxS</v>
      </c>
      <c r="I1091" s="2" t="str">
        <f>'PFAS Properties'!$C$49</f>
        <v>PFSA</v>
      </c>
      <c r="J1091" s="2" t="str">
        <f>'PFAS Properties'!$D$49</f>
        <v>C8HF15O3S</v>
      </c>
      <c r="K1091" s="25">
        <f>'PFAS Properties'!$P$49</f>
        <v>461.94059999999996</v>
      </c>
      <c r="L1091" s="2">
        <f>'PFAS Properties'!$X$49</f>
        <v>0.1</v>
      </c>
      <c r="M1091" s="2" t="str">
        <f>'PFAS Properties'!$Y$49</f>
        <v>-</v>
      </c>
      <c r="N1091" s="33">
        <v>0</v>
      </c>
      <c r="O1091" s="33">
        <v>0</v>
      </c>
      <c r="P1091" s="33">
        <v>0</v>
      </c>
      <c r="Q1091" s="33">
        <f t="shared" si="582"/>
        <v>0.99999997488113634</v>
      </c>
      <c r="R1091" s="33">
        <v>0</v>
      </c>
      <c r="S1091" s="33">
        <f t="shared" si="583"/>
        <v>2.5118863684138424E-8</v>
      </c>
      <c r="T1091" s="8">
        <f t="shared" si="584"/>
        <v>1</v>
      </c>
      <c r="U1091" s="33">
        <f t="shared" si="585"/>
        <v>0</v>
      </c>
      <c r="V1091" s="33">
        <f t="shared" si="586"/>
        <v>-0.99999997488113634</v>
      </c>
      <c r="W1091" s="33">
        <f t="shared" si="587"/>
        <v>460.94060002511878</v>
      </c>
      <c r="X1091" s="33">
        <v>96485</v>
      </c>
      <c r="Y1091" s="16">
        <f t="shared" si="588"/>
        <v>-209.32197678214618</v>
      </c>
      <c r="Z1091" s="16">
        <v>8</v>
      </c>
      <c r="AA1091" s="16">
        <v>15</v>
      </c>
      <c r="AB1091" s="8">
        <f t="shared" si="589"/>
        <v>0.33684210526315789</v>
      </c>
      <c r="AC1091" s="16">
        <f t="shared" si="590"/>
        <v>61.69624406254831</v>
      </c>
      <c r="AD1091" s="20">
        <f>'PFAS Properties'!$W$49</f>
        <v>8</v>
      </c>
      <c r="AE1091" s="8">
        <f>'PFAS Properties'!$S$49</f>
        <v>2.3222192947339191</v>
      </c>
      <c r="AF1091" s="2">
        <f>'PFAS Properties'!$V$49</f>
        <v>3.9</v>
      </c>
      <c r="AG1091" s="24">
        <v>7.7</v>
      </c>
      <c r="AH1091" s="2" t="s">
        <v>183</v>
      </c>
      <c r="AI1091" s="2" t="s">
        <v>661</v>
      </c>
      <c r="AJ1091" s="2" t="s">
        <v>661</v>
      </c>
      <c r="AK1091" s="2" t="s">
        <v>661</v>
      </c>
      <c r="AL1091" s="2" t="s">
        <v>661</v>
      </c>
      <c r="AM1091" s="2" t="s">
        <v>661</v>
      </c>
      <c r="AN1091" s="2" t="s">
        <v>661</v>
      </c>
      <c r="AO1091" s="2" t="s">
        <v>661</v>
      </c>
      <c r="AP1091" s="15">
        <v>21.63</v>
      </c>
      <c r="AQ1091" s="2" t="s">
        <v>661</v>
      </c>
      <c r="AR1091" s="16">
        <v>70</v>
      </c>
      <c r="AS1091" s="16">
        <v>11</v>
      </c>
      <c r="AT1091" s="16">
        <v>19</v>
      </c>
      <c r="AU1091" s="2" t="s">
        <v>661</v>
      </c>
      <c r="AV1091" s="16">
        <f t="shared" si="591"/>
        <v>100</v>
      </c>
      <c r="AW1091" s="20">
        <v>4.9000000000000004</v>
      </c>
      <c r="AX1091" s="8">
        <f t="shared" si="592"/>
        <v>4.9000000000000002E-2</v>
      </c>
      <c r="AY1091" s="8" t="s">
        <v>184</v>
      </c>
      <c r="AZ1091" s="16">
        <v>100</v>
      </c>
      <c r="BA1091" s="16" t="s">
        <v>55</v>
      </c>
      <c r="BB1091" s="16">
        <v>5</v>
      </c>
      <c r="BC1091" s="16" t="s">
        <v>55</v>
      </c>
      <c r="BD1091" s="20">
        <v>5.5</v>
      </c>
      <c r="BE1091" s="16">
        <f t="shared" si="593"/>
        <v>112.24489795918367</v>
      </c>
      <c r="BF1091" s="16">
        <f t="shared" si="594"/>
        <v>2.0501666094657303</v>
      </c>
      <c r="BG1091" s="8">
        <f t="shared" si="595"/>
        <v>0.74036268949424389</v>
      </c>
      <c r="BH1091" s="13" t="s">
        <v>345</v>
      </c>
      <c r="BI1091" s="13"/>
      <c r="BJ1091" s="13"/>
      <c r="BK1091" s="13"/>
      <c r="BL1091" s="13"/>
      <c r="BM1091" s="17"/>
      <c r="BN1091" s="17"/>
      <c r="BO1091" s="2"/>
    </row>
    <row r="1092" spans="1:67" s="14" customFormat="1" x14ac:dyDescent="0.3">
      <c r="A1092" s="20">
        <v>1090</v>
      </c>
      <c r="B1092" s="2" t="s">
        <v>181</v>
      </c>
      <c r="C1092" s="2">
        <v>2020</v>
      </c>
      <c r="D1092" s="2" t="s">
        <v>203</v>
      </c>
      <c r="E1092" s="10" t="s">
        <v>787</v>
      </c>
      <c r="F1092" s="20" t="s">
        <v>29</v>
      </c>
      <c r="G1092" s="2" t="s">
        <v>77</v>
      </c>
      <c r="H1092" s="2" t="str">
        <f>'PFAS Properties'!$B$49</f>
        <v>PFEtCHxS</v>
      </c>
      <c r="I1092" s="2" t="str">
        <f>'PFAS Properties'!$C$49</f>
        <v>PFSA</v>
      </c>
      <c r="J1092" s="2" t="str">
        <f>'PFAS Properties'!$D$49</f>
        <v>C8HF15O3S</v>
      </c>
      <c r="K1092" s="25">
        <f>'PFAS Properties'!$P$49</f>
        <v>461.94059999999996</v>
      </c>
      <c r="L1092" s="2">
        <f>'PFAS Properties'!$X$49</f>
        <v>0.1</v>
      </c>
      <c r="M1092" s="2" t="str">
        <f>'PFAS Properties'!$Y$49</f>
        <v>-</v>
      </c>
      <c r="N1092" s="33">
        <v>0</v>
      </c>
      <c r="O1092" s="33">
        <v>0</v>
      </c>
      <c r="P1092" s="33">
        <v>0</v>
      </c>
      <c r="Q1092" s="33">
        <f t="shared" si="582"/>
        <v>0.99999997488113634</v>
      </c>
      <c r="R1092" s="33">
        <v>0</v>
      </c>
      <c r="S1092" s="33">
        <f t="shared" si="583"/>
        <v>2.5118863684138424E-8</v>
      </c>
      <c r="T1092" s="8">
        <f t="shared" si="584"/>
        <v>1</v>
      </c>
      <c r="U1092" s="33">
        <f t="shared" si="585"/>
        <v>0</v>
      </c>
      <c r="V1092" s="33">
        <f t="shared" si="586"/>
        <v>-0.99999997488113634</v>
      </c>
      <c r="W1092" s="33">
        <f t="shared" si="587"/>
        <v>460.94060002511878</v>
      </c>
      <c r="X1092" s="33">
        <v>96485</v>
      </c>
      <c r="Y1092" s="16">
        <f t="shared" si="588"/>
        <v>-209.32197678214618</v>
      </c>
      <c r="Z1092" s="16">
        <v>8</v>
      </c>
      <c r="AA1092" s="16">
        <v>15</v>
      </c>
      <c r="AB1092" s="8">
        <f t="shared" si="589"/>
        <v>0.33684210526315789</v>
      </c>
      <c r="AC1092" s="16">
        <f t="shared" si="590"/>
        <v>61.69624406254831</v>
      </c>
      <c r="AD1092" s="20">
        <f>'PFAS Properties'!$W$49</f>
        <v>8</v>
      </c>
      <c r="AE1092" s="8">
        <f>'PFAS Properties'!$S$49</f>
        <v>2.3222192947339191</v>
      </c>
      <c r="AF1092" s="2">
        <f>'PFAS Properties'!$V$49</f>
        <v>3.9</v>
      </c>
      <c r="AG1092" s="24">
        <v>7.7</v>
      </c>
      <c r="AH1092" s="2" t="s">
        <v>183</v>
      </c>
      <c r="AI1092" s="2" t="s">
        <v>661</v>
      </c>
      <c r="AJ1092" s="2" t="s">
        <v>661</v>
      </c>
      <c r="AK1092" s="2" t="s">
        <v>661</v>
      </c>
      <c r="AL1092" s="2" t="s">
        <v>661</v>
      </c>
      <c r="AM1092" s="2" t="s">
        <v>661</v>
      </c>
      <c r="AN1092" s="2" t="s">
        <v>661</v>
      </c>
      <c r="AO1092" s="2" t="s">
        <v>661</v>
      </c>
      <c r="AP1092" s="15">
        <v>7.8</v>
      </c>
      <c r="AQ1092" s="2" t="s">
        <v>661</v>
      </c>
      <c r="AR1092" s="16">
        <v>48.9</v>
      </c>
      <c r="AS1092" s="16">
        <v>32.6</v>
      </c>
      <c r="AT1092" s="16">
        <v>18.5</v>
      </c>
      <c r="AU1092" s="2" t="s">
        <v>661</v>
      </c>
      <c r="AV1092" s="16">
        <f t="shared" si="591"/>
        <v>100</v>
      </c>
      <c r="AW1092" s="20">
        <v>0.13</v>
      </c>
      <c r="AX1092" s="8">
        <f t="shared" si="592"/>
        <v>1.2999999999999999E-3</v>
      </c>
      <c r="AY1092" s="8" t="s">
        <v>184</v>
      </c>
      <c r="AZ1092" s="16">
        <v>100</v>
      </c>
      <c r="BA1092" s="16" t="s">
        <v>55</v>
      </c>
      <c r="BB1092" s="16">
        <v>5</v>
      </c>
      <c r="BC1092" s="16" t="s">
        <v>55</v>
      </c>
      <c r="BD1092" s="20">
        <v>0.95</v>
      </c>
      <c r="BE1092" s="16">
        <f t="shared" si="593"/>
        <v>730.76923076923072</v>
      </c>
      <c r="BF1092" s="16">
        <f t="shared" si="594"/>
        <v>2.8637802529820111</v>
      </c>
      <c r="BG1092" s="8">
        <f t="shared" si="595"/>
        <v>-2.2276394711152253E-2</v>
      </c>
      <c r="BH1092" s="13" t="s">
        <v>345</v>
      </c>
      <c r="BI1092" s="13"/>
      <c r="BJ1092" s="13"/>
      <c r="BK1092" s="13"/>
      <c r="BL1092" s="13"/>
      <c r="BM1092" s="17"/>
      <c r="BN1092" s="17"/>
      <c r="BO1092" s="2"/>
    </row>
    <row r="1093" spans="1:67" s="14" customFormat="1" x14ac:dyDescent="0.3">
      <c r="A1093" s="20">
        <v>1091</v>
      </c>
      <c r="B1093" s="2" t="s">
        <v>181</v>
      </c>
      <c r="C1093" s="2">
        <v>2020</v>
      </c>
      <c r="D1093" s="2" t="s">
        <v>203</v>
      </c>
      <c r="E1093" s="10" t="s">
        <v>787</v>
      </c>
      <c r="F1093" s="20" t="s">
        <v>29</v>
      </c>
      <c r="G1093" s="2" t="s">
        <v>182</v>
      </c>
      <c r="H1093" s="2" t="str">
        <f>'PFAS Properties'!$B$49</f>
        <v>PFEtCHxS</v>
      </c>
      <c r="I1093" s="2" t="str">
        <f>'PFAS Properties'!$C$49</f>
        <v>PFSA</v>
      </c>
      <c r="J1093" s="2" t="str">
        <f>'PFAS Properties'!$D$49</f>
        <v>C8HF15O3S</v>
      </c>
      <c r="K1093" s="25">
        <f>'PFAS Properties'!$P$49</f>
        <v>461.94059999999996</v>
      </c>
      <c r="L1093" s="2">
        <f>'PFAS Properties'!$X$49</f>
        <v>0.1</v>
      </c>
      <c r="M1093" s="2" t="str">
        <f>'PFAS Properties'!$Y$49</f>
        <v>-</v>
      </c>
      <c r="N1093" s="33">
        <v>0</v>
      </c>
      <c r="O1093" s="33">
        <v>0</v>
      </c>
      <c r="P1093" s="33">
        <v>0</v>
      </c>
      <c r="Q1093" s="33">
        <f t="shared" si="582"/>
        <v>0.9999999601892845</v>
      </c>
      <c r="R1093" s="33">
        <v>0</v>
      </c>
      <c r="S1093" s="33">
        <f t="shared" si="583"/>
        <v>3.9810715470456442E-8</v>
      </c>
      <c r="T1093" s="8">
        <f t="shared" si="584"/>
        <v>1</v>
      </c>
      <c r="U1093" s="33">
        <f t="shared" si="585"/>
        <v>0</v>
      </c>
      <c r="V1093" s="33">
        <f t="shared" si="586"/>
        <v>-0.9999999601892845</v>
      </c>
      <c r="W1093" s="33">
        <f t="shared" si="587"/>
        <v>460.94060003981065</v>
      </c>
      <c r="X1093" s="33">
        <v>96485</v>
      </c>
      <c r="Y1093" s="16">
        <f t="shared" si="588"/>
        <v>-209.32197370014674</v>
      </c>
      <c r="Z1093" s="16">
        <v>8</v>
      </c>
      <c r="AA1093" s="16">
        <v>15</v>
      </c>
      <c r="AB1093" s="8">
        <f t="shared" si="589"/>
        <v>0.33684210526315789</v>
      </c>
      <c r="AC1093" s="16">
        <f t="shared" si="590"/>
        <v>61.69624406254831</v>
      </c>
      <c r="AD1093" s="20">
        <f>'PFAS Properties'!$W$49</f>
        <v>8</v>
      </c>
      <c r="AE1093" s="8">
        <f>'PFAS Properties'!$S$49</f>
        <v>2.3222192947339191</v>
      </c>
      <c r="AF1093" s="2">
        <f>'PFAS Properties'!$V$49</f>
        <v>3.9</v>
      </c>
      <c r="AG1093" s="24">
        <v>7.5</v>
      </c>
      <c r="AH1093" s="2" t="s">
        <v>183</v>
      </c>
      <c r="AI1093" s="2" t="s">
        <v>661</v>
      </c>
      <c r="AJ1093" s="2" t="s">
        <v>661</v>
      </c>
      <c r="AK1093" s="2" t="s">
        <v>661</v>
      </c>
      <c r="AL1093" s="2" t="s">
        <v>661</v>
      </c>
      <c r="AM1093" s="2" t="s">
        <v>661</v>
      </c>
      <c r="AN1093" s="2" t="s">
        <v>661</v>
      </c>
      <c r="AO1093" s="2" t="s">
        <v>661</v>
      </c>
      <c r="AP1093" s="15">
        <v>2.2799999999999998</v>
      </c>
      <c r="AQ1093" s="2" t="s">
        <v>661</v>
      </c>
      <c r="AR1093" s="16">
        <v>93</v>
      </c>
      <c r="AS1093" s="16">
        <v>1</v>
      </c>
      <c r="AT1093" s="16">
        <v>5</v>
      </c>
      <c r="AU1093" s="2" t="s">
        <v>661</v>
      </c>
      <c r="AV1093" s="16">
        <f t="shared" si="591"/>
        <v>99</v>
      </c>
      <c r="AW1093" s="20">
        <v>0.4</v>
      </c>
      <c r="AX1093" s="8">
        <f t="shared" si="592"/>
        <v>4.0000000000000001E-3</v>
      </c>
      <c r="AY1093" s="8" t="s">
        <v>184</v>
      </c>
      <c r="AZ1093" s="16">
        <v>100</v>
      </c>
      <c r="BA1093" s="16" t="s">
        <v>55</v>
      </c>
      <c r="BB1093" s="16">
        <v>5</v>
      </c>
      <c r="BC1093" s="16" t="s">
        <v>55</v>
      </c>
      <c r="BD1093" s="20">
        <v>0.73</v>
      </c>
      <c r="BE1093" s="16">
        <f t="shared" si="593"/>
        <v>182.5</v>
      </c>
      <c r="BF1093" s="16">
        <f t="shared" si="594"/>
        <v>2.2612628687924934</v>
      </c>
      <c r="BG1093" s="8">
        <f t="shared" si="595"/>
        <v>-0.13667713987954411</v>
      </c>
      <c r="BH1093" s="13" t="s">
        <v>345</v>
      </c>
      <c r="BI1093" s="13"/>
      <c r="BJ1093" s="13"/>
      <c r="BK1093" s="13"/>
      <c r="BL1093" s="13"/>
      <c r="BM1093" s="17"/>
      <c r="BN1093" s="17"/>
      <c r="BO1093" s="2"/>
    </row>
    <row r="1094" spans="1:67" s="14" customFormat="1" x14ac:dyDescent="0.3">
      <c r="A1094" s="20">
        <v>1092</v>
      </c>
      <c r="B1094" s="2" t="s">
        <v>181</v>
      </c>
      <c r="C1094" s="2">
        <v>2020</v>
      </c>
      <c r="D1094" s="2" t="s">
        <v>203</v>
      </c>
      <c r="E1094" s="10" t="s">
        <v>787</v>
      </c>
      <c r="F1094" s="20" t="s">
        <v>29</v>
      </c>
      <c r="G1094" s="2" t="s">
        <v>78</v>
      </c>
      <c r="H1094" s="2" t="str">
        <f>'PFAS Properties'!$B$49</f>
        <v>PFEtCHxS</v>
      </c>
      <c r="I1094" s="2" t="str">
        <f>'PFAS Properties'!$C$49</f>
        <v>PFSA</v>
      </c>
      <c r="J1094" s="2" t="str">
        <f>'PFAS Properties'!$D$49</f>
        <v>C8HF15O3S</v>
      </c>
      <c r="K1094" s="25">
        <f>'PFAS Properties'!$P$49</f>
        <v>461.94059999999996</v>
      </c>
      <c r="L1094" s="2">
        <f>'PFAS Properties'!$X$49</f>
        <v>0.1</v>
      </c>
      <c r="M1094" s="2" t="str">
        <f>'PFAS Properties'!$Y$49</f>
        <v>-</v>
      </c>
      <c r="N1094" s="33">
        <v>0</v>
      </c>
      <c r="O1094" s="33">
        <v>0</v>
      </c>
      <c r="P1094" s="33">
        <v>0</v>
      </c>
      <c r="Q1094" s="33">
        <f t="shared" si="582"/>
        <v>0.99999990000001004</v>
      </c>
      <c r="R1094" s="33">
        <v>0</v>
      </c>
      <c r="S1094" s="33">
        <f t="shared" si="583"/>
        <v>9.9999990000001005E-8</v>
      </c>
      <c r="T1094" s="8">
        <f t="shared" si="584"/>
        <v>1</v>
      </c>
      <c r="U1094" s="33">
        <f t="shared" si="585"/>
        <v>0</v>
      </c>
      <c r="V1094" s="33">
        <f t="shared" si="586"/>
        <v>-0.99999990000001004</v>
      </c>
      <c r="W1094" s="33">
        <f t="shared" si="587"/>
        <v>460.94060009999993</v>
      </c>
      <c r="X1094" s="33">
        <v>96485</v>
      </c>
      <c r="Y1094" s="16">
        <f t="shared" si="588"/>
        <v>-209.32196107387543</v>
      </c>
      <c r="Z1094" s="16">
        <v>8</v>
      </c>
      <c r="AA1094" s="16">
        <v>15</v>
      </c>
      <c r="AB1094" s="8">
        <f t="shared" si="589"/>
        <v>0.33684210526315789</v>
      </c>
      <c r="AC1094" s="16">
        <f t="shared" si="590"/>
        <v>61.69624406254831</v>
      </c>
      <c r="AD1094" s="20">
        <f>'PFAS Properties'!$W$49</f>
        <v>8</v>
      </c>
      <c r="AE1094" s="8">
        <f>'PFAS Properties'!$S$49</f>
        <v>2.3222192947339191</v>
      </c>
      <c r="AF1094" s="2">
        <f>'PFAS Properties'!$V$49</f>
        <v>3.9</v>
      </c>
      <c r="AG1094" s="24">
        <v>7.1</v>
      </c>
      <c r="AH1094" s="2" t="s">
        <v>183</v>
      </c>
      <c r="AI1094" s="2" t="s">
        <v>661</v>
      </c>
      <c r="AJ1094" s="2" t="s">
        <v>661</v>
      </c>
      <c r="AK1094" s="2" t="s">
        <v>661</v>
      </c>
      <c r="AL1094" s="2" t="s">
        <v>661</v>
      </c>
      <c r="AM1094" s="2" t="s">
        <v>661</v>
      </c>
      <c r="AN1094" s="2" t="s">
        <v>661</v>
      </c>
      <c r="AO1094" s="2" t="s">
        <v>661</v>
      </c>
      <c r="AP1094" s="15">
        <v>17.420000000000002</v>
      </c>
      <c r="AQ1094" s="2" t="s">
        <v>661</v>
      </c>
      <c r="AR1094" s="16">
        <v>48.86</v>
      </c>
      <c r="AS1094" s="16">
        <v>16.05</v>
      </c>
      <c r="AT1094" s="16">
        <v>35.090000000000003</v>
      </c>
      <c r="AU1094" s="2" t="s">
        <v>661</v>
      </c>
      <c r="AV1094" s="16">
        <f t="shared" si="591"/>
        <v>100</v>
      </c>
      <c r="AW1094" s="20">
        <v>1.19</v>
      </c>
      <c r="AX1094" s="8">
        <f t="shared" si="592"/>
        <v>1.1899999999999999E-2</v>
      </c>
      <c r="AY1094" s="8" t="s">
        <v>184</v>
      </c>
      <c r="AZ1094" s="16">
        <v>100</v>
      </c>
      <c r="BA1094" s="16" t="s">
        <v>55</v>
      </c>
      <c r="BB1094" s="16">
        <v>5</v>
      </c>
      <c r="BC1094" s="16" t="s">
        <v>55</v>
      </c>
      <c r="BD1094" s="20">
        <v>1.62</v>
      </c>
      <c r="BE1094" s="16">
        <f t="shared" si="593"/>
        <v>136.13445378151263</v>
      </c>
      <c r="BF1094" s="16">
        <f t="shared" si="594"/>
        <v>2.1339680531501002</v>
      </c>
      <c r="BG1094" s="8">
        <f t="shared" si="595"/>
        <v>0.20951501454263097</v>
      </c>
      <c r="BH1094" s="13" t="s">
        <v>345</v>
      </c>
      <c r="BI1094" s="13"/>
      <c r="BJ1094" s="13"/>
      <c r="BK1094" s="13"/>
      <c r="BL1094" s="13"/>
      <c r="BM1094" s="17"/>
      <c r="BN1094" s="17"/>
      <c r="BO1094" s="2"/>
    </row>
    <row r="1095" spans="1:67" s="14" customFormat="1" x14ac:dyDescent="0.3">
      <c r="A1095" s="20">
        <v>1093</v>
      </c>
      <c r="B1095" s="2" t="s">
        <v>181</v>
      </c>
      <c r="C1095" s="2">
        <v>2020</v>
      </c>
      <c r="D1095" s="2" t="s">
        <v>203</v>
      </c>
      <c r="E1095" s="10" t="s">
        <v>787</v>
      </c>
      <c r="F1095" s="20" t="s">
        <v>29</v>
      </c>
      <c r="G1095" s="2" t="s">
        <v>98</v>
      </c>
      <c r="H1095" s="2" t="str">
        <f>'PFAS Properties'!$B$49</f>
        <v>PFEtCHxS</v>
      </c>
      <c r="I1095" s="2" t="str">
        <f>'PFAS Properties'!$C$49</f>
        <v>PFSA</v>
      </c>
      <c r="J1095" s="2" t="str">
        <f>'PFAS Properties'!$D$49</f>
        <v>C8HF15O3S</v>
      </c>
      <c r="K1095" s="25">
        <f>'PFAS Properties'!$P$49</f>
        <v>461.94059999999996</v>
      </c>
      <c r="L1095" s="2">
        <f>'PFAS Properties'!$X$49</f>
        <v>0.1</v>
      </c>
      <c r="M1095" s="2" t="str">
        <f>'PFAS Properties'!$Y$49</f>
        <v>-</v>
      </c>
      <c r="N1095" s="33">
        <v>0</v>
      </c>
      <c r="O1095" s="33">
        <v>0</v>
      </c>
      <c r="P1095" s="33">
        <v>0</v>
      </c>
      <c r="Q1095" s="33">
        <f t="shared" si="582"/>
        <v>0.99999949881301753</v>
      </c>
      <c r="R1095" s="33">
        <v>0</v>
      </c>
      <c r="S1095" s="33">
        <f t="shared" si="583"/>
        <v>5.0118698243875318E-7</v>
      </c>
      <c r="T1095" s="8">
        <f t="shared" si="584"/>
        <v>1</v>
      </c>
      <c r="U1095" s="33">
        <f t="shared" si="585"/>
        <v>0</v>
      </c>
      <c r="V1095" s="33">
        <f t="shared" si="586"/>
        <v>-0.99999949881301753</v>
      </c>
      <c r="W1095" s="33">
        <f t="shared" si="587"/>
        <v>460.94060050118696</v>
      </c>
      <c r="X1095" s="33">
        <v>96485</v>
      </c>
      <c r="Y1095" s="16">
        <f t="shared" si="588"/>
        <v>-209.32187691443238</v>
      </c>
      <c r="Z1095" s="16">
        <v>8</v>
      </c>
      <c r="AA1095" s="16">
        <v>15</v>
      </c>
      <c r="AB1095" s="8">
        <f t="shared" si="589"/>
        <v>0.33684210526315789</v>
      </c>
      <c r="AC1095" s="16">
        <f t="shared" si="590"/>
        <v>61.69624406254831</v>
      </c>
      <c r="AD1095" s="20">
        <f>'PFAS Properties'!$W$49</f>
        <v>8</v>
      </c>
      <c r="AE1095" s="8">
        <f>'PFAS Properties'!$S$49</f>
        <v>2.3222192947339191</v>
      </c>
      <c r="AF1095" s="2">
        <f>'PFAS Properties'!$V$49</f>
        <v>3.9</v>
      </c>
      <c r="AG1095" s="24">
        <v>6.4</v>
      </c>
      <c r="AH1095" s="2" t="s">
        <v>183</v>
      </c>
      <c r="AI1095" s="2" t="s">
        <v>661</v>
      </c>
      <c r="AJ1095" s="15" t="s">
        <v>661</v>
      </c>
      <c r="AK1095" s="8" t="s">
        <v>661</v>
      </c>
      <c r="AL1095" s="2" t="s">
        <v>661</v>
      </c>
      <c r="AM1095" s="15" t="s">
        <v>661</v>
      </c>
      <c r="AN1095" s="8" t="s">
        <v>661</v>
      </c>
      <c r="AO1095" s="15" t="s">
        <v>661</v>
      </c>
      <c r="AP1095" s="15">
        <v>16.54</v>
      </c>
      <c r="AQ1095" s="13" t="s">
        <v>661</v>
      </c>
      <c r="AR1095" s="16">
        <v>29.38</v>
      </c>
      <c r="AS1095" s="16">
        <v>13.9</v>
      </c>
      <c r="AT1095" s="16">
        <v>56.71</v>
      </c>
      <c r="AU1095" s="15" t="s">
        <v>661</v>
      </c>
      <c r="AV1095" s="16">
        <f t="shared" si="591"/>
        <v>99.990000000000009</v>
      </c>
      <c r="AW1095" s="20">
        <v>0.17</v>
      </c>
      <c r="AX1095" s="8">
        <f t="shared" si="592"/>
        <v>1.7000000000000001E-3</v>
      </c>
      <c r="AY1095" s="8" t="s">
        <v>184</v>
      </c>
      <c r="AZ1095" s="16">
        <v>100</v>
      </c>
      <c r="BA1095" s="16" t="s">
        <v>55</v>
      </c>
      <c r="BB1095" s="16">
        <v>5</v>
      </c>
      <c r="BC1095" s="16" t="s">
        <v>55</v>
      </c>
      <c r="BD1095" s="20">
        <v>2.42</v>
      </c>
      <c r="BE1095" s="16">
        <f t="shared" si="593"/>
        <v>1423.5294117647056</v>
      </c>
      <c r="BF1095" s="16">
        <f t="shared" si="594"/>
        <v>3.1533664446021574</v>
      </c>
      <c r="BG1095" s="8">
        <f t="shared" si="595"/>
        <v>0.38381536598043126</v>
      </c>
      <c r="BH1095" s="13" t="s">
        <v>345</v>
      </c>
      <c r="BI1095" s="13"/>
      <c r="BJ1095" s="13"/>
      <c r="BK1095" s="13"/>
      <c r="BL1095" s="13"/>
      <c r="BM1095" s="17"/>
      <c r="BN1095" s="17"/>
      <c r="BO1095" s="2"/>
    </row>
    <row r="1096" spans="1:67" s="14" customFormat="1" x14ac:dyDescent="0.3">
      <c r="A1096" s="20">
        <v>1094</v>
      </c>
      <c r="B1096" s="2" t="s">
        <v>181</v>
      </c>
      <c r="C1096" s="2">
        <v>2020</v>
      </c>
      <c r="D1096" s="2" t="s">
        <v>203</v>
      </c>
      <c r="E1096" s="10" t="s">
        <v>787</v>
      </c>
      <c r="F1096" s="20" t="s">
        <v>29</v>
      </c>
      <c r="G1096" s="2" t="s">
        <v>62</v>
      </c>
      <c r="H1096" s="2" t="str">
        <f>'PFAS Properties'!$B$50</f>
        <v>8:2 Cl-PFAES</v>
      </c>
      <c r="I1096" s="2" t="str">
        <f>'PFAS Properties'!$C$50</f>
        <v>PFAES</v>
      </c>
      <c r="J1096" s="2" t="str">
        <f>'PFAS Properties'!$D$50</f>
        <v>C8HClF16O4S</v>
      </c>
      <c r="K1096" s="25">
        <f>'PFAS Properties'!$P$50</f>
        <v>531.90269999999998</v>
      </c>
      <c r="L1096" s="2">
        <f>'PFAS Properties'!$X$50</f>
        <v>0.1</v>
      </c>
      <c r="M1096" s="2" t="str">
        <f>'PFAS Properties'!$Y$50</f>
        <v>-</v>
      </c>
      <c r="N1096" s="33">
        <v>0</v>
      </c>
      <c r="O1096" s="33">
        <v>0</v>
      </c>
      <c r="P1096" s="33">
        <v>0</v>
      </c>
      <c r="Q1096" s="33">
        <f t="shared" si="582"/>
        <v>0.9999999601892845</v>
      </c>
      <c r="R1096" s="33">
        <v>0</v>
      </c>
      <c r="S1096" s="33">
        <f t="shared" si="583"/>
        <v>3.9810715470456442E-8</v>
      </c>
      <c r="T1096" s="8">
        <f t="shared" ref="T1096" si="596">SUM(N1096:S1096)</f>
        <v>1</v>
      </c>
      <c r="U1096" s="33">
        <f t="shared" ref="U1096" si="597">((1*N1096)+(1*O1096)+(1*P1096))</f>
        <v>0</v>
      </c>
      <c r="V1096" s="33">
        <f t="shared" ref="V1096" si="598">-((1*O1096)+(2*P1096)+(1*Q1096)+(2*R1096))</f>
        <v>-0.9999999601892845</v>
      </c>
      <c r="W1096" s="33">
        <f t="shared" ref="W1096" si="599">(N1096*(K1096+1))+(O1096*K1096)+(P1096*(K1096-1))+(Q1096*(K1096-1))+(R1096*(K1096-2))+(S1096*K1096)</f>
        <v>530.90270003981072</v>
      </c>
      <c r="X1096" s="33">
        <v>96485</v>
      </c>
      <c r="Y1096" s="16">
        <f t="shared" ref="Y1096" si="600">((V1096+U1096)/W1096)*X1096</f>
        <v>-181.73762565462184</v>
      </c>
      <c r="Z1096" s="16">
        <v>8</v>
      </c>
      <c r="AA1096" s="16">
        <v>16</v>
      </c>
      <c r="AB1096" s="8">
        <f t="shared" ref="AB1096" si="601">(Z1096/AA1096)*(12/19)</f>
        <v>0.31578947368421051</v>
      </c>
      <c r="AC1096" s="16">
        <f t="shared" si="590"/>
        <v>57.153310182482628</v>
      </c>
      <c r="AD1096" s="20">
        <f>'PFAS Properties'!$W$50</f>
        <v>8</v>
      </c>
      <c r="AE1096" s="8">
        <f>'PFAS Properties'!$S$50</f>
        <v>1.1664301138432827</v>
      </c>
      <c r="AF1096" s="2">
        <f>'PFAS Properties'!$V$50</f>
        <v>5.3</v>
      </c>
      <c r="AG1096" s="24">
        <v>7.5</v>
      </c>
      <c r="AH1096" s="2" t="s">
        <v>183</v>
      </c>
      <c r="AI1096" s="2" t="s">
        <v>661</v>
      </c>
      <c r="AJ1096" s="2" t="s">
        <v>661</v>
      </c>
      <c r="AK1096" s="2" t="s">
        <v>661</v>
      </c>
      <c r="AL1096" s="2" t="s">
        <v>661</v>
      </c>
      <c r="AM1096" s="2" t="s">
        <v>661</v>
      </c>
      <c r="AN1096" s="2" t="s">
        <v>661</v>
      </c>
      <c r="AO1096" s="2" t="s">
        <v>661</v>
      </c>
      <c r="AP1096" s="15">
        <v>41.4</v>
      </c>
      <c r="AQ1096" s="2" t="s">
        <v>661</v>
      </c>
      <c r="AR1096" s="16">
        <v>16.899999999999999</v>
      </c>
      <c r="AS1096" s="16">
        <v>17.5</v>
      </c>
      <c r="AT1096" s="16">
        <v>65.599999999999994</v>
      </c>
      <c r="AU1096" s="2" t="s">
        <v>661</v>
      </c>
      <c r="AV1096" s="16">
        <f t="shared" ref="AV1096" si="602">SUM(AR1096:AT1096)</f>
        <v>100</v>
      </c>
      <c r="AW1096" s="20">
        <v>0.7</v>
      </c>
      <c r="AX1096" s="8">
        <f t="shared" si="592"/>
        <v>6.9999999999999993E-3</v>
      </c>
      <c r="AY1096" s="13" t="s">
        <v>184</v>
      </c>
      <c r="AZ1096" s="16">
        <v>100</v>
      </c>
      <c r="BA1096" s="16" t="s">
        <v>55</v>
      </c>
      <c r="BB1096" s="16">
        <v>5</v>
      </c>
      <c r="BC1096" s="16" t="s">
        <v>55</v>
      </c>
      <c r="BD1096" s="18">
        <v>157.32</v>
      </c>
      <c r="BE1096" s="16">
        <f t="shared" si="593"/>
        <v>22474.285714285717</v>
      </c>
      <c r="BF1096" s="16">
        <f t="shared" si="594"/>
        <v>4.3516858977234527</v>
      </c>
      <c r="BG1096" s="8">
        <f t="shared" si="595"/>
        <v>2.1967839377377092</v>
      </c>
      <c r="BH1096" s="13" t="s">
        <v>345</v>
      </c>
      <c r="BI1096" s="13"/>
      <c r="BJ1096" s="13"/>
      <c r="BK1096" s="13"/>
      <c r="BL1096" s="13"/>
      <c r="BM1096" s="17"/>
      <c r="BN1096" s="17"/>
      <c r="BO1096" s="2"/>
    </row>
    <row r="1097" spans="1:67" s="14" customFormat="1" x14ac:dyDescent="0.3">
      <c r="A1097" s="20">
        <v>1095</v>
      </c>
      <c r="B1097" s="2" t="s">
        <v>719</v>
      </c>
      <c r="C1097" s="2">
        <v>2019</v>
      </c>
      <c r="D1097" s="2" t="s">
        <v>199</v>
      </c>
      <c r="E1097" s="10" t="s">
        <v>807</v>
      </c>
      <c r="F1097" s="20" t="s">
        <v>29</v>
      </c>
      <c r="G1097" s="2" t="s">
        <v>159</v>
      </c>
      <c r="H1097" s="2" t="str">
        <f>'PFAS Properties'!$B$50</f>
        <v>8:2 Cl-PFAES</v>
      </c>
      <c r="I1097" s="2" t="str">
        <f>'PFAS Properties'!$C$50</f>
        <v>PFAES</v>
      </c>
      <c r="J1097" s="2" t="str">
        <f>'PFAS Properties'!$D$50</f>
        <v>C8HClF16O4S</v>
      </c>
      <c r="K1097" s="25">
        <f>'PFAS Properties'!$P$50</f>
        <v>531.90269999999998</v>
      </c>
      <c r="L1097" s="2">
        <f>'PFAS Properties'!$X$50</f>
        <v>0.1</v>
      </c>
      <c r="M1097" s="2" t="str">
        <f>'PFAS Properties'!$Y$50</f>
        <v>-</v>
      </c>
      <c r="N1097" s="33">
        <v>0</v>
      </c>
      <c r="O1097" s="33">
        <v>0</v>
      </c>
      <c r="P1097" s="33">
        <v>0</v>
      </c>
      <c r="Q1097" s="33">
        <f t="shared" si="582"/>
        <v>0.99999601894414336</v>
      </c>
      <c r="R1097" s="33">
        <v>0</v>
      </c>
      <c r="S1097" s="33">
        <f t="shared" si="583"/>
        <v>3.981055856666137E-6</v>
      </c>
      <c r="T1097" s="8">
        <f t="shared" ref="T1097:T1102" si="603">SUM(N1097:S1097)</f>
        <v>1</v>
      </c>
      <c r="U1097" s="33">
        <f t="shared" ref="U1097:U1102" si="604">((1*N1097)+(1*O1097)+(1*P1097))</f>
        <v>0</v>
      </c>
      <c r="V1097" s="33">
        <f t="shared" ref="V1097:V1102" si="605">-((1*O1097)+(2*P1097)+(1*Q1097)+(2*R1097))</f>
        <v>-0.99999601894414336</v>
      </c>
      <c r="W1097" s="33">
        <f t="shared" ref="W1097:W1102" si="606">(N1097*(K1097+1))+(O1097*K1097)+(P1097*(K1097-1))+(Q1097*(K1097-1))+(R1097*(K1097-2))+(S1097*K1097)</f>
        <v>530.90270398105588</v>
      </c>
      <c r="X1097" s="33">
        <v>96485</v>
      </c>
      <c r="Y1097" s="16">
        <f t="shared" ref="Y1097:Y1102" si="607">((V1097+U1097)/W1097)*X1097</f>
        <v>-181.73690803290489</v>
      </c>
      <c r="Z1097" s="16">
        <v>8</v>
      </c>
      <c r="AA1097" s="16">
        <v>16</v>
      </c>
      <c r="AB1097" s="8">
        <f t="shared" ref="AB1097:AB1102" si="608">(Z1097/AA1097)*(12/19)</f>
        <v>0.31578947368421051</v>
      </c>
      <c r="AC1097" s="16">
        <f t="shared" si="590"/>
        <v>57.153310182482628</v>
      </c>
      <c r="AD1097" s="20">
        <f>'PFAS Properties'!$W$50</f>
        <v>8</v>
      </c>
      <c r="AE1097" s="8">
        <f>'PFAS Properties'!$S$50</f>
        <v>1.1664301138432827</v>
      </c>
      <c r="AF1097" s="2">
        <f>'PFAS Properties'!$V$50</f>
        <v>5.3</v>
      </c>
      <c r="AG1097" s="24">
        <v>5.5</v>
      </c>
      <c r="AH1097" s="2" t="s">
        <v>661</v>
      </c>
      <c r="AI1097" s="16">
        <f>(49.58*2*55.845)/159.69</f>
        <v>34.677125681006949</v>
      </c>
      <c r="AJ1097" s="16">
        <f>(AI1097*2*55.845)/159.69</f>
        <v>24.253792769188216</v>
      </c>
      <c r="AK1097" s="8">
        <f t="shared" ref="AK1097:AK1102" si="609">AI1097/10</f>
        <v>3.4677125681006951</v>
      </c>
      <c r="AL1097" s="16">
        <f>(6.26*2*26.98)/101.96</f>
        <v>3.3129619458611224</v>
      </c>
      <c r="AM1097" s="16">
        <f t="shared" ref="AM1097:AM1102" si="610">AL1097*1000/26.98</f>
        <v>122.7932522557866</v>
      </c>
      <c r="AN1097" s="8">
        <f t="shared" ref="AN1097:AN1102" si="611">AL1097/10</f>
        <v>0.33129619458611226</v>
      </c>
      <c r="AO1097" s="2" t="s">
        <v>661</v>
      </c>
      <c r="AP1097" s="15">
        <v>8</v>
      </c>
      <c r="AQ1097" s="2" t="s">
        <v>661</v>
      </c>
      <c r="AR1097" s="16">
        <v>14</v>
      </c>
      <c r="AS1097" s="16">
        <v>76</v>
      </c>
      <c r="AT1097" s="16">
        <v>10</v>
      </c>
      <c r="AU1097" s="2" t="s">
        <v>661</v>
      </c>
      <c r="AV1097" s="16">
        <f t="shared" ref="AV1097:AV1102" si="612">SUM(AR1097:AT1097)</f>
        <v>100</v>
      </c>
      <c r="AW1097" s="20">
        <v>1.27</v>
      </c>
      <c r="AX1097" s="8">
        <f t="shared" si="592"/>
        <v>1.2699999999999999E-2</v>
      </c>
      <c r="AY1097" s="13" t="s">
        <v>395</v>
      </c>
      <c r="AZ1097" s="16">
        <f>(0.4/0.02)</f>
        <v>20</v>
      </c>
      <c r="BA1097" s="16" t="s">
        <v>55</v>
      </c>
      <c r="BB1097" s="16">
        <v>10</v>
      </c>
      <c r="BC1097" s="16">
        <v>600</v>
      </c>
      <c r="BD1097" s="25">
        <f>(0.0026*1000*51.28)</f>
        <v>133.328</v>
      </c>
      <c r="BE1097" s="16">
        <f t="shared" si="593"/>
        <v>10498.267716535434</v>
      </c>
      <c r="BF1097" s="16">
        <f t="shared" si="594"/>
        <v>4.0211176435256224</v>
      </c>
      <c r="BG1097" s="8">
        <f t="shared" si="595"/>
        <v>2.1249213644815792</v>
      </c>
      <c r="BH1097" s="13" t="s">
        <v>870</v>
      </c>
      <c r="BI1097" s="13"/>
      <c r="BJ1097" s="13"/>
      <c r="BK1097" s="13"/>
      <c r="BL1097" s="13"/>
      <c r="BM1097" s="17"/>
      <c r="BN1097" s="17"/>
      <c r="BO1097" s="2"/>
    </row>
    <row r="1098" spans="1:67" s="14" customFormat="1" x14ac:dyDescent="0.3">
      <c r="A1098" s="20">
        <v>1096</v>
      </c>
      <c r="B1098" s="2" t="s">
        <v>719</v>
      </c>
      <c r="C1098" s="2">
        <v>2019</v>
      </c>
      <c r="D1098" s="2" t="s">
        <v>199</v>
      </c>
      <c r="E1098" s="10" t="s">
        <v>807</v>
      </c>
      <c r="F1098" s="20" t="s">
        <v>29</v>
      </c>
      <c r="G1098" s="2" t="s">
        <v>161</v>
      </c>
      <c r="H1098" s="2" t="str">
        <f>'PFAS Properties'!$B$50</f>
        <v>8:2 Cl-PFAES</v>
      </c>
      <c r="I1098" s="2" t="str">
        <f>'PFAS Properties'!$C$50</f>
        <v>PFAES</v>
      </c>
      <c r="J1098" s="2" t="str">
        <f>'PFAS Properties'!$D$50</f>
        <v>C8HClF16O4S</v>
      </c>
      <c r="K1098" s="25">
        <f>'PFAS Properties'!$P$50</f>
        <v>531.90269999999998</v>
      </c>
      <c r="L1098" s="2">
        <f>'PFAS Properties'!$X$50</f>
        <v>0.1</v>
      </c>
      <c r="M1098" s="2" t="str">
        <f>'PFAS Properties'!$Y$50</f>
        <v>-</v>
      </c>
      <c r="N1098" s="33">
        <v>0</v>
      </c>
      <c r="O1098" s="33">
        <v>0</v>
      </c>
      <c r="P1098" s="33">
        <v>0</v>
      </c>
      <c r="Q1098" s="33">
        <f t="shared" si="582"/>
        <v>0.99999998415106828</v>
      </c>
      <c r="R1098" s="33">
        <v>0</v>
      </c>
      <c r="S1098" s="33">
        <f t="shared" si="583"/>
        <v>1.5848931673422437E-8</v>
      </c>
      <c r="T1098" s="8">
        <f t="shared" si="603"/>
        <v>1</v>
      </c>
      <c r="U1098" s="33">
        <f t="shared" si="604"/>
        <v>0</v>
      </c>
      <c r="V1098" s="33">
        <f t="shared" si="605"/>
        <v>-0.99999998415106828</v>
      </c>
      <c r="W1098" s="33">
        <f t="shared" si="606"/>
        <v>530.90270001584895</v>
      </c>
      <c r="X1098" s="33">
        <v>96485</v>
      </c>
      <c r="Y1098" s="16">
        <f t="shared" si="607"/>
        <v>-181.73763001758226</v>
      </c>
      <c r="Z1098" s="16">
        <v>8</v>
      </c>
      <c r="AA1098" s="16">
        <v>16</v>
      </c>
      <c r="AB1098" s="8">
        <f t="shared" si="608"/>
        <v>0.31578947368421051</v>
      </c>
      <c r="AC1098" s="16">
        <f t="shared" si="590"/>
        <v>57.153310182482628</v>
      </c>
      <c r="AD1098" s="20">
        <f>'PFAS Properties'!$W$50</f>
        <v>8</v>
      </c>
      <c r="AE1098" s="8">
        <f>'PFAS Properties'!$S$50</f>
        <v>1.1664301138432827</v>
      </c>
      <c r="AF1098" s="2">
        <f>'PFAS Properties'!$V$50</f>
        <v>5.3</v>
      </c>
      <c r="AG1098" s="24">
        <v>7.9</v>
      </c>
      <c r="AH1098" s="2" t="s">
        <v>661</v>
      </c>
      <c r="AI1098" s="16">
        <f>(8.44*2*55.845)/159.69</f>
        <v>5.9030847266578999</v>
      </c>
      <c r="AJ1098" s="16">
        <f t="shared" ref="AJ1098:AJ1102" si="613">AI1098*1000/55.845</f>
        <v>105.70480305592085</v>
      </c>
      <c r="AK1098" s="8">
        <f t="shared" si="609"/>
        <v>0.59030847266579001</v>
      </c>
      <c r="AL1098" s="16">
        <f>(2.19*2*26.98)/101.96</f>
        <v>1.1590074539034916</v>
      </c>
      <c r="AM1098" s="16">
        <f t="shared" si="610"/>
        <v>42.958022754021179</v>
      </c>
      <c r="AN1098" s="8">
        <f t="shared" si="611"/>
        <v>0.11590074539034916</v>
      </c>
      <c r="AO1098" s="2" t="s">
        <v>661</v>
      </c>
      <c r="AP1098" s="15">
        <v>33.299999999999997</v>
      </c>
      <c r="AQ1098" s="2" t="s">
        <v>661</v>
      </c>
      <c r="AR1098" s="16">
        <v>16</v>
      </c>
      <c r="AS1098" s="16">
        <v>50</v>
      </c>
      <c r="AT1098" s="16">
        <v>34</v>
      </c>
      <c r="AU1098" s="2" t="s">
        <v>661</v>
      </c>
      <c r="AV1098" s="16">
        <f t="shared" si="612"/>
        <v>100</v>
      </c>
      <c r="AW1098" s="20">
        <v>2.25</v>
      </c>
      <c r="AX1098" s="8">
        <f t="shared" si="592"/>
        <v>2.2499999999999999E-2</v>
      </c>
      <c r="AY1098" s="13" t="s">
        <v>395</v>
      </c>
      <c r="AZ1098" s="16">
        <f t="shared" ref="AZ1098:AZ1102" si="614">(0.4/0.02)</f>
        <v>20</v>
      </c>
      <c r="BA1098" s="16" t="s">
        <v>55</v>
      </c>
      <c r="BB1098" s="16">
        <v>10</v>
      </c>
      <c r="BC1098" s="16">
        <v>600</v>
      </c>
      <c r="BD1098" s="25">
        <f>(0.0057*1000*53.84)</f>
        <v>306.88800000000003</v>
      </c>
      <c r="BE1098" s="16">
        <f t="shared" si="593"/>
        <v>13639.466666666669</v>
      </c>
      <c r="BF1098" s="16">
        <f t="shared" si="594"/>
        <v>4.1347973887770495</v>
      </c>
      <c r="BG1098" s="8">
        <f t="shared" si="595"/>
        <v>2.4869799068884118</v>
      </c>
      <c r="BH1098" s="13" t="s">
        <v>870</v>
      </c>
      <c r="BI1098" s="13"/>
      <c r="BJ1098" s="13"/>
      <c r="BK1098" s="13"/>
      <c r="BL1098" s="13"/>
      <c r="BM1098" s="17"/>
      <c r="BN1098" s="17"/>
      <c r="BO1098" s="2"/>
    </row>
    <row r="1099" spans="1:67" s="14" customFormat="1" x14ac:dyDescent="0.3">
      <c r="A1099" s="20">
        <v>1097</v>
      </c>
      <c r="B1099" s="2" t="s">
        <v>719</v>
      </c>
      <c r="C1099" s="2">
        <v>2019</v>
      </c>
      <c r="D1099" s="2" t="s">
        <v>199</v>
      </c>
      <c r="E1099" s="10" t="s">
        <v>807</v>
      </c>
      <c r="F1099" s="20" t="s">
        <v>29</v>
      </c>
      <c r="G1099" s="2" t="s">
        <v>158</v>
      </c>
      <c r="H1099" s="2" t="str">
        <f>'PFAS Properties'!$B$50</f>
        <v>8:2 Cl-PFAES</v>
      </c>
      <c r="I1099" s="2" t="str">
        <f>'PFAS Properties'!$C$50</f>
        <v>PFAES</v>
      </c>
      <c r="J1099" s="2" t="str">
        <f>'PFAS Properties'!$D$50</f>
        <v>C8HClF16O4S</v>
      </c>
      <c r="K1099" s="25">
        <f>'PFAS Properties'!$P$50</f>
        <v>531.90269999999998</v>
      </c>
      <c r="L1099" s="2">
        <f>'PFAS Properties'!$X$50</f>
        <v>0.1</v>
      </c>
      <c r="M1099" s="2" t="str">
        <f>'PFAS Properties'!$Y$50</f>
        <v>-</v>
      </c>
      <c r="N1099" s="33">
        <v>0</v>
      </c>
      <c r="O1099" s="33">
        <v>0</v>
      </c>
      <c r="P1099" s="33">
        <v>0</v>
      </c>
      <c r="Q1099" s="33">
        <f t="shared" si="582"/>
        <v>0.99999998415106828</v>
      </c>
      <c r="R1099" s="33">
        <v>0</v>
      </c>
      <c r="S1099" s="33">
        <f t="shared" si="583"/>
        <v>1.5848931673422437E-8</v>
      </c>
      <c r="T1099" s="8">
        <f t="shared" si="603"/>
        <v>1</v>
      </c>
      <c r="U1099" s="33">
        <f t="shared" si="604"/>
        <v>0</v>
      </c>
      <c r="V1099" s="33">
        <f t="shared" si="605"/>
        <v>-0.99999998415106828</v>
      </c>
      <c r="W1099" s="33">
        <f t="shared" si="606"/>
        <v>530.90270001584895</v>
      </c>
      <c r="X1099" s="33">
        <v>96485</v>
      </c>
      <c r="Y1099" s="16">
        <f t="shared" si="607"/>
        <v>-181.73763001758226</v>
      </c>
      <c r="Z1099" s="16">
        <v>8</v>
      </c>
      <c r="AA1099" s="16">
        <v>16</v>
      </c>
      <c r="AB1099" s="8">
        <f t="shared" si="608"/>
        <v>0.31578947368421051</v>
      </c>
      <c r="AC1099" s="16">
        <f t="shared" si="590"/>
        <v>57.153310182482628</v>
      </c>
      <c r="AD1099" s="20">
        <f>'PFAS Properties'!$W$50</f>
        <v>8</v>
      </c>
      <c r="AE1099" s="8">
        <f>'PFAS Properties'!$S$50</f>
        <v>1.1664301138432827</v>
      </c>
      <c r="AF1099" s="2">
        <f>'PFAS Properties'!$V$50</f>
        <v>5.3</v>
      </c>
      <c r="AG1099" s="24">
        <v>7.9</v>
      </c>
      <c r="AH1099" s="2" t="s">
        <v>661</v>
      </c>
      <c r="AI1099" s="16">
        <f>(9.57*2*55.845)/159.69</f>
        <v>6.693426639113282</v>
      </c>
      <c r="AJ1099" s="16">
        <f t="shared" si="613"/>
        <v>119.85722337027993</v>
      </c>
      <c r="AK1099" s="8">
        <f t="shared" si="609"/>
        <v>0.66934266391132824</v>
      </c>
      <c r="AL1099" s="16">
        <f>(0.75*2*26.98)/101.96</f>
        <v>0.39692036092585331</v>
      </c>
      <c r="AM1099" s="16">
        <f t="shared" si="610"/>
        <v>14.711651628089447</v>
      </c>
      <c r="AN1099" s="8">
        <f t="shared" si="611"/>
        <v>3.9692036092585328E-2</v>
      </c>
      <c r="AO1099" s="2" t="s">
        <v>661</v>
      </c>
      <c r="AP1099" s="15">
        <v>5.58</v>
      </c>
      <c r="AQ1099" s="2" t="s">
        <v>661</v>
      </c>
      <c r="AR1099" s="16">
        <v>46</v>
      </c>
      <c r="AS1099" s="16">
        <v>48</v>
      </c>
      <c r="AT1099" s="16">
        <v>6</v>
      </c>
      <c r="AU1099" s="2" t="s">
        <v>661</v>
      </c>
      <c r="AV1099" s="16">
        <f t="shared" si="612"/>
        <v>100</v>
      </c>
      <c r="AW1099" s="20">
        <v>0.87</v>
      </c>
      <c r="AX1099" s="8">
        <f t="shared" si="592"/>
        <v>8.6999999999999994E-3</v>
      </c>
      <c r="AY1099" s="13" t="s">
        <v>395</v>
      </c>
      <c r="AZ1099" s="16">
        <f t="shared" si="614"/>
        <v>20</v>
      </c>
      <c r="BA1099" s="16" t="s">
        <v>55</v>
      </c>
      <c r="BB1099" s="16">
        <v>10</v>
      </c>
      <c r="BC1099" s="16">
        <v>600</v>
      </c>
      <c r="BD1099" s="25">
        <f>(0.0085*1000*35.1)</f>
        <v>298.35000000000002</v>
      </c>
      <c r="BE1099" s="16">
        <f t="shared" si="593"/>
        <v>34293.10344827587</v>
      </c>
      <c r="BF1099" s="16">
        <f t="shared" si="594"/>
        <v>4.5352067895614985</v>
      </c>
      <c r="BG1099" s="8">
        <f t="shared" si="595"/>
        <v>2.4747260421801167</v>
      </c>
      <c r="BH1099" s="13" t="s">
        <v>870</v>
      </c>
      <c r="BI1099" s="13"/>
      <c r="BJ1099" s="13"/>
      <c r="BK1099" s="13"/>
      <c r="BL1099" s="13"/>
      <c r="BM1099" s="17"/>
      <c r="BN1099" s="17"/>
      <c r="BO1099" s="2"/>
    </row>
    <row r="1100" spans="1:67" s="94" customFormat="1" x14ac:dyDescent="0.3">
      <c r="A1100" s="83">
        <v>1098</v>
      </c>
      <c r="B1100" s="84" t="s">
        <v>719</v>
      </c>
      <c r="C1100" s="84">
        <v>2019</v>
      </c>
      <c r="D1100" s="84" t="s">
        <v>199</v>
      </c>
      <c r="E1100" s="85" t="s">
        <v>807</v>
      </c>
      <c r="F1100" s="83" t="s">
        <v>29</v>
      </c>
      <c r="G1100" s="84" t="s">
        <v>133</v>
      </c>
      <c r="H1100" s="84" t="str">
        <f>'PFAS Properties'!$B$50</f>
        <v>8:2 Cl-PFAES</v>
      </c>
      <c r="I1100" s="84" t="str">
        <f>'PFAS Properties'!$C$50</f>
        <v>PFAES</v>
      </c>
      <c r="J1100" s="84" t="str">
        <f>'PFAS Properties'!$D$50</f>
        <v>C8HClF16O4S</v>
      </c>
      <c r="K1100" s="99">
        <f>'PFAS Properties'!$P$50</f>
        <v>531.90269999999998</v>
      </c>
      <c r="L1100" s="84">
        <f>'PFAS Properties'!$X$50</f>
        <v>0.1</v>
      </c>
      <c r="M1100" s="84" t="str">
        <f>'PFAS Properties'!$Y$50</f>
        <v>-</v>
      </c>
      <c r="N1100" s="87">
        <v>0</v>
      </c>
      <c r="O1100" s="87">
        <v>0</v>
      </c>
      <c r="P1100" s="87">
        <v>0</v>
      </c>
      <c r="Q1100" s="87">
        <f t="shared" si="582"/>
        <v>0.99998741090436938</v>
      </c>
      <c r="R1100" s="87">
        <v>0</v>
      </c>
      <c r="S1100" s="87">
        <f t="shared" si="583"/>
        <v>1.258909563061765E-5</v>
      </c>
      <c r="T1100" s="88">
        <f t="shared" si="603"/>
        <v>1</v>
      </c>
      <c r="U1100" s="87">
        <f t="shared" si="604"/>
        <v>0</v>
      </c>
      <c r="V1100" s="87">
        <f t="shared" si="605"/>
        <v>-0.99998741090436938</v>
      </c>
      <c r="W1100" s="87">
        <f t="shared" si="606"/>
        <v>530.90271258909559</v>
      </c>
      <c r="X1100" s="87">
        <v>96485</v>
      </c>
      <c r="Y1100" s="89">
        <f t="shared" si="607"/>
        <v>-181.73534068149306</v>
      </c>
      <c r="Z1100" s="89">
        <v>8</v>
      </c>
      <c r="AA1100" s="89">
        <v>16</v>
      </c>
      <c r="AB1100" s="88">
        <f t="shared" si="608"/>
        <v>0.31578947368421051</v>
      </c>
      <c r="AC1100" s="89">
        <f t="shared" si="590"/>
        <v>57.153310182482628</v>
      </c>
      <c r="AD1100" s="83">
        <f>'PFAS Properties'!$W$50</f>
        <v>8</v>
      </c>
      <c r="AE1100" s="88">
        <f>'PFAS Properties'!$S$50</f>
        <v>1.1664301138432827</v>
      </c>
      <c r="AF1100" s="84">
        <f>'PFAS Properties'!$V$50</f>
        <v>5.3</v>
      </c>
      <c r="AG1100" s="93">
        <v>5</v>
      </c>
      <c r="AH1100" s="84" t="s">
        <v>661</v>
      </c>
      <c r="AI1100" s="89">
        <f>(18.35*2*55.845)/159.69</f>
        <v>12.834313357129439</v>
      </c>
      <c r="AJ1100" s="89">
        <f t="shared" si="613"/>
        <v>229.82027678627341</v>
      </c>
      <c r="AK1100" s="88">
        <f t="shared" si="609"/>
        <v>1.2834313357129439</v>
      </c>
      <c r="AL1100" s="89">
        <f>(0.69*2*26.98)/101.96</f>
        <v>0.36516673205178501</v>
      </c>
      <c r="AM1100" s="89">
        <f t="shared" si="610"/>
        <v>13.534719497842291</v>
      </c>
      <c r="AN1100" s="88">
        <f t="shared" si="611"/>
        <v>3.6516673205178499E-2</v>
      </c>
      <c r="AO1100" s="84" t="s">
        <v>661</v>
      </c>
      <c r="AP1100" s="90">
        <v>16.899999999999999</v>
      </c>
      <c r="AQ1100" s="84" t="s">
        <v>661</v>
      </c>
      <c r="AR1100" s="89">
        <v>51</v>
      </c>
      <c r="AS1100" s="89">
        <v>29</v>
      </c>
      <c r="AT1100" s="89">
        <v>20</v>
      </c>
      <c r="AU1100" s="84" t="s">
        <v>661</v>
      </c>
      <c r="AV1100" s="89">
        <f t="shared" si="612"/>
        <v>100</v>
      </c>
      <c r="AW1100" s="83">
        <v>0.99</v>
      </c>
      <c r="AX1100" s="88">
        <f t="shared" si="592"/>
        <v>9.8999999999999991E-3</v>
      </c>
      <c r="AY1100" s="91" t="s">
        <v>395</v>
      </c>
      <c r="AZ1100" s="89">
        <f t="shared" si="614"/>
        <v>20</v>
      </c>
      <c r="BA1100" s="89" t="s">
        <v>55</v>
      </c>
      <c r="BB1100" s="89">
        <v>10</v>
      </c>
      <c r="BC1100" s="89">
        <v>600</v>
      </c>
      <c r="BD1100" s="99">
        <f>(0.03*1000*22.71)</f>
        <v>681.30000000000007</v>
      </c>
      <c r="BE1100" s="89">
        <f t="shared" si="593"/>
        <v>68818.181818181838</v>
      </c>
      <c r="BF1100" s="89">
        <f t="shared" si="594"/>
        <v>4.8377031943418478</v>
      </c>
      <c r="BG1100" s="88">
        <f t="shared" si="595"/>
        <v>2.8333383889393975</v>
      </c>
      <c r="BH1100" s="91" t="s">
        <v>870</v>
      </c>
      <c r="BI1100" s="91"/>
      <c r="BJ1100" s="91"/>
      <c r="BK1100" s="91"/>
      <c r="BL1100" s="91"/>
      <c r="BM1100" s="97"/>
      <c r="BN1100" s="97"/>
      <c r="BO1100" s="84"/>
    </row>
    <row r="1101" spans="1:67" s="14" customFormat="1" x14ac:dyDescent="0.3">
      <c r="A1101" s="20">
        <v>1099</v>
      </c>
      <c r="B1101" s="2" t="s">
        <v>719</v>
      </c>
      <c r="C1101" s="2">
        <v>2019</v>
      </c>
      <c r="D1101" s="2" t="s">
        <v>199</v>
      </c>
      <c r="E1101" s="10" t="s">
        <v>807</v>
      </c>
      <c r="F1101" s="20" t="s">
        <v>29</v>
      </c>
      <c r="G1101" s="2" t="s">
        <v>162</v>
      </c>
      <c r="H1101" s="2" t="str">
        <f>'PFAS Properties'!$B$50</f>
        <v>8:2 Cl-PFAES</v>
      </c>
      <c r="I1101" s="2" t="str">
        <f>'PFAS Properties'!$C$50</f>
        <v>PFAES</v>
      </c>
      <c r="J1101" s="2" t="str">
        <f>'PFAS Properties'!$D$50</f>
        <v>C8HClF16O4S</v>
      </c>
      <c r="K1101" s="25">
        <f>'PFAS Properties'!$P$50</f>
        <v>531.90269999999998</v>
      </c>
      <c r="L1101" s="2">
        <f>'PFAS Properties'!$X$50</f>
        <v>0.1</v>
      </c>
      <c r="M1101" s="2" t="str">
        <f>'PFAS Properties'!$Y$50</f>
        <v>-</v>
      </c>
      <c r="N1101" s="33">
        <v>0</v>
      </c>
      <c r="O1101" s="33">
        <v>0</v>
      </c>
      <c r="P1101" s="33">
        <v>0</v>
      </c>
      <c r="Q1101" s="33">
        <f t="shared" si="582"/>
        <v>0.99993690824637249</v>
      </c>
      <c r="R1101" s="33">
        <v>0</v>
      </c>
      <c r="S1101" s="33">
        <f t="shared" si="583"/>
        <v>6.3091753627486543E-5</v>
      </c>
      <c r="T1101" s="8">
        <f t="shared" si="603"/>
        <v>1</v>
      </c>
      <c r="U1101" s="33">
        <f t="shared" si="604"/>
        <v>0</v>
      </c>
      <c r="V1101" s="33">
        <f t="shared" si="605"/>
        <v>-0.99993690824637249</v>
      </c>
      <c r="W1101" s="33">
        <f t="shared" si="606"/>
        <v>530.90276309175363</v>
      </c>
      <c r="X1101" s="33">
        <v>96485</v>
      </c>
      <c r="Y1101" s="16">
        <f t="shared" si="607"/>
        <v>-181.72614516130747</v>
      </c>
      <c r="Z1101" s="16">
        <v>8</v>
      </c>
      <c r="AA1101" s="16">
        <v>16</v>
      </c>
      <c r="AB1101" s="8">
        <f t="shared" si="608"/>
        <v>0.31578947368421051</v>
      </c>
      <c r="AC1101" s="16">
        <f t="shared" si="590"/>
        <v>57.153310182482628</v>
      </c>
      <c r="AD1101" s="20">
        <f>'PFAS Properties'!$W$50</f>
        <v>8</v>
      </c>
      <c r="AE1101" s="8">
        <f>'PFAS Properties'!$S$50</f>
        <v>1.1664301138432827</v>
      </c>
      <c r="AF1101" s="2">
        <f>'PFAS Properties'!$V$50</f>
        <v>5.3</v>
      </c>
      <c r="AG1101" s="24">
        <v>4.3</v>
      </c>
      <c r="AH1101" s="2" t="s">
        <v>661</v>
      </c>
      <c r="AI1101" s="16">
        <f>(80.66*2*55.845)/159.69</f>
        <v>56.415025361638172</v>
      </c>
      <c r="AJ1101" s="16">
        <f t="shared" si="613"/>
        <v>1010.2072765984094</v>
      </c>
      <c r="AK1101" s="8">
        <f t="shared" si="609"/>
        <v>5.6415025361638174</v>
      </c>
      <c r="AL1101" s="16">
        <f>(17.75*2*26.98)/101.96</f>
        <v>9.3937818752451943</v>
      </c>
      <c r="AM1101" s="16">
        <f t="shared" si="610"/>
        <v>348.17575519811692</v>
      </c>
      <c r="AN1101" s="8">
        <f t="shared" si="611"/>
        <v>0.9393781875245194</v>
      </c>
      <c r="AO1101" s="2" t="s">
        <v>661</v>
      </c>
      <c r="AP1101" s="15">
        <v>10.7</v>
      </c>
      <c r="AQ1101" s="2" t="s">
        <v>661</v>
      </c>
      <c r="AR1101" s="2">
        <v>36</v>
      </c>
      <c r="AS1101" s="16">
        <v>33</v>
      </c>
      <c r="AT1101" s="16">
        <v>31</v>
      </c>
      <c r="AU1101" s="2" t="s">
        <v>661</v>
      </c>
      <c r="AV1101" s="16">
        <f t="shared" si="612"/>
        <v>100</v>
      </c>
      <c r="AW1101" s="20">
        <v>2.71</v>
      </c>
      <c r="AX1101" s="8">
        <f t="shared" si="592"/>
        <v>2.7099999999999999E-2</v>
      </c>
      <c r="AY1101" s="13" t="s">
        <v>395</v>
      </c>
      <c r="AZ1101" s="16">
        <f t="shared" si="614"/>
        <v>20</v>
      </c>
      <c r="BA1101" s="16" t="s">
        <v>55</v>
      </c>
      <c r="BB1101" s="16">
        <v>10</v>
      </c>
      <c r="BC1101" s="16">
        <v>600</v>
      </c>
      <c r="BD1101" s="25">
        <f>(0.0023*1000*92.36)</f>
        <v>212.42799999999997</v>
      </c>
      <c r="BE1101" s="16">
        <f t="shared" si="593"/>
        <v>7838.6715867158664</v>
      </c>
      <c r="BF1101" s="16">
        <f t="shared" si="594"/>
        <v>3.8942424693883257</v>
      </c>
      <c r="BG1101" s="8">
        <f t="shared" si="595"/>
        <v>2.3272117602627316</v>
      </c>
      <c r="BH1101" s="13" t="s">
        <v>870</v>
      </c>
      <c r="BI1101" s="13"/>
      <c r="BJ1101" s="13"/>
      <c r="BK1101" s="13"/>
      <c r="BL1101" s="13"/>
      <c r="BM1101" s="17"/>
      <c r="BN1101" s="17"/>
      <c r="BO1101" s="2"/>
    </row>
    <row r="1102" spans="1:67" s="14" customFormat="1" x14ac:dyDescent="0.3">
      <c r="A1102" s="20">
        <v>1100</v>
      </c>
      <c r="B1102" s="2" t="s">
        <v>719</v>
      </c>
      <c r="C1102" s="2">
        <v>2019</v>
      </c>
      <c r="D1102" s="2" t="s">
        <v>199</v>
      </c>
      <c r="E1102" s="10" t="s">
        <v>807</v>
      </c>
      <c r="F1102" s="20" t="s">
        <v>29</v>
      </c>
      <c r="G1102" s="2" t="s">
        <v>160</v>
      </c>
      <c r="H1102" s="2" t="str">
        <f>'PFAS Properties'!$B$50</f>
        <v>8:2 Cl-PFAES</v>
      </c>
      <c r="I1102" s="2" t="str">
        <f>'PFAS Properties'!$C$50</f>
        <v>PFAES</v>
      </c>
      <c r="J1102" s="2" t="str">
        <f>'PFAS Properties'!$D$50</f>
        <v>C8HClF16O4S</v>
      </c>
      <c r="K1102" s="25">
        <f>'PFAS Properties'!$P$50</f>
        <v>531.90269999999998</v>
      </c>
      <c r="L1102" s="2">
        <f>'PFAS Properties'!$X$50</f>
        <v>0.1</v>
      </c>
      <c r="M1102" s="2" t="str">
        <f>'PFAS Properties'!$Y$50</f>
        <v>-</v>
      </c>
      <c r="N1102" s="33">
        <v>0</v>
      </c>
      <c r="O1102" s="33">
        <v>0</v>
      </c>
      <c r="P1102" s="33">
        <v>0</v>
      </c>
      <c r="Q1102" s="33">
        <f t="shared" si="582"/>
        <v>0.99998004777494953</v>
      </c>
      <c r="R1102" s="33">
        <v>0</v>
      </c>
      <c r="S1102" s="33">
        <f t="shared" si="583"/>
        <v>1.9952225050461341E-5</v>
      </c>
      <c r="T1102" s="8">
        <f t="shared" si="603"/>
        <v>1</v>
      </c>
      <c r="U1102" s="33">
        <f t="shared" si="604"/>
        <v>0</v>
      </c>
      <c r="V1102" s="33">
        <f t="shared" si="605"/>
        <v>-0.99998004777494953</v>
      </c>
      <c r="W1102" s="33">
        <f t="shared" si="606"/>
        <v>530.90271995222508</v>
      </c>
      <c r="X1102" s="33">
        <v>96485</v>
      </c>
      <c r="Y1102" s="16">
        <f t="shared" si="607"/>
        <v>-181.73400000333081</v>
      </c>
      <c r="Z1102" s="16">
        <v>8</v>
      </c>
      <c r="AA1102" s="16">
        <v>16</v>
      </c>
      <c r="AB1102" s="8">
        <f t="shared" si="608"/>
        <v>0.31578947368421051</v>
      </c>
      <c r="AC1102" s="16">
        <f t="shared" si="590"/>
        <v>57.153310182482628</v>
      </c>
      <c r="AD1102" s="20">
        <f>'PFAS Properties'!$W$50</f>
        <v>8</v>
      </c>
      <c r="AE1102" s="8">
        <f>'PFAS Properties'!$S$50</f>
        <v>1.1664301138432827</v>
      </c>
      <c r="AF1102" s="2">
        <f>'PFAS Properties'!$V$50</f>
        <v>5.3</v>
      </c>
      <c r="AG1102" s="24">
        <v>4.8</v>
      </c>
      <c r="AH1102" s="2" t="s">
        <v>661</v>
      </c>
      <c r="AI1102" s="16">
        <f>(62.6*2*55.845)/159.69</f>
        <v>43.783543114784898</v>
      </c>
      <c r="AJ1102" s="16">
        <f t="shared" si="613"/>
        <v>784.01903688396283</v>
      </c>
      <c r="AK1102" s="8">
        <f t="shared" si="609"/>
        <v>4.37835431147849</v>
      </c>
      <c r="AL1102" s="16">
        <f>(3.78*2*26.98)/101.96</f>
        <v>2.0004786190663006</v>
      </c>
      <c r="AM1102" s="16">
        <f t="shared" si="610"/>
        <v>74.146724205570806</v>
      </c>
      <c r="AN1102" s="8">
        <f t="shared" si="611"/>
        <v>0.20004786190663007</v>
      </c>
      <c r="AO1102" s="2" t="s">
        <v>661</v>
      </c>
      <c r="AP1102" s="15">
        <v>7.63</v>
      </c>
      <c r="AQ1102" s="2" t="s">
        <v>661</v>
      </c>
      <c r="AR1102" s="16">
        <v>47</v>
      </c>
      <c r="AS1102" s="16">
        <v>16</v>
      </c>
      <c r="AT1102" s="16">
        <v>37</v>
      </c>
      <c r="AU1102" s="2" t="s">
        <v>661</v>
      </c>
      <c r="AV1102" s="16">
        <f t="shared" si="612"/>
        <v>100</v>
      </c>
      <c r="AW1102" s="20">
        <v>1.46</v>
      </c>
      <c r="AX1102" s="8">
        <f t="shared" si="592"/>
        <v>1.46E-2</v>
      </c>
      <c r="AY1102" s="13" t="s">
        <v>395</v>
      </c>
      <c r="AZ1102" s="16">
        <f t="shared" si="614"/>
        <v>20</v>
      </c>
      <c r="BA1102" s="16" t="s">
        <v>55</v>
      </c>
      <c r="BB1102" s="16">
        <v>10</v>
      </c>
      <c r="BC1102" s="16">
        <v>600</v>
      </c>
      <c r="BD1102" s="25">
        <f>(0.0034*1000*63.27)</f>
        <v>215.11799999999999</v>
      </c>
      <c r="BE1102" s="16">
        <f t="shared" si="593"/>
        <v>14734.109589041096</v>
      </c>
      <c r="BF1102" s="16">
        <f t="shared" si="594"/>
        <v>4.1683238957169673</v>
      </c>
      <c r="BG1102" s="8">
        <f t="shared" si="595"/>
        <v>2.332676751501404</v>
      </c>
      <c r="BH1102" s="13" t="s">
        <v>870</v>
      </c>
      <c r="BI1102" s="13"/>
      <c r="BJ1102" s="13"/>
      <c r="BK1102" s="13"/>
      <c r="BL1102" s="13"/>
      <c r="BM1102" s="17"/>
      <c r="BN1102" s="17"/>
      <c r="BO1102" s="2"/>
    </row>
    <row r="1103" spans="1:67" s="14" customFormat="1" x14ac:dyDescent="0.3">
      <c r="A1103" s="20">
        <v>1101</v>
      </c>
      <c r="B1103" s="2" t="s">
        <v>181</v>
      </c>
      <c r="C1103" s="2">
        <v>2020</v>
      </c>
      <c r="D1103" s="2" t="s">
        <v>203</v>
      </c>
      <c r="E1103" s="10" t="s">
        <v>787</v>
      </c>
      <c r="F1103" s="20" t="s">
        <v>29</v>
      </c>
      <c r="G1103" s="2" t="s">
        <v>57</v>
      </c>
      <c r="H1103" s="2" t="str">
        <f>'PFAS Properties'!$B$50</f>
        <v>8:2 Cl-PFAES</v>
      </c>
      <c r="I1103" s="2" t="str">
        <f>'PFAS Properties'!$C$50</f>
        <v>PFAES</v>
      </c>
      <c r="J1103" s="2" t="str">
        <f>'PFAS Properties'!$D$50</f>
        <v>C8HClF16O4S</v>
      </c>
      <c r="K1103" s="25">
        <f>'PFAS Properties'!$P$50</f>
        <v>531.90269999999998</v>
      </c>
      <c r="L1103" s="2">
        <f>'PFAS Properties'!$X$50</f>
        <v>0.1</v>
      </c>
      <c r="M1103" s="2" t="str">
        <f>'PFAS Properties'!$Y$50</f>
        <v>-</v>
      </c>
      <c r="N1103" s="33">
        <v>0</v>
      </c>
      <c r="O1103" s="33">
        <v>0</v>
      </c>
      <c r="P1103" s="33">
        <v>0</v>
      </c>
      <c r="Q1103" s="33">
        <f t="shared" ref="Q1103:Q1111" si="615">(10^(AG1103-L1103))/(1+(10^(AG1103-L1103)))</f>
        <v>0.99999980047380832</v>
      </c>
      <c r="R1103" s="33">
        <v>0</v>
      </c>
      <c r="S1103" s="33">
        <f t="shared" ref="S1103:S1111" si="616">(1/(1+(10^(AG1103-L1103))))</f>
        <v>1.9952619168617852E-7</v>
      </c>
      <c r="T1103" s="8">
        <f t="shared" ref="T1103:T1111" si="617">SUM(N1103:S1103)</f>
        <v>1</v>
      </c>
      <c r="U1103" s="33">
        <f t="shared" ref="U1103:U1111" si="618">((1*N1103)+(1*O1103)+(1*P1103))</f>
        <v>0</v>
      </c>
      <c r="V1103" s="33">
        <f t="shared" ref="V1103:V1111" si="619">-((1*O1103)+(2*P1103)+(1*Q1103)+(2*R1103))</f>
        <v>-0.99999980047380832</v>
      </c>
      <c r="W1103" s="33">
        <f t="shared" ref="W1103:W1111" si="620">(N1103*(K1103+1))+(O1103*K1103)+(P1103*(K1103-1))+(Q1103*(K1103-1))+(R1103*(K1103-2))+(S1103*K1103)</f>
        <v>530.90270019952618</v>
      </c>
      <c r="X1103" s="33">
        <v>96485</v>
      </c>
      <c r="Y1103" s="16">
        <f t="shared" ref="Y1103:Y1111" si="621">((V1103+U1103)/W1103)*X1103</f>
        <v>-181.73759657363578</v>
      </c>
      <c r="Z1103" s="16">
        <v>8</v>
      </c>
      <c r="AA1103" s="16">
        <v>16</v>
      </c>
      <c r="AB1103" s="8">
        <f t="shared" ref="AB1103:AB1111" si="622">(Z1103/AA1103)*(12/19)</f>
        <v>0.31578947368421051</v>
      </c>
      <c r="AC1103" s="16">
        <f t="shared" si="590"/>
        <v>57.153310182482628</v>
      </c>
      <c r="AD1103" s="20">
        <f>'PFAS Properties'!$W$50</f>
        <v>8</v>
      </c>
      <c r="AE1103" s="8">
        <f>'PFAS Properties'!$S$50</f>
        <v>1.1664301138432827</v>
      </c>
      <c r="AF1103" s="2">
        <f>'PFAS Properties'!$V$50</f>
        <v>5.3</v>
      </c>
      <c r="AG1103" s="24">
        <v>6.8</v>
      </c>
      <c r="AH1103" s="2" t="s">
        <v>183</v>
      </c>
      <c r="AI1103" s="2" t="s">
        <v>661</v>
      </c>
      <c r="AJ1103" s="2" t="s">
        <v>661</v>
      </c>
      <c r="AK1103" s="2" t="s">
        <v>661</v>
      </c>
      <c r="AL1103" s="2" t="s">
        <v>661</v>
      </c>
      <c r="AM1103" s="2" t="s">
        <v>661</v>
      </c>
      <c r="AN1103" s="2" t="s">
        <v>661</v>
      </c>
      <c r="AO1103" s="2" t="s">
        <v>661</v>
      </c>
      <c r="AP1103" s="15">
        <v>7.1</v>
      </c>
      <c r="AQ1103" s="2" t="s">
        <v>661</v>
      </c>
      <c r="AR1103" s="16">
        <v>48.9</v>
      </c>
      <c r="AS1103" s="16">
        <v>27</v>
      </c>
      <c r="AT1103" s="16">
        <v>24.2</v>
      </c>
      <c r="AU1103" s="2" t="s">
        <v>661</v>
      </c>
      <c r="AV1103" s="16">
        <f t="shared" ref="AV1103:AV1111" si="623">SUM(AR1103:AT1103)</f>
        <v>100.10000000000001</v>
      </c>
      <c r="AW1103" s="20">
        <v>0.37</v>
      </c>
      <c r="AX1103" s="8">
        <f t="shared" si="592"/>
        <v>3.7000000000000002E-3</v>
      </c>
      <c r="AY1103" s="13" t="s">
        <v>184</v>
      </c>
      <c r="AZ1103" s="16">
        <v>100</v>
      </c>
      <c r="BA1103" s="16" t="s">
        <v>55</v>
      </c>
      <c r="BB1103" s="16">
        <v>5</v>
      </c>
      <c r="BC1103" s="16" t="s">
        <v>55</v>
      </c>
      <c r="BD1103" s="20">
        <v>147.41</v>
      </c>
      <c r="BE1103" s="16">
        <f t="shared" si="593"/>
        <v>39840.54054054054</v>
      </c>
      <c r="BF1103" s="16">
        <f t="shared" si="594"/>
        <v>4.6003252221256936</v>
      </c>
      <c r="BG1103" s="8">
        <f t="shared" si="595"/>
        <v>2.168526946192689</v>
      </c>
      <c r="BH1103" s="13" t="s">
        <v>345</v>
      </c>
      <c r="BI1103" s="13"/>
      <c r="BJ1103" s="13"/>
      <c r="BK1103" s="13"/>
      <c r="BL1103" s="13"/>
      <c r="BM1103" s="17"/>
      <c r="BN1103" s="17"/>
      <c r="BO1103" s="2"/>
    </row>
    <row r="1104" spans="1:67" s="14" customFormat="1" x14ac:dyDescent="0.3">
      <c r="A1104" s="20">
        <v>1102</v>
      </c>
      <c r="B1104" s="2" t="s">
        <v>181</v>
      </c>
      <c r="C1104" s="2">
        <v>2020</v>
      </c>
      <c r="D1104" s="2" t="s">
        <v>203</v>
      </c>
      <c r="E1104" s="10" t="s">
        <v>787</v>
      </c>
      <c r="F1104" s="20" t="s">
        <v>29</v>
      </c>
      <c r="G1104" s="2" t="s">
        <v>58</v>
      </c>
      <c r="H1104" s="2" t="str">
        <f>'PFAS Properties'!$B$50</f>
        <v>8:2 Cl-PFAES</v>
      </c>
      <c r="I1104" s="2" t="str">
        <f>'PFAS Properties'!$C$50</f>
        <v>PFAES</v>
      </c>
      <c r="J1104" s="2" t="str">
        <f>'PFAS Properties'!$D$50</f>
        <v>C8HClF16O4S</v>
      </c>
      <c r="K1104" s="25">
        <f>'PFAS Properties'!$P$50</f>
        <v>531.90269999999998</v>
      </c>
      <c r="L1104" s="2">
        <f>'PFAS Properties'!$X$50</f>
        <v>0.1</v>
      </c>
      <c r="M1104" s="2" t="str">
        <f>'PFAS Properties'!$Y$50</f>
        <v>-</v>
      </c>
      <c r="N1104" s="33">
        <v>0</v>
      </c>
      <c r="O1104" s="33">
        <v>0</v>
      </c>
      <c r="P1104" s="33">
        <v>0</v>
      </c>
      <c r="Q1104" s="33">
        <f t="shared" si="615"/>
        <v>0.9999992056723962</v>
      </c>
      <c r="R1104" s="33">
        <v>0</v>
      </c>
      <c r="S1104" s="33">
        <f t="shared" si="616"/>
        <v>7.9432760376743655E-7</v>
      </c>
      <c r="T1104" s="8">
        <f t="shared" si="617"/>
        <v>1</v>
      </c>
      <c r="U1104" s="33">
        <f t="shared" si="618"/>
        <v>0</v>
      </c>
      <c r="V1104" s="33">
        <f t="shared" si="619"/>
        <v>-0.9999992056723962</v>
      </c>
      <c r="W1104" s="33">
        <f t="shared" si="620"/>
        <v>530.90270079432753</v>
      </c>
      <c r="X1104" s="33">
        <v>96485</v>
      </c>
      <c r="Y1104" s="16">
        <f t="shared" si="621"/>
        <v>-181.737488272224</v>
      </c>
      <c r="Z1104" s="16">
        <v>8</v>
      </c>
      <c r="AA1104" s="16">
        <v>16</v>
      </c>
      <c r="AB1104" s="8">
        <f t="shared" si="622"/>
        <v>0.31578947368421051</v>
      </c>
      <c r="AC1104" s="16">
        <f t="shared" si="590"/>
        <v>57.153310182482628</v>
      </c>
      <c r="AD1104" s="20">
        <f>'PFAS Properties'!$W$50</f>
        <v>8</v>
      </c>
      <c r="AE1104" s="8">
        <f>'PFAS Properties'!$S$50</f>
        <v>1.1664301138432827</v>
      </c>
      <c r="AF1104" s="2">
        <f>'PFAS Properties'!$V$50</f>
        <v>5.3</v>
      </c>
      <c r="AG1104" s="24">
        <v>6.2</v>
      </c>
      <c r="AH1104" s="2" t="s">
        <v>183</v>
      </c>
      <c r="AI1104" s="2" t="s">
        <v>661</v>
      </c>
      <c r="AJ1104" s="2" t="s">
        <v>661</v>
      </c>
      <c r="AK1104" s="2" t="s">
        <v>661</v>
      </c>
      <c r="AL1104" s="2" t="s">
        <v>661</v>
      </c>
      <c r="AM1104" s="2" t="s">
        <v>661</v>
      </c>
      <c r="AN1104" s="2" t="s">
        <v>661</v>
      </c>
      <c r="AO1104" s="2" t="s">
        <v>661</v>
      </c>
      <c r="AP1104" s="15">
        <v>8</v>
      </c>
      <c r="AQ1104" s="2" t="s">
        <v>661</v>
      </c>
      <c r="AR1104" s="16">
        <v>51.44</v>
      </c>
      <c r="AS1104" s="16">
        <v>10.17</v>
      </c>
      <c r="AT1104" s="16">
        <v>38.380000000000003</v>
      </c>
      <c r="AU1104" s="2" t="s">
        <v>661</v>
      </c>
      <c r="AV1104" s="16">
        <f t="shared" si="623"/>
        <v>99.990000000000009</v>
      </c>
      <c r="AW1104" s="20">
        <v>0.08</v>
      </c>
      <c r="AX1104" s="8">
        <f t="shared" si="592"/>
        <v>8.0000000000000004E-4</v>
      </c>
      <c r="AY1104" s="8" t="s">
        <v>184</v>
      </c>
      <c r="AZ1104" s="16">
        <v>100</v>
      </c>
      <c r="BA1104" s="16" t="s">
        <v>55</v>
      </c>
      <c r="BB1104" s="16">
        <v>5</v>
      </c>
      <c r="BC1104" s="16" t="s">
        <v>55</v>
      </c>
      <c r="BD1104" s="20">
        <v>85.56</v>
      </c>
      <c r="BE1104" s="16">
        <f t="shared" si="593"/>
        <v>106950</v>
      </c>
      <c r="BF1104" s="16">
        <f t="shared" si="594"/>
        <v>5.0291807889075466</v>
      </c>
      <c r="BG1104" s="8">
        <f t="shared" si="595"/>
        <v>1.9322707758994904</v>
      </c>
      <c r="BH1104" s="13" t="s">
        <v>345</v>
      </c>
      <c r="BI1104" s="13"/>
      <c r="BJ1104" s="13"/>
      <c r="BK1104" s="13"/>
      <c r="BL1104" s="13"/>
      <c r="BM1104" s="17"/>
      <c r="BN1104" s="17"/>
      <c r="BO1104" s="2"/>
    </row>
    <row r="1105" spans="1:67" s="14" customFormat="1" x14ac:dyDescent="0.3">
      <c r="A1105" s="20">
        <v>1103</v>
      </c>
      <c r="B1105" s="2" t="s">
        <v>181</v>
      </c>
      <c r="C1105" s="2">
        <v>2020</v>
      </c>
      <c r="D1105" s="2" t="s">
        <v>203</v>
      </c>
      <c r="E1105" s="10" t="s">
        <v>787</v>
      </c>
      <c r="F1105" s="20" t="s">
        <v>29</v>
      </c>
      <c r="G1105" s="2" t="s">
        <v>59</v>
      </c>
      <c r="H1105" s="2" t="str">
        <f>'PFAS Properties'!$B$50</f>
        <v>8:2 Cl-PFAES</v>
      </c>
      <c r="I1105" s="2" t="str">
        <f>'PFAS Properties'!$C$50</f>
        <v>PFAES</v>
      </c>
      <c r="J1105" s="2" t="str">
        <f>'PFAS Properties'!$D$50</f>
        <v>C8HClF16O4S</v>
      </c>
      <c r="K1105" s="25">
        <f>'PFAS Properties'!$P$50</f>
        <v>531.90269999999998</v>
      </c>
      <c r="L1105" s="2">
        <f>'PFAS Properties'!$X$50</f>
        <v>0.1</v>
      </c>
      <c r="M1105" s="2" t="str">
        <f>'PFAS Properties'!$Y$50</f>
        <v>-</v>
      </c>
      <c r="N1105" s="33">
        <v>0</v>
      </c>
      <c r="O1105" s="33">
        <v>0</v>
      </c>
      <c r="P1105" s="33">
        <v>0</v>
      </c>
      <c r="Q1105" s="33">
        <f t="shared" si="615"/>
        <v>0.99999997488113634</v>
      </c>
      <c r="R1105" s="33">
        <v>0</v>
      </c>
      <c r="S1105" s="33">
        <f t="shared" si="616"/>
        <v>2.5118863684138424E-8</v>
      </c>
      <c r="T1105" s="8">
        <f t="shared" si="617"/>
        <v>1</v>
      </c>
      <c r="U1105" s="33">
        <f t="shared" si="618"/>
        <v>0</v>
      </c>
      <c r="V1105" s="33">
        <f t="shared" si="619"/>
        <v>-0.99999997488113634</v>
      </c>
      <c r="W1105" s="33">
        <f t="shared" si="620"/>
        <v>530.90270002511886</v>
      </c>
      <c r="X1105" s="33">
        <v>96485</v>
      </c>
      <c r="Y1105" s="16">
        <f t="shared" si="621"/>
        <v>-181.73762832971352</v>
      </c>
      <c r="Z1105" s="16">
        <v>8</v>
      </c>
      <c r="AA1105" s="16">
        <v>16</v>
      </c>
      <c r="AB1105" s="8">
        <f t="shared" si="622"/>
        <v>0.31578947368421051</v>
      </c>
      <c r="AC1105" s="16">
        <f t="shared" si="590"/>
        <v>57.153310182482628</v>
      </c>
      <c r="AD1105" s="20">
        <f>'PFAS Properties'!$W$50</f>
        <v>8</v>
      </c>
      <c r="AE1105" s="8">
        <f>'PFAS Properties'!$S$50</f>
        <v>1.1664301138432827</v>
      </c>
      <c r="AF1105" s="2">
        <f>'PFAS Properties'!$V$50</f>
        <v>5.3</v>
      </c>
      <c r="AG1105" s="24">
        <v>7.7</v>
      </c>
      <c r="AH1105" s="2" t="s">
        <v>183</v>
      </c>
      <c r="AI1105" s="2" t="s">
        <v>661</v>
      </c>
      <c r="AJ1105" s="2" t="s">
        <v>661</v>
      </c>
      <c r="AK1105" s="2" t="s">
        <v>661</v>
      </c>
      <c r="AL1105" s="2" t="s">
        <v>661</v>
      </c>
      <c r="AM1105" s="2" t="s">
        <v>661</v>
      </c>
      <c r="AN1105" s="2" t="s">
        <v>661</v>
      </c>
      <c r="AO1105" s="2" t="s">
        <v>661</v>
      </c>
      <c r="AP1105" s="15">
        <v>4.8</v>
      </c>
      <c r="AQ1105" s="2" t="s">
        <v>661</v>
      </c>
      <c r="AR1105" s="16">
        <v>46</v>
      </c>
      <c r="AS1105" s="16">
        <v>37</v>
      </c>
      <c r="AT1105" s="16">
        <v>17</v>
      </c>
      <c r="AU1105" s="2" t="s">
        <v>661</v>
      </c>
      <c r="AV1105" s="16">
        <f t="shared" si="623"/>
        <v>100</v>
      </c>
      <c r="AW1105" s="20">
        <v>0.25</v>
      </c>
      <c r="AX1105" s="8">
        <f t="shared" si="592"/>
        <v>2.5000000000000001E-3</v>
      </c>
      <c r="AY1105" s="13" t="s">
        <v>184</v>
      </c>
      <c r="AZ1105" s="16">
        <v>100</v>
      </c>
      <c r="BA1105" s="16" t="s">
        <v>55</v>
      </c>
      <c r="BB1105" s="16">
        <v>5</v>
      </c>
      <c r="BC1105" s="16" t="s">
        <v>55</v>
      </c>
      <c r="BD1105" s="18">
        <v>39.659999999999997</v>
      </c>
      <c r="BE1105" s="16">
        <f t="shared" si="593"/>
        <v>15863.999999999998</v>
      </c>
      <c r="BF1105" s="16">
        <f t="shared" si="594"/>
        <v>4.2004127011972461</v>
      </c>
      <c r="BG1105" s="8">
        <f t="shared" si="595"/>
        <v>1.5983527098692838</v>
      </c>
      <c r="BH1105" s="13" t="s">
        <v>345</v>
      </c>
      <c r="BI1105" s="13"/>
      <c r="BJ1105" s="13"/>
      <c r="BK1105" s="13"/>
      <c r="BL1105" s="13"/>
      <c r="BM1105" s="17"/>
      <c r="BN1105" s="17"/>
      <c r="BO1105" s="2"/>
    </row>
    <row r="1106" spans="1:67" s="14" customFormat="1" x14ac:dyDescent="0.3">
      <c r="A1106" s="20">
        <v>1104</v>
      </c>
      <c r="B1106" s="2" t="s">
        <v>181</v>
      </c>
      <c r="C1106" s="2">
        <v>2020</v>
      </c>
      <c r="D1106" s="2" t="s">
        <v>203</v>
      </c>
      <c r="E1106" s="10" t="s">
        <v>787</v>
      </c>
      <c r="F1106" s="20" t="s">
        <v>29</v>
      </c>
      <c r="G1106" s="2" t="s">
        <v>61</v>
      </c>
      <c r="H1106" s="2" t="str">
        <f>'PFAS Properties'!$B$50</f>
        <v>8:2 Cl-PFAES</v>
      </c>
      <c r="I1106" s="2" t="str">
        <f>'PFAS Properties'!$C$50</f>
        <v>PFAES</v>
      </c>
      <c r="J1106" s="2" t="str">
        <f>'PFAS Properties'!$D$50</f>
        <v>C8HClF16O4S</v>
      </c>
      <c r="K1106" s="25">
        <f>'PFAS Properties'!$P$50</f>
        <v>531.90269999999998</v>
      </c>
      <c r="L1106" s="2">
        <f>'PFAS Properties'!$X$50</f>
        <v>0.1</v>
      </c>
      <c r="M1106" s="2" t="str">
        <f>'PFAS Properties'!$Y$50</f>
        <v>-</v>
      </c>
      <c r="N1106" s="33">
        <v>0</v>
      </c>
      <c r="O1106" s="33">
        <v>0</v>
      </c>
      <c r="P1106" s="33">
        <v>0</v>
      </c>
      <c r="Q1106" s="33">
        <f t="shared" si="615"/>
        <v>0.99999994988127916</v>
      </c>
      <c r="R1106" s="33">
        <v>0</v>
      </c>
      <c r="S1106" s="33">
        <f t="shared" si="616"/>
        <v>5.0118720850840682E-8</v>
      </c>
      <c r="T1106" s="8">
        <f t="shared" si="617"/>
        <v>1</v>
      </c>
      <c r="U1106" s="33">
        <f t="shared" si="618"/>
        <v>0</v>
      </c>
      <c r="V1106" s="33">
        <f t="shared" si="619"/>
        <v>-0.99999994988127916</v>
      </c>
      <c r="W1106" s="33">
        <f t="shared" si="620"/>
        <v>530.90270005011871</v>
      </c>
      <c r="X1106" s="33">
        <v>96485</v>
      </c>
      <c r="Y1106" s="16">
        <f t="shared" si="621"/>
        <v>-181.73762377774077</v>
      </c>
      <c r="Z1106" s="16">
        <v>8</v>
      </c>
      <c r="AA1106" s="16">
        <v>16</v>
      </c>
      <c r="AB1106" s="8">
        <f t="shared" si="622"/>
        <v>0.31578947368421051</v>
      </c>
      <c r="AC1106" s="16">
        <f t="shared" si="590"/>
        <v>57.153310182482628</v>
      </c>
      <c r="AD1106" s="20">
        <f>'PFAS Properties'!$W$50</f>
        <v>8</v>
      </c>
      <c r="AE1106" s="8">
        <f>'PFAS Properties'!$S$50</f>
        <v>1.1664301138432827</v>
      </c>
      <c r="AF1106" s="2">
        <f>'PFAS Properties'!$V$50</f>
        <v>5.3</v>
      </c>
      <c r="AG1106" s="24">
        <v>7.4</v>
      </c>
      <c r="AH1106" s="2" t="s">
        <v>183</v>
      </c>
      <c r="AI1106" s="2" t="s">
        <v>661</v>
      </c>
      <c r="AJ1106" s="2" t="s">
        <v>661</v>
      </c>
      <c r="AK1106" s="2" t="s">
        <v>661</v>
      </c>
      <c r="AL1106" s="2" t="s">
        <v>661</v>
      </c>
      <c r="AM1106" s="2" t="s">
        <v>661</v>
      </c>
      <c r="AN1106" s="2" t="s">
        <v>661</v>
      </c>
      <c r="AO1106" s="2" t="s">
        <v>661</v>
      </c>
      <c r="AP1106" s="15">
        <v>29.6</v>
      </c>
      <c r="AQ1106" s="2" t="s">
        <v>661</v>
      </c>
      <c r="AR1106" s="16">
        <v>39.799999999999997</v>
      </c>
      <c r="AS1106" s="16">
        <v>7.7</v>
      </c>
      <c r="AT1106" s="16">
        <v>52.5</v>
      </c>
      <c r="AU1106" s="2" t="s">
        <v>661</v>
      </c>
      <c r="AV1106" s="16">
        <f t="shared" si="623"/>
        <v>100</v>
      </c>
      <c r="AW1106" s="20">
        <v>2.23</v>
      </c>
      <c r="AX1106" s="8">
        <f t="shared" si="592"/>
        <v>2.23E-2</v>
      </c>
      <c r="AY1106" s="8" t="s">
        <v>184</v>
      </c>
      <c r="AZ1106" s="16">
        <v>100</v>
      </c>
      <c r="BA1106" s="16" t="s">
        <v>55</v>
      </c>
      <c r="BB1106" s="16">
        <v>5</v>
      </c>
      <c r="BC1106" s="16" t="s">
        <v>55</v>
      </c>
      <c r="BD1106" s="20">
        <v>117.1</v>
      </c>
      <c r="BE1106" s="16">
        <f t="shared" si="593"/>
        <v>5251.1210762331839</v>
      </c>
      <c r="BF1106" s="16">
        <f t="shared" si="594"/>
        <v>3.7202520320242023</v>
      </c>
      <c r="BG1106" s="8">
        <f t="shared" si="595"/>
        <v>2.068556895072363</v>
      </c>
      <c r="BH1106" s="13" t="s">
        <v>345</v>
      </c>
      <c r="BI1106" s="13"/>
      <c r="BJ1106" s="13"/>
      <c r="BK1106" s="13"/>
      <c r="BL1106" s="13"/>
      <c r="BM1106" s="17"/>
      <c r="BN1106" s="17"/>
      <c r="BO1106" s="2"/>
    </row>
    <row r="1107" spans="1:67" s="14" customFormat="1" x14ac:dyDescent="0.3">
      <c r="A1107" s="20">
        <v>1105</v>
      </c>
      <c r="B1107" s="2" t="s">
        <v>181</v>
      </c>
      <c r="C1107" s="2">
        <v>2020</v>
      </c>
      <c r="D1107" s="2" t="s">
        <v>203</v>
      </c>
      <c r="E1107" s="10" t="s">
        <v>787</v>
      </c>
      <c r="F1107" s="20" t="s">
        <v>29</v>
      </c>
      <c r="G1107" s="2" t="s">
        <v>60</v>
      </c>
      <c r="H1107" s="2" t="str">
        <f>'PFAS Properties'!$B$50</f>
        <v>8:2 Cl-PFAES</v>
      </c>
      <c r="I1107" s="2" t="str">
        <f>'PFAS Properties'!$C$50</f>
        <v>PFAES</v>
      </c>
      <c r="J1107" s="2" t="str">
        <f>'PFAS Properties'!$D$50</f>
        <v>C8HClF16O4S</v>
      </c>
      <c r="K1107" s="25">
        <f>'PFAS Properties'!$P$50</f>
        <v>531.90269999999998</v>
      </c>
      <c r="L1107" s="2">
        <f>'PFAS Properties'!$X$50</f>
        <v>0.1</v>
      </c>
      <c r="M1107" s="2" t="str">
        <f>'PFAS Properties'!$Y$50</f>
        <v>-</v>
      </c>
      <c r="N1107" s="33">
        <v>0</v>
      </c>
      <c r="O1107" s="33">
        <v>0</v>
      </c>
      <c r="P1107" s="33">
        <v>0</v>
      </c>
      <c r="Q1107" s="33">
        <f t="shared" si="615"/>
        <v>0.99999997488113634</v>
      </c>
      <c r="R1107" s="33">
        <v>0</v>
      </c>
      <c r="S1107" s="33">
        <f t="shared" si="616"/>
        <v>2.5118863684138424E-8</v>
      </c>
      <c r="T1107" s="8">
        <f t="shared" si="617"/>
        <v>1</v>
      </c>
      <c r="U1107" s="33">
        <f t="shared" si="618"/>
        <v>0</v>
      </c>
      <c r="V1107" s="33">
        <f t="shared" si="619"/>
        <v>-0.99999997488113634</v>
      </c>
      <c r="W1107" s="33">
        <f t="shared" si="620"/>
        <v>530.90270002511886</v>
      </c>
      <c r="X1107" s="33">
        <v>96485</v>
      </c>
      <c r="Y1107" s="16">
        <f t="shared" si="621"/>
        <v>-181.73762832971352</v>
      </c>
      <c r="Z1107" s="16">
        <v>8</v>
      </c>
      <c r="AA1107" s="16">
        <v>16</v>
      </c>
      <c r="AB1107" s="8">
        <f t="shared" si="622"/>
        <v>0.31578947368421051</v>
      </c>
      <c r="AC1107" s="16">
        <f t="shared" si="590"/>
        <v>57.153310182482628</v>
      </c>
      <c r="AD1107" s="20">
        <f>'PFAS Properties'!$W$50</f>
        <v>8</v>
      </c>
      <c r="AE1107" s="8">
        <f>'PFAS Properties'!$S$50</f>
        <v>1.1664301138432827</v>
      </c>
      <c r="AF1107" s="2">
        <f>'PFAS Properties'!$V$50</f>
        <v>5.3</v>
      </c>
      <c r="AG1107" s="24">
        <v>7.7</v>
      </c>
      <c r="AH1107" s="2" t="s">
        <v>183</v>
      </c>
      <c r="AI1107" s="2" t="s">
        <v>661</v>
      </c>
      <c r="AJ1107" s="2" t="s">
        <v>661</v>
      </c>
      <c r="AK1107" s="2" t="s">
        <v>661</v>
      </c>
      <c r="AL1107" s="2" t="s">
        <v>661</v>
      </c>
      <c r="AM1107" s="2" t="s">
        <v>661</v>
      </c>
      <c r="AN1107" s="2" t="s">
        <v>661</v>
      </c>
      <c r="AO1107" s="2" t="s">
        <v>661</v>
      </c>
      <c r="AP1107" s="15">
        <v>21.63</v>
      </c>
      <c r="AQ1107" s="2" t="s">
        <v>661</v>
      </c>
      <c r="AR1107" s="16">
        <v>70</v>
      </c>
      <c r="AS1107" s="16">
        <v>11</v>
      </c>
      <c r="AT1107" s="16">
        <v>19</v>
      </c>
      <c r="AU1107" s="2" t="s">
        <v>661</v>
      </c>
      <c r="AV1107" s="16">
        <f t="shared" si="623"/>
        <v>100</v>
      </c>
      <c r="AW1107" s="20">
        <v>4.9000000000000004</v>
      </c>
      <c r="AX1107" s="8">
        <f t="shared" si="592"/>
        <v>4.9000000000000002E-2</v>
      </c>
      <c r="AY1107" s="8" t="s">
        <v>184</v>
      </c>
      <c r="AZ1107" s="16">
        <v>100</v>
      </c>
      <c r="BA1107" s="16" t="s">
        <v>55</v>
      </c>
      <c r="BB1107" s="16">
        <v>5</v>
      </c>
      <c r="BC1107" s="16" t="s">
        <v>55</v>
      </c>
      <c r="BD1107" s="20">
        <v>307.52999999999997</v>
      </c>
      <c r="BE1107" s="16">
        <f t="shared" si="593"/>
        <v>6276.1224489795914</v>
      </c>
      <c r="BF1107" s="16">
        <f t="shared" si="594"/>
        <v>3.7976914082095741</v>
      </c>
      <c r="BG1107" s="8">
        <f t="shared" si="595"/>
        <v>2.4878874882380875</v>
      </c>
      <c r="BH1107" s="13" t="s">
        <v>345</v>
      </c>
      <c r="BI1107" s="13"/>
      <c r="BJ1107" s="13"/>
      <c r="BK1107" s="13"/>
      <c r="BL1107" s="13"/>
      <c r="BM1107" s="17"/>
      <c r="BN1107" s="17"/>
      <c r="BO1107" s="2"/>
    </row>
    <row r="1108" spans="1:67" s="14" customFormat="1" x14ac:dyDescent="0.3">
      <c r="A1108" s="20">
        <v>1106</v>
      </c>
      <c r="B1108" s="2" t="s">
        <v>181</v>
      </c>
      <c r="C1108" s="2">
        <v>2020</v>
      </c>
      <c r="D1108" s="2" t="s">
        <v>203</v>
      </c>
      <c r="E1108" s="10" t="s">
        <v>787</v>
      </c>
      <c r="F1108" s="20" t="s">
        <v>29</v>
      </c>
      <c r="G1108" s="2" t="s">
        <v>77</v>
      </c>
      <c r="H1108" s="2" t="str">
        <f>'PFAS Properties'!$B$50</f>
        <v>8:2 Cl-PFAES</v>
      </c>
      <c r="I1108" s="2" t="str">
        <f>'PFAS Properties'!$C$50</f>
        <v>PFAES</v>
      </c>
      <c r="J1108" s="2" t="str">
        <f>'PFAS Properties'!$D$50</f>
        <v>C8HClF16O4S</v>
      </c>
      <c r="K1108" s="25">
        <f>'PFAS Properties'!$P$50</f>
        <v>531.90269999999998</v>
      </c>
      <c r="L1108" s="2">
        <f>'PFAS Properties'!$X$50</f>
        <v>0.1</v>
      </c>
      <c r="M1108" s="2" t="str">
        <f>'PFAS Properties'!$Y$50</f>
        <v>-</v>
      </c>
      <c r="N1108" s="33">
        <v>0</v>
      </c>
      <c r="O1108" s="33">
        <v>0</v>
      </c>
      <c r="P1108" s="33">
        <v>0</v>
      </c>
      <c r="Q1108" s="33">
        <f t="shared" si="615"/>
        <v>0.99999997488113634</v>
      </c>
      <c r="R1108" s="33">
        <v>0</v>
      </c>
      <c r="S1108" s="33">
        <f t="shared" si="616"/>
        <v>2.5118863684138424E-8</v>
      </c>
      <c r="T1108" s="8">
        <f t="shared" si="617"/>
        <v>1</v>
      </c>
      <c r="U1108" s="33">
        <f t="shared" si="618"/>
        <v>0</v>
      </c>
      <c r="V1108" s="33">
        <f t="shared" si="619"/>
        <v>-0.99999997488113634</v>
      </c>
      <c r="W1108" s="33">
        <f t="shared" si="620"/>
        <v>530.90270002511886</v>
      </c>
      <c r="X1108" s="33">
        <v>96485</v>
      </c>
      <c r="Y1108" s="16">
        <f t="shared" si="621"/>
        <v>-181.73762832971352</v>
      </c>
      <c r="Z1108" s="16">
        <v>8</v>
      </c>
      <c r="AA1108" s="16">
        <v>16</v>
      </c>
      <c r="AB1108" s="8">
        <f t="shared" si="622"/>
        <v>0.31578947368421051</v>
      </c>
      <c r="AC1108" s="16">
        <f t="shared" si="590"/>
        <v>57.153310182482628</v>
      </c>
      <c r="AD1108" s="20">
        <f>'PFAS Properties'!$W$50</f>
        <v>8</v>
      </c>
      <c r="AE1108" s="8">
        <f>'PFAS Properties'!$S$50</f>
        <v>1.1664301138432827</v>
      </c>
      <c r="AF1108" s="2">
        <f>'PFAS Properties'!$V$50</f>
        <v>5.3</v>
      </c>
      <c r="AG1108" s="24">
        <v>7.7</v>
      </c>
      <c r="AH1108" s="2" t="s">
        <v>183</v>
      </c>
      <c r="AI1108" s="2" t="s">
        <v>661</v>
      </c>
      <c r="AJ1108" s="2" t="s">
        <v>661</v>
      </c>
      <c r="AK1108" s="2" t="s">
        <v>661</v>
      </c>
      <c r="AL1108" s="2" t="s">
        <v>661</v>
      </c>
      <c r="AM1108" s="2" t="s">
        <v>661</v>
      </c>
      <c r="AN1108" s="2" t="s">
        <v>661</v>
      </c>
      <c r="AO1108" s="2" t="s">
        <v>661</v>
      </c>
      <c r="AP1108" s="15">
        <v>7.8</v>
      </c>
      <c r="AQ1108" s="2" t="s">
        <v>661</v>
      </c>
      <c r="AR1108" s="16">
        <v>48.9</v>
      </c>
      <c r="AS1108" s="16">
        <v>32.6</v>
      </c>
      <c r="AT1108" s="16">
        <v>18.5</v>
      </c>
      <c r="AU1108" s="2" t="s">
        <v>661</v>
      </c>
      <c r="AV1108" s="16">
        <f t="shared" si="623"/>
        <v>100</v>
      </c>
      <c r="AW1108" s="20">
        <v>0.13</v>
      </c>
      <c r="AX1108" s="8">
        <f t="shared" si="592"/>
        <v>1.2999999999999999E-3</v>
      </c>
      <c r="AY1108" s="8" t="s">
        <v>184</v>
      </c>
      <c r="AZ1108" s="16">
        <v>100</v>
      </c>
      <c r="BA1108" s="16" t="s">
        <v>55</v>
      </c>
      <c r="BB1108" s="16">
        <v>5</v>
      </c>
      <c r="BC1108" s="16" t="s">
        <v>55</v>
      </c>
      <c r="BD1108" s="20">
        <v>4.09</v>
      </c>
      <c r="BE1108" s="16">
        <f t="shared" si="593"/>
        <v>3146.1538461538462</v>
      </c>
      <c r="BF1108" s="16">
        <f t="shared" si="594"/>
        <v>3.4977799557005049</v>
      </c>
      <c r="BG1108" s="8">
        <f t="shared" si="595"/>
        <v>0.61172330800734176</v>
      </c>
      <c r="BH1108" s="13" t="s">
        <v>345</v>
      </c>
      <c r="BI1108" s="13"/>
      <c r="BJ1108" s="13"/>
      <c r="BK1108" s="13"/>
      <c r="BL1108" s="13"/>
      <c r="BM1108" s="17"/>
      <c r="BN1108" s="17"/>
      <c r="BO1108" s="2"/>
    </row>
    <row r="1109" spans="1:67" s="14" customFormat="1" x14ac:dyDescent="0.3">
      <c r="A1109" s="20">
        <v>1107</v>
      </c>
      <c r="B1109" s="2" t="s">
        <v>181</v>
      </c>
      <c r="C1109" s="2">
        <v>2020</v>
      </c>
      <c r="D1109" s="2" t="s">
        <v>203</v>
      </c>
      <c r="E1109" s="10" t="s">
        <v>787</v>
      </c>
      <c r="F1109" s="20" t="s">
        <v>29</v>
      </c>
      <c r="G1109" s="2" t="s">
        <v>182</v>
      </c>
      <c r="H1109" s="2" t="str">
        <f>'PFAS Properties'!$B$50</f>
        <v>8:2 Cl-PFAES</v>
      </c>
      <c r="I1109" s="2" t="str">
        <f>'PFAS Properties'!$C$50</f>
        <v>PFAES</v>
      </c>
      <c r="J1109" s="2" t="str">
        <f>'PFAS Properties'!$D$50</f>
        <v>C8HClF16O4S</v>
      </c>
      <c r="K1109" s="25">
        <f>'PFAS Properties'!$P$50</f>
        <v>531.90269999999998</v>
      </c>
      <c r="L1109" s="2">
        <f>'PFAS Properties'!$X$50</f>
        <v>0.1</v>
      </c>
      <c r="M1109" s="2" t="str">
        <f>'PFAS Properties'!$Y$50</f>
        <v>-</v>
      </c>
      <c r="N1109" s="33">
        <v>0</v>
      </c>
      <c r="O1109" s="33">
        <v>0</v>
      </c>
      <c r="P1109" s="33">
        <v>0</v>
      </c>
      <c r="Q1109" s="33">
        <f t="shared" si="615"/>
        <v>0.9999999601892845</v>
      </c>
      <c r="R1109" s="33">
        <v>0</v>
      </c>
      <c r="S1109" s="33">
        <f t="shared" si="616"/>
        <v>3.9810715470456442E-8</v>
      </c>
      <c r="T1109" s="8">
        <f t="shared" si="617"/>
        <v>1</v>
      </c>
      <c r="U1109" s="33">
        <f t="shared" si="618"/>
        <v>0</v>
      </c>
      <c r="V1109" s="33">
        <f t="shared" si="619"/>
        <v>-0.9999999601892845</v>
      </c>
      <c r="W1109" s="33">
        <f t="shared" si="620"/>
        <v>530.90270003981072</v>
      </c>
      <c r="X1109" s="33">
        <v>96485</v>
      </c>
      <c r="Y1109" s="16">
        <f t="shared" si="621"/>
        <v>-181.73762565462184</v>
      </c>
      <c r="Z1109" s="16">
        <v>8</v>
      </c>
      <c r="AA1109" s="16">
        <v>16</v>
      </c>
      <c r="AB1109" s="8">
        <f t="shared" si="622"/>
        <v>0.31578947368421051</v>
      </c>
      <c r="AC1109" s="16">
        <f t="shared" si="590"/>
        <v>57.153310182482628</v>
      </c>
      <c r="AD1109" s="20">
        <f>'PFAS Properties'!$W$50</f>
        <v>8</v>
      </c>
      <c r="AE1109" s="8">
        <f>'PFAS Properties'!$S$50</f>
        <v>1.1664301138432827</v>
      </c>
      <c r="AF1109" s="2">
        <f>'PFAS Properties'!$V$50</f>
        <v>5.3</v>
      </c>
      <c r="AG1109" s="24">
        <v>7.5</v>
      </c>
      <c r="AH1109" s="2" t="s">
        <v>183</v>
      </c>
      <c r="AI1109" s="2" t="s">
        <v>661</v>
      </c>
      <c r="AJ1109" s="2" t="s">
        <v>661</v>
      </c>
      <c r="AK1109" s="2" t="s">
        <v>661</v>
      </c>
      <c r="AL1109" s="2" t="s">
        <v>661</v>
      </c>
      <c r="AM1109" s="2" t="s">
        <v>661</v>
      </c>
      <c r="AN1109" s="2" t="s">
        <v>661</v>
      </c>
      <c r="AO1109" s="2" t="s">
        <v>661</v>
      </c>
      <c r="AP1109" s="15">
        <v>2.2799999999999998</v>
      </c>
      <c r="AQ1109" s="2" t="s">
        <v>661</v>
      </c>
      <c r="AR1109" s="16">
        <v>93</v>
      </c>
      <c r="AS1109" s="16">
        <v>1</v>
      </c>
      <c r="AT1109" s="16">
        <v>5</v>
      </c>
      <c r="AU1109" s="2" t="s">
        <v>661</v>
      </c>
      <c r="AV1109" s="16">
        <f t="shared" si="623"/>
        <v>99</v>
      </c>
      <c r="AW1109" s="20">
        <v>0.4</v>
      </c>
      <c r="AX1109" s="8">
        <f t="shared" si="592"/>
        <v>4.0000000000000001E-3</v>
      </c>
      <c r="AY1109" s="8" t="s">
        <v>184</v>
      </c>
      <c r="AZ1109" s="16">
        <v>100</v>
      </c>
      <c r="BA1109" s="16" t="s">
        <v>55</v>
      </c>
      <c r="BB1109" s="16">
        <v>5</v>
      </c>
      <c r="BC1109" s="16" t="s">
        <v>55</v>
      </c>
      <c r="BD1109" s="20">
        <v>68.25</v>
      </c>
      <c r="BE1109" s="16">
        <f t="shared" si="593"/>
        <v>17062.5</v>
      </c>
      <c r="BF1109" s="16">
        <f t="shared" si="594"/>
        <v>4.2320426643848315</v>
      </c>
      <c r="BG1109" s="8">
        <f t="shared" si="595"/>
        <v>1.8341026557127937</v>
      </c>
      <c r="BH1109" s="13" t="s">
        <v>345</v>
      </c>
      <c r="BI1109" s="13"/>
      <c r="BJ1109" s="13"/>
      <c r="BK1109" s="13"/>
      <c r="BL1109" s="13"/>
      <c r="BM1109" s="17"/>
      <c r="BN1109" s="17"/>
      <c r="BO1109" s="2"/>
    </row>
    <row r="1110" spans="1:67" s="14" customFormat="1" x14ac:dyDescent="0.3">
      <c r="A1110" s="20">
        <v>1108</v>
      </c>
      <c r="B1110" s="2" t="s">
        <v>181</v>
      </c>
      <c r="C1110" s="2">
        <v>2020</v>
      </c>
      <c r="D1110" s="2" t="s">
        <v>203</v>
      </c>
      <c r="E1110" s="10" t="s">
        <v>787</v>
      </c>
      <c r="F1110" s="20" t="s">
        <v>29</v>
      </c>
      <c r="G1110" s="2" t="s">
        <v>78</v>
      </c>
      <c r="H1110" s="2" t="str">
        <f>'PFAS Properties'!$B$50</f>
        <v>8:2 Cl-PFAES</v>
      </c>
      <c r="I1110" s="2" t="str">
        <f>'PFAS Properties'!$C$50</f>
        <v>PFAES</v>
      </c>
      <c r="J1110" s="2" t="str">
        <f>'PFAS Properties'!$D$50</f>
        <v>C8HClF16O4S</v>
      </c>
      <c r="K1110" s="25">
        <f>'PFAS Properties'!$P$50</f>
        <v>531.90269999999998</v>
      </c>
      <c r="L1110" s="2">
        <f>'PFAS Properties'!$X$50</f>
        <v>0.1</v>
      </c>
      <c r="M1110" s="2" t="str">
        <f>'PFAS Properties'!$Y$50</f>
        <v>-</v>
      </c>
      <c r="N1110" s="33">
        <v>0</v>
      </c>
      <c r="O1110" s="33">
        <v>0</v>
      </c>
      <c r="P1110" s="33">
        <v>0</v>
      </c>
      <c r="Q1110" s="33">
        <f t="shared" si="615"/>
        <v>0.99999990000001004</v>
      </c>
      <c r="R1110" s="33">
        <v>0</v>
      </c>
      <c r="S1110" s="33">
        <f t="shared" si="616"/>
        <v>9.9999990000001005E-8</v>
      </c>
      <c r="T1110" s="8">
        <f t="shared" si="617"/>
        <v>1</v>
      </c>
      <c r="U1110" s="33">
        <f t="shared" si="618"/>
        <v>0</v>
      </c>
      <c r="V1110" s="33">
        <f t="shared" si="619"/>
        <v>-0.99999990000001004</v>
      </c>
      <c r="W1110" s="33">
        <f t="shared" si="620"/>
        <v>530.90270009999995</v>
      </c>
      <c r="X1110" s="33">
        <v>96485</v>
      </c>
      <c r="Y1110" s="16">
        <f t="shared" si="621"/>
        <v>-181.73761469536174</v>
      </c>
      <c r="Z1110" s="16">
        <v>8</v>
      </c>
      <c r="AA1110" s="16">
        <v>16</v>
      </c>
      <c r="AB1110" s="8">
        <f t="shared" si="622"/>
        <v>0.31578947368421051</v>
      </c>
      <c r="AC1110" s="16">
        <f t="shared" si="590"/>
        <v>57.153310182482628</v>
      </c>
      <c r="AD1110" s="20">
        <f>'PFAS Properties'!$W$50</f>
        <v>8</v>
      </c>
      <c r="AE1110" s="8">
        <f>'PFAS Properties'!$S$50</f>
        <v>1.1664301138432827</v>
      </c>
      <c r="AF1110" s="2">
        <f>'PFAS Properties'!$V$50</f>
        <v>5.3</v>
      </c>
      <c r="AG1110" s="24">
        <v>7.1</v>
      </c>
      <c r="AH1110" s="2" t="s">
        <v>183</v>
      </c>
      <c r="AI1110" s="2" t="s">
        <v>661</v>
      </c>
      <c r="AJ1110" s="2" t="s">
        <v>661</v>
      </c>
      <c r="AK1110" s="2" t="s">
        <v>661</v>
      </c>
      <c r="AL1110" s="2" t="s">
        <v>661</v>
      </c>
      <c r="AM1110" s="2" t="s">
        <v>661</v>
      </c>
      <c r="AN1110" s="2" t="s">
        <v>661</v>
      </c>
      <c r="AO1110" s="2" t="s">
        <v>661</v>
      </c>
      <c r="AP1110" s="15">
        <v>17.420000000000002</v>
      </c>
      <c r="AQ1110" s="2" t="s">
        <v>661</v>
      </c>
      <c r="AR1110" s="16">
        <v>48.86</v>
      </c>
      <c r="AS1110" s="16">
        <v>16.05</v>
      </c>
      <c r="AT1110" s="16">
        <v>35.090000000000003</v>
      </c>
      <c r="AU1110" s="2" t="s">
        <v>661</v>
      </c>
      <c r="AV1110" s="16">
        <f t="shared" si="623"/>
        <v>100</v>
      </c>
      <c r="AW1110" s="20">
        <v>1.19</v>
      </c>
      <c r="AX1110" s="8">
        <f t="shared" si="592"/>
        <v>1.1899999999999999E-2</v>
      </c>
      <c r="AY1110" s="8" t="s">
        <v>184</v>
      </c>
      <c r="AZ1110" s="16">
        <v>100</v>
      </c>
      <c r="BA1110" s="16" t="s">
        <v>55</v>
      </c>
      <c r="BB1110" s="16">
        <v>5</v>
      </c>
      <c r="BC1110" s="16" t="s">
        <v>55</v>
      </c>
      <c r="BD1110" s="20">
        <v>103.84</v>
      </c>
      <c r="BE1110" s="16">
        <f t="shared" si="593"/>
        <v>8726.0504201680687</v>
      </c>
      <c r="BF1110" s="16">
        <f t="shared" si="594"/>
        <v>3.9408177180637631</v>
      </c>
      <c r="BG1110" s="8">
        <f t="shared" si="595"/>
        <v>2.0163646794562942</v>
      </c>
      <c r="BH1110" s="13" t="s">
        <v>345</v>
      </c>
      <c r="BI1110" s="13"/>
      <c r="BJ1110" s="13"/>
      <c r="BK1110" s="13"/>
      <c r="BL1110" s="13"/>
      <c r="BM1110" s="17"/>
      <c r="BN1110" s="17"/>
      <c r="BO1110" s="2"/>
    </row>
    <row r="1111" spans="1:67" s="14" customFormat="1" x14ac:dyDescent="0.3">
      <c r="A1111" s="20">
        <v>1109</v>
      </c>
      <c r="B1111" s="2" t="s">
        <v>181</v>
      </c>
      <c r="C1111" s="2">
        <v>2020</v>
      </c>
      <c r="D1111" s="2" t="s">
        <v>203</v>
      </c>
      <c r="E1111" s="10" t="s">
        <v>787</v>
      </c>
      <c r="F1111" s="20" t="s">
        <v>29</v>
      </c>
      <c r="G1111" s="2" t="s">
        <v>98</v>
      </c>
      <c r="H1111" s="2" t="str">
        <f>'PFAS Properties'!$B$50</f>
        <v>8:2 Cl-PFAES</v>
      </c>
      <c r="I1111" s="2" t="str">
        <f>'PFAS Properties'!$C$50</f>
        <v>PFAES</v>
      </c>
      <c r="J1111" s="2" t="str">
        <f>'PFAS Properties'!$D$50</f>
        <v>C8HClF16O4S</v>
      </c>
      <c r="K1111" s="25">
        <f>'PFAS Properties'!$P$50</f>
        <v>531.90269999999998</v>
      </c>
      <c r="L1111" s="2">
        <f>'PFAS Properties'!$X$50</f>
        <v>0.1</v>
      </c>
      <c r="M1111" s="2" t="str">
        <f>'PFAS Properties'!$Y$50</f>
        <v>-</v>
      </c>
      <c r="N1111" s="33">
        <v>0</v>
      </c>
      <c r="O1111" s="33">
        <v>0</v>
      </c>
      <c r="P1111" s="33">
        <v>0</v>
      </c>
      <c r="Q1111" s="33">
        <f t="shared" si="615"/>
        <v>0.99999949881301753</v>
      </c>
      <c r="R1111" s="33">
        <v>0</v>
      </c>
      <c r="S1111" s="33">
        <f t="shared" si="616"/>
        <v>5.0118698243875318E-7</v>
      </c>
      <c r="T1111" s="8">
        <f t="shared" si="617"/>
        <v>1</v>
      </c>
      <c r="U1111" s="33">
        <f t="shared" si="618"/>
        <v>0</v>
      </c>
      <c r="V1111" s="33">
        <f t="shared" si="619"/>
        <v>-0.99999949881301753</v>
      </c>
      <c r="W1111" s="33">
        <f t="shared" si="620"/>
        <v>530.90270050118693</v>
      </c>
      <c r="X1111" s="33">
        <v>96485</v>
      </c>
      <c r="Y1111" s="16">
        <f t="shared" si="621"/>
        <v>-181.73754164725386</v>
      </c>
      <c r="Z1111" s="16">
        <v>8</v>
      </c>
      <c r="AA1111" s="16">
        <v>16</v>
      </c>
      <c r="AB1111" s="8">
        <f t="shared" si="622"/>
        <v>0.31578947368421051</v>
      </c>
      <c r="AC1111" s="16">
        <f t="shared" si="590"/>
        <v>57.153310182482628</v>
      </c>
      <c r="AD1111" s="20">
        <f>'PFAS Properties'!$W$50</f>
        <v>8</v>
      </c>
      <c r="AE1111" s="8">
        <f>'PFAS Properties'!$S$50</f>
        <v>1.1664301138432827</v>
      </c>
      <c r="AF1111" s="2">
        <f>'PFAS Properties'!$V$50</f>
        <v>5.3</v>
      </c>
      <c r="AG1111" s="24">
        <v>6.4</v>
      </c>
      <c r="AH1111" s="2" t="s">
        <v>183</v>
      </c>
      <c r="AI1111" s="2" t="s">
        <v>661</v>
      </c>
      <c r="AJ1111" s="15" t="s">
        <v>661</v>
      </c>
      <c r="AK1111" s="8" t="s">
        <v>661</v>
      </c>
      <c r="AL1111" s="2" t="s">
        <v>661</v>
      </c>
      <c r="AM1111" s="15" t="s">
        <v>661</v>
      </c>
      <c r="AN1111" s="8" t="s">
        <v>661</v>
      </c>
      <c r="AO1111" s="15" t="s">
        <v>661</v>
      </c>
      <c r="AP1111" s="15">
        <v>16.54</v>
      </c>
      <c r="AQ1111" s="13" t="s">
        <v>661</v>
      </c>
      <c r="AR1111" s="16">
        <v>29.38</v>
      </c>
      <c r="AS1111" s="16">
        <v>13.9</v>
      </c>
      <c r="AT1111" s="16">
        <v>56.71</v>
      </c>
      <c r="AU1111" s="15" t="s">
        <v>661</v>
      </c>
      <c r="AV1111" s="16">
        <f t="shared" si="623"/>
        <v>99.990000000000009</v>
      </c>
      <c r="AW1111" s="20">
        <v>0.17</v>
      </c>
      <c r="AX1111" s="8">
        <f t="shared" si="592"/>
        <v>1.7000000000000001E-3</v>
      </c>
      <c r="AY1111" s="8" t="s">
        <v>184</v>
      </c>
      <c r="AZ1111" s="16">
        <v>100</v>
      </c>
      <c r="BA1111" s="16" t="s">
        <v>55</v>
      </c>
      <c r="BB1111" s="16">
        <v>5</v>
      </c>
      <c r="BC1111" s="16" t="s">
        <v>55</v>
      </c>
      <c r="BD1111" s="20">
        <v>2.42</v>
      </c>
      <c r="BE1111" s="16">
        <f t="shared" si="593"/>
        <v>1423.5294117647056</v>
      </c>
      <c r="BF1111" s="16">
        <f t="shared" si="594"/>
        <v>3.1533664446021574</v>
      </c>
      <c r="BG1111" s="8">
        <f t="shared" si="595"/>
        <v>0.38381536598043126</v>
      </c>
      <c r="BH1111" s="13" t="s">
        <v>345</v>
      </c>
      <c r="BI1111" s="13"/>
      <c r="BJ1111" s="13"/>
      <c r="BK1111" s="13"/>
      <c r="BL1111" s="13"/>
      <c r="BM1111" s="17"/>
      <c r="BN1111" s="17"/>
      <c r="BO1111" s="2"/>
    </row>
    <row r="1112" spans="1:67" s="14" customFormat="1" x14ac:dyDescent="0.3">
      <c r="A1112" s="20">
        <v>1110</v>
      </c>
      <c r="B1112" s="2" t="s">
        <v>181</v>
      </c>
      <c r="C1112" s="2">
        <v>2020</v>
      </c>
      <c r="D1112" s="2" t="s">
        <v>203</v>
      </c>
      <c r="E1112" s="10" t="s">
        <v>787</v>
      </c>
      <c r="F1112" s="20" t="s">
        <v>29</v>
      </c>
      <c r="G1112" s="2" t="s">
        <v>62</v>
      </c>
      <c r="H1112" s="2" t="str">
        <f>'PFAS Properties'!$B$51</f>
        <v>4:2 FTS</v>
      </c>
      <c r="I1112" s="2" t="str">
        <f>'PFAS Properties'!$C$51</f>
        <v>FTS</v>
      </c>
      <c r="J1112" s="2" t="str">
        <f>'PFAS Properties'!$D$51</f>
        <v>C6H5F9O3S</v>
      </c>
      <c r="K1112" s="25">
        <f>'PFAS Properties'!$P$51</f>
        <v>327.98139999999995</v>
      </c>
      <c r="L1112" s="2">
        <f>'PFAS Properties'!$X$51</f>
        <v>0.4</v>
      </c>
      <c r="M1112" s="2" t="str">
        <f>'PFAS Properties'!$Y$51</f>
        <v>-</v>
      </c>
      <c r="N1112" s="33">
        <v>0</v>
      </c>
      <c r="O1112" s="33">
        <v>0</v>
      </c>
      <c r="P1112" s="33">
        <v>0</v>
      </c>
      <c r="Q1112" s="33">
        <f t="shared" ref="Q1112:Q1143" si="624">(10^(AG1112-L1112))/(1+(10^(AG1112-L1112)))</f>
        <v>0.99999992056718279</v>
      </c>
      <c r="R1112" s="33">
        <v>0</v>
      </c>
      <c r="S1112" s="33">
        <f t="shared" ref="S1112:S1143" si="625">(1/(1+(10^(AG1112-L1112))))</f>
        <v>7.9432817162855232E-8</v>
      </c>
      <c r="T1112" s="8">
        <f t="shared" ref="T1112:T1122" si="626">SUM(N1112:S1112)</f>
        <v>1</v>
      </c>
      <c r="U1112" s="33">
        <f t="shared" ref="U1112:U1154" si="627">((1*N1112)+(1*O1112)+(1*P1112))</f>
        <v>0</v>
      </c>
      <c r="V1112" s="33">
        <f t="shared" ref="V1112:V1154" si="628">-((1*O1112)+(2*P1112)+(1*Q1112)+(2*R1112))</f>
        <v>-0.99999992056718279</v>
      </c>
      <c r="W1112" s="33">
        <f t="shared" ref="W1112:W1154" si="629">(N1112*(K1112+1))+(O1112*K1112)+(P1112*(K1112-1))+(Q1112*(K1112-1))+(R1112*(K1112-2))+(S1112*K1112)</f>
        <v>326.98140007943277</v>
      </c>
      <c r="X1112" s="33">
        <v>96485</v>
      </c>
      <c r="Y1112" s="16">
        <f t="shared" ref="Y1112:Y1154" si="630">((V1112+U1112)/W1112)*X1112</f>
        <v>-295.07792281911378</v>
      </c>
      <c r="Z1112" s="16">
        <v>6</v>
      </c>
      <c r="AA1112" s="16">
        <v>9</v>
      </c>
      <c r="AB1112" s="8">
        <f t="shared" ref="AB1112:AB1154" si="631">(Z1112/AA1112)*(12/19)</f>
        <v>0.42105263157894735</v>
      </c>
      <c r="AC1112" s="16">
        <f t="shared" si="590"/>
        <v>52.13710289668866</v>
      </c>
      <c r="AD1112" s="20">
        <f>'PFAS Properties'!$W$51</f>
        <v>4</v>
      </c>
      <c r="AE1112" s="8">
        <f>'PFAS Properties'!$S$51</f>
        <v>5.7954628943903801</v>
      </c>
      <c r="AF1112" s="2">
        <f>'PFAS Properties'!$V$51</f>
        <v>2.6</v>
      </c>
      <c r="AG1112" s="24">
        <v>7.5</v>
      </c>
      <c r="AH1112" s="2" t="s">
        <v>183</v>
      </c>
      <c r="AI1112" s="2" t="s">
        <v>661</v>
      </c>
      <c r="AJ1112" s="2" t="s">
        <v>661</v>
      </c>
      <c r="AK1112" s="2" t="s">
        <v>661</v>
      </c>
      <c r="AL1112" s="2" t="s">
        <v>661</v>
      </c>
      <c r="AM1112" s="2" t="s">
        <v>661</v>
      </c>
      <c r="AN1112" s="2" t="s">
        <v>661</v>
      </c>
      <c r="AO1112" s="2" t="s">
        <v>661</v>
      </c>
      <c r="AP1112" s="15">
        <v>41.4</v>
      </c>
      <c r="AQ1112" s="2" t="s">
        <v>661</v>
      </c>
      <c r="AR1112" s="16">
        <v>16.899999999999999</v>
      </c>
      <c r="AS1112" s="16">
        <v>17.5</v>
      </c>
      <c r="AT1112" s="16">
        <v>65.599999999999994</v>
      </c>
      <c r="AU1112" s="2" t="s">
        <v>661</v>
      </c>
      <c r="AV1112" s="16">
        <f t="shared" ref="AV1112:AV1132" si="632">SUM(AR1112:AT1112)</f>
        <v>100</v>
      </c>
      <c r="AW1112" s="20">
        <v>0.7</v>
      </c>
      <c r="AX1112" s="8">
        <f t="shared" ref="AX1112:AX1174" si="633">AW1112/100</f>
        <v>6.9999999999999993E-3</v>
      </c>
      <c r="AY1112" s="13" t="s">
        <v>184</v>
      </c>
      <c r="AZ1112" s="16">
        <v>100</v>
      </c>
      <c r="BA1112" s="16" t="s">
        <v>55</v>
      </c>
      <c r="BB1112" s="16">
        <v>5</v>
      </c>
      <c r="BC1112" s="16" t="s">
        <v>55</v>
      </c>
      <c r="BD1112" s="18">
        <v>0.38</v>
      </c>
      <c r="BE1112" s="16">
        <f t="shared" ref="BE1112:BE1121" si="634">BD1112/AX1112</f>
        <v>54.285714285714292</v>
      </c>
      <c r="BF1112" s="16">
        <f t="shared" ref="BF1112:BF1121" si="635">LOG(BE1112)</f>
        <v>1.7346855566025534</v>
      </c>
      <c r="BG1112" s="8">
        <f t="shared" ref="BG1112:BG1121" si="636">LOG(BD1112)</f>
        <v>-0.42021640338318983</v>
      </c>
      <c r="BH1112" s="13" t="s">
        <v>345</v>
      </c>
      <c r="BI1112" s="13"/>
      <c r="BJ1112" s="13"/>
      <c r="BK1112" s="13"/>
      <c r="BL1112" s="13"/>
      <c r="BM1112" s="17"/>
      <c r="BN1112" s="17"/>
      <c r="BO1112" s="2"/>
    </row>
    <row r="1113" spans="1:67" s="14" customFormat="1" x14ac:dyDescent="0.3">
      <c r="A1113" s="20">
        <v>1111</v>
      </c>
      <c r="B1113" s="2" t="s">
        <v>181</v>
      </c>
      <c r="C1113" s="2">
        <v>2020</v>
      </c>
      <c r="D1113" s="2" t="s">
        <v>203</v>
      </c>
      <c r="E1113" s="10" t="s">
        <v>787</v>
      </c>
      <c r="F1113" s="20" t="s">
        <v>29</v>
      </c>
      <c r="G1113" s="2" t="s">
        <v>57</v>
      </c>
      <c r="H1113" s="2" t="str">
        <f>'PFAS Properties'!$B$51</f>
        <v>4:2 FTS</v>
      </c>
      <c r="I1113" s="2" t="str">
        <f>'PFAS Properties'!$C$51</f>
        <v>FTS</v>
      </c>
      <c r="J1113" s="2" t="str">
        <f>'PFAS Properties'!$D$51</f>
        <v>C6H5F9O3S</v>
      </c>
      <c r="K1113" s="25">
        <f>'PFAS Properties'!$P$51</f>
        <v>327.98139999999995</v>
      </c>
      <c r="L1113" s="2">
        <f>'PFAS Properties'!$X$51</f>
        <v>0.4</v>
      </c>
      <c r="M1113" s="2" t="str">
        <f>'PFAS Properties'!$Y$51</f>
        <v>-</v>
      </c>
      <c r="N1113" s="33">
        <v>0</v>
      </c>
      <c r="O1113" s="33">
        <v>0</v>
      </c>
      <c r="P1113" s="33">
        <v>0</v>
      </c>
      <c r="Q1113" s="33">
        <f t="shared" si="624"/>
        <v>0.99999960189298798</v>
      </c>
      <c r="R1113" s="33">
        <v>0</v>
      </c>
      <c r="S1113" s="33">
        <f t="shared" si="625"/>
        <v>3.981070120642407E-7</v>
      </c>
      <c r="T1113" s="8">
        <f t="shared" si="626"/>
        <v>1</v>
      </c>
      <c r="U1113" s="33">
        <f t="shared" si="627"/>
        <v>0</v>
      </c>
      <c r="V1113" s="33">
        <f t="shared" si="628"/>
        <v>-0.99999960189298798</v>
      </c>
      <c r="W1113" s="33">
        <f t="shared" si="629"/>
        <v>326.98140039810698</v>
      </c>
      <c r="X1113" s="33">
        <v>96485</v>
      </c>
      <c r="Y1113" s="16">
        <f t="shared" si="630"/>
        <v>-295.07782849780568</v>
      </c>
      <c r="Z1113" s="16">
        <v>6</v>
      </c>
      <c r="AA1113" s="16">
        <v>9</v>
      </c>
      <c r="AB1113" s="8">
        <f t="shared" si="631"/>
        <v>0.42105263157894735</v>
      </c>
      <c r="AC1113" s="16">
        <f t="shared" si="590"/>
        <v>52.13710289668866</v>
      </c>
      <c r="AD1113" s="20">
        <f>'PFAS Properties'!$W$51</f>
        <v>4</v>
      </c>
      <c r="AE1113" s="8">
        <f>'PFAS Properties'!$S$51</f>
        <v>5.7954628943903801</v>
      </c>
      <c r="AF1113" s="2">
        <f>'PFAS Properties'!$V$51</f>
        <v>2.6</v>
      </c>
      <c r="AG1113" s="24">
        <v>6.8</v>
      </c>
      <c r="AH1113" s="2" t="s">
        <v>183</v>
      </c>
      <c r="AI1113" s="2" t="s">
        <v>661</v>
      </c>
      <c r="AJ1113" s="2" t="s">
        <v>661</v>
      </c>
      <c r="AK1113" s="2" t="s">
        <v>661</v>
      </c>
      <c r="AL1113" s="2" t="s">
        <v>661</v>
      </c>
      <c r="AM1113" s="2" t="s">
        <v>661</v>
      </c>
      <c r="AN1113" s="2" t="s">
        <v>661</v>
      </c>
      <c r="AO1113" s="2" t="s">
        <v>661</v>
      </c>
      <c r="AP1113" s="15">
        <v>7.1</v>
      </c>
      <c r="AQ1113" s="2" t="s">
        <v>661</v>
      </c>
      <c r="AR1113" s="16">
        <v>48.9</v>
      </c>
      <c r="AS1113" s="16">
        <v>27</v>
      </c>
      <c r="AT1113" s="16">
        <v>24.2</v>
      </c>
      <c r="AU1113" s="2" t="s">
        <v>661</v>
      </c>
      <c r="AV1113" s="16">
        <f t="shared" si="632"/>
        <v>100.10000000000001</v>
      </c>
      <c r="AW1113" s="20">
        <v>0.37</v>
      </c>
      <c r="AX1113" s="8">
        <f t="shared" si="633"/>
        <v>3.7000000000000002E-3</v>
      </c>
      <c r="AY1113" s="13" t="s">
        <v>184</v>
      </c>
      <c r="AZ1113" s="16">
        <v>100</v>
      </c>
      <c r="BA1113" s="16" t="s">
        <v>55</v>
      </c>
      <c r="BB1113" s="16">
        <v>5</v>
      </c>
      <c r="BC1113" s="16" t="s">
        <v>55</v>
      </c>
      <c r="BD1113" s="20">
        <v>0.37</v>
      </c>
      <c r="BE1113" s="16">
        <f t="shared" si="634"/>
        <v>100</v>
      </c>
      <c r="BF1113" s="16">
        <f t="shared" si="635"/>
        <v>2</v>
      </c>
      <c r="BG1113" s="8">
        <f t="shared" si="636"/>
        <v>-0.43179827593300502</v>
      </c>
      <c r="BH1113" s="13" t="s">
        <v>345</v>
      </c>
      <c r="BI1113" s="13"/>
      <c r="BJ1113" s="13"/>
      <c r="BK1113" s="13"/>
      <c r="BL1113" s="13"/>
      <c r="BM1113" s="17"/>
      <c r="BN1113" s="17"/>
      <c r="BO1113" s="2"/>
    </row>
    <row r="1114" spans="1:67" s="14" customFormat="1" x14ac:dyDescent="0.3">
      <c r="A1114" s="20">
        <v>1112</v>
      </c>
      <c r="B1114" s="2" t="s">
        <v>181</v>
      </c>
      <c r="C1114" s="2">
        <v>2020</v>
      </c>
      <c r="D1114" s="2" t="s">
        <v>203</v>
      </c>
      <c r="E1114" s="10" t="s">
        <v>787</v>
      </c>
      <c r="F1114" s="20" t="s">
        <v>29</v>
      </c>
      <c r="G1114" s="2" t="s">
        <v>58</v>
      </c>
      <c r="H1114" s="2" t="str">
        <f>'PFAS Properties'!$B$51</f>
        <v>4:2 FTS</v>
      </c>
      <c r="I1114" s="2" t="str">
        <f>'PFAS Properties'!$C$51</f>
        <v>FTS</v>
      </c>
      <c r="J1114" s="2" t="str">
        <f>'PFAS Properties'!$D$51</f>
        <v>C6H5F9O3S</v>
      </c>
      <c r="K1114" s="25">
        <f>'PFAS Properties'!$P$51</f>
        <v>327.98139999999995</v>
      </c>
      <c r="L1114" s="2">
        <f>'PFAS Properties'!$X$51</f>
        <v>0.4</v>
      </c>
      <c r="M1114" s="2" t="str">
        <f>'PFAS Properties'!$Y$51</f>
        <v>-</v>
      </c>
      <c r="N1114" s="33">
        <v>0</v>
      </c>
      <c r="O1114" s="33">
        <v>0</v>
      </c>
      <c r="P1114" s="33">
        <v>0</v>
      </c>
      <c r="Q1114" s="33">
        <f t="shared" si="624"/>
        <v>0.99999841510931942</v>
      </c>
      <c r="R1114" s="33">
        <v>0</v>
      </c>
      <c r="S1114" s="33">
        <f t="shared" si="625"/>
        <v>1.5848906805786609E-6</v>
      </c>
      <c r="T1114" s="8">
        <f t="shared" si="626"/>
        <v>1</v>
      </c>
      <c r="U1114" s="33">
        <f t="shared" si="627"/>
        <v>0</v>
      </c>
      <c r="V1114" s="33">
        <f t="shared" si="628"/>
        <v>-0.99999841510931942</v>
      </c>
      <c r="W1114" s="33">
        <f t="shared" si="629"/>
        <v>326.98140158489059</v>
      </c>
      <c r="X1114" s="33">
        <v>96485</v>
      </c>
      <c r="Y1114" s="16">
        <f t="shared" si="630"/>
        <v>-295.07747723313059</v>
      </c>
      <c r="Z1114" s="16">
        <v>6</v>
      </c>
      <c r="AA1114" s="16">
        <v>9</v>
      </c>
      <c r="AB1114" s="8">
        <f t="shared" si="631"/>
        <v>0.42105263157894735</v>
      </c>
      <c r="AC1114" s="16">
        <f t="shared" si="590"/>
        <v>52.13710289668866</v>
      </c>
      <c r="AD1114" s="20">
        <f>'PFAS Properties'!$W$51</f>
        <v>4</v>
      </c>
      <c r="AE1114" s="8">
        <f>'PFAS Properties'!$S$51</f>
        <v>5.7954628943903801</v>
      </c>
      <c r="AF1114" s="2">
        <f>'PFAS Properties'!$V$51</f>
        <v>2.6</v>
      </c>
      <c r="AG1114" s="24">
        <v>6.2</v>
      </c>
      <c r="AH1114" s="2" t="s">
        <v>183</v>
      </c>
      <c r="AI1114" s="2" t="s">
        <v>661</v>
      </c>
      <c r="AJ1114" s="2" t="s">
        <v>661</v>
      </c>
      <c r="AK1114" s="2" t="s">
        <v>661</v>
      </c>
      <c r="AL1114" s="2" t="s">
        <v>661</v>
      </c>
      <c r="AM1114" s="2" t="s">
        <v>661</v>
      </c>
      <c r="AN1114" s="2" t="s">
        <v>661</v>
      </c>
      <c r="AO1114" s="2" t="s">
        <v>661</v>
      </c>
      <c r="AP1114" s="15">
        <v>8</v>
      </c>
      <c r="AQ1114" s="2" t="s">
        <v>661</v>
      </c>
      <c r="AR1114" s="16">
        <v>51.44</v>
      </c>
      <c r="AS1114" s="16">
        <v>10.17</v>
      </c>
      <c r="AT1114" s="16">
        <v>38.380000000000003</v>
      </c>
      <c r="AU1114" s="2" t="s">
        <v>661</v>
      </c>
      <c r="AV1114" s="16">
        <f t="shared" si="632"/>
        <v>99.990000000000009</v>
      </c>
      <c r="AW1114" s="20">
        <v>0.08</v>
      </c>
      <c r="AX1114" s="8">
        <f t="shared" si="633"/>
        <v>8.0000000000000004E-4</v>
      </c>
      <c r="AY1114" s="8" t="s">
        <v>184</v>
      </c>
      <c r="AZ1114" s="16">
        <v>100</v>
      </c>
      <c r="BA1114" s="16" t="s">
        <v>55</v>
      </c>
      <c r="BB1114" s="16">
        <v>5</v>
      </c>
      <c r="BC1114" s="16" t="s">
        <v>55</v>
      </c>
      <c r="BD1114" s="20">
        <v>0.24</v>
      </c>
      <c r="BE1114" s="16">
        <f t="shared" si="634"/>
        <v>300</v>
      </c>
      <c r="BF1114" s="16">
        <f t="shared" si="635"/>
        <v>2.4771212547196626</v>
      </c>
      <c r="BG1114" s="8">
        <f t="shared" si="636"/>
        <v>-0.61978875828839397</v>
      </c>
      <c r="BH1114" s="13" t="s">
        <v>345</v>
      </c>
      <c r="BI1114" s="13"/>
      <c r="BJ1114" s="13"/>
      <c r="BK1114" s="13"/>
      <c r="BL1114" s="13"/>
      <c r="BM1114" s="17"/>
      <c r="BN1114" s="17"/>
      <c r="BO1114" s="2"/>
    </row>
    <row r="1115" spans="1:67" s="14" customFormat="1" x14ac:dyDescent="0.3">
      <c r="A1115" s="20">
        <v>1113</v>
      </c>
      <c r="B1115" s="2" t="s">
        <v>181</v>
      </c>
      <c r="C1115" s="2">
        <v>2020</v>
      </c>
      <c r="D1115" s="2" t="s">
        <v>203</v>
      </c>
      <c r="E1115" s="10" t="s">
        <v>787</v>
      </c>
      <c r="F1115" s="20" t="s">
        <v>29</v>
      </c>
      <c r="G1115" s="2" t="s">
        <v>59</v>
      </c>
      <c r="H1115" s="2" t="str">
        <f>'PFAS Properties'!$B$51</f>
        <v>4:2 FTS</v>
      </c>
      <c r="I1115" s="2" t="str">
        <f>'PFAS Properties'!$C$51</f>
        <v>FTS</v>
      </c>
      <c r="J1115" s="2" t="str">
        <f>'PFAS Properties'!$D$51</f>
        <v>C6H5F9O3S</v>
      </c>
      <c r="K1115" s="25">
        <f>'PFAS Properties'!$P$51</f>
        <v>327.98139999999995</v>
      </c>
      <c r="L1115" s="2">
        <f>'PFAS Properties'!$X$51</f>
        <v>0.4</v>
      </c>
      <c r="M1115" s="2" t="str">
        <f>'PFAS Properties'!$Y$51</f>
        <v>-</v>
      </c>
      <c r="N1115" s="33">
        <v>0</v>
      </c>
      <c r="O1115" s="33">
        <v>0</v>
      </c>
      <c r="P1115" s="33">
        <v>0</v>
      </c>
      <c r="Q1115" s="33">
        <f t="shared" si="624"/>
        <v>0.99999994988127916</v>
      </c>
      <c r="R1115" s="33">
        <v>0</v>
      </c>
      <c r="S1115" s="33">
        <f t="shared" si="625"/>
        <v>5.011872085084086E-8</v>
      </c>
      <c r="T1115" s="8">
        <f t="shared" si="626"/>
        <v>1</v>
      </c>
      <c r="U1115" s="33">
        <f t="shared" si="627"/>
        <v>0</v>
      </c>
      <c r="V1115" s="33">
        <f t="shared" si="628"/>
        <v>-0.99999994988127916</v>
      </c>
      <c r="W1115" s="33">
        <f t="shared" si="629"/>
        <v>326.98140005011868</v>
      </c>
      <c r="X1115" s="33">
        <v>96485</v>
      </c>
      <c r="Y1115" s="16">
        <f t="shared" si="630"/>
        <v>-295.07793149551105</v>
      </c>
      <c r="Z1115" s="16">
        <v>6</v>
      </c>
      <c r="AA1115" s="16">
        <v>9</v>
      </c>
      <c r="AB1115" s="8">
        <f t="shared" si="631"/>
        <v>0.42105263157894735</v>
      </c>
      <c r="AC1115" s="16">
        <f t="shared" si="590"/>
        <v>52.13710289668866</v>
      </c>
      <c r="AD1115" s="20">
        <f>'PFAS Properties'!$W$51</f>
        <v>4</v>
      </c>
      <c r="AE1115" s="8">
        <f>'PFAS Properties'!$S$51</f>
        <v>5.7954628943903801</v>
      </c>
      <c r="AF1115" s="2">
        <f>'PFAS Properties'!$V$51</f>
        <v>2.6</v>
      </c>
      <c r="AG1115" s="24">
        <v>7.7</v>
      </c>
      <c r="AH1115" s="2" t="s">
        <v>183</v>
      </c>
      <c r="AI1115" s="2" t="s">
        <v>661</v>
      </c>
      <c r="AJ1115" s="2" t="s">
        <v>661</v>
      </c>
      <c r="AK1115" s="2" t="s">
        <v>661</v>
      </c>
      <c r="AL1115" s="2" t="s">
        <v>661</v>
      </c>
      <c r="AM1115" s="2" t="s">
        <v>661</v>
      </c>
      <c r="AN1115" s="2" t="s">
        <v>661</v>
      </c>
      <c r="AO1115" s="2" t="s">
        <v>661</v>
      </c>
      <c r="AP1115" s="15">
        <v>4.8</v>
      </c>
      <c r="AQ1115" s="2" t="s">
        <v>661</v>
      </c>
      <c r="AR1115" s="16">
        <v>46</v>
      </c>
      <c r="AS1115" s="16">
        <v>37</v>
      </c>
      <c r="AT1115" s="16">
        <v>17</v>
      </c>
      <c r="AU1115" s="2" t="s">
        <v>661</v>
      </c>
      <c r="AV1115" s="16">
        <f t="shared" si="632"/>
        <v>100</v>
      </c>
      <c r="AW1115" s="20">
        <v>0.25</v>
      </c>
      <c r="AX1115" s="8">
        <f t="shared" si="633"/>
        <v>2.5000000000000001E-3</v>
      </c>
      <c r="AY1115" s="13" t="s">
        <v>184</v>
      </c>
      <c r="AZ1115" s="16">
        <v>100</v>
      </c>
      <c r="BA1115" s="16" t="s">
        <v>55</v>
      </c>
      <c r="BB1115" s="16">
        <v>5</v>
      </c>
      <c r="BC1115" s="16" t="s">
        <v>55</v>
      </c>
      <c r="BD1115" s="18">
        <v>0.17</v>
      </c>
      <c r="BE1115" s="16">
        <f t="shared" si="634"/>
        <v>68</v>
      </c>
      <c r="BF1115" s="16">
        <f t="shared" si="635"/>
        <v>1.8325089127062364</v>
      </c>
      <c r="BG1115" s="8">
        <f t="shared" si="636"/>
        <v>-0.769551078621726</v>
      </c>
      <c r="BH1115" s="13" t="s">
        <v>345</v>
      </c>
      <c r="BI1115" s="13"/>
      <c r="BJ1115" s="13"/>
      <c r="BK1115" s="13"/>
      <c r="BL1115" s="13"/>
      <c r="BM1115" s="17"/>
      <c r="BN1115" s="17"/>
      <c r="BO1115" s="2"/>
    </row>
    <row r="1116" spans="1:67" s="14" customFormat="1" x14ac:dyDescent="0.3">
      <c r="A1116" s="20">
        <v>1114</v>
      </c>
      <c r="B1116" s="2" t="s">
        <v>181</v>
      </c>
      <c r="C1116" s="2">
        <v>2020</v>
      </c>
      <c r="D1116" s="2" t="s">
        <v>203</v>
      </c>
      <c r="E1116" s="10" t="s">
        <v>787</v>
      </c>
      <c r="F1116" s="20" t="s">
        <v>29</v>
      </c>
      <c r="G1116" s="2" t="s">
        <v>61</v>
      </c>
      <c r="H1116" s="2" t="str">
        <f>'PFAS Properties'!$B$51</f>
        <v>4:2 FTS</v>
      </c>
      <c r="I1116" s="2" t="str">
        <f>'PFAS Properties'!$C$51</f>
        <v>FTS</v>
      </c>
      <c r="J1116" s="2" t="str">
        <f>'PFAS Properties'!$D$51</f>
        <v>C6H5F9O3S</v>
      </c>
      <c r="K1116" s="25">
        <f>'PFAS Properties'!$P$51</f>
        <v>327.98139999999995</v>
      </c>
      <c r="L1116" s="2">
        <f>'PFAS Properties'!$X$51</f>
        <v>0.4</v>
      </c>
      <c r="M1116" s="2" t="str">
        <f>'PFAS Properties'!$Y$51</f>
        <v>-</v>
      </c>
      <c r="N1116" s="33">
        <v>0</v>
      </c>
      <c r="O1116" s="33">
        <v>0</v>
      </c>
      <c r="P1116" s="33">
        <v>0</v>
      </c>
      <c r="Q1116" s="33">
        <f t="shared" si="624"/>
        <v>0.99999990000001004</v>
      </c>
      <c r="R1116" s="33">
        <v>0</v>
      </c>
      <c r="S1116" s="33">
        <f t="shared" si="625"/>
        <v>9.9999990000001005E-8</v>
      </c>
      <c r="T1116" s="8">
        <f t="shared" si="626"/>
        <v>1</v>
      </c>
      <c r="U1116" s="33">
        <f t="shared" si="627"/>
        <v>0</v>
      </c>
      <c r="V1116" s="33">
        <f t="shared" si="628"/>
        <v>-0.99999990000001004</v>
      </c>
      <c r="W1116" s="33">
        <f t="shared" si="629"/>
        <v>326.98140009999997</v>
      </c>
      <c r="X1116" s="33">
        <v>96485</v>
      </c>
      <c r="Y1116" s="16">
        <f t="shared" si="630"/>
        <v>-295.07791673163422</v>
      </c>
      <c r="Z1116" s="16">
        <v>6</v>
      </c>
      <c r="AA1116" s="16">
        <v>9</v>
      </c>
      <c r="AB1116" s="8">
        <f t="shared" si="631"/>
        <v>0.42105263157894735</v>
      </c>
      <c r="AC1116" s="16">
        <f t="shared" si="590"/>
        <v>52.13710289668866</v>
      </c>
      <c r="AD1116" s="20">
        <f>'PFAS Properties'!$W$51</f>
        <v>4</v>
      </c>
      <c r="AE1116" s="8">
        <f>'PFAS Properties'!$S$51</f>
        <v>5.7954628943903801</v>
      </c>
      <c r="AF1116" s="2">
        <f>'PFAS Properties'!$V$51</f>
        <v>2.6</v>
      </c>
      <c r="AG1116" s="24">
        <v>7.4</v>
      </c>
      <c r="AH1116" s="2" t="s">
        <v>183</v>
      </c>
      <c r="AI1116" s="2" t="s">
        <v>661</v>
      </c>
      <c r="AJ1116" s="2" t="s">
        <v>661</v>
      </c>
      <c r="AK1116" s="2" t="s">
        <v>661</v>
      </c>
      <c r="AL1116" s="2" t="s">
        <v>661</v>
      </c>
      <c r="AM1116" s="2" t="s">
        <v>661</v>
      </c>
      <c r="AN1116" s="2" t="s">
        <v>661</v>
      </c>
      <c r="AO1116" s="2" t="s">
        <v>661</v>
      </c>
      <c r="AP1116" s="15">
        <v>29.6</v>
      </c>
      <c r="AQ1116" s="2" t="s">
        <v>661</v>
      </c>
      <c r="AR1116" s="16">
        <v>39.799999999999997</v>
      </c>
      <c r="AS1116" s="16">
        <v>7.7</v>
      </c>
      <c r="AT1116" s="16">
        <v>52.5</v>
      </c>
      <c r="AU1116" s="2" t="s">
        <v>661</v>
      </c>
      <c r="AV1116" s="16">
        <f t="shared" si="632"/>
        <v>100</v>
      </c>
      <c r="AW1116" s="20">
        <v>2.23</v>
      </c>
      <c r="AX1116" s="8">
        <f t="shared" si="633"/>
        <v>2.23E-2</v>
      </c>
      <c r="AY1116" s="8" t="s">
        <v>184</v>
      </c>
      <c r="AZ1116" s="16">
        <v>100</v>
      </c>
      <c r="BA1116" s="16" t="s">
        <v>55</v>
      </c>
      <c r="BB1116" s="16">
        <v>5</v>
      </c>
      <c r="BC1116" s="16" t="s">
        <v>55</v>
      </c>
      <c r="BD1116" s="20">
        <v>0.31</v>
      </c>
      <c r="BE1116" s="16">
        <f t="shared" si="634"/>
        <v>13.901345291479821</v>
      </c>
      <c r="BF1116" s="16">
        <f t="shared" si="635"/>
        <v>1.143056830786112</v>
      </c>
      <c r="BG1116" s="8">
        <f t="shared" si="636"/>
        <v>-0.50863830616572736</v>
      </c>
      <c r="BH1116" s="13" t="s">
        <v>345</v>
      </c>
      <c r="BI1116" s="13"/>
      <c r="BJ1116" s="13"/>
      <c r="BK1116" s="13"/>
      <c r="BL1116" s="13"/>
      <c r="BM1116" s="17"/>
      <c r="BN1116" s="17"/>
      <c r="BO1116" s="2"/>
    </row>
    <row r="1117" spans="1:67" s="14" customFormat="1" x14ac:dyDescent="0.3">
      <c r="A1117" s="20">
        <v>1115</v>
      </c>
      <c r="B1117" s="2" t="s">
        <v>181</v>
      </c>
      <c r="C1117" s="2">
        <v>2020</v>
      </c>
      <c r="D1117" s="2" t="s">
        <v>203</v>
      </c>
      <c r="E1117" s="10" t="s">
        <v>787</v>
      </c>
      <c r="F1117" s="20" t="s">
        <v>29</v>
      </c>
      <c r="G1117" s="2" t="s">
        <v>60</v>
      </c>
      <c r="H1117" s="2" t="str">
        <f>'PFAS Properties'!$B$51</f>
        <v>4:2 FTS</v>
      </c>
      <c r="I1117" s="2" t="str">
        <f>'PFAS Properties'!$C$51</f>
        <v>FTS</v>
      </c>
      <c r="J1117" s="2" t="str">
        <f>'PFAS Properties'!$D$51</f>
        <v>C6H5F9O3S</v>
      </c>
      <c r="K1117" s="25">
        <f>'PFAS Properties'!$P$51</f>
        <v>327.98139999999995</v>
      </c>
      <c r="L1117" s="2">
        <f>'PFAS Properties'!$X$51</f>
        <v>0.4</v>
      </c>
      <c r="M1117" s="2" t="str">
        <f>'PFAS Properties'!$Y$51</f>
        <v>-</v>
      </c>
      <c r="N1117" s="33">
        <v>0</v>
      </c>
      <c r="O1117" s="33">
        <v>0</v>
      </c>
      <c r="P1117" s="33">
        <v>0</v>
      </c>
      <c r="Q1117" s="33">
        <f t="shared" si="624"/>
        <v>0.99999994988127916</v>
      </c>
      <c r="R1117" s="33">
        <v>0</v>
      </c>
      <c r="S1117" s="33">
        <f t="shared" si="625"/>
        <v>5.011872085084086E-8</v>
      </c>
      <c r="T1117" s="8">
        <f t="shared" si="626"/>
        <v>1</v>
      </c>
      <c r="U1117" s="33">
        <f t="shared" si="627"/>
        <v>0</v>
      </c>
      <c r="V1117" s="33">
        <f t="shared" si="628"/>
        <v>-0.99999994988127916</v>
      </c>
      <c r="W1117" s="33">
        <f t="shared" si="629"/>
        <v>326.98140005011868</v>
      </c>
      <c r="X1117" s="33">
        <v>96485</v>
      </c>
      <c r="Y1117" s="16">
        <f t="shared" si="630"/>
        <v>-295.07793149551105</v>
      </c>
      <c r="Z1117" s="16">
        <v>6</v>
      </c>
      <c r="AA1117" s="16">
        <v>9</v>
      </c>
      <c r="AB1117" s="8">
        <f t="shared" si="631"/>
        <v>0.42105263157894735</v>
      </c>
      <c r="AC1117" s="16">
        <f t="shared" si="590"/>
        <v>52.13710289668866</v>
      </c>
      <c r="AD1117" s="20">
        <f>'PFAS Properties'!$W$51</f>
        <v>4</v>
      </c>
      <c r="AE1117" s="8">
        <f>'PFAS Properties'!$S$51</f>
        <v>5.7954628943903801</v>
      </c>
      <c r="AF1117" s="2">
        <f>'PFAS Properties'!$V$51</f>
        <v>2.6</v>
      </c>
      <c r="AG1117" s="24">
        <v>7.7</v>
      </c>
      <c r="AH1117" s="2" t="s">
        <v>183</v>
      </c>
      <c r="AI1117" s="2" t="s">
        <v>661</v>
      </c>
      <c r="AJ1117" s="2" t="s">
        <v>661</v>
      </c>
      <c r="AK1117" s="2" t="s">
        <v>661</v>
      </c>
      <c r="AL1117" s="2" t="s">
        <v>661</v>
      </c>
      <c r="AM1117" s="2" t="s">
        <v>661</v>
      </c>
      <c r="AN1117" s="2" t="s">
        <v>661</v>
      </c>
      <c r="AO1117" s="2" t="s">
        <v>661</v>
      </c>
      <c r="AP1117" s="15">
        <v>21.63</v>
      </c>
      <c r="AQ1117" s="2" t="s">
        <v>661</v>
      </c>
      <c r="AR1117" s="16">
        <v>70</v>
      </c>
      <c r="AS1117" s="16">
        <v>11</v>
      </c>
      <c r="AT1117" s="16">
        <v>19</v>
      </c>
      <c r="AU1117" s="2" t="s">
        <v>661</v>
      </c>
      <c r="AV1117" s="16">
        <f t="shared" si="632"/>
        <v>100</v>
      </c>
      <c r="AW1117" s="20">
        <v>4.9000000000000004</v>
      </c>
      <c r="AX1117" s="8">
        <f t="shared" si="633"/>
        <v>4.9000000000000002E-2</v>
      </c>
      <c r="AY1117" s="8" t="s">
        <v>184</v>
      </c>
      <c r="AZ1117" s="16">
        <v>100</v>
      </c>
      <c r="BA1117" s="16" t="s">
        <v>55</v>
      </c>
      <c r="BB1117" s="16">
        <v>5</v>
      </c>
      <c r="BC1117" s="16" t="s">
        <v>55</v>
      </c>
      <c r="BD1117" s="20">
        <v>0.51</v>
      </c>
      <c r="BE1117" s="16">
        <f t="shared" si="634"/>
        <v>10.408163265306122</v>
      </c>
      <c r="BF1117" s="16">
        <f t="shared" si="635"/>
        <v>1.0173740960694226</v>
      </c>
      <c r="BG1117" s="8">
        <f t="shared" si="636"/>
        <v>-0.29242982390206362</v>
      </c>
      <c r="BH1117" s="13" t="s">
        <v>345</v>
      </c>
      <c r="BI1117" s="13"/>
      <c r="BJ1117" s="13"/>
      <c r="BK1117" s="13"/>
      <c r="BL1117" s="13"/>
      <c r="BM1117" s="17"/>
      <c r="BN1117" s="17"/>
      <c r="BO1117" s="2"/>
    </row>
    <row r="1118" spans="1:67" s="14" customFormat="1" x14ac:dyDescent="0.3">
      <c r="A1118" s="20">
        <v>1116</v>
      </c>
      <c r="B1118" s="2" t="s">
        <v>181</v>
      </c>
      <c r="C1118" s="2">
        <v>2020</v>
      </c>
      <c r="D1118" s="2" t="s">
        <v>203</v>
      </c>
      <c r="E1118" s="10" t="s">
        <v>787</v>
      </c>
      <c r="F1118" s="20" t="s">
        <v>29</v>
      </c>
      <c r="G1118" s="2" t="s">
        <v>77</v>
      </c>
      <c r="H1118" s="2" t="str">
        <f>'PFAS Properties'!$B$51</f>
        <v>4:2 FTS</v>
      </c>
      <c r="I1118" s="2" t="str">
        <f>'PFAS Properties'!$C$51</f>
        <v>FTS</v>
      </c>
      <c r="J1118" s="2" t="str">
        <f>'PFAS Properties'!$D$51</f>
        <v>C6H5F9O3S</v>
      </c>
      <c r="K1118" s="25">
        <f>'PFAS Properties'!$P$51</f>
        <v>327.98139999999995</v>
      </c>
      <c r="L1118" s="2">
        <f>'PFAS Properties'!$X$51</f>
        <v>0.4</v>
      </c>
      <c r="M1118" s="2" t="str">
        <f>'PFAS Properties'!$Y$51</f>
        <v>-</v>
      </c>
      <c r="N1118" s="33">
        <v>0</v>
      </c>
      <c r="O1118" s="33">
        <v>0</v>
      </c>
      <c r="P1118" s="33">
        <v>0</v>
      </c>
      <c r="Q1118" s="33">
        <f t="shared" si="624"/>
        <v>0.99999994988127916</v>
      </c>
      <c r="R1118" s="33">
        <v>0</v>
      </c>
      <c r="S1118" s="33">
        <f t="shared" si="625"/>
        <v>5.011872085084086E-8</v>
      </c>
      <c r="T1118" s="8">
        <f t="shared" si="626"/>
        <v>1</v>
      </c>
      <c r="U1118" s="33">
        <f t="shared" si="627"/>
        <v>0</v>
      </c>
      <c r="V1118" s="33">
        <f t="shared" si="628"/>
        <v>-0.99999994988127916</v>
      </c>
      <c r="W1118" s="33">
        <f t="shared" si="629"/>
        <v>326.98140005011868</v>
      </c>
      <c r="X1118" s="33">
        <v>96485</v>
      </c>
      <c r="Y1118" s="16">
        <f t="shared" si="630"/>
        <v>-295.07793149551105</v>
      </c>
      <c r="Z1118" s="16">
        <v>6</v>
      </c>
      <c r="AA1118" s="16">
        <v>9</v>
      </c>
      <c r="AB1118" s="8">
        <f t="shared" si="631"/>
        <v>0.42105263157894735</v>
      </c>
      <c r="AC1118" s="16">
        <f t="shared" ref="AC1118:AC1149" si="637">((AA1118*19)/K1118)*100</f>
        <v>52.13710289668866</v>
      </c>
      <c r="AD1118" s="20">
        <f>'PFAS Properties'!$W$51</f>
        <v>4</v>
      </c>
      <c r="AE1118" s="8">
        <f>'PFAS Properties'!$S$51</f>
        <v>5.7954628943903801</v>
      </c>
      <c r="AF1118" s="2">
        <f>'PFAS Properties'!$V$51</f>
        <v>2.6</v>
      </c>
      <c r="AG1118" s="24">
        <v>7.7</v>
      </c>
      <c r="AH1118" s="2" t="s">
        <v>183</v>
      </c>
      <c r="AI1118" s="2" t="s">
        <v>661</v>
      </c>
      <c r="AJ1118" s="2" t="s">
        <v>661</v>
      </c>
      <c r="AK1118" s="2" t="s">
        <v>661</v>
      </c>
      <c r="AL1118" s="2" t="s">
        <v>661</v>
      </c>
      <c r="AM1118" s="2" t="s">
        <v>661</v>
      </c>
      <c r="AN1118" s="2" t="s">
        <v>661</v>
      </c>
      <c r="AO1118" s="2" t="s">
        <v>661</v>
      </c>
      <c r="AP1118" s="15">
        <v>7.8</v>
      </c>
      <c r="AQ1118" s="2" t="s">
        <v>661</v>
      </c>
      <c r="AR1118" s="16">
        <v>48.9</v>
      </c>
      <c r="AS1118" s="16">
        <v>32.6</v>
      </c>
      <c r="AT1118" s="16">
        <v>18.5</v>
      </c>
      <c r="AU1118" s="2" t="s">
        <v>661</v>
      </c>
      <c r="AV1118" s="16">
        <f t="shared" si="632"/>
        <v>100</v>
      </c>
      <c r="AW1118" s="20">
        <v>0.13</v>
      </c>
      <c r="AX1118" s="8">
        <f t="shared" si="633"/>
        <v>1.2999999999999999E-3</v>
      </c>
      <c r="AY1118" s="8" t="s">
        <v>184</v>
      </c>
      <c r="AZ1118" s="16">
        <v>100</v>
      </c>
      <c r="BA1118" s="16" t="s">
        <v>55</v>
      </c>
      <c r="BB1118" s="16">
        <v>5</v>
      </c>
      <c r="BC1118" s="16" t="s">
        <v>55</v>
      </c>
      <c r="BD1118" s="20">
        <v>0.2</v>
      </c>
      <c r="BE1118" s="16">
        <f t="shared" si="634"/>
        <v>153.84615384615387</v>
      </c>
      <c r="BF1118" s="16">
        <f t="shared" si="635"/>
        <v>2.1870866433571443</v>
      </c>
      <c r="BG1118" s="8">
        <f t="shared" si="636"/>
        <v>-0.69897000433601875</v>
      </c>
      <c r="BH1118" s="13" t="s">
        <v>345</v>
      </c>
      <c r="BI1118" s="13"/>
      <c r="BJ1118" s="13"/>
      <c r="BK1118" s="13"/>
      <c r="BL1118" s="13"/>
      <c r="BM1118" s="17"/>
      <c r="BN1118" s="17"/>
      <c r="BO1118" s="2"/>
    </row>
    <row r="1119" spans="1:67" s="14" customFormat="1" x14ac:dyDescent="0.3">
      <c r="A1119" s="20">
        <v>1117</v>
      </c>
      <c r="B1119" s="2" t="s">
        <v>181</v>
      </c>
      <c r="C1119" s="2">
        <v>2020</v>
      </c>
      <c r="D1119" s="2" t="s">
        <v>203</v>
      </c>
      <c r="E1119" s="10" t="s">
        <v>787</v>
      </c>
      <c r="F1119" s="20" t="s">
        <v>29</v>
      </c>
      <c r="G1119" s="2" t="s">
        <v>182</v>
      </c>
      <c r="H1119" s="2" t="str">
        <f>'PFAS Properties'!$B$51</f>
        <v>4:2 FTS</v>
      </c>
      <c r="I1119" s="2" t="str">
        <f>'PFAS Properties'!$C$51</f>
        <v>FTS</v>
      </c>
      <c r="J1119" s="2" t="str">
        <f>'PFAS Properties'!$D$51</f>
        <v>C6H5F9O3S</v>
      </c>
      <c r="K1119" s="25">
        <f>'PFAS Properties'!$P$51</f>
        <v>327.98139999999995</v>
      </c>
      <c r="L1119" s="2">
        <f>'PFAS Properties'!$X$51</f>
        <v>0.4</v>
      </c>
      <c r="M1119" s="2" t="str">
        <f>'PFAS Properties'!$Y$51</f>
        <v>-</v>
      </c>
      <c r="N1119" s="33">
        <v>0</v>
      </c>
      <c r="O1119" s="33">
        <v>0</v>
      </c>
      <c r="P1119" s="33">
        <v>0</v>
      </c>
      <c r="Q1119" s="33">
        <f t="shared" si="624"/>
        <v>0.99999992056718279</v>
      </c>
      <c r="R1119" s="33">
        <v>0</v>
      </c>
      <c r="S1119" s="33">
        <f t="shared" si="625"/>
        <v>7.9432817162855232E-8</v>
      </c>
      <c r="T1119" s="8">
        <f t="shared" si="626"/>
        <v>1</v>
      </c>
      <c r="U1119" s="33">
        <f t="shared" si="627"/>
        <v>0</v>
      </c>
      <c r="V1119" s="33">
        <f t="shared" si="628"/>
        <v>-0.99999992056718279</v>
      </c>
      <c r="W1119" s="33">
        <f t="shared" si="629"/>
        <v>326.98140007943277</v>
      </c>
      <c r="X1119" s="33">
        <v>96485</v>
      </c>
      <c r="Y1119" s="16">
        <f t="shared" si="630"/>
        <v>-295.07792281911378</v>
      </c>
      <c r="Z1119" s="16">
        <v>6</v>
      </c>
      <c r="AA1119" s="16">
        <v>9</v>
      </c>
      <c r="AB1119" s="8">
        <f t="shared" si="631"/>
        <v>0.42105263157894735</v>
      </c>
      <c r="AC1119" s="16">
        <f t="shared" si="637"/>
        <v>52.13710289668866</v>
      </c>
      <c r="AD1119" s="20">
        <f>'PFAS Properties'!$W$51</f>
        <v>4</v>
      </c>
      <c r="AE1119" s="8">
        <f>'PFAS Properties'!$S$51</f>
        <v>5.7954628943903801</v>
      </c>
      <c r="AF1119" s="2">
        <f>'PFAS Properties'!$V$51</f>
        <v>2.6</v>
      </c>
      <c r="AG1119" s="24">
        <v>7.5</v>
      </c>
      <c r="AH1119" s="2" t="s">
        <v>183</v>
      </c>
      <c r="AI1119" s="2" t="s">
        <v>661</v>
      </c>
      <c r="AJ1119" s="2" t="s">
        <v>661</v>
      </c>
      <c r="AK1119" s="2" t="s">
        <v>661</v>
      </c>
      <c r="AL1119" s="2" t="s">
        <v>661</v>
      </c>
      <c r="AM1119" s="2" t="s">
        <v>661</v>
      </c>
      <c r="AN1119" s="2" t="s">
        <v>661</v>
      </c>
      <c r="AO1119" s="2" t="s">
        <v>661</v>
      </c>
      <c r="AP1119" s="15">
        <v>2.2799999999999998</v>
      </c>
      <c r="AQ1119" s="2" t="s">
        <v>661</v>
      </c>
      <c r="AR1119" s="16">
        <v>93</v>
      </c>
      <c r="AS1119" s="16">
        <v>1</v>
      </c>
      <c r="AT1119" s="16">
        <v>5</v>
      </c>
      <c r="AU1119" s="2" t="s">
        <v>661</v>
      </c>
      <c r="AV1119" s="16">
        <f t="shared" si="632"/>
        <v>99</v>
      </c>
      <c r="AW1119" s="20">
        <v>0.4</v>
      </c>
      <c r="AX1119" s="8">
        <f t="shared" si="633"/>
        <v>4.0000000000000001E-3</v>
      </c>
      <c r="AY1119" s="8" t="s">
        <v>184</v>
      </c>
      <c r="AZ1119" s="16">
        <v>100</v>
      </c>
      <c r="BA1119" s="16" t="s">
        <v>55</v>
      </c>
      <c r="BB1119" s="16">
        <v>5</v>
      </c>
      <c r="BC1119" s="16" t="s">
        <v>55</v>
      </c>
      <c r="BD1119" s="20">
        <v>0.06</v>
      </c>
      <c r="BE1119" s="16">
        <f t="shared" si="634"/>
        <v>15</v>
      </c>
      <c r="BF1119" s="16">
        <f t="shared" si="635"/>
        <v>1.1760912590556813</v>
      </c>
      <c r="BG1119" s="8">
        <f t="shared" si="636"/>
        <v>-1.2218487496163564</v>
      </c>
      <c r="BH1119" s="13" t="s">
        <v>345</v>
      </c>
      <c r="BI1119" s="13"/>
      <c r="BJ1119" s="13"/>
      <c r="BK1119" s="13"/>
      <c r="BL1119" s="13"/>
      <c r="BM1119" s="17"/>
      <c r="BN1119" s="17"/>
      <c r="BO1119" s="2"/>
    </row>
    <row r="1120" spans="1:67" s="14" customFormat="1" x14ac:dyDescent="0.3">
      <c r="A1120" s="20">
        <v>1118</v>
      </c>
      <c r="B1120" s="2" t="s">
        <v>181</v>
      </c>
      <c r="C1120" s="2">
        <v>2020</v>
      </c>
      <c r="D1120" s="2" t="s">
        <v>203</v>
      </c>
      <c r="E1120" s="10" t="s">
        <v>787</v>
      </c>
      <c r="F1120" s="20" t="s">
        <v>29</v>
      </c>
      <c r="G1120" s="2" t="s">
        <v>78</v>
      </c>
      <c r="H1120" s="2" t="str">
        <f>'PFAS Properties'!$B$51</f>
        <v>4:2 FTS</v>
      </c>
      <c r="I1120" s="2" t="str">
        <f>'PFAS Properties'!$C$51</f>
        <v>FTS</v>
      </c>
      <c r="J1120" s="2" t="str">
        <f>'PFAS Properties'!$D$51</f>
        <v>C6H5F9O3S</v>
      </c>
      <c r="K1120" s="25">
        <f>'PFAS Properties'!$P$51</f>
        <v>327.98139999999995</v>
      </c>
      <c r="L1120" s="2">
        <f>'PFAS Properties'!$X$51</f>
        <v>0.4</v>
      </c>
      <c r="M1120" s="2" t="str">
        <f>'PFAS Properties'!$Y$51</f>
        <v>-</v>
      </c>
      <c r="N1120" s="33">
        <v>0</v>
      </c>
      <c r="O1120" s="33">
        <v>0</v>
      </c>
      <c r="P1120" s="33">
        <v>0</v>
      </c>
      <c r="Q1120" s="33">
        <f t="shared" si="624"/>
        <v>0.99999980047380832</v>
      </c>
      <c r="R1120" s="33">
        <v>0</v>
      </c>
      <c r="S1120" s="33">
        <f t="shared" si="625"/>
        <v>1.9952619168617889E-7</v>
      </c>
      <c r="T1120" s="8">
        <f t="shared" si="626"/>
        <v>1</v>
      </c>
      <c r="U1120" s="33">
        <f t="shared" si="627"/>
        <v>0</v>
      </c>
      <c r="V1120" s="33">
        <f t="shared" si="628"/>
        <v>-0.99999980047380832</v>
      </c>
      <c r="W1120" s="33">
        <f t="shared" si="629"/>
        <v>326.98140019952615</v>
      </c>
      <c r="X1120" s="33">
        <v>96485</v>
      </c>
      <c r="Y1120" s="16">
        <f t="shared" si="630"/>
        <v>-295.07788727383161</v>
      </c>
      <c r="Z1120" s="16">
        <v>6</v>
      </c>
      <c r="AA1120" s="16">
        <v>9</v>
      </c>
      <c r="AB1120" s="8">
        <f t="shared" si="631"/>
        <v>0.42105263157894735</v>
      </c>
      <c r="AC1120" s="16">
        <f t="shared" si="637"/>
        <v>52.13710289668866</v>
      </c>
      <c r="AD1120" s="20">
        <f>'PFAS Properties'!$W$51</f>
        <v>4</v>
      </c>
      <c r="AE1120" s="8">
        <f>'PFAS Properties'!$S$51</f>
        <v>5.7954628943903801</v>
      </c>
      <c r="AF1120" s="2">
        <f>'PFAS Properties'!$V$51</f>
        <v>2.6</v>
      </c>
      <c r="AG1120" s="24">
        <v>7.1</v>
      </c>
      <c r="AH1120" s="2" t="s">
        <v>183</v>
      </c>
      <c r="AI1120" s="2" t="s">
        <v>661</v>
      </c>
      <c r="AJ1120" s="2" t="s">
        <v>661</v>
      </c>
      <c r="AK1120" s="2" t="s">
        <v>661</v>
      </c>
      <c r="AL1120" s="2" t="s">
        <v>661</v>
      </c>
      <c r="AM1120" s="2" t="s">
        <v>661</v>
      </c>
      <c r="AN1120" s="2" t="s">
        <v>661</v>
      </c>
      <c r="AO1120" s="2" t="s">
        <v>661</v>
      </c>
      <c r="AP1120" s="15">
        <v>17.420000000000002</v>
      </c>
      <c r="AQ1120" s="2" t="s">
        <v>661</v>
      </c>
      <c r="AR1120" s="16">
        <v>48.86</v>
      </c>
      <c r="AS1120" s="16">
        <v>16.05</v>
      </c>
      <c r="AT1120" s="16">
        <v>35.090000000000003</v>
      </c>
      <c r="AU1120" s="2" t="s">
        <v>661</v>
      </c>
      <c r="AV1120" s="16">
        <f t="shared" si="632"/>
        <v>100</v>
      </c>
      <c r="AW1120" s="20">
        <v>1.19</v>
      </c>
      <c r="AX1120" s="8">
        <f t="shared" si="633"/>
        <v>1.1899999999999999E-2</v>
      </c>
      <c r="AY1120" s="8" t="s">
        <v>184</v>
      </c>
      <c r="AZ1120" s="16">
        <v>100</v>
      </c>
      <c r="BA1120" s="16" t="s">
        <v>55</v>
      </c>
      <c r="BB1120" s="16">
        <v>5</v>
      </c>
      <c r="BC1120" s="16" t="s">
        <v>55</v>
      </c>
      <c r="BD1120" s="20">
        <v>0.2</v>
      </c>
      <c r="BE1120" s="16">
        <f t="shared" si="634"/>
        <v>16.806722689075631</v>
      </c>
      <c r="BF1120" s="16">
        <f t="shared" si="635"/>
        <v>1.2254830342714504</v>
      </c>
      <c r="BG1120" s="8">
        <f t="shared" si="636"/>
        <v>-0.69897000433601875</v>
      </c>
      <c r="BH1120" s="13" t="s">
        <v>345</v>
      </c>
      <c r="BI1120" s="13"/>
      <c r="BJ1120" s="13"/>
      <c r="BK1120" s="13"/>
      <c r="BL1120" s="13"/>
      <c r="BM1120" s="17"/>
      <c r="BN1120" s="17"/>
      <c r="BO1120" s="2"/>
    </row>
    <row r="1121" spans="1:67" s="14" customFormat="1" x14ac:dyDescent="0.3">
      <c r="A1121" s="20">
        <v>1119</v>
      </c>
      <c r="B1121" s="2" t="s">
        <v>181</v>
      </c>
      <c r="C1121" s="2">
        <v>2020</v>
      </c>
      <c r="D1121" s="2" t="s">
        <v>203</v>
      </c>
      <c r="E1121" s="10" t="s">
        <v>787</v>
      </c>
      <c r="F1121" s="20" t="s">
        <v>29</v>
      </c>
      <c r="G1121" s="2" t="s">
        <v>98</v>
      </c>
      <c r="H1121" s="2" t="str">
        <f>'PFAS Properties'!$B$51</f>
        <v>4:2 FTS</v>
      </c>
      <c r="I1121" s="2" t="str">
        <f>'PFAS Properties'!$C$51</f>
        <v>FTS</v>
      </c>
      <c r="J1121" s="2" t="str">
        <f>'PFAS Properties'!$D$51</f>
        <v>C6H5F9O3S</v>
      </c>
      <c r="K1121" s="25">
        <f>'PFAS Properties'!$P$51</f>
        <v>327.98139999999995</v>
      </c>
      <c r="L1121" s="2">
        <f>'PFAS Properties'!$X$51</f>
        <v>0.4</v>
      </c>
      <c r="M1121" s="2" t="str">
        <f>'PFAS Properties'!$Y$51</f>
        <v>-</v>
      </c>
      <c r="N1121" s="33">
        <v>0</v>
      </c>
      <c r="O1121" s="33">
        <v>0</v>
      </c>
      <c r="P1121" s="33">
        <v>0</v>
      </c>
      <c r="Q1121" s="33">
        <f t="shared" si="624"/>
        <v>0.99999900000099995</v>
      </c>
      <c r="R1121" s="33">
        <v>0</v>
      </c>
      <c r="S1121" s="33">
        <f t="shared" si="625"/>
        <v>9.9999900000100006E-7</v>
      </c>
      <c r="T1121" s="8">
        <f t="shared" si="626"/>
        <v>1</v>
      </c>
      <c r="U1121" s="33">
        <f t="shared" si="627"/>
        <v>0</v>
      </c>
      <c r="V1121" s="33">
        <f t="shared" si="628"/>
        <v>-0.99999900000099995</v>
      </c>
      <c r="W1121" s="33">
        <f t="shared" si="629"/>
        <v>326.98140099999893</v>
      </c>
      <c r="X1121" s="33">
        <v>96485</v>
      </c>
      <c r="Y1121" s="16">
        <f t="shared" si="630"/>
        <v>-295.07765034958913</v>
      </c>
      <c r="Z1121" s="16">
        <v>6</v>
      </c>
      <c r="AA1121" s="16">
        <v>9</v>
      </c>
      <c r="AB1121" s="8">
        <f t="shared" si="631"/>
        <v>0.42105263157894735</v>
      </c>
      <c r="AC1121" s="16">
        <f t="shared" si="637"/>
        <v>52.13710289668866</v>
      </c>
      <c r="AD1121" s="20">
        <f>'PFAS Properties'!$W$51</f>
        <v>4</v>
      </c>
      <c r="AE1121" s="8">
        <f>'PFAS Properties'!$S$51</f>
        <v>5.7954628943903801</v>
      </c>
      <c r="AF1121" s="2">
        <f>'PFAS Properties'!$V$51</f>
        <v>2.6</v>
      </c>
      <c r="AG1121" s="24">
        <v>6.4</v>
      </c>
      <c r="AH1121" s="2" t="s">
        <v>183</v>
      </c>
      <c r="AI1121" s="2" t="s">
        <v>661</v>
      </c>
      <c r="AJ1121" s="15" t="s">
        <v>661</v>
      </c>
      <c r="AK1121" s="8" t="s">
        <v>661</v>
      </c>
      <c r="AL1121" s="2" t="s">
        <v>661</v>
      </c>
      <c r="AM1121" s="15" t="s">
        <v>661</v>
      </c>
      <c r="AN1121" s="8" t="s">
        <v>661</v>
      </c>
      <c r="AO1121" s="15" t="s">
        <v>661</v>
      </c>
      <c r="AP1121" s="15">
        <v>16.54</v>
      </c>
      <c r="AQ1121" s="13" t="s">
        <v>661</v>
      </c>
      <c r="AR1121" s="16">
        <v>29.38</v>
      </c>
      <c r="AS1121" s="16">
        <v>13.9</v>
      </c>
      <c r="AT1121" s="16">
        <v>56.71</v>
      </c>
      <c r="AU1121" s="15" t="s">
        <v>661</v>
      </c>
      <c r="AV1121" s="16">
        <f t="shared" si="632"/>
        <v>99.990000000000009</v>
      </c>
      <c r="AW1121" s="20">
        <v>0.17</v>
      </c>
      <c r="AX1121" s="8">
        <f t="shared" si="633"/>
        <v>1.7000000000000001E-3</v>
      </c>
      <c r="AY1121" s="8" t="s">
        <v>184</v>
      </c>
      <c r="AZ1121" s="16">
        <v>100</v>
      </c>
      <c r="BA1121" s="16" t="s">
        <v>55</v>
      </c>
      <c r="BB1121" s="16">
        <v>5</v>
      </c>
      <c r="BC1121" s="16" t="s">
        <v>55</v>
      </c>
      <c r="BD1121" s="20">
        <v>0.27</v>
      </c>
      <c r="BE1121" s="16">
        <f t="shared" si="634"/>
        <v>158.8235294117647</v>
      </c>
      <c r="BF1121" s="16">
        <f t="shared" si="635"/>
        <v>2.2009148427807133</v>
      </c>
      <c r="BG1121" s="8">
        <f t="shared" si="636"/>
        <v>-0.56863623584101264</v>
      </c>
      <c r="BH1121" s="13" t="s">
        <v>345</v>
      </c>
      <c r="BI1121" s="13"/>
      <c r="BJ1121" s="13"/>
      <c r="BK1121" s="13"/>
      <c r="BL1121" s="13"/>
      <c r="BM1121" s="17"/>
      <c r="BN1121" s="17"/>
      <c r="BO1121" s="2"/>
    </row>
    <row r="1122" spans="1:67" s="14" customFormat="1" x14ac:dyDescent="0.3">
      <c r="A1122" s="20">
        <v>1120</v>
      </c>
      <c r="B1122" s="2" t="s">
        <v>775</v>
      </c>
      <c r="C1122" s="2">
        <v>2021</v>
      </c>
      <c r="D1122" s="2" t="s">
        <v>203</v>
      </c>
      <c r="E1122" s="10" t="s">
        <v>786</v>
      </c>
      <c r="F1122" s="20" t="s">
        <v>29</v>
      </c>
      <c r="G1122" s="2" t="s">
        <v>116</v>
      </c>
      <c r="H1122" s="2" t="str">
        <f>'PFAS Properties'!$B$52</f>
        <v>6:2 FTS</v>
      </c>
      <c r="I1122" s="2" t="str">
        <f>'PFAS Properties'!$C$52</f>
        <v>FTS</v>
      </c>
      <c r="J1122" s="2" t="str">
        <f>'PFAS Properties'!$D$52</f>
        <v>C8H5F13O3S</v>
      </c>
      <c r="K1122" s="25">
        <f>'PFAS Properties'!$P$52</f>
        <v>427.97499999999997</v>
      </c>
      <c r="L1122" s="2">
        <f>'PFAS Properties'!$X$52</f>
        <v>0.4</v>
      </c>
      <c r="M1122" s="2" t="str">
        <f>'PFAS Properties'!$Y$52</f>
        <v>-</v>
      </c>
      <c r="N1122" s="33">
        <v>0</v>
      </c>
      <c r="O1122" s="33">
        <v>0</v>
      </c>
      <c r="P1122" s="33">
        <v>0</v>
      </c>
      <c r="Q1122" s="33">
        <f t="shared" si="624"/>
        <v>0.99999992920542657</v>
      </c>
      <c r="R1122" s="33">
        <v>0</v>
      </c>
      <c r="S1122" s="33">
        <f t="shared" si="625"/>
        <v>7.0794573426541869E-8</v>
      </c>
      <c r="T1122" s="8">
        <f t="shared" si="626"/>
        <v>1</v>
      </c>
      <c r="U1122" s="33">
        <f t="shared" si="627"/>
        <v>0</v>
      </c>
      <c r="V1122" s="33">
        <f t="shared" si="628"/>
        <v>-0.99999992920542657</v>
      </c>
      <c r="W1122" s="33">
        <f t="shared" si="629"/>
        <v>426.97500007079452</v>
      </c>
      <c r="X1122" s="33">
        <v>96485</v>
      </c>
      <c r="Y1122" s="16">
        <f t="shared" si="630"/>
        <v>-225.97340161224406</v>
      </c>
      <c r="Z1122" s="16">
        <v>8</v>
      </c>
      <c r="AA1122" s="16">
        <v>13</v>
      </c>
      <c r="AB1122" s="8">
        <f t="shared" si="631"/>
        <v>0.38866396761133604</v>
      </c>
      <c r="AC1122" s="16">
        <f t="shared" si="637"/>
        <v>57.713651498335182</v>
      </c>
      <c r="AD1122" s="20">
        <f>'PFAS Properties'!$W$52</f>
        <v>6</v>
      </c>
      <c r="AE1122" s="8">
        <f>'PFAS Properties'!$S$52</f>
        <v>4.0402066275747108</v>
      </c>
      <c r="AF1122" s="2">
        <f>'PFAS Properties'!$V$52</f>
        <v>3.9</v>
      </c>
      <c r="AG1122" s="24">
        <v>7.55</v>
      </c>
      <c r="AH1122" s="15" t="s">
        <v>830</v>
      </c>
      <c r="AI1122" s="2" t="s">
        <v>661</v>
      </c>
      <c r="AJ1122" s="2" t="s">
        <v>661</v>
      </c>
      <c r="AK1122" s="2" t="s">
        <v>661</v>
      </c>
      <c r="AL1122" s="2" t="s">
        <v>661</v>
      </c>
      <c r="AM1122" s="2" t="s">
        <v>661</v>
      </c>
      <c r="AN1122" s="2" t="s">
        <v>661</v>
      </c>
      <c r="AO1122" s="2" t="s">
        <v>661</v>
      </c>
      <c r="AP1122" s="15">
        <v>2.52</v>
      </c>
      <c r="AQ1122" s="16" t="s">
        <v>689</v>
      </c>
      <c r="AR1122" s="16">
        <v>45.3</v>
      </c>
      <c r="AS1122" s="16">
        <v>30</v>
      </c>
      <c r="AT1122" s="16">
        <v>24.7</v>
      </c>
      <c r="AU1122" s="16" t="s">
        <v>664</v>
      </c>
      <c r="AV1122" s="16">
        <f t="shared" si="632"/>
        <v>100</v>
      </c>
      <c r="AW1122" s="20">
        <v>3.4</v>
      </c>
      <c r="AX1122" s="8">
        <f t="shared" si="633"/>
        <v>3.4000000000000002E-2</v>
      </c>
      <c r="AY1122" s="8" t="s">
        <v>342</v>
      </c>
      <c r="AZ1122" s="16">
        <f t="shared" ref="AZ1122:AZ1132" si="638">1/0.01</f>
        <v>100</v>
      </c>
      <c r="BA1122" s="16" t="s">
        <v>55</v>
      </c>
      <c r="BB1122" s="15">
        <f>5*K1122/1000</f>
        <v>2.139875</v>
      </c>
      <c r="BC1122" s="16">
        <f>5000*K1122/1000</f>
        <v>2139.875</v>
      </c>
      <c r="BD1122" s="24">
        <f>181.9*AX1122</f>
        <v>6.1846000000000005</v>
      </c>
      <c r="BE1122" s="16">
        <f t="shared" ref="BE1122:BE1174" si="639">BD1122/AX1122</f>
        <v>181.9</v>
      </c>
      <c r="BF1122" s="16">
        <f t="shared" ref="BF1122:BF1174" si="640">LOG(BE1122)</f>
        <v>2.2598326990634834</v>
      </c>
      <c r="BG1122" s="8">
        <f t="shared" ref="BG1122:BG1174" si="641">LOG(BD1122)</f>
        <v>0.79131161610573875</v>
      </c>
      <c r="BH1122" s="13" t="s">
        <v>343</v>
      </c>
      <c r="BI1122" s="8"/>
      <c r="BJ1122" s="13"/>
      <c r="BK1122" s="15"/>
      <c r="BL1122" s="15"/>
      <c r="BM1122" s="18"/>
      <c r="BN1122" s="8"/>
      <c r="BO1122" s="24"/>
    </row>
    <row r="1123" spans="1:67" s="14" customFormat="1" x14ac:dyDescent="0.3">
      <c r="A1123" s="20">
        <v>1121</v>
      </c>
      <c r="B1123" s="2" t="s">
        <v>775</v>
      </c>
      <c r="C1123" s="2">
        <v>2021</v>
      </c>
      <c r="D1123" s="2" t="s">
        <v>203</v>
      </c>
      <c r="E1123" s="10" t="s">
        <v>786</v>
      </c>
      <c r="F1123" s="20" t="s">
        <v>29</v>
      </c>
      <c r="G1123" s="2" t="s">
        <v>117</v>
      </c>
      <c r="H1123" s="2" t="str">
        <f>'PFAS Properties'!$B$52</f>
        <v>6:2 FTS</v>
      </c>
      <c r="I1123" s="2" t="str">
        <f>'PFAS Properties'!$C$52</f>
        <v>FTS</v>
      </c>
      <c r="J1123" s="2" t="str">
        <f>'PFAS Properties'!$D$52</f>
        <v>C8H5F13O3S</v>
      </c>
      <c r="K1123" s="25">
        <f>'PFAS Properties'!$P$52</f>
        <v>427.97499999999997</v>
      </c>
      <c r="L1123" s="2">
        <f>'PFAS Properties'!$X$52</f>
        <v>0.4</v>
      </c>
      <c r="M1123" s="2" t="str">
        <f>'PFAS Properties'!$Y$52</f>
        <v>-</v>
      </c>
      <c r="N1123" s="33">
        <v>0</v>
      </c>
      <c r="O1123" s="33">
        <v>0</v>
      </c>
      <c r="P1123" s="33">
        <v>0</v>
      </c>
      <c r="Q1123" s="33">
        <f t="shared" si="624"/>
        <v>0.99999998451183403</v>
      </c>
      <c r="R1123" s="33">
        <v>0</v>
      </c>
      <c r="S1123" s="33">
        <f t="shared" si="625"/>
        <v>1.5488165949241471E-8</v>
      </c>
      <c r="T1123" s="8">
        <f t="shared" ref="T1123:T1154" si="642">SUM(N1123:S1123)</f>
        <v>1</v>
      </c>
      <c r="U1123" s="33">
        <f t="shared" si="627"/>
        <v>0</v>
      </c>
      <c r="V1123" s="33">
        <f t="shared" si="628"/>
        <v>-0.99999998451183403</v>
      </c>
      <c r="W1123" s="33">
        <f t="shared" si="629"/>
        <v>426.97500001548809</v>
      </c>
      <c r="X1123" s="33">
        <v>96485</v>
      </c>
      <c r="Y1123" s="16">
        <f t="shared" si="630"/>
        <v>-225.97341413929249</v>
      </c>
      <c r="Z1123" s="16">
        <v>8</v>
      </c>
      <c r="AA1123" s="16">
        <v>13</v>
      </c>
      <c r="AB1123" s="8">
        <f t="shared" si="631"/>
        <v>0.38866396761133604</v>
      </c>
      <c r="AC1123" s="16">
        <f t="shared" si="637"/>
        <v>57.713651498335182</v>
      </c>
      <c r="AD1123" s="20">
        <f>'PFAS Properties'!$W$52</f>
        <v>6</v>
      </c>
      <c r="AE1123" s="8">
        <f>'PFAS Properties'!$S$52</f>
        <v>4.0402066275747108</v>
      </c>
      <c r="AF1123" s="2">
        <f>'PFAS Properties'!$V$52</f>
        <v>3.9</v>
      </c>
      <c r="AG1123" s="24">
        <v>8.2100000000000009</v>
      </c>
      <c r="AH1123" s="15" t="s">
        <v>830</v>
      </c>
      <c r="AI1123" s="2" t="s">
        <v>661</v>
      </c>
      <c r="AJ1123" s="2" t="s">
        <v>661</v>
      </c>
      <c r="AK1123" s="2" t="s">
        <v>661</v>
      </c>
      <c r="AL1123" s="2" t="s">
        <v>661</v>
      </c>
      <c r="AM1123" s="2" t="s">
        <v>661</v>
      </c>
      <c r="AN1123" s="2" t="s">
        <v>661</v>
      </c>
      <c r="AO1123" s="2" t="s">
        <v>661</v>
      </c>
      <c r="AP1123" s="15">
        <v>11.4</v>
      </c>
      <c r="AQ1123" s="16" t="s">
        <v>689</v>
      </c>
      <c r="AR1123" s="16">
        <v>28.7</v>
      </c>
      <c r="AS1123" s="16">
        <v>40</v>
      </c>
      <c r="AT1123" s="16">
        <v>31.3</v>
      </c>
      <c r="AU1123" s="16" t="s">
        <v>664</v>
      </c>
      <c r="AV1123" s="16">
        <f t="shared" si="632"/>
        <v>100</v>
      </c>
      <c r="AW1123" s="20">
        <v>1.7</v>
      </c>
      <c r="AX1123" s="8">
        <f t="shared" si="633"/>
        <v>1.7000000000000001E-2</v>
      </c>
      <c r="AY1123" s="8" t="s">
        <v>342</v>
      </c>
      <c r="AZ1123" s="16">
        <f t="shared" si="638"/>
        <v>100</v>
      </c>
      <c r="BA1123" s="16" t="s">
        <v>55</v>
      </c>
      <c r="BB1123" s="15">
        <f>5*K1123/1000</f>
        <v>2.139875</v>
      </c>
      <c r="BC1123" s="16">
        <f>5000*K1123/1000</f>
        <v>2139.875</v>
      </c>
      <c r="BD1123" s="24">
        <f>85.3*AX1123</f>
        <v>1.4501000000000002</v>
      </c>
      <c r="BE1123" s="16">
        <f t="shared" si="639"/>
        <v>85.3</v>
      </c>
      <c r="BF1123" s="16">
        <f t="shared" si="640"/>
        <v>1.930949031167523</v>
      </c>
      <c r="BG1123" s="8">
        <f t="shared" si="641"/>
        <v>0.161397952545797</v>
      </c>
      <c r="BH1123" s="13" t="s">
        <v>343</v>
      </c>
      <c r="BI1123" s="16"/>
      <c r="BJ1123" s="13"/>
      <c r="BK1123" s="15"/>
      <c r="BL1123" s="16"/>
      <c r="BM1123" s="18"/>
      <c r="BN1123" s="8"/>
      <c r="BO1123" s="24"/>
    </row>
    <row r="1124" spans="1:67" s="14" customFormat="1" x14ac:dyDescent="0.3">
      <c r="A1124" s="20">
        <v>1122</v>
      </c>
      <c r="B1124" s="2" t="s">
        <v>775</v>
      </c>
      <c r="C1124" s="2">
        <v>2021</v>
      </c>
      <c r="D1124" s="2" t="s">
        <v>203</v>
      </c>
      <c r="E1124" s="10" t="s">
        <v>786</v>
      </c>
      <c r="F1124" s="20" t="s">
        <v>29</v>
      </c>
      <c r="G1124" s="2" t="s">
        <v>118</v>
      </c>
      <c r="H1124" s="2" t="str">
        <f>'PFAS Properties'!$B$52</f>
        <v>6:2 FTS</v>
      </c>
      <c r="I1124" s="2" t="str">
        <f>'PFAS Properties'!$C$52</f>
        <v>FTS</v>
      </c>
      <c r="J1124" s="2" t="str">
        <f>'PFAS Properties'!$D$52</f>
        <v>C8H5F13O3S</v>
      </c>
      <c r="K1124" s="25">
        <f>'PFAS Properties'!$P$52</f>
        <v>427.97499999999997</v>
      </c>
      <c r="L1124" s="2">
        <f>'PFAS Properties'!$X$52</f>
        <v>0.4</v>
      </c>
      <c r="M1124" s="2" t="str">
        <f>'PFAS Properties'!$Y$52</f>
        <v>-</v>
      </c>
      <c r="N1124" s="33">
        <v>0</v>
      </c>
      <c r="O1124" s="33">
        <v>0</v>
      </c>
      <c r="P1124" s="33">
        <v>0</v>
      </c>
      <c r="Q1124" s="33">
        <f t="shared" si="624"/>
        <v>0.9999993239174817</v>
      </c>
      <c r="R1124" s="33">
        <v>0</v>
      </c>
      <c r="S1124" s="33">
        <f t="shared" si="625"/>
        <v>6.7608251830410026E-7</v>
      </c>
      <c r="T1124" s="8">
        <f t="shared" si="642"/>
        <v>1</v>
      </c>
      <c r="U1124" s="33">
        <f t="shared" si="627"/>
        <v>0</v>
      </c>
      <c r="V1124" s="33">
        <f t="shared" si="628"/>
        <v>-0.9999993239174817</v>
      </c>
      <c r="W1124" s="33">
        <f t="shared" si="629"/>
        <v>426.97500067608252</v>
      </c>
      <c r="X1124" s="33">
        <v>96485</v>
      </c>
      <c r="Y1124" s="16">
        <f t="shared" si="630"/>
        <v>-225.97326451291448</v>
      </c>
      <c r="Z1124" s="16">
        <v>8</v>
      </c>
      <c r="AA1124" s="16">
        <v>13</v>
      </c>
      <c r="AB1124" s="8">
        <f t="shared" si="631"/>
        <v>0.38866396761133604</v>
      </c>
      <c r="AC1124" s="16">
        <f t="shared" si="637"/>
        <v>57.713651498335182</v>
      </c>
      <c r="AD1124" s="20">
        <f>'PFAS Properties'!$W$52</f>
        <v>6</v>
      </c>
      <c r="AE1124" s="8">
        <f>'PFAS Properties'!$S$52</f>
        <v>4.0402066275747108</v>
      </c>
      <c r="AF1124" s="2">
        <f>'PFAS Properties'!$V$52</f>
        <v>3.9</v>
      </c>
      <c r="AG1124" s="24">
        <v>6.57</v>
      </c>
      <c r="AH1124" s="15" t="s">
        <v>830</v>
      </c>
      <c r="AI1124" s="2" t="s">
        <v>661</v>
      </c>
      <c r="AJ1124" s="2" t="s">
        <v>661</v>
      </c>
      <c r="AK1124" s="2" t="s">
        <v>661</v>
      </c>
      <c r="AL1124" s="2" t="s">
        <v>661</v>
      </c>
      <c r="AM1124" s="2" t="s">
        <v>661</v>
      </c>
      <c r="AN1124" s="2" t="s">
        <v>661</v>
      </c>
      <c r="AO1124" s="2" t="s">
        <v>661</v>
      </c>
      <c r="AP1124" s="15">
        <v>9.93</v>
      </c>
      <c r="AQ1124" s="16" t="s">
        <v>689</v>
      </c>
      <c r="AR1124" s="16">
        <v>20</v>
      </c>
      <c r="AS1124" s="16">
        <v>50</v>
      </c>
      <c r="AT1124" s="16">
        <v>30</v>
      </c>
      <c r="AU1124" s="16" t="s">
        <v>664</v>
      </c>
      <c r="AV1124" s="16">
        <f t="shared" si="632"/>
        <v>100</v>
      </c>
      <c r="AW1124" s="20">
        <v>2.9</v>
      </c>
      <c r="AX1124" s="8">
        <f t="shared" si="633"/>
        <v>2.8999999999999998E-2</v>
      </c>
      <c r="AY1124" s="8" t="s">
        <v>342</v>
      </c>
      <c r="AZ1124" s="16">
        <f t="shared" si="638"/>
        <v>100</v>
      </c>
      <c r="BA1124" s="16" t="s">
        <v>55</v>
      </c>
      <c r="BB1124" s="15">
        <f>5*K1124/1000</f>
        <v>2.139875</v>
      </c>
      <c r="BC1124" s="16">
        <f>5000*K1124/1000</f>
        <v>2139.875</v>
      </c>
      <c r="BD1124" s="24">
        <f>105.7*AX1124</f>
        <v>3.0652999999999997</v>
      </c>
      <c r="BE1124" s="16">
        <f t="shared" si="639"/>
        <v>105.7</v>
      </c>
      <c r="BF1124" s="16">
        <f t="shared" si="640"/>
        <v>2.0240749873074262</v>
      </c>
      <c r="BG1124" s="8">
        <f t="shared" si="641"/>
        <v>0.48647298520638232</v>
      </c>
      <c r="BH1124" s="13" t="s">
        <v>343</v>
      </c>
      <c r="BI1124" s="15"/>
      <c r="BJ1124" s="13"/>
      <c r="BK1124" s="15"/>
      <c r="BL1124" s="15"/>
      <c r="BM1124" s="18"/>
      <c r="BN1124" s="8"/>
      <c r="BO1124" s="24"/>
    </row>
    <row r="1125" spans="1:67" s="14" customFormat="1" x14ac:dyDescent="0.3">
      <c r="A1125" s="20">
        <v>1123</v>
      </c>
      <c r="B1125" s="2" t="s">
        <v>775</v>
      </c>
      <c r="C1125" s="2">
        <v>2021</v>
      </c>
      <c r="D1125" s="2" t="s">
        <v>203</v>
      </c>
      <c r="E1125" s="10" t="s">
        <v>786</v>
      </c>
      <c r="F1125" s="20" t="s">
        <v>29</v>
      </c>
      <c r="G1125" s="2" t="s">
        <v>119</v>
      </c>
      <c r="H1125" s="2" t="str">
        <f>'PFAS Properties'!$B$52</f>
        <v>6:2 FTS</v>
      </c>
      <c r="I1125" s="2" t="str">
        <f>'PFAS Properties'!$C$52</f>
        <v>FTS</v>
      </c>
      <c r="J1125" s="2" t="str">
        <f>'PFAS Properties'!$D$52</f>
        <v>C8H5F13O3S</v>
      </c>
      <c r="K1125" s="25">
        <f>'PFAS Properties'!$P$52</f>
        <v>427.97499999999997</v>
      </c>
      <c r="L1125" s="2">
        <f>'PFAS Properties'!$X$52</f>
        <v>0.4</v>
      </c>
      <c r="M1125" s="2" t="str">
        <f>'PFAS Properties'!$Y$52</f>
        <v>-</v>
      </c>
      <c r="N1125" s="33">
        <v>0</v>
      </c>
      <c r="O1125" s="33">
        <v>0</v>
      </c>
      <c r="P1125" s="33">
        <v>0</v>
      </c>
      <c r="Q1125" s="33">
        <f t="shared" si="624"/>
        <v>0.99992057348559982</v>
      </c>
      <c r="R1125" s="33">
        <v>0</v>
      </c>
      <c r="S1125" s="33">
        <f t="shared" si="625"/>
        <v>7.9426514400130776E-5</v>
      </c>
      <c r="T1125" s="8">
        <f t="shared" si="642"/>
        <v>1</v>
      </c>
      <c r="U1125" s="33">
        <f t="shared" si="627"/>
        <v>0</v>
      </c>
      <c r="V1125" s="33">
        <f t="shared" si="628"/>
        <v>-0.99992057348559982</v>
      </c>
      <c r="W1125" s="33">
        <f t="shared" si="629"/>
        <v>426.9750794265143</v>
      </c>
      <c r="X1125" s="33">
        <v>96485</v>
      </c>
      <c r="Y1125" s="16">
        <f t="shared" si="630"/>
        <v>-225.95542733393316</v>
      </c>
      <c r="Z1125" s="16">
        <v>8</v>
      </c>
      <c r="AA1125" s="16">
        <v>13</v>
      </c>
      <c r="AB1125" s="8">
        <f t="shared" si="631"/>
        <v>0.38866396761133604</v>
      </c>
      <c r="AC1125" s="16">
        <f t="shared" si="637"/>
        <v>57.713651498335182</v>
      </c>
      <c r="AD1125" s="20">
        <f>'PFAS Properties'!$W$52</f>
        <v>6</v>
      </c>
      <c r="AE1125" s="8">
        <f>'PFAS Properties'!$S$52</f>
        <v>4.0402066275747108</v>
      </c>
      <c r="AF1125" s="2">
        <f>'PFAS Properties'!$V$52</f>
        <v>3.9</v>
      </c>
      <c r="AG1125" s="24">
        <v>4.5</v>
      </c>
      <c r="AH1125" s="15" t="s">
        <v>830</v>
      </c>
      <c r="AI1125" s="2" t="s">
        <v>661</v>
      </c>
      <c r="AJ1125" s="2" t="s">
        <v>661</v>
      </c>
      <c r="AK1125" s="2" t="s">
        <v>661</v>
      </c>
      <c r="AL1125" s="2" t="s">
        <v>661</v>
      </c>
      <c r="AM1125" s="2" t="s">
        <v>661</v>
      </c>
      <c r="AN1125" s="2" t="s">
        <v>661</v>
      </c>
      <c r="AO1125" s="2" t="s">
        <v>661</v>
      </c>
      <c r="AP1125" s="72">
        <v>11.497016666666671</v>
      </c>
      <c r="AQ1125" s="70" t="s">
        <v>752</v>
      </c>
      <c r="AR1125" s="16">
        <v>51.2</v>
      </c>
      <c r="AS1125" s="16">
        <v>36.200000000000003</v>
      </c>
      <c r="AT1125" s="16">
        <v>12.6</v>
      </c>
      <c r="AU1125" s="16" t="s">
        <v>664</v>
      </c>
      <c r="AV1125" s="16">
        <f t="shared" si="632"/>
        <v>100</v>
      </c>
      <c r="AW1125" s="20">
        <v>7.3</v>
      </c>
      <c r="AX1125" s="8">
        <f t="shared" si="633"/>
        <v>7.2999999999999995E-2</v>
      </c>
      <c r="AY1125" s="8" t="s">
        <v>342</v>
      </c>
      <c r="AZ1125" s="16">
        <f t="shared" si="638"/>
        <v>100</v>
      </c>
      <c r="BA1125" s="16" t="s">
        <v>55</v>
      </c>
      <c r="BB1125" s="15">
        <f>5*K1125/1000</f>
        <v>2.139875</v>
      </c>
      <c r="BC1125" s="16">
        <f>5000*K1125/1000</f>
        <v>2139.875</v>
      </c>
      <c r="BD1125" s="24">
        <f>83.2*AX1125</f>
        <v>6.0735999999999999</v>
      </c>
      <c r="BE1125" s="16">
        <f t="shared" si="639"/>
        <v>83.2</v>
      </c>
      <c r="BF1125" s="16">
        <f t="shared" si="640"/>
        <v>1.920123326290724</v>
      </c>
      <c r="BG1125" s="8">
        <f t="shared" si="641"/>
        <v>0.7834461864111798</v>
      </c>
      <c r="BH1125" s="13" t="s">
        <v>343</v>
      </c>
      <c r="BI1125" s="15"/>
      <c r="BJ1125" s="13"/>
      <c r="BK1125" s="15"/>
      <c r="BL1125" s="15"/>
      <c r="BM1125" s="18"/>
      <c r="BN1125" s="8"/>
      <c r="BO1125" s="24"/>
    </row>
    <row r="1126" spans="1:67" s="14" customFormat="1" x14ac:dyDescent="0.3">
      <c r="A1126" s="20">
        <v>1124</v>
      </c>
      <c r="B1126" s="2" t="s">
        <v>775</v>
      </c>
      <c r="C1126" s="2">
        <v>2021</v>
      </c>
      <c r="D1126" s="2" t="s">
        <v>203</v>
      </c>
      <c r="E1126" s="10" t="s">
        <v>786</v>
      </c>
      <c r="F1126" s="20" t="s">
        <v>29</v>
      </c>
      <c r="G1126" s="2" t="s">
        <v>120</v>
      </c>
      <c r="H1126" s="2" t="str">
        <f>'PFAS Properties'!$B$52</f>
        <v>6:2 FTS</v>
      </c>
      <c r="I1126" s="2" t="str">
        <f>'PFAS Properties'!$C$52</f>
        <v>FTS</v>
      </c>
      <c r="J1126" s="2" t="str">
        <f>'PFAS Properties'!$D$52</f>
        <v>C8H5F13O3S</v>
      </c>
      <c r="K1126" s="25">
        <f>'PFAS Properties'!$P$52</f>
        <v>427.97499999999997</v>
      </c>
      <c r="L1126" s="2">
        <f>'PFAS Properties'!$X$52</f>
        <v>0.4</v>
      </c>
      <c r="M1126" s="2" t="str">
        <f>'PFAS Properties'!$Y$52</f>
        <v>-</v>
      </c>
      <c r="N1126" s="33">
        <v>0</v>
      </c>
      <c r="O1126" s="33">
        <v>0</v>
      </c>
      <c r="P1126" s="33">
        <v>0</v>
      </c>
      <c r="Q1126" s="33">
        <f t="shared" si="624"/>
        <v>0.9999822175221218</v>
      </c>
      <c r="R1126" s="33">
        <v>0</v>
      </c>
      <c r="S1126" s="33">
        <f t="shared" si="625"/>
        <v>1.7782477878246509E-5</v>
      </c>
      <c r="T1126" s="8">
        <f t="shared" si="642"/>
        <v>1</v>
      </c>
      <c r="U1126" s="33">
        <f t="shared" si="627"/>
        <v>0</v>
      </c>
      <c r="V1126" s="33">
        <f t="shared" si="628"/>
        <v>-0.9999822175221218</v>
      </c>
      <c r="W1126" s="33">
        <f t="shared" si="629"/>
        <v>426.97501778247783</v>
      </c>
      <c r="X1126" s="33">
        <v>96485</v>
      </c>
      <c r="Y1126" s="16">
        <f t="shared" si="630"/>
        <v>-225.96938986902339</v>
      </c>
      <c r="Z1126" s="16">
        <v>8</v>
      </c>
      <c r="AA1126" s="16">
        <v>13</v>
      </c>
      <c r="AB1126" s="8">
        <f t="shared" si="631"/>
        <v>0.38866396761133604</v>
      </c>
      <c r="AC1126" s="16">
        <f t="shared" si="637"/>
        <v>57.713651498335182</v>
      </c>
      <c r="AD1126" s="20">
        <f>'PFAS Properties'!$W$52</f>
        <v>6</v>
      </c>
      <c r="AE1126" s="8">
        <f>'PFAS Properties'!$S$52</f>
        <v>4.0402066275747108</v>
      </c>
      <c r="AF1126" s="2">
        <f>'PFAS Properties'!$V$52</f>
        <v>3.9</v>
      </c>
      <c r="AG1126" s="24">
        <v>5.15</v>
      </c>
      <c r="AH1126" s="2" t="s">
        <v>830</v>
      </c>
      <c r="AI1126" s="2" t="s">
        <v>661</v>
      </c>
      <c r="AJ1126" s="2" t="s">
        <v>661</v>
      </c>
      <c r="AK1126" s="2" t="s">
        <v>661</v>
      </c>
      <c r="AL1126" s="2" t="s">
        <v>661</v>
      </c>
      <c r="AM1126" s="2" t="s">
        <v>661</v>
      </c>
      <c r="AN1126" s="2" t="s">
        <v>661</v>
      </c>
      <c r="AO1126" s="2" t="s">
        <v>661</v>
      </c>
      <c r="AP1126" s="15">
        <v>0.57999999999999996</v>
      </c>
      <c r="AQ1126" s="16" t="s">
        <v>689</v>
      </c>
      <c r="AR1126" s="16">
        <v>59.2</v>
      </c>
      <c r="AS1126" s="16">
        <v>32.200000000000003</v>
      </c>
      <c r="AT1126" s="16">
        <v>8.6</v>
      </c>
      <c r="AU1126" s="16" t="s">
        <v>664</v>
      </c>
      <c r="AV1126" s="16">
        <f t="shared" si="632"/>
        <v>100</v>
      </c>
      <c r="AW1126" s="20">
        <v>1.8</v>
      </c>
      <c r="AX1126" s="8">
        <f t="shared" si="633"/>
        <v>1.8000000000000002E-2</v>
      </c>
      <c r="AY1126" s="13" t="s">
        <v>342</v>
      </c>
      <c r="AZ1126" s="16">
        <f t="shared" si="638"/>
        <v>100</v>
      </c>
      <c r="BA1126" s="16" t="s">
        <v>55</v>
      </c>
      <c r="BB1126" s="15">
        <f>5*K1126/1000</f>
        <v>2.139875</v>
      </c>
      <c r="BC1126" s="16">
        <f>5000*K1126/1000</f>
        <v>2139.875</v>
      </c>
      <c r="BD1126" s="24">
        <f>14.7*AX1126</f>
        <v>0.2646</v>
      </c>
      <c r="BE1126" s="16">
        <f t="shared" si="639"/>
        <v>14.699999999999998</v>
      </c>
      <c r="BF1126" s="16">
        <f t="shared" si="640"/>
        <v>1.167317334748176</v>
      </c>
      <c r="BG1126" s="8">
        <f t="shared" si="641"/>
        <v>-0.57741016014851787</v>
      </c>
      <c r="BH1126" s="13" t="s">
        <v>343</v>
      </c>
      <c r="BI1126" s="15"/>
      <c r="BJ1126" s="13"/>
      <c r="BK1126" s="15"/>
      <c r="BL1126" s="16"/>
      <c r="BM1126" s="18"/>
      <c r="BN1126" s="8"/>
      <c r="BO1126" s="24"/>
    </row>
    <row r="1127" spans="1:67" s="14" customFormat="1" x14ac:dyDescent="0.3">
      <c r="A1127" s="20">
        <v>1125</v>
      </c>
      <c r="B1127" s="2" t="s">
        <v>294</v>
      </c>
      <c r="C1127" s="2">
        <v>2017</v>
      </c>
      <c r="D1127" s="2" t="s">
        <v>203</v>
      </c>
      <c r="E1127" s="22" t="s">
        <v>789</v>
      </c>
      <c r="F1127" s="20" t="s">
        <v>29</v>
      </c>
      <c r="G1127" s="2">
        <v>1</v>
      </c>
      <c r="H1127" s="2" t="str">
        <f>'PFAS Properties'!$B$52</f>
        <v>6:2 FTS</v>
      </c>
      <c r="I1127" s="2" t="str">
        <f>'PFAS Properties'!$C$52</f>
        <v>FTS</v>
      </c>
      <c r="J1127" s="2" t="str">
        <f>'PFAS Properties'!$D$52</f>
        <v>C8H5F13O3S</v>
      </c>
      <c r="K1127" s="25">
        <f>'PFAS Properties'!$P$52</f>
        <v>427.97499999999997</v>
      </c>
      <c r="L1127" s="2">
        <f>'PFAS Properties'!$X$52</f>
        <v>0.4</v>
      </c>
      <c r="M1127" s="2" t="str">
        <f>'PFAS Properties'!$Y$52</f>
        <v>-</v>
      </c>
      <c r="N1127" s="33">
        <v>0</v>
      </c>
      <c r="O1127" s="33">
        <v>0</v>
      </c>
      <c r="P1127" s="33">
        <v>0</v>
      </c>
      <c r="Q1127" s="33">
        <f t="shared" si="624"/>
        <v>0.99998004777494953</v>
      </c>
      <c r="R1127" s="33">
        <v>0</v>
      </c>
      <c r="S1127" s="33">
        <f t="shared" si="625"/>
        <v>1.9952225050461375E-5</v>
      </c>
      <c r="T1127" s="8">
        <f t="shared" si="642"/>
        <v>1</v>
      </c>
      <c r="U1127" s="33">
        <f t="shared" si="627"/>
        <v>0</v>
      </c>
      <c r="V1127" s="33">
        <f t="shared" si="628"/>
        <v>-0.99998004777494953</v>
      </c>
      <c r="W1127" s="33">
        <f t="shared" si="629"/>
        <v>426.97501995222501</v>
      </c>
      <c r="X1127" s="33">
        <v>96485</v>
      </c>
      <c r="Y1127" s="16">
        <f t="shared" si="630"/>
        <v>-225.96889841555992</v>
      </c>
      <c r="Z1127" s="16">
        <v>8</v>
      </c>
      <c r="AA1127" s="16">
        <v>13</v>
      </c>
      <c r="AB1127" s="8">
        <f t="shared" si="631"/>
        <v>0.38866396761133604</v>
      </c>
      <c r="AC1127" s="16">
        <f t="shared" si="637"/>
        <v>57.713651498335182</v>
      </c>
      <c r="AD1127" s="20">
        <f>'PFAS Properties'!$W$52</f>
        <v>6</v>
      </c>
      <c r="AE1127" s="8">
        <f>'PFAS Properties'!$S$52</f>
        <v>4.0402066275747108</v>
      </c>
      <c r="AF1127" s="2">
        <f>'PFAS Properties'!$V$52</f>
        <v>3.9</v>
      </c>
      <c r="AG1127" s="24">
        <v>5.0999999999999996</v>
      </c>
      <c r="AH1127" s="2" t="s">
        <v>831</v>
      </c>
      <c r="AI1127" s="2" t="s">
        <v>661</v>
      </c>
      <c r="AJ1127" s="2" t="s">
        <v>661</v>
      </c>
      <c r="AK1127" s="2" t="s">
        <v>661</v>
      </c>
      <c r="AL1127" s="2" t="s">
        <v>661</v>
      </c>
      <c r="AM1127" s="2" t="s">
        <v>661</v>
      </c>
      <c r="AN1127" s="2" t="s">
        <v>661</v>
      </c>
      <c r="AO1127" s="2" t="s">
        <v>661</v>
      </c>
      <c r="AP1127" s="15">
        <v>14</v>
      </c>
      <c r="AQ1127" s="16" t="s">
        <v>712</v>
      </c>
      <c r="AR1127" s="16">
        <v>6.3</v>
      </c>
      <c r="AS1127" s="16">
        <v>71</v>
      </c>
      <c r="AT1127" s="16">
        <v>22</v>
      </c>
      <c r="AU1127" s="2" t="s">
        <v>661</v>
      </c>
      <c r="AV1127" s="16">
        <f t="shared" si="632"/>
        <v>99.3</v>
      </c>
      <c r="AW1127" s="20">
        <v>1.5</v>
      </c>
      <c r="AX1127" s="8">
        <f t="shared" si="633"/>
        <v>1.4999999999999999E-2</v>
      </c>
      <c r="AY1127" s="8" t="s">
        <v>295</v>
      </c>
      <c r="AZ1127" s="16">
        <f t="shared" si="638"/>
        <v>100</v>
      </c>
      <c r="BA1127" s="16" t="s">
        <v>55</v>
      </c>
      <c r="BB1127" s="15">
        <f t="shared" ref="BB1127:BB1132" si="643">(0.47*K1127)/1000</f>
        <v>0.20114824999999997</v>
      </c>
      <c r="BC1127" s="16">
        <f>(49000*K1127)/1000</f>
        <v>20970.775000000001</v>
      </c>
      <c r="BD1127" s="24">
        <v>5.9</v>
      </c>
      <c r="BE1127" s="16">
        <f t="shared" si="639"/>
        <v>393.33333333333337</v>
      </c>
      <c r="BF1127" s="16">
        <f t="shared" si="640"/>
        <v>2.5947607525864629</v>
      </c>
      <c r="BG1127" s="8">
        <f t="shared" si="641"/>
        <v>0.77085201164214423</v>
      </c>
      <c r="BH1127" s="13" t="s">
        <v>352</v>
      </c>
      <c r="BI1127" s="16"/>
      <c r="BJ1127" s="13"/>
      <c r="BK1127" s="15"/>
      <c r="BL1127" s="15"/>
      <c r="BM1127" s="18"/>
      <c r="BN1127" s="8"/>
      <c r="BO1127" s="24"/>
    </row>
    <row r="1128" spans="1:67" s="14" customFormat="1" x14ac:dyDescent="0.3">
      <c r="A1128" s="20">
        <v>1126</v>
      </c>
      <c r="B1128" s="2" t="s">
        <v>294</v>
      </c>
      <c r="C1128" s="2">
        <v>2017</v>
      </c>
      <c r="D1128" s="2" t="s">
        <v>203</v>
      </c>
      <c r="E1128" s="22" t="s">
        <v>789</v>
      </c>
      <c r="F1128" s="20" t="s">
        <v>29</v>
      </c>
      <c r="G1128" s="2">
        <v>2</v>
      </c>
      <c r="H1128" s="2" t="str">
        <f>'PFAS Properties'!$B$52</f>
        <v>6:2 FTS</v>
      </c>
      <c r="I1128" s="2" t="str">
        <f>'PFAS Properties'!$C$52</f>
        <v>FTS</v>
      </c>
      <c r="J1128" s="2" t="str">
        <f>'PFAS Properties'!$D$52</f>
        <v>C8H5F13O3S</v>
      </c>
      <c r="K1128" s="25">
        <f>'PFAS Properties'!$P$52</f>
        <v>427.97499999999997</v>
      </c>
      <c r="L1128" s="2">
        <f>'PFAS Properties'!$X$52</f>
        <v>0.4</v>
      </c>
      <c r="M1128" s="2" t="str">
        <f>'PFAS Properties'!$Y$52</f>
        <v>-</v>
      </c>
      <c r="N1128" s="33">
        <v>0</v>
      </c>
      <c r="O1128" s="33">
        <v>0</v>
      </c>
      <c r="P1128" s="33">
        <v>0</v>
      </c>
      <c r="Q1128" s="33">
        <f t="shared" si="624"/>
        <v>0.99999205678074798</v>
      </c>
      <c r="R1128" s="33">
        <v>0</v>
      </c>
      <c r="S1128" s="33">
        <f t="shared" si="625"/>
        <v>7.9432192520095431E-6</v>
      </c>
      <c r="T1128" s="8">
        <f t="shared" si="642"/>
        <v>1</v>
      </c>
      <c r="U1128" s="33">
        <f t="shared" si="627"/>
        <v>0</v>
      </c>
      <c r="V1128" s="33">
        <f t="shared" si="628"/>
        <v>-0.99999205678074798</v>
      </c>
      <c r="W1128" s="33">
        <f t="shared" si="629"/>
        <v>426.97500794321923</v>
      </c>
      <c r="X1128" s="33">
        <v>96485</v>
      </c>
      <c r="Y1128" s="16">
        <f t="shared" si="630"/>
        <v>-225.97161848714413</v>
      </c>
      <c r="Z1128" s="16">
        <v>8</v>
      </c>
      <c r="AA1128" s="16">
        <v>13</v>
      </c>
      <c r="AB1128" s="8">
        <f t="shared" si="631"/>
        <v>0.38866396761133604</v>
      </c>
      <c r="AC1128" s="16">
        <f t="shared" si="637"/>
        <v>57.713651498335182</v>
      </c>
      <c r="AD1128" s="20">
        <f>'PFAS Properties'!$W$52</f>
        <v>6</v>
      </c>
      <c r="AE1128" s="8">
        <f>'PFAS Properties'!$S$52</f>
        <v>4.0402066275747108</v>
      </c>
      <c r="AF1128" s="2">
        <f>'PFAS Properties'!$V$52</f>
        <v>3.9</v>
      </c>
      <c r="AG1128" s="24">
        <v>5.5</v>
      </c>
      <c r="AH1128" s="2" t="s">
        <v>831</v>
      </c>
      <c r="AI1128" s="2" t="s">
        <v>661</v>
      </c>
      <c r="AJ1128" s="2" t="s">
        <v>661</v>
      </c>
      <c r="AK1128" s="2" t="s">
        <v>661</v>
      </c>
      <c r="AL1128" s="2" t="s">
        <v>661</v>
      </c>
      <c r="AM1128" s="2" t="s">
        <v>661</v>
      </c>
      <c r="AN1128" s="2" t="s">
        <v>661</v>
      </c>
      <c r="AO1128" s="2" t="s">
        <v>661</v>
      </c>
      <c r="AP1128" s="15">
        <v>22</v>
      </c>
      <c r="AQ1128" s="16" t="s">
        <v>712</v>
      </c>
      <c r="AR1128" s="16">
        <v>10</v>
      </c>
      <c r="AS1128" s="16">
        <v>64</v>
      </c>
      <c r="AT1128" s="16">
        <v>26</v>
      </c>
      <c r="AU1128" s="2" t="s">
        <v>661</v>
      </c>
      <c r="AV1128" s="16">
        <f t="shared" si="632"/>
        <v>100</v>
      </c>
      <c r="AW1128" s="20">
        <v>0.12</v>
      </c>
      <c r="AX1128" s="8">
        <f t="shared" si="633"/>
        <v>1.1999999999999999E-3</v>
      </c>
      <c r="AY1128" s="8" t="s">
        <v>295</v>
      </c>
      <c r="AZ1128" s="16">
        <f t="shared" si="638"/>
        <v>100</v>
      </c>
      <c r="BA1128" s="16" t="s">
        <v>55</v>
      </c>
      <c r="BB1128" s="15">
        <f t="shared" si="643"/>
        <v>0.20114824999999997</v>
      </c>
      <c r="BC1128" s="16">
        <f>(120*K1128)/1000</f>
        <v>51.356999999999992</v>
      </c>
      <c r="BD1128" s="24">
        <v>5.7</v>
      </c>
      <c r="BE1128" s="16">
        <f t="shared" si="639"/>
        <v>4750.0000000000009</v>
      </c>
      <c r="BF1128" s="16">
        <f t="shared" si="640"/>
        <v>3.6766936096248668</v>
      </c>
      <c r="BG1128" s="8">
        <f t="shared" si="641"/>
        <v>0.75587485567249146</v>
      </c>
      <c r="BH1128" s="13" t="s">
        <v>352</v>
      </c>
      <c r="BI1128" s="16"/>
      <c r="BJ1128" s="13"/>
      <c r="BK1128" s="15"/>
      <c r="BL1128" s="16"/>
      <c r="BM1128" s="18"/>
      <c r="BN1128" s="8"/>
      <c r="BO1128" s="24"/>
    </row>
    <row r="1129" spans="1:67" s="14" customFormat="1" x14ac:dyDescent="0.3">
      <c r="A1129" s="20">
        <v>1127</v>
      </c>
      <c r="B1129" s="2" t="s">
        <v>294</v>
      </c>
      <c r="C1129" s="2">
        <v>2017</v>
      </c>
      <c r="D1129" s="2" t="s">
        <v>203</v>
      </c>
      <c r="E1129" s="22" t="s">
        <v>789</v>
      </c>
      <c r="F1129" s="20" t="s">
        <v>29</v>
      </c>
      <c r="G1129" s="2">
        <v>3</v>
      </c>
      <c r="H1129" s="2" t="str">
        <f>'PFAS Properties'!$B$52</f>
        <v>6:2 FTS</v>
      </c>
      <c r="I1129" s="2" t="str">
        <f>'PFAS Properties'!$C$52</f>
        <v>FTS</v>
      </c>
      <c r="J1129" s="2" t="str">
        <f>'PFAS Properties'!$D$52</f>
        <v>C8H5F13O3S</v>
      </c>
      <c r="K1129" s="25">
        <f>'PFAS Properties'!$P$52</f>
        <v>427.97499999999997</v>
      </c>
      <c r="L1129" s="2">
        <f>'PFAS Properties'!$X$52</f>
        <v>0.4</v>
      </c>
      <c r="M1129" s="2" t="str">
        <f>'PFAS Properties'!$Y$52</f>
        <v>-</v>
      </c>
      <c r="N1129" s="33">
        <v>0</v>
      </c>
      <c r="O1129" s="33">
        <v>0</v>
      </c>
      <c r="P1129" s="33">
        <v>0</v>
      </c>
      <c r="Q1129" s="33">
        <f t="shared" si="624"/>
        <v>0.99998004777494953</v>
      </c>
      <c r="R1129" s="33">
        <v>0</v>
      </c>
      <c r="S1129" s="33">
        <f t="shared" si="625"/>
        <v>1.9952225050461375E-5</v>
      </c>
      <c r="T1129" s="8">
        <f t="shared" si="642"/>
        <v>1</v>
      </c>
      <c r="U1129" s="33">
        <f t="shared" si="627"/>
        <v>0</v>
      </c>
      <c r="V1129" s="33">
        <f t="shared" si="628"/>
        <v>-0.99998004777494953</v>
      </c>
      <c r="W1129" s="33">
        <f t="shared" si="629"/>
        <v>426.97501995222501</v>
      </c>
      <c r="X1129" s="33">
        <v>96485</v>
      </c>
      <c r="Y1129" s="16">
        <f t="shared" si="630"/>
        <v>-225.96889841555992</v>
      </c>
      <c r="Z1129" s="16">
        <v>8</v>
      </c>
      <c r="AA1129" s="16">
        <v>13</v>
      </c>
      <c r="AB1129" s="8">
        <f t="shared" si="631"/>
        <v>0.38866396761133604</v>
      </c>
      <c r="AC1129" s="16">
        <f t="shared" si="637"/>
        <v>57.713651498335182</v>
      </c>
      <c r="AD1129" s="20">
        <f>'PFAS Properties'!$W$52</f>
        <v>6</v>
      </c>
      <c r="AE1129" s="8">
        <f>'PFAS Properties'!$S$52</f>
        <v>4.0402066275747108</v>
      </c>
      <c r="AF1129" s="2">
        <f>'PFAS Properties'!$V$52</f>
        <v>3.9</v>
      </c>
      <c r="AG1129" s="24">
        <v>5.0999999999999996</v>
      </c>
      <c r="AH1129" s="2" t="s">
        <v>831</v>
      </c>
      <c r="AI1129" s="2" t="s">
        <v>661</v>
      </c>
      <c r="AJ1129" s="2" t="s">
        <v>661</v>
      </c>
      <c r="AK1129" s="2" t="s">
        <v>661</v>
      </c>
      <c r="AL1129" s="2" t="s">
        <v>661</v>
      </c>
      <c r="AM1129" s="2" t="s">
        <v>661</v>
      </c>
      <c r="AN1129" s="2" t="s">
        <v>661</v>
      </c>
      <c r="AO1129" s="2" t="s">
        <v>661</v>
      </c>
      <c r="AP1129" s="15">
        <v>17</v>
      </c>
      <c r="AQ1129" s="16" t="s">
        <v>712</v>
      </c>
      <c r="AR1129" s="16">
        <v>14</v>
      </c>
      <c r="AS1129" s="16">
        <v>39</v>
      </c>
      <c r="AT1129" s="16">
        <v>48</v>
      </c>
      <c r="AU1129" s="2" t="s">
        <v>661</v>
      </c>
      <c r="AV1129" s="16">
        <f t="shared" si="632"/>
        <v>101</v>
      </c>
      <c r="AW1129" s="20">
        <v>2.2999999999999998</v>
      </c>
      <c r="AX1129" s="8">
        <f t="shared" si="633"/>
        <v>2.3E-2</v>
      </c>
      <c r="AY1129" s="8" t="s">
        <v>295</v>
      </c>
      <c r="AZ1129" s="16">
        <f t="shared" si="638"/>
        <v>100</v>
      </c>
      <c r="BA1129" s="16" t="s">
        <v>55</v>
      </c>
      <c r="BB1129" s="15">
        <f t="shared" si="643"/>
        <v>0.20114824999999997</v>
      </c>
      <c r="BC1129" s="16">
        <f>(120*K1129)/1000</f>
        <v>51.356999999999992</v>
      </c>
      <c r="BD1129" s="24">
        <v>6.2</v>
      </c>
      <c r="BE1129" s="16">
        <f t="shared" si="639"/>
        <v>269.56521739130437</v>
      </c>
      <c r="BF1129" s="16">
        <f t="shared" si="640"/>
        <v>2.4306638534806608</v>
      </c>
      <c r="BG1129" s="8">
        <f t="shared" si="641"/>
        <v>0.79239168949825389</v>
      </c>
      <c r="BH1129" s="13" t="s">
        <v>352</v>
      </c>
      <c r="BI1129" s="15"/>
      <c r="BJ1129" s="13"/>
      <c r="BK1129" s="15"/>
      <c r="BL1129" s="15"/>
      <c r="BM1129" s="18"/>
      <c r="BN1129" s="8"/>
      <c r="BO1129" s="24"/>
    </row>
    <row r="1130" spans="1:67" s="14" customFormat="1" x14ac:dyDescent="0.3">
      <c r="A1130" s="20">
        <v>1128</v>
      </c>
      <c r="B1130" s="2" t="s">
        <v>294</v>
      </c>
      <c r="C1130" s="2">
        <v>2017</v>
      </c>
      <c r="D1130" s="2" t="s">
        <v>203</v>
      </c>
      <c r="E1130" s="22" t="s">
        <v>789</v>
      </c>
      <c r="F1130" s="20" t="s">
        <v>29</v>
      </c>
      <c r="G1130" s="2">
        <v>4</v>
      </c>
      <c r="H1130" s="2" t="str">
        <f>'PFAS Properties'!$B$52</f>
        <v>6:2 FTS</v>
      </c>
      <c r="I1130" s="2" t="str">
        <f>'PFAS Properties'!$C$52</f>
        <v>FTS</v>
      </c>
      <c r="J1130" s="2" t="str">
        <f>'PFAS Properties'!$D$52</f>
        <v>C8H5F13O3S</v>
      </c>
      <c r="K1130" s="25">
        <f>'PFAS Properties'!$P$52</f>
        <v>427.97499999999997</v>
      </c>
      <c r="L1130" s="2">
        <f>'PFAS Properties'!$X$52</f>
        <v>0.4</v>
      </c>
      <c r="M1130" s="2" t="str">
        <f>'PFAS Properties'!$Y$52</f>
        <v>-</v>
      </c>
      <c r="N1130" s="33">
        <v>0</v>
      </c>
      <c r="O1130" s="33">
        <v>0</v>
      </c>
      <c r="P1130" s="33">
        <v>0</v>
      </c>
      <c r="Q1130" s="33">
        <f t="shared" si="624"/>
        <v>0.99997488176662641</v>
      </c>
      <c r="R1130" s="33">
        <v>0</v>
      </c>
      <c r="S1130" s="33">
        <f t="shared" si="625"/>
        <v>2.5118233373599843E-5</v>
      </c>
      <c r="T1130" s="8">
        <f t="shared" si="642"/>
        <v>1</v>
      </c>
      <c r="U1130" s="33">
        <f t="shared" si="627"/>
        <v>0</v>
      </c>
      <c r="V1130" s="33">
        <f t="shared" si="628"/>
        <v>-0.99997488176662641</v>
      </c>
      <c r="W1130" s="33">
        <f t="shared" si="629"/>
        <v>426.97502511823336</v>
      </c>
      <c r="X1130" s="33">
        <v>96485</v>
      </c>
      <c r="Y1130" s="16">
        <f t="shared" si="630"/>
        <v>-225.96772830105468</v>
      </c>
      <c r="Z1130" s="16">
        <v>8</v>
      </c>
      <c r="AA1130" s="16">
        <v>13</v>
      </c>
      <c r="AB1130" s="8">
        <f t="shared" si="631"/>
        <v>0.38866396761133604</v>
      </c>
      <c r="AC1130" s="16">
        <f t="shared" si="637"/>
        <v>57.713651498335182</v>
      </c>
      <c r="AD1130" s="20">
        <f>'PFAS Properties'!$W$52</f>
        <v>6</v>
      </c>
      <c r="AE1130" s="8">
        <f>'PFAS Properties'!$S$52</f>
        <v>4.0402066275747108</v>
      </c>
      <c r="AF1130" s="2">
        <f>'PFAS Properties'!$V$52</f>
        <v>3.9</v>
      </c>
      <c r="AG1130" s="24">
        <v>5</v>
      </c>
      <c r="AH1130" s="2" t="s">
        <v>831</v>
      </c>
      <c r="AI1130" s="2" t="s">
        <v>661</v>
      </c>
      <c r="AJ1130" s="2" t="s">
        <v>661</v>
      </c>
      <c r="AK1130" s="2" t="s">
        <v>661</v>
      </c>
      <c r="AL1130" s="2" t="s">
        <v>661</v>
      </c>
      <c r="AM1130" s="2" t="s">
        <v>661</v>
      </c>
      <c r="AN1130" s="2" t="s">
        <v>661</v>
      </c>
      <c r="AO1130" s="2" t="s">
        <v>661</v>
      </c>
      <c r="AP1130" s="15">
        <v>36</v>
      </c>
      <c r="AQ1130" s="16" t="s">
        <v>712</v>
      </c>
      <c r="AR1130" s="16">
        <v>37</v>
      </c>
      <c r="AS1130" s="16">
        <v>45</v>
      </c>
      <c r="AT1130" s="16">
        <v>18</v>
      </c>
      <c r="AU1130" s="2" t="s">
        <v>661</v>
      </c>
      <c r="AV1130" s="16">
        <f t="shared" si="632"/>
        <v>100</v>
      </c>
      <c r="AW1130" s="20">
        <v>7.7</v>
      </c>
      <c r="AX1130" s="8">
        <f t="shared" si="633"/>
        <v>7.6999999999999999E-2</v>
      </c>
      <c r="AY1130" s="8" t="s">
        <v>295</v>
      </c>
      <c r="AZ1130" s="16">
        <f t="shared" si="638"/>
        <v>100</v>
      </c>
      <c r="BA1130" s="16" t="s">
        <v>55</v>
      </c>
      <c r="BB1130" s="15">
        <f t="shared" si="643"/>
        <v>0.20114824999999997</v>
      </c>
      <c r="BC1130" s="16">
        <f>(120*K1130)/1000</f>
        <v>51.356999999999992</v>
      </c>
      <c r="BD1130" s="24">
        <v>13</v>
      </c>
      <c r="BE1130" s="16">
        <f t="shared" si="639"/>
        <v>168.83116883116884</v>
      </c>
      <c r="BF1130" s="16">
        <f t="shared" si="640"/>
        <v>2.2274526271343551</v>
      </c>
      <c r="BG1130" s="8">
        <f t="shared" si="641"/>
        <v>1.1139433523068367</v>
      </c>
      <c r="BH1130" s="13" t="s">
        <v>352</v>
      </c>
      <c r="BI1130" s="15"/>
      <c r="BJ1130" s="13"/>
      <c r="BK1130" s="15"/>
      <c r="BL1130" s="15"/>
      <c r="BM1130" s="18"/>
      <c r="BN1130" s="8"/>
      <c r="BO1130" s="24"/>
    </row>
    <row r="1131" spans="1:67" s="14" customFormat="1" x14ac:dyDescent="0.3">
      <c r="A1131" s="20">
        <v>1129</v>
      </c>
      <c r="B1131" s="2" t="s">
        <v>294</v>
      </c>
      <c r="C1131" s="2">
        <v>2017</v>
      </c>
      <c r="D1131" s="2" t="s">
        <v>203</v>
      </c>
      <c r="E1131" s="22" t="s">
        <v>789</v>
      </c>
      <c r="F1131" s="20" t="s">
        <v>29</v>
      </c>
      <c r="G1131" s="2">
        <v>5</v>
      </c>
      <c r="H1131" s="2" t="str">
        <f>'PFAS Properties'!$B$52</f>
        <v>6:2 FTS</v>
      </c>
      <c r="I1131" s="2" t="str">
        <f>'PFAS Properties'!$C$52</f>
        <v>FTS</v>
      </c>
      <c r="J1131" s="2" t="str">
        <f>'PFAS Properties'!$D$52</f>
        <v>C8H5F13O3S</v>
      </c>
      <c r="K1131" s="25">
        <f>'PFAS Properties'!$P$52</f>
        <v>427.97499999999997</v>
      </c>
      <c r="L1131" s="2">
        <f>'PFAS Properties'!$X$52</f>
        <v>0.4</v>
      </c>
      <c r="M1131" s="2" t="str">
        <f>'PFAS Properties'!$Y$52</f>
        <v>-</v>
      </c>
      <c r="N1131" s="33">
        <v>0</v>
      </c>
      <c r="O1131" s="33">
        <v>0</v>
      </c>
      <c r="P1131" s="33">
        <v>0</v>
      </c>
      <c r="Q1131" s="33">
        <f t="shared" si="624"/>
        <v>0.99997488176662641</v>
      </c>
      <c r="R1131" s="33">
        <v>0</v>
      </c>
      <c r="S1131" s="33">
        <f t="shared" si="625"/>
        <v>2.5118233373599843E-5</v>
      </c>
      <c r="T1131" s="8">
        <f t="shared" si="642"/>
        <v>1</v>
      </c>
      <c r="U1131" s="33">
        <f t="shared" si="627"/>
        <v>0</v>
      </c>
      <c r="V1131" s="33">
        <f t="shared" si="628"/>
        <v>-0.99997488176662641</v>
      </c>
      <c r="W1131" s="33">
        <f t="shared" si="629"/>
        <v>426.97502511823336</v>
      </c>
      <c r="X1131" s="33">
        <v>96485</v>
      </c>
      <c r="Y1131" s="16">
        <f t="shared" si="630"/>
        <v>-225.96772830105468</v>
      </c>
      <c r="Z1131" s="16">
        <v>8</v>
      </c>
      <c r="AA1131" s="16">
        <v>13</v>
      </c>
      <c r="AB1131" s="8">
        <f t="shared" si="631"/>
        <v>0.38866396761133604</v>
      </c>
      <c r="AC1131" s="16">
        <f t="shared" si="637"/>
        <v>57.713651498335182</v>
      </c>
      <c r="AD1131" s="20">
        <f>'PFAS Properties'!$W$52</f>
        <v>6</v>
      </c>
      <c r="AE1131" s="8">
        <f>'PFAS Properties'!$S$52</f>
        <v>4.0402066275747108</v>
      </c>
      <c r="AF1131" s="2">
        <f>'PFAS Properties'!$V$52</f>
        <v>3.9</v>
      </c>
      <c r="AG1131" s="24">
        <v>5</v>
      </c>
      <c r="AH1131" s="2" t="s">
        <v>831</v>
      </c>
      <c r="AI1131" s="2" t="s">
        <v>661</v>
      </c>
      <c r="AJ1131" s="2" t="s">
        <v>661</v>
      </c>
      <c r="AK1131" s="2" t="s">
        <v>661</v>
      </c>
      <c r="AL1131" s="2" t="s">
        <v>661</v>
      </c>
      <c r="AM1131" s="2" t="s">
        <v>661</v>
      </c>
      <c r="AN1131" s="2" t="s">
        <v>661</v>
      </c>
      <c r="AO1131" s="2" t="s">
        <v>661</v>
      </c>
      <c r="AP1131" s="15">
        <v>16</v>
      </c>
      <c r="AQ1131" s="16" t="s">
        <v>712</v>
      </c>
      <c r="AR1131" s="16">
        <v>4.8</v>
      </c>
      <c r="AS1131" s="16">
        <v>72</v>
      </c>
      <c r="AT1131" s="16">
        <v>23</v>
      </c>
      <c r="AU1131" s="2" t="s">
        <v>661</v>
      </c>
      <c r="AV1131" s="16">
        <f t="shared" si="632"/>
        <v>99.8</v>
      </c>
      <c r="AW1131" s="20">
        <v>1</v>
      </c>
      <c r="AX1131" s="8">
        <f t="shared" si="633"/>
        <v>0.01</v>
      </c>
      <c r="AY1131" s="8" t="s">
        <v>295</v>
      </c>
      <c r="AZ1131" s="16">
        <f t="shared" si="638"/>
        <v>100</v>
      </c>
      <c r="BA1131" s="16" t="s">
        <v>55</v>
      </c>
      <c r="BB1131" s="15">
        <f t="shared" si="643"/>
        <v>0.20114824999999997</v>
      </c>
      <c r="BC1131" s="16">
        <f>(120*K1131)/1000</f>
        <v>51.356999999999992</v>
      </c>
      <c r="BD1131" s="24">
        <v>6.4</v>
      </c>
      <c r="BE1131" s="16">
        <f t="shared" si="639"/>
        <v>640</v>
      </c>
      <c r="BF1131" s="16">
        <f t="shared" si="640"/>
        <v>2.8061799739838871</v>
      </c>
      <c r="BG1131" s="8">
        <f t="shared" si="641"/>
        <v>0.80617997398388719</v>
      </c>
      <c r="BH1131" s="13" t="s">
        <v>352</v>
      </c>
      <c r="BI1131" s="16"/>
      <c r="BJ1131" s="13"/>
      <c r="BK1131" s="15"/>
      <c r="BL1131" s="16"/>
      <c r="BM1131" s="18"/>
      <c r="BN1131" s="8"/>
      <c r="BO1131" s="24"/>
    </row>
    <row r="1132" spans="1:67" s="14" customFormat="1" x14ac:dyDescent="0.3">
      <c r="A1132" s="20">
        <v>1130</v>
      </c>
      <c r="B1132" s="2" t="s">
        <v>294</v>
      </c>
      <c r="C1132" s="2">
        <v>2017</v>
      </c>
      <c r="D1132" s="2" t="s">
        <v>203</v>
      </c>
      <c r="E1132" s="22" t="s">
        <v>789</v>
      </c>
      <c r="F1132" s="20" t="s">
        <v>29</v>
      </c>
      <c r="G1132" s="2">
        <v>6</v>
      </c>
      <c r="H1132" s="2" t="str">
        <f>'PFAS Properties'!$B$52</f>
        <v>6:2 FTS</v>
      </c>
      <c r="I1132" s="2" t="str">
        <f>'PFAS Properties'!$C$52</f>
        <v>FTS</v>
      </c>
      <c r="J1132" s="2" t="str">
        <f>'PFAS Properties'!$D$52</f>
        <v>C8H5F13O3S</v>
      </c>
      <c r="K1132" s="25">
        <f>'PFAS Properties'!$P$52</f>
        <v>427.97499999999997</v>
      </c>
      <c r="L1132" s="2">
        <f>'PFAS Properties'!$X$52</f>
        <v>0.4</v>
      </c>
      <c r="M1132" s="2" t="str">
        <f>'PFAS Properties'!$Y$52</f>
        <v>-</v>
      </c>
      <c r="N1132" s="33">
        <v>0</v>
      </c>
      <c r="O1132" s="33">
        <v>0</v>
      </c>
      <c r="P1132" s="33">
        <v>0</v>
      </c>
      <c r="Q1132" s="33">
        <f t="shared" si="624"/>
        <v>0.99998415131926011</v>
      </c>
      <c r="R1132" s="33">
        <v>0</v>
      </c>
      <c r="S1132" s="33">
        <f t="shared" si="625"/>
        <v>1.5848680739948987E-5</v>
      </c>
      <c r="T1132" s="8">
        <f t="shared" si="642"/>
        <v>1</v>
      </c>
      <c r="U1132" s="33">
        <f t="shared" si="627"/>
        <v>0</v>
      </c>
      <c r="V1132" s="33">
        <f t="shared" si="628"/>
        <v>-0.99998415131926011</v>
      </c>
      <c r="W1132" s="33">
        <f t="shared" si="629"/>
        <v>426.97501584868075</v>
      </c>
      <c r="X1132" s="33">
        <v>96485</v>
      </c>
      <c r="Y1132" s="16">
        <f t="shared" si="630"/>
        <v>-225.96982787918532</v>
      </c>
      <c r="Z1132" s="16">
        <v>8</v>
      </c>
      <c r="AA1132" s="16">
        <v>13</v>
      </c>
      <c r="AB1132" s="8">
        <f t="shared" si="631"/>
        <v>0.38866396761133604</v>
      </c>
      <c r="AC1132" s="16">
        <f t="shared" si="637"/>
        <v>57.713651498335182</v>
      </c>
      <c r="AD1132" s="20">
        <f>'PFAS Properties'!$W$52</f>
        <v>6</v>
      </c>
      <c r="AE1132" s="8">
        <f>'PFAS Properties'!$S$52</f>
        <v>4.0402066275747108</v>
      </c>
      <c r="AF1132" s="2">
        <f>'PFAS Properties'!$V$52</f>
        <v>3.9</v>
      </c>
      <c r="AG1132" s="24">
        <v>5.2</v>
      </c>
      <c r="AH1132" s="2" t="s">
        <v>831</v>
      </c>
      <c r="AI1132" s="2" t="s">
        <v>661</v>
      </c>
      <c r="AJ1132" s="2" t="s">
        <v>661</v>
      </c>
      <c r="AK1132" s="2" t="s">
        <v>661</v>
      </c>
      <c r="AL1132" s="2" t="s">
        <v>661</v>
      </c>
      <c r="AM1132" s="2" t="s">
        <v>661</v>
      </c>
      <c r="AN1132" s="2" t="s">
        <v>661</v>
      </c>
      <c r="AO1132" s="2" t="s">
        <v>661</v>
      </c>
      <c r="AP1132" s="15">
        <v>16</v>
      </c>
      <c r="AQ1132" s="16" t="s">
        <v>712</v>
      </c>
      <c r="AR1132" s="16">
        <v>3.6</v>
      </c>
      <c r="AS1132" s="16">
        <v>73</v>
      </c>
      <c r="AT1132" s="16">
        <v>24</v>
      </c>
      <c r="AU1132" s="15" t="s">
        <v>661</v>
      </c>
      <c r="AV1132" s="16">
        <f t="shared" si="632"/>
        <v>100.6</v>
      </c>
      <c r="AW1132" s="20">
        <v>9.8000000000000004E-2</v>
      </c>
      <c r="AX1132" s="8">
        <f t="shared" si="633"/>
        <v>9.7999999999999997E-4</v>
      </c>
      <c r="AY1132" s="8" t="s">
        <v>295</v>
      </c>
      <c r="AZ1132" s="16">
        <f t="shared" si="638"/>
        <v>100</v>
      </c>
      <c r="BA1132" s="16" t="s">
        <v>55</v>
      </c>
      <c r="BB1132" s="15">
        <f t="shared" si="643"/>
        <v>0.20114824999999997</v>
      </c>
      <c r="BC1132" s="16">
        <f>(120*K1132)/1000</f>
        <v>51.356999999999992</v>
      </c>
      <c r="BD1132" s="24">
        <v>6.6</v>
      </c>
      <c r="BE1132" s="16">
        <f t="shared" si="639"/>
        <v>6734.6938775510207</v>
      </c>
      <c r="BF1132" s="16">
        <f t="shared" si="640"/>
        <v>3.8283178598493737</v>
      </c>
      <c r="BG1132" s="8">
        <f t="shared" si="641"/>
        <v>0.81954393554186866</v>
      </c>
      <c r="BH1132" s="13" t="s">
        <v>352</v>
      </c>
      <c r="BI1132" s="16"/>
      <c r="BJ1132" s="13"/>
      <c r="BK1132" s="15"/>
      <c r="BL1132" s="16"/>
      <c r="BM1132" s="18"/>
      <c r="BN1132" s="8"/>
      <c r="BO1132" s="24"/>
    </row>
    <row r="1133" spans="1:67" s="14" customFormat="1" x14ac:dyDescent="0.3">
      <c r="A1133" s="20">
        <v>1131</v>
      </c>
      <c r="B1133" s="2" t="s">
        <v>195</v>
      </c>
      <c r="C1133" s="2">
        <v>2022</v>
      </c>
      <c r="D1133" s="2" t="s">
        <v>199</v>
      </c>
      <c r="E1133" s="22" t="s">
        <v>798</v>
      </c>
      <c r="F1133" s="20" t="s">
        <v>29</v>
      </c>
      <c r="G1133" s="2" t="s">
        <v>237</v>
      </c>
      <c r="H1133" s="2" t="str">
        <f>'PFAS Properties'!$B$52</f>
        <v>6:2 FTS</v>
      </c>
      <c r="I1133" s="2" t="str">
        <f>'PFAS Properties'!$C$52</f>
        <v>FTS</v>
      </c>
      <c r="J1133" s="2" t="str">
        <f>'PFAS Properties'!$D$52</f>
        <v>C8H5F13O3S</v>
      </c>
      <c r="K1133" s="25">
        <f>'PFAS Properties'!$P$52</f>
        <v>427.97499999999997</v>
      </c>
      <c r="L1133" s="2">
        <f>'PFAS Properties'!$X$52</f>
        <v>0.4</v>
      </c>
      <c r="M1133" s="2" t="str">
        <f>'PFAS Properties'!$Y$52</f>
        <v>-</v>
      </c>
      <c r="N1133" s="33">
        <v>0</v>
      </c>
      <c r="O1133" s="33">
        <v>0</v>
      </c>
      <c r="P1133" s="33">
        <v>0</v>
      </c>
      <c r="Q1133" s="33">
        <f t="shared" si="624"/>
        <v>0.9993694405116601</v>
      </c>
      <c r="R1133" s="33">
        <v>0</v>
      </c>
      <c r="S1133" s="33">
        <f t="shared" si="625"/>
        <v>6.3055948833989266E-4</v>
      </c>
      <c r="T1133" s="8">
        <f t="shared" si="642"/>
        <v>1</v>
      </c>
      <c r="U1133" s="33">
        <f t="shared" si="627"/>
        <v>0</v>
      </c>
      <c r="V1133" s="33">
        <f t="shared" si="628"/>
        <v>-0.9993694405116601</v>
      </c>
      <c r="W1133" s="33">
        <f t="shared" si="629"/>
        <v>426.97563055948831</v>
      </c>
      <c r="X1133" s="33">
        <v>96485</v>
      </c>
      <c r="Y1133" s="16">
        <f t="shared" si="630"/>
        <v>-225.83059445668582</v>
      </c>
      <c r="Z1133" s="16">
        <v>8</v>
      </c>
      <c r="AA1133" s="16">
        <v>13</v>
      </c>
      <c r="AB1133" s="8">
        <f t="shared" si="631"/>
        <v>0.38866396761133604</v>
      </c>
      <c r="AC1133" s="16">
        <f t="shared" si="637"/>
        <v>57.713651498335182</v>
      </c>
      <c r="AD1133" s="20">
        <f>'PFAS Properties'!$W$52</f>
        <v>6</v>
      </c>
      <c r="AE1133" s="8">
        <f>'PFAS Properties'!$S$52</f>
        <v>4.0402066275747108</v>
      </c>
      <c r="AF1133" s="2">
        <f>'PFAS Properties'!$V$52</f>
        <v>3.9</v>
      </c>
      <c r="AG1133" s="24">
        <v>3.6</v>
      </c>
      <c r="AH1133" s="2" t="s">
        <v>832</v>
      </c>
      <c r="AI1133" s="8">
        <f>(6.8*55.845)/1000</f>
        <v>0.37974599999999997</v>
      </c>
      <c r="AJ1133" s="15">
        <f>AI1133*1000/55.845</f>
        <v>6.8</v>
      </c>
      <c r="AK1133" s="8">
        <f>AI1133/10</f>
        <v>3.7974599999999997E-2</v>
      </c>
      <c r="AL1133" s="8">
        <f>(4*26.982)/1000</f>
        <v>0.107928</v>
      </c>
      <c r="AM1133" s="15">
        <f>AL1133*1000/55.845</f>
        <v>1.932634971796938</v>
      </c>
      <c r="AN1133" s="8">
        <f>AL1133/10</f>
        <v>1.07928E-2</v>
      </c>
      <c r="AO1133" s="2" t="s">
        <v>86</v>
      </c>
      <c r="AP1133" s="72">
        <v>14.768748</v>
      </c>
      <c r="AQ1133" s="70" t="s">
        <v>752</v>
      </c>
      <c r="AR1133" s="71">
        <v>37.396533331999997</v>
      </c>
      <c r="AS1133" s="71">
        <v>37.430266667999987</v>
      </c>
      <c r="AT1133" s="71">
        <v>24.989000000000001</v>
      </c>
      <c r="AU1133" s="70" t="s">
        <v>752</v>
      </c>
      <c r="AV1133" s="16">
        <f t="shared" ref="AV1133:AV1135" si="644">SUM(AR1133:AT1133)</f>
        <v>99.815799999999996</v>
      </c>
      <c r="AW1133" s="20">
        <v>44.9</v>
      </c>
      <c r="AX1133" s="8">
        <f t="shared" si="633"/>
        <v>0.44900000000000001</v>
      </c>
      <c r="AY1133" s="8" t="s">
        <v>240</v>
      </c>
      <c r="AZ1133" s="16">
        <f t="shared" ref="AZ1133:AZ1135" si="645">0.75/0.03</f>
        <v>25</v>
      </c>
      <c r="BA1133" s="16" t="s">
        <v>55</v>
      </c>
      <c r="BB1133" s="16">
        <f>23*K1133/1000</f>
        <v>9.8434249999999999</v>
      </c>
      <c r="BC1133" s="16" t="s">
        <v>55</v>
      </c>
      <c r="BD1133" s="25">
        <f>(10^(1.62)*AX1133)</f>
        <v>18.717435317818069</v>
      </c>
      <c r="BE1133" s="15">
        <f t="shared" si="639"/>
        <v>41.686938347033561</v>
      </c>
      <c r="BF1133" s="15">
        <f t="shared" si="640"/>
        <v>1.62</v>
      </c>
      <c r="BG1133" s="8">
        <f t="shared" si="641"/>
        <v>1.2722463410033233</v>
      </c>
      <c r="BH1133" s="35" t="s">
        <v>645</v>
      </c>
      <c r="BI1133" s="13"/>
      <c r="BJ1133" s="13"/>
      <c r="BK1133" s="8"/>
      <c r="BL1133" s="18"/>
      <c r="BM1133" s="8"/>
      <c r="BN1133" s="8"/>
      <c r="BO1133" s="2"/>
    </row>
    <row r="1134" spans="1:67" s="14" customFormat="1" x14ac:dyDescent="0.3">
      <c r="A1134" s="20">
        <v>1132</v>
      </c>
      <c r="B1134" s="2" t="s">
        <v>195</v>
      </c>
      <c r="C1134" s="2">
        <v>2022</v>
      </c>
      <c r="D1134" s="2" t="s">
        <v>199</v>
      </c>
      <c r="E1134" s="10" t="s">
        <v>798</v>
      </c>
      <c r="F1134" s="20" t="s">
        <v>29</v>
      </c>
      <c r="G1134" s="2" t="s">
        <v>238</v>
      </c>
      <c r="H1134" s="2" t="str">
        <f>'PFAS Properties'!$B$52</f>
        <v>6:2 FTS</v>
      </c>
      <c r="I1134" s="2" t="str">
        <f>'PFAS Properties'!$C$52</f>
        <v>FTS</v>
      </c>
      <c r="J1134" s="2" t="str">
        <f>'PFAS Properties'!$D$52</f>
        <v>C8H5F13O3S</v>
      </c>
      <c r="K1134" s="25">
        <f>'PFAS Properties'!$P$52</f>
        <v>427.97499999999997</v>
      </c>
      <c r="L1134" s="2">
        <f>'PFAS Properties'!$X$52</f>
        <v>0.4</v>
      </c>
      <c r="M1134" s="2" t="str">
        <f>'PFAS Properties'!$Y$52</f>
        <v>-</v>
      </c>
      <c r="N1134" s="33">
        <v>0</v>
      </c>
      <c r="O1134" s="33">
        <v>0</v>
      </c>
      <c r="P1134" s="33">
        <v>0</v>
      </c>
      <c r="Q1134" s="33">
        <f t="shared" si="624"/>
        <v>0.99980051357127842</v>
      </c>
      <c r="R1134" s="33">
        <v>0</v>
      </c>
      <c r="S1134" s="33">
        <f t="shared" si="625"/>
        <v>1.9948642872153033E-4</v>
      </c>
      <c r="T1134" s="8">
        <f t="shared" si="642"/>
        <v>1</v>
      </c>
      <c r="U1134" s="33">
        <f t="shared" si="627"/>
        <v>0</v>
      </c>
      <c r="V1134" s="33">
        <f t="shared" si="628"/>
        <v>-0.99980051357127842</v>
      </c>
      <c r="W1134" s="33">
        <f t="shared" si="629"/>
        <v>426.97519948642866</v>
      </c>
      <c r="X1134" s="33">
        <v>96485</v>
      </c>
      <c r="Y1134" s="16">
        <f t="shared" si="630"/>
        <v>-225.92823346169769</v>
      </c>
      <c r="Z1134" s="16">
        <v>8</v>
      </c>
      <c r="AA1134" s="16">
        <v>13</v>
      </c>
      <c r="AB1134" s="8">
        <f t="shared" si="631"/>
        <v>0.38866396761133604</v>
      </c>
      <c r="AC1134" s="16">
        <f t="shared" si="637"/>
        <v>57.713651498335182</v>
      </c>
      <c r="AD1134" s="20">
        <f>'PFAS Properties'!$W$52</f>
        <v>6</v>
      </c>
      <c r="AE1134" s="8">
        <f>'PFAS Properties'!$S$52</f>
        <v>4.0402066275747108</v>
      </c>
      <c r="AF1134" s="2">
        <f>'PFAS Properties'!$V$52</f>
        <v>3.9</v>
      </c>
      <c r="AG1134" s="24">
        <v>4.0999999999999996</v>
      </c>
      <c r="AH1134" s="2" t="s">
        <v>832</v>
      </c>
      <c r="AI1134" s="8">
        <f>(28*55.845)/1000</f>
        <v>1.5636599999999998</v>
      </c>
      <c r="AJ1134" s="15">
        <f>AI1134*1000/55.845</f>
        <v>27.999999999999996</v>
      </c>
      <c r="AK1134" s="8">
        <f>AI1134/10</f>
        <v>0.15636599999999998</v>
      </c>
      <c r="AL1134" s="8">
        <f>(17*26.982)/1000</f>
        <v>0.45869399999999994</v>
      </c>
      <c r="AM1134" s="15">
        <f>AL1134*1000/55.845</f>
        <v>8.2136986301369852</v>
      </c>
      <c r="AN1134" s="8">
        <f>AL1134/10</f>
        <v>4.5869399999999991E-2</v>
      </c>
      <c r="AO1134" s="2" t="s">
        <v>86</v>
      </c>
      <c r="AP1134" s="72">
        <v>14.715147999999999</v>
      </c>
      <c r="AQ1134" s="70" t="s">
        <v>752</v>
      </c>
      <c r="AR1134" s="71">
        <v>37.490533331999998</v>
      </c>
      <c r="AS1134" s="71">
        <v>37.393866668000001</v>
      </c>
      <c r="AT1134" s="71">
        <v>24.9392</v>
      </c>
      <c r="AU1134" s="70" t="s">
        <v>752</v>
      </c>
      <c r="AV1134" s="16">
        <f t="shared" si="644"/>
        <v>99.823599999999999</v>
      </c>
      <c r="AW1134" s="20">
        <v>46.6</v>
      </c>
      <c r="AX1134" s="8">
        <f t="shared" si="633"/>
        <v>0.46600000000000003</v>
      </c>
      <c r="AY1134" s="8" t="s">
        <v>240</v>
      </c>
      <c r="AZ1134" s="16">
        <f t="shared" si="645"/>
        <v>25</v>
      </c>
      <c r="BA1134" s="16" t="s">
        <v>55</v>
      </c>
      <c r="BB1134" s="16">
        <f>23*K1134/1000</f>
        <v>9.8434249999999999</v>
      </c>
      <c r="BC1134" s="16" t="s">
        <v>55</v>
      </c>
      <c r="BD1134" s="25">
        <f>(10^(1.87)*AX1134)</f>
        <v>34.545057244622789</v>
      </c>
      <c r="BE1134" s="15">
        <f t="shared" si="639"/>
        <v>74.131024130091816</v>
      </c>
      <c r="BF1134" s="15">
        <f t="shared" si="640"/>
        <v>1.8700000000000003</v>
      </c>
      <c r="BG1134" s="8">
        <f t="shared" si="641"/>
        <v>1.5383859166900007</v>
      </c>
      <c r="BH1134" s="35" t="s">
        <v>645</v>
      </c>
      <c r="BI1134" s="13"/>
      <c r="BJ1134" s="13"/>
      <c r="BK1134" s="13"/>
      <c r="BL1134" s="17"/>
      <c r="BM1134" s="17"/>
      <c r="BN1134" s="13"/>
      <c r="BO1134" s="2"/>
    </row>
    <row r="1135" spans="1:67" s="14" customFormat="1" x14ac:dyDescent="0.3">
      <c r="A1135" s="20">
        <v>1133</v>
      </c>
      <c r="B1135" s="2" t="s">
        <v>195</v>
      </c>
      <c r="C1135" s="2">
        <v>2022</v>
      </c>
      <c r="D1135" s="2" t="s">
        <v>199</v>
      </c>
      <c r="E1135" s="10" t="s">
        <v>798</v>
      </c>
      <c r="F1135" s="20" t="s">
        <v>29</v>
      </c>
      <c r="G1135" s="2" t="s">
        <v>239</v>
      </c>
      <c r="H1135" s="2" t="str">
        <f>'PFAS Properties'!$B$52</f>
        <v>6:2 FTS</v>
      </c>
      <c r="I1135" s="2" t="str">
        <f>'PFAS Properties'!$C$52</f>
        <v>FTS</v>
      </c>
      <c r="J1135" s="2" t="str">
        <f>'PFAS Properties'!$D$52</f>
        <v>C8H5F13O3S</v>
      </c>
      <c r="K1135" s="25">
        <f>'PFAS Properties'!$P$52</f>
        <v>427.97499999999997</v>
      </c>
      <c r="L1135" s="2">
        <f>'PFAS Properties'!$X$52</f>
        <v>0.4</v>
      </c>
      <c r="M1135" s="2" t="str">
        <f>'PFAS Properties'!$Y$52</f>
        <v>-</v>
      </c>
      <c r="N1135" s="33">
        <v>0</v>
      </c>
      <c r="O1135" s="33">
        <v>0</v>
      </c>
      <c r="P1135" s="33">
        <v>0</v>
      </c>
      <c r="Q1135" s="33">
        <f t="shared" si="624"/>
        <v>0.99974887443673854</v>
      </c>
      <c r="R1135" s="33">
        <v>0</v>
      </c>
      <c r="S1135" s="33">
        <f t="shared" si="625"/>
        <v>2.5112556326146155E-4</v>
      </c>
      <c r="T1135" s="8">
        <f t="shared" si="642"/>
        <v>1</v>
      </c>
      <c r="U1135" s="33">
        <f t="shared" si="627"/>
        <v>0</v>
      </c>
      <c r="V1135" s="33">
        <f t="shared" si="628"/>
        <v>-0.99974887443673854</v>
      </c>
      <c r="W1135" s="33">
        <f t="shared" si="629"/>
        <v>426.9752511255632</v>
      </c>
      <c r="X1135" s="33">
        <v>96485</v>
      </c>
      <c r="Y1135" s="16">
        <f t="shared" si="630"/>
        <v>-225.91653707268839</v>
      </c>
      <c r="Z1135" s="16">
        <v>8</v>
      </c>
      <c r="AA1135" s="16">
        <v>13</v>
      </c>
      <c r="AB1135" s="8">
        <f t="shared" si="631"/>
        <v>0.38866396761133604</v>
      </c>
      <c r="AC1135" s="16">
        <f t="shared" si="637"/>
        <v>57.713651498335182</v>
      </c>
      <c r="AD1135" s="20">
        <f>'PFAS Properties'!$W$52</f>
        <v>6</v>
      </c>
      <c r="AE1135" s="8">
        <f>'PFAS Properties'!$S$52</f>
        <v>4.0402066275747108</v>
      </c>
      <c r="AF1135" s="2">
        <f>'PFAS Properties'!$V$52</f>
        <v>3.9</v>
      </c>
      <c r="AG1135" s="24">
        <v>4</v>
      </c>
      <c r="AH1135" s="2" t="s">
        <v>832</v>
      </c>
      <c r="AI1135" s="8">
        <f>(5*55.845)/1000</f>
        <v>0.279225</v>
      </c>
      <c r="AJ1135" s="15">
        <f>AI1135*1000/55.845</f>
        <v>5.0000000000000009</v>
      </c>
      <c r="AK1135" s="8">
        <f>AI1135/10</f>
        <v>2.7922499999999999E-2</v>
      </c>
      <c r="AL1135" s="8">
        <f>(15*26.982)/1000</f>
        <v>0.40473000000000003</v>
      </c>
      <c r="AM1135" s="15">
        <f>AL1135*1000/55.845</f>
        <v>7.2473811442385179</v>
      </c>
      <c r="AN1135" s="8">
        <f>AL1135/10</f>
        <v>4.0473000000000002E-2</v>
      </c>
      <c r="AO1135" s="2" t="s">
        <v>86</v>
      </c>
      <c r="AP1135" s="72">
        <v>14.763688</v>
      </c>
      <c r="AQ1135" s="70" t="s">
        <v>752</v>
      </c>
      <c r="AR1135" s="71">
        <v>37.414333332000012</v>
      </c>
      <c r="AS1135" s="71">
        <v>37.430866668</v>
      </c>
      <c r="AT1135" s="71">
        <v>24.970400000000001</v>
      </c>
      <c r="AU1135" s="70" t="s">
        <v>752</v>
      </c>
      <c r="AV1135" s="16">
        <f t="shared" si="644"/>
        <v>99.815600000000003</v>
      </c>
      <c r="AW1135" s="20">
        <v>53.6</v>
      </c>
      <c r="AX1135" s="8">
        <f t="shared" si="633"/>
        <v>0.53600000000000003</v>
      </c>
      <c r="AY1135" s="8" t="s">
        <v>240</v>
      </c>
      <c r="AZ1135" s="16">
        <f t="shared" si="645"/>
        <v>25</v>
      </c>
      <c r="BA1135" s="16" t="s">
        <v>55</v>
      </c>
      <c r="BB1135" s="16">
        <f>23*K1135/1000</f>
        <v>9.8434249999999999</v>
      </c>
      <c r="BC1135" s="16" t="s">
        <v>55</v>
      </c>
      <c r="BD1135" s="25">
        <f>(10^(1.82)*AX1135)</f>
        <v>35.413168813207157</v>
      </c>
      <c r="BE1135" s="15">
        <f t="shared" si="639"/>
        <v>66.069344800759623</v>
      </c>
      <c r="BF1135" s="15">
        <f t="shared" si="640"/>
        <v>1.82</v>
      </c>
      <c r="BG1135" s="8">
        <f t="shared" si="641"/>
        <v>1.5491647896927701</v>
      </c>
      <c r="BH1135" s="35" t="s">
        <v>645</v>
      </c>
      <c r="BI1135" s="13"/>
      <c r="BJ1135" s="13"/>
      <c r="BK1135" s="8"/>
      <c r="BL1135" s="18"/>
      <c r="BM1135" s="8"/>
      <c r="BN1135" s="8"/>
      <c r="BO1135" s="2"/>
    </row>
    <row r="1136" spans="1:67" s="14" customFormat="1" x14ac:dyDescent="0.3">
      <c r="A1136" s="20">
        <v>1134</v>
      </c>
      <c r="B1136" s="2" t="s">
        <v>214</v>
      </c>
      <c r="C1136" s="2">
        <v>2022</v>
      </c>
      <c r="D1136" s="2" t="s">
        <v>201</v>
      </c>
      <c r="E1136" s="22" t="s">
        <v>808</v>
      </c>
      <c r="F1136" s="20" t="s">
        <v>29</v>
      </c>
      <c r="G1136" s="2" t="s">
        <v>215</v>
      </c>
      <c r="H1136" s="2" t="str">
        <f>'PFAS Properties'!$B$52</f>
        <v>6:2 FTS</v>
      </c>
      <c r="I1136" s="2" t="str">
        <f>'PFAS Properties'!$C$52</f>
        <v>FTS</v>
      </c>
      <c r="J1136" s="2" t="str">
        <f>'PFAS Properties'!$D$52</f>
        <v>C8H5F13O3S</v>
      </c>
      <c r="K1136" s="25">
        <f>'PFAS Properties'!$P$52</f>
        <v>427.97499999999997</v>
      </c>
      <c r="L1136" s="2">
        <f>'PFAS Properties'!$X$52</f>
        <v>0.4</v>
      </c>
      <c r="M1136" s="2" t="str">
        <f>'PFAS Properties'!$Y$52</f>
        <v>-</v>
      </c>
      <c r="N1136" s="33">
        <v>0</v>
      </c>
      <c r="O1136" s="33">
        <v>0</v>
      </c>
      <c r="P1136" s="33">
        <v>0</v>
      </c>
      <c r="Q1136" s="33">
        <f t="shared" si="624"/>
        <v>0.99996019086777477</v>
      </c>
      <c r="R1136" s="33">
        <v>0</v>
      </c>
      <c r="S1136" s="33">
        <f t="shared" si="625"/>
        <v>3.9809132225250461E-5</v>
      </c>
      <c r="T1136" s="8">
        <f t="shared" si="642"/>
        <v>1</v>
      </c>
      <c r="U1136" s="33">
        <f t="shared" si="627"/>
        <v>0</v>
      </c>
      <c r="V1136" s="33">
        <f t="shared" si="628"/>
        <v>-0.99996019086777477</v>
      </c>
      <c r="W1136" s="33">
        <f t="shared" si="629"/>
        <v>426.97503980913217</v>
      </c>
      <c r="X1136" s="33">
        <v>96485</v>
      </c>
      <c r="Y1136" s="16">
        <f t="shared" si="630"/>
        <v>-225.96440077388735</v>
      </c>
      <c r="Z1136" s="16">
        <v>8</v>
      </c>
      <c r="AA1136" s="16">
        <v>13</v>
      </c>
      <c r="AB1136" s="8">
        <f t="shared" si="631"/>
        <v>0.38866396761133604</v>
      </c>
      <c r="AC1136" s="16">
        <f t="shared" si="637"/>
        <v>57.713651498335182</v>
      </c>
      <c r="AD1136" s="20">
        <f>'PFAS Properties'!$W$52</f>
        <v>6</v>
      </c>
      <c r="AE1136" s="8">
        <f>'PFAS Properties'!$S$52</f>
        <v>4.0402066275747108</v>
      </c>
      <c r="AF1136" s="2">
        <f>'PFAS Properties'!$V$52</f>
        <v>3.9</v>
      </c>
      <c r="AG1136" s="24">
        <v>4.8</v>
      </c>
      <c r="AH1136" s="2" t="s">
        <v>216</v>
      </c>
      <c r="AI1136" s="2">
        <v>8.3000000000000007</v>
      </c>
      <c r="AJ1136" s="15">
        <f>AI1136*1000/55.845</f>
        <v>148.62566030978601</v>
      </c>
      <c r="AK1136" s="15">
        <f>AI1136/10</f>
        <v>0.83000000000000007</v>
      </c>
      <c r="AL1136" s="15">
        <v>7.85</v>
      </c>
      <c r="AM1136" s="15">
        <f>AL1136*1000/26.98</f>
        <v>290.95626389918459</v>
      </c>
      <c r="AN1136" s="15">
        <f>AL1136/10</f>
        <v>0.78499999999999992</v>
      </c>
      <c r="AO1136" s="15" t="s">
        <v>217</v>
      </c>
      <c r="AP1136" s="72">
        <v>15.34083666666667</v>
      </c>
      <c r="AQ1136" s="70" t="s">
        <v>752</v>
      </c>
      <c r="AR1136" s="16">
        <v>32</v>
      </c>
      <c r="AS1136" s="16">
        <v>40</v>
      </c>
      <c r="AT1136" s="16">
        <v>28</v>
      </c>
      <c r="AU1136" s="2" t="s">
        <v>661</v>
      </c>
      <c r="AV1136" s="16">
        <f t="shared" ref="AV1136:AV1162" si="646">SUM(AR1136:AT1136)</f>
        <v>100</v>
      </c>
      <c r="AW1136" s="20">
        <v>4.9000000000000004</v>
      </c>
      <c r="AX1136" s="8">
        <f t="shared" si="633"/>
        <v>4.9000000000000002E-2</v>
      </c>
      <c r="AY1136" s="8" t="s">
        <v>218</v>
      </c>
      <c r="AZ1136" s="16">
        <f>1.5/0.075</f>
        <v>20</v>
      </c>
      <c r="BA1136" s="16" t="s">
        <v>55</v>
      </c>
      <c r="BB1136" s="16">
        <v>10</v>
      </c>
      <c r="BC1136" s="16" t="s">
        <v>55</v>
      </c>
      <c r="BD1136" s="20">
        <v>0.64</v>
      </c>
      <c r="BE1136" s="16">
        <f t="shared" si="639"/>
        <v>13.061224489795919</v>
      </c>
      <c r="BF1136" s="16">
        <f t="shared" si="640"/>
        <v>1.1159838939553735</v>
      </c>
      <c r="BG1136" s="8">
        <f t="shared" si="641"/>
        <v>-0.19382002601611281</v>
      </c>
      <c r="BH1136" s="2" t="s">
        <v>374</v>
      </c>
      <c r="BI1136" s="2"/>
      <c r="BJ1136" s="2"/>
      <c r="BK1136" s="15"/>
      <c r="BL1136" s="2"/>
      <c r="BM1136" s="25"/>
      <c r="BN1136" s="20"/>
      <c r="BO1136" s="2"/>
    </row>
    <row r="1137" spans="1:67" s="14" customFormat="1" x14ac:dyDescent="0.3">
      <c r="A1137" s="20">
        <v>1135</v>
      </c>
      <c r="B1137" s="2" t="s">
        <v>214</v>
      </c>
      <c r="C1137" s="2">
        <v>2022</v>
      </c>
      <c r="D1137" s="2" t="s">
        <v>201</v>
      </c>
      <c r="E1137" s="10" t="s">
        <v>808</v>
      </c>
      <c r="F1137" s="20" t="s">
        <v>29</v>
      </c>
      <c r="G1137" s="2" t="s">
        <v>233</v>
      </c>
      <c r="H1137" s="2" t="str">
        <f>'PFAS Properties'!$B$52</f>
        <v>6:2 FTS</v>
      </c>
      <c r="I1137" s="2" t="str">
        <f>'PFAS Properties'!$C$52</f>
        <v>FTS</v>
      </c>
      <c r="J1137" s="2" t="str">
        <f>'PFAS Properties'!$D$52</f>
        <v>C8H5F13O3S</v>
      </c>
      <c r="K1137" s="25">
        <f>'PFAS Properties'!$P$52</f>
        <v>427.97499999999997</v>
      </c>
      <c r="L1137" s="2">
        <f>'PFAS Properties'!$X$52</f>
        <v>0.4</v>
      </c>
      <c r="M1137" s="2" t="str">
        <f>'PFAS Properties'!$Y$52</f>
        <v>-</v>
      </c>
      <c r="N1137" s="33">
        <v>0</v>
      </c>
      <c r="O1137" s="33">
        <v>0</v>
      </c>
      <c r="P1137" s="33">
        <v>0</v>
      </c>
      <c r="Q1137" s="33">
        <f t="shared" si="624"/>
        <v>0.99999683773233983</v>
      </c>
      <c r="R1137" s="33">
        <v>0</v>
      </c>
      <c r="S1137" s="33">
        <f t="shared" si="625"/>
        <v>3.1622676601999995E-6</v>
      </c>
      <c r="T1137" s="8">
        <f t="shared" si="642"/>
        <v>1</v>
      </c>
      <c r="U1137" s="33">
        <f t="shared" si="627"/>
        <v>0</v>
      </c>
      <c r="V1137" s="33">
        <f t="shared" si="628"/>
        <v>-0.99999683773233983</v>
      </c>
      <c r="W1137" s="33">
        <f t="shared" si="629"/>
        <v>426.97500316226763</v>
      </c>
      <c r="X1137" s="33">
        <v>96485</v>
      </c>
      <c r="Y1137" s="16">
        <f t="shared" si="630"/>
        <v>-225.9727013853707</v>
      </c>
      <c r="Z1137" s="16">
        <v>8</v>
      </c>
      <c r="AA1137" s="16">
        <v>13</v>
      </c>
      <c r="AB1137" s="8">
        <f t="shared" si="631"/>
        <v>0.38866396761133604</v>
      </c>
      <c r="AC1137" s="16">
        <f t="shared" si="637"/>
        <v>57.713651498335182</v>
      </c>
      <c r="AD1137" s="20">
        <f>'PFAS Properties'!$W$52</f>
        <v>6</v>
      </c>
      <c r="AE1137" s="8">
        <f>'PFAS Properties'!$S$52</f>
        <v>4.0402066275747108</v>
      </c>
      <c r="AF1137" s="2">
        <f>'PFAS Properties'!$V$52</f>
        <v>3.9</v>
      </c>
      <c r="AG1137" s="24">
        <v>5.9</v>
      </c>
      <c r="AH1137" s="2" t="s">
        <v>216</v>
      </c>
      <c r="AI1137" s="2">
        <v>1.4</v>
      </c>
      <c r="AJ1137" s="15">
        <f>AI1137*1000/55.845</f>
        <v>25.069388485988004</v>
      </c>
      <c r="AK1137" s="15">
        <f>AI1137/10</f>
        <v>0.13999999999999999</v>
      </c>
      <c r="AL1137" s="15">
        <v>0.92</v>
      </c>
      <c r="AM1137" s="15">
        <f>AL1137*1000/26.98</f>
        <v>34.099332839140104</v>
      </c>
      <c r="AN1137" s="15">
        <f>AL1137/10</f>
        <v>9.1999999999999998E-2</v>
      </c>
      <c r="AO1137" s="15" t="s">
        <v>217</v>
      </c>
      <c r="AP1137" s="72">
        <v>15.34083666666667</v>
      </c>
      <c r="AQ1137" s="70" t="s">
        <v>752</v>
      </c>
      <c r="AR1137" s="16">
        <v>37</v>
      </c>
      <c r="AS1137" s="16">
        <v>22</v>
      </c>
      <c r="AT1137" s="16">
        <v>41</v>
      </c>
      <c r="AU1137" s="2" t="s">
        <v>661</v>
      </c>
      <c r="AV1137" s="16">
        <f t="shared" si="646"/>
        <v>100</v>
      </c>
      <c r="AW1137" s="20">
        <v>2.6</v>
      </c>
      <c r="AX1137" s="8">
        <f t="shared" si="633"/>
        <v>2.6000000000000002E-2</v>
      </c>
      <c r="AY1137" s="8" t="s">
        <v>218</v>
      </c>
      <c r="AZ1137" s="16">
        <f>1.5/0.075</f>
        <v>20</v>
      </c>
      <c r="BA1137" s="16" t="s">
        <v>55</v>
      </c>
      <c r="BB1137" s="16">
        <v>10</v>
      </c>
      <c r="BC1137" s="16" t="s">
        <v>55</v>
      </c>
      <c r="BD1137" s="20">
        <v>0.3</v>
      </c>
      <c r="BE1137" s="16">
        <f t="shared" si="639"/>
        <v>11.538461538461537</v>
      </c>
      <c r="BF1137" s="16">
        <f t="shared" si="640"/>
        <v>1.0621479067488444</v>
      </c>
      <c r="BG1137" s="8">
        <f t="shared" si="641"/>
        <v>-0.52287874528033762</v>
      </c>
      <c r="BH1137" s="2" t="s">
        <v>374</v>
      </c>
      <c r="BI1137" s="2"/>
      <c r="BJ1137" s="2"/>
      <c r="BK1137" s="15"/>
      <c r="BL1137" s="2"/>
      <c r="BM1137" s="20"/>
      <c r="BN1137" s="20"/>
      <c r="BO1137" s="2"/>
    </row>
    <row r="1138" spans="1:67" s="14" customFormat="1" x14ac:dyDescent="0.3">
      <c r="A1138" s="20">
        <v>1136</v>
      </c>
      <c r="B1138" s="2" t="s">
        <v>234</v>
      </c>
      <c r="C1138" s="2">
        <v>2022</v>
      </c>
      <c r="D1138" s="2" t="s">
        <v>205</v>
      </c>
      <c r="E1138" s="10" t="s">
        <v>799</v>
      </c>
      <c r="F1138" s="20" t="s">
        <v>63</v>
      </c>
      <c r="G1138" s="2" t="s">
        <v>375</v>
      </c>
      <c r="H1138" s="2" t="str">
        <f>'PFAS Properties'!$B$52</f>
        <v>6:2 FTS</v>
      </c>
      <c r="I1138" s="2" t="str">
        <f>'PFAS Properties'!$C$52</f>
        <v>FTS</v>
      </c>
      <c r="J1138" s="2" t="str">
        <f>'PFAS Properties'!$D$52</f>
        <v>C8H5F13O3S</v>
      </c>
      <c r="K1138" s="25">
        <f>'PFAS Properties'!$P$52</f>
        <v>427.97499999999997</v>
      </c>
      <c r="L1138" s="2">
        <f>'PFAS Properties'!$X$52</f>
        <v>0.4</v>
      </c>
      <c r="M1138" s="2" t="str">
        <f>'PFAS Properties'!$Y$52</f>
        <v>-</v>
      </c>
      <c r="N1138" s="33">
        <v>0</v>
      </c>
      <c r="O1138" s="33">
        <v>0</v>
      </c>
      <c r="P1138" s="33">
        <v>0</v>
      </c>
      <c r="Q1138" s="33">
        <f t="shared" si="624"/>
        <v>0.99999997601167134</v>
      </c>
      <c r="R1138" s="33">
        <v>0</v>
      </c>
      <c r="S1138" s="33">
        <f t="shared" si="625"/>
        <v>2.3988328614755021E-8</v>
      </c>
      <c r="T1138" s="8">
        <f t="shared" si="642"/>
        <v>1</v>
      </c>
      <c r="U1138" s="33">
        <f t="shared" si="627"/>
        <v>0</v>
      </c>
      <c r="V1138" s="33">
        <f t="shared" si="628"/>
        <v>-0.99999997601167134</v>
      </c>
      <c r="W1138" s="33">
        <f t="shared" si="629"/>
        <v>426.97500002398829</v>
      </c>
      <c r="X1138" s="33">
        <v>96485</v>
      </c>
      <c r="Y1138" s="16">
        <f t="shared" si="630"/>
        <v>-225.97341221398298</v>
      </c>
      <c r="Z1138" s="16">
        <v>8</v>
      </c>
      <c r="AA1138" s="16">
        <v>13</v>
      </c>
      <c r="AB1138" s="8">
        <f t="shared" si="631"/>
        <v>0.38866396761133604</v>
      </c>
      <c r="AC1138" s="16">
        <f t="shared" si="637"/>
        <v>57.713651498335182</v>
      </c>
      <c r="AD1138" s="20">
        <f>'PFAS Properties'!$W$52</f>
        <v>6</v>
      </c>
      <c r="AE1138" s="8">
        <f>'PFAS Properties'!$S$52</f>
        <v>4.0402066275747108</v>
      </c>
      <c r="AF1138" s="2">
        <f>'PFAS Properties'!$V$52</f>
        <v>3.9</v>
      </c>
      <c r="AG1138" s="24">
        <v>8.02</v>
      </c>
      <c r="AH1138" s="1" t="s">
        <v>363</v>
      </c>
      <c r="AI1138" s="1" t="s">
        <v>363</v>
      </c>
      <c r="AJ1138" s="1" t="s">
        <v>363</v>
      </c>
      <c r="AK1138" s="1" t="s">
        <v>363</v>
      </c>
      <c r="AL1138" s="1" t="s">
        <v>363</v>
      </c>
      <c r="AM1138" s="1" t="s">
        <v>363</v>
      </c>
      <c r="AN1138" s="1" t="s">
        <v>363</v>
      </c>
      <c r="AO1138" s="1" t="s">
        <v>363</v>
      </c>
      <c r="AP1138" s="72">
        <v>11.934691666666669</v>
      </c>
      <c r="AQ1138" s="70" t="s">
        <v>752</v>
      </c>
      <c r="AR1138" s="16">
        <v>6.34</v>
      </c>
      <c r="AS1138" s="16">
        <v>85.56</v>
      </c>
      <c r="AT1138" s="16">
        <v>8.08</v>
      </c>
      <c r="AU1138" s="2" t="s">
        <v>661</v>
      </c>
      <c r="AV1138" s="16">
        <f t="shared" si="646"/>
        <v>99.98</v>
      </c>
      <c r="AW1138" s="20">
        <v>0.37</v>
      </c>
      <c r="AX1138" s="8">
        <f t="shared" si="633"/>
        <v>3.7000000000000002E-3</v>
      </c>
      <c r="AY1138" s="8" t="s">
        <v>281</v>
      </c>
      <c r="AZ1138" s="16">
        <f>2.5/0.02</f>
        <v>125</v>
      </c>
      <c r="BA1138" s="16" t="s">
        <v>55</v>
      </c>
      <c r="BB1138" s="16">
        <v>2</v>
      </c>
      <c r="BC1138" s="16">
        <v>200</v>
      </c>
      <c r="BD1138" s="18">
        <f>BO1138</f>
        <v>1.0856475858869954</v>
      </c>
      <c r="BE1138" s="16">
        <f t="shared" si="639"/>
        <v>293.41826645594466</v>
      </c>
      <c r="BF1138" s="16">
        <f t="shared" si="640"/>
        <v>2.4674871469104147</v>
      </c>
      <c r="BG1138" s="8">
        <f t="shared" si="641"/>
        <v>3.5688870977409887E-2</v>
      </c>
      <c r="BH1138" s="13" t="s">
        <v>782</v>
      </c>
      <c r="BI1138" s="13">
        <v>0.88</v>
      </c>
      <c r="BJ1138" s="13" t="s">
        <v>376</v>
      </c>
      <c r="BK1138" s="15">
        <v>1.03</v>
      </c>
      <c r="BL1138" s="13">
        <f>BI1138*(1/(1^BK1138))</f>
        <v>0.88</v>
      </c>
      <c r="BM1138" s="25">
        <f>'PFAS Properties'!U52</f>
        <v>1097</v>
      </c>
      <c r="BN1138" s="8">
        <f>(BL1138*(BM1138^BK1138))</f>
        <v>1190.955401718034</v>
      </c>
      <c r="BO1138" s="17">
        <f>BN1138/BM1138</f>
        <v>1.0856475858869954</v>
      </c>
    </row>
    <row r="1139" spans="1:67" s="14" customFormat="1" x14ac:dyDescent="0.3">
      <c r="A1139" s="20">
        <v>1137</v>
      </c>
      <c r="B1139" s="2" t="s">
        <v>181</v>
      </c>
      <c r="C1139" s="2">
        <v>2020</v>
      </c>
      <c r="D1139" s="2" t="s">
        <v>203</v>
      </c>
      <c r="E1139" s="10" t="s">
        <v>787</v>
      </c>
      <c r="F1139" s="20" t="s">
        <v>29</v>
      </c>
      <c r="G1139" s="2" t="s">
        <v>62</v>
      </c>
      <c r="H1139" s="2" t="str">
        <f>'PFAS Properties'!$B$52</f>
        <v>6:2 FTS</v>
      </c>
      <c r="I1139" s="2" t="str">
        <f>'PFAS Properties'!$C$52</f>
        <v>FTS</v>
      </c>
      <c r="J1139" s="2" t="str">
        <f>'PFAS Properties'!$D$52</f>
        <v>C8H5F13O3S</v>
      </c>
      <c r="K1139" s="25">
        <f>'PFAS Properties'!$P$52</f>
        <v>427.97499999999997</v>
      </c>
      <c r="L1139" s="2">
        <f>'PFAS Properties'!$X$52</f>
        <v>0.4</v>
      </c>
      <c r="M1139" s="2" t="str">
        <f>'PFAS Properties'!$Y$52</f>
        <v>-</v>
      </c>
      <c r="N1139" s="33">
        <v>0</v>
      </c>
      <c r="O1139" s="33">
        <v>0</v>
      </c>
      <c r="P1139" s="33">
        <v>0</v>
      </c>
      <c r="Q1139" s="33">
        <f t="shared" si="624"/>
        <v>0.99999992056718279</v>
      </c>
      <c r="R1139" s="33">
        <v>0</v>
      </c>
      <c r="S1139" s="33">
        <f t="shared" si="625"/>
        <v>7.9432817162855232E-8</v>
      </c>
      <c r="T1139" s="8">
        <f t="shared" si="642"/>
        <v>1</v>
      </c>
      <c r="U1139" s="33">
        <f t="shared" si="627"/>
        <v>0</v>
      </c>
      <c r="V1139" s="33">
        <f t="shared" si="628"/>
        <v>-0.99999992056718279</v>
      </c>
      <c r="W1139" s="33">
        <f t="shared" si="629"/>
        <v>426.97500007943273</v>
      </c>
      <c r="X1139" s="33">
        <v>96485</v>
      </c>
      <c r="Y1139" s="16">
        <f t="shared" si="630"/>
        <v>-225.97339965565888</v>
      </c>
      <c r="Z1139" s="16">
        <v>8</v>
      </c>
      <c r="AA1139" s="16">
        <v>13</v>
      </c>
      <c r="AB1139" s="8">
        <f t="shared" si="631"/>
        <v>0.38866396761133604</v>
      </c>
      <c r="AC1139" s="16">
        <f t="shared" si="637"/>
        <v>57.713651498335182</v>
      </c>
      <c r="AD1139" s="20">
        <f>'PFAS Properties'!$W$52</f>
        <v>6</v>
      </c>
      <c r="AE1139" s="8">
        <f>'PFAS Properties'!$S$52</f>
        <v>4.0402066275747108</v>
      </c>
      <c r="AF1139" s="2">
        <f>'PFAS Properties'!$V$52</f>
        <v>3.9</v>
      </c>
      <c r="AG1139" s="24">
        <v>7.5</v>
      </c>
      <c r="AH1139" s="2" t="s">
        <v>183</v>
      </c>
      <c r="AI1139" s="2" t="s">
        <v>661</v>
      </c>
      <c r="AJ1139" s="2" t="s">
        <v>661</v>
      </c>
      <c r="AK1139" s="2" t="s">
        <v>661</v>
      </c>
      <c r="AL1139" s="2" t="s">
        <v>661</v>
      </c>
      <c r="AM1139" s="2" t="s">
        <v>661</v>
      </c>
      <c r="AN1139" s="2" t="s">
        <v>661</v>
      </c>
      <c r="AO1139" s="2" t="s">
        <v>661</v>
      </c>
      <c r="AP1139" s="15">
        <v>41.4</v>
      </c>
      <c r="AQ1139" s="2" t="s">
        <v>661</v>
      </c>
      <c r="AR1139" s="16">
        <v>16.899999999999999</v>
      </c>
      <c r="AS1139" s="16">
        <v>17.5</v>
      </c>
      <c r="AT1139" s="16">
        <v>65.599999999999994</v>
      </c>
      <c r="AU1139" s="2" t="s">
        <v>661</v>
      </c>
      <c r="AV1139" s="16">
        <f t="shared" si="646"/>
        <v>100</v>
      </c>
      <c r="AW1139" s="20">
        <v>0.7</v>
      </c>
      <c r="AX1139" s="8">
        <f t="shared" si="633"/>
        <v>6.9999999999999993E-3</v>
      </c>
      <c r="AY1139" s="8" t="s">
        <v>184</v>
      </c>
      <c r="AZ1139" s="16">
        <v>100</v>
      </c>
      <c r="BA1139" s="16" t="s">
        <v>55</v>
      </c>
      <c r="BB1139" s="16">
        <v>5</v>
      </c>
      <c r="BC1139" s="16" t="s">
        <v>55</v>
      </c>
      <c r="BD1139" s="20">
        <v>0.87</v>
      </c>
      <c r="BE1139" s="16">
        <f t="shared" si="639"/>
        <v>124.28571428571429</v>
      </c>
      <c r="BF1139" s="16">
        <f t="shared" si="640"/>
        <v>2.0944212126043618</v>
      </c>
      <c r="BG1139" s="8">
        <f t="shared" si="641"/>
        <v>-6.0480747381381476E-2</v>
      </c>
      <c r="BH1139" s="13" t="s">
        <v>345</v>
      </c>
      <c r="BI1139" s="13"/>
      <c r="BJ1139" s="13"/>
      <c r="BK1139" s="13"/>
      <c r="BL1139" s="13"/>
      <c r="BM1139" s="17"/>
      <c r="BN1139" s="17"/>
      <c r="BO1139" s="2"/>
    </row>
    <row r="1140" spans="1:67" s="14" customFormat="1" x14ac:dyDescent="0.3">
      <c r="A1140" s="20">
        <v>1138</v>
      </c>
      <c r="B1140" s="2" t="s">
        <v>181</v>
      </c>
      <c r="C1140" s="2">
        <v>2020</v>
      </c>
      <c r="D1140" s="2" t="s">
        <v>203</v>
      </c>
      <c r="E1140" s="10" t="s">
        <v>787</v>
      </c>
      <c r="F1140" s="20" t="s">
        <v>29</v>
      </c>
      <c r="G1140" s="2" t="s">
        <v>57</v>
      </c>
      <c r="H1140" s="2" t="str">
        <f>'PFAS Properties'!$B$52</f>
        <v>6:2 FTS</v>
      </c>
      <c r="I1140" s="2" t="str">
        <f>'PFAS Properties'!$C$52</f>
        <v>FTS</v>
      </c>
      <c r="J1140" s="2" t="str">
        <f>'PFAS Properties'!$D$52</f>
        <v>C8H5F13O3S</v>
      </c>
      <c r="K1140" s="25">
        <f>'PFAS Properties'!$P$52</f>
        <v>427.97499999999997</v>
      </c>
      <c r="L1140" s="2">
        <f>'PFAS Properties'!$X$52</f>
        <v>0.4</v>
      </c>
      <c r="M1140" s="2" t="str">
        <f>'PFAS Properties'!$Y$52</f>
        <v>-</v>
      </c>
      <c r="N1140" s="33">
        <v>0</v>
      </c>
      <c r="O1140" s="33">
        <v>0</v>
      </c>
      <c r="P1140" s="33">
        <v>0</v>
      </c>
      <c r="Q1140" s="33">
        <f t="shared" si="624"/>
        <v>0.99999960189298798</v>
      </c>
      <c r="R1140" s="33">
        <v>0</v>
      </c>
      <c r="S1140" s="33">
        <f t="shared" si="625"/>
        <v>3.981070120642407E-7</v>
      </c>
      <c r="T1140" s="8">
        <f t="shared" si="642"/>
        <v>1</v>
      </c>
      <c r="U1140" s="33">
        <f t="shared" si="627"/>
        <v>0</v>
      </c>
      <c r="V1140" s="33">
        <f t="shared" si="628"/>
        <v>-0.99999960189298798</v>
      </c>
      <c r="W1140" s="33">
        <f t="shared" si="629"/>
        <v>426.975000398107</v>
      </c>
      <c r="X1140" s="33">
        <v>96485</v>
      </c>
      <c r="Y1140" s="16">
        <f t="shared" si="630"/>
        <v>-225.97332747510598</v>
      </c>
      <c r="Z1140" s="16">
        <v>8</v>
      </c>
      <c r="AA1140" s="16">
        <v>13</v>
      </c>
      <c r="AB1140" s="8">
        <f t="shared" si="631"/>
        <v>0.38866396761133604</v>
      </c>
      <c r="AC1140" s="16">
        <f t="shared" si="637"/>
        <v>57.713651498335182</v>
      </c>
      <c r="AD1140" s="20">
        <f>'PFAS Properties'!$W$52</f>
        <v>6</v>
      </c>
      <c r="AE1140" s="8">
        <f>'PFAS Properties'!$S$52</f>
        <v>4.0402066275747108</v>
      </c>
      <c r="AF1140" s="2">
        <f>'PFAS Properties'!$V$52</f>
        <v>3.9</v>
      </c>
      <c r="AG1140" s="24">
        <v>6.8</v>
      </c>
      <c r="AH1140" s="2" t="s">
        <v>183</v>
      </c>
      <c r="AI1140" s="2" t="s">
        <v>661</v>
      </c>
      <c r="AJ1140" s="2" t="s">
        <v>661</v>
      </c>
      <c r="AK1140" s="2" t="s">
        <v>661</v>
      </c>
      <c r="AL1140" s="2" t="s">
        <v>661</v>
      </c>
      <c r="AM1140" s="2" t="s">
        <v>661</v>
      </c>
      <c r="AN1140" s="2" t="s">
        <v>661</v>
      </c>
      <c r="AO1140" s="2" t="s">
        <v>661</v>
      </c>
      <c r="AP1140" s="15">
        <v>7.1</v>
      </c>
      <c r="AQ1140" s="2" t="s">
        <v>661</v>
      </c>
      <c r="AR1140" s="16">
        <v>48.9</v>
      </c>
      <c r="AS1140" s="16">
        <v>27</v>
      </c>
      <c r="AT1140" s="16">
        <v>24.2</v>
      </c>
      <c r="AU1140" s="2" t="s">
        <v>661</v>
      </c>
      <c r="AV1140" s="16">
        <f t="shared" si="646"/>
        <v>100.10000000000001</v>
      </c>
      <c r="AW1140" s="20">
        <v>0.37</v>
      </c>
      <c r="AX1140" s="8">
        <f t="shared" si="633"/>
        <v>3.7000000000000002E-3</v>
      </c>
      <c r="AY1140" s="13" t="s">
        <v>184</v>
      </c>
      <c r="AZ1140" s="16">
        <v>100</v>
      </c>
      <c r="BA1140" s="16" t="s">
        <v>55</v>
      </c>
      <c r="BB1140" s="16">
        <v>5</v>
      </c>
      <c r="BC1140" s="16" t="s">
        <v>55</v>
      </c>
      <c r="BD1140" s="20">
        <v>0.61</v>
      </c>
      <c r="BE1140" s="16">
        <f t="shared" si="639"/>
        <v>164.86486486486484</v>
      </c>
      <c r="BF1140" s="16">
        <f t="shared" si="640"/>
        <v>2.2171281109437722</v>
      </c>
      <c r="BG1140" s="8">
        <f t="shared" si="641"/>
        <v>-0.21467016498923297</v>
      </c>
      <c r="BH1140" s="13" t="s">
        <v>345</v>
      </c>
      <c r="BI1140" s="13"/>
      <c r="BJ1140" s="13"/>
      <c r="BK1140" s="13"/>
      <c r="BL1140" s="13"/>
      <c r="BM1140" s="17"/>
      <c r="BN1140" s="17"/>
      <c r="BO1140" s="2"/>
    </row>
    <row r="1141" spans="1:67" s="14" customFormat="1" x14ac:dyDescent="0.3">
      <c r="A1141" s="20">
        <v>1139</v>
      </c>
      <c r="B1141" s="2" t="s">
        <v>181</v>
      </c>
      <c r="C1141" s="2">
        <v>2020</v>
      </c>
      <c r="D1141" s="2" t="s">
        <v>203</v>
      </c>
      <c r="E1141" s="10" t="s">
        <v>787</v>
      </c>
      <c r="F1141" s="20" t="s">
        <v>29</v>
      </c>
      <c r="G1141" s="2" t="s">
        <v>58</v>
      </c>
      <c r="H1141" s="2" t="str">
        <f>'PFAS Properties'!$B$52</f>
        <v>6:2 FTS</v>
      </c>
      <c r="I1141" s="2" t="str">
        <f>'PFAS Properties'!$C$52</f>
        <v>FTS</v>
      </c>
      <c r="J1141" s="2" t="str">
        <f>'PFAS Properties'!$D$52</f>
        <v>C8H5F13O3S</v>
      </c>
      <c r="K1141" s="25">
        <f>'PFAS Properties'!$P$52</f>
        <v>427.97499999999997</v>
      </c>
      <c r="L1141" s="2">
        <f>'PFAS Properties'!$X$52</f>
        <v>0.4</v>
      </c>
      <c r="M1141" s="2" t="str">
        <f>'PFAS Properties'!$Y$52</f>
        <v>-</v>
      </c>
      <c r="N1141" s="33">
        <v>0</v>
      </c>
      <c r="O1141" s="33">
        <v>0</v>
      </c>
      <c r="P1141" s="33">
        <v>0</v>
      </c>
      <c r="Q1141" s="33">
        <f t="shared" si="624"/>
        <v>0.99999841510931942</v>
      </c>
      <c r="R1141" s="33">
        <v>0</v>
      </c>
      <c r="S1141" s="33">
        <f t="shared" si="625"/>
        <v>1.5848906805786609E-6</v>
      </c>
      <c r="T1141" s="8">
        <f t="shared" si="642"/>
        <v>1</v>
      </c>
      <c r="U1141" s="33">
        <f t="shared" si="627"/>
        <v>0</v>
      </c>
      <c r="V1141" s="33">
        <f t="shared" si="628"/>
        <v>-0.99999841510931942</v>
      </c>
      <c r="W1141" s="33">
        <f t="shared" si="629"/>
        <v>426.97500158489066</v>
      </c>
      <c r="X1141" s="33">
        <v>96485</v>
      </c>
      <c r="Y1141" s="16">
        <f t="shared" si="630"/>
        <v>-225.97305866544903</v>
      </c>
      <c r="Z1141" s="16">
        <v>8</v>
      </c>
      <c r="AA1141" s="16">
        <v>13</v>
      </c>
      <c r="AB1141" s="8">
        <f t="shared" si="631"/>
        <v>0.38866396761133604</v>
      </c>
      <c r="AC1141" s="16">
        <f t="shared" si="637"/>
        <v>57.713651498335182</v>
      </c>
      <c r="AD1141" s="20">
        <f>'PFAS Properties'!$W$52</f>
        <v>6</v>
      </c>
      <c r="AE1141" s="8">
        <f>'PFAS Properties'!$S$52</f>
        <v>4.0402066275747108</v>
      </c>
      <c r="AF1141" s="2">
        <f>'PFAS Properties'!$V$52</f>
        <v>3.9</v>
      </c>
      <c r="AG1141" s="24">
        <v>6.2</v>
      </c>
      <c r="AH1141" s="2" t="s">
        <v>183</v>
      </c>
      <c r="AI1141" s="2" t="s">
        <v>661</v>
      </c>
      <c r="AJ1141" s="2" t="s">
        <v>661</v>
      </c>
      <c r="AK1141" s="2" t="s">
        <v>661</v>
      </c>
      <c r="AL1141" s="2" t="s">
        <v>661</v>
      </c>
      <c r="AM1141" s="2" t="s">
        <v>661</v>
      </c>
      <c r="AN1141" s="2" t="s">
        <v>661</v>
      </c>
      <c r="AO1141" s="2" t="s">
        <v>661</v>
      </c>
      <c r="AP1141" s="15">
        <v>8</v>
      </c>
      <c r="AQ1141" s="2" t="s">
        <v>661</v>
      </c>
      <c r="AR1141" s="16">
        <v>51.44</v>
      </c>
      <c r="AS1141" s="16">
        <v>10.17</v>
      </c>
      <c r="AT1141" s="16">
        <v>38.380000000000003</v>
      </c>
      <c r="AU1141" s="2" t="s">
        <v>661</v>
      </c>
      <c r="AV1141" s="16">
        <f t="shared" si="646"/>
        <v>99.990000000000009</v>
      </c>
      <c r="AW1141" s="20">
        <v>0.08</v>
      </c>
      <c r="AX1141" s="8">
        <f t="shared" si="633"/>
        <v>8.0000000000000004E-4</v>
      </c>
      <c r="AY1141" s="8" t="s">
        <v>184</v>
      </c>
      <c r="AZ1141" s="16">
        <v>100</v>
      </c>
      <c r="BA1141" s="16" t="s">
        <v>55</v>
      </c>
      <c r="BB1141" s="16">
        <v>5</v>
      </c>
      <c r="BC1141" s="16" t="s">
        <v>55</v>
      </c>
      <c r="BD1141" s="20">
        <v>0.51</v>
      </c>
      <c r="BE1141" s="16">
        <f t="shared" si="639"/>
        <v>637.5</v>
      </c>
      <c r="BF1141" s="16">
        <f t="shared" si="640"/>
        <v>2.8044801891059929</v>
      </c>
      <c r="BG1141" s="8">
        <f t="shared" si="641"/>
        <v>-0.29242982390206362</v>
      </c>
      <c r="BH1141" s="13" t="s">
        <v>345</v>
      </c>
      <c r="BI1141" s="13"/>
      <c r="BJ1141" s="13"/>
      <c r="BK1141" s="13"/>
      <c r="BL1141" s="13"/>
      <c r="BM1141" s="17"/>
      <c r="BN1141" s="17"/>
      <c r="BO1141" s="2"/>
    </row>
    <row r="1142" spans="1:67" s="14" customFormat="1" x14ac:dyDescent="0.3">
      <c r="A1142" s="20">
        <v>1140</v>
      </c>
      <c r="B1142" s="2" t="s">
        <v>181</v>
      </c>
      <c r="C1142" s="2">
        <v>2020</v>
      </c>
      <c r="D1142" s="2" t="s">
        <v>203</v>
      </c>
      <c r="E1142" s="10" t="s">
        <v>787</v>
      </c>
      <c r="F1142" s="20" t="s">
        <v>29</v>
      </c>
      <c r="G1142" s="2" t="s">
        <v>59</v>
      </c>
      <c r="H1142" s="2" t="str">
        <f>'PFAS Properties'!$B$52</f>
        <v>6:2 FTS</v>
      </c>
      <c r="I1142" s="2" t="str">
        <f>'PFAS Properties'!$C$52</f>
        <v>FTS</v>
      </c>
      <c r="J1142" s="2" t="str">
        <f>'PFAS Properties'!$D$52</f>
        <v>C8H5F13O3S</v>
      </c>
      <c r="K1142" s="25">
        <f>'PFAS Properties'!$P$52</f>
        <v>427.97499999999997</v>
      </c>
      <c r="L1142" s="2">
        <f>'PFAS Properties'!$X$52</f>
        <v>0.4</v>
      </c>
      <c r="M1142" s="2" t="str">
        <f>'PFAS Properties'!$Y$52</f>
        <v>-</v>
      </c>
      <c r="N1142" s="33">
        <v>0</v>
      </c>
      <c r="O1142" s="33">
        <v>0</v>
      </c>
      <c r="P1142" s="33">
        <v>0</v>
      </c>
      <c r="Q1142" s="33">
        <f t="shared" si="624"/>
        <v>0.99999994988127916</v>
      </c>
      <c r="R1142" s="33">
        <v>0</v>
      </c>
      <c r="S1142" s="33">
        <f t="shared" si="625"/>
        <v>5.011872085084086E-8</v>
      </c>
      <c r="T1142" s="8">
        <f t="shared" si="642"/>
        <v>1</v>
      </c>
      <c r="U1142" s="33">
        <f t="shared" si="627"/>
        <v>0</v>
      </c>
      <c r="V1142" s="33">
        <f t="shared" si="628"/>
        <v>-0.99999994988127916</v>
      </c>
      <c r="W1142" s="33">
        <f t="shared" si="629"/>
        <v>426.97500005011869</v>
      </c>
      <c r="X1142" s="33">
        <v>96485</v>
      </c>
      <c r="Y1142" s="16">
        <f t="shared" si="630"/>
        <v>-225.97340629537965</v>
      </c>
      <c r="Z1142" s="16">
        <v>8</v>
      </c>
      <c r="AA1142" s="16">
        <v>13</v>
      </c>
      <c r="AB1142" s="8">
        <f t="shared" si="631"/>
        <v>0.38866396761133604</v>
      </c>
      <c r="AC1142" s="16">
        <f t="shared" si="637"/>
        <v>57.713651498335182</v>
      </c>
      <c r="AD1142" s="20">
        <f>'PFAS Properties'!$W$52</f>
        <v>6</v>
      </c>
      <c r="AE1142" s="8">
        <f>'PFAS Properties'!$S$52</f>
        <v>4.0402066275747108</v>
      </c>
      <c r="AF1142" s="2">
        <f>'PFAS Properties'!$V$52</f>
        <v>3.9</v>
      </c>
      <c r="AG1142" s="24">
        <v>7.7</v>
      </c>
      <c r="AH1142" s="2" t="s">
        <v>183</v>
      </c>
      <c r="AI1142" s="2" t="s">
        <v>661</v>
      </c>
      <c r="AJ1142" s="2" t="s">
        <v>661</v>
      </c>
      <c r="AK1142" s="2" t="s">
        <v>661</v>
      </c>
      <c r="AL1142" s="2" t="s">
        <v>661</v>
      </c>
      <c r="AM1142" s="2" t="s">
        <v>661</v>
      </c>
      <c r="AN1142" s="2" t="s">
        <v>661</v>
      </c>
      <c r="AO1142" s="2" t="s">
        <v>661</v>
      </c>
      <c r="AP1142" s="15">
        <v>4.8</v>
      </c>
      <c r="AQ1142" s="2" t="s">
        <v>661</v>
      </c>
      <c r="AR1142" s="16">
        <v>46</v>
      </c>
      <c r="AS1142" s="16">
        <v>37</v>
      </c>
      <c r="AT1142" s="16">
        <v>17</v>
      </c>
      <c r="AU1142" s="2" t="s">
        <v>661</v>
      </c>
      <c r="AV1142" s="16">
        <f t="shared" si="646"/>
        <v>100</v>
      </c>
      <c r="AW1142" s="20">
        <v>0.25</v>
      </c>
      <c r="AX1142" s="8">
        <f t="shared" si="633"/>
        <v>2.5000000000000001E-3</v>
      </c>
      <c r="AY1142" s="13" t="s">
        <v>184</v>
      </c>
      <c r="AZ1142" s="16">
        <v>100</v>
      </c>
      <c r="BA1142" s="16" t="s">
        <v>55</v>
      </c>
      <c r="BB1142" s="16">
        <v>5</v>
      </c>
      <c r="BC1142" s="16" t="s">
        <v>55</v>
      </c>
      <c r="BD1142" s="18">
        <v>0.48</v>
      </c>
      <c r="BE1142" s="16">
        <f t="shared" si="639"/>
        <v>192</v>
      </c>
      <c r="BF1142" s="16">
        <f t="shared" si="640"/>
        <v>2.2833012287035497</v>
      </c>
      <c r="BG1142" s="8">
        <f t="shared" si="641"/>
        <v>-0.31875876262441277</v>
      </c>
      <c r="BH1142" s="13" t="s">
        <v>345</v>
      </c>
      <c r="BI1142" s="13"/>
      <c r="BJ1142" s="13"/>
      <c r="BK1142" s="13"/>
      <c r="BL1142" s="13"/>
      <c r="BM1142" s="17"/>
      <c r="BN1142" s="17"/>
      <c r="BO1142" s="2"/>
    </row>
    <row r="1143" spans="1:67" s="14" customFormat="1" x14ac:dyDescent="0.3">
      <c r="A1143" s="20">
        <v>1141</v>
      </c>
      <c r="B1143" s="2" t="s">
        <v>181</v>
      </c>
      <c r="C1143" s="2">
        <v>2020</v>
      </c>
      <c r="D1143" s="2" t="s">
        <v>203</v>
      </c>
      <c r="E1143" s="10" t="s">
        <v>787</v>
      </c>
      <c r="F1143" s="20" t="s">
        <v>29</v>
      </c>
      <c r="G1143" s="2" t="s">
        <v>61</v>
      </c>
      <c r="H1143" s="2" t="str">
        <f>'PFAS Properties'!$B$52</f>
        <v>6:2 FTS</v>
      </c>
      <c r="I1143" s="2" t="str">
        <f>'PFAS Properties'!$C$52</f>
        <v>FTS</v>
      </c>
      <c r="J1143" s="2" t="str">
        <f>'PFAS Properties'!$D$52</f>
        <v>C8H5F13O3S</v>
      </c>
      <c r="K1143" s="25">
        <f>'PFAS Properties'!$P$52</f>
        <v>427.97499999999997</v>
      </c>
      <c r="L1143" s="2">
        <f>'PFAS Properties'!$X$52</f>
        <v>0.4</v>
      </c>
      <c r="M1143" s="2" t="str">
        <f>'PFAS Properties'!$Y$52</f>
        <v>-</v>
      </c>
      <c r="N1143" s="33">
        <v>0</v>
      </c>
      <c r="O1143" s="33">
        <v>0</v>
      </c>
      <c r="P1143" s="33">
        <v>0</v>
      </c>
      <c r="Q1143" s="33">
        <f t="shared" si="624"/>
        <v>0.99999990000001004</v>
      </c>
      <c r="R1143" s="33">
        <v>0</v>
      </c>
      <c r="S1143" s="33">
        <f t="shared" si="625"/>
        <v>9.9999990000001005E-8</v>
      </c>
      <c r="T1143" s="8">
        <f t="shared" si="642"/>
        <v>1</v>
      </c>
      <c r="U1143" s="33">
        <f t="shared" si="627"/>
        <v>0</v>
      </c>
      <c r="V1143" s="33">
        <f t="shared" si="628"/>
        <v>-0.99999990000001004</v>
      </c>
      <c r="W1143" s="33">
        <f t="shared" si="629"/>
        <v>426.97500009999999</v>
      </c>
      <c r="X1143" s="33">
        <v>96485</v>
      </c>
      <c r="Y1143" s="16">
        <f t="shared" si="630"/>
        <v>-225.97339499713948</v>
      </c>
      <c r="Z1143" s="16">
        <v>8</v>
      </c>
      <c r="AA1143" s="16">
        <v>13</v>
      </c>
      <c r="AB1143" s="8">
        <f t="shared" si="631"/>
        <v>0.38866396761133604</v>
      </c>
      <c r="AC1143" s="16">
        <f t="shared" si="637"/>
        <v>57.713651498335182</v>
      </c>
      <c r="AD1143" s="20">
        <f>'PFAS Properties'!$W$52</f>
        <v>6</v>
      </c>
      <c r="AE1143" s="8">
        <f>'PFAS Properties'!$S$52</f>
        <v>4.0402066275747108</v>
      </c>
      <c r="AF1143" s="2">
        <f>'PFAS Properties'!$V$52</f>
        <v>3.9</v>
      </c>
      <c r="AG1143" s="24">
        <v>7.4</v>
      </c>
      <c r="AH1143" s="2" t="s">
        <v>183</v>
      </c>
      <c r="AI1143" s="2" t="s">
        <v>661</v>
      </c>
      <c r="AJ1143" s="2" t="s">
        <v>661</v>
      </c>
      <c r="AK1143" s="2" t="s">
        <v>661</v>
      </c>
      <c r="AL1143" s="2" t="s">
        <v>661</v>
      </c>
      <c r="AM1143" s="2" t="s">
        <v>661</v>
      </c>
      <c r="AN1143" s="2" t="s">
        <v>661</v>
      </c>
      <c r="AO1143" s="2" t="s">
        <v>661</v>
      </c>
      <c r="AP1143" s="15">
        <v>29.6</v>
      </c>
      <c r="AQ1143" s="2" t="s">
        <v>661</v>
      </c>
      <c r="AR1143" s="16">
        <v>39.799999999999997</v>
      </c>
      <c r="AS1143" s="16">
        <v>7.7</v>
      </c>
      <c r="AT1143" s="16">
        <v>52.5</v>
      </c>
      <c r="AU1143" s="2" t="s">
        <v>661</v>
      </c>
      <c r="AV1143" s="16">
        <f t="shared" si="646"/>
        <v>100</v>
      </c>
      <c r="AW1143" s="20">
        <v>2.23</v>
      </c>
      <c r="AX1143" s="8">
        <f t="shared" si="633"/>
        <v>2.23E-2</v>
      </c>
      <c r="AY1143" s="8" t="s">
        <v>184</v>
      </c>
      <c r="AZ1143" s="16">
        <v>100</v>
      </c>
      <c r="BA1143" s="16" t="s">
        <v>55</v>
      </c>
      <c r="BB1143" s="16">
        <v>5</v>
      </c>
      <c r="BC1143" s="16" t="s">
        <v>55</v>
      </c>
      <c r="BD1143" s="20">
        <v>0.47</v>
      </c>
      <c r="BE1143" s="16">
        <f t="shared" si="639"/>
        <v>21.076233183856502</v>
      </c>
      <c r="BF1143" s="16">
        <f t="shared" si="640"/>
        <v>1.3237929948875569</v>
      </c>
      <c r="BG1143" s="8">
        <f t="shared" si="641"/>
        <v>-0.32790214206428259</v>
      </c>
      <c r="BH1143" s="13" t="s">
        <v>345</v>
      </c>
      <c r="BI1143" s="13"/>
      <c r="BJ1143" s="13"/>
      <c r="BK1143" s="13"/>
      <c r="BL1143" s="13"/>
      <c r="BM1143" s="17"/>
      <c r="BN1143" s="17"/>
      <c r="BO1143" s="2"/>
    </row>
    <row r="1144" spans="1:67" s="14" customFormat="1" x14ac:dyDescent="0.3">
      <c r="A1144" s="20">
        <v>1142</v>
      </c>
      <c r="B1144" s="2" t="s">
        <v>181</v>
      </c>
      <c r="C1144" s="2">
        <v>2020</v>
      </c>
      <c r="D1144" s="2" t="s">
        <v>203</v>
      </c>
      <c r="E1144" s="10" t="s">
        <v>787</v>
      </c>
      <c r="F1144" s="20" t="s">
        <v>29</v>
      </c>
      <c r="G1144" s="2" t="s">
        <v>60</v>
      </c>
      <c r="H1144" s="2" t="str">
        <f>'PFAS Properties'!$B$52</f>
        <v>6:2 FTS</v>
      </c>
      <c r="I1144" s="2" t="str">
        <f>'PFAS Properties'!$C$52</f>
        <v>FTS</v>
      </c>
      <c r="J1144" s="2" t="str">
        <f>'PFAS Properties'!$D$52</f>
        <v>C8H5F13O3S</v>
      </c>
      <c r="K1144" s="25">
        <f>'PFAS Properties'!$P$52</f>
        <v>427.97499999999997</v>
      </c>
      <c r="L1144" s="2">
        <f>'PFAS Properties'!$X$52</f>
        <v>0.4</v>
      </c>
      <c r="M1144" s="2" t="str">
        <f>'PFAS Properties'!$Y$52</f>
        <v>-</v>
      </c>
      <c r="N1144" s="33">
        <v>0</v>
      </c>
      <c r="O1144" s="33">
        <v>0</v>
      </c>
      <c r="P1144" s="33">
        <v>0</v>
      </c>
      <c r="Q1144" s="33">
        <f t="shared" ref="Q1144:Q1174" si="647">(10^(AG1144-L1144))/(1+(10^(AG1144-L1144)))</f>
        <v>0.99999994988127916</v>
      </c>
      <c r="R1144" s="33">
        <v>0</v>
      </c>
      <c r="S1144" s="33">
        <f t="shared" ref="S1144:S1174" si="648">(1/(1+(10^(AG1144-L1144))))</f>
        <v>5.011872085084086E-8</v>
      </c>
      <c r="T1144" s="8">
        <f t="shared" si="642"/>
        <v>1</v>
      </c>
      <c r="U1144" s="33">
        <f t="shared" si="627"/>
        <v>0</v>
      </c>
      <c r="V1144" s="33">
        <f t="shared" si="628"/>
        <v>-0.99999994988127916</v>
      </c>
      <c r="W1144" s="33">
        <f t="shared" si="629"/>
        <v>426.97500005011869</v>
      </c>
      <c r="X1144" s="33">
        <v>96485</v>
      </c>
      <c r="Y1144" s="16">
        <f t="shared" si="630"/>
        <v>-225.97340629537965</v>
      </c>
      <c r="Z1144" s="16">
        <v>8</v>
      </c>
      <c r="AA1144" s="16">
        <v>13</v>
      </c>
      <c r="AB1144" s="8">
        <f t="shared" si="631"/>
        <v>0.38866396761133604</v>
      </c>
      <c r="AC1144" s="16">
        <f t="shared" si="637"/>
        <v>57.713651498335182</v>
      </c>
      <c r="AD1144" s="20">
        <f>'PFAS Properties'!$W$52</f>
        <v>6</v>
      </c>
      <c r="AE1144" s="8">
        <f>'PFAS Properties'!$S$52</f>
        <v>4.0402066275747108</v>
      </c>
      <c r="AF1144" s="2">
        <f>'PFAS Properties'!$V$52</f>
        <v>3.9</v>
      </c>
      <c r="AG1144" s="24">
        <v>7.7</v>
      </c>
      <c r="AH1144" s="2" t="s">
        <v>183</v>
      </c>
      <c r="AI1144" s="2" t="s">
        <v>661</v>
      </c>
      <c r="AJ1144" s="2" t="s">
        <v>661</v>
      </c>
      <c r="AK1144" s="2" t="s">
        <v>661</v>
      </c>
      <c r="AL1144" s="2" t="s">
        <v>661</v>
      </c>
      <c r="AM1144" s="2" t="s">
        <v>661</v>
      </c>
      <c r="AN1144" s="2" t="s">
        <v>661</v>
      </c>
      <c r="AO1144" s="2" t="s">
        <v>661</v>
      </c>
      <c r="AP1144" s="15">
        <v>21.63</v>
      </c>
      <c r="AQ1144" s="2" t="s">
        <v>661</v>
      </c>
      <c r="AR1144" s="16">
        <v>70</v>
      </c>
      <c r="AS1144" s="16">
        <v>11</v>
      </c>
      <c r="AT1144" s="16">
        <v>19</v>
      </c>
      <c r="AU1144" s="2" t="s">
        <v>661</v>
      </c>
      <c r="AV1144" s="16">
        <f t="shared" si="646"/>
        <v>100</v>
      </c>
      <c r="AW1144" s="20">
        <v>4.9000000000000004</v>
      </c>
      <c r="AX1144" s="8">
        <f t="shared" si="633"/>
        <v>4.9000000000000002E-2</v>
      </c>
      <c r="AY1144" s="8" t="s">
        <v>184</v>
      </c>
      <c r="AZ1144" s="16">
        <v>100</v>
      </c>
      <c r="BA1144" s="16" t="s">
        <v>55</v>
      </c>
      <c r="BB1144" s="16">
        <v>5</v>
      </c>
      <c r="BC1144" s="43" t="s">
        <v>55</v>
      </c>
      <c r="BD1144" s="20">
        <v>1.77</v>
      </c>
      <c r="BE1144" s="16">
        <f t="shared" si="639"/>
        <v>36.122448979591837</v>
      </c>
      <c r="BF1144" s="16">
        <f t="shared" si="640"/>
        <v>1.557777186333293</v>
      </c>
      <c r="BG1144" s="8">
        <f t="shared" si="641"/>
        <v>0.24797326636180664</v>
      </c>
      <c r="BH1144" s="13" t="s">
        <v>345</v>
      </c>
      <c r="BI1144" s="13"/>
      <c r="BJ1144" s="13"/>
      <c r="BK1144" s="13"/>
      <c r="BL1144" s="13"/>
      <c r="BM1144" s="17"/>
      <c r="BN1144" s="17"/>
      <c r="BO1144" s="2"/>
    </row>
    <row r="1145" spans="1:67" s="14" customFormat="1" x14ac:dyDescent="0.3">
      <c r="A1145" s="20">
        <v>1143</v>
      </c>
      <c r="B1145" s="2" t="s">
        <v>181</v>
      </c>
      <c r="C1145" s="2">
        <v>2020</v>
      </c>
      <c r="D1145" s="2" t="s">
        <v>203</v>
      </c>
      <c r="E1145" s="10" t="s">
        <v>787</v>
      </c>
      <c r="F1145" s="20" t="s">
        <v>29</v>
      </c>
      <c r="G1145" s="2" t="s">
        <v>77</v>
      </c>
      <c r="H1145" s="2" t="str">
        <f>'PFAS Properties'!$B$52</f>
        <v>6:2 FTS</v>
      </c>
      <c r="I1145" s="2" t="str">
        <f>'PFAS Properties'!$C$52</f>
        <v>FTS</v>
      </c>
      <c r="J1145" s="2" t="str">
        <f>'PFAS Properties'!$D$52</f>
        <v>C8H5F13O3S</v>
      </c>
      <c r="K1145" s="25">
        <f>'PFAS Properties'!$P$52</f>
        <v>427.97499999999997</v>
      </c>
      <c r="L1145" s="2">
        <f>'PFAS Properties'!$X$52</f>
        <v>0.4</v>
      </c>
      <c r="M1145" s="2" t="str">
        <f>'PFAS Properties'!$Y$52</f>
        <v>-</v>
      </c>
      <c r="N1145" s="33">
        <v>0</v>
      </c>
      <c r="O1145" s="33">
        <v>0</v>
      </c>
      <c r="P1145" s="33">
        <v>0</v>
      </c>
      <c r="Q1145" s="33">
        <f t="shared" si="647"/>
        <v>0.99999994988127916</v>
      </c>
      <c r="R1145" s="33">
        <v>0</v>
      </c>
      <c r="S1145" s="33">
        <f t="shared" si="648"/>
        <v>5.011872085084086E-8</v>
      </c>
      <c r="T1145" s="8">
        <f t="shared" si="642"/>
        <v>1</v>
      </c>
      <c r="U1145" s="33">
        <f t="shared" si="627"/>
        <v>0</v>
      </c>
      <c r="V1145" s="33">
        <f t="shared" si="628"/>
        <v>-0.99999994988127916</v>
      </c>
      <c r="W1145" s="33">
        <f t="shared" si="629"/>
        <v>426.97500005011869</v>
      </c>
      <c r="X1145" s="33">
        <v>96485</v>
      </c>
      <c r="Y1145" s="16">
        <f t="shared" si="630"/>
        <v>-225.97340629537965</v>
      </c>
      <c r="Z1145" s="16">
        <v>8</v>
      </c>
      <c r="AA1145" s="16">
        <v>13</v>
      </c>
      <c r="AB1145" s="8">
        <f t="shared" si="631"/>
        <v>0.38866396761133604</v>
      </c>
      <c r="AC1145" s="16">
        <f t="shared" si="637"/>
        <v>57.713651498335182</v>
      </c>
      <c r="AD1145" s="20">
        <f>'PFAS Properties'!$W$52</f>
        <v>6</v>
      </c>
      <c r="AE1145" s="8">
        <f>'PFAS Properties'!$S$52</f>
        <v>4.0402066275747108</v>
      </c>
      <c r="AF1145" s="2">
        <f>'PFAS Properties'!$V$52</f>
        <v>3.9</v>
      </c>
      <c r="AG1145" s="24">
        <v>7.7</v>
      </c>
      <c r="AH1145" s="2" t="s">
        <v>183</v>
      </c>
      <c r="AI1145" s="2" t="s">
        <v>661</v>
      </c>
      <c r="AJ1145" s="2" t="s">
        <v>661</v>
      </c>
      <c r="AK1145" s="2" t="s">
        <v>661</v>
      </c>
      <c r="AL1145" s="2" t="s">
        <v>661</v>
      </c>
      <c r="AM1145" s="2" t="s">
        <v>661</v>
      </c>
      <c r="AN1145" s="2" t="s">
        <v>661</v>
      </c>
      <c r="AO1145" s="2" t="s">
        <v>661</v>
      </c>
      <c r="AP1145" s="15">
        <v>7.8</v>
      </c>
      <c r="AQ1145" s="2" t="s">
        <v>661</v>
      </c>
      <c r="AR1145" s="16">
        <v>48.9</v>
      </c>
      <c r="AS1145" s="16">
        <v>32.6</v>
      </c>
      <c r="AT1145" s="16">
        <v>18.5</v>
      </c>
      <c r="AU1145" s="2" t="s">
        <v>661</v>
      </c>
      <c r="AV1145" s="16">
        <f t="shared" si="646"/>
        <v>100</v>
      </c>
      <c r="AW1145" s="20">
        <v>0.13</v>
      </c>
      <c r="AX1145" s="8">
        <f t="shared" si="633"/>
        <v>1.2999999999999999E-3</v>
      </c>
      <c r="AY1145" s="8" t="s">
        <v>184</v>
      </c>
      <c r="AZ1145" s="16">
        <v>100</v>
      </c>
      <c r="BA1145" s="16" t="s">
        <v>55</v>
      </c>
      <c r="BB1145" s="16">
        <v>5</v>
      </c>
      <c r="BC1145" s="16" t="s">
        <v>55</v>
      </c>
      <c r="BD1145" s="20">
        <v>0.64</v>
      </c>
      <c r="BE1145" s="16">
        <f t="shared" si="639"/>
        <v>492.30769230769232</v>
      </c>
      <c r="BF1145" s="16">
        <f t="shared" si="640"/>
        <v>2.6922366216770506</v>
      </c>
      <c r="BG1145" s="8">
        <f t="shared" si="641"/>
        <v>-0.19382002601611281</v>
      </c>
      <c r="BH1145" s="13" t="s">
        <v>345</v>
      </c>
      <c r="BI1145" s="13"/>
      <c r="BJ1145" s="13"/>
      <c r="BK1145" s="13"/>
      <c r="BL1145" s="13"/>
      <c r="BM1145" s="17"/>
      <c r="BN1145" s="17"/>
      <c r="BO1145" s="2"/>
    </row>
    <row r="1146" spans="1:67" s="14" customFormat="1" x14ac:dyDescent="0.3">
      <c r="A1146" s="20">
        <v>1144</v>
      </c>
      <c r="B1146" s="2" t="s">
        <v>181</v>
      </c>
      <c r="C1146" s="2">
        <v>2020</v>
      </c>
      <c r="D1146" s="2" t="s">
        <v>203</v>
      </c>
      <c r="E1146" s="10" t="s">
        <v>787</v>
      </c>
      <c r="F1146" s="20" t="s">
        <v>29</v>
      </c>
      <c r="G1146" s="2" t="s">
        <v>182</v>
      </c>
      <c r="H1146" s="2" t="str">
        <f>'PFAS Properties'!$B$52</f>
        <v>6:2 FTS</v>
      </c>
      <c r="I1146" s="2" t="str">
        <f>'PFAS Properties'!$C$52</f>
        <v>FTS</v>
      </c>
      <c r="J1146" s="2" t="str">
        <f>'PFAS Properties'!$D$52</f>
        <v>C8H5F13O3S</v>
      </c>
      <c r="K1146" s="25">
        <f>'PFAS Properties'!$P$52</f>
        <v>427.97499999999997</v>
      </c>
      <c r="L1146" s="2">
        <f>'PFAS Properties'!$X$52</f>
        <v>0.4</v>
      </c>
      <c r="M1146" s="2" t="str">
        <f>'PFAS Properties'!$Y$52</f>
        <v>-</v>
      </c>
      <c r="N1146" s="33">
        <v>0</v>
      </c>
      <c r="O1146" s="33">
        <v>0</v>
      </c>
      <c r="P1146" s="33">
        <v>0</v>
      </c>
      <c r="Q1146" s="33">
        <f t="shared" si="647"/>
        <v>0.99999992056718279</v>
      </c>
      <c r="R1146" s="33">
        <v>0</v>
      </c>
      <c r="S1146" s="33">
        <f t="shared" si="648"/>
        <v>7.9432817162855232E-8</v>
      </c>
      <c r="T1146" s="8">
        <f t="shared" si="642"/>
        <v>1</v>
      </c>
      <c r="U1146" s="33">
        <f t="shared" si="627"/>
        <v>0</v>
      </c>
      <c r="V1146" s="33">
        <f t="shared" si="628"/>
        <v>-0.99999992056718279</v>
      </c>
      <c r="W1146" s="33">
        <f t="shared" si="629"/>
        <v>426.97500007943273</v>
      </c>
      <c r="X1146" s="33">
        <v>96485</v>
      </c>
      <c r="Y1146" s="16">
        <f t="shared" si="630"/>
        <v>-225.97339965565888</v>
      </c>
      <c r="Z1146" s="16">
        <v>8</v>
      </c>
      <c r="AA1146" s="16">
        <v>13</v>
      </c>
      <c r="AB1146" s="8">
        <f t="shared" si="631"/>
        <v>0.38866396761133604</v>
      </c>
      <c r="AC1146" s="16">
        <f t="shared" si="637"/>
        <v>57.713651498335182</v>
      </c>
      <c r="AD1146" s="20">
        <f>'PFAS Properties'!$W$52</f>
        <v>6</v>
      </c>
      <c r="AE1146" s="8">
        <f>'PFAS Properties'!$S$52</f>
        <v>4.0402066275747108</v>
      </c>
      <c r="AF1146" s="2">
        <f>'PFAS Properties'!$V$52</f>
        <v>3.9</v>
      </c>
      <c r="AG1146" s="24">
        <v>7.5</v>
      </c>
      <c r="AH1146" s="2" t="s">
        <v>183</v>
      </c>
      <c r="AI1146" s="2" t="s">
        <v>661</v>
      </c>
      <c r="AJ1146" s="2" t="s">
        <v>661</v>
      </c>
      <c r="AK1146" s="2" t="s">
        <v>661</v>
      </c>
      <c r="AL1146" s="2" t="s">
        <v>661</v>
      </c>
      <c r="AM1146" s="2" t="s">
        <v>661</v>
      </c>
      <c r="AN1146" s="2" t="s">
        <v>661</v>
      </c>
      <c r="AO1146" s="2" t="s">
        <v>661</v>
      </c>
      <c r="AP1146" s="15">
        <v>2.2799999999999998</v>
      </c>
      <c r="AQ1146" s="2" t="s">
        <v>661</v>
      </c>
      <c r="AR1146" s="16">
        <v>93</v>
      </c>
      <c r="AS1146" s="16">
        <v>1</v>
      </c>
      <c r="AT1146" s="16">
        <v>5</v>
      </c>
      <c r="AU1146" s="2" t="s">
        <v>661</v>
      </c>
      <c r="AV1146" s="16">
        <f t="shared" si="646"/>
        <v>99</v>
      </c>
      <c r="AW1146" s="20">
        <v>0.4</v>
      </c>
      <c r="AX1146" s="8">
        <f t="shared" si="633"/>
        <v>4.0000000000000001E-3</v>
      </c>
      <c r="AY1146" s="8" t="s">
        <v>184</v>
      </c>
      <c r="AZ1146" s="16">
        <v>100</v>
      </c>
      <c r="BA1146" s="16" t="s">
        <v>55</v>
      </c>
      <c r="BB1146" s="16">
        <v>5</v>
      </c>
      <c r="BC1146" s="16" t="s">
        <v>55</v>
      </c>
      <c r="BD1146" s="20">
        <v>0.19</v>
      </c>
      <c r="BE1146" s="16">
        <f t="shared" si="639"/>
        <v>47.5</v>
      </c>
      <c r="BF1146" s="16">
        <f t="shared" si="640"/>
        <v>1.6766936096248666</v>
      </c>
      <c r="BG1146" s="8">
        <f t="shared" si="641"/>
        <v>-0.72124639904717103</v>
      </c>
      <c r="BH1146" s="13" t="s">
        <v>345</v>
      </c>
      <c r="BI1146" s="13"/>
      <c r="BJ1146" s="13"/>
      <c r="BK1146" s="13"/>
      <c r="BL1146" s="13"/>
      <c r="BM1146" s="17"/>
      <c r="BN1146" s="17"/>
      <c r="BO1146" s="2"/>
    </row>
    <row r="1147" spans="1:67" s="14" customFormat="1" x14ac:dyDescent="0.3">
      <c r="A1147" s="20">
        <v>1145</v>
      </c>
      <c r="B1147" s="2" t="s">
        <v>181</v>
      </c>
      <c r="C1147" s="2">
        <v>2020</v>
      </c>
      <c r="D1147" s="2" t="s">
        <v>203</v>
      </c>
      <c r="E1147" s="10" t="s">
        <v>787</v>
      </c>
      <c r="F1147" s="20" t="s">
        <v>29</v>
      </c>
      <c r="G1147" s="2" t="s">
        <v>78</v>
      </c>
      <c r="H1147" s="2" t="str">
        <f>'PFAS Properties'!$B$52</f>
        <v>6:2 FTS</v>
      </c>
      <c r="I1147" s="2" t="str">
        <f>'PFAS Properties'!$C$52</f>
        <v>FTS</v>
      </c>
      <c r="J1147" s="2" t="str">
        <f>'PFAS Properties'!$D$52</f>
        <v>C8H5F13O3S</v>
      </c>
      <c r="K1147" s="25">
        <f>'PFAS Properties'!$P$52</f>
        <v>427.97499999999997</v>
      </c>
      <c r="L1147" s="2">
        <f>'PFAS Properties'!$X$52</f>
        <v>0.4</v>
      </c>
      <c r="M1147" s="2" t="str">
        <f>'PFAS Properties'!$Y$52</f>
        <v>-</v>
      </c>
      <c r="N1147" s="33">
        <v>0</v>
      </c>
      <c r="O1147" s="33">
        <v>0</v>
      </c>
      <c r="P1147" s="33">
        <v>0</v>
      </c>
      <c r="Q1147" s="33">
        <f t="shared" si="647"/>
        <v>0.99999980047380832</v>
      </c>
      <c r="R1147" s="33">
        <v>0</v>
      </c>
      <c r="S1147" s="33">
        <f t="shared" si="648"/>
        <v>1.9952619168617889E-7</v>
      </c>
      <c r="T1147" s="8">
        <f t="shared" si="642"/>
        <v>1</v>
      </c>
      <c r="U1147" s="33">
        <f t="shared" si="627"/>
        <v>0</v>
      </c>
      <c r="V1147" s="33">
        <f t="shared" si="628"/>
        <v>-0.99999980047380832</v>
      </c>
      <c r="W1147" s="33">
        <f t="shared" si="629"/>
        <v>426.97500019952616</v>
      </c>
      <c r="X1147" s="33">
        <v>96485</v>
      </c>
      <c r="Y1147" s="16">
        <f t="shared" si="630"/>
        <v>-225.97337245419004</v>
      </c>
      <c r="Z1147" s="16">
        <v>8</v>
      </c>
      <c r="AA1147" s="16">
        <v>13</v>
      </c>
      <c r="AB1147" s="8">
        <f t="shared" si="631"/>
        <v>0.38866396761133604</v>
      </c>
      <c r="AC1147" s="16">
        <f t="shared" si="637"/>
        <v>57.713651498335182</v>
      </c>
      <c r="AD1147" s="20">
        <f>'PFAS Properties'!$W$52</f>
        <v>6</v>
      </c>
      <c r="AE1147" s="8">
        <f>'PFAS Properties'!$S$52</f>
        <v>4.0402066275747108</v>
      </c>
      <c r="AF1147" s="2">
        <f>'PFAS Properties'!$V$52</f>
        <v>3.9</v>
      </c>
      <c r="AG1147" s="24">
        <v>7.1</v>
      </c>
      <c r="AH1147" s="2" t="s">
        <v>183</v>
      </c>
      <c r="AI1147" s="2" t="s">
        <v>661</v>
      </c>
      <c r="AJ1147" s="2" t="s">
        <v>661</v>
      </c>
      <c r="AK1147" s="2" t="s">
        <v>661</v>
      </c>
      <c r="AL1147" s="2" t="s">
        <v>661</v>
      </c>
      <c r="AM1147" s="2" t="s">
        <v>661</v>
      </c>
      <c r="AN1147" s="2" t="s">
        <v>661</v>
      </c>
      <c r="AO1147" s="2" t="s">
        <v>661</v>
      </c>
      <c r="AP1147" s="15">
        <v>17.420000000000002</v>
      </c>
      <c r="AQ1147" s="2" t="s">
        <v>661</v>
      </c>
      <c r="AR1147" s="16">
        <v>48.86</v>
      </c>
      <c r="AS1147" s="16">
        <v>16.05</v>
      </c>
      <c r="AT1147" s="16">
        <v>35.090000000000003</v>
      </c>
      <c r="AU1147" s="2" t="s">
        <v>661</v>
      </c>
      <c r="AV1147" s="16">
        <f t="shared" si="646"/>
        <v>100</v>
      </c>
      <c r="AW1147" s="20">
        <v>1.19</v>
      </c>
      <c r="AX1147" s="8">
        <f t="shared" si="633"/>
        <v>1.1899999999999999E-2</v>
      </c>
      <c r="AY1147" s="8" t="s">
        <v>184</v>
      </c>
      <c r="AZ1147" s="16">
        <v>100</v>
      </c>
      <c r="BA1147" s="16" t="s">
        <v>55</v>
      </c>
      <c r="BB1147" s="16">
        <v>5</v>
      </c>
      <c r="BC1147" s="16" t="s">
        <v>55</v>
      </c>
      <c r="BD1147" s="20">
        <v>0.64</v>
      </c>
      <c r="BE1147" s="16">
        <f t="shared" si="639"/>
        <v>53.781512605042025</v>
      </c>
      <c r="BF1147" s="16">
        <f t="shared" si="640"/>
        <v>1.7306330125913565</v>
      </c>
      <c r="BG1147" s="8">
        <f t="shared" si="641"/>
        <v>-0.19382002601611281</v>
      </c>
      <c r="BH1147" s="13" t="s">
        <v>345</v>
      </c>
      <c r="BI1147" s="13"/>
      <c r="BJ1147" s="13"/>
      <c r="BK1147" s="13"/>
      <c r="BL1147" s="13"/>
      <c r="BM1147" s="17"/>
      <c r="BN1147" s="17"/>
      <c r="BO1147" s="2"/>
    </row>
    <row r="1148" spans="1:67" s="14" customFormat="1" x14ac:dyDescent="0.3">
      <c r="A1148" s="20">
        <v>1146</v>
      </c>
      <c r="B1148" s="2" t="s">
        <v>181</v>
      </c>
      <c r="C1148" s="2">
        <v>2020</v>
      </c>
      <c r="D1148" s="2" t="s">
        <v>203</v>
      </c>
      <c r="E1148" s="10" t="s">
        <v>787</v>
      </c>
      <c r="F1148" s="20" t="s">
        <v>29</v>
      </c>
      <c r="G1148" s="2" t="s">
        <v>98</v>
      </c>
      <c r="H1148" s="2" t="str">
        <f>'PFAS Properties'!$B$52</f>
        <v>6:2 FTS</v>
      </c>
      <c r="I1148" s="2" t="str">
        <f>'PFAS Properties'!$C$52</f>
        <v>FTS</v>
      </c>
      <c r="J1148" s="2" t="str">
        <f>'PFAS Properties'!$D$52</f>
        <v>C8H5F13O3S</v>
      </c>
      <c r="K1148" s="25">
        <f>'PFAS Properties'!$P$52</f>
        <v>427.97499999999997</v>
      </c>
      <c r="L1148" s="2">
        <f>'PFAS Properties'!$X$52</f>
        <v>0.4</v>
      </c>
      <c r="M1148" s="2" t="str">
        <f>'PFAS Properties'!$Y$52</f>
        <v>-</v>
      </c>
      <c r="N1148" s="33">
        <v>0</v>
      </c>
      <c r="O1148" s="33">
        <v>0</v>
      </c>
      <c r="P1148" s="33">
        <v>0</v>
      </c>
      <c r="Q1148" s="33">
        <f t="shared" si="647"/>
        <v>0.99999900000099995</v>
      </c>
      <c r="R1148" s="33">
        <v>0</v>
      </c>
      <c r="S1148" s="33">
        <f t="shared" si="648"/>
        <v>9.9999900000100006E-7</v>
      </c>
      <c r="T1148" s="8">
        <f t="shared" si="642"/>
        <v>1</v>
      </c>
      <c r="U1148" s="33">
        <f t="shared" si="627"/>
        <v>0</v>
      </c>
      <c r="V1148" s="33">
        <f t="shared" si="628"/>
        <v>-0.99999900000099995</v>
      </c>
      <c r="W1148" s="33">
        <f t="shared" si="629"/>
        <v>426.97500099999894</v>
      </c>
      <c r="X1148" s="33">
        <v>96485</v>
      </c>
      <c r="Y1148" s="16">
        <f t="shared" si="630"/>
        <v>-225.97319114496992</v>
      </c>
      <c r="Z1148" s="16">
        <v>8</v>
      </c>
      <c r="AA1148" s="16">
        <v>13</v>
      </c>
      <c r="AB1148" s="8">
        <f t="shared" si="631"/>
        <v>0.38866396761133604</v>
      </c>
      <c r="AC1148" s="16">
        <f t="shared" si="637"/>
        <v>57.713651498335182</v>
      </c>
      <c r="AD1148" s="20">
        <f>'PFAS Properties'!$W$52</f>
        <v>6</v>
      </c>
      <c r="AE1148" s="8">
        <f>'PFAS Properties'!$S$52</f>
        <v>4.0402066275747108</v>
      </c>
      <c r="AF1148" s="2">
        <f>'PFAS Properties'!$V$52</f>
        <v>3.9</v>
      </c>
      <c r="AG1148" s="24">
        <v>6.4</v>
      </c>
      <c r="AH1148" s="2" t="s">
        <v>183</v>
      </c>
      <c r="AI1148" s="2" t="s">
        <v>661</v>
      </c>
      <c r="AJ1148" s="15" t="s">
        <v>661</v>
      </c>
      <c r="AK1148" s="8" t="s">
        <v>661</v>
      </c>
      <c r="AL1148" s="2" t="s">
        <v>661</v>
      </c>
      <c r="AM1148" s="15" t="s">
        <v>661</v>
      </c>
      <c r="AN1148" s="8" t="s">
        <v>661</v>
      </c>
      <c r="AO1148" s="15" t="s">
        <v>661</v>
      </c>
      <c r="AP1148" s="15">
        <v>16.54</v>
      </c>
      <c r="AQ1148" s="13" t="s">
        <v>661</v>
      </c>
      <c r="AR1148" s="16">
        <v>29.38</v>
      </c>
      <c r="AS1148" s="16">
        <v>13.9</v>
      </c>
      <c r="AT1148" s="16">
        <v>56.71</v>
      </c>
      <c r="AU1148" s="15" t="s">
        <v>661</v>
      </c>
      <c r="AV1148" s="16">
        <f t="shared" si="646"/>
        <v>99.990000000000009</v>
      </c>
      <c r="AW1148" s="20">
        <v>0.17</v>
      </c>
      <c r="AX1148" s="8">
        <f t="shared" si="633"/>
        <v>1.7000000000000001E-3</v>
      </c>
      <c r="AY1148" s="8" t="s">
        <v>184</v>
      </c>
      <c r="AZ1148" s="16">
        <v>100</v>
      </c>
      <c r="BA1148" s="16" t="s">
        <v>55</v>
      </c>
      <c r="BB1148" s="16">
        <v>5</v>
      </c>
      <c r="BC1148" s="16" t="s">
        <v>55</v>
      </c>
      <c r="BD1148" s="20">
        <v>0.87</v>
      </c>
      <c r="BE1148" s="16">
        <f t="shared" si="639"/>
        <v>511.76470588235293</v>
      </c>
      <c r="BF1148" s="16">
        <f t="shared" si="640"/>
        <v>2.7090703312403446</v>
      </c>
      <c r="BG1148" s="8">
        <f t="shared" si="641"/>
        <v>-6.0480747381381476E-2</v>
      </c>
      <c r="BH1148" s="13" t="s">
        <v>345</v>
      </c>
      <c r="BI1148" s="13"/>
      <c r="BJ1148" s="13"/>
      <c r="BK1148" s="13"/>
      <c r="BL1148" s="13"/>
      <c r="BM1148" s="17"/>
      <c r="BN1148" s="17"/>
      <c r="BO1148" s="2"/>
    </row>
    <row r="1149" spans="1:67" s="14" customFormat="1" x14ac:dyDescent="0.3">
      <c r="A1149" s="20">
        <v>1147</v>
      </c>
      <c r="B1149" s="2" t="s">
        <v>775</v>
      </c>
      <c r="C1149" s="2">
        <v>2021</v>
      </c>
      <c r="D1149" s="2" t="s">
        <v>203</v>
      </c>
      <c r="E1149" s="10" t="s">
        <v>786</v>
      </c>
      <c r="F1149" s="20" t="s">
        <v>29</v>
      </c>
      <c r="G1149" s="2" t="s">
        <v>116</v>
      </c>
      <c r="H1149" s="2" t="str">
        <f>'PFAS Properties'!$B$53</f>
        <v>8:2 FTS</v>
      </c>
      <c r="I1149" s="2" t="str">
        <f>'PFAS Properties'!$C$53</f>
        <v>FTS</v>
      </c>
      <c r="J1149" s="2" t="str">
        <f>'PFAS Properties'!$D$53</f>
        <v>C10H5F17O3S</v>
      </c>
      <c r="K1149" s="25">
        <f>'PFAS Properties'!$P$53</f>
        <v>527.96860000000004</v>
      </c>
      <c r="L1149" s="2">
        <f>'PFAS Properties'!$X$53</f>
        <v>0.4</v>
      </c>
      <c r="M1149" s="2" t="str">
        <f>'PFAS Properties'!$Y$53</f>
        <v>-</v>
      </c>
      <c r="N1149" s="33">
        <v>0</v>
      </c>
      <c r="O1149" s="33">
        <v>0</v>
      </c>
      <c r="P1149" s="33">
        <v>0</v>
      </c>
      <c r="Q1149" s="33">
        <f t="shared" si="647"/>
        <v>0.99999992920542657</v>
      </c>
      <c r="R1149" s="33">
        <v>0</v>
      </c>
      <c r="S1149" s="33">
        <f t="shared" si="648"/>
        <v>7.0794573426541869E-8</v>
      </c>
      <c r="T1149" s="8">
        <f t="shared" si="642"/>
        <v>1</v>
      </c>
      <c r="U1149" s="33">
        <f t="shared" si="627"/>
        <v>0</v>
      </c>
      <c r="V1149" s="33">
        <f t="shared" si="628"/>
        <v>-0.99999992920542657</v>
      </c>
      <c r="W1149" s="33">
        <f t="shared" si="629"/>
        <v>526.96860007079465</v>
      </c>
      <c r="X1149" s="33">
        <v>96485</v>
      </c>
      <c r="Y1149" s="16">
        <f t="shared" si="630"/>
        <v>-183.09438770435941</v>
      </c>
      <c r="Z1149" s="16">
        <v>10</v>
      </c>
      <c r="AA1149" s="16">
        <v>17</v>
      </c>
      <c r="AB1149" s="8">
        <f t="shared" si="631"/>
        <v>0.37151702786377711</v>
      </c>
      <c r="AC1149" s="16">
        <f t="shared" si="637"/>
        <v>61.177880654266183</v>
      </c>
      <c r="AD1149" s="20">
        <f>'PFAS Properties'!$W$53</f>
        <v>8</v>
      </c>
      <c r="AE1149" s="8">
        <f>'PFAS Properties'!$S$53</f>
        <v>2.2600713879850747</v>
      </c>
      <c r="AF1149" s="2">
        <f>'PFAS Properties'!$V$53</f>
        <v>5.3</v>
      </c>
      <c r="AG1149" s="24">
        <v>7.55</v>
      </c>
      <c r="AH1149" s="15" t="s">
        <v>830</v>
      </c>
      <c r="AI1149" s="2" t="s">
        <v>661</v>
      </c>
      <c r="AJ1149" s="2" t="s">
        <v>661</v>
      </c>
      <c r="AK1149" s="2" t="s">
        <v>661</v>
      </c>
      <c r="AL1149" s="2" t="s">
        <v>661</v>
      </c>
      <c r="AM1149" s="2" t="s">
        <v>661</v>
      </c>
      <c r="AN1149" s="2" t="s">
        <v>661</v>
      </c>
      <c r="AO1149" s="2" t="s">
        <v>661</v>
      </c>
      <c r="AP1149" s="15">
        <v>2.52</v>
      </c>
      <c r="AQ1149" s="16" t="s">
        <v>689</v>
      </c>
      <c r="AR1149" s="16">
        <v>45.3</v>
      </c>
      <c r="AS1149" s="16">
        <v>30</v>
      </c>
      <c r="AT1149" s="16">
        <v>24.7</v>
      </c>
      <c r="AU1149" s="16" t="s">
        <v>664</v>
      </c>
      <c r="AV1149" s="16">
        <f t="shared" si="646"/>
        <v>100</v>
      </c>
      <c r="AW1149" s="20">
        <v>3.4</v>
      </c>
      <c r="AX1149" s="8">
        <f t="shared" si="633"/>
        <v>3.4000000000000002E-2</v>
      </c>
      <c r="AY1149" s="8" t="s">
        <v>342</v>
      </c>
      <c r="AZ1149" s="16">
        <f t="shared" ref="AZ1149:AZ1159" si="649">1/0.01</f>
        <v>100</v>
      </c>
      <c r="BA1149" s="16" t="s">
        <v>55</v>
      </c>
      <c r="BB1149" s="15">
        <f>5*K1149/1000</f>
        <v>2.6398430000000004</v>
      </c>
      <c r="BC1149" s="16">
        <f>5000*K1149/1000</f>
        <v>2639.8429999999998</v>
      </c>
      <c r="BD1149" s="24">
        <f>183.7*AX1149</f>
        <v>6.2458</v>
      </c>
      <c r="BE1149" s="16">
        <f t="shared" si="639"/>
        <v>183.7</v>
      </c>
      <c r="BF1149" s="16">
        <f t="shared" si="640"/>
        <v>2.2641091563058082</v>
      </c>
      <c r="BG1149" s="8">
        <f t="shared" si="641"/>
        <v>0.79558807334806347</v>
      </c>
      <c r="BH1149" s="13" t="s">
        <v>343</v>
      </c>
      <c r="BI1149" s="8"/>
      <c r="BJ1149" s="13"/>
      <c r="BK1149" s="15"/>
      <c r="BL1149" s="15"/>
      <c r="BM1149" s="18"/>
      <c r="BN1149" s="8"/>
      <c r="BO1149" s="24"/>
    </row>
    <row r="1150" spans="1:67" s="14" customFormat="1" x14ac:dyDescent="0.3">
      <c r="A1150" s="20">
        <v>1148</v>
      </c>
      <c r="B1150" s="2" t="s">
        <v>775</v>
      </c>
      <c r="C1150" s="2">
        <v>2021</v>
      </c>
      <c r="D1150" s="2" t="s">
        <v>203</v>
      </c>
      <c r="E1150" s="10" t="s">
        <v>786</v>
      </c>
      <c r="F1150" s="20" t="s">
        <v>29</v>
      </c>
      <c r="G1150" s="2" t="s">
        <v>117</v>
      </c>
      <c r="H1150" s="2" t="str">
        <f>'PFAS Properties'!$B$53</f>
        <v>8:2 FTS</v>
      </c>
      <c r="I1150" s="2" t="str">
        <f>'PFAS Properties'!$C$53</f>
        <v>FTS</v>
      </c>
      <c r="J1150" s="2" t="str">
        <f>'PFAS Properties'!$D$53</f>
        <v>C10H5F17O3S</v>
      </c>
      <c r="K1150" s="25">
        <f>'PFAS Properties'!$P$53</f>
        <v>527.96860000000004</v>
      </c>
      <c r="L1150" s="2">
        <f>'PFAS Properties'!$X$53</f>
        <v>0.4</v>
      </c>
      <c r="M1150" s="2" t="str">
        <f>'PFAS Properties'!$Y$53</f>
        <v>-</v>
      </c>
      <c r="N1150" s="33">
        <v>0</v>
      </c>
      <c r="O1150" s="33">
        <v>0</v>
      </c>
      <c r="P1150" s="33">
        <v>0</v>
      </c>
      <c r="Q1150" s="33">
        <f t="shared" si="647"/>
        <v>0.99999998451183403</v>
      </c>
      <c r="R1150" s="33">
        <v>0</v>
      </c>
      <c r="S1150" s="33">
        <f t="shared" si="648"/>
        <v>1.5488165949241471E-8</v>
      </c>
      <c r="T1150" s="8">
        <f t="shared" si="642"/>
        <v>1</v>
      </c>
      <c r="U1150" s="33">
        <f t="shared" si="627"/>
        <v>0</v>
      </c>
      <c r="V1150" s="33">
        <f t="shared" si="628"/>
        <v>-0.99999998451183403</v>
      </c>
      <c r="W1150" s="33">
        <f t="shared" si="629"/>
        <v>526.96860001548816</v>
      </c>
      <c r="X1150" s="33">
        <v>96485</v>
      </c>
      <c r="Y1150" s="16">
        <f t="shared" si="630"/>
        <v>-183.09439784986907</v>
      </c>
      <c r="Z1150" s="16">
        <v>10</v>
      </c>
      <c r="AA1150" s="16">
        <v>17</v>
      </c>
      <c r="AB1150" s="8">
        <f t="shared" si="631"/>
        <v>0.37151702786377711</v>
      </c>
      <c r="AC1150" s="16">
        <f t="shared" ref="AC1150:AC1174" si="650">((AA1150*19)/K1150)*100</f>
        <v>61.177880654266183</v>
      </c>
      <c r="AD1150" s="20">
        <f>'PFAS Properties'!$W$53</f>
        <v>8</v>
      </c>
      <c r="AE1150" s="8">
        <f>'PFAS Properties'!$S$53</f>
        <v>2.2600713879850747</v>
      </c>
      <c r="AF1150" s="2">
        <f>'PFAS Properties'!$V$53</f>
        <v>5.3</v>
      </c>
      <c r="AG1150" s="24">
        <v>8.2100000000000009</v>
      </c>
      <c r="AH1150" s="15" t="s">
        <v>830</v>
      </c>
      <c r="AI1150" s="2" t="s">
        <v>661</v>
      </c>
      <c r="AJ1150" s="2" t="s">
        <v>661</v>
      </c>
      <c r="AK1150" s="2" t="s">
        <v>661</v>
      </c>
      <c r="AL1150" s="2" t="s">
        <v>661</v>
      </c>
      <c r="AM1150" s="2" t="s">
        <v>661</v>
      </c>
      <c r="AN1150" s="2" t="s">
        <v>661</v>
      </c>
      <c r="AO1150" s="2" t="s">
        <v>661</v>
      </c>
      <c r="AP1150" s="15">
        <v>11.4</v>
      </c>
      <c r="AQ1150" s="16" t="s">
        <v>689</v>
      </c>
      <c r="AR1150" s="16">
        <v>28.7</v>
      </c>
      <c r="AS1150" s="16">
        <v>40</v>
      </c>
      <c r="AT1150" s="16">
        <v>31.3</v>
      </c>
      <c r="AU1150" s="16" t="s">
        <v>664</v>
      </c>
      <c r="AV1150" s="16">
        <f t="shared" si="646"/>
        <v>100</v>
      </c>
      <c r="AW1150" s="20">
        <v>1.7</v>
      </c>
      <c r="AX1150" s="8">
        <f t="shared" si="633"/>
        <v>1.7000000000000001E-2</v>
      </c>
      <c r="AY1150" s="8" t="s">
        <v>342</v>
      </c>
      <c r="AZ1150" s="16">
        <f t="shared" si="649"/>
        <v>100</v>
      </c>
      <c r="BA1150" s="16" t="s">
        <v>55</v>
      </c>
      <c r="BB1150" s="15">
        <f>5*K1150/1000</f>
        <v>2.6398430000000004</v>
      </c>
      <c r="BC1150" s="16">
        <f>5000*K1150/1000</f>
        <v>2639.8429999999998</v>
      </c>
      <c r="BD1150" s="24">
        <f>210.6*AX1150</f>
        <v>3.5802</v>
      </c>
      <c r="BE1150" s="16">
        <f t="shared" si="639"/>
        <v>210.6</v>
      </c>
      <c r="BF1150" s="16">
        <f t="shared" si="640"/>
        <v>2.3234583668494677</v>
      </c>
      <c r="BG1150" s="8">
        <f t="shared" si="641"/>
        <v>0.5539072882277416</v>
      </c>
      <c r="BH1150" s="13" t="s">
        <v>343</v>
      </c>
      <c r="BI1150" s="16"/>
      <c r="BJ1150" s="13"/>
      <c r="BK1150" s="15"/>
      <c r="BL1150" s="16"/>
      <c r="BM1150" s="18"/>
      <c r="BN1150" s="8"/>
      <c r="BO1150" s="24"/>
    </row>
    <row r="1151" spans="1:67" s="14" customFormat="1" x14ac:dyDescent="0.3">
      <c r="A1151" s="20">
        <v>1149</v>
      </c>
      <c r="B1151" s="2" t="s">
        <v>775</v>
      </c>
      <c r="C1151" s="2">
        <v>2021</v>
      </c>
      <c r="D1151" s="2" t="s">
        <v>203</v>
      </c>
      <c r="E1151" s="10" t="s">
        <v>786</v>
      </c>
      <c r="F1151" s="20" t="s">
        <v>29</v>
      </c>
      <c r="G1151" s="2" t="s">
        <v>118</v>
      </c>
      <c r="H1151" s="2" t="str">
        <f>'PFAS Properties'!$B$53</f>
        <v>8:2 FTS</v>
      </c>
      <c r="I1151" s="2" t="str">
        <f>'PFAS Properties'!$C$53</f>
        <v>FTS</v>
      </c>
      <c r="J1151" s="2" t="str">
        <f>'PFAS Properties'!$D$53</f>
        <v>C10H5F17O3S</v>
      </c>
      <c r="K1151" s="25">
        <f>'PFAS Properties'!$P$53</f>
        <v>527.96860000000004</v>
      </c>
      <c r="L1151" s="2">
        <f>'PFAS Properties'!$X$53</f>
        <v>0.4</v>
      </c>
      <c r="M1151" s="2" t="str">
        <f>'PFAS Properties'!$Y$53</f>
        <v>-</v>
      </c>
      <c r="N1151" s="33">
        <v>0</v>
      </c>
      <c r="O1151" s="33">
        <v>0</v>
      </c>
      <c r="P1151" s="33">
        <v>0</v>
      </c>
      <c r="Q1151" s="33">
        <f t="shared" si="647"/>
        <v>0.9999993239174817</v>
      </c>
      <c r="R1151" s="33">
        <v>0</v>
      </c>
      <c r="S1151" s="33">
        <f t="shared" si="648"/>
        <v>6.7608251830410026E-7</v>
      </c>
      <c r="T1151" s="8">
        <f t="shared" si="642"/>
        <v>1</v>
      </c>
      <c r="U1151" s="33">
        <f t="shared" si="627"/>
        <v>0</v>
      </c>
      <c r="V1151" s="33">
        <f t="shared" si="628"/>
        <v>-0.9999993239174817</v>
      </c>
      <c r="W1151" s="33">
        <f t="shared" si="629"/>
        <v>526.96860067608259</v>
      </c>
      <c r="X1151" s="33">
        <v>96485</v>
      </c>
      <c r="Y1151" s="16">
        <f t="shared" si="630"/>
        <v>-183.09427666921971</v>
      </c>
      <c r="Z1151" s="16">
        <v>10</v>
      </c>
      <c r="AA1151" s="16">
        <v>17</v>
      </c>
      <c r="AB1151" s="8">
        <f t="shared" si="631"/>
        <v>0.37151702786377711</v>
      </c>
      <c r="AC1151" s="16">
        <f t="shared" si="650"/>
        <v>61.177880654266183</v>
      </c>
      <c r="AD1151" s="20">
        <f>'PFAS Properties'!$W$53</f>
        <v>8</v>
      </c>
      <c r="AE1151" s="8">
        <f>'PFAS Properties'!$S$53</f>
        <v>2.2600713879850747</v>
      </c>
      <c r="AF1151" s="2">
        <f>'PFAS Properties'!$V$53</f>
        <v>5.3</v>
      </c>
      <c r="AG1151" s="24">
        <v>6.57</v>
      </c>
      <c r="AH1151" s="15" t="s">
        <v>830</v>
      </c>
      <c r="AI1151" s="2" t="s">
        <v>661</v>
      </c>
      <c r="AJ1151" s="2" t="s">
        <v>661</v>
      </c>
      <c r="AK1151" s="2" t="s">
        <v>661</v>
      </c>
      <c r="AL1151" s="2" t="s">
        <v>661</v>
      </c>
      <c r="AM1151" s="2" t="s">
        <v>661</v>
      </c>
      <c r="AN1151" s="2" t="s">
        <v>661</v>
      </c>
      <c r="AO1151" s="2" t="s">
        <v>661</v>
      </c>
      <c r="AP1151" s="15">
        <v>9.93</v>
      </c>
      <c r="AQ1151" s="16" t="s">
        <v>689</v>
      </c>
      <c r="AR1151" s="16">
        <v>20</v>
      </c>
      <c r="AS1151" s="16">
        <v>50</v>
      </c>
      <c r="AT1151" s="16">
        <v>30</v>
      </c>
      <c r="AU1151" s="16" t="s">
        <v>664</v>
      </c>
      <c r="AV1151" s="16">
        <f t="shared" si="646"/>
        <v>100</v>
      </c>
      <c r="AW1151" s="20">
        <v>2.9</v>
      </c>
      <c r="AX1151" s="8">
        <f t="shared" si="633"/>
        <v>2.8999999999999998E-2</v>
      </c>
      <c r="AY1151" s="8" t="s">
        <v>342</v>
      </c>
      <c r="AZ1151" s="16">
        <f t="shared" si="649"/>
        <v>100</v>
      </c>
      <c r="BA1151" s="16" t="s">
        <v>55</v>
      </c>
      <c r="BB1151" s="15">
        <f>5*K1151/1000</f>
        <v>2.6398430000000004</v>
      </c>
      <c r="BC1151" s="16">
        <f>5000*K1151/1000</f>
        <v>2639.8429999999998</v>
      </c>
      <c r="BD1151" s="24">
        <f>206.9*AX1151</f>
        <v>6.0000999999999998</v>
      </c>
      <c r="BE1151" s="16">
        <f t="shared" si="639"/>
        <v>206.9</v>
      </c>
      <c r="BF1151" s="16">
        <f t="shared" si="640"/>
        <v>2.3157604906657347</v>
      </c>
      <c r="BG1151" s="8">
        <f t="shared" si="641"/>
        <v>0.77815848856469061</v>
      </c>
      <c r="BH1151" s="13" t="s">
        <v>343</v>
      </c>
      <c r="BI1151" s="15"/>
      <c r="BJ1151" s="13"/>
      <c r="BK1151" s="15"/>
      <c r="BL1151" s="15"/>
      <c r="BM1151" s="18"/>
      <c r="BN1151" s="8"/>
      <c r="BO1151" s="24"/>
    </row>
    <row r="1152" spans="1:67" s="14" customFormat="1" x14ac:dyDescent="0.3">
      <c r="A1152" s="20">
        <v>1150</v>
      </c>
      <c r="B1152" s="2" t="s">
        <v>775</v>
      </c>
      <c r="C1152" s="2">
        <v>2021</v>
      </c>
      <c r="D1152" s="2" t="s">
        <v>203</v>
      </c>
      <c r="E1152" s="10" t="s">
        <v>786</v>
      </c>
      <c r="F1152" s="20" t="s">
        <v>29</v>
      </c>
      <c r="G1152" s="2" t="s">
        <v>119</v>
      </c>
      <c r="H1152" s="2" t="str">
        <f>'PFAS Properties'!$B$53</f>
        <v>8:2 FTS</v>
      </c>
      <c r="I1152" s="2" t="str">
        <f>'PFAS Properties'!$C$53</f>
        <v>FTS</v>
      </c>
      <c r="J1152" s="2" t="str">
        <f>'PFAS Properties'!$D$53</f>
        <v>C10H5F17O3S</v>
      </c>
      <c r="K1152" s="25">
        <f>'PFAS Properties'!$P$53</f>
        <v>527.96860000000004</v>
      </c>
      <c r="L1152" s="2">
        <f>'PFAS Properties'!$X$53</f>
        <v>0.4</v>
      </c>
      <c r="M1152" s="2" t="str">
        <f>'PFAS Properties'!$Y$53</f>
        <v>-</v>
      </c>
      <c r="N1152" s="33">
        <v>0</v>
      </c>
      <c r="O1152" s="33">
        <v>0</v>
      </c>
      <c r="P1152" s="33">
        <v>0</v>
      </c>
      <c r="Q1152" s="33">
        <f t="shared" si="647"/>
        <v>0.99992057348559982</v>
      </c>
      <c r="R1152" s="33">
        <v>0</v>
      </c>
      <c r="S1152" s="33">
        <f t="shared" si="648"/>
        <v>7.9426514400130776E-5</v>
      </c>
      <c r="T1152" s="8">
        <f t="shared" si="642"/>
        <v>1</v>
      </c>
      <c r="U1152" s="33">
        <f t="shared" si="627"/>
        <v>0</v>
      </c>
      <c r="V1152" s="33">
        <f t="shared" si="628"/>
        <v>-0.99992057348559982</v>
      </c>
      <c r="W1152" s="33">
        <f t="shared" si="629"/>
        <v>526.96867942651443</v>
      </c>
      <c r="X1152" s="33">
        <v>96485</v>
      </c>
      <c r="Y1152" s="16">
        <f t="shared" si="630"/>
        <v>-183.07983054657393</v>
      </c>
      <c r="Z1152" s="16">
        <v>10</v>
      </c>
      <c r="AA1152" s="16">
        <v>17</v>
      </c>
      <c r="AB1152" s="8">
        <f t="shared" si="631"/>
        <v>0.37151702786377711</v>
      </c>
      <c r="AC1152" s="16">
        <f t="shared" si="650"/>
        <v>61.177880654266183</v>
      </c>
      <c r="AD1152" s="20">
        <f>'PFAS Properties'!$W$53</f>
        <v>8</v>
      </c>
      <c r="AE1152" s="8">
        <f>'PFAS Properties'!$S$53</f>
        <v>2.2600713879850747</v>
      </c>
      <c r="AF1152" s="2">
        <f>'PFAS Properties'!$V$53</f>
        <v>5.3</v>
      </c>
      <c r="AG1152" s="24">
        <v>4.5</v>
      </c>
      <c r="AH1152" s="15" t="s">
        <v>830</v>
      </c>
      <c r="AI1152" s="2" t="s">
        <v>661</v>
      </c>
      <c r="AJ1152" s="2" t="s">
        <v>661</v>
      </c>
      <c r="AK1152" s="2" t="s">
        <v>661</v>
      </c>
      <c r="AL1152" s="2" t="s">
        <v>661</v>
      </c>
      <c r="AM1152" s="2" t="s">
        <v>661</v>
      </c>
      <c r="AN1152" s="2" t="s">
        <v>661</v>
      </c>
      <c r="AO1152" s="2" t="s">
        <v>661</v>
      </c>
      <c r="AP1152" s="72">
        <v>11.497016666666671</v>
      </c>
      <c r="AQ1152" s="70" t="s">
        <v>752</v>
      </c>
      <c r="AR1152" s="16">
        <v>51.2</v>
      </c>
      <c r="AS1152" s="16">
        <v>36.200000000000003</v>
      </c>
      <c r="AT1152" s="16">
        <v>12.6</v>
      </c>
      <c r="AU1152" s="16" t="s">
        <v>664</v>
      </c>
      <c r="AV1152" s="16">
        <f t="shared" si="646"/>
        <v>100</v>
      </c>
      <c r="AW1152" s="20">
        <v>7.3</v>
      </c>
      <c r="AX1152" s="8">
        <f t="shared" si="633"/>
        <v>7.2999999999999995E-2</v>
      </c>
      <c r="AY1152" s="8" t="s">
        <v>342</v>
      </c>
      <c r="AZ1152" s="16">
        <f t="shared" si="649"/>
        <v>100</v>
      </c>
      <c r="BA1152" s="16" t="s">
        <v>55</v>
      </c>
      <c r="BB1152" s="15">
        <f>5*K1152/1000</f>
        <v>2.6398430000000004</v>
      </c>
      <c r="BC1152" s="16">
        <f>5000*K1152/1000</f>
        <v>2639.8429999999998</v>
      </c>
      <c r="BD1152" s="24">
        <f>157.6*AX1152</f>
        <v>11.504799999999999</v>
      </c>
      <c r="BE1152" s="16">
        <f t="shared" si="639"/>
        <v>157.6</v>
      </c>
      <c r="BF1152" s="16">
        <f t="shared" si="640"/>
        <v>2.1975562131535367</v>
      </c>
      <c r="BG1152" s="8">
        <f t="shared" si="641"/>
        <v>1.0608790732739923</v>
      </c>
      <c r="BH1152" s="13" t="s">
        <v>343</v>
      </c>
      <c r="BI1152" s="15"/>
      <c r="BJ1152" s="13"/>
      <c r="BK1152" s="15"/>
      <c r="BL1152" s="15"/>
      <c r="BM1152" s="18"/>
      <c r="BN1152" s="8"/>
      <c r="BO1152" s="24"/>
    </row>
    <row r="1153" spans="1:67" s="14" customFormat="1" x14ac:dyDescent="0.3">
      <c r="A1153" s="20">
        <v>1151</v>
      </c>
      <c r="B1153" s="2" t="s">
        <v>775</v>
      </c>
      <c r="C1153" s="2">
        <v>2021</v>
      </c>
      <c r="D1153" s="2" t="s">
        <v>203</v>
      </c>
      <c r="E1153" s="10" t="s">
        <v>786</v>
      </c>
      <c r="F1153" s="20" t="s">
        <v>29</v>
      </c>
      <c r="G1153" s="2" t="s">
        <v>120</v>
      </c>
      <c r="H1153" s="2" t="str">
        <f>'PFAS Properties'!$B$53</f>
        <v>8:2 FTS</v>
      </c>
      <c r="I1153" s="2" t="str">
        <f>'PFAS Properties'!$C$53</f>
        <v>FTS</v>
      </c>
      <c r="J1153" s="2" t="str">
        <f>'PFAS Properties'!$D$53</f>
        <v>C10H5F17O3S</v>
      </c>
      <c r="K1153" s="25">
        <f>'PFAS Properties'!$P$53</f>
        <v>527.96860000000004</v>
      </c>
      <c r="L1153" s="2">
        <f>'PFAS Properties'!$X$53</f>
        <v>0.4</v>
      </c>
      <c r="M1153" s="2" t="str">
        <f>'PFAS Properties'!$Y$53</f>
        <v>-</v>
      </c>
      <c r="N1153" s="33">
        <v>0</v>
      </c>
      <c r="O1153" s="33">
        <v>0</v>
      </c>
      <c r="P1153" s="33">
        <v>0</v>
      </c>
      <c r="Q1153" s="33">
        <f t="shared" si="647"/>
        <v>0.9999822175221218</v>
      </c>
      <c r="R1153" s="33">
        <v>0</v>
      </c>
      <c r="S1153" s="33">
        <f t="shared" si="648"/>
        <v>1.7782477878246509E-5</v>
      </c>
      <c r="T1153" s="8">
        <f t="shared" si="642"/>
        <v>1</v>
      </c>
      <c r="U1153" s="33">
        <f t="shared" si="627"/>
        <v>0</v>
      </c>
      <c r="V1153" s="33">
        <f t="shared" si="628"/>
        <v>-0.9999822175221218</v>
      </c>
      <c r="W1153" s="33">
        <f t="shared" si="629"/>
        <v>526.96861778247796</v>
      </c>
      <c r="X1153" s="33">
        <v>96485</v>
      </c>
      <c r="Y1153" s="16">
        <f t="shared" si="630"/>
        <v>-183.09113864053339</v>
      </c>
      <c r="Z1153" s="16">
        <v>10</v>
      </c>
      <c r="AA1153" s="16">
        <v>17</v>
      </c>
      <c r="AB1153" s="8">
        <f t="shared" si="631"/>
        <v>0.37151702786377711</v>
      </c>
      <c r="AC1153" s="16">
        <f t="shared" si="650"/>
        <v>61.177880654266183</v>
      </c>
      <c r="AD1153" s="20">
        <f>'PFAS Properties'!$W$53</f>
        <v>8</v>
      </c>
      <c r="AE1153" s="8">
        <f>'PFAS Properties'!$S$53</f>
        <v>2.2600713879850747</v>
      </c>
      <c r="AF1153" s="2">
        <f>'PFAS Properties'!$V$53</f>
        <v>5.3</v>
      </c>
      <c r="AG1153" s="24">
        <v>5.15</v>
      </c>
      <c r="AH1153" s="2" t="s">
        <v>830</v>
      </c>
      <c r="AI1153" s="2" t="s">
        <v>661</v>
      </c>
      <c r="AJ1153" s="2" t="s">
        <v>661</v>
      </c>
      <c r="AK1153" s="2" t="s">
        <v>661</v>
      </c>
      <c r="AL1153" s="2" t="s">
        <v>661</v>
      </c>
      <c r="AM1153" s="2" t="s">
        <v>661</v>
      </c>
      <c r="AN1153" s="2" t="s">
        <v>661</v>
      </c>
      <c r="AO1153" s="2" t="s">
        <v>661</v>
      </c>
      <c r="AP1153" s="15">
        <v>0.57999999999999996</v>
      </c>
      <c r="AQ1153" s="16" t="s">
        <v>689</v>
      </c>
      <c r="AR1153" s="16">
        <v>59.2</v>
      </c>
      <c r="AS1153" s="16">
        <v>32.200000000000003</v>
      </c>
      <c r="AT1153" s="16">
        <v>8.6</v>
      </c>
      <c r="AU1153" s="16" t="s">
        <v>664</v>
      </c>
      <c r="AV1153" s="16">
        <f t="shared" si="646"/>
        <v>100</v>
      </c>
      <c r="AW1153" s="20">
        <v>1.8</v>
      </c>
      <c r="AX1153" s="8">
        <f t="shared" si="633"/>
        <v>1.8000000000000002E-2</v>
      </c>
      <c r="AY1153" s="13" t="s">
        <v>342</v>
      </c>
      <c r="AZ1153" s="16">
        <f t="shared" si="649"/>
        <v>100</v>
      </c>
      <c r="BA1153" s="16" t="s">
        <v>55</v>
      </c>
      <c r="BB1153" s="15">
        <f>5*K1153/1000</f>
        <v>2.6398430000000004</v>
      </c>
      <c r="BC1153" s="16">
        <f>5000*K1153/1000</f>
        <v>2639.8429999999998</v>
      </c>
      <c r="BD1153" s="24">
        <f>282.7*AX1153</f>
        <v>5.0886000000000005</v>
      </c>
      <c r="BE1153" s="16">
        <f t="shared" si="639"/>
        <v>282.7</v>
      </c>
      <c r="BF1153" s="16">
        <f t="shared" si="640"/>
        <v>2.4513258084895195</v>
      </c>
      <c r="BG1153" s="8">
        <f t="shared" si="641"/>
        <v>0.70659831359282566</v>
      </c>
      <c r="BH1153" s="13" t="s">
        <v>343</v>
      </c>
      <c r="BI1153" s="15"/>
      <c r="BJ1153" s="13"/>
      <c r="BK1153" s="15"/>
      <c r="BL1153" s="16"/>
      <c r="BM1153" s="18"/>
      <c r="BN1153" s="8"/>
      <c r="BO1153" s="24"/>
    </row>
    <row r="1154" spans="1:67" s="14" customFormat="1" x14ac:dyDescent="0.3">
      <c r="A1154" s="20">
        <v>1152</v>
      </c>
      <c r="B1154" s="2" t="s">
        <v>294</v>
      </c>
      <c r="C1154" s="2">
        <v>2017</v>
      </c>
      <c r="D1154" s="2" t="s">
        <v>203</v>
      </c>
      <c r="E1154" s="22" t="s">
        <v>789</v>
      </c>
      <c r="F1154" s="20" t="s">
        <v>29</v>
      </c>
      <c r="G1154" s="2">
        <v>1</v>
      </c>
      <c r="H1154" s="2" t="str">
        <f>'PFAS Properties'!$B$53</f>
        <v>8:2 FTS</v>
      </c>
      <c r="I1154" s="2" t="str">
        <f>'PFAS Properties'!$C$53</f>
        <v>FTS</v>
      </c>
      <c r="J1154" s="2" t="str">
        <f>'PFAS Properties'!$D$53</f>
        <v>C10H5F17O3S</v>
      </c>
      <c r="K1154" s="25">
        <f>'PFAS Properties'!$P$53</f>
        <v>527.96860000000004</v>
      </c>
      <c r="L1154" s="2">
        <f>'PFAS Properties'!$X$53</f>
        <v>0.4</v>
      </c>
      <c r="M1154" s="2" t="str">
        <f>'PFAS Properties'!$Y$53</f>
        <v>-</v>
      </c>
      <c r="N1154" s="33">
        <v>0</v>
      </c>
      <c r="O1154" s="33">
        <v>0</v>
      </c>
      <c r="P1154" s="33">
        <v>0</v>
      </c>
      <c r="Q1154" s="33">
        <f t="shared" si="647"/>
        <v>0.99998004777494953</v>
      </c>
      <c r="R1154" s="33">
        <v>0</v>
      </c>
      <c r="S1154" s="33">
        <f t="shared" si="648"/>
        <v>1.9952225050461375E-5</v>
      </c>
      <c r="T1154" s="8">
        <f t="shared" si="642"/>
        <v>1</v>
      </c>
      <c r="U1154" s="33">
        <f t="shared" si="627"/>
        <v>0</v>
      </c>
      <c r="V1154" s="33">
        <f t="shared" si="628"/>
        <v>-0.99998004777494953</v>
      </c>
      <c r="W1154" s="33">
        <f t="shared" si="629"/>
        <v>526.96861995222503</v>
      </c>
      <c r="X1154" s="33">
        <v>96485</v>
      </c>
      <c r="Y1154" s="16">
        <f t="shared" si="630"/>
        <v>-183.09074061812856</v>
      </c>
      <c r="Z1154" s="16">
        <v>10</v>
      </c>
      <c r="AA1154" s="16">
        <v>17</v>
      </c>
      <c r="AB1154" s="8">
        <f t="shared" si="631"/>
        <v>0.37151702786377711</v>
      </c>
      <c r="AC1154" s="16">
        <f t="shared" si="650"/>
        <v>61.177880654266183</v>
      </c>
      <c r="AD1154" s="20">
        <f>'PFAS Properties'!$W$53</f>
        <v>8</v>
      </c>
      <c r="AE1154" s="8">
        <f>'PFAS Properties'!$S$53</f>
        <v>2.2600713879850747</v>
      </c>
      <c r="AF1154" s="2">
        <f>'PFAS Properties'!$V$53</f>
        <v>5.3</v>
      </c>
      <c r="AG1154" s="24">
        <v>5.0999999999999996</v>
      </c>
      <c r="AH1154" s="2" t="s">
        <v>831</v>
      </c>
      <c r="AI1154" s="2" t="s">
        <v>661</v>
      </c>
      <c r="AJ1154" s="2" t="s">
        <v>661</v>
      </c>
      <c r="AK1154" s="2" t="s">
        <v>661</v>
      </c>
      <c r="AL1154" s="2" t="s">
        <v>661</v>
      </c>
      <c r="AM1154" s="2" t="s">
        <v>661</v>
      </c>
      <c r="AN1154" s="2" t="s">
        <v>661</v>
      </c>
      <c r="AO1154" s="2" t="s">
        <v>661</v>
      </c>
      <c r="AP1154" s="15">
        <v>14</v>
      </c>
      <c r="AQ1154" s="16" t="s">
        <v>712</v>
      </c>
      <c r="AR1154" s="16">
        <v>6.3</v>
      </c>
      <c r="AS1154" s="16">
        <v>71</v>
      </c>
      <c r="AT1154" s="16">
        <v>22</v>
      </c>
      <c r="AU1154" s="2" t="s">
        <v>661</v>
      </c>
      <c r="AV1154" s="16">
        <f t="shared" si="646"/>
        <v>99.3</v>
      </c>
      <c r="AW1154" s="20">
        <v>1.5</v>
      </c>
      <c r="AX1154" s="8">
        <f t="shared" si="633"/>
        <v>1.4999999999999999E-2</v>
      </c>
      <c r="AY1154" s="8" t="s">
        <v>295</v>
      </c>
      <c r="AZ1154" s="16">
        <f t="shared" si="649"/>
        <v>100</v>
      </c>
      <c r="BA1154" s="16" t="s">
        <v>55</v>
      </c>
      <c r="BB1154" s="15">
        <f t="shared" ref="BB1154:BB1159" si="651">(0.47*K1154)/1000</f>
        <v>0.24814524199999999</v>
      </c>
      <c r="BC1154" s="16">
        <f>(49000*K1154)/1000</f>
        <v>25870.461400000004</v>
      </c>
      <c r="BD1154" s="24">
        <v>30</v>
      </c>
      <c r="BE1154" s="16">
        <f t="shared" si="639"/>
        <v>2000</v>
      </c>
      <c r="BF1154" s="16">
        <f t="shared" si="640"/>
        <v>3.3010299956639813</v>
      </c>
      <c r="BG1154" s="8">
        <f t="shared" si="641"/>
        <v>1.4771212547196624</v>
      </c>
      <c r="BH1154" s="13" t="s">
        <v>352</v>
      </c>
      <c r="BI1154" s="16"/>
      <c r="BJ1154" s="13"/>
      <c r="BK1154" s="15"/>
      <c r="BL1154" s="15"/>
      <c r="BM1154" s="18"/>
      <c r="BN1154" s="8"/>
      <c r="BO1154" s="24"/>
    </row>
    <row r="1155" spans="1:67" s="14" customFormat="1" x14ac:dyDescent="0.3">
      <c r="A1155" s="20">
        <v>1153</v>
      </c>
      <c r="B1155" s="2" t="s">
        <v>294</v>
      </c>
      <c r="C1155" s="2">
        <v>2017</v>
      </c>
      <c r="D1155" s="2" t="s">
        <v>203</v>
      </c>
      <c r="E1155" s="22" t="s">
        <v>789</v>
      </c>
      <c r="F1155" s="20" t="s">
        <v>29</v>
      </c>
      <c r="G1155" s="2">
        <v>2</v>
      </c>
      <c r="H1155" s="2" t="str">
        <f>'PFAS Properties'!$B$53</f>
        <v>8:2 FTS</v>
      </c>
      <c r="I1155" s="2" t="str">
        <f>'PFAS Properties'!$C$53</f>
        <v>FTS</v>
      </c>
      <c r="J1155" s="2" t="str">
        <f>'PFAS Properties'!$D$53</f>
        <v>C10H5F17O3S</v>
      </c>
      <c r="K1155" s="25">
        <f>'PFAS Properties'!$P$53</f>
        <v>527.96860000000004</v>
      </c>
      <c r="L1155" s="2">
        <f>'PFAS Properties'!$X$53</f>
        <v>0.4</v>
      </c>
      <c r="M1155" s="2" t="str">
        <f>'PFAS Properties'!$Y$53</f>
        <v>-</v>
      </c>
      <c r="N1155" s="33">
        <v>0</v>
      </c>
      <c r="O1155" s="33">
        <v>0</v>
      </c>
      <c r="P1155" s="33">
        <v>0</v>
      </c>
      <c r="Q1155" s="33">
        <f t="shared" si="647"/>
        <v>0.99999205678074798</v>
      </c>
      <c r="R1155" s="33">
        <v>0</v>
      </c>
      <c r="S1155" s="33">
        <f t="shared" si="648"/>
        <v>7.9432192520095431E-6</v>
      </c>
      <c r="T1155" s="8">
        <f t="shared" ref="T1155:T1174" si="652">SUM(N1155:S1155)</f>
        <v>1</v>
      </c>
      <c r="U1155" s="33">
        <f t="shared" ref="U1155:U1174" si="653">((1*N1155)+(1*O1155)+(1*P1155))</f>
        <v>0</v>
      </c>
      <c r="V1155" s="33">
        <f t="shared" ref="V1155:V1174" si="654">-((1*O1155)+(2*P1155)+(1*Q1155)+(2*R1155))</f>
        <v>-0.99999205678074798</v>
      </c>
      <c r="W1155" s="33">
        <f t="shared" ref="W1155:W1174" si="655">(N1155*(K1155+1))+(O1155*K1155)+(P1155*(K1155-1))+(Q1155*(K1155-1))+(R1155*(K1155-2))+(S1155*K1155)</f>
        <v>526.96860794321935</v>
      </c>
      <c r="X1155" s="33">
        <v>96485</v>
      </c>
      <c r="Y1155" s="16">
        <f t="shared" ref="Y1155:Y1174" si="656">((V1155+U1155)/W1155)*X1155</f>
        <v>-183.09294357224141</v>
      </c>
      <c r="Z1155" s="16">
        <v>10</v>
      </c>
      <c r="AA1155" s="16">
        <v>17</v>
      </c>
      <c r="AB1155" s="8">
        <f t="shared" ref="AB1155:AB1174" si="657">(Z1155/AA1155)*(12/19)</f>
        <v>0.37151702786377711</v>
      </c>
      <c r="AC1155" s="16">
        <f t="shared" si="650"/>
        <v>61.177880654266183</v>
      </c>
      <c r="AD1155" s="20">
        <f>'PFAS Properties'!$W$53</f>
        <v>8</v>
      </c>
      <c r="AE1155" s="8">
        <f>'PFAS Properties'!$S$53</f>
        <v>2.2600713879850747</v>
      </c>
      <c r="AF1155" s="2">
        <f>'PFAS Properties'!$V$53</f>
        <v>5.3</v>
      </c>
      <c r="AG1155" s="24">
        <v>5.5</v>
      </c>
      <c r="AH1155" s="2" t="s">
        <v>831</v>
      </c>
      <c r="AI1155" s="2" t="s">
        <v>661</v>
      </c>
      <c r="AJ1155" s="2" t="s">
        <v>661</v>
      </c>
      <c r="AK1155" s="2" t="s">
        <v>661</v>
      </c>
      <c r="AL1155" s="2" t="s">
        <v>661</v>
      </c>
      <c r="AM1155" s="2" t="s">
        <v>661</v>
      </c>
      <c r="AN1155" s="2" t="s">
        <v>661</v>
      </c>
      <c r="AO1155" s="2" t="s">
        <v>661</v>
      </c>
      <c r="AP1155" s="15">
        <v>22</v>
      </c>
      <c r="AQ1155" s="16" t="s">
        <v>712</v>
      </c>
      <c r="AR1155" s="16">
        <v>10</v>
      </c>
      <c r="AS1155" s="16">
        <v>64</v>
      </c>
      <c r="AT1155" s="16">
        <v>26</v>
      </c>
      <c r="AU1155" s="2" t="s">
        <v>661</v>
      </c>
      <c r="AV1155" s="16">
        <f t="shared" si="646"/>
        <v>100</v>
      </c>
      <c r="AW1155" s="20">
        <v>0.12</v>
      </c>
      <c r="AX1155" s="8">
        <f t="shared" si="633"/>
        <v>1.1999999999999999E-3</v>
      </c>
      <c r="AY1155" s="8" t="s">
        <v>295</v>
      </c>
      <c r="AZ1155" s="16">
        <f t="shared" si="649"/>
        <v>100</v>
      </c>
      <c r="BA1155" s="16" t="s">
        <v>55</v>
      </c>
      <c r="BB1155" s="15">
        <f t="shared" si="651"/>
        <v>0.24814524199999999</v>
      </c>
      <c r="BC1155" s="16">
        <f>(120*K1155)/1000</f>
        <v>63.356232000000006</v>
      </c>
      <c r="BD1155" s="24">
        <v>39</v>
      </c>
      <c r="BE1155" s="16">
        <f t="shared" si="639"/>
        <v>32500.000000000004</v>
      </c>
      <c r="BF1155" s="16">
        <f t="shared" si="640"/>
        <v>4.5118833609788744</v>
      </c>
      <c r="BG1155" s="8">
        <f t="shared" si="641"/>
        <v>1.5910646070264991</v>
      </c>
      <c r="BH1155" s="13" t="s">
        <v>352</v>
      </c>
      <c r="BI1155" s="16"/>
      <c r="BJ1155" s="13"/>
      <c r="BK1155" s="15"/>
      <c r="BL1155" s="16"/>
      <c r="BM1155" s="18"/>
      <c r="BN1155" s="8"/>
      <c r="BO1155" s="24"/>
    </row>
    <row r="1156" spans="1:67" s="14" customFormat="1" x14ac:dyDescent="0.3">
      <c r="A1156" s="20">
        <v>1154</v>
      </c>
      <c r="B1156" s="2" t="s">
        <v>294</v>
      </c>
      <c r="C1156" s="2">
        <v>2017</v>
      </c>
      <c r="D1156" s="2" t="s">
        <v>203</v>
      </c>
      <c r="E1156" s="22" t="s">
        <v>789</v>
      </c>
      <c r="F1156" s="20" t="s">
        <v>29</v>
      </c>
      <c r="G1156" s="2">
        <v>3</v>
      </c>
      <c r="H1156" s="2" t="str">
        <f>'PFAS Properties'!$B$53</f>
        <v>8:2 FTS</v>
      </c>
      <c r="I1156" s="2" t="str">
        <f>'PFAS Properties'!$C$53</f>
        <v>FTS</v>
      </c>
      <c r="J1156" s="2" t="str">
        <f>'PFAS Properties'!$D$53</f>
        <v>C10H5F17O3S</v>
      </c>
      <c r="K1156" s="25">
        <f>'PFAS Properties'!$P$53</f>
        <v>527.96860000000004</v>
      </c>
      <c r="L1156" s="2">
        <f>'PFAS Properties'!$X$53</f>
        <v>0.4</v>
      </c>
      <c r="M1156" s="2" t="str">
        <f>'PFAS Properties'!$Y$53</f>
        <v>-</v>
      </c>
      <c r="N1156" s="33">
        <v>0</v>
      </c>
      <c r="O1156" s="33">
        <v>0</v>
      </c>
      <c r="P1156" s="33">
        <v>0</v>
      </c>
      <c r="Q1156" s="33">
        <f t="shared" si="647"/>
        <v>0.99998004777494953</v>
      </c>
      <c r="R1156" s="33">
        <v>0</v>
      </c>
      <c r="S1156" s="33">
        <f t="shared" si="648"/>
        <v>1.9952225050461375E-5</v>
      </c>
      <c r="T1156" s="8">
        <f t="shared" si="652"/>
        <v>1</v>
      </c>
      <c r="U1156" s="33">
        <f t="shared" si="653"/>
        <v>0</v>
      </c>
      <c r="V1156" s="33">
        <f t="shared" si="654"/>
        <v>-0.99998004777494953</v>
      </c>
      <c r="W1156" s="33">
        <f t="shared" si="655"/>
        <v>526.96861995222503</v>
      </c>
      <c r="X1156" s="33">
        <v>96485</v>
      </c>
      <c r="Y1156" s="16">
        <f t="shared" si="656"/>
        <v>-183.09074061812856</v>
      </c>
      <c r="Z1156" s="16">
        <v>10</v>
      </c>
      <c r="AA1156" s="16">
        <v>17</v>
      </c>
      <c r="AB1156" s="8">
        <f t="shared" si="657"/>
        <v>0.37151702786377711</v>
      </c>
      <c r="AC1156" s="16">
        <f t="shared" si="650"/>
        <v>61.177880654266183</v>
      </c>
      <c r="AD1156" s="20">
        <f>'PFAS Properties'!$W$53</f>
        <v>8</v>
      </c>
      <c r="AE1156" s="8">
        <f>'PFAS Properties'!$S$53</f>
        <v>2.2600713879850747</v>
      </c>
      <c r="AF1156" s="2">
        <f>'PFAS Properties'!$V$53</f>
        <v>5.3</v>
      </c>
      <c r="AG1156" s="24">
        <v>5.0999999999999996</v>
      </c>
      <c r="AH1156" s="2" t="s">
        <v>831</v>
      </c>
      <c r="AI1156" s="2" t="s">
        <v>661</v>
      </c>
      <c r="AJ1156" s="2" t="s">
        <v>661</v>
      </c>
      <c r="AK1156" s="2" t="s">
        <v>661</v>
      </c>
      <c r="AL1156" s="2" t="s">
        <v>661</v>
      </c>
      <c r="AM1156" s="2" t="s">
        <v>661</v>
      </c>
      <c r="AN1156" s="2" t="s">
        <v>661</v>
      </c>
      <c r="AO1156" s="2" t="s">
        <v>661</v>
      </c>
      <c r="AP1156" s="15">
        <v>17</v>
      </c>
      <c r="AQ1156" s="16" t="s">
        <v>712</v>
      </c>
      <c r="AR1156" s="16">
        <v>14</v>
      </c>
      <c r="AS1156" s="16">
        <v>39</v>
      </c>
      <c r="AT1156" s="16">
        <v>48</v>
      </c>
      <c r="AU1156" s="2" t="s">
        <v>661</v>
      </c>
      <c r="AV1156" s="16">
        <f t="shared" si="646"/>
        <v>101</v>
      </c>
      <c r="AW1156" s="20">
        <v>2.2999999999999998</v>
      </c>
      <c r="AX1156" s="8">
        <f t="shared" si="633"/>
        <v>2.3E-2</v>
      </c>
      <c r="AY1156" s="8" t="s">
        <v>295</v>
      </c>
      <c r="AZ1156" s="16">
        <f t="shared" si="649"/>
        <v>100</v>
      </c>
      <c r="BA1156" s="16" t="s">
        <v>55</v>
      </c>
      <c r="BB1156" s="15">
        <f t="shared" si="651"/>
        <v>0.24814524199999999</v>
      </c>
      <c r="BC1156" s="16">
        <f>(120*K1156)/1000</f>
        <v>63.356232000000006</v>
      </c>
      <c r="BD1156" s="24">
        <v>35</v>
      </c>
      <c r="BE1156" s="16">
        <f t="shared" si="639"/>
        <v>1521.7391304347827</v>
      </c>
      <c r="BF1156" s="16">
        <f t="shared" si="640"/>
        <v>3.1823402083326826</v>
      </c>
      <c r="BG1156" s="8">
        <f t="shared" si="641"/>
        <v>1.5440680443502757</v>
      </c>
      <c r="BH1156" s="13" t="s">
        <v>352</v>
      </c>
      <c r="BI1156" s="15"/>
      <c r="BJ1156" s="13"/>
      <c r="BK1156" s="15"/>
      <c r="BL1156" s="15"/>
      <c r="BM1156" s="18"/>
      <c r="BN1156" s="8"/>
      <c r="BO1156" s="24"/>
    </row>
    <row r="1157" spans="1:67" s="14" customFormat="1" x14ac:dyDescent="0.3">
      <c r="A1157" s="20">
        <v>1155</v>
      </c>
      <c r="B1157" s="2" t="s">
        <v>294</v>
      </c>
      <c r="C1157" s="2">
        <v>2017</v>
      </c>
      <c r="D1157" s="2" t="s">
        <v>203</v>
      </c>
      <c r="E1157" s="22" t="s">
        <v>789</v>
      </c>
      <c r="F1157" s="20" t="s">
        <v>29</v>
      </c>
      <c r="G1157" s="2">
        <v>4</v>
      </c>
      <c r="H1157" s="2" t="str">
        <f>'PFAS Properties'!$B$53</f>
        <v>8:2 FTS</v>
      </c>
      <c r="I1157" s="2" t="str">
        <f>'PFAS Properties'!$C$53</f>
        <v>FTS</v>
      </c>
      <c r="J1157" s="2" t="str">
        <f>'PFAS Properties'!$D$53</f>
        <v>C10H5F17O3S</v>
      </c>
      <c r="K1157" s="25">
        <f>'PFAS Properties'!$P$53</f>
        <v>527.96860000000004</v>
      </c>
      <c r="L1157" s="2">
        <f>'PFAS Properties'!$X$53</f>
        <v>0.4</v>
      </c>
      <c r="M1157" s="2" t="str">
        <f>'PFAS Properties'!$Y$53</f>
        <v>-</v>
      </c>
      <c r="N1157" s="33">
        <v>0</v>
      </c>
      <c r="O1157" s="33">
        <v>0</v>
      </c>
      <c r="P1157" s="33">
        <v>0</v>
      </c>
      <c r="Q1157" s="33">
        <f t="shared" si="647"/>
        <v>0.99997488176662641</v>
      </c>
      <c r="R1157" s="33">
        <v>0</v>
      </c>
      <c r="S1157" s="33">
        <f t="shared" si="648"/>
        <v>2.5118233373599843E-5</v>
      </c>
      <c r="T1157" s="8">
        <f t="shared" si="652"/>
        <v>1</v>
      </c>
      <c r="U1157" s="33">
        <f t="shared" si="653"/>
        <v>0</v>
      </c>
      <c r="V1157" s="33">
        <f t="shared" si="654"/>
        <v>-0.99997488176662641</v>
      </c>
      <c r="W1157" s="33">
        <f t="shared" si="655"/>
        <v>526.96862511823349</v>
      </c>
      <c r="X1157" s="33">
        <v>96485</v>
      </c>
      <c r="Y1157" s="16">
        <f t="shared" si="656"/>
        <v>-183.08979295609032</v>
      </c>
      <c r="Z1157" s="16">
        <v>10</v>
      </c>
      <c r="AA1157" s="16">
        <v>17</v>
      </c>
      <c r="AB1157" s="8">
        <f t="shared" si="657"/>
        <v>0.37151702786377711</v>
      </c>
      <c r="AC1157" s="16">
        <f t="shared" si="650"/>
        <v>61.177880654266183</v>
      </c>
      <c r="AD1157" s="20">
        <f>'PFAS Properties'!$W$53</f>
        <v>8</v>
      </c>
      <c r="AE1157" s="8">
        <f>'PFAS Properties'!$S$53</f>
        <v>2.2600713879850747</v>
      </c>
      <c r="AF1157" s="2">
        <f>'PFAS Properties'!$V$53</f>
        <v>5.3</v>
      </c>
      <c r="AG1157" s="24">
        <v>5</v>
      </c>
      <c r="AH1157" s="2" t="s">
        <v>831</v>
      </c>
      <c r="AI1157" s="2" t="s">
        <v>661</v>
      </c>
      <c r="AJ1157" s="2" t="s">
        <v>661</v>
      </c>
      <c r="AK1157" s="2" t="s">
        <v>661</v>
      </c>
      <c r="AL1157" s="2" t="s">
        <v>661</v>
      </c>
      <c r="AM1157" s="2" t="s">
        <v>661</v>
      </c>
      <c r="AN1157" s="2" t="s">
        <v>661</v>
      </c>
      <c r="AO1157" s="2" t="s">
        <v>661</v>
      </c>
      <c r="AP1157" s="15">
        <v>36</v>
      </c>
      <c r="AQ1157" s="16" t="s">
        <v>712</v>
      </c>
      <c r="AR1157" s="16">
        <v>37</v>
      </c>
      <c r="AS1157" s="16">
        <v>45</v>
      </c>
      <c r="AT1157" s="16">
        <v>18</v>
      </c>
      <c r="AU1157" s="2" t="s">
        <v>661</v>
      </c>
      <c r="AV1157" s="16">
        <f t="shared" si="646"/>
        <v>100</v>
      </c>
      <c r="AW1157" s="20">
        <v>7.7</v>
      </c>
      <c r="AX1157" s="8">
        <f t="shared" si="633"/>
        <v>7.6999999999999999E-2</v>
      </c>
      <c r="AY1157" s="8" t="s">
        <v>295</v>
      </c>
      <c r="AZ1157" s="16">
        <f t="shared" si="649"/>
        <v>100</v>
      </c>
      <c r="BA1157" s="16" t="s">
        <v>55</v>
      </c>
      <c r="BB1157" s="15">
        <f t="shared" si="651"/>
        <v>0.24814524199999999</v>
      </c>
      <c r="BC1157" s="16">
        <f>(120*K1157)/1000</f>
        <v>63.356232000000006</v>
      </c>
      <c r="BD1157" s="24">
        <v>84</v>
      </c>
      <c r="BE1157" s="16">
        <f t="shared" si="639"/>
        <v>1090.909090909091</v>
      </c>
      <c r="BF1157" s="16">
        <f t="shared" si="640"/>
        <v>3.0377885608893997</v>
      </c>
      <c r="BG1157" s="8">
        <f t="shared" si="641"/>
        <v>1.9242792860618816</v>
      </c>
      <c r="BH1157" s="13" t="s">
        <v>352</v>
      </c>
      <c r="BI1157" s="15"/>
      <c r="BJ1157" s="13"/>
      <c r="BK1157" s="15"/>
      <c r="BL1157" s="15"/>
      <c r="BM1157" s="18"/>
      <c r="BN1157" s="8"/>
      <c r="BO1157" s="24"/>
    </row>
    <row r="1158" spans="1:67" s="14" customFormat="1" x14ac:dyDescent="0.3">
      <c r="A1158" s="20">
        <v>1156</v>
      </c>
      <c r="B1158" s="2" t="s">
        <v>294</v>
      </c>
      <c r="C1158" s="2">
        <v>2017</v>
      </c>
      <c r="D1158" s="2" t="s">
        <v>203</v>
      </c>
      <c r="E1158" s="22" t="s">
        <v>789</v>
      </c>
      <c r="F1158" s="20" t="s">
        <v>29</v>
      </c>
      <c r="G1158" s="2">
        <v>5</v>
      </c>
      <c r="H1158" s="2" t="str">
        <f>'PFAS Properties'!$B$53</f>
        <v>8:2 FTS</v>
      </c>
      <c r="I1158" s="2" t="str">
        <f>'PFAS Properties'!$C$53</f>
        <v>FTS</v>
      </c>
      <c r="J1158" s="2" t="str">
        <f>'PFAS Properties'!$D$53</f>
        <v>C10H5F17O3S</v>
      </c>
      <c r="K1158" s="25">
        <f>'PFAS Properties'!$P$53</f>
        <v>527.96860000000004</v>
      </c>
      <c r="L1158" s="2">
        <f>'PFAS Properties'!$X$53</f>
        <v>0.4</v>
      </c>
      <c r="M1158" s="2" t="str">
        <f>'PFAS Properties'!$Y$53</f>
        <v>-</v>
      </c>
      <c r="N1158" s="33">
        <v>0</v>
      </c>
      <c r="O1158" s="33">
        <v>0</v>
      </c>
      <c r="P1158" s="33">
        <v>0</v>
      </c>
      <c r="Q1158" s="33">
        <f t="shared" si="647"/>
        <v>0.99997488176662641</v>
      </c>
      <c r="R1158" s="33">
        <v>0</v>
      </c>
      <c r="S1158" s="33">
        <f t="shared" si="648"/>
        <v>2.5118233373599843E-5</v>
      </c>
      <c r="T1158" s="8">
        <f t="shared" si="652"/>
        <v>1</v>
      </c>
      <c r="U1158" s="33">
        <f t="shared" si="653"/>
        <v>0</v>
      </c>
      <c r="V1158" s="33">
        <f t="shared" si="654"/>
        <v>-0.99997488176662641</v>
      </c>
      <c r="W1158" s="33">
        <f t="shared" si="655"/>
        <v>526.96862511823349</v>
      </c>
      <c r="X1158" s="33">
        <v>96485</v>
      </c>
      <c r="Y1158" s="16">
        <f t="shared" si="656"/>
        <v>-183.08979295609032</v>
      </c>
      <c r="Z1158" s="16">
        <v>10</v>
      </c>
      <c r="AA1158" s="16">
        <v>17</v>
      </c>
      <c r="AB1158" s="8">
        <f t="shared" si="657"/>
        <v>0.37151702786377711</v>
      </c>
      <c r="AC1158" s="16">
        <f t="shared" si="650"/>
        <v>61.177880654266183</v>
      </c>
      <c r="AD1158" s="20">
        <f>'PFAS Properties'!$W$53</f>
        <v>8</v>
      </c>
      <c r="AE1158" s="8">
        <f>'PFAS Properties'!$S$53</f>
        <v>2.2600713879850747</v>
      </c>
      <c r="AF1158" s="2">
        <f>'PFAS Properties'!$V$53</f>
        <v>5.3</v>
      </c>
      <c r="AG1158" s="24">
        <v>5</v>
      </c>
      <c r="AH1158" s="2" t="s">
        <v>831</v>
      </c>
      <c r="AI1158" s="2" t="s">
        <v>661</v>
      </c>
      <c r="AJ1158" s="2" t="s">
        <v>661</v>
      </c>
      <c r="AK1158" s="2" t="s">
        <v>661</v>
      </c>
      <c r="AL1158" s="2" t="s">
        <v>661</v>
      </c>
      <c r="AM1158" s="2" t="s">
        <v>661</v>
      </c>
      <c r="AN1158" s="2" t="s">
        <v>661</v>
      </c>
      <c r="AO1158" s="2" t="s">
        <v>661</v>
      </c>
      <c r="AP1158" s="15">
        <v>16</v>
      </c>
      <c r="AQ1158" s="16" t="s">
        <v>712</v>
      </c>
      <c r="AR1158" s="16">
        <v>4.8</v>
      </c>
      <c r="AS1158" s="16">
        <v>72</v>
      </c>
      <c r="AT1158" s="16">
        <v>23</v>
      </c>
      <c r="AU1158" s="2" t="s">
        <v>661</v>
      </c>
      <c r="AV1158" s="16">
        <f t="shared" si="646"/>
        <v>99.8</v>
      </c>
      <c r="AW1158" s="20">
        <v>1</v>
      </c>
      <c r="AX1158" s="8">
        <f t="shared" si="633"/>
        <v>0.01</v>
      </c>
      <c r="AY1158" s="8" t="s">
        <v>295</v>
      </c>
      <c r="AZ1158" s="16">
        <f t="shared" si="649"/>
        <v>100</v>
      </c>
      <c r="BA1158" s="16" t="s">
        <v>55</v>
      </c>
      <c r="BB1158" s="15">
        <f t="shared" si="651"/>
        <v>0.24814524199999999</v>
      </c>
      <c r="BC1158" s="16">
        <f>(120*K1158)/1000</f>
        <v>63.356232000000006</v>
      </c>
      <c r="BD1158" s="24">
        <v>30</v>
      </c>
      <c r="BE1158" s="16">
        <f t="shared" si="639"/>
        <v>3000</v>
      </c>
      <c r="BF1158" s="16">
        <f t="shared" si="640"/>
        <v>3.4771212547196626</v>
      </c>
      <c r="BG1158" s="8">
        <f t="shared" si="641"/>
        <v>1.4771212547196624</v>
      </c>
      <c r="BH1158" s="13" t="s">
        <v>352</v>
      </c>
      <c r="BI1158" s="16"/>
      <c r="BJ1158" s="13"/>
      <c r="BK1158" s="15"/>
      <c r="BL1158" s="16"/>
      <c r="BM1158" s="18"/>
      <c r="BN1158" s="8"/>
      <c r="BO1158" s="24"/>
    </row>
    <row r="1159" spans="1:67" s="14" customFormat="1" x14ac:dyDescent="0.3">
      <c r="A1159" s="20">
        <v>1157</v>
      </c>
      <c r="B1159" s="2" t="s">
        <v>294</v>
      </c>
      <c r="C1159" s="2">
        <v>2017</v>
      </c>
      <c r="D1159" s="2" t="s">
        <v>203</v>
      </c>
      <c r="E1159" s="22" t="s">
        <v>789</v>
      </c>
      <c r="F1159" s="20" t="s">
        <v>29</v>
      </c>
      <c r="G1159" s="2">
        <v>6</v>
      </c>
      <c r="H1159" s="2" t="str">
        <f>'PFAS Properties'!$B$53</f>
        <v>8:2 FTS</v>
      </c>
      <c r="I1159" s="2" t="str">
        <f>'PFAS Properties'!$C$53</f>
        <v>FTS</v>
      </c>
      <c r="J1159" s="2" t="str">
        <f>'PFAS Properties'!$D$53</f>
        <v>C10H5F17O3S</v>
      </c>
      <c r="K1159" s="25">
        <f>'PFAS Properties'!$P$53</f>
        <v>527.96860000000004</v>
      </c>
      <c r="L1159" s="2">
        <f>'PFAS Properties'!$X$53</f>
        <v>0.4</v>
      </c>
      <c r="M1159" s="2" t="str">
        <f>'PFAS Properties'!$Y$53</f>
        <v>-</v>
      </c>
      <c r="N1159" s="33">
        <v>0</v>
      </c>
      <c r="O1159" s="33">
        <v>0</v>
      </c>
      <c r="P1159" s="33">
        <v>0</v>
      </c>
      <c r="Q1159" s="33">
        <f t="shared" si="647"/>
        <v>0.99998415131926011</v>
      </c>
      <c r="R1159" s="33">
        <v>0</v>
      </c>
      <c r="S1159" s="33">
        <f t="shared" si="648"/>
        <v>1.5848680739948987E-5</v>
      </c>
      <c r="T1159" s="8">
        <f t="shared" si="652"/>
        <v>1</v>
      </c>
      <c r="U1159" s="33">
        <f t="shared" si="653"/>
        <v>0</v>
      </c>
      <c r="V1159" s="33">
        <f t="shared" si="654"/>
        <v>-0.99998415131926011</v>
      </c>
      <c r="W1159" s="33">
        <f t="shared" si="655"/>
        <v>526.96861584868088</v>
      </c>
      <c r="X1159" s="33">
        <v>96485</v>
      </c>
      <c r="Y1159" s="16">
        <f t="shared" si="656"/>
        <v>-183.09149337983357</v>
      </c>
      <c r="Z1159" s="16">
        <v>10</v>
      </c>
      <c r="AA1159" s="16">
        <v>17</v>
      </c>
      <c r="AB1159" s="8">
        <f t="shared" si="657"/>
        <v>0.37151702786377711</v>
      </c>
      <c r="AC1159" s="16">
        <f t="shared" si="650"/>
        <v>61.177880654266183</v>
      </c>
      <c r="AD1159" s="20">
        <f>'PFAS Properties'!$W$53</f>
        <v>8</v>
      </c>
      <c r="AE1159" s="8">
        <f>'PFAS Properties'!$S$53</f>
        <v>2.2600713879850747</v>
      </c>
      <c r="AF1159" s="2">
        <f>'PFAS Properties'!$V$53</f>
        <v>5.3</v>
      </c>
      <c r="AG1159" s="24">
        <v>5.2</v>
      </c>
      <c r="AH1159" s="2" t="s">
        <v>831</v>
      </c>
      <c r="AI1159" s="2" t="s">
        <v>661</v>
      </c>
      <c r="AJ1159" s="2" t="s">
        <v>661</v>
      </c>
      <c r="AK1159" s="2" t="s">
        <v>661</v>
      </c>
      <c r="AL1159" s="2" t="s">
        <v>661</v>
      </c>
      <c r="AM1159" s="2" t="s">
        <v>661</v>
      </c>
      <c r="AN1159" s="2" t="s">
        <v>661</v>
      </c>
      <c r="AO1159" s="2" t="s">
        <v>661</v>
      </c>
      <c r="AP1159" s="15">
        <v>16</v>
      </c>
      <c r="AQ1159" s="16" t="s">
        <v>712</v>
      </c>
      <c r="AR1159" s="16">
        <v>3.6</v>
      </c>
      <c r="AS1159" s="16">
        <v>73</v>
      </c>
      <c r="AT1159" s="16">
        <v>24</v>
      </c>
      <c r="AU1159" s="15" t="s">
        <v>661</v>
      </c>
      <c r="AV1159" s="16">
        <f t="shared" si="646"/>
        <v>100.6</v>
      </c>
      <c r="AW1159" s="20">
        <v>9.8000000000000004E-2</v>
      </c>
      <c r="AX1159" s="8">
        <f t="shared" si="633"/>
        <v>9.7999999999999997E-4</v>
      </c>
      <c r="AY1159" s="8" t="s">
        <v>295</v>
      </c>
      <c r="AZ1159" s="16">
        <f t="shared" si="649"/>
        <v>100</v>
      </c>
      <c r="BA1159" s="16" t="s">
        <v>55</v>
      </c>
      <c r="BB1159" s="15">
        <f t="shared" si="651"/>
        <v>0.24814524199999999</v>
      </c>
      <c r="BC1159" s="16">
        <f>(120*K1159)/1000</f>
        <v>63.356232000000006</v>
      </c>
      <c r="BD1159" s="24">
        <v>28</v>
      </c>
      <c r="BE1159" s="16">
        <f t="shared" si="639"/>
        <v>28571.428571428572</v>
      </c>
      <c r="BF1159" s="16">
        <f t="shared" si="640"/>
        <v>4.4559319556497243</v>
      </c>
      <c r="BG1159" s="8">
        <f t="shared" si="641"/>
        <v>1.4471580313422192</v>
      </c>
      <c r="BH1159" s="13" t="s">
        <v>352</v>
      </c>
      <c r="BI1159" s="16"/>
      <c r="BJ1159" s="13"/>
      <c r="BK1159" s="15"/>
      <c r="BL1159" s="16"/>
      <c r="BM1159" s="18"/>
      <c r="BN1159" s="8"/>
      <c r="BO1159" s="24"/>
    </row>
    <row r="1160" spans="1:67" s="14" customFormat="1" x14ac:dyDescent="0.3">
      <c r="A1160" s="20">
        <v>1158</v>
      </c>
      <c r="B1160" s="2" t="s">
        <v>195</v>
      </c>
      <c r="C1160" s="2">
        <v>2022</v>
      </c>
      <c r="D1160" s="2" t="s">
        <v>199</v>
      </c>
      <c r="E1160" s="10" t="s">
        <v>798</v>
      </c>
      <c r="F1160" s="20" t="s">
        <v>29</v>
      </c>
      <c r="G1160" s="2" t="s">
        <v>237</v>
      </c>
      <c r="H1160" s="2" t="str">
        <f>'PFAS Properties'!$B$53</f>
        <v>8:2 FTS</v>
      </c>
      <c r="I1160" s="2" t="str">
        <f>'PFAS Properties'!$C$53</f>
        <v>FTS</v>
      </c>
      <c r="J1160" s="2" t="str">
        <f>'PFAS Properties'!$D$53</f>
        <v>C10H5F17O3S</v>
      </c>
      <c r="K1160" s="25">
        <f>'PFAS Properties'!$P$53</f>
        <v>527.96860000000004</v>
      </c>
      <c r="L1160" s="2">
        <f>'PFAS Properties'!$X$53</f>
        <v>0.4</v>
      </c>
      <c r="M1160" s="2" t="str">
        <f>'PFAS Properties'!$Y$53</f>
        <v>-</v>
      </c>
      <c r="N1160" s="33">
        <v>0</v>
      </c>
      <c r="O1160" s="33">
        <v>0</v>
      </c>
      <c r="P1160" s="33">
        <v>0</v>
      </c>
      <c r="Q1160" s="33">
        <f t="shared" si="647"/>
        <v>0.99994988378839778</v>
      </c>
      <c r="R1160" s="33">
        <v>0</v>
      </c>
      <c r="S1160" s="33">
        <f t="shared" si="648"/>
        <v>5.0116211602181963E-5</v>
      </c>
      <c r="T1160" s="8">
        <f t="shared" si="652"/>
        <v>1</v>
      </c>
      <c r="U1160" s="33">
        <f t="shared" si="653"/>
        <v>0</v>
      </c>
      <c r="V1160" s="33">
        <f t="shared" si="654"/>
        <v>-0.99994988378839778</v>
      </c>
      <c r="W1160" s="33">
        <f t="shared" si="655"/>
        <v>526.96865011621162</v>
      </c>
      <c r="X1160" s="33">
        <v>96485</v>
      </c>
      <c r="Y1160" s="16">
        <f t="shared" si="656"/>
        <v>-183.08520728139507</v>
      </c>
      <c r="Z1160" s="16">
        <v>10</v>
      </c>
      <c r="AA1160" s="16">
        <v>17</v>
      </c>
      <c r="AB1160" s="8">
        <f t="shared" si="657"/>
        <v>0.37151702786377711</v>
      </c>
      <c r="AC1160" s="16">
        <f t="shared" si="650"/>
        <v>61.177880654266183</v>
      </c>
      <c r="AD1160" s="20">
        <f>'PFAS Properties'!$W$53</f>
        <v>8</v>
      </c>
      <c r="AE1160" s="8">
        <f>'PFAS Properties'!$S$53</f>
        <v>2.2600713879850747</v>
      </c>
      <c r="AF1160" s="2">
        <f>'PFAS Properties'!$V$53</f>
        <v>5.3</v>
      </c>
      <c r="AG1160" s="24">
        <v>4.7</v>
      </c>
      <c r="AH1160" s="2" t="s">
        <v>832</v>
      </c>
      <c r="AI1160" s="8">
        <f>(6.8*55.845)/1000</f>
        <v>0.37974599999999997</v>
      </c>
      <c r="AJ1160" s="15">
        <f>AI1160*1000/55.845</f>
        <v>6.8</v>
      </c>
      <c r="AK1160" s="8">
        <f>AI1160/10</f>
        <v>3.7974599999999997E-2</v>
      </c>
      <c r="AL1160" s="8">
        <f>(4*26.982)/1000</f>
        <v>0.107928</v>
      </c>
      <c r="AM1160" s="15">
        <f>AL1160*1000/55.845</f>
        <v>1.932634971796938</v>
      </c>
      <c r="AN1160" s="8">
        <f>AL1160/10</f>
        <v>1.07928E-2</v>
      </c>
      <c r="AO1160" s="2" t="s">
        <v>86</v>
      </c>
      <c r="AP1160" s="72">
        <v>14.768748</v>
      </c>
      <c r="AQ1160" s="70" t="s">
        <v>752</v>
      </c>
      <c r="AR1160" s="71">
        <v>37.396533331999997</v>
      </c>
      <c r="AS1160" s="71">
        <v>37.430266667999987</v>
      </c>
      <c r="AT1160" s="71">
        <v>24.989000000000001</v>
      </c>
      <c r="AU1160" s="70" t="s">
        <v>752</v>
      </c>
      <c r="AV1160" s="16">
        <f t="shared" si="646"/>
        <v>99.815799999999996</v>
      </c>
      <c r="AW1160" s="20">
        <v>44.9</v>
      </c>
      <c r="AX1160" s="8">
        <f t="shared" si="633"/>
        <v>0.44900000000000001</v>
      </c>
      <c r="AY1160" s="8" t="s">
        <v>240</v>
      </c>
      <c r="AZ1160" s="16">
        <f t="shared" ref="AZ1160:AZ1162" si="658">0.75/0.03</f>
        <v>25</v>
      </c>
      <c r="BA1160" s="16" t="s">
        <v>55</v>
      </c>
      <c r="BB1160" s="16">
        <f>20*K1160/1000</f>
        <v>10.559372000000002</v>
      </c>
      <c r="BC1160" s="16" t="s">
        <v>55</v>
      </c>
      <c r="BD1160" s="25">
        <f>(10^2.46)*AX1160</f>
        <v>129.49301449038467</v>
      </c>
      <c r="BE1160" s="16">
        <f t="shared" si="639"/>
        <v>288.40315031266073</v>
      </c>
      <c r="BF1160" s="16">
        <f t="shared" si="640"/>
        <v>2.4600000000000004</v>
      </c>
      <c r="BG1160" s="8">
        <f t="shared" si="641"/>
        <v>2.1122463410033232</v>
      </c>
      <c r="BH1160" s="35" t="s">
        <v>588</v>
      </c>
      <c r="BI1160" s="16"/>
      <c r="BJ1160" s="13"/>
      <c r="BK1160" s="15"/>
      <c r="BL1160" s="16"/>
      <c r="BM1160" s="18"/>
      <c r="BN1160" s="8"/>
      <c r="BO1160" s="24"/>
    </row>
    <row r="1161" spans="1:67" s="14" customFormat="1" x14ac:dyDescent="0.3">
      <c r="A1161" s="20">
        <v>1159</v>
      </c>
      <c r="B1161" s="2" t="s">
        <v>195</v>
      </c>
      <c r="C1161" s="2">
        <v>2022</v>
      </c>
      <c r="D1161" s="2" t="s">
        <v>199</v>
      </c>
      <c r="E1161" s="10" t="s">
        <v>798</v>
      </c>
      <c r="F1161" s="20" t="s">
        <v>29</v>
      </c>
      <c r="G1161" s="2" t="s">
        <v>238</v>
      </c>
      <c r="H1161" s="2" t="str">
        <f>'PFAS Properties'!$B$53</f>
        <v>8:2 FTS</v>
      </c>
      <c r="I1161" s="2" t="str">
        <f>'PFAS Properties'!$C$53</f>
        <v>FTS</v>
      </c>
      <c r="J1161" s="2" t="str">
        <f>'PFAS Properties'!$D$53</f>
        <v>C10H5F17O3S</v>
      </c>
      <c r="K1161" s="25">
        <f>'PFAS Properties'!$P$53</f>
        <v>527.96860000000004</v>
      </c>
      <c r="L1161" s="2">
        <f>'PFAS Properties'!$X$53</f>
        <v>0.4</v>
      </c>
      <c r="M1161" s="2" t="str">
        <f>'PFAS Properties'!$Y$53</f>
        <v>-</v>
      </c>
      <c r="N1161" s="33">
        <v>0</v>
      </c>
      <c r="O1161" s="33">
        <v>0</v>
      </c>
      <c r="P1161" s="33">
        <v>0</v>
      </c>
      <c r="Q1161" s="33">
        <f t="shared" si="647"/>
        <v>0.99980051357127842</v>
      </c>
      <c r="R1161" s="33">
        <v>0</v>
      </c>
      <c r="S1161" s="33">
        <f t="shared" si="648"/>
        <v>1.9948642872153033E-4</v>
      </c>
      <c r="T1161" s="8">
        <f t="shared" si="652"/>
        <v>1</v>
      </c>
      <c r="U1161" s="33">
        <f t="shared" si="653"/>
        <v>0</v>
      </c>
      <c r="V1161" s="33">
        <f t="shared" si="654"/>
        <v>-0.99980051357127842</v>
      </c>
      <c r="W1161" s="33">
        <f t="shared" si="655"/>
        <v>526.96879948642879</v>
      </c>
      <c r="X1161" s="33">
        <v>96485</v>
      </c>
      <c r="Y1161" s="16">
        <f t="shared" si="656"/>
        <v>-183.05780654554502</v>
      </c>
      <c r="Z1161" s="16">
        <v>10</v>
      </c>
      <c r="AA1161" s="16">
        <v>17</v>
      </c>
      <c r="AB1161" s="8">
        <f t="shared" si="657"/>
        <v>0.37151702786377711</v>
      </c>
      <c r="AC1161" s="16">
        <f t="shared" si="650"/>
        <v>61.177880654266183</v>
      </c>
      <c r="AD1161" s="20">
        <f>'PFAS Properties'!$W$53</f>
        <v>8</v>
      </c>
      <c r="AE1161" s="8">
        <f>'PFAS Properties'!$S$53</f>
        <v>2.2600713879850747</v>
      </c>
      <c r="AF1161" s="2">
        <f>'PFAS Properties'!$V$53</f>
        <v>5.3</v>
      </c>
      <c r="AG1161" s="24">
        <v>4.0999999999999996</v>
      </c>
      <c r="AH1161" s="2" t="s">
        <v>832</v>
      </c>
      <c r="AI1161" s="8">
        <f>(28*55.845)/1000</f>
        <v>1.5636599999999998</v>
      </c>
      <c r="AJ1161" s="15">
        <f>AI1161*1000/55.845</f>
        <v>27.999999999999996</v>
      </c>
      <c r="AK1161" s="8">
        <f>AI1161/10</f>
        <v>0.15636599999999998</v>
      </c>
      <c r="AL1161" s="8">
        <f>(17*26.982)/1000</f>
        <v>0.45869399999999994</v>
      </c>
      <c r="AM1161" s="15">
        <f>AL1161*1000/55.845</f>
        <v>8.2136986301369852</v>
      </c>
      <c r="AN1161" s="8">
        <f>AL1161/10</f>
        <v>4.5869399999999991E-2</v>
      </c>
      <c r="AO1161" s="2" t="s">
        <v>86</v>
      </c>
      <c r="AP1161" s="72">
        <v>14.715147999999999</v>
      </c>
      <c r="AQ1161" s="70" t="s">
        <v>752</v>
      </c>
      <c r="AR1161" s="71">
        <v>37.490533331999998</v>
      </c>
      <c r="AS1161" s="71">
        <v>37.393866668000001</v>
      </c>
      <c r="AT1161" s="71">
        <v>24.9392</v>
      </c>
      <c r="AU1161" s="70" t="s">
        <v>752</v>
      </c>
      <c r="AV1161" s="16">
        <f t="shared" si="646"/>
        <v>99.823599999999999</v>
      </c>
      <c r="AW1161" s="20">
        <v>46.6</v>
      </c>
      <c r="AX1161" s="8">
        <f t="shared" si="633"/>
        <v>0.46600000000000003</v>
      </c>
      <c r="AY1161" s="8" t="s">
        <v>240</v>
      </c>
      <c r="AZ1161" s="16">
        <f t="shared" si="658"/>
        <v>25</v>
      </c>
      <c r="BA1161" s="16" t="s">
        <v>55</v>
      </c>
      <c r="BB1161" s="16">
        <f>20*K1161/1000</f>
        <v>10.559372000000002</v>
      </c>
      <c r="BC1161" s="16" t="s">
        <v>55</v>
      </c>
      <c r="BD1161" s="25">
        <f>(10^2.34)*AX1161</f>
        <v>101.94969167604914</v>
      </c>
      <c r="BE1161" s="16">
        <f t="shared" si="639"/>
        <v>218.77616239495524</v>
      </c>
      <c r="BF1161" s="16">
        <f t="shared" si="640"/>
        <v>2.34</v>
      </c>
      <c r="BG1161" s="8">
        <f t="shared" si="641"/>
        <v>2.00838591669</v>
      </c>
      <c r="BH1161" s="35" t="s">
        <v>588</v>
      </c>
      <c r="BI1161" s="2"/>
      <c r="BJ1161" s="2"/>
      <c r="BK1161" s="2"/>
      <c r="BL1161" s="2"/>
      <c r="BM1161" s="20"/>
      <c r="BN1161" s="20"/>
      <c r="BO1161" s="2"/>
    </row>
    <row r="1162" spans="1:67" s="14" customFormat="1" x14ac:dyDescent="0.3">
      <c r="A1162" s="20">
        <v>1160</v>
      </c>
      <c r="B1162" s="2" t="s">
        <v>195</v>
      </c>
      <c r="C1162" s="2">
        <v>2022</v>
      </c>
      <c r="D1162" s="2" t="s">
        <v>199</v>
      </c>
      <c r="E1162" s="10" t="s">
        <v>798</v>
      </c>
      <c r="F1162" s="20" t="s">
        <v>29</v>
      </c>
      <c r="G1162" s="2" t="s">
        <v>239</v>
      </c>
      <c r="H1162" s="2" t="str">
        <f>'PFAS Properties'!$B$53</f>
        <v>8:2 FTS</v>
      </c>
      <c r="I1162" s="2" t="str">
        <f>'PFAS Properties'!$C$53</f>
        <v>FTS</v>
      </c>
      <c r="J1162" s="2" t="str">
        <f>'PFAS Properties'!$D$53</f>
        <v>C10H5F17O3S</v>
      </c>
      <c r="K1162" s="25">
        <f>'PFAS Properties'!$P$53</f>
        <v>527.96860000000004</v>
      </c>
      <c r="L1162" s="2">
        <f>'PFAS Properties'!$X$53</f>
        <v>0.4</v>
      </c>
      <c r="M1162" s="2" t="str">
        <f>'PFAS Properties'!$Y$53</f>
        <v>-</v>
      </c>
      <c r="N1162" s="33">
        <v>0</v>
      </c>
      <c r="O1162" s="33">
        <v>0</v>
      </c>
      <c r="P1162" s="33">
        <v>0</v>
      </c>
      <c r="Q1162" s="33">
        <f t="shared" si="647"/>
        <v>0.99974887443673854</v>
      </c>
      <c r="R1162" s="33">
        <v>0</v>
      </c>
      <c r="S1162" s="33">
        <f t="shared" si="648"/>
        <v>2.5112556326146155E-4</v>
      </c>
      <c r="T1162" s="8">
        <f t="shared" si="652"/>
        <v>1</v>
      </c>
      <c r="U1162" s="33">
        <f t="shared" si="653"/>
        <v>0</v>
      </c>
      <c r="V1162" s="33">
        <f t="shared" si="654"/>
        <v>-0.99974887443673854</v>
      </c>
      <c r="W1162" s="33">
        <f t="shared" si="655"/>
        <v>526.96885112556333</v>
      </c>
      <c r="X1162" s="33">
        <v>96485</v>
      </c>
      <c r="Y1162" s="16">
        <f t="shared" si="656"/>
        <v>-183.04833377531941</v>
      </c>
      <c r="Z1162" s="16">
        <v>10</v>
      </c>
      <c r="AA1162" s="16">
        <v>17</v>
      </c>
      <c r="AB1162" s="8">
        <f t="shared" si="657"/>
        <v>0.37151702786377711</v>
      </c>
      <c r="AC1162" s="16">
        <f t="shared" si="650"/>
        <v>61.177880654266183</v>
      </c>
      <c r="AD1162" s="20">
        <f>'PFAS Properties'!$W$53</f>
        <v>8</v>
      </c>
      <c r="AE1162" s="8">
        <f>'PFAS Properties'!$S$53</f>
        <v>2.2600713879850747</v>
      </c>
      <c r="AF1162" s="2">
        <f>'PFAS Properties'!$V$53</f>
        <v>5.3</v>
      </c>
      <c r="AG1162" s="24">
        <v>4</v>
      </c>
      <c r="AH1162" s="2" t="s">
        <v>832</v>
      </c>
      <c r="AI1162" s="8">
        <f>(5*55.845)/1000</f>
        <v>0.279225</v>
      </c>
      <c r="AJ1162" s="15">
        <f>AI1162*1000/55.845</f>
        <v>5.0000000000000009</v>
      </c>
      <c r="AK1162" s="8">
        <f>AI1162/10</f>
        <v>2.7922499999999999E-2</v>
      </c>
      <c r="AL1162" s="8">
        <f>(15*26.982)/1000</f>
        <v>0.40473000000000003</v>
      </c>
      <c r="AM1162" s="15">
        <f>AL1162*1000/55.845</f>
        <v>7.2473811442385179</v>
      </c>
      <c r="AN1162" s="8">
        <f>AL1162/10</f>
        <v>4.0473000000000002E-2</v>
      </c>
      <c r="AO1162" s="2" t="s">
        <v>86</v>
      </c>
      <c r="AP1162" s="72">
        <v>14.763688</v>
      </c>
      <c r="AQ1162" s="70" t="s">
        <v>752</v>
      </c>
      <c r="AR1162" s="71">
        <v>37.414333332000012</v>
      </c>
      <c r="AS1162" s="71">
        <v>37.430866668</v>
      </c>
      <c r="AT1162" s="71">
        <v>24.970400000000001</v>
      </c>
      <c r="AU1162" s="70" t="s">
        <v>752</v>
      </c>
      <c r="AV1162" s="16">
        <f t="shared" si="646"/>
        <v>99.815600000000003</v>
      </c>
      <c r="AW1162" s="20">
        <v>53.6</v>
      </c>
      <c r="AX1162" s="8">
        <f t="shared" si="633"/>
        <v>0.53600000000000003</v>
      </c>
      <c r="AY1162" s="8" t="s">
        <v>240</v>
      </c>
      <c r="AZ1162" s="16">
        <f t="shared" si="658"/>
        <v>25</v>
      </c>
      <c r="BA1162" s="16" t="s">
        <v>55</v>
      </c>
      <c r="BB1162" s="16">
        <f>20*K1162/1000</f>
        <v>10.559372000000002</v>
      </c>
      <c r="BC1162" s="16" t="s">
        <v>55</v>
      </c>
      <c r="BD1162" s="25">
        <f>(10^2.24)*AX1162</f>
        <v>93.146124420966601</v>
      </c>
      <c r="BE1162" s="16">
        <f t="shared" si="639"/>
        <v>173.78008287493768</v>
      </c>
      <c r="BF1162" s="16">
        <f t="shared" si="640"/>
        <v>2.2400000000000002</v>
      </c>
      <c r="BG1162" s="8">
        <f t="shared" si="641"/>
        <v>1.9691647896927704</v>
      </c>
      <c r="BH1162" s="35" t="s">
        <v>588</v>
      </c>
      <c r="BI1162" s="16"/>
      <c r="BJ1162" s="13"/>
      <c r="BK1162" s="15"/>
      <c r="BL1162" s="16"/>
      <c r="BM1162" s="18"/>
      <c r="BN1162" s="8"/>
      <c r="BO1162" s="24"/>
    </row>
    <row r="1163" spans="1:67" s="14" customFormat="1" x14ac:dyDescent="0.3">
      <c r="A1163" s="20">
        <v>1161</v>
      </c>
      <c r="B1163" s="2" t="s">
        <v>214</v>
      </c>
      <c r="C1163" s="2">
        <v>2022</v>
      </c>
      <c r="D1163" s="2" t="s">
        <v>201</v>
      </c>
      <c r="E1163" s="10" t="s">
        <v>808</v>
      </c>
      <c r="F1163" s="20" t="s">
        <v>29</v>
      </c>
      <c r="G1163" s="2" t="s">
        <v>215</v>
      </c>
      <c r="H1163" s="2" t="str">
        <f>'PFAS Properties'!$B$53</f>
        <v>8:2 FTS</v>
      </c>
      <c r="I1163" s="2" t="str">
        <f>'PFAS Properties'!$C$53</f>
        <v>FTS</v>
      </c>
      <c r="J1163" s="2" t="str">
        <f>'PFAS Properties'!$D$53</f>
        <v>C10H5F17O3S</v>
      </c>
      <c r="K1163" s="25">
        <f>'PFAS Properties'!$P$53</f>
        <v>527.96860000000004</v>
      </c>
      <c r="L1163" s="2">
        <f>'PFAS Properties'!$X$53</f>
        <v>0.4</v>
      </c>
      <c r="M1163" s="2" t="str">
        <f>'PFAS Properties'!$Y$53</f>
        <v>-</v>
      </c>
      <c r="N1163" s="33">
        <v>0</v>
      </c>
      <c r="O1163" s="33">
        <v>0</v>
      </c>
      <c r="P1163" s="33">
        <v>0</v>
      </c>
      <c r="Q1163" s="33">
        <f t="shared" si="647"/>
        <v>0.99996019086777477</v>
      </c>
      <c r="R1163" s="33">
        <v>0</v>
      </c>
      <c r="S1163" s="33">
        <f t="shared" si="648"/>
        <v>3.9809132225250461E-5</v>
      </c>
      <c r="T1163" s="8">
        <f t="shared" si="652"/>
        <v>1</v>
      </c>
      <c r="U1163" s="33">
        <f t="shared" si="653"/>
        <v>0</v>
      </c>
      <c r="V1163" s="33">
        <f t="shared" si="654"/>
        <v>-0.99996019086777477</v>
      </c>
      <c r="W1163" s="33">
        <f t="shared" si="655"/>
        <v>526.96863980913224</v>
      </c>
      <c r="X1163" s="33">
        <v>96485</v>
      </c>
      <c r="Y1163" s="16">
        <f t="shared" si="656"/>
        <v>-183.08709803077215</v>
      </c>
      <c r="Z1163" s="16">
        <v>10</v>
      </c>
      <c r="AA1163" s="16">
        <v>17</v>
      </c>
      <c r="AB1163" s="8">
        <f t="shared" si="657"/>
        <v>0.37151702786377711</v>
      </c>
      <c r="AC1163" s="16">
        <f t="shared" si="650"/>
        <v>61.177880654266183</v>
      </c>
      <c r="AD1163" s="20">
        <f>'PFAS Properties'!$W$53</f>
        <v>8</v>
      </c>
      <c r="AE1163" s="8">
        <f>'PFAS Properties'!$S$53</f>
        <v>2.2600713879850747</v>
      </c>
      <c r="AF1163" s="2">
        <f>'PFAS Properties'!$V$53</f>
        <v>5.3</v>
      </c>
      <c r="AG1163" s="24">
        <v>4.8</v>
      </c>
      <c r="AH1163" s="2" t="s">
        <v>216</v>
      </c>
      <c r="AI1163" s="2">
        <v>8.3000000000000007</v>
      </c>
      <c r="AJ1163" s="15">
        <f>AI1163*1000/55.845</f>
        <v>148.62566030978601</v>
      </c>
      <c r="AK1163" s="15">
        <f>AI1163/10</f>
        <v>0.83000000000000007</v>
      </c>
      <c r="AL1163" s="15">
        <v>7.85</v>
      </c>
      <c r="AM1163" s="15">
        <f>AL1163*1000/26.98</f>
        <v>290.95626389918459</v>
      </c>
      <c r="AN1163" s="15">
        <f>AL1163/10</f>
        <v>0.78499999999999992</v>
      </c>
      <c r="AO1163" s="15" t="s">
        <v>217</v>
      </c>
      <c r="AP1163" s="72">
        <v>15.34083666666667</v>
      </c>
      <c r="AQ1163" s="70" t="s">
        <v>752</v>
      </c>
      <c r="AR1163" s="16">
        <v>32</v>
      </c>
      <c r="AS1163" s="16">
        <v>40</v>
      </c>
      <c r="AT1163" s="16">
        <v>28</v>
      </c>
      <c r="AU1163" s="2" t="s">
        <v>661</v>
      </c>
      <c r="AV1163" s="16">
        <f t="shared" ref="AV1163:AV1174" si="659">SUM(AR1163:AT1163)</f>
        <v>100</v>
      </c>
      <c r="AW1163" s="20">
        <v>4.9000000000000004</v>
      </c>
      <c r="AX1163" s="8">
        <f t="shared" si="633"/>
        <v>4.9000000000000002E-2</v>
      </c>
      <c r="AY1163" s="8" t="s">
        <v>218</v>
      </c>
      <c r="AZ1163" s="16">
        <f>1.5/0.075</f>
        <v>20</v>
      </c>
      <c r="BA1163" s="16" t="s">
        <v>55</v>
      </c>
      <c r="BB1163" s="16">
        <v>10</v>
      </c>
      <c r="BC1163" s="16" t="s">
        <v>55</v>
      </c>
      <c r="BD1163" s="20">
        <v>12.16</v>
      </c>
      <c r="BE1163" s="16">
        <f t="shared" si="639"/>
        <v>248.16326530612244</v>
      </c>
      <c r="BF1163" s="16">
        <f t="shared" si="640"/>
        <v>2.3947374949082025</v>
      </c>
      <c r="BG1163" s="8">
        <f t="shared" si="641"/>
        <v>1.0849335749367162</v>
      </c>
      <c r="BH1163" s="2" t="s">
        <v>374</v>
      </c>
      <c r="BI1163" s="2"/>
      <c r="BJ1163" s="2"/>
      <c r="BK1163" s="2"/>
      <c r="BL1163" s="2"/>
      <c r="BM1163" s="20"/>
      <c r="BN1163" s="20"/>
      <c r="BO1163" s="2"/>
    </row>
    <row r="1164" spans="1:67" s="14" customFormat="1" x14ac:dyDescent="0.3">
      <c r="A1164" s="20">
        <v>1162</v>
      </c>
      <c r="B1164" s="2" t="s">
        <v>214</v>
      </c>
      <c r="C1164" s="2">
        <v>2022</v>
      </c>
      <c r="D1164" s="2" t="s">
        <v>201</v>
      </c>
      <c r="E1164" s="10" t="s">
        <v>808</v>
      </c>
      <c r="F1164" s="20" t="s">
        <v>29</v>
      </c>
      <c r="G1164" s="2" t="s">
        <v>233</v>
      </c>
      <c r="H1164" s="2" t="str">
        <f>'PFAS Properties'!$B$53</f>
        <v>8:2 FTS</v>
      </c>
      <c r="I1164" s="2" t="str">
        <f>'PFAS Properties'!$C$53</f>
        <v>FTS</v>
      </c>
      <c r="J1164" s="2" t="str">
        <f>'PFAS Properties'!$D$53</f>
        <v>C10H5F17O3S</v>
      </c>
      <c r="K1164" s="25">
        <f>'PFAS Properties'!$P$53</f>
        <v>527.96860000000004</v>
      </c>
      <c r="L1164" s="2">
        <f>'PFAS Properties'!$X$53</f>
        <v>0.4</v>
      </c>
      <c r="M1164" s="2" t="str">
        <f>'PFAS Properties'!$Y$53</f>
        <v>-</v>
      </c>
      <c r="N1164" s="33">
        <v>0</v>
      </c>
      <c r="O1164" s="33">
        <v>0</v>
      </c>
      <c r="P1164" s="33">
        <v>0</v>
      </c>
      <c r="Q1164" s="33">
        <f t="shared" si="647"/>
        <v>0.99999683773233983</v>
      </c>
      <c r="R1164" s="33">
        <v>0</v>
      </c>
      <c r="S1164" s="33">
        <f t="shared" si="648"/>
        <v>3.1622676601999995E-6</v>
      </c>
      <c r="T1164" s="8">
        <f t="shared" si="652"/>
        <v>1</v>
      </c>
      <c r="U1164" s="33">
        <f t="shared" si="653"/>
        <v>0</v>
      </c>
      <c r="V1164" s="33">
        <f t="shared" si="654"/>
        <v>-0.99999683773233983</v>
      </c>
      <c r="W1164" s="33">
        <f t="shared" si="655"/>
        <v>526.96860316226764</v>
      </c>
      <c r="X1164" s="33">
        <v>96485</v>
      </c>
      <c r="Y1164" s="16">
        <f t="shared" si="656"/>
        <v>-183.09382059882341</v>
      </c>
      <c r="Z1164" s="16">
        <v>10</v>
      </c>
      <c r="AA1164" s="16">
        <v>17</v>
      </c>
      <c r="AB1164" s="8">
        <f t="shared" si="657"/>
        <v>0.37151702786377711</v>
      </c>
      <c r="AC1164" s="16">
        <f t="shared" si="650"/>
        <v>61.177880654266183</v>
      </c>
      <c r="AD1164" s="20">
        <f>'PFAS Properties'!$W$53</f>
        <v>8</v>
      </c>
      <c r="AE1164" s="8">
        <f>'PFAS Properties'!$S$53</f>
        <v>2.2600713879850747</v>
      </c>
      <c r="AF1164" s="2">
        <f>'PFAS Properties'!$V$53</f>
        <v>5.3</v>
      </c>
      <c r="AG1164" s="24">
        <v>5.9</v>
      </c>
      <c r="AH1164" s="2" t="s">
        <v>216</v>
      </c>
      <c r="AI1164" s="2">
        <v>1.4</v>
      </c>
      <c r="AJ1164" s="15">
        <f>AI1164*1000/55.845</f>
        <v>25.069388485988004</v>
      </c>
      <c r="AK1164" s="15">
        <f>AI1164/10</f>
        <v>0.13999999999999999</v>
      </c>
      <c r="AL1164" s="15">
        <v>0.92</v>
      </c>
      <c r="AM1164" s="15">
        <f>AL1164*1000/26.98</f>
        <v>34.099332839140104</v>
      </c>
      <c r="AN1164" s="15">
        <f>AL1164/10</f>
        <v>9.1999999999999998E-2</v>
      </c>
      <c r="AO1164" s="15" t="s">
        <v>217</v>
      </c>
      <c r="AP1164" s="72">
        <v>15.34083666666667</v>
      </c>
      <c r="AQ1164" s="70" t="s">
        <v>752</v>
      </c>
      <c r="AR1164" s="16">
        <v>37</v>
      </c>
      <c r="AS1164" s="16">
        <v>22</v>
      </c>
      <c r="AT1164" s="16">
        <v>41</v>
      </c>
      <c r="AU1164" s="2" t="s">
        <v>661</v>
      </c>
      <c r="AV1164" s="16">
        <f t="shared" si="659"/>
        <v>100</v>
      </c>
      <c r="AW1164" s="20">
        <v>2.6</v>
      </c>
      <c r="AX1164" s="8">
        <f t="shared" si="633"/>
        <v>2.6000000000000002E-2</v>
      </c>
      <c r="AY1164" s="8" t="s">
        <v>218</v>
      </c>
      <c r="AZ1164" s="16">
        <f>1.5/0.075</f>
        <v>20</v>
      </c>
      <c r="BA1164" s="16" t="s">
        <v>55</v>
      </c>
      <c r="BB1164" s="16">
        <v>10</v>
      </c>
      <c r="BC1164" s="16" t="s">
        <v>55</v>
      </c>
      <c r="BD1164" s="20">
        <v>3.91</v>
      </c>
      <c r="BE1164" s="16">
        <f t="shared" si="639"/>
        <v>150.38461538461539</v>
      </c>
      <c r="BF1164" s="16">
        <f t="shared" si="640"/>
        <v>2.177203409425049</v>
      </c>
      <c r="BG1164" s="8">
        <f t="shared" si="641"/>
        <v>0.59217675739586684</v>
      </c>
      <c r="BH1164" s="2" t="s">
        <v>374</v>
      </c>
      <c r="BI1164" s="2"/>
      <c r="BJ1164" s="2"/>
      <c r="BK1164" s="2"/>
      <c r="BL1164" s="2"/>
      <c r="BM1164" s="20"/>
      <c r="BN1164" s="20"/>
      <c r="BO1164" s="2"/>
    </row>
    <row r="1165" spans="1:67" s="14" customFormat="1" x14ac:dyDescent="0.3">
      <c r="A1165" s="20">
        <v>1163</v>
      </c>
      <c r="B1165" s="2" t="s">
        <v>181</v>
      </c>
      <c r="C1165" s="2">
        <v>2020</v>
      </c>
      <c r="D1165" s="2" t="s">
        <v>203</v>
      </c>
      <c r="E1165" s="10" t="s">
        <v>787</v>
      </c>
      <c r="F1165" s="20" t="s">
        <v>29</v>
      </c>
      <c r="G1165" s="2" t="s">
        <v>62</v>
      </c>
      <c r="H1165" s="2" t="str">
        <f>'PFAS Properties'!$B$53</f>
        <v>8:2 FTS</v>
      </c>
      <c r="I1165" s="2" t="str">
        <f>'PFAS Properties'!$C$53</f>
        <v>FTS</v>
      </c>
      <c r="J1165" s="2" t="str">
        <f>'PFAS Properties'!$D$53</f>
        <v>C10H5F17O3S</v>
      </c>
      <c r="K1165" s="25">
        <f>'PFAS Properties'!$P$53</f>
        <v>527.96860000000004</v>
      </c>
      <c r="L1165" s="2">
        <f>'PFAS Properties'!$X$53</f>
        <v>0.4</v>
      </c>
      <c r="M1165" s="2" t="str">
        <f>'PFAS Properties'!$Y$53</f>
        <v>-</v>
      </c>
      <c r="N1165" s="33">
        <v>0</v>
      </c>
      <c r="O1165" s="33">
        <v>0</v>
      </c>
      <c r="P1165" s="33">
        <v>0</v>
      </c>
      <c r="Q1165" s="33">
        <f t="shared" si="647"/>
        <v>0.99999992056718279</v>
      </c>
      <c r="R1165" s="33">
        <v>0</v>
      </c>
      <c r="S1165" s="33">
        <f t="shared" si="648"/>
        <v>7.9432817162855232E-8</v>
      </c>
      <c r="T1165" s="8">
        <f t="shared" si="652"/>
        <v>1</v>
      </c>
      <c r="U1165" s="33">
        <f t="shared" si="653"/>
        <v>0</v>
      </c>
      <c r="V1165" s="33">
        <f t="shared" si="654"/>
        <v>-0.99999992056718279</v>
      </c>
      <c r="W1165" s="33">
        <f t="shared" si="655"/>
        <v>526.9686000794328</v>
      </c>
      <c r="X1165" s="33">
        <v>96485</v>
      </c>
      <c r="Y1165" s="16">
        <f t="shared" si="656"/>
        <v>-183.094386119744</v>
      </c>
      <c r="Z1165" s="16">
        <v>10</v>
      </c>
      <c r="AA1165" s="16">
        <v>17</v>
      </c>
      <c r="AB1165" s="8">
        <f t="shared" si="657"/>
        <v>0.37151702786377711</v>
      </c>
      <c r="AC1165" s="16">
        <f t="shared" si="650"/>
        <v>61.177880654266183</v>
      </c>
      <c r="AD1165" s="20">
        <f>'PFAS Properties'!$W$53</f>
        <v>8</v>
      </c>
      <c r="AE1165" s="8">
        <f>'PFAS Properties'!$S$53</f>
        <v>2.2600713879850747</v>
      </c>
      <c r="AF1165" s="2">
        <f>'PFAS Properties'!$V$53</f>
        <v>5.3</v>
      </c>
      <c r="AG1165" s="24">
        <v>7.5</v>
      </c>
      <c r="AH1165" s="2" t="s">
        <v>183</v>
      </c>
      <c r="AI1165" s="2" t="s">
        <v>661</v>
      </c>
      <c r="AJ1165" s="2" t="s">
        <v>661</v>
      </c>
      <c r="AK1165" s="2" t="s">
        <v>661</v>
      </c>
      <c r="AL1165" s="2" t="s">
        <v>661</v>
      </c>
      <c r="AM1165" s="2" t="s">
        <v>661</v>
      </c>
      <c r="AN1165" s="2" t="s">
        <v>661</v>
      </c>
      <c r="AO1165" s="2" t="s">
        <v>661</v>
      </c>
      <c r="AP1165" s="15">
        <v>41.4</v>
      </c>
      <c r="AQ1165" s="2" t="s">
        <v>661</v>
      </c>
      <c r="AR1165" s="16">
        <v>16.899999999999999</v>
      </c>
      <c r="AS1165" s="16">
        <v>17.5</v>
      </c>
      <c r="AT1165" s="16">
        <v>65.599999999999994</v>
      </c>
      <c r="AU1165" s="2" t="s">
        <v>661</v>
      </c>
      <c r="AV1165" s="16">
        <f t="shared" si="659"/>
        <v>100</v>
      </c>
      <c r="AW1165" s="20">
        <v>0.7</v>
      </c>
      <c r="AX1165" s="8">
        <f t="shared" si="633"/>
        <v>6.9999999999999993E-3</v>
      </c>
      <c r="AY1165" s="8" t="s">
        <v>184</v>
      </c>
      <c r="AZ1165" s="16">
        <v>100</v>
      </c>
      <c r="BA1165" s="16" t="s">
        <v>55</v>
      </c>
      <c r="BB1165" s="16">
        <v>5</v>
      </c>
      <c r="BC1165" s="16" t="s">
        <v>55</v>
      </c>
      <c r="BD1165" s="20">
        <v>8.36</v>
      </c>
      <c r="BE1165" s="16">
        <f t="shared" si="639"/>
        <v>1194.2857142857142</v>
      </c>
      <c r="BF1165" s="16">
        <f t="shared" si="640"/>
        <v>3.0771082374247594</v>
      </c>
      <c r="BG1165" s="8">
        <f t="shared" si="641"/>
        <v>0.9222062774390164</v>
      </c>
      <c r="BH1165" s="13" t="s">
        <v>345</v>
      </c>
      <c r="BI1165" s="13"/>
      <c r="BJ1165" s="13"/>
      <c r="BK1165" s="13"/>
      <c r="BL1165" s="13"/>
      <c r="BM1165" s="17"/>
      <c r="BN1165" s="17"/>
      <c r="BO1165" s="2"/>
    </row>
    <row r="1166" spans="1:67" s="14" customFormat="1" x14ac:dyDescent="0.3">
      <c r="A1166" s="20">
        <v>1164</v>
      </c>
      <c r="B1166" s="2" t="s">
        <v>181</v>
      </c>
      <c r="C1166" s="2">
        <v>2020</v>
      </c>
      <c r="D1166" s="2" t="s">
        <v>203</v>
      </c>
      <c r="E1166" s="10" t="s">
        <v>787</v>
      </c>
      <c r="F1166" s="20" t="s">
        <v>29</v>
      </c>
      <c r="G1166" s="2" t="s">
        <v>57</v>
      </c>
      <c r="H1166" s="2" t="str">
        <f>'PFAS Properties'!$B$53</f>
        <v>8:2 FTS</v>
      </c>
      <c r="I1166" s="2" t="str">
        <f>'PFAS Properties'!$C$53</f>
        <v>FTS</v>
      </c>
      <c r="J1166" s="2" t="str">
        <f>'PFAS Properties'!$D$53</f>
        <v>C10H5F17O3S</v>
      </c>
      <c r="K1166" s="25">
        <f>'PFAS Properties'!$P$53</f>
        <v>527.96860000000004</v>
      </c>
      <c r="L1166" s="2">
        <f>'PFAS Properties'!$X$53</f>
        <v>0.4</v>
      </c>
      <c r="M1166" s="2" t="str">
        <f>'PFAS Properties'!$Y$53</f>
        <v>-</v>
      </c>
      <c r="N1166" s="33">
        <v>0</v>
      </c>
      <c r="O1166" s="33">
        <v>0</v>
      </c>
      <c r="P1166" s="33">
        <v>0</v>
      </c>
      <c r="Q1166" s="33">
        <f t="shared" si="647"/>
        <v>0.99999960189298798</v>
      </c>
      <c r="R1166" s="33">
        <v>0</v>
      </c>
      <c r="S1166" s="33">
        <f t="shared" si="648"/>
        <v>3.981070120642407E-7</v>
      </c>
      <c r="T1166" s="8">
        <f t="shared" si="652"/>
        <v>1</v>
      </c>
      <c r="U1166" s="33">
        <f t="shared" si="653"/>
        <v>0</v>
      </c>
      <c r="V1166" s="33">
        <f t="shared" si="654"/>
        <v>-0.99999960189298798</v>
      </c>
      <c r="W1166" s="33">
        <f t="shared" si="655"/>
        <v>526.96860039810701</v>
      </c>
      <c r="X1166" s="33">
        <v>96485</v>
      </c>
      <c r="Y1166" s="16">
        <f t="shared" si="656"/>
        <v>-183.0943276615605</v>
      </c>
      <c r="Z1166" s="16">
        <v>10</v>
      </c>
      <c r="AA1166" s="16">
        <v>17</v>
      </c>
      <c r="AB1166" s="8">
        <f t="shared" si="657"/>
        <v>0.37151702786377711</v>
      </c>
      <c r="AC1166" s="16">
        <f t="shared" si="650"/>
        <v>61.177880654266183</v>
      </c>
      <c r="AD1166" s="20">
        <f>'PFAS Properties'!$W$53</f>
        <v>8</v>
      </c>
      <c r="AE1166" s="8">
        <f>'PFAS Properties'!$S$53</f>
        <v>2.2600713879850747</v>
      </c>
      <c r="AF1166" s="2">
        <f>'PFAS Properties'!$V$53</f>
        <v>5.3</v>
      </c>
      <c r="AG1166" s="24">
        <v>6.8</v>
      </c>
      <c r="AH1166" s="2" t="s">
        <v>183</v>
      </c>
      <c r="AI1166" s="2" t="s">
        <v>661</v>
      </c>
      <c r="AJ1166" s="2" t="s">
        <v>661</v>
      </c>
      <c r="AK1166" s="2" t="s">
        <v>661</v>
      </c>
      <c r="AL1166" s="2" t="s">
        <v>661</v>
      </c>
      <c r="AM1166" s="2" t="s">
        <v>661</v>
      </c>
      <c r="AN1166" s="2" t="s">
        <v>661</v>
      </c>
      <c r="AO1166" s="2" t="s">
        <v>661</v>
      </c>
      <c r="AP1166" s="15">
        <v>7.1</v>
      </c>
      <c r="AQ1166" s="2" t="s">
        <v>661</v>
      </c>
      <c r="AR1166" s="16">
        <v>48.9</v>
      </c>
      <c r="AS1166" s="16">
        <v>27</v>
      </c>
      <c r="AT1166" s="16">
        <v>24.2</v>
      </c>
      <c r="AU1166" s="2" t="s">
        <v>661</v>
      </c>
      <c r="AV1166" s="16">
        <f t="shared" si="659"/>
        <v>100.10000000000001</v>
      </c>
      <c r="AW1166" s="20">
        <v>0.37</v>
      </c>
      <c r="AX1166" s="8">
        <f t="shared" si="633"/>
        <v>3.7000000000000002E-3</v>
      </c>
      <c r="AY1166" s="13" t="s">
        <v>184</v>
      </c>
      <c r="AZ1166" s="16">
        <v>100</v>
      </c>
      <c r="BA1166" s="16" t="s">
        <v>55</v>
      </c>
      <c r="BB1166" s="16">
        <v>5</v>
      </c>
      <c r="BC1166" s="16" t="s">
        <v>55</v>
      </c>
      <c r="BD1166" s="20">
        <v>7.24</v>
      </c>
      <c r="BE1166" s="16">
        <f t="shared" si="639"/>
        <v>1956.7567567567567</v>
      </c>
      <c r="BF1166" s="16">
        <f t="shared" si="640"/>
        <v>3.2915368421301521</v>
      </c>
      <c r="BG1166" s="8">
        <f t="shared" si="641"/>
        <v>0.85973856619714695</v>
      </c>
      <c r="BH1166" s="13" t="s">
        <v>345</v>
      </c>
      <c r="BI1166" s="13"/>
      <c r="BJ1166" s="13"/>
      <c r="BK1166" s="13"/>
      <c r="BL1166" s="13"/>
      <c r="BM1166" s="17"/>
      <c r="BN1166" s="17"/>
      <c r="BO1166" s="2"/>
    </row>
    <row r="1167" spans="1:67" s="14" customFormat="1" x14ac:dyDescent="0.3">
      <c r="A1167" s="20">
        <v>1165</v>
      </c>
      <c r="B1167" s="2" t="s">
        <v>181</v>
      </c>
      <c r="C1167" s="2">
        <v>2020</v>
      </c>
      <c r="D1167" s="2" t="s">
        <v>203</v>
      </c>
      <c r="E1167" s="10" t="s">
        <v>787</v>
      </c>
      <c r="F1167" s="20" t="s">
        <v>29</v>
      </c>
      <c r="G1167" s="2" t="s">
        <v>58</v>
      </c>
      <c r="H1167" s="2" t="str">
        <f>'PFAS Properties'!$B$53</f>
        <v>8:2 FTS</v>
      </c>
      <c r="I1167" s="2" t="str">
        <f>'PFAS Properties'!$C$53</f>
        <v>FTS</v>
      </c>
      <c r="J1167" s="2" t="str">
        <f>'PFAS Properties'!$D$53</f>
        <v>C10H5F17O3S</v>
      </c>
      <c r="K1167" s="25">
        <f>'PFAS Properties'!$P$53</f>
        <v>527.96860000000004</v>
      </c>
      <c r="L1167" s="2">
        <f>'PFAS Properties'!$X$53</f>
        <v>0.4</v>
      </c>
      <c r="M1167" s="2" t="str">
        <f>'PFAS Properties'!$Y$53</f>
        <v>-</v>
      </c>
      <c r="N1167" s="33">
        <v>0</v>
      </c>
      <c r="O1167" s="33">
        <v>0</v>
      </c>
      <c r="P1167" s="33">
        <v>0</v>
      </c>
      <c r="Q1167" s="33">
        <f t="shared" si="647"/>
        <v>0.99999841510931942</v>
      </c>
      <c r="R1167" s="33">
        <v>0</v>
      </c>
      <c r="S1167" s="33">
        <f t="shared" si="648"/>
        <v>1.5848906805786609E-6</v>
      </c>
      <c r="T1167" s="8">
        <f t="shared" si="652"/>
        <v>1</v>
      </c>
      <c r="U1167" s="33">
        <f t="shared" si="653"/>
        <v>0</v>
      </c>
      <c r="V1167" s="33">
        <f t="shared" si="654"/>
        <v>-0.99999841510931942</v>
      </c>
      <c r="W1167" s="33">
        <f t="shared" si="655"/>
        <v>526.96860158489073</v>
      </c>
      <c r="X1167" s="33">
        <v>96485</v>
      </c>
      <c r="Y1167" s="16">
        <f t="shared" si="656"/>
        <v>-183.09410995577068</v>
      </c>
      <c r="Z1167" s="16">
        <v>10</v>
      </c>
      <c r="AA1167" s="16">
        <v>17</v>
      </c>
      <c r="AB1167" s="8">
        <f t="shared" si="657"/>
        <v>0.37151702786377711</v>
      </c>
      <c r="AC1167" s="16">
        <f t="shared" si="650"/>
        <v>61.177880654266183</v>
      </c>
      <c r="AD1167" s="20">
        <f>'PFAS Properties'!$W$53</f>
        <v>8</v>
      </c>
      <c r="AE1167" s="8">
        <f>'PFAS Properties'!$S$53</f>
        <v>2.2600713879850747</v>
      </c>
      <c r="AF1167" s="2">
        <f>'PFAS Properties'!$V$53</f>
        <v>5.3</v>
      </c>
      <c r="AG1167" s="24">
        <v>6.2</v>
      </c>
      <c r="AH1167" s="2" t="s">
        <v>183</v>
      </c>
      <c r="AI1167" s="2" t="s">
        <v>661</v>
      </c>
      <c r="AJ1167" s="2" t="s">
        <v>661</v>
      </c>
      <c r="AK1167" s="2" t="s">
        <v>661</v>
      </c>
      <c r="AL1167" s="2" t="s">
        <v>661</v>
      </c>
      <c r="AM1167" s="2" t="s">
        <v>661</v>
      </c>
      <c r="AN1167" s="2" t="s">
        <v>661</v>
      </c>
      <c r="AO1167" s="2" t="s">
        <v>661</v>
      </c>
      <c r="AP1167" s="15">
        <v>8</v>
      </c>
      <c r="AQ1167" s="2" t="s">
        <v>661</v>
      </c>
      <c r="AR1167" s="16">
        <v>51.44</v>
      </c>
      <c r="AS1167" s="16">
        <v>10.17</v>
      </c>
      <c r="AT1167" s="16">
        <v>38.380000000000003</v>
      </c>
      <c r="AU1167" s="2" t="s">
        <v>661</v>
      </c>
      <c r="AV1167" s="16">
        <f t="shared" si="659"/>
        <v>99.990000000000009</v>
      </c>
      <c r="AW1167" s="20">
        <v>0.08</v>
      </c>
      <c r="AX1167" s="8">
        <f t="shared" si="633"/>
        <v>8.0000000000000004E-4</v>
      </c>
      <c r="AY1167" s="8" t="s">
        <v>184</v>
      </c>
      <c r="AZ1167" s="16">
        <v>100</v>
      </c>
      <c r="BA1167" s="16" t="s">
        <v>55</v>
      </c>
      <c r="BB1167" s="16">
        <v>5</v>
      </c>
      <c r="BC1167" s="16" t="s">
        <v>55</v>
      </c>
      <c r="BD1167" s="20">
        <v>7.82</v>
      </c>
      <c r="BE1167" s="16">
        <f t="shared" si="639"/>
        <v>9775</v>
      </c>
      <c r="BF1167" s="16">
        <f t="shared" si="640"/>
        <v>3.9901167660679042</v>
      </c>
      <c r="BG1167" s="8">
        <f t="shared" si="641"/>
        <v>0.89320675305984798</v>
      </c>
      <c r="BH1167" s="13" t="s">
        <v>345</v>
      </c>
      <c r="BI1167" s="13"/>
      <c r="BJ1167" s="13"/>
      <c r="BK1167" s="13"/>
      <c r="BL1167" s="13"/>
      <c r="BM1167" s="17"/>
      <c r="BN1167" s="17"/>
      <c r="BO1167" s="2"/>
    </row>
    <row r="1168" spans="1:67" s="14" customFormat="1" x14ac:dyDescent="0.3">
      <c r="A1168" s="20">
        <v>1166</v>
      </c>
      <c r="B1168" s="2" t="s">
        <v>181</v>
      </c>
      <c r="C1168" s="2">
        <v>2020</v>
      </c>
      <c r="D1168" s="2" t="s">
        <v>203</v>
      </c>
      <c r="E1168" s="10" t="s">
        <v>787</v>
      </c>
      <c r="F1168" s="20" t="s">
        <v>29</v>
      </c>
      <c r="G1168" s="2" t="s">
        <v>59</v>
      </c>
      <c r="H1168" s="2" t="str">
        <f>'PFAS Properties'!$B$53</f>
        <v>8:2 FTS</v>
      </c>
      <c r="I1168" s="2" t="str">
        <f>'PFAS Properties'!$C$53</f>
        <v>FTS</v>
      </c>
      <c r="J1168" s="2" t="str">
        <f>'PFAS Properties'!$D$53</f>
        <v>C10H5F17O3S</v>
      </c>
      <c r="K1168" s="25">
        <f>'PFAS Properties'!$P$53</f>
        <v>527.96860000000004</v>
      </c>
      <c r="L1168" s="2">
        <f>'PFAS Properties'!$X$53</f>
        <v>0.4</v>
      </c>
      <c r="M1168" s="2" t="str">
        <f>'PFAS Properties'!$Y$53</f>
        <v>-</v>
      </c>
      <c r="N1168" s="33">
        <v>0</v>
      </c>
      <c r="O1168" s="33">
        <v>0</v>
      </c>
      <c r="P1168" s="33">
        <v>0</v>
      </c>
      <c r="Q1168" s="33">
        <f t="shared" si="647"/>
        <v>0.99999994988127916</v>
      </c>
      <c r="R1168" s="33">
        <v>0</v>
      </c>
      <c r="S1168" s="33">
        <f t="shared" si="648"/>
        <v>5.011872085084086E-8</v>
      </c>
      <c r="T1168" s="8">
        <f t="shared" si="652"/>
        <v>1</v>
      </c>
      <c r="U1168" s="33">
        <f t="shared" si="653"/>
        <v>0</v>
      </c>
      <c r="V1168" s="33">
        <f t="shared" si="654"/>
        <v>-0.99999994988127916</v>
      </c>
      <c r="W1168" s="33">
        <f t="shared" si="655"/>
        <v>526.96860005011877</v>
      </c>
      <c r="X1168" s="33">
        <v>96485</v>
      </c>
      <c r="Y1168" s="16">
        <f t="shared" si="656"/>
        <v>-183.09439149717602</v>
      </c>
      <c r="Z1168" s="16">
        <v>10</v>
      </c>
      <c r="AA1168" s="16">
        <v>17</v>
      </c>
      <c r="AB1168" s="8">
        <f t="shared" si="657"/>
        <v>0.37151702786377711</v>
      </c>
      <c r="AC1168" s="16">
        <f t="shared" si="650"/>
        <v>61.177880654266183</v>
      </c>
      <c r="AD1168" s="20">
        <f>'PFAS Properties'!$W$53</f>
        <v>8</v>
      </c>
      <c r="AE1168" s="8">
        <f>'PFAS Properties'!$S$53</f>
        <v>2.2600713879850747</v>
      </c>
      <c r="AF1168" s="2">
        <f>'PFAS Properties'!$V$53</f>
        <v>5.3</v>
      </c>
      <c r="AG1168" s="24">
        <v>7.7</v>
      </c>
      <c r="AH1168" s="2" t="s">
        <v>183</v>
      </c>
      <c r="AI1168" s="2" t="s">
        <v>661</v>
      </c>
      <c r="AJ1168" s="2" t="s">
        <v>661</v>
      </c>
      <c r="AK1168" s="2" t="s">
        <v>661</v>
      </c>
      <c r="AL1168" s="2" t="s">
        <v>661</v>
      </c>
      <c r="AM1168" s="2" t="s">
        <v>661</v>
      </c>
      <c r="AN1168" s="2" t="s">
        <v>661</v>
      </c>
      <c r="AO1168" s="2" t="s">
        <v>661</v>
      </c>
      <c r="AP1168" s="15">
        <v>4.8</v>
      </c>
      <c r="AQ1168" s="2" t="s">
        <v>661</v>
      </c>
      <c r="AR1168" s="16">
        <v>46</v>
      </c>
      <c r="AS1168" s="16">
        <v>37</v>
      </c>
      <c r="AT1168" s="16">
        <v>17</v>
      </c>
      <c r="AU1168" s="2" t="s">
        <v>661</v>
      </c>
      <c r="AV1168" s="16">
        <f t="shared" si="659"/>
        <v>100</v>
      </c>
      <c r="AW1168" s="20">
        <v>0.25</v>
      </c>
      <c r="AX1168" s="8">
        <f t="shared" si="633"/>
        <v>2.5000000000000001E-3</v>
      </c>
      <c r="AY1168" s="13" t="s">
        <v>184</v>
      </c>
      <c r="AZ1168" s="16">
        <v>100</v>
      </c>
      <c r="BA1168" s="16" t="s">
        <v>55</v>
      </c>
      <c r="BB1168" s="16">
        <v>5</v>
      </c>
      <c r="BC1168" s="16" t="s">
        <v>55</v>
      </c>
      <c r="BD1168" s="18">
        <v>12.95</v>
      </c>
      <c r="BE1168" s="16">
        <f t="shared" si="639"/>
        <v>5180</v>
      </c>
      <c r="BF1168" s="16">
        <f t="shared" si="640"/>
        <v>3.7143297597452332</v>
      </c>
      <c r="BG1168" s="8">
        <f t="shared" si="641"/>
        <v>1.1122697684172707</v>
      </c>
      <c r="BH1168" s="13" t="s">
        <v>345</v>
      </c>
      <c r="BI1168" s="13"/>
      <c r="BJ1168" s="13"/>
      <c r="BK1168" s="13"/>
      <c r="BL1168" s="13"/>
      <c r="BM1168" s="17"/>
      <c r="BN1168" s="17"/>
      <c r="BO1168" s="2"/>
    </row>
    <row r="1169" spans="1:67" s="14" customFormat="1" x14ac:dyDescent="0.3">
      <c r="A1169" s="20">
        <v>1167</v>
      </c>
      <c r="B1169" s="2" t="s">
        <v>181</v>
      </c>
      <c r="C1169" s="2">
        <v>2020</v>
      </c>
      <c r="D1169" s="2" t="s">
        <v>203</v>
      </c>
      <c r="E1169" s="10" t="s">
        <v>787</v>
      </c>
      <c r="F1169" s="20" t="s">
        <v>29</v>
      </c>
      <c r="G1169" s="2" t="s">
        <v>61</v>
      </c>
      <c r="H1169" s="2" t="str">
        <f>'PFAS Properties'!$B$53</f>
        <v>8:2 FTS</v>
      </c>
      <c r="I1169" s="2" t="str">
        <f>'PFAS Properties'!$C$53</f>
        <v>FTS</v>
      </c>
      <c r="J1169" s="2" t="str">
        <f>'PFAS Properties'!$D$53</f>
        <v>C10H5F17O3S</v>
      </c>
      <c r="K1169" s="25">
        <f>'PFAS Properties'!$P$53</f>
        <v>527.96860000000004</v>
      </c>
      <c r="L1169" s="2">
        <f>'PFAS Properties'!$X$53</f>
        <v>0.4</v>
      </c>
      <c r="M1169" s="2" t="str">
        <f>'PFAS Properties'!$Y$53</f>
        <v>-</v>
      </c>
      <c r="N1169" s="33">
        <v>0</v>
      </c>
      <c r="O1169" s="33">
        <v>0</v>
      </c>
      <c r="P1169" s="33">
        <v>0</v>
      </c>
      <c r="Q1169" s="33">
        <f t="shared" si="647"/>
        <v>0.99999990000001004</v>
      </c>
      <c r="R1169" s="33">
        <v>0</v>
      </c>
      <c r="S1169" s="33">
        <f t="shared" si="648"/>
        <v>9.9999990000001005E-8</v>
      </c>
      <c r="T1169" s="8">
        <f t="shared" si="652"/>
        <v>1</v>
      </c>
      <c r="U1169" s="33">
        <f t="shared" si="653"/>
        <v>0</v>
      </c>
      <c r="V1169" s="33">
        <f t="shared" si="654"/>
        <v>-0.99999990000001004</v>
      </c>
      <c r="W1169" s="33">
        <f t="shared" si="655"/>
        <v>526.9686001</v>
      </c>
      <c r="X1169" s="33">
        <v>96485</v>
      </c>
      <c r="Y1169" s="16">
        <f t="shared" si="656"/>
        <v>-183.0943823468638</v>
      </c>
      <c r="Z1169" s="16">
        <v>10</v>
      </c>
      <c r="AA1169" s="16">
        <v>17</v>
      </c>
      <c r="AB1169" s="8">
        <f t="shared" si="657"/>
        <v>0.37151702786377711</v>
      </c>
      <c r="AC1169" s="16">
        <f t="shared" si="650"/>
        <v>61.177880654266183</v>
      </c>
      <c r="AD1169" s="20">
        <f>'PFAS Properties'!$W$53</f>
        <v>8</v>
      </c>
      <c r="AE1169" s="8">
        <f>'PFAS Properties'!$S$53</f>
        <v>2.2600713879850747</v>
      </c>
      <c r="AF1169" s="2">
        <f>'PFAS Properties'!$V$53</f>
        <v>5.3</v>
      </c>
      <c r="AG1169" s="24">
        <v>7.4</v>
      </c>
      <c r="AH1169" s="2" t="s">
        <v>183</v>
      </c>
      <c r="AI1169" s="2" t="s">
        <v>661</v>
      </c>
      <c r="AJ1169" s="2" t="s">
        <v>661</v>
      </c>
      <c r="AK1169" s="2" t="s">
        <v>661</v>
      </c>
      <c r="AL1169" s="2" t="s">
        <v>661</v>
      </c>
      <c r="AM1169" s="2" t="s">
        <v>661</v>
      </c>
      <c r="AN1169" s="2" t="s">
        <v>661</v>
      </c>
      <c r="AO1169" s="2" t="s">
        <v>661</v>
      </c>
      <c r="AP1169" s="15">
        <v>29.6</v>
      </c>
      <c r="AQ1169" s="2" t="s">
        <v>661</v>
      </c>
      <c r="AR1169" s="16">
        <v>39.799999999999997</v>
      </c>
      <c r="AS1169" s="16">
        <v>7.7</v>
      </c>
      <c r="AT1169" s="16">
        <v>52.5</v>
      </c>
      <c r="AU1169" s="2" t="s">
        <v>661</v>
      </c>
      <c r="AV1169" s="16">
        <f t="shared" si="659"/>
        <v>100</v>
      </c>
      <c r="AW1169" s="20">
        <v>2.23</v>
      </c>
      <c r="AX1169" s="8">
        <f t="shared" si="633"/>
        <v>2.23E-2</v>
      </c>
      <c r="AY1169" s="8" t="s">
        <v>184</v>
      </c>
      <c r="AZ1169" s="16">
        <v>100</v>
      </c>
      <c r="BA1169" s="16" t="s">
        <v>55</v>
      </c>
      <c r="BB1169" s="16">
        <v>5</v>
      </c>
      <c r="BC1169" s="16" t="s">
        <v>55</v>
      </c>
      <c r="BD1169" s="20">
        <v>6.06</v>
      </c>
      <c r="BE1169" s="16">
        <f t="shared" si="639"/>
        <v>271.74887892376677</v>
      </c>
      <c r="BF1169" s="16">
        <f t="shared" si="640"/>
        <v>2.4341677611181254</v>
      </c>
      <c r="BG1169" s="8">
        <f t="shared" si="641"/>
        <v>0.78247262416628616</v>
      </c>
      <c r="BH1169" s="13" t="s">
        <v>345</v>
      </c>
      <c r="BI1169" s="13"/>
      <c r="BJ1169" s="13"/>
      <c r="BK1169" s="13"/>
      <c r="BL1169" s="13"/>
      <c r="BM1169" s="17"/>
      <c r="BN1169" s="17"/>
      <c r="BO1169" s="2"/>
    </row>
    <row r="1170" spans="1:67" s="14" customFormat="1" x14ac:dyDescent="0.3">
      <c r="A1170" s="20">
        <v>1168</v>
      </c>
      <c r="B1170" s="2" t="s">
        <v>181</v>
      </c>
      <c r="C1170" s="2">
        <v>2020</v>
      </c>
      <c r="D1170" s="2" t="s">
        <v>203</v>
      </c>
      <c r="E1170" s="10" t="s">
        <v>787</v>
      </c>
      <c r="F1170" s="20" t="s">
        <v>29</v>
      </c>
      <c r="G1170" s="2" t="s">
        <v>60</v>
      </c>
      <c r="H1170" s="2" t="str">
        <f>'PFAS Properties'!$B$53</f>
        <v>8:2 FTS</v>
      </c>
      <c r="I1170" s="2" t="str">
        <f>'PFAS Properties'!$C$53</f>
        <v>FTS</v>
      </c>
      <c r="J1170" s="2" t="str">
        <f>'PFAS Properties'!$D$53</f>
        <v>C10H5F17O3S</v>
      </c>
      <c r="K1170" s="25">
        <f>'PFAS Properties'!$P$53</f>
        <v>527.96860000000004</v>
      </c>
      <c r="L1170" s="2">
        <f>'PFAS Properties'!$X$53</f>
        <v>0.4</v>
      </c>
      <c r="M1170" s="2" t="str">
        <f>'PFAS Properties'!$Y$53</f>
        <v>-</v>
      </c>
      <c r="N1170" s="33">
        <v>0</v>
      </c>
      <c r="O1170" s="33">
        <v>0</v>
      </c>
      <c r="P1170" s="33">
        <v>0</v>
      </c>
      <c r="Q1170" s="33">
        <f t="shared" si="647"/>
        <v>0.99999994988127916</v>
      </c>
      <c r="R1170" s="33">
        <v>0</v>
      </c>
      <c r="S1170" s="33">
        <f t="shared" si="648"/>
        <v>5.011872085084086E-8</v>
      </c>
      <c r="T1170" s="8">
        <f t="shared" si="652"/>
        <v>1</v>
      </c>
      <c r="U1170" s="33">
        <f t="shared" si="653"/>
        <v>0</v>
      </c>
      <c r="V1170" s="33">
        <f t="shared" si="654"/>
        <v>-0.99999994988127916</v>
      </c>
      <c r="W1170" s="33">
        <f t="shared" si="655"/>
        <v>526.96860005011877</v>
      </c>
      <c r="X1170" s="33">
        <v>96485</v>
      </c>
      <c r="Y1170" s="16">
        <f t="shared" si="656"/>
        <v>-183.09439149717602</v>
      </c>
      <c r="Z1170" s="16">
        <v>10</v>
      </c>
      <c r="AA1170" s="16">
        <v>17</v>
      </c>
      <c r="AB1170" s="8">
        <f t="shared" si="657"/>
        <v>0.37151702786377711</v>
      </c>
      <c r="AC1170" s="16">
        <f t="shared" si="650"/>
        <v>61.177880654266183</v>
      </c>
      <c r="AD1170" s="20">
        <f>'PFAS Properties'!$W$53</f>
        <v>8</v>
      </c>
      <c r="AE1170" s="8">
        <f>'PFAS Properties'!$S$53</f>
        <v>2.2600713879850747</v>
      </c>
      <c r="AF1170" s="2">
        <f>'PFAS Properties'!$V$53</f>
        <v>5.3</v>
      </c>
      <c r="AG1170" s="24">
        <v>7.7</v>
      </c>
      <c r="AH1170" s="2" t="s">
        <v>183</v>
      </c>
      <c r="AI1170" s="2" t="s">
        <v>661</v>
      </c>
      <c r="AJ1170" s="2" t="s">
        <v>661</v>
      </c>
      <c r="AK1170" s="2" t="s">
        <v>661</v>
      </c>
      <c r="AL1170" s="2" t="s">
        <v>661</v>
      </c>
      <c r="AM1170" s="2" t="s">
        <v>661</v>
      </c>
      <c r="AN1170" s="2" t="s">
        <v>661</v>
      </c>
      <c r="AO1170" s="2" t="s">
        <v>661</v>
      </c>
      <c r="AP1170" s="15">
        <v>21.63</v>
      </c>
      <c r="AQ1170" s="2" t="s">
        <v>661</v>
      </c>
      <c r="AR1170" s="16">
        <v>70</v>
      </c>
      <c r="AS1170" s="16">
        <v>11</v>
      </c>
      <c r="AT1170" s="16">
        <v>19</v>
      </c>
      <c r="AU1170" s="2" t="s">
        <v>661</v>
      </c>
      <c r="AV1170" s="16">
        <f t="shared" si="659"/>
        <v>100</v>
      </c>
      <c r="AW1170" s="20">
        <v>4.9000000000000004</v>
      </c>
      <c r="AX1170" s="8">
        <f t="shared" si="633"/>
        <v>4.9000000000000002E-2</v>
      </c>
      <c r="AY1170" s="8" t="s">
        <v>184</v>
      </c>
      <c r="AZ1170" s="16">
        <v>100</v>
      </c>
      <c r="BA1170" s="16" t="s">
        <v>55</v>
      </c>
      <c r="BB1170" s="16">
        <v>5</v>
      </c>
      <c r="BC1170" s="16" t="s">
        <v>55</v>
      </c>
      <c r="BD1170" s="20">
        <v>32.76</v>
      </c>
      <c r="BE1170" s="16">
        <f t="shared" si="639"/>
        <v>668.57142857142856</v>
      </c>
      <c r="BF1170" s="16">
        <f t="shared" si="640"/>
        <v>2.8251478130598673</v>
      </c>
      <c r="BG1170" s="8">
        <f t="shared" si="641"/>
        <v>1.5153438930883809</v>
      </c>
      <c r="BH1170" s="13" t="s">
        <v>345</v>
      </c>
      <c r="BI1170" s="13"/>
      <c r="BJ1170" s="13"/>
      <c r="BK1170" s="13"/>
      <c r="BL1170" s="13"/>
      <c r="BM1170" s="17"/>
      <c r="BN1170" s="17"/>
      <c r="BO1170" s="2"/>
    </row>
    <row r="1171" spans="1:67" s="14" customFormat="1" x14ac:dyDescent="0.3">
      <c r="A1171" s="20">
        <v>1169</v>
      </c>
      <c r="B1171" s="2" t="s">
        <v>181</v>
      </c>
      <c r="C1171" s="2">
        <v>2020</v>
      </c>
      <c r="D1171" s="2" t="s">
        <v>203</v>
      </c>
      <c r="E1171" s="10" t="s">
        <v>787</v>
      </c>
      <c r="F1171" s="20" t="s">
        <v>29</v>
      </c>
      <c r="G1171" s="2" t="s">
        <v>77</v>
      </c>
      <c r="H1171" s="2" t="str">
        <f>'PFAS Properties'!$B$53</f>
        <v>8:2 FTS</v>
      </c>
      <c r="I1171" s="2" t="str">
        <f>'PFAS Properties'!$C$53</f>
        <v>FTS</v>
      </c>
      <c r="J1171" s="2" t="str">
        <f>'PFAS Properties'!$D$53</f>
        <v>C10H5F17O3S</v>
      </c>
      <c r="K1171" s="25">
        <f>'PFAS Properties'!$P$53</f>
        <v>527.96860000000004</v>
      </c>
      <c r="L1171" s="2">
        <f>'PFAS Properties'!$X$53</f>
        <v>0.4</v>
      </c>
      <c r="M1171" s="2" t="str">
        <f>'PFAS Properties'!$Y$53</f>
        <v>-</v>
      </c>
      <c r="N1171" s="33">
        <v>0</v>
      </c>
      <c r="O1171" s="33">
        <v>0</v>
      </c>
      <c r="P1171" s="33">
        <v>0</v>
      </c>
      <c r="Q1171" s="33">
        <f t="shared" si="647"/>
        <v>0.99999994988127916</v>
      </c>
      <c r="R1171" s="33">
        <v>0</v>
      </c>
      <c r="S1171" s="33">
        <f t="shared" si="648"/>
        <v>5.011872085084086E-8</v>
      </c>
      <c r="T1171" s="8">
        <f t="shared" si="652"/>
        <v>1</v>
      </c>
      <c r="U1171" s="33">
        <f t="shared" si="653"/>
        <v>0</v>
      </c>
      <c r="V1171" s="33">
        <f t="shared" si="654"/>
        <v>-0.99999994988127916</v>
      </c>
      <c r="W1171" s="33">
        <f t="shared" si="655"/>
        <v>526.96860005011877</v>
      </c>
      <c r="X1171" s="33">
        <v>96485</v>
      </c>
      <c r="Y1171" s="16">
        <f t="shared" si="656"/>
        <v>-183.09439149717602</v>
      </c>
      <c r="Z1171" s="16">
        <v>10</v>
      </c>
      <c r="AA1171" s="16">
        <v>17</v>
      </c>
      <c r="AB1171" s="8">
        <f t="shared" si="657"/>
        <v>0.37151702786377711</v>
      </c>
      <c r="AC1171" s="16">
        <f t="shared" si="650"/>
        <v>61.177880654266183</v>
      </c>
      <c r="AD1171" s="20">
        <f>'PFAS Properties'!$W$53</f>
        <v>8</v>
      </c>
      <c r="AE1171" s="8">
        <f>'PFAS Properties'!$S$53</f>
        <v>2.2600713879850747</v>
      </c>
      <c r="AF1171" s="2">
        <f>'PFAS Properties'!$V$53</f>
        <v>5.3</v>
      </c>
      <c r="AG1171" s="24">
        <v>7.7</v>
      </c>
      <c r="AH1171" s="2" t="s">
        <v>183</v>
      </c>
      <c r="AI1171" s="2" t="s">
        <v>661</v>
      </c>
      <c r="AJ1171" s="2" t="s">
        <v>661</v>
      </c>
      <c r="AK1171" s="2" t="s">
        <v>661</v>
      </c>
      <c r="AL1171" s="2" t="s">
        <v>661</v>
      </c>
      <c r="AM1171" s="2" t="s">
        <v>661</v>
      </c>
      <c r="AN1171" s="2" t="s">
        <v>661</v>
      </c>
      <c r="AO1171" s="2" t="s">
        <v>661</v>
      </c>
      <c r="AP1171" s="15">
        <v>7.8</v>
      </c>
      <c r="AQ1171" s="2" t="s">
        <v>661</v>
      </c>
      <c r="AR1171" s="16">
        <v>48.9</v>
      </c>
      <c r="AS1171" s="16">
        <v>32.6</v>
      </c>
      <c r="AT1171" s="16">
        <v>18.5</v>
      </c>
      <c r="AU1171" s="2" t="s">
        <v>661</v>
      </c>
      <c r="AV1171" s="16">
        <f t="shared" si="659"/>
        <v>100</v>
      </c>
      <c r="AW1171" s="20">
        <v>0.13</v>
      </c>
      <c r="AX1171" s="8">
        <f t="shared" si="633"/>
        <v>1.2999999999999999E-3</v>
      </c>
      <c r="AY1171" s="8" t="s">
        <v>184</v>
      </c>
      <c r="AZ1171" s="16">
        <v>100</v>
      </c>
      <c r="BA1171" s="16" t="s">
        <v>55</v>
      </c>
      <c r="BB1171" s="16">
        <v>5</v>
      </c>
      <c r="BC1171" s="16" t="s">
        <v>55</v>
      </c>
      <c r="BD1171" s="20">
        <v>7.26</v>
      </c>
      <c r="BE1171" s="16">
        <f t="shared" si="639"/>
        <v>5584.6153846153848</v>
      </c>
      <c r="BF1171" s="16">
        <f t="shared" si="640"/>
        <v>3.7469932683932567</v>
      </c>
      <c r="BG1171" s="8">
        <f t="shared" si="641"/>
        <v>0.86093662070009369</v>
      </c>
      <c r="BH1171" s="13" t="s">
        <v>345</v>
      </c>
      <c r="BI1171" s="13"/>
      <c r="BJ1171" s="13"/>
      <c r="BK1171" s="13"/>
      <c r="BL1171" s="13"/>
      <c r="BM1171" s="17"/>
      <c r="BN1171" s="17"/>
      <c r="BO1171" s="2"/>
    </row>
    <row r="1172" spans="1:67" s="14" customFormat="1" x14ac:dyDescent="0.3">
      <c r="A1172" s="20">
        <v>1170</v>
      </c>
      <c r="B1172" s="2" t="s">
        <v>181</v>
      </c>
      <c r="C1172" s="2">
        <v>2020</v>
      </c>
      <c r="D1172" s="2" t="s">
        <v>203</v>
      </c>
      <c r="E1172" s="10" t="s">
        <v>787</v>
      </c>
      <c r="F1172" s="20" t="s">
        <v>29</v>
      </c>
      <c r="G1172" s="2" t="s">
        <v>182</v>
      </c>
      <c r="H1172" s="2" t="str">
        <f>'PFAS Properties'!$B$53</f>
        <v>8:2 FTS</v>
      </c>
      <c r="I1172" s="2" t="str">
        <f>'PFAS Properties'!$C$53</f>
        <v>FTS</v>
      </c>
      <c r="J1172" s="2" t="str">
        <f>'PFAS Properties'!$D$53</f>
        <v>C10H5F17O3S</v>
      </c>
      <c r="K1172" s="25">
        <f>'PFAS Properties'!$P$53</f>
        <v>527.96860000000004</v>
      </c>
      <c r="L1172" s="2">
        <f>'PFAS Properties'!$X$53</f>
        <v>0.4</v>
      </c>
      <c r="M1172" s="2" t="str">
        <f>'PFAS Properties'!$Y$53</f>
        <v>-</v>
      </c>
      <c r="N1172" s="33">
        <v>0</v>
      </c>
      <c r="O1172" s="33">
        <v>0</v>
      </c>
      <c r="P1172" s="33">
        <v>0</v>
      </c>
      <c r="Q1172" s="33">
        <f t="shared" si="647"/>
        <v>0.99999992056718279</v>
      </c>
      <c r="R1172" s="33">
        <v>0</v>
      </c>
      <c r="S1172" s="33">
        <f t="shared" si="648"/>
        <v>7.9432817162855232E-8</v>
      </c>
      <c r="T1172" s="8">
        <f t="shared" si="652"/>
        <v>1</v>
      </c>
      <c r="U1172" s="33">
        <f t="shared" si="653"/>
        <v>0</v>
      </c>
      <c r="V1172" s="33">
        <f t="shared" si="654"/>
        <v>-0.99999992056718279</v>
      </c>
      <c r="W1172" s="33">
        <f t="shared" si="655"/>
        <v>526.9686000794328</v>
      </c>
      <c r="X1172" s="33">
        <v>96485</v>
      </c>
      <c r="Y1172" s="16">
        <f t="shared" si="656"/>
        <v>-183.094386119744</v>
      </c>
      <c r="Z1172" s="16">
        <v>10</v>
      </c>
      <c r="AA1172" s="16">
        <v>17</v>
      </c>
      <c r="AB1172" s="8">
        <f t="shared" si="657"/>
        <v>0.37151702786377711</v>
      </c>
      <c r="AC1172" s="16">
        <f t="shared" si="650"/>
        <v>61.177880654266183</v>
      </c>
      <c r="AD1172" s="20">
        <f>'PFAS Properties'!$W$53</f>
        <v>8</v>
      </c>
      <c r="AE1172" s="8">
        <f>'PFAS Properties'!$S$53</f>
        <v>2.2600713879850747</v>
      </c>
      <c r="AF1172" s="2">
        <f>'PFAS Properties'!$V$53</f>
        <v>5.3</v>
      </c>
      <c r="AG1172" s="24">
        <v>7.5</v>
      </c>
      <c r="AH1172" s="2" t="s">
        <v>183</v>
      </c>
      <c r="AI1172" s="2" t="s">
        <v>661</v>
      </c>
      <c r="AJ1172" s="2" t="s">
        <v>661</v>
      </c>
      <c r="AK1172" s="2" t="s">
        <v>661</v>
      </c>
      <c r="AL1172" s="2" t="s">
        <v>661</v>
      </c>
      <c r="AM1172" s="2" t="s">
        <v>661</v>
      </c>
      <c r="AN1172" s="2" t="s">
        <v>661</v>
      </c>
      <c r="AO1172" s="2" t="s">
        <v>661</v>
      </c>
      <c r="AP1172" s="15">
        <v>2.2799999999999998</v>
      </c>
      <c r="AQ1172" s="2" t="s">
        <v>661</v>
      </c>
      <c r="AR1172" s="16">
        <v>93</v>
      </c>
      <c r="AS1172" s="16">
        <v>1</v>
      </c>
      <c r="AT1172" s="16">
        <v>5</v>
      </c>
      <c r="AU1172" s="2" t="s">
        <v>661</v>
      </c>
      <c r="AV1172" s="16">
        <f t="shared" si="659"/>
        <v>99</v>
      </c>
      <c r="AW1172" s="20">
        <v>0.4</v>
      </c>
      <c r="AX1172" s="8">
        <f t="shared" si="633"/>
        <v>4.0000000000000001E-3</v>
      </c>
      <c r="AY1172" s="8" t="s">
        <v>184</v>
      </c>
      <c r="AZ1172" s="16">
        <v>100</v>
      </c>
      <c r="BA1172" s="16" t="s">
        <v>55</v>
      </c>
      <c r="BB1172" s="16">
        <v>5</v>
      </c>
      <c r="BC1172" s="16" t="s">
        <v>55</v>
      </c>
      <c r="BD1172" s="20">
        <v>2.61</v>
      </c>
      <c r="BE1172" s="16">
        <f t="shared" si="639"/>
        <v>652.5</v>
      </c>
      <c r="BF1172" s="16">
        <f t="shared" si="640"/>
        <v>2.8145805160103188</v>
      </c>
      <c r="BG1172" s="8">
        <f t="shared" si="641"/>
        <v>0.41664050733828095</v>
      </c>
      <c r="BH1172" s="13" t="s">
        <v>345</v>
      </c>
      <c r="BI1172" s="13"/>
      <c r="BJ1172" s="13"/>
      <c r="BK1172" s="13"/>
      <c r="BL1172" s="13"/>
      <c r="BM1172" s="17"/>
      <c r="BN1172" s="17"/>
      <c r="BO1172" s="2"/>
    </row>
    <row r="1173" spans="1:67" s="14" customFormat="1" x14ac:dyDescent="0.3">
      <c r="A1173" s="20">
        <v>1171</v>
      </c>
      <c r="B1173" s="2" t="s">
        <v>181</v>
      </c>
      <c r="C1173" s="2">
        <v>2020</v>
      </c>
      <c r="D1173" s="2" t="s">
        <v>203</v>
      </c>
      <c r="E1173" s="10" t="s">
        <v>787</v>
      </c>
      <c r="F1173" s="20" t="s">
        <v>29</v>
      </c>
      <c r="G1173" s="2" t="s">
        <v>78</v>
      </c>
      <c r="H1173" s="2" t="str">
        <f>'PFAS Properties'!$B$53</f>
        <v>8:2 FTS</v>
      </c>
      <c r="I1173" s="2" t="str">
        <f>'PFAS Properties'!$C$53</f>
        <v>FTS</v>
      </c>
      <c r="J1173" s="2" t="str">
        <f>'PFAS Properties'!$D$53</f>
        <v>C10H5F17O3S</v>
      </c>
      <c r="K1173" s="25">
        <f>'PFAS Properties'!$P$53</f>
        <v>527.96860000000004</v>
      </c>
      <c r="L1173" s="2">
        <f>'PFAS Properties'!$X$53</f>
        <v>0.4</v>
      </c>
      <c r="M1173" s="2" t="str">
        <f>'PFAS Properties'!$Y$53</f>
        <v>-</v>
      </c>
      <c r="N1173" s="33">
        <v>0</v>
      </c>
      <c r="O1173" s="33">
        <v>0</v>
      </c>
      <c r="P1173" s="33">
        <v>0</v>
      </c>
      <c r="Q1173" s="33">
        <f t="shared" si="647"/>
        <v>0.99999980047380832</v>
      </c>
      <c r="R1173" s="33">
        <v>0</v>
      </c>
      <c r="S1173" s="33">
        <f t="shared" si="648"/>
        <v>1.9952619168617889E-7</v>
      </c>
      <c r="T1173" s="8">
        <f t="shared" si="652"/>
        <v>1</v>
      </c>
      <c r="U1173" s="33">
        <f t="shared" si="653"/>
        <v>0</v>
      </c>
      <c r="V1173" s="33">
        <f t="shared" si="654"/>
        <v>-0.99999980047380832</v>
      </c>
      <c r="W1173" s="33">
        <f t="shared" si="655"/>
        <v>526.96860019952624</v>
      </c>
      <c r="X1173" s="33">
        <v>96485</v>
      </c>
      <c r="Y1173" s="16">
        <f t="shared" si="656"/>
        <v>-183.09436408959331</v>
      </c>
      <c r="Z1173" s="16">
        <v>10</v>
      </c>
      <c r="AA1173" s="16">
        <v>17</v>
      </c>
      <c r="AB1173" s="8">
        <f t="shared" si="657"/>
        <v>0.37151702786377711</v>
      </c>
      <c r="AC1173" s="16">
        <f t="shared" si="650"/>
        <v>61.177880654266183</v>
      </c>
      <c r="AD1173" s="20">
        <f>'PFAS Properties'!$W$53</f>
        <v>8</v>
      </c>
      <c r="AE1173" s="8">
        <f>'PFAS Properties'!$S$53</f>
        <v>2.2600713879850747</v>
      </c>
      <c r="AF1173" s="2">
        <f>'PFAS Properties'!$V$53</f>
        <v>5.3</v>
      </c>
      <c r="AG1173" s="24">
        <v>7.1</v>
      </c>
      <c r="AH1173" s="2" t="s">
        <v>183</v>
      </c>
      <c r="AI1173" s="2" t="s">
        <v>661</v>
      </c>
      <c r="AJ1173" s="2" t="s">
        <v>661</v>
      </c>
      <c r="AK1173" s="2" t="s">
        <v>661</v>
      </c>
      <c r="AL1173" s="2" t="s">
        <v>661</v>
      </c>
      <c r="AM1173" s="2" t="s">
        <v>661</v>
      </c>
      <c r="AN1173" s="2" t="s">
        <v>661</v>
      </c>
      <c r="AO1173" s="2" t="s">
        <v>661</v>
      </c>
      <c r="AP1173" s="15">
        <v>17.420000000000002</v>
      </c>
      <c r="AQ1173" s="2" t="s">
        <v>661</v>
      </c>
      <c r="AR1173" s="16">
        <v>48.86</v>
      </c>
      <c r="AS1173" s="16">
        <v>16.05</v>
      </c>
      <c r="AT1173" s="16">
        <v>35.090000000000003</v>
      </c>
      <c r="AU1173" s="2" t="s">
        <v>661</v>
      </c>
      <c r="AV1173" s="16">
        <f t="shared" si="659"/>
        <v>100</v>
      </c>
      <c r="AW1173" s="20">
        <v>1.19</v>
      </c>
      <c r="AX1173" s="8">
        <f t="shared" si="633"/>
        <v>1.1899999999999999E-2</v>
      </c>
      <c r="AY1173" s="8" t="s">
        <v>184</v>
      </c>
      <c r="AZ1173" s="16">
        <v>100</v>
      </c>
      <c r="BA1173" s="16" t="s">
        <v>55</v>
      </c>
      <c r="BB1173" s="16">
        <v>5</v>
      </c>
      <c r="BC1173" s="16" t="s">
        <v>55</v>
      </c>
      <c r="BD1173" s="20">
        <v>25.16</v>
      </c>
      <c r="BE1173" s="16">
        <f t="shared" si="639"/>
        <v>2114.2857142857147</v>
      </c>
      <c r="BF1173" s="16">
        <f t="shared" si="640"/>
        <v>3.3251636753807006</v>
      </c>
      <c r="BG1173" s="8">
        <f t="shared" si="641"/>
        <v>1.4007106367732314</v>
      </c>
      <c r="BH1173" s="13" t="s">
        <v>345</v>
      </c>
      <c r="BI1173" s="13"/>
      <c r="BJ1173" s="13"/>
      <c r="BK1173" s="13"/>
      <c r="BL1173" s="13"/>
      <c r="BM1173" s="17"/>
      <c r="BN1173" s="17"/>
      <c r="BO1173" s="2"/>
    </row>
    <row r="1174" spans="1:67" s="14" customFormat="1" x14ac:dyDescent="0.3">
      <c r="A1174" s="20">
        <v>1172</v>
      </c>
      <c r="B1174" s="2" t="s">
        <v>181</v>
      </c>
      <c r="C1174" s="2">
        <v>2020</v>
      </c>
      <c r="D1174" s="2" t="s">
        <v>203</v>
      </c>
      <c r="E1174" s="10" t="s">
        <v>787</v>
      </c>
      <c r="F1174" s="20" t="s">
        <v>29</v>
      </c>
      <c r="G1174" s="2" t="s">
        <v>98</v>
      </c>
      <c r="H1174" s="2" t="str">
        <f>'PFAS Properties'!$B$53</f>
        <v>8:2 FTS</v>
      </c>
      <c r="I1174" s="2" t="str">
        <f>'PFAS Properties'!$C$53</f>
        <v>FTS</v>
      </c>
      <c r="J1174" s="2" t="str">
        <f>'PFAS Properties'!$D$53</f>
        <v>C10H5F17O3S</v>
      </c>
      <c r="K1174" s="25">
        <f>'PFAS Properties'!$P$53</f>
        <v>527.96860000000004</v>
      </c>
      <c r="L1174" s="2">
        <f>'PFAS Properties'!$X$53</f>
        <v>0.4</v>
      </c>
      <c r="M1174" s="2" t="str">
        <f>'PFAS Properties'!$Y$53</f>
        <v>-</v>
      </c>
      <c r="N1174" s="33">
        <v>0</v>
      </c>
      <c r="O1174" s="33">
        <v>0</v>
      </c>
      <c r="P1174" s="33">
        <v>0</v>
      </c>
      <c r="Q1174" s="33">
        <f t="shared" si="647"/>
        <v>0.99999900000099995</v>
      </c>
      <c r="R1174" s="33">
        <v>0</v>
      </c>
      <c r="S1174" s="33">
        <f t="shared" si="648"/>
        <v>9.9999900000100006E-7</v>
      </c>
      <c r="T1174" s="8">
        <f t="shared" si="652"/>
        <v>1</v>
      </c>
      <c r="U1174" s="33">
        <f t="shared" si="653"/>
        <v>0</v>
      </c>
      <c r="V1174" s="33">
        <f t="shared" si="654"/>
        <v>-0.99999900000099995</v>
      </c>
      <c r="W1174" s="33">
        <f t="shared" si="655"/>
        <v>526.96860099999901</v>
      </c>
      <c r="X1174" s="33">
        <v>96485</v>
      </c>
      <c r="Y1174" s="16">
        <f t="shared" si="656"/>
        <v>-183.09421724938156</v>
      </c>
      <c r="Z1174" s="16">
        <v>10</v>
      </c>
      <c r="AA1174" s="16">
        <v>17</v>
      </c>
      <c r="AB1174" s="8">
        <f t="shared" si="657"/>
        <v>0.37151702786377711</v>
      </c>
      <c r="AC1174" s="16">
        <f t="shared" si="650"/>
        <v>61.177880654266183</v>
      </c>
      <c r="AD1174" s="20">
        <f>'PFAS Properties'!$W$53</f>
        <v>8</v>
      </c>
      <c r="AE1174" s="8">
        <f>'PFAS Properties'!$S$53</f>
        <v>2.2600713879850747</v>
      </c>
      <c r="AF1174" s="2">
        <f>'PFAS Properties'!$V$53</f>
        <v>5.3</v>
      </c>
      <c r="AG1174" s="24">
        <v>6.4</v>
      </c>
      <c r="AH1174" s="2" t="s">
        <v>183</v>
      </c>
      <c r="AI1174" s="2" t="s">
        <v>661</v>
      </c>
      <c r="AJ1174" s="15" t="s">
        <v>661</v>
      </c>
      <c r="AK1174" s="8" t="s">
        <v>661</v>
      </c>
      <c r="AL1174" s="2" t="s">
        <v>661</v>
      </c>
      <c r="AM1174" s="15" t="s">
        <v>661</v>
      </c>
      <c r="AN1174" s="8" t="s">
        <v>661</v>
      </c>
      <c r="AO1174" s="15" t="s">
        <v>661</v>
      </c>
      <c r="AP1174" s="15">
        <v>16.54</v>
      </c>
      <c r="AQ1174" s="13" t="s">
        <v>661</v>
      </c>
      <c r="AR1174" s="16">
        <v>29.38</v>
      </c>
      <c r="AS1174" s="16">
        <v>13.9</v>
      </c>
      <c r="AT1174" s="16">
        <v>56.71</v>
      </c>
      <c r="AU1174" s="15" t="s">
        <v>661</v>
      </c>
      <c r="AV1174" s="16">
        <f t="shared" si="659"/>
        <v>99.990000000000009</v>
      </c>
      <c r="AW1174" s="20">
        <v>0.17</v>
      </c>
      <c r="AX1174" s="8">
        <f t="shared" si="633"/>
        <v>1.7000000000000001E-3</v>
      </c>
      <c r="AY1174" s="8" t="s">
        <v>184</v>
      </c>
      <c r="AZ1174" s="16">
        <v>100</v>
      </c>
      <c r="BA1174" s="16" t="s">
        <v>55</v>
      </c>
      <c r="BB1174" s="16">
        <v>5</v>
      </c>
      <c r="BC1174" s="16" t="s">
        <v>55</v>
      </c>
      <c r="BD1174" s="20">
        <v>16.27</v>
      </c>
      <c r="BE1174" s="16">
        <f t="shared" si="639"/>
        <v>9570.5882352941171</v>
      </c>
      <c r="BF1174" s="16">
        <f t="shared" si="640"/>
        <v>3.9809386315585846</v>
      </c>
      <c r="BG1174" s="8">
        <f t="shared" si="641"/>
        <v>1.2113875529368587</v>
      </c>
      <c r="BH1174" s="13" t="s">
        <v>345</v>
      </c>
      <c r="BI1174" s="13"/>
      <c r="BJ1174" s="13"/>
      <c r="BK1174" s="13"/>
      <c r="BL1174" s="13"/>
      <c r="BM1174" s="17"/>
      <c r="BN1174" s="17"/>
      <c r="BO1174" s="2"/>
    </row>
    <row r="1175" spans="1:67" s="14" customFormat="1" x14ac:dyDescent="0.3">
      <c r="A1175" s="20">
        <v>1173</v>
      </c>
      <c r="B1175" s="2" t="s">
        <v>181</v>
      </c>
      <c r="C1175" s="2">
        <v>2020</v>
      </c>
      <c r="D1175" s="2" t="s">
        <v>203</v>
      </c>
      <c r="E1175" s="10" t="s">
        <v>787</v>
      </c>
      <c r="F1175" s="20" t="s">
        <v>29</v>
      </c>
      <c r="G1175" s="2" t="s">
        <v>62</v>
      </c>
      <c r="H1175" s="2" t="str">
        <f>'PFAS Properties'!$B$54</f>
        <v>FBSA</v>
      </c>
      <c r="I1175" s="2" t="str">
        <f>'PFAS Properties'!$C$54</f>
        <v>FOSA</v>
      </c>
      <c r="J1175" s="2" t="str">
        <f>'PFAS Properties'!$D$54</f>
        <v>C4H2F9NO2S</v>
      </c>
      <c r="K1175" s="25">
        <f>'PFAS Properties'!$P$54</f>
        <v>298.96620000000001</v>
      </c>
      <c r="L1175" s="2">
        <f>'PFAS Properties'!$X$54</f>
        <v>6.2</v>
      </c>
      <c r="M1175" s="2" t="str">
        <f>'PFAS Properties'!$Y$54</f>
        <v>-</v>
      </c>
      <c r="N1175" s="33">
        <v>0</v>
      </c>
      <c r="O1175" s="33">
        <v>0</v>
      </c>
      <c r="P1175" s="33">
        <v>0</v>
      </c>
      <c r="Q1175" s="33">
        <f t="shared" ref="Q1175" si="660">(10^(AG1175-L1175))/(1+(10^(AG1175-L1175)))</f>
        <v>0.95227327896579606</v>
      </c>
      <c r="R1175" s="33">
        <v>0</v>
      </c>
      <c r="S1175" s="33">
        <f t="shared" ref="S1175" si="661">(1/(1+(10^(AG1175-L1175))))</f>
        <v>4.7726721034203903E-2</v>
      </c>
      <c r="T1175" s="8">
        <f t="shared" ref="T1175:T1206" si="662">SUM(N1175:S1175)</f>
        <v>1</v>
      </c>
      <c r="U1175" s="33">
        <f t="shared" ref="U1175:U1184" si="663">((1*N1175)+(1*O1175)+(1*P1175))</f>
        <v>0</v>
      </c>
      <c r="V1175" s="33">
        <f t="shared" ref="V1175:V1184" si="664">-((1*O1175)+(2*P1175)+(1*Q1175)+(2*R1175))</f>
        <v>-0.95227327896579606</v>
      </c>
      <c r="W1175" s="33">
        <f t="shared" ref="W1175:W1184" si="665">(N1175*(K1175+1))+(O1175*K1175)+(P1175*(K1175-1))+(Q1175*(K1175-1))+(R1175*(K1175-2))+(S1175*K1175)</f>
        <v>298.01392672103418</v>
      </c>
      <c r="X1175" s="33">
        <v>96485</v>
      </c>
      <c r="Y1175" s="16">
        <f t="shared" ref="Y1175:Y1184" si="666">((V1175+U1175)/W1175)*X1175</f>
        <v>-308.30803221831383</v>
      </c>
      <c r="Z1175" s="16">
        <v>4</v>
      </c>
      <c r="AA1175" s="16">
        <v>9</v>
      </c>
      <c r="AB1175" s="8">
        <f t="shared" ref="AB1175:AB1184" si="667">(Z1175/AA1175)*(12/19)</f>
        <v>0.2807017543859649</v>
      </c>
      <c r="AC1175" s="16">
        <f t="shared" ref="AC1175:AC1196" si="668">((AA1175*19)/K1175)*100</f>
        <v>57.197101210772317</v>
      </c>
      <c r="AD1175" s="20">
        <f>'PFAS Properties'!$W$54</f>
        <v>4</v>
      </c>
      <c r="AE1175" s="8">
        <f>'PFAS Properties'!$S$54</f>
        <v>4.4252080511386565</v>
      </c>
      <c r="AF1175" s="2">
        <f>'PFAS Properties'!$V$54</f>
        <v>2.2000000000000002</v>
      </c>
      <c r="AG1175" s="24">
        <v>7.5</v>
      </c>
      <c r="AH1175" s="2" t="s">
        <v>183</v>
      </c>
      <c r="AI1175" s="2" t="s">
        <v>661</v>
      </c>
      <c r="AJ1175" s="2" t="s">
        <v>661</v>
      </c>
      <c r="AK1175" s="2" t="s">
        <v>661</v>
      </c>
      <c r="AL1175" s="2" t="s">
        <v>661</v>
      </c>
      <c r="AM1175" s="2" t="s">
        <v>661</v>
      </c>
      <c r="AN1175" s="2" t="s">
        <v>661</v>
      </c>
      <c r="AO1175" s="2" t="s">
        <v>661</v>
      </c>
      <c r="AP1175" s="15">
        <v>41.4</v>
      </c>
      <c r="AQ1175" s="2" t="s">
        <v>661</v>
      </c>
      <c r="AR1175" s="16">
        <v>16.899999999999999</v>
      </c>
      <c r="AS1175" s="16">
        <v>17.5</v>
      </c>
      <c r="AT1175" s="16">
        <v>65.599999999999994</v>
      </c>
      <c r="AU1175" s="2" t="s">
        <v>661</v>
      </c>
      <c r="AV1175" s="16">
        <f t="shared" ref="AV1175:AV1198" si="669">SUM(AR1175:AT1175)</f>
        <v>100</v>
      </c>
      <c r="AW1175" s="20">
        <v>0.7</v>
      </c>
      <c r="AX1175" s="8">
        <f t="shared" ref="AX1175:AX1205" si="670">AW1175/100</f>
        <v>6.9999999999999993E-3</v>
      </c>
      <c r="AY1175" s="13" t="s">
        <v>184</v>
      </c>
      <c r="AZ1175" s="16">
        <v>100</v>
      </c>
      <c r="BA1175" s="16" t="s">
        <v>55</v>
      </c>
      <c r="BB1175" s="16">
        <v>5</v>
      </c>
      <c r="BC1175" s="16" t="s">
        <v>55</v>
      </c>
      <c r="BD1175" s="18">
        <v>0.31</v>
      </c>
      <c r="BE1175" s="16">
        <f t="shared" ref="BE1175:BE1215" si="671">BD1175/AX1175</f>
        <v>44.285714285714292</v>
      </c>
      <c r="BF1175" s="16">
        <f t="shared" ref="BF1175:BF1215" si="672">LOG(BE1175)</f>
        <v>1.6462636538200159</v>
      </c>
      <c r="BG1175" s="8">
        <f t="shared" ref="BG1175:BG1201" si="673">LOG(BD1175)</f>
        <v>-0.50863830616572736</v>
      </c>
      <c r="BH1175" s="13" t="s">
        <v>345</v>
      </c>
      <c r="BI1175" s="13"/>
      <c r="BJ1175" s="13"/>
      <c r="BK1175" s="13"/>
      <c r="BL1175" s="13"/>
      <c r="BM1175" s="17"/>
      <c r="BN1175" s="17"/>
      <c r="BO1175" s="2"/>
    </row>
    <row r="1176" spans="1:67" s="14" customFormat="1" x14ac:dyDescent="0.3">
      <c r="A1176" s="20">
        <v>1174</v>
      </c>
      <c r="B1176" s="2" t="s">
        <v>181</v>
      </c>
      <c r="C1176" s="2">
        <v>2020</v>
      </c>
      <c r="D1176" s="2" t="s">
        <v>203</v>
      </c>
      <c r="E1176" s="10" t="s">
        <v>787</v>
      </c>
      <c r="F1176" s="20" t="s">
        <v>29</v>
      </c>
      <c r="G1176" s="2" t="s">
        <v>57</v>
      </c>
      <c r="H1176" s="2" t="str">
        <f>'PFAS Properties'!$B$54</f>
        <v>FBSA</v>
      </c>
      <c r="I1176" s="2" t="str">
        <f>'PFAS Properties'!$C$54</f>
        <v>FOSA</v>
      </c>
      <c r="J1176" s="2" t="str">
        <f>'PFAS Properties'!$D$54</f>
        <v>C4H2F9NO2S</v>
      </c>
      <c r="K1176" s="25">
        <f>'PFAS Properties'!$P$54</f>
        <v>298.96620000000001</v>
      </c>
      <c r="L1176" s="2">
        <f>'PFAS Properties'!$X$54</f>
        <v>6.2</v>
      </c>
      <c r="M1176" s="2" t="str">
        <f>'PFAS Properties'!$Y$54</f>
        <v>-</v>
      </c>
      <c r="N1176" s="33">
        <v>0</v>
      </c>
      <c r="O1176" s="33">
        <v>0</v>
      </c>
      <c r="P1176" s="33">
        <v>0</v>
      </c>
      <c r="Q1176" s="33">
        <f t="shared" ref="Q1176:Q1207" si="674">(10^(AG1176-L1176))/(1+(10^(AG1176-L1176)))</f>
        <v>0.79923999108689814</v>
      </c>
      <c r="R1176" s="33">
        <v>0</v>
      </c>
      <c r="S1176" s="33">
        <f t="shared" ref="S1176:S1207" si="675">(1/(1+(10^(AG1176-L1176))))</f>
        <v>0.20076000891310183</v>
      </c>
      <c r="T1176" s="8">
        <f t="shared" si="662"/>
        <v>1</v>
      </c>
      <c r="U1176" s="33">
        <f t="shared" si="663"/>
        <v>0</v>
      </c>
      <c r="V1176" s="33">
        <f t="shared" si="664"/>
        <v>-0.79923999108689814</v>
      </c>
      <c r="W1176" s="33">
        <f t="shared" si="665"/>
        <v>298.16696000891312</v>
      </c>
      <c r="X1176" s="33">
        <v>96485</v>
      </c>
      <c r="Y1176" s="16">
        <f t="shared" si="666"/>
        <v>-258.62916044659733</v>
      </c>
      <c r="Z1176" s="16">
        <v>4</v>
      </c>
      <c r="AA1176" s="16">
        <v>9</v>
      </c>
      <c r="AB1176" s="8">
        <f t="shared" si="667"/>
        <v>0.2807017543859649</v>
      </c>
      <c r="AC1176" s="16">
        <f t="shared" si="668"/>
        <v>57.197101210772317</v>
      </c>
      <c r="AD1176" s="20">
        <f>'PFAS Properties'!$W$54</f>
        <v>4</v>
      </c>
      <c r="AE1176" s="8">
        <f>'PFAS Properties'!$S$54</f>
        <v>4.4252080511386565</v>
      </c>
      <c r="AF1176" s="2">
        <f>'PFAS Properties'!$V$54</f>
        <v>2.2000000000000002</v>
      </c>
      <c r="AG1176" s="24">
        <v>6.8</v>
      </c>
      <c r="AH1176" s="2" t="s">
        <v>183</v>
      </c>
      <c r="AI1176" s="2" t="s">
        <v>661</v>
      </c>
      <c r="AJ1176" s="2" t="s">
        <v>661</v>
      </c>
      <c r="AK1176" s="2" t="s">
        <v>661</v>
      </c>
      <c r="AL1176" s="2" t="s">
        <v>661</v>
      </c>
      <c r="AM1176" s="2" t="s">
        <v>661</v>
      </c>
      <c r="AN1176" s="2" t="s">
        <v>661</v>
      </c>
      <c r="AO1176" s="2" t="s">
        <v>661</v>
      </c>
      <c r="AP1176" s="15">
        <v>7.1</v>
      </c>
      <c r="AQ1176" s="2" t="s">
        <v>661</v>
      </c>
      <c r="AR1176" s="16">
        <v>48.9</v>
      </c>
      <c r="AS1176" s="16">
        <v>27</v>
      </c>
      <c r="AT1176" s="16">
        <v>24.2</v>
      </c>
      <c r="AU1176" s="2" t="s">
        <v>661</v>
      </c>
      <c r="AV1176" s="16">
        <f t="shared" si="669"/>
        <v>100.10000000000001</v>
      </c>
      <c r="AW1176" s="20">
        <v>0.37</v>
      </c>
      <c r="AX1176" s="8">
        <f t="shared" si="670"/>
        <v>3.7000000000000002E-3</v>
      </c>
      <c r="AY1176" s="13" t="s">
        <v>184</v>
      </c>
      <c r="AZ1176" s="16">
        <v>100</v>
      </c>
      <c r="BA1176" s="16" t="s">
        <v>55</v>
      </c>
      <c r="BB1176" s="16">
        <v>5</v>
      </c>
      <c r="BC1176" s="16" t="s">
        <v>55</v>
      </c>
      <c r="BD1176" s="20">
        <v>0.32</v>
      </c>
      <c r="BE1176" s="16">
        <f t="shared" si="671"/>
        <v>86.486486486486484</v>
      </c>
      <c r="BF1176" s="16">
        <f t="shared" si="672"/>
        <v>1.9369482542529111</v>
      </c>
      <c r="BG1176" s="8">
        <f t="shared" si="673"/>
        <v>-0.49485002168009401</v>
      </c>
      <c r="BH1176" s="13" t="s">
        <v>345</v>
      </c>
      <c r="BI1176" s="13"/>
      <c r="BJ1176" s="13"/>
      <c r="BK1176" s="13"/>
      <c r="BL1176" s="13"/>
      <c r="BM1176" s="17"/>
      <c r="BN1176" s="17"/>
      <c r="BO1176" s="2"/>
    </row>
    <row r="1177" spans="1:67" s="14" customFormat="1" x14ac:dyDescent="0.3">
      <c r="A1177" s="20">
        <v>1175</v>
      </c>
      <c r="B1177" s="2" t="s">
        <v>181</v>
      </c>
      <c r="C1177" s="2">
        <v>2020</v>
      </c>
      <c r="D1177" s="2" t="s">
        <v>203</v>
      </c>
      <c r="E1177" s="10" t="s">
        <v>787</v>
      </c>
      <c r="F1177" s="20" t="s">
        <v>29</v>
      </c>
      <c r="G1177" s="2" t="s">
        <v>58</v>
      </c>
      <c r="H1177" s="2" t="str">
        <f>'PFAS Properties'!$B$54</f>
        <v>FBSA</v>
      </c>
      <c r="I1177" s="2" t="str">
        <f>'PFAS Properties'!$C$54</f>
        <v>FOSA</v>
      </c>
      <c r="J1177" s="2" t="str">
        <f>'PFAS Properties'!$D$54</f>
        <v>C4H2F9NO2S</v>
      </c>
      <c r="K1177" s="25">
        <f>'PFAS Properties'!$P$54</f>
        <v>298.96620000000001</v>
      </c>
      <c r="L1177" s="2">
        <f>'PFAS Properties'!$X$54</f>
        <v>6.2</v>
      </c>
      <c r="M1177" s="2" t="str">
        <f>'PFAS Properties'!$Y$54</f>
        <v>-</v>
      </c>
      <c r="N1177" s="33">
        <v>0</v>
      </c>
      <c r="O1177" s="33">
        <v>0</v>
      </c>
      <c r="P1177" s="33">
        <v>0</v>
      </c>
      <c r="Q1177" s="33">
        <f t="shared" si="674"/>
        <v>0.5</v>
      </c>
      <c r="R1177" s="33">
        <v>0</v>
      </c>
      <c r="S1177" s="33">
        <f t="shared" si="675"/>
        <v>0.5</v>
      </c>
      <c r="T1177" s="8">
        <f t="shared" si="662"/>
        <v>1</v>
      </c>
      <c r="U1177" s="33">
        <f t="shared" si="663"/>
        <v>0</v>
      </c>
      <c r="V1177" s="33">
        <f t="shared" si="664"/>
        <v>-0.5</v>
      </c>
      <c r="W1177" s="33">
        <f t="shared" si="665"/>
        <v>298.46620000000001</v>
      </c>
      <c r="X1177" s="33">
        <v>96485</v>
      </c>
      <c r="Y1177" s="16">
        <f t="shared" si="666"/>
        <v>-161.63471776703693</v>
      </c>
      <c r="Z1177" s="16">
        <v>4</v>
      </c>
      <c r="AA1177" s="16">
        <v>9</v>
      </c>
      <c r="AB1177" s="8">
        <f t="shared" si="667"/>
        <v>0.2807017543859649</v>
      </c>
      <c r="AC1177" s="16">
        <f t="shared" si="668"/>
        <v>57.197101210772317</v>
      </c>
      <c r="AD1177" s="20">
        <f>'PFAS Properties'!$W$54</f>
        <v>4</v>
      </c>
      <c r="AE1177" s="8">
        <f>'PFAS Properties'!$S$54</f>
        <v>4.4252080511386565</v>
      </c>
      <c r="AF1177" s="2">
        <f>'PFAS Properties'!$V$54</f>
        <v>2.2000000000000002</v>
      </c>
      <c r="AG1177" s="24">
        <v>6.2</v>
      </c>
      <c r="AH1177" s="2" t="s">
        <v>183</v>
      </c>
      <c r="AI1177" s="2" t="s">
        <v>661</v>
      </c>
      <c r="AJ1177" s="2" t="s">
        <v>661</v>
      </c>
      <c r="AK1177" s="2" t="s">
        <v>661</v>
      </c>
      <c r="AL1177" s="2" t="s">
        <v>661</v>
      </c>
      <c r="AM1177" s="2" t="s">
        <v>661</v>
      </c>
      <c r="AN1177" s="2" t="s">
        <v>661</v>
      </c>
      <c r="AO1177" s="2" t="s">
        <v>661</v>
      </c>
      <c r="AP1177" s="15">
        <v>8</v>
      </c>
      <c r="AQ1177" s="2" t="s">
        <v>661</v>
      </c>
      <c r="AR1177" s="16">
        <v>51.44</v>
      </c>
      <c r="AS1177" s="16">
        <v>10.17</v>
      </c>
      <c r="AT1177" s="16">
        <v>38.380000000000003</v>
      </c>
      <c r="AU1177" s="2" t="s">
        <v>661</v>
      </c>
      <c r="AV1177" s="16">
        <f t="shared" si="669"/>
        <v>99.990000000000009</v>
      </c>
      <c r="AW1177" s="20">
        <v>0.08</v>
      </c>
      <c r="AX1177" s="8">
        <f t="shared" si="670"/>
        <v>8.0000000000000004E-4</v>
      </c>
      <c r="AY1177" s="8" t="s">
        <v>184</v>
      </c>
      <c r="AZ1177" s="16">
        <v>100</v>
      </c>
      <c r="BA1177" s="16" t="s">
        <v>55</v>
      </c>
      <c r="BB1177" s="16">
        <v>5</v>
      </c>
      <c r="BC1177" s="16" t="s">
        <v>55</v>
      </c>
      <c r="BD1177" s="20">
        <v>0.27</v>
      </c>
      <c r="BE1177" s="16">
        <f t="shared" si="671"/>
        <v>337.5</v>
      </c>
      <c r="BF1177" s="16">
        <f t="shared" si="672"/>
        <v>2.5282737771670436</v>
      </c>
      <c r="BG1177" s="8">
        <f t="shared" si="673"/>
        <v>-0.56863623584101264</v>
      </c>
      <c r="BH1177" s="13" t="s">
        <v>345</v>
      </c>
      <c r="BI1177" s="13"/>
      <c r="BJ1177" s="13"/>
      <c r="BK1177" s="13"/>
      <c r="BL1177" s="13"/>
      <c r="BM1177" s="17"/>
      <c r="BN1177" s="17"/>
      <c r="BO1177" s="2"/>
    </row>
    <row r="1178" spans="1:67" s="14" customFormat="1" x14ac:dyDescent="0.3">
      <c r="A1178" s="20">
        <v>1176</v>
      </c>
      <c r="B1178" s="2" t="s">
        <v>181</v>
      </c>
      <c r="C1178" s="2">
        <v>2020</v>
      </c>
      <c r="D1178" s="2" t="s">
        <v>203</v>
      </c>
      <c r="E1178" s="10" t="s">
        <v>787</v>
      </c>
      <c r="F1178" s="20" t="s">
        <v>29</v>
      </c>
      <c r="G1178" s="2" t="s">
        <v>59</v>
      </c>
      <c r="H1178" s="2" t="str">
        <f>'PFAS Properties'!$B$54</f>
        <v>FBSA</v>
      </c>
      <c r="I1178" s="2" t="str">
        <f>'PFAS Properties'!$C$54</f>
        <v>FOSA</v>
      </c>
      <c r="J1178" s="2" t="str">
        <f>'PFAS Properties'!$D$54</f>
        <v>C4H2F9NO2S</v>
      </c>
      <c r="K1178" s="25">
        <f>'PFAS Properties'!$P$54</f>
        <v>298.96620000000001</v>
      </c>
      <c r="L1178" s="2">
        <f>'PFAS Properties'!$X$54</f>
        <v>6.2</v>
      </c>
      <c r="M1178" s="2" t="str">
        <f>'PFAS Properties'!$Y$54</f>
        <v>-</v>
      </c>
      <c r="N1178" s="33">
        <v>0</v>
      </c>
      <c r="O1178" s="33">
        <v>0</v>
      </c>
      <c r="P1178" s="33">
        <v>0</v>
      </c>
      <c r="Q1178" s="33">
        <f t="shared" si="674"/>
        <v>0.9693465699682845</v>
      </c>
      <c r="R1178" s="33">
        <v>0</v>
      </c>
      <c r="S1178" s="33">
        <f t="shared" si="675"/>
        <v>3.0653430031715501E-2</v>
      </c>
      <c r="T1178" s="8">
        <f t="shared" si="662"/>
        <v>1</v>
      </c>
      <c r="U1178" s="33">
        <f t="shared" si="663"/>
        <v>0</v>
      </c>
      <c r="V1178" s="33">
        <f t="shared" si="664"/>
        <v>-0.9693465699682845</v>
      </c>
      <c r="W1178" s="33">
        <f t="shared" si="665"/>
        <v>297.99685343003171</v>
      </c>
      <c r="X1178" s="33">
        <v>96485</v>
      </c>
      <c r="Y1178" s="16">
        <f t="shared" si="666"/>
        <v>-313.8536623016717</v>
      </c>
      <c r="Z1178" s="16">
        <v>4</v>
      </c>
      <c r="AA1178" s="16">
        <v>9</v>
      </c>
      <c r="AB1178" s="8">
        <f t="shared" si="667"/>
        <v>0.2807017543859649</v>
      </c>
      <c r="AC1178" s="16">
        <f t="shared" si="668"/>
        <v>57.197101210772317</v>
      </c>
      <c r="AD1178" s="20">
        <f>'PFAS Properties'!$W$54</f>
        <v>4</v>
      </c>
      <c r="AE1178" s="8">
        <f>'PFAS Properties'!$S$54</f>
        <v>4.4252080511386565</v>
      </c>
      <c r="AF1178" s="2">
        <f>'PFAS Properties'!$V$54</f>
        <v>2.2000000000000002</v>
      </c>
      <c r="AG1178" s="24">
        <v>7.7</v>
      </c>
      <c r="AH1178" s="2" t="s">
        <v>183</v>
      </c>
      <c r="AI1178" s="2" t="s">
        <v>661</v>
      </c>
      <c r="AJ1178" s="2" t="s">
        <v>661</v>
      </c>
      <c r="AK1178" s="2" t="s">
        <v>661</v>
      </c>
      <c r="AL1178" s="2" t="s">
        <v>661</v>
      </c>
      <c r="AM1178" s="2" t="s">
        <v>661</v>
      </c>
      <c r="AN1178" s="2" t="s">
        <v>661</v>
      </c>
      <c r="AO1178" s="2" t="s">
        <v>661</v>
      </c>
      <c r="AP1178" s="15">
        <v>4.8</v>
      </c>
      <c r="AQ1178" s="2" t="s">
        <v>661</v>
      </c>
      <c r="AR1178" s="16">
        <v>46</v>
      </c>
      <c r="AS1178" s="16">
        <v>37</v>
      </c>
      <c r="AT1178" s="16">
        <v>17</v>
      </c>
      <c r="AU1178" s="2" t="s">
        <v>661</v>
      </c>
      <c r="AV1178" s="16">
        <f t="shared" si="669"/>
        <v>100</v>
      </c>
      <c r="AW1178" s="20">
        <v>0.25</v>
      </c>
      <c r="AX1178" s="8">
        <f t="shared" si="670"/>
        <v>2.5000000000000001E-3</v>
      </c>
      <c r="AY1178" s="13" t="s">
        <v>184</v>
      </c>
      <c r="AZ1178" s="16">
        <v>100</v>
      </c>
      <c r="BA1178" s="16" t="s">
        <v>55</v>
      </c>
      <c r="BB1178" s="16">
        <v>5</v>
      </c>
      <c r="BC1178" s="16" t="s">
        <v>55</v>
      </c>
      <c r="BD1178" s="18">
        <v>0.16</v>
      </c>
      <c r="BE1178" s="16">
        <f t="shared" si="671"/>
        <v>64</v>
      </c>
      <c r="BF1178" s="16">
        <f t="shared" si="672"/>
        <v>1.8061799739838871</v>
      </c>
      <c r="BG1178" s="8">
        <f t="shared" si="673"/>
        <v>-0.79588001734407521</v>
      </c>
      <c r="BH1178" s="13" t="s">
        <v>345</v>
      </c>
      <c r="BI1178" s="13"/>
      <c r="BJ1178" s="13"/>
      <c r="BK1178" s="13"/>
      <c r="BL1178" s="13"/>
      <c r="BM1178" s="17"/>
      <c r="BN1178" s="17"/>
      <c r="BO1178" s="2"/>
    </row>
    <row r="1179" spans="1:67" s="14" customFormat="1" x14ac:dyDescent="0.3">
      <c r="A1179" s="20">
        <v>1177</v>
      </c>
      <c r="B1179" s="2" t="s">
        <v>181</v>
      </c>
      <c r="C1179" s="2">
        <v>2020</v>
      </c>
      <c r="D1179" s="2" t="s">
        <v>203</v>
      </c>
      <c r="E1179" s="10" t="s">
        <v>787</v>
      </c>
      <c r="F1179" s="20" t="s">
        <v>29</v>
      </c>
      <c r="G1179" s="2" t="s">
        <v>61</v>
      </c>
      <c r="H1179" s="2" t="str">
        <f>'PFAS Properties'!$B$54</f>
        <v>FBSA</v>
      </c>
      <c r="I1179" s="2" t="str">
        <f>'PFAS Properties'!$C$54</f>
        <v>FOSA</v>
      </c>
      <c r="J1179" s="2" t="str">
        <f>'PFAS Properties'!$D$54</f>
        <v>C4H2F9NO2S</v>
      </c>
      <c r="K1179" s="25">
        <f>'PFAS Properties'!$P$54</f>
        <v>298.96620000000001</v>
      </c>
      <c r="L1179" s="2">
        <f>'PFAS Properties'!$X$54</f>
        <v>6.2</v>
      </c>
      <c r="M1179" s="2" t="str">
        <f>'PFAS Properties'!$Y$54</f>
        <v>-</v>
      </c>
      <c r="N1179" s="33">
        <v>0</v>
      </c>
      <c r="O1179" s="33">
        <v>0</v>
      </c>
      <c r="P1179" s="33">
        <v>0</v>
      </c>
      <c r="Q1179" s="33">
        <f t="shared" si="674"/>
        <v>0.94064905689723244</v>
      </c>
      <c r="R1179" s="33">
        <v>0</v>
      </c>
      <c r="S1179" s="33">
        <f t="shared" si="675"/>
        <v>5.9350943102767569E-2</v>
      </c>
      <c r="T1179" s="8">
        <f t="shared" si="662"/>
        <v>1</v>
      </c>
      <c r="U1179" s="33">
        <f t="shared" si="663"/>
        <v>0</v>
      </c>
      <c r="V1179" s="33">
        <f t="shared" si="664"/>
        <v>-0.94064905689723244</v>
      </c>
      <c r="W1179" s="33">
        <f t="shared" si="665"/>
        <v>298.02555094310281</v>
      </c>
      <c r="X1179" s="33">
        <v>96485</v>
      </c>
      <c r="Y1179" s="16">
        <f t="shared" si="666"/>
        <v>-304.53269515826355</v>
      </c>
      <c r="Z1179" s="16">
        <v>4</v>
      </c>
      <c r="AA1179" s="16">
        <v>9</v>
      </c>
      <c r="AB1179" s="8">
        <f t="shared" si="667"/>
        <v>0.2807017543859649</v>
      </c>
      <c r="AC1179" s="16">
        <f t="shared" si="668"/>
        <v>57.197101210772317</v>
      </c>
      <c r="AD1179" s="20">
        <f>'PFAS Properties'!$W$54</f>
        <v>4</v>
      </c>
      <c r="AE1179" s="8">
        <f>'PFAS Properties'!$S$54</f>
        <v>4.4252080511386565</v>
      </c>
      <c r="AF1179" s="2">
        <f>'PFAS Properties'!$V$54</f>
        <v>2.2000000000000002</v>
      </c>
      <c r="AG1179" s="24">
        <v>7.4</v>
      </c>
      <c r="AH1179" s="2" t="s">
        <v>183</v>
      </c>
      <c r="AI1179" s="2" t="s">
        <v>661</v>
      </c>
      <c r="AJ1179" s="2" t="s">
        <v>661</v>
      </c>
      <c r="AK1179" s="2" t="s">
        <v>661</v>
      </c>
      <c r="AL1179" s="2" t="s">
        <v>661</v>
      </c>
      <c r="AM1179" s="2" t="s">
        <v>661</v>
      </c>
      <c r="AN1179" s="2" t="s">
        <v>661</v>
      </c>
      <c r="AO1179" s="2" t="s">
        <v>661</v>
      </c>
      <c r="AP1179" s="15">
        <v>29.6</v>
      </c>
      <c r="AQ1179" s="2" t="s">
        <v>661</v>
      </c>
      <c r="AR1179" s="16">
        <v>39.799999999999997</v>
      </c>
      <c r="AS1179" s="16">
        <v>7.7</v>
      </c>
      <c r="AT1179" s="16">
        <v>52.5</v>
      </c>
      <c r="AU1179" s="2" t="s">
        <v>661</v>
      </c>
      <c r="AV1179" s="16">
        <f t="shared" si="669"/>
        <v>100</v>
      </c>
      <c r="AW1179" s="20">
        <v>2.23</v>
      </c>
      <c r="AX1179" s="8">
        <f t="shared" si="670"/>
        <v>2.23E-2</v>
      </c>
      <c r="AY1179" s="8" t="s">
        <v>184</v>
      </c>
      <c r="AZ1179" s="16">
        <v>100</v>
      </c>
      <c r="BA1179" s="16" t="s">
        <v>55</v>
      </c>
      <c r="BB1179" s="16">
        <v>5</v>
      </c>
      <c r="BC1179" s="16" t="s">
        <v>55</v>
      </c>
      <c r="BD1179" s="20">
        <v>0.25</v>
      </c>
      <c r="BE1179" s="16">
        <f t="shared" si="671"/>
        <v>11.210762331838565</v>
      </c>
      <c r="BF1179" s="16">
        <f t="shared" si="672"/>
        <v>1.0496351456238768</v>
      </c>
      <c r="BG1179" s="8">
        <f t="shared" si="673"/>
        <v>-0.6020599913279624</v>
      </c>
      <c r="BH1179" s="13" t="s">
        <v>345</v>
      </c>
      <c r="BI1179" s="13"/>
      <c r="BJ1179" s="13"/>
      <c r="BK1179" s="13"/>
      <c r="BL1179" s="13"/>
      <c r="BM1179" s="17"/>
      <c r="BN1179" s="17"/>
      <c r="BO1179" s="2"/>
    </row>
    <row r="1180" spans="1:67" s="14" customFormat="1" x14ac:dyDescent="0.3">
      <c r="A1180" s="20">
        <v>1178</v>
      </c>
      <c r="B1180" s="2" t="s">
        <v>181</v>
      </c>
      <c r="C1180" s="2">
        <v>2020</v>
      </c>
      <c r="D1180" s="2" t="s">
        <v>203</v>
      </c>
      <c r="E1180" s="10" t="s">
        <v>787</v>
      </c>
      <c r="F1180" s="20" t="s">
        <v>29</v>
      </c>
      <c r="G1180" s="2" t="s">
        <v>60</v>
      </c>
      <c r="H1180" s="2" t="str">
        <f>'PFAS Properties'!$B$54</f>
        <v>FBSA</v>
      </c>
      <c r="I1180" s="2" t="str">
        <f>'PFAS Properties'!$C$54</f>
        <v>FOSA</v>
      </c>
      <c r="J1180" s="2" t="str">
        <f>'PFAS Properties'!$D$54</f>
        <v>C4H2F9NO2S</v>
      </c>
      <c r="K1180" s="25">
        <f>'PFAS Properties'!$P$54</f>
        <v>298.96620000000001</v>
      </c>
      <c r="L1180" s="2">
        <f>'PFAS Properties'!$X$54</f>
        <v>6.2</v>
      </c>
      <c r="M1180" s="2" t="str">
        <f>'PFAS Properties'!$Y$54</f>
        <v>-</v>
      </c>
      <c r="N1180" s="33">
        <v>0</v>
      </c>
      <c r="O1180" s="33">
        <v>0</v>
      </c>
      <c r="P1180" s="33">
        <v>0</v>
      </c>
      <c r="Q1180" s="33">
        <f t="shared" si="674"/>
        <v>0.9693465699682845</v>
      </c>
      <c r="R1180" s="33">
        <v>0</v>
      </c>
      <c r="S1180" s="33">
        <f t="shared" si="675"/>
        <v>3.0653430031715501E-2</v>
      </c>
      <c r="T1180" s="8">
        <f t="shared" si="662"/>
        <v>1</v>
      </c>
      <c r="U1180" s="33">
        <f t="shared" si="663"/>
        <v>0</v>
      </c>
      <c r="V1180" s="33">
        <f t="shared" si="664"/>
        <v>-0.9693465699682845</v>
      </c>
      <c r="W1180" s="33">
        <f t="shared" si="665"/>
        <v>297.99685343003171</v>
      </c>
      <c r="X1180" s="33">
        <v>96485</v>
      </c>
      <c r="Y1180" s="16">
        <f t="shared" si="666"/>
        <v>-313.8536623016717</v>
      </c>
      <c r="Z1180" s="16">
        <v>4</v>
      </c>
      <c r="AA1180" s="16">
        <v>9</v>
      </c>
      <c r="AB1180" s="8">
        <f t="shared" si="667"/>
        <v>0.2807017543859649</v>
      </c>
      <c r="AC1180" s="16">
        <f t="shared" si="668"/>
        <v>57.197101210772317</v>
      </c>
      <c r="AD1180" s="20">
        <f>'PFAS Properties'!$W$54</f>
        <v>4</v>
      </c>
      <c r="AE1180" s="8">
        <f>'PFAS Properties'!$S$54</f>
        <v>4.4252080511386565</v>
      </c>
      <c r="AF1180" s="2">
        <f>'PFAS Properties'!$V$54</f>
        <v>2.2000000000000002</v>
      </c>
      <c r="AG1180" s="24">
        <v>7.7</v>
      </c>
      <c r="AH1180" s="2" t="s">
        <v>183</v>
      </c>
      <c r="AI1180" s="2" t="s">
        <v>661</v>
      </c>
      <c r="AJ1180" s="2" t="s">
        <v>661</v>
      </c>
      <c r="AK1180" s="2" t="s">
        <v>661</v>
      </c>
      <c r="AL1180" s="2" t="s">
        <v>661</v>
      </c>
      <c r="AM1180" s="2" t="s">
        <v>661</v>
      </c>
      <c r="AN1180" s="2" t="s">
        <v>661</v>
      </c>
      <c r="AO1180" s="2" t="s">
        <v>661</v>
      </c>
      <c r="AP1180" s="15">
        <v>21.63</v>
      </c>
      <c r="AQ1180" s="2" t="s">
        <v>661</v>
      </c>
      <c r="AR1180" s="16">
        <v>70</v>
      </c>
      <c r="AS1180" s="16">
        <v>11</v>
      </c>
      <c r="AT1180" s="16">
        <v>19</v>
      </c>
      <c r="AU1180" s="2" t="s">
        <v>661</v>
      </c>
      <c r="AV1180" s="16">
        <f t="shared" si="669"/>
        <v>100</v>
      </c>
      <c r="AW1180" s="20">
        <v>4.9000000000000004</v>
      </c>
      <c r="AX1180" s="8">
        <f t="shared" si="670"/>
        <v>4.9000000000000002E-2</v>
      </c>
      <c r="AY1180" s="8" t="s">
        <v>184</v>
      </c>
      <c r="AZ1180" s="16">
        <v>100</v>
      </c>
      <c r="BA1180" s="16" t="s">
        <v>55</v>
      </c>
      <c r="BB1180" s="16">
        <v>5</v>
      </c>
      <c r="BC1180" s="16" t="s">
        <v>55</v>
      </c>
      <c r="BD1180" s="20">
        <v>0.46</v>
      </c>
      <c r="BE1180" s="16">
        <f t="shared" si="671"/>
        <v>9.387755102040817</v>
      </c>
      <c r="BF1180" s="16">
        <f t="shared" si="672"/>
        <v>0.97256175165306047</v>
      </c>
      <c r="BG1180" s="8">
        <f t="shared" si="673"/>
        <v>-0.33724216831842591</v>
      </c>
      <c r="BH1180" s="13" t="s">
        <v>345</v>
      </c>
      <c r="BI1180" s="13"/>
      <c r="BJ1180" s="13"/>
      <c r="BK1180" s="13"/>
      <c r="BL1180" s="13"/>
      <c r="BM1180" s="17"/>
      <c r="BN1180" s="17"/>
      <c r="BO1180" s="2"/>
    </row>
    <row r="1181" spans="1:67" s="14" customFormat="1" x14ac:dyDescent="0.3">
      <c r="A1181" s="20">
        <v>1179</v>
      </c>
      <c r="B1181" s="2" t="s">
        <v>181</v>
      </c>
      <c r="C1181" s="2">
        <v>2020</v>
      </c>
      <c r="D1181" s="2" t="s">
        <v>203</v>
      </c>
      <c r="E1181" s="10" t="s">
        <v>787</v>
      </c>
      <c r="F1181" s="20" t="s">
        <v>29</v>
      </c>
      <c r="G1181" s="2" t="s">
        <v>77</v>
      </c>
      <c r="H1181" s="2" t="str">
        <f>'PFAS Properties'!$B$54</f>
        <v>FBSA</v>
      </c>
      <c r="I1181" s="2" t="str">
        <f>'PFAS Properties'!$C$54</f>
        <v>FOSA</v>
      </c>
      <c r="J1181" s="2" t="str">
        <f>'PFAS Properties'!$D$54</f>
        <v>C4H2F9NO2S</v>
      </c>
      <c r="K1181" s="25">
        <f>'PFAS Properties'!$P$54</f>
        <v>298.96620000000001</v>
      </c>
      <c r="L1181" s="2">
        <f>'PFAS Properties'!$X$54</f>
        <v>6.2</v>
      </c>
      <c r="M1181" s="2" t="str">
        <f>'PFAS Properties'!$Y$54</f>
        <v>-</v>
      </c>
      <c r="N1181" s="33">
        <v>0</v>
      </c>
      <c r="O1181" s="33">
        <v>0</v>
      </c>
      <c r="P1181" s="33">
        <v>0</v>
      </c>
      <c r="Q1181" s="33">
        <f t="shared" si="674"/>
        <v>0.9693465699682845</v>
      </c>
      <c r="R1181" s="33">
        <v>0</v>
      </c>
      <c r="S1181" s="33">
        <f t="shared" si="675"/>
        <v>3.0653430031715501E-2</v>
      </c>
      <c r="T1181" s="8">
        <f t="shared" si="662"/>
        <v>1</v>
      </c>
      <c r="U1181" s="33">
        <f t="shared" si="663"/>
        <v>0</v>
      </c>
      <c r="V1181" s="33">
        <f t="shared" si="664"/>
        <v>-0.9693465699682845</v>
      </c>
      <c r="W1181" s="33">
        <f t="shared" si="665"/>
        <v>297.99685343003171</v>
      </c>
      <c r="X1181" s="33">
        <v>96485</v>
      </c>
      <c r="Y1181" s="16">
        <f t="shared" si="666"/>
        <v>-313.8536623016717</v>
      </c>
      <c r="Z1181" s="16">
        <v>4</v>
      </c>
      <c r="AA1181" s="16">
        <v>9</v>
      </c>
      <c r="AB1181" s="8">
        <f t="shared" si="667"/>
        <v>0.2807017543859649</v>
      </c>
      <c r="AC1181" s="16">
        <f t="shared" si="668"/>
        <v>57.197101210772317</v>
      </c>
      <c r="AD1181" s="20">
        <f>'PFAS Properties'!$W$54</f>
        <v>4</v>
      </c>
      <c r="AE1181" s="8">
        <f>'PFAS Properties'!$S$54</f>
        <v>4.4252080511386565</v>
      </c>
      <c r="AF1181" s="2">
        <f>'PFAS Properties'!$V$54</f>
        <v>2.2000000000000002</v>
      </c>
      <c r="AG1181" s="24">
        <v>7.7</v>
      </c>
      <c r="AH1181" s="2" t="s">
        <v>183</v>
      </c>
      <c r="AI1181" s="2" t="s">
        <v>661</v>
      </c>
      <c r="AJ1181" s="2" t="s">
        <v>661</v>
      </c>
      <c r="AK1181" s="2" t="s">
        <v>661</v>
      </c>
      <c r="AL1181" s="2" t="s">
        <v>661</v>
      </c>
      <c r="AM1181" s="2" t="s">
        <v>661</v>
      </c>
      <c r="AN1181" s="2" t="s">
        <v>661</v>
      </c>
      <c r="AO1181" s="2" t="s">
        <v>661</v>
      </c>
      <c r="AP1181" s="15">
        <v>7.8</v>
      </c>
      <c r="AQ1181" s="2" t="s">
        <v>661</v>
      </c>
      <c r="AR1181" s="16">
        <v>48.9</v>
      </c>
      <c r="AS1181" s="16">
        <v>32.6</v>
      </c>
      <c r="AT1181" s="16">
        <v>18.5</v>
      </c>
      <c r="AU1181" s="2" t="s">
        <v>661</v>
      </c>
      <c r="AV1181" s="16">
        <f t="shared" si="669"/>
        <v>100</v>
      </c>
      <c r="AW1181" s="20">
        <v>0.13</v>
      </c>
      <c r="AX1181" s="8">
        <f t="shared" si="670"/>
        <v>1.2999999999999999E-3</v>
      </c>
      <c r="AY1181" s="8" t="s">
        <v>184</v>
      </c>
      <c r="AZ1181" s="16">
        <v>100</v>
      </c>
      <c r="BA1181" s="16" t="s">
        <v>55</v>
      </c>
      <c r="BB1181" s="16">
        <v>5</v>
      </c>
      <c r="BC1181" s="16" t="s">
        <v>55</v>
      </c>
      <c r="BD1181" s="20">
        <v>0.19</v>
      </c>
      <c r="BE1181" s="16">
        <f t="shared" si="671"/>
        <v>146.15384615384616</v>
      </c>
      <c r="BF1181" s="16">
        <f t="shared" si="672"/>
        <v>2.1648102486459924</v>
      </c>
      <c r="BG1181" s="8">
        <f t="shared" si="673"/>
        <v>-0.72124639904717103</v>
      </c>
      <c r="BH1181" s="13" t="s">
        <v>345</v>
      </c>
      <c r="BI1181" s="13"/>
      <c r="BJ1181" s="13"/>
      <c r="BK1181" s="13"/>
      <c r="BL1181" s="13"/>
      <c r="BM1181" s="17"/>
      <c r="BN1181" s="17"/>
      <c r="BO1181" s="2"/>
    </row>
    <row r="1182" spans="1:67" s="14" customFormat="1" x14ac:dyDescent="0.3">
      <c r="A1182" s="20">
        <v>1180</v>
      </c>
      <c r="B1182" s="2" t="s">
        <v>181</v>
      </c>
      <c r="C1182" s="2">
        <v>2020</v>
      </c>
      <c r="D1182" s="2" t="s">
        <v>203</v>
      </c>
      <c r="E1182" s="10" t="s">
        <v>787</v>
      </c>
      <c r="F1182" s="20" t="s">
        <v>29</v>
      </c>
      <c r="G1182" s="2" t="s">
        <v>182</v>
      </c>
      <c r="H1182" s="2" t="str">
        <f>'PFAS Properties'!$B$54</f>
        <v>FBSA</v>
      </c>
      <c r="I1182" s="2" t="str">
        <f>'PFAS Properties'!$C$54</f>
        <v>FOSA</v>
      </c>
      <c r="J1182" s="2" t="str">
        <f>'PFAS Properties'!$D$54</f>
        <v>C4H2F9NO2S</v>
      </c>
      <c r="K1182" s="25">
        <f>'PFAS Properties'!$P$54</f>
        <v>298.96620000000001</v>
      </c>
      <c r="L1182" s="2">
        <f>'PFAS Properties'!$X$54</f>
        <v>6.2</v>
      </c>
      <c r="M1182" s="2" t="str">
        <f>'PFAS Properties'!$Y$54</f>
        <v>-</v>
      </c>
      <c r="N1182" s="33">
        <v>0</v>
      </c>
      <c r="O1182" s="33">
        <v>0</v>
      </c>
      <c r="P1182" s="33">
        <v>0</v>
      </c>
      <c r="Q1182" s="33">
        <f t="shared" si="674"/>
        <v>0.95227327896579606</v>
      </c>
      <c r="R1182" s="33">
        <v>0</v>
      </c>
      <c r="S1182" s="33">
        <f t="shared" si="675"/>
        <v>4.7726721034203903E-2</v>
      </c>
      <c r="T1182" s="8">
        <f t="shared" si="662"/>
        <v>1</v>
      </c>
      <c r="U1182" s="33">
        <f t="shared" si="663"/>
        <v>0</v>
      </c>
      <c r="V1182" s="33">
        <f t="shared" si="664"/>
        <v>-0.95227327896579606</v>
      </c>
      <c r="W1182" s="33">
        <f t="shared" si="665"/>
        <v>298.01392672103418</v>
      </c>
      <c r="X1182" s="33">
        <v>96485</v>
      </c>
      <c r="Y1182" s="16">
        <f t="shared" si="666"/>
        <v>-308.30803221831383</v>
      </c>
      <c r="Z1182" s="16">
        <v>4</v>
      </c>
      <c r="AA1182" s="16">
        <v>9</v>
      </c>
      <c r="AB1182" s="8">
        <f t="shared" si="667"/>
        <v>0.2807017543859649</v>
      </c>
      <c r="AC1182" s="16">
        <f t="shared" si="668"/>
        <v>57.197101210772317</v>
      </c>
      <c r="AD1182" s="20">
        <f>'PFAS Properties'!$W$54</f>
        <v>4</v>
      </c>
      <c r="AE1182" s="8">
        <f>'PFAS Properties'!$S$54</f>
        <v>4.4252080511386565</v>
      </c>
      <c r="AF1182" s="2">
        <f>'PFAS Properties'!$V$54</f>
        <v>2.2000000000000002</v>
      </c>
      <c r="AG1182" s="24">
        <v>7.5</v>
      </c>
      <c r="AH1182" s="2" t="s">
        <v>183</v>
      </c>
      <c r="AI1182" s="2" t="s">
        <v>661</v>
      </c>
      <c r="AJ1182" s="2" t="s">
        <v>661</v>
      </c>
      <c r="AK1182" s="2" t="s">
        <v>661</v>
      </c>
      <c r="AL1182" s="2" t="s">
        <v>661</v>
      </c>
      <c r="AM1182" s="2" t="s">
        <v>661</v>
      </c>
      <c r="AN1182" s="2" t="s">
        <v>661</v>
      </c>
      <c r="AO1182" s="2" t="s">
        <v>661</v>
      </c>
      <c r="AP1182" s="15">
        <v>2.2799999999999998</v>
      </c>
      <c r="AQ1182" s="2" t="s">
        <v>661</v>
      </c>
      <c r="AR1182" s="16">
        <v>93</v>
      </c>
      <c r="AS1182" s="16">
        <v>1</v>
      </c>
      <c r="AT1182" s="16">
        <v>5</v>
      </c>
      <c r="AU1182" s="2" t="s">
        <v>661</v>
      </c>
      <c r="AV1182" s="16">
        <f t="shared" si="669"/>
        <v>99</v>
      </c>
      <c r="AW1182" s="20">
        <v>0.4</v>
      </c>
      <c r="AX1182" s="8">
        <f t="shared" si="670"/>
        <v>4.0000000000000001E-3</v>
      </c>
      <c r="AY1182" s="8" t="s">
        <v>184</v>
      </c>
      <c r="AZ1182" s="16">
        <v>100</v>
      </c>
      <c r="BA1182" s="16" t="s">
        <v>55</v>
      </c>
      <c r="BB1182" s="16">
        <v>5</v>
      </c>
      <c r="BC1182" s="16" t="s">
        <v>55</v>
      </c>
      <c r="BD1182" s="20">
        <v>0.14000000000000001</v>
      </c>
      <c r="BE1182" s="16">
        <f t="shared" si="671"/>
        <v>35</v>
      </c>
      <c r="BF1182" s="16">
        <f t="shared" si="672"/>
        <v>1.5440680443502757</v>
      </c>
      <c r="BG1182" s="8">
        <f t="shared" si="673"/>
        <v>-0.85387196432176193</v>
      </c>
      <c r="BH1182" s="13" t="s">
        <v>345</v>
      </c>
      <c r="BI1182" s="13"/>
      <c r="BJ1182" s="13"/>
      <c r="BK1182" s="13"/>
      <c r="BL1182" s="13"/>
      <c r="BM1182" s="17"/>
      <c r="BN1182" s="17"/>
      <c r="BO1182" s="2"/>
    </row>
    <row r="1183" spans="1:67" s="14" customFormat="1" x14ac:dyDescent="0.3">
      <c r="A1183" s="20">
        <v>1181</v>
      </c>
      <c r="B1183" s="2" t="s">
        <v>181</v>
      </c>
      <c r="C1183" s="2">
        <v>2020</v>
      </c>
      <c r="D1183" s="2" t="s">
        <v>203</v>
      </c>
      <c r="E1183" s="10" t="s">
        <v>787</v>
      </c>
      <c r="F1183" s="20" t="s">
        <v>29</v>
      </c>
      <c r="G1183" s="2" t="s">
        <v>78</v>
      </c>
      <c r="H1183" s="2" t="str">
        <f>'PFAS Properties'!$B$54</f>
        <v>FBSA</v>
      </c>
      <c r="I1183" s="2" t="str">
        <f>'PFAS Properties'!$C$54</f>
        <v>FOSA</v>
      </c>
      <c r="J1183" s="2" t="str">
        <f>'PFAS Properties'!$D$54</f>
        <v>C4H2F9NO2S</v>
      </c>
      <c r="K1183" s="25">
        <f>'PFAS Properties'!$P$54</f>
        <v>298.96620000000001</v>
      </c>
      <c r="L1183" s="2">
        <f>'PFAS Properties'!$X$54</f>
        <v>6.2</v>
      </c>
      <c r="M1183" s="2" t="str">
        <f>'PFAS Properties'!$Y$54</f>
        <v>-</v>
      </c>
      <c r="N1183" s="33">
        <v>0</v>
      </c>
      <c r="O1183" s="33">
        <v>0</v>
      </c>
      <c r="P1183" s="33">
        <v>0</v>
      </c>
      <c r="Q1183" s="33">
        <f t="shared" si="674"/>
        <v>0.88818423022188298</v>
      </c>
      <c r="R1183" s="33">
        <v>0</v>
      </c>
      <c r="S1183" s="33">
        <f t="shared" si="675"/>
        <v>0.11181576977811705</v>
      </c>
      <c r="T1183" s="8">
        <f t="shared" si="662"/>
        <v>1</v>
      </c>
      <c r="U1183" s="33">
        <f t="shared" si="663"/>
        <v>0</v>
      </c>
      <c r="V1183" s="33">
        <f t="shared" si="664"/>
        <v>-0.88818423022188298</v>
      </c>
      <c r="W1183" s="33">
        <f t="shared" si="665"/>
        <v>298.07801576977812</v>
      </c>
      <c r="X1183" s="33">
        <v>96485</v>
      </c>
      <c r="Y1183" s="16">
        <f t="shared" si="666"/>
        <v>-287.49673212782795</v>
      </c>
      <c r="Z1183" s="16">
        <v>4</v>
      </c>
      <c r="AA1183" s="16">
        <v>9</v>
      </c>
      <c r="AB1183" s="8">
        <f t="shared" si="667"/>
        <v>0.2807017543859649</v>
      </c>
      <c r="AC1183" s="16">
        <f t="shared" si="668"/>
        <v>57.197101210772317</v>
      </c>
      <c r="AD1183" s="20">
        <f>'PFAS Properties'!$W$54</f>
        <v>4</v>
      </c>
      <c r="AE1183" s="8">
        <f>'PFAS Properties'!$S$54</f>
        <v>4.4252080511386565</v>
      </c>
      <c r="AF1183" s="2">
        <f>'PFAS Properties'!$V$54</f>
        <v>2.2000000000000002</v>
      </c>
      <c r="AG1183" s="24">
        <v>7.1</v>
      </c>
      <c r="AH1183" s="2" t="s">
        <v>183</v>
      </c>
      <c r="AI1183" s="2" t="s">
        <v>661</v>
      </c>
      <c r="AJ1183" s="2" t="s">
        <v>661</v>
      </c>
      <c r="AK1183" s="2" t="s">
        <v>661</v>
      </c>
      <c r="AL1183" s="2" t="s">
        <v>661</v>
      </c>
      <c r="AM1183" s="2" t="s">
        <v>661</v>
      </c>
      <c r="AN1183" s="2" t="s">
        <v>661</v>
      </c>
      <c r="AO1183" s="2" t="s">
        <v>661</v>
      </c>
      <c r="AP1183" s="15">
        <v>17.420000000000002</v>
      </c>
      <c r="AQ1183" s="2" t="s">
        <v>661</v>
      </c>
      <c r="AR1183" s="16">
        <v>48.86</v>
      </c>
      <c r="AS1183" s="16">
        <v>16.05</v>
      </c>
      <c r="AT1183" s="16">
        <v>35.090000000000003</v>
      </c>
      <c r="AU1183" s="2" t="s">
        <v>661</v>
      </c>
      <c r="AV1183" s="16">
        <f t="shared" si="669"/>
        <v>100</v>
      </c>
      <c r="AW1183" s="20">
        <v>1.19</v>
      </c>
      <c r="AX1183" s="8">
        <f t="shared" si="670"/>
        <v>1.1899999999999999E-2</v>
      </c>
      <c r="AY1183" s="8" t="s">
        <v>184</v>
      </c>
      <c r="AZ1183" s="16">
        <v>100</v>
      </c>
      <c r="BA1183" s="16" t="s">
        <v>55</v>
      </c>
      <c r="BB1183" s="16">
        <v>5</v>
      </c>
      <c r="BC1183" s="16" t="s">
        <v>55</v>
      </c>
      <c r="BD1183" s="20">
        <v>0.21</v>
      </c>
      <c r="BE1183" s="16">
        <f t="shared" si="671"/>
        <v>17.647058823529413</v>
      </c>
      <c r="BF1183" s="16">
        <f t="shared" si="672"/>
        <v>1.2466723333413885</v>
      </c>
      <c r="BG1183" s="8">
        <f t="shared" si="673"/>
        <v>-0.6777807052660807</v>
      </c>
      <c r="BH1183" s="13" t="s">
        <v>345</v>
      </c>
      <c r="BI1183" s="13"/>
      <c r="BJ1183" s="13"/>
      <c r="BK1183" s="13"/>
      <c r="BL1183" s="13"/>
      <c r="BM1183" s="17"/>
      <c r="BN1183" s="17"/>
      <c r="BO1183" s="2"/>
    </row>
    <row r="1184" spans="1:67" s="14" customFormat="1" x14ac:dyDescent="0.3">
      <c r="A1184" s="20">
        <v>1182</v>
      </c>
      <c r="B1184" s="2" t="s">
        <v>181</v>
      </c>
      <c r="C1184" s="2">
        <v>2020</v>
      </c>
      <c r="D1184" s="2" t="s">
        <v>203</v>
      </c>
      <c r="E1184" s="10" t="s">
        <v>787</v>
      </c>
      <c r="F1184" s="20" t="s">
        <v>29</v>
      </c>
      <c r="G1184" s="2" t="s">
        <v>98</v>
      </c>
      <c r="H1184" s="2" t="str">
        <f>'PFAS Properties'!$B$54</f>
        <v>FBSA</v>
      </c>
      <c r="I1184" s="2" t="str">
        <f>'PFAS Properties'!$C$54</f>
        <v>FOSA</v>
      </c>
      <c r="J1184" s="2" t="str">
        <f>'PFAS Properties'!$D$54</f>
        <v>C4H2F9NO2S</v>
      </c>
      <c r="K1184" s="25">
        <f>'PFAS Properties'!$P$54</f>
        <v>298.96620000000001</v>
      </c>
      <c r="L1184" s="2">
        <f>'PFAS Properties'!$X$54</f>
        <v>6.2</v>
      </c>
      <c r="M1184" s="2" t="str">
        <f>'PFAS Properties'!$Y$54</f>
        <v>-</v>
      </c>
      <c r="N1184" s="33">
        <v>0</v>
      </c>
      <c r="O1184" s="33">
        <v>0</v>
      </c>
      <c r="P1184" s="33">
        <v>0</v>
      </c>
      <c r="Q1184" s="33">
        <f t="shared" si="674"/>
        <v>0.61313682015314319</v>
      </c>
      <c r="R1184" s="33">
        <v>0</v>
      </c>
      <c r="S1184" s="33">
        <f t="shared" si="675"/>
        <v>0.38686317984685686</v>
      </c>
      <c r="T1184" s="8">
        <f t="shared" si="662"/>
        <v>1</v>
      </c>
      <c r="U1184" s="33">
        <f t="shared" si="663"/>
        <v>0</v>
      </c>
      <c r="V1184" s="33">
        <f t="shared" si="664"/>
        <v>-0.61313682015314319</v>
      </c>
      <c r="W1184" s="33">
        <f t="shared" si="665"/>
        <v>298.35306317984691</v>
      </c>
      <c r="X1184" s="33">
        <v>96485</v>
      </c>
      <c r="Y1184" s="16">
        <f t="shared" si="666"/>
        <v>-198.28355526826059</v>
      </c>
      <c r="Z1184" s="16">
        <v>4</v>
      </c>
      <c r="AA1184" s="16">
        <v>9</v>
      </c>
      <c r="AB1184" s="8">
        <f t="shared" si="667"/>
        <v>0.2807017543859649</v>
      </c>
      <c r="AC1184" s="16">
        <f t="shared" si="668"/>
        <v>57.197101210772317</v>
      </c>
      <c r="AD1184" s="20">
        <f>'PFAS Properties'!$W$54</f>
        <v>4</v>
      </c>
      <c r="AE1184" s="8">
        <f>'PFAS Properties'!$S$54</f>
        <v>4.4252080511386565</v>
      </c>
      <c r="AF1184" s="2">
        <f>'PFAS Properties'!$V$54</f>
        <v>2.2000000000000002</v>
      </c>
      <c r="AG1184" s="24">
        <v>6.4</v>
      </c>
      <c r="AH1184" s="2" t="s">
        <v>183</v>
      </c>
      <c r="AI1184" s="2" t="s">
        <v>661</v>
      </c>
      <c r="AJ1184" s="15" t="s">
        <v>661</v>
      </c>
      <c r="AK1184" s="8" t="s">
        <v>661</v>
      </c>
      <c r="AL1184" s="2" t="s">
        <v>661</v>
      </c>
      <c r="AM1184" s="15" t="s">
        <v>661</v>
      </c>
      <c r="AN1184" s="8" t="s">
        <v>661</v>
      </c>
      <c r="AO1184" s="15" t="s">
        <v>661</v>
      </c>
      <c r="AP1184" s="15">
        <v>16.54</v>
      </c>
      <c r="AQ1184" s="13" t="s">
        <v>661</v>
      </c>
      <c r="AR1184" s="16">
        <v>29.38</v>
      </c>
      <c r="AS1184" s="16">
        <v>13.9</v>
      </c>
      <c r="AT1184" s="16">
        <v>56.71</v>
      </c>
      <c r="AU1184" s="15" t="s">
        <v>661</v>
      </c>
      <c r="AV1184" s="16">
        <f t="shared" si="669"/>
        <v>99.990000000000009</v>
      </c>
      <c r="AW1184" s="20">
        <v>0.17</v>
      </c>
      <c r="AX1184" s="8">
        <f t="shared" si="670"/>
        <v>1.7000000000000001E-3</v>
      </c>
      <c r="AY1184" s="8" t="s">
        <v>184</v>
      </c>
      <c r="AZ1184" s="16">
        <v>100</v>
      </c>
      <c r="BA1184" s="16" t="s">
        <v>55</v>
      </c>
      <c r="BB1184" s="16">
        <v>5</v>
      </c>
      <c r="BC1184" s="16" t="s">
        <v>55</v>
      </c>
      <c r="BD1184" s="20">
        <v>0.32</v>
      </c>
      <c r="BE1184" s="16">
        <f t="shared" si="671"/>
        <v>188.23529411764704</v>
      </c>
      <c r="BF1184" s="16">
        <f t="shared" si="672"/>
        <v>2.2747010569416322</v>
      </c>
      <c r="BG1184" s="8">
        <f t="shared" si="673"/>
        <v>-0.49485002168009401</v>
      </c>
      <c r="BH1184" s="13" t="s">
        <v>345</v>
      </c>
      <c r="BI1184" s="13"/>
      <c r="BJ1184" s="13"/>
      <c r="BK1184" s="13"/>
      <c r="BL1184" s="13"/>
      <c r="BM1184" s="17"/>
      <c r="BN1184" s="17"/>
      <c r="BO1184" s="2"/>
    </row>
    <row r="1185" spans="1:67" s="14" customFormat="1" x14ac:dyDescent="0.3">
      <c r="A1185" s="20">
        <v>1183</v>
      </c>
      <c r="B1185" s="2" t="s">
        <v>181</v>
      </c>
      <c r="C1185" s="2">
        <v>2020</v>
      </c>
      <c r="D1185" s="2" t="s">
        <v>203</v>
      </c>
      <c r="E1185" s="10" t="s">
        <v>787</v>
      </c>
      <c r="F1185" s="20" t="s">
        <v>29</v>
      </c>
      <c r="G1185" s="2" t="s">
        <v>62</v>
      </c>
      <c r="H1185" s="2" t="str">
        <f>'PFAS Properties'!$B$55</f>
        <v>FHxSA</v>
      </c>
      <c r="I1185" s="2" t="str">
        <f>'PFAS Properties'!$C$55</f>
        <v>FOSA</v>
      </c>
      <c r="J1185" s="2" t="str">
        <f>'PFAS Properties'!$D$55</f>
        <v>C6H2F13NO2S</v>
      </c>
      <c r="K1185" s="25">
        <f>'PFAS Properties'!$P$55</f>
        <v>398.95980000000003</v>
      </c>
      <c r="L1185" s="2">
        <f>'PFAS Properties'!$X$55</f>
        <v>6.2</v>
      </c>
      <c r="M1185" s="2" t="str">
        <f>'PFAS Properties'!$Y$55</f>
        <v>-</v>
      </c>
      <c r="N1185" s="33">
        <v>0</v>
      </c>
      <c r="O1185" s="33">
        <v>0</v>
      </c>
      <c r="P1185" s="33">
        <v>0</v>
      </c>
      <c r="Q1185" s="33">
        <f t="shared" si="674"/>
        <v>0.95227327896579606</v>
      </c>
      <c r="R1185" s="33">
        <v>0</v>
      </c>
      <c r="S1185" s="33">
        <f t="shared" si="675"/>
        <v>4.7726721034203903E-2</v>
      </c>
      <c r="T1185" s="8">
        <f t="shared" si="662"/>
        <v>1</v>
      </c>
      <c r="U1185" s="33">
        <f t="shared" ref="U1185:U1216" si="676">((1*N1185)+(1*O1185)+(1*P1185))</f>
        <v>0</v>
      </c>
      <c r="V1185" s="33">
        <f t="shared" ref="V1185:V1216" si="677">-((1*O1185)+(2*P1185)+(1*Q1185)+(2*R1185))</f>
        <v>-0.95227327896579606</v>
      </c>
      <c r="W1185" s="33">
        <f t="shared" ref="W1185:W1216" si="678">(N1185*(K1185+1))+(O1185*K1185)+(P1185*(K1185-1))+(Q1185*(K1185-1))+(R1185*(K1185-2))+(S1185*K1185)</f>
        <v>398.0075267210342</v>
      </c>
      <c r="X1185" s="33">
        <v>96485</v>
      </c>
      <c r="Y1185" s="16">
        <f t="shared" ref="Y1185:Y1216" si="679">((V1185+U1185)/W1185)*X1185</f>
        <v>-230.85012506664009</v>
      </c>
      <c r="Z1185" s="16">
        <v>6</v>
      </c>
      <c r="AA1185" s="16">
        <v>13</v>
      </c>
      <c r="AB1185" s="8">
        <f t="shared" ref="AB1185:AB1216" si="680">(Z1185/AA1185)*(12/19)</f>
        <v>0.291497975708502</v>
      </c>
      <c r="AC1185" s="16">
        <f t="shared" si="668"/>
        <v>61.910999554341061</v>
      </c>
      <c r="AD1185" s="20">
        <f>'PFAS Properties'!$W$55</f>
        <v>6</v>
      </c>
      <c r="AE1185" s="8">
        <f>'PFAS Properties'!$S$55</f>
        <v>2.6794278966121188</v>
      </c>
      <c r="AF1185" s="2">
        <f>'PFAS Properties'!$V$55</f>
        <v>3.5</v>
      </c>
      <c r="AG1185" s="24">
        <v>7.5</v>
      </c>
      <c r="AH1185" s="2" t="s">
        <v>183</v>
      </c>
      <c r="AI1185" s="2" t="s">
        <v>661</v>
      </c>
      <c r="AJ1185" s="2" t="s">
        <v>661</v>
      </c>
      <c r="AK1185" s="2" t="s">
        <v>661</v>
      </c>
      <c r="AL1185" s="2" t="s">
        <v>661</v>
      </c>
      <c r="AM1185" s="2" t="s">
        <v>661</v>
      </c>
      <c r="AN1185" s="2" t="s">
        <v>661</v>
      </c>
      <c r="AO1185" s="2" t="s">
        <v>661</v>
      </c>
      <c r="AP1185" s="15">
        <v>41.4</v>
      </c>
      <c r="AQ1185" s="2" t="s">
        <v>661</v>
      </c>
      <c r="AR1185" s="16">
        <v>16.899999999999999</v>
      </c>
      <c r="AS1185" s="16">
        <v>17.5</v>
      </c>
      <c r="AT1185" s="16">
        <v>65.599999999999994</v>
      </c>
      <c r="AU1185" s="2" t="s">
        <v>661</v>
      </c>
      <c r="AV1185" s="16">
        <f t="shared" si="669"/>
        <v>100</v>
      </c>
      <c r="AW1185" s="20">
        <v>0.7</v>
      </c>
      <c r="AX1185" s="8">
        <f t="shared" si="670"/>
        <v>6.9999999999999993E-3</v>
      </c>
      <c r="AY1185" s="13" t="s">
        <v>184</v>
      </c>
      <c r="AZ1185" s="16">
        <v>100</v>
      </c>
      <c r="BA1185" s="16" t="s">
        <v>55</v>
      </c>
      <c r="BB1185" s="16">
        <v>5</v>
      </c>
      <c r="BC1185" s="16" t="s">
        <v>55</v>
      </c>
      <c r="BD1185" s="18">
        <v>0.86</v>
      </c>
      <c r="BE1185" s="16">
        <f t="shared" si="671"/>
        <v>122.85714285714286</v>
      </c>
      <c r="BF1185" s="16">
        <f t="shared" si="672"/>
        <v>2.089400411229311</v>
      </c>
      <c r="BG1185" s="8">
        <f t="shared" si="673"/>
        <v>-6.5501548756432285E-2</v>
      </c>
      <c r="BH1185" s="13" t="s">
        <v>345</v>
      </c>
      <c r="BI1185" s="13"/>
      <c r="BJ1185" s="13"/>
      <c r="BK1185" s="13"/>
      <c r="BL1185" s="13"/>
      <c r="BM1185" s="17"/>
      <c r="BN1185" s="17"/>
      <c r="BO1185" s="2"/>
    </row>
    <row r="1186" spans="1:67" s="14" customFormat="1" x14ac:dyDescent="0.3">
      <c r="A1186" s="20">
        <v>1184</v>
      </c>
      <c r="B1186" s="2" t="s">
        <v>181</v>
      </c>
      <c r="C1186" s="2">
        <v>2020</v>
      </c>
      <c r="D1186" s="2" t="s">
        <v>203</v>
      </c>
      <c r="E1186" s="10" t="s">
        <v>787</v>
      </c>
      <c r="F1186" s="20" t="s">
        <v>29</v>
      </c>
      <c r="G1186" s="2" t="s">
        <v>57</v>
      </c>
      <c r="H1186" s="2" t="str">
        <f>'PFAS Properties'!$B$55</f>
        <v>FHxSA</v>
      </c>
      <c r="I1186" s="2" t="str">
        <f>'PFAS Properties'!$C$55</f>
        <v>FOSA</v>
      </c>
      <c r="J1186" s="2" t="str">
        <f>'PFAS Properties'!$D$55</f>
        <v>C6H2F13NO2S</v>
      </c>
      <c r="K1186" s="25">
        <f>'PFAS Properties'!$P$55</f>
        <v>398.95980000000003</v>
      </c>
      <c r="L1186" s="2">
        <f>'PFAS Properties'!$X$55</f>
        <v>6.2</v>
      </c>
      <c r="M1186" s="2" t="str">
        <f>'PFAS Properties'!$Y$55</f>
        <v>-</v>
      </c>
      <c r="N1186" s="33">
        <v>0</v>
      </c>
      <c r="O1186" s="33">
        <v>0</v>
      </c>
      <c r="P1186" s="33">
        <v>0</v>
      </c>
      <c r="Q1186" s="33">
        <f t="shared" si="674"/>
        <v>0.79923999108689814</v>
      </c>
      <c r="R1186" s="33">
        <v>0</v>
      </c>
      <c r="S1186" s="33">
        <f t="shared" si="675"/>
        <v>0.20076000891310183</v>
      </c>
      <c r="T1186" s="8">
        <f t="shared" si="662"/>
        <v>1</v>
      </c>
      <c r="U1186" s="33">
        <f t="shared" si="676"/>
        <v>0</v>
      </c>
      <c r="V1186" s="33">
        <f t="shared" si="677"/>
        <v>-0.79923999108689814</v>
      </c>
      <c r="W1186" s="33">
        <f t="shared" si="678"/>
        <v>398.16056000891308</v>
      </c>
      <c r="X1186" s="33">
        <v>96485</v>
      </c>
      <c r="Y1186" s="16">
        <f t="shared" si="679"/>
        <v>-193.67732087350166</v>
      </c>
      <c r="Z1186" s="16">
        <v>6</v>
      </c>
      <c r="AA1186" s="16">
        <v>13</v>
      </c>
      <c r="AB1186" s="8">
        <f t="shared" si="680"/>
        <v>0.291497975708502</v>
      </c>
      <c r="AC1186" s="16">
        <f t="shared" si="668"/>
        <v>61.910999554341061</v>
      </c>
      <c r="AD1186" s="20">
        <f>'PFAS Properties'!$W$55</f>
        <v>6</v>
      </c>
      <c r="AE1186" s="8">
        <f>'PFAS Properties'!$S$55</f>
        <v>2.6794278966121188</v>
      </c>
      <c r="AF1186" s="2">
        <f>'PFAS Properties'!$V$55</f>
        <v>3.5</v>
      </c>
      <c r="AG1186" s="24">
        <v>6.8</v>
      </c>
      <c r="AH1186" s="2" t="s">
        <v>183</v>
      </c>
      <c r="AI1186" s="2" t="s">
        <v>661</v>
      </c>
      <c r="AJ1186" s="2" t="s">
        <v>661</v>
      </c>
      <c r="AK1186" s="2" t="s">
        <v>661</v>
      </c>
      <c r="AL1186" s="2" t="s">
        <v>661</v>
      </c>
      <c r="AM1186" s="2" t="s">
        <v>661</v>
      </c>
      <c r="AN1186" s="2" t="s">
        <v>661</v>
      </c>
      <c r="AO1186" s="2" t="s">
        <v>661</v>
      </c>
      <c r="AP1186" s="15">
        <v>7.1</v>
      </c>
      <c r="AQ1186" s="2" t="s">
        <v>661</v>
      </c>
      <c r="AR1186" s="16">
        <v>48.9</v>
      </c>
      <c r="AS1186" s="16">
        <v>27</v>
      </c>
      <c r="AT1186" s="16">
        <v>24.2</v>
      </c>
      <c r="AU1186" s="2" t="s">
        <v>661</v>
      </c>
      <c r="AV1186" s="16">
        <f t="shared" si="669"/>
        <v>100.10000000000001</v>
      </c>
      <c r="AW1186" s="20">
        <v>0.37</v>
      </c>
      <c r="AX1186" s="8">
        <f t="shared" si="670"/>
        <v>3.7000000000000002E-3</v>
      </c>
      <c r="AY1186" s="13" t="s">
        <v>184</v>
      </c>
      <c r="AZ1186" s="16">
        <v>100</v>
      </c>
      <c r="BA1186" s="16" t="s">
        <v>55</v>
      </c>
      <c r="BB1186" s="16">
        <v>5</v>
      </c>
      <c r="BC1186" s="16" t="s">
        <v>55</v>
      </c>
      <c r="BD1186" s="20">
        <v>0.96</v>
      </c>
      <c r="BE1186" s="16">
        <f t="shared" si="671"/>
        <v>259.45945945945942</v>
      </c>
      <c r="BF1186" s="16">
        <f t="shared" si="672"/>
        <v>2.4140695089725734</v>
      </c>
      <c r="BG1186" s="8">
        <f t="shared" si="673"/>
        <v>-1.7728766960431602E-2</v>
      </c>
      <c r="BH1186" s="13" t="s">
        <v>345</v>
      </c>
      <c r="BI1186" s="13"/>
      <c r="BJ1186" s="13"/>
      <c r="BK1186" s="13"/>
      <c r="BL1186" s="13"/>
      <c r="BM1186" s="17"/>
      <c r="BN1186" s="17"/>
      <c r="BO1186" s="2"/>
    </row>
    <row r="1187" spans="1:67" s="14" customFormat="1" x14ac:dyDescent="0.3">
      <c r="A1187" s="20">
        <v>1185</v>
      </c>
      <c r="B1187" s="2" t="s">
        <v>181</v>
      </c>
      <c r="C1187" s="2">
        <v>2020</v>
      </c>
      <c r="D1187" s="2" t="s">
        <v>203</v>
      </c>
      <c r="E1187" s="10" t="s">
        <v>787</v>
      </c>
      <c r="F1187" s="20" t="s">
        <v>29</v>
      </c>
      <c r="G1187" s="2" t="s">
        <v>58</v>
      </c>
      <c r="H1187" s="2" t="str">
        <f>'PFAS Properties'!$B$55</f>
        <v>FHxSA</v>
      </c>
      <c r="I1187" s="2" t="str">
        <f>'PFAS Properties'!$C$55</f>
        <v>FOSA</v>
      </c>
      <c r="J1187" s="2" t="str">
        <f>'PFAS Properties'!$D$55</f>
        <v>C6H2F13NO2S</v>
      </c>
      <c r="K1187" s="25">
        <f>'PFAS Properties'!$P$55</f>
        <v>398.95980000000003</v>
      </c>
      <c r="L1187" s="2">
        <f>'PFAS Properties'!$X$55</f>
        <v>6.2</v>
      </c>
      <c r="M1187" s="2" t="str">
        <f>'PFAS Properties'!$Y$55</f>
        <v>-</v>
      </c>
      <c r="N1187" s="33">
        <v>0</v>
      </c>
      <c r="O1187" s="33">
        <v>0</v>
      </c>
      <c r="P1187" s="33">
        <v>0</v>
      </c>
      <c r="Q1187" s="33">
        <f t="shared" si="674"/>
        <v>0.5</v>
      </c>
      <c r="R1187" s="33">
        <v>0</v>
      </c>
      <c r="S1187" s="33">
        <f t="shared" si="675"/>
        <v>0.5</v>
      </c>
      <c r="T1187" s="8">
        <f t="shared" si="662"/>
        <v>1</v>
      </c>
      <c r="U1187" s="33">
        <f t="shared" si="676"/>
        <v>0</v>
      </c>
      <c r="V1187" s="33">
        <f t="shared" si="677"/>
        <v>-0.5</v>
      </c>
      <c r="W1187" s="33">
        <f t="shared" si="678"/>
        <v>398.45980000000003</v>
      </c>
      <c r="X1187" s="33">
        <v>96485</v>
      </c>
      <c r="Y1187" s="16">
        <f t="shared" si="679"/>
        <v>-121.07243942801756</v>
      </c>
      <c r="Z1187" s="16">
        <v>6</v>
      </c>
      <c r="AA1187" s="16">
        <v>13</v>
      </c>
      <c r="AB1187" s="8">
        <f t="shared" si="680"/>
        <v>0.291497975708502</v>
      </c>
      <c r="AC1187" s="16">
        <f t="shared" si="668"/>
        <v>61.910999554341061</v>
      </c>
      <c r="AD1187" s="20">
        <f>'PFAS Properties'!$W$55</f>
        <v>6</v>
      </c>
      <c r="AE1187" s="8">
        <f>'PFAS Properties'!$S$55</f>
        <v>2.6794278966121188</v>
      </c>
      <c r="AF1187" s="2">
        <f>'PFAS Properties'!$V$55</f>
        <v>3.5</v>
      </c>
      <c r="AG1187" s="24">
        <v>6.2</v>
      </c>
      <c r="AH1187" s="2" t="s">
        <v>183</v>
      </c>
      <c r="AI1187" s="2" t="s">
        <v>661</v>
      </c>
      <c r="AJ1187" s="2" t="s">
        <v>661</v>
      </c>
      <c r="AK1187" s="2" t="s">
        <v>661</v>
      </c>
      <c r="AL1187" s="2" t="s">
        <v>661</v>
      </c>
      <c r="AM1187" s="2" t="s">
        <v>661</v>
      </c>
      <c r="AN1187" s="2" t="s">
        <v>661</v>
      </c>
      <c r="AO1187" s="2" t="s">
        <v>661</v>
      </c>
      <c r="AP1187" s="15">
        <v>8</v>
      </c>
      <c r="AQ1187" s="2" t="s">
        <v>661</v>
      </c>
      <c r="AR1187" s="16">
        <v>51.44</v>
      </c>
      <c r="AS1187" s="16">
        <v>10.17</v>
      </c>
      <c r="AT1187" s="16">
        <v>38.380000000000003</v>
      </c>
      <c r="AU1187" s="2" t="s">
        <v>661</v>
      </c>
      <c r="AV1187" s="16">
        <f t="shared" si="669"/>
        <v>99.990000000000009</v>
      </c>
      <c r="AW1187" s="20">
        <v>0.08</v>
      </c>
      <c r="AX1187" s="8">
        <f t="shared" si="670"/>
        <v>8.0000000000000004E-4</v>
      </c>
      <c r="AY1187" s="8" t="s">
        <v>184</v>
      </c>
      <c r="AZ1187" s="16">
        <v>100</v>
      </c>
      <c r="BA1187" s="16" t="s">
        <v>55</v>
      </c>
      <c r="BB1187" s="16">
        <v>5</v>
      </c>
      <c r="BC1187" s="16" t="s">
        <v>55</v>
      </c>
      <c r="BD1187" s="20">
        <v>1.1299999999999999</v>
      </c>
      <c r="BE1187" s="16">
        <f t="shared" si="671"/>
        <v>1412.4999999999998</v>
      </c>
      <c r="BF1187" s="16">
        <f t="shared" si="672"/>
        <v>3.1499884564914762</v>
      </c>
      <c r="BG1187" s="8">
        <f t="shared" si="673"/>
        <v>5.3078443483419682E-2</v>
      </c>
      <c r="BH1187" s="13" t="s">
        <v>345</v>
      </c>
      <c r="BI1187" s="13"/>
      <c r="BJ1187" s="13"/>
      <c r="BK1187" s="13"/>
      <c r="BL1187" s="13"/>
      <c r="BM1187" s="17"/>
      <c r="BN1187" s="17"/>
      <c r="BO1187" s="2"/>
    </row>
    <row r="1188" spans="1:67" s="14" customFormat="1" x14ac:dyDescent="0.3">
      <c r="A1188" s="20">
        <v>1186</v>
      </c>
      <c r="B1188" s="2" t="s">
        <v>181</v>
      </c>
      <c r="C1188" s="2">
        <v>2020</v>
      </c>
      <c r="D1188" s="2" t="s">
        <v>203</v>
      </c>
      <c r="E1188" s="10" t="s">
        <v>787</v>
      </c>
      <c r="F1188" s="20" t="s">
        <v>29</v>
      </c>
      <c r="G1188" s="2" t="s">
        <v>59</v>
      </c>
      <c r="H1188" s="2" t="str">
        <f>'PFAS Properties'!$B$55</f>
        <v>FHxSA</v>
      </c>
      <c r="I1188" s="2" t="str">
        <f>'PFAS Properties'!$C$55</f>
        <v>FOSA</v>
      </c>
      <c r="J1188" s="2" t="str">
        <f>'PFAS Properties'!$D$55</f>
        <v>C6H2F13NO2S</v>
      </c>
      <c r="K1188" s="25">
        <f>'PFAS Properties'!$P$55</f>
        <v>398.95980000000003</v>
      </c>
      <c r="L1188" s="2">
        <f>'PFAS Properties'!$X$55</f>
        <v>6.2</v>
      </c>
      <c r="M1188" s="2" t="str">
        <f>'PFAS Properties'!$Y$55</f>
        <v>-</v>
      </c>
      <c r="N1188" s="33">
        <v>0</v>
      </c>
      <c r="O1188" s="33">
        <v>0</v>
      </c>
      <c r="P1188" s="33">
        <v>0</v>
      </c>
      <c r="Q1188" s="33">
        <f t="shared" si="674"/>
        <v>0.9693465699682845</v>
      </c>
      <c r="R1188" s="33">
        <v>0</v>
      </c>
      <c r="S1188" s="33">
        <f t="shared" si="675"/>
        <v>3.0653430031715501E-2</v>
      </c>
      <c r="T1188" s="8">
        <f t="shared" si="662"/>
        <v>1</v>
      </c>
      <c r="U1188" s="33">
        <f t="shared" si="676"/>
        <v>0</v>
      </c>
      <c r="V1188" s="33">
        <f t="shared" si="677"/>
        <v>-0.9693465699682845</v>
      </c>
      <c r="W1188" s="33">
        <f t="shared" si="678"/>
        <v>397.99045343003172</v>
      </c>
      <c r="X1188" s="33">
        <v>96485</v>
      </c>
      <c r="Y1188" s="16">
        <f t="shared" si="679"/>
        <v>-234.99911366550506</v>
      </c>
      <c r="Z1188" s="16">
        <v>6</v>
      </c>
      <c r="AA1188" s="16">
        <v>13</v>
      </c>
      <c r="AB1188" s="8">
        <f t="shared" si="680"/>
        <v>0.291497975708502</v>
      </c>
      <c r="AC1188" s="16">
        <f t="shared" si="668"/>
        <v>61.910999554341061</v>
      </c>
      <c r="AD1188" s="20">
        <f>'PFAS Properties'!$W$55</f>
        <v>6</v>
      </c>
      <c r="AE1188" s="8">
        <f>'PFAS Properties'!$S$55</f>
        <v>2.6794278966121188</v>
      </c>
      <c r="AF1188" s="2">
        <f>'PFAS Properties'!$V$55</f>
        <v>3.5</v>
      </c>
      <c r="AG1188" s="24">
        <v>7.7</v>
      </c>
      <c r="AH1188" s="2" t="s">
        <v>183</v>
      </c>
      <c r="AI1188" s="2" t="s">
        <v>661</v>
      </c>
      <c r="AJ1188" s="2" t="s">
        <v>661</v>
      </c>
      <c r="AK1188" s="2" t="s">
        <v>661</v>
      </c>
      <c r="AL1188" s="2" t="s">
        <v>661</v>
      </c>
      <c r="AM1188" s="2" t="s">
        <v>661</v>
      </c>
      <c r="AN1188" s="2" t="s">
        <v>661</v>
      </c>
      <c r="AO1188" s="2" t="s">
        <v>661</v>
      </c>
      <c r="AP1188" s="15">
        <v>4.8</v>
      </c>
      <c r="AQ1188" s="2" t="s">
        <v>661</v>
      </c>
      <c r="AR1188" s="16">
        <v>46</v>
      </c>
      <c r="AS1188" s="16">
        <v>37</v>
      </c>
      <c r="AT1188" s="16">
        <v>17</v>
      </c>
      <c r="AU1188" s="2" t="s">
        <v>661</v>
      </c>
      <c r="AV1188" s="16">
        <f t="shared" si="669"/>
        <v>100</v>
      </c>
      <c r="AW1188" s="20">
        <v>0.25</v>
      </c>
      <c r="AX1188" s="8">
        <f t="shared" si="670"/>
        <v>2.5000000000000001E-3</v>
      </c>
      <c r="AY1188" s="13" t="s">
        <v>184</v>
      </c>
      <c r="AZ1188" s="16">
        <v>100</v>
      </c>
      <c r="BA1188" s="16" t="s">
        <v>55</v>
      </c>
      <c r="BB1188" s="16">
        <v>5</v>
      </c>
      <c r="BC1188" s="16" t="s">
        <v>55</v>
      </c>
      <c r="BD1188" s="18">
        <v>1.41</v>
      </c>
      <c r="BE1188" s="16">
        <f t="shared" si="671"/>
        <v>564</v>
      </c>
      <c r="BF1188" s="16">
        <f t="shared" si="672"/>
        <v>2.7512791039833422</v>
      </c>
      <c r="BG1188" s="8">
        <f t="shared" si="673"/>
        <v>0.14921911265537988</v>
      </c>
      <c r="BH1188" s="13" t="s">
        <v>345</v>
      </c>
      <c r="BI1188" s="13"/>
      <c r="BJ1188" s="13"/>
      <c r="BK1188" s="13"/>
      <c r="BL1188" s="13"/>
      <c r="BM1188" s="17"/>
      <c r="BN1188" s="17"/>
      <c r="BO1188" s="2"/>
    </row>
    <row r="1189" spans="1:67" s="14" customFormat="1" x14ac:dyDescent="0.3">
      <c r="A1189" s="20">
        <v>1187</v>
      </c>
      <c r="B1189" s="2" t="s">
        <v>181</v>
      </c>
      <c r="C1189" s="2">
        <v>2020</v>
      </c>
      <c r="D1189" s="2" t="s">
        <v>203</v>
      </c>
      <c r="E1189" s="10" t="s">
        <v>787</v>
      </c>
      <c r="F1189" s="20" t="s">
        <v>29</v>
      </c>
      <c r="G1189" s="2" t="s">
        <v>61</v>
      </c>
      <c r="H1189" s="2" t="str">
        <f>'PFAS Properties'!$B$55</f>
        <v>FHxSA</v>
      </c>
      <c r="I1189" s="2" t="str">
        <f>'PFAS Properties'!$C$55</f>
        <v>FOSA</v>
      </c>
      <c r="J1189" s="2" t="str">
        <f>'PFAS Properties'!$D$55</f>
        <v>C6H2F13NO2S</v>
      </c>
      <c r="K1189" s="25">
        <f>'PFAS Properties'!$P$55</f>
        <v>398.95980000000003</v>
      </c>
      <c r="L1189" s="2">
        <f>'PFAS Properties'!$X$55</f>
        <v>6.2</v>
      </c>
      <c r="M1189" s="2" t="str">
        <f>'PFAS Properties'!$Y$55</f>
        <v>-</v>
      </c>
      <c r="N1189" s="33">
        <v>0</v>
      </c>
      <c r="O1189" s="33">
        <v>0</v>
      </c>
      <c r="P1189" s="33">
        <v>0</v>
      </c>
      <c r="Q1189" s="33">
        <f t="shared" si="674"/>
        <v>0.94064905689723244</v>
      </c>
      <c r="R1189" s="33">
        <v>0</v>
      </c>
      <c r="S1189" s="33">
        <f t="shared" si="675"/>
        <v>5.9350943102767569E-2</v>
      </c>
      <c r="T1189" s="8">
        <f t="shared" si="662"/>
        <v>1</v>
      </c>
      <c r="U1189" s="33">
        <f t="shared" si="676"/>
        <v>0</v>
      </c>
      <c r="V1189" s="33">
        <f t="shared" si="677"/>
        <v>-0.94064905689723244</v>
      </c>
      <c r="W1189" s="33">
        <f t="shared" si="678"/>
        <v>398.01915094310277</v>
      </c>
      <c r="X1189" s="33">
        <v>96485</v>
      </c>
      <c r="Y1189" s="16">
        <f t="shared" si="679"/>
        <v>-228.02552098228932</v>
      </c>
      <c r="Z1189" s="16">
        <v>6</v>
      </c>
      <c r="AA1189" s="16">
        <v>13</v>
      </c>
      <c r="AB1189" s="8">
        <f t="shared" si="680"/>
        <v>0.291497975708502</v>
      </c>
      <c r="AC1189" s="16">
        <f t="shared" si="668"/>
        <v>61.910999554341061</v>
      </c>
      <c r="AD1189" s="20">
        <f>'PFAS Properties'!$W$55</f>
        <v>6</v>
      </c>
      <c r="AE1189" s="8">
        <f>'PFAS Properties'!$S$55</f>
        <v>2.6794278966121188</v>
      </c>
      <c r="AF1189" s="2">
        <f>'PFAS Properties'!$V$55</f>
        <v>3.5</v>
      </c>
      <c r="AG1189" s="24">
        <v>7.4</v>
      </c>
      <c r="AH1189" s="2" t="s">
        <v>183</v>
      </c>
      <c r="AI1189" s="2" t="s">
        <v>661</v>
      </c>
      <c r="AJ1189" s="2" t="s">
        <v>661</v>
      </c>
      <c r="AK1189" s="2" t="s">
        <v>661</v>
      </c>
      <c r="AL1189" s="2" t="s">
        <v>661</v>
      </c>
      <c r="AM1189" s="2" t="s">
        <v>661</v>
      </c>
      <c r="AN1189" s="2" t="s">
        <v>661</v>
      </c>
      <c r="AO1189" s="2" t="s">
        <v>661</v>
      </c>
      <c r="AP1189" s="15">
        <v>29.6</v>
      </c>
      <c r="AQ1189" s="2" t="s">
        <v>661</v>
      </c>
      <c r="AR1189" s="16">
        <v>39.799999999999997</v>
      </c>
      <c r="AS1189" s="16">
        <v>7.7</v>
      </c>
      <c r="AT1189" s="16">
        <v>52.5</v>
      </c>
      <c r="AU1189" s="2" t="s">
        <v>661</v>
      </c>
      <c r="AV1189" s="16">
        <f t="shared" si="669"/>
        <v>100</v>
      </c>
      <c r="AW1189" s="20">
        <v>2.23</v>
      </c>
      <c r="AX1189" s="8">
        <f t="shared" si="670"/>
        <v>2.23E-2</v>
      </c>
      <c r="AY1189" s="8" t="s">
        <v>184</v>
      </c>
      <c r="AZ1189" s="16">
        <v>100</v>
      </c>
      <c r="BA1189" s="16" t="s">
        <v>55</v>
      </c>
      <c r="BB1189" s="16">
        <v>5</v>
      </c>
      <c r="BC1189" s="16" t="s">
        <v>55</v>
      </c>
      <c r="BD1189" s="20">
        <v>0.27</v>
      </c>
      <c r="BE1189" s="16">
        <f t="shared" si="671"/>
        <v>12.107623318385651</v>
      </c>
      <c r="BF1189" s="16">
        <f t="shared" si="672"/>
        <v>1.0830589011108267</v>
      </c>
      <c r="BG1189" s="8">
        <f t="shared" si="673"/>
        <v>-0.56863623584101264</v>
      </c>
      <c r="BH1189" s="13" t="s">
        <v>345</v>
      </c>
      <c r="BI1189" s="13"/>
      <c r="BJ1189" s="13"/>
      <c r="BK1189" s="13"/>
      <c r="BL1189" s="13"/>
      <c r="BM1189" s="17"/>
      <c r="BN1189" s="17"/>
      <c r="BO1189" s="2"/>
    </row>
    <row r="1190" spans="1:67" s="14" customFormat="1" x14ac:dyDescent="0.3">
      <c r="A1190" s="20">
        <v>1188</v>
      </c>
      <c r="B1190" s="2" t="s">
        <v>181</v>
      </c>
      <c r="C1190" s="2">
        <v>2020</v>
      </c>
      <c r="D1190" s="2" t="s">
        <v>203</v>
      </c>
      <c r="E1190" s="10" t="s">
        <v>787</v>
      </c>
      <c r="F1190" s="20" t="s">
        <v>29</v>
      </c>
      <c r="G1190" s="2" t="s">
        <v>60</v>
      </c>
      <c r="H1190" s="2" t="str">
        <f>'PFAS Properties'!$B$55</f>
        <v>FHxSA</v>
      </c>
      <c r="I1190" s="2" t="str">
        <f>'PFAS Properties'!$C$55</f>
        <v>FOSA</v>
      </c>
      <c r="J1190" s="2" t="str">
        <f>'PFAS Properties'!$D$55</f>
        <v>C6H2F13NO2S</v>
      </c>
      <c r="K1190" s="25">
        <f>'PFAS Properties'!$P$55</f>
        <v>398.95980000000003</v>
      </c>
      <c r="L1190" s="2">
        <f>'PFAS Properties'!$X$55</f>
        <v>6.2</v>
      </c>
      <c r="M1190" s="2" t="str">
        <f>'PFAS Properties'!$Y$55</f>
        <v>-</v>
      </c>
      <c r="N1190" s="33">
        <v>0</v>
      </c>
      <c r="O1190" s="33">
        <v>0</v>
      </c>
      <c r="P1190" s="33">
        <v>0</v>
      </c>
      <c r="Q1190" s="33">
        <f t="shared" si="674"/>
        <v>0.9693465699682845</v>
      </c>
      <c r="R1190" s="33">
        <v>0</v>
      </c>
      <c r="S1190" s="33">
        <f t="shared" si="675"/>
        <v>3.0653430031715501E-2</v>
      </c>
      <c r="T1190" s="8">
        <f t="shared" si="662"/>
        <v>1</v>
      </c>
      <c r="U1190" s="33">
        <f t="shared" si="676"/>
        <v>0</v>
      </c>
      <c r="V1190" s="33">
        <f t="shared" si="677"/>
        <v>-0.9693465699682845</v>
      </c>
      <c r="W1190" s="33">
        <f t="shared" si="678"/>
        <v>397.99045343003172</v>
      </c>
      <c r="X1190" s="33">
        <v>96485</v>
      </c>
      <c r="Y1190" s="16">
        <f t="shared" si="679"/>
        <v>-234.99911366550506</v>
      </c>
      <c r="Z1190" s="16">
        <v>6</v>
      </c>
      <c r="AA1190" s="16">
        <v>13</v>
      </c>
      <c r="AB1190" s="8">
        <f t="shared" si="680"/>
        <v>0.291497975708502</v>
      </c>
      <c r="AC1190" s="16">
        <f t="shared" si="668"/>
        <v>61.910999554341061</v>
      </c>
      <c r="AD1190" s="20">
        <f>'PFAS Properties'!$W$55</f>
        <v>6</v>
      </c>
      <c r="AE1190" s="8">
        <f>'PFAS Properties'!$S$55</f>
        <v>2.6794278966121188</v>
      </c>
      <c r="AF1190" s="2">
        <f>'PFAS Properties'!$V$55</f>
        <v>3.5</v>
      </c>
      <c r="AG1190" s="24">
        <v>7.7</v>
      </c>
      <c r="AH1190" s="2" t="s">
        <v>183</v>
      </c>
      <c r="AI1190" s="2" t="s">
        <v>661</v>
      </c>
      <c r="AJ1190" s="2" t="s">
        <v>661</v>
      </c>
      <c r="AK1190" s="2" t="s">
        <v>661</v>
      </c>
      <c r="AL1190" s="2" t="s">
        <v>661</v>
      </c>
      <c r="AM1190" s="2" t="s">
        <v>661</v>
      </c>
      <c r="AN1190" s="2" t="s">
        <v>661</v>
      </c>
      <c r="AO1190" s="2" t="s">
        <v>661</v>
      </c>
      <c r="AP1190" s="15">
        <v>21.63</v>
      </c>
      <c r="AQ1190" s="2" t="s">
        <v>661</v>
      </c>
      <c r="AR1190" s="16">
        <v>70</v>
      </c>
      <c r="AS1190" s="16">
        <v>11</v>
      </c>
      <c r="AT1190" s="16">
        <v>19</v>
      </c>
      <c r="AU1190" s="2" t="s">
        <v>661</v>
      </c>
      <c r="AV1190" s="16">
        <f t="shared" si="669"/>
        <v>100</v>
      </c>
      <c r="AW1190" s="20">
        <v>4.9000000000000004</v>
      </c>
      <c r="AX1190" s="8">
        <f t="shared" si="670"/>
        <v>4.9000000000000002E-2</v>
      </c>
      <c r="AY1190" s="8" t="s">
        <v>184</v>
      </c>
      <c r="AZ1190" s="16">
        <v>100</v>
      </c>
      <c r="BA1190" s="16" t="s">
        <v>55</v>
      </c>
      <c r="BB1190" s="16">
        <v>5</v>
      </c>
      <c r="BC1190" s="16" t="s">
        <v>55</v>
      </c>
      <c r="BD1190" s="20">
        <v>2.63</v>
      </c>
      <c r="BE1190" s="16">
        <f t="shared" si="671"/>
        <v>53.673469387755098</v>
      </c>
      <c r="BF1190" s="16">
        <f t="shared" si="672"/>
        <v>1.7297596684612442</v>
      </c>
      <c r="BG1190" s="8">
        <f t="shared" si="673"/>
        <v>0.41995574848975786</v>
      </c>
      <c r="BH1190" s="13" t="s">
        <v>345</v>
      </c>
      <c r="BI1190" s="13"/>
      <c r="BJ1190" s="13"/>
      <c r="BK1190" s="13"/>
      <c r="BL1190" s="13"/>
      <c r="BM1190" s="17"/>
      <c r="BN1190" s="17"/>
      <c r="BO1190" s="2"/>
    </row>
    <row r="1191" spans="1:67" s="14" customFormat="1" x14ac:dyDescent="0.3">
      <c r="A1191" s="20">
        <v>1189</v>
      </c>
      <c r="B1191" s="2" t="s">
        <v>181</v>
      </c>
      <c r="C1191" s="2">
        <v>2020</v>
      </c>
      <c r="D1191" s="2" t="s">
        <v>203</v>
      </c>
      <c r="E1191" s="10" t="s">
        <v>787</v>
      </c>
      <c r="F1191" s="20" t="s">
        <v>29</v>
      </c>
      <c r="G1191" s="2" t="s">
        <v>77</v>
      </c>
      <c r="H1191" s="2" t="str">
        <f>'PFAS Properties'!$B$55</f>
        <v>FHxSA</v>
      </c>
      <c r="I1191" s="2" t="str">
        <f>'PFAS Properties'!$C$55</f>
        <v>FOSA</v>
      </c>
      <c r="J1191" s="2" t="str">
        <f>'PFAS Properties'!$D$55</f>
        <v>C6H2F13NO2S</v>
      </c>
      <c r="K1191" s="25">
        <f>'PFAS Properties'!$P$55</f>
        <v>398.95980000000003</v>
      </c>
      <c r="L1191" s="2">
        <f>'PFAS Properties'!$X$55</f>
        <v>6.2</v>
      </c>
      <c r="M1191" s="2" t="str">
        <f>'PFAS Properties'!$Y$55</f>
        <v>-</v>
      </c>
      <c r="N1191" s="33">
        <v>0</v>
      </c>
      <c r="O1191" s="33">
        <v>0</v>
      </c>
      <c r="P1191" s="33">
        <v>0</v>
      </c>
      <c r="Q1191" s="33">
        <f t="shared" si="674"/>
        <v>0.9693465699682845</v>
      </c>
      <c r="R1191" s="33">
        <v>0</v>
      </c>
      <c r="S1191" s="33">
        <f t="shared" si="675"/>
        <v>3.0653430031715501E-2</v>
      </c>
      <c r="T1191" s="8">
        <f t="shared" si="662"/>
        <v>1</v>
      </c>
      <c r="U1191" s="33">
        <f t="shared" si="676"/>
        <v>0</v>
      </c>
      <c r="V1191" s="33">
        <f t="shared" si="677"/>
        <v>-0.9693465699682845</v>
      </c>
      <c r="W1191" s="33">
        <f t="shared" si="678"/>
        <v>397.99045343003172</v>
      </c>
      <c r="X1191" s="33">
        <v>96485</v>
      </c>
      <c r="Y1191" s="16">
        <f t="shared" si="679"/>
        <v>-234.99911366550506</v>
      </c>
      <c r="Z1191" s="16">
        <v>6</v>
      </c>
      <c r="AA1191" s="16">
        <v>13</v>
      </c>
      <c r="AB1191" s="8">
        <f t="shared" si="680"/>
        <v>0.291497975708502</v>
      </c>
      <c r="AC1191" s="16">
        <f t="shared" si="668"/>
        <v>61.910999554341061</v>
      </c>
      <c r="AD1191" s="20">
        <f>'PFAS Properties'!$W$55</f>
        <v>6</v>
      </c>
      <c r="AE1191" s="8">
        <f>'PFAS Properties'!$S$55</f>
        <v>2.6794278966121188</v>
      </c>
      <c r="AF1191" s="2">
        <f>'PFAS Properties'!$V$55</f>
        <v>3.5</v>
      </c>
      <c r="AG1191" s="24">
        <v>7.7</v>
      </c>
      <c r="AH1191" s="2" t="s">
        <v>183</v>
      </c>
      <c r="AI1191" s="2" t="s">
        <v>661</v>
      </c>
      <c r="AJ1191" s="2" t="s">
        <v>661</v>
      </c>
      <c r="AK1191" s="2" t="s">
        <v>661</v>
      </c>
      <c r="AL1191" s="2" t="s">
        <v>661</v>
      </c>
      <c r="AM1191" s="2" t="s">
        <v>661</v>
      </c>
      <c r="AN1191" s="2" t="s">
        <v>661</v>
      </c>
      <c r="AO1191" s="2" t="s">
        <v>661</v>
      </c>
      <c r="AP1191" s="15">
        <v>7.8</v>
      </c>
      <c r="AQ1191" s="2" t="s">
        <v>661</v>
      </c>
      <c r="AR1191" s="16">
        <v>48.9</v>
      </c>
      <c r="AS1191" s="16">
        <v>32.6</v>
      </c>
      <c r="AT1191" s="16">
        <v>18.5</v>
      </c>
      <c r="AU1191" s="2" t="s">
        <v>661</v>
      </c>
      <c r="AV1191" s="16">
        <f t="shared" si="669"/>
        <v>100</v>
      </c>
      <c r="AW1191" s="20">
        <v>0.13</v>
      </c>
      <c r="AX1191" s="8">
        <f t="shared" si="670"/>
        <v>1.2999999999999999E-3</v>
      </c>
      <c r="AY1191" s="8" t="s">
        <v>184</v>
      </c>
      <c r="AZ1191" s="16">
        <v>100</v>
      </c>
      <c r="BA1191" s="16" t="s">
        <v>55</v>
      </c>
      <c r="BB1191" s="16">
        <v>5</v>
      </c>
      <c r="BC1191" s="16" t="s">
        <v>55</v>
      </c>
      <c r="BD1191" s="20">
        <v>0.33</v>
      </c>
      <c r="BE1191" s="16">
        <f t="shared" si="671"/>
        <v>253.84615384615387</v>
      </c>
      <c r="BF1191" s="16">
        <f t="shared" si="672"/>
        <v>2.4045705875710506</v>
      </c>
      <c r="BG1191" s="8">
        <f t="shared" si="673"/>
        <v>-0.48148606012211248</v>
      </c>
      <c r="BH1191" s="13" t="s">
        <v>345</v>
      </c>
      <c r="BI1191" s="13"/>
      <c r="BJ1191" s="13"/>
      <c r="BK1191" s="13"/>
      <c r="BL1191" s="13"/>
      <c r="BM1191" s="17"/>
      <c r="BN1191" s="17"/>
      <c r="BO1191" s="2"/>
    </row>
    <row r="1192" spans="1:67" s="14" customFormat="1" x14ac:dyDescent="0.3">
      <c r="A1192" s="20">
        <v>1190</v>
      </c>
      <c r="B1192" s="2" t="s">
        <v>181</v>
      </c>
      <c r="C1192" s="2">
        <v>2020</v>
      </c>
      <c r="D1192" s="2" t="s">
        <v>203</v>
      </c>
      <c r="E1192" s="10" t="s">
        <v>787</v>
      </c>
      <c r="F1192" s="20" t="s">
        <v>29</v>
      </c>
      <c r="G1192" s="2" t="s">
        <v>182</v>
      </c>
      <c r="H1192" s="2" t="str">
        <f>'PFAS Properties'!$B$55</f>
        <v>FHxSA</v>
      </c>
      <c r="I1192" s="2" t="str">
        <f>'PFAS Properties'!$C$55</f>
        <v>FOSA</v>
      </c>
      <c r="J1192" s="2" t="str">
        <f>'PFAS Properties'!$D$55</f>
        <v>C6H2F13NO2S</v>
      </c>
      <c r="K1192" s="25">
        <f>'PFAS Properties'!$P$55</f>
        <v>398.95980000000003</v>
      </c>
      <c r="L1192" s="2">
        <f>'PFAS Properties'!$X$55</f>
        <v>6.2</v>
      </c>
      <c r="M1192" s="2" t="str">
        <f>'PFAS Properties'!$Y$55</f>
        <v>-</v>
      </c>
      <c r="N1192" s="33">
        <v>0</v>
      </c>
      <c r="O1192" s="33">
        <v>0</v>
      </c>
      <c r="P1192" s="33">
        <v>0</v>
      </c>
      <c r="Q1192" s="33">
        <f t="shared" si="674"/>
        <v>0.95227327896579606</v>
      </c>
      <c r="R1192" s="33">
        <v>0</v>
      </c>
      <c r="S1192" s="33">
        <f t="shared" si="675"/>
        <v>4.7726721034203903E-2</v>
      </c>
      <c r="T1192" s="8">
        <f t="shared" si="662"/>
        <v>1</v>
      </c>
      <c r="U1192" s="33">
        <f t="shared" si="676"/>
        <v>0</v>
      </c>
      <c r="V1192" s="33">
        <f t="shared" si="677"/>
        <v>-0.95227327896579606</v>
      </c>
      <c r="W1192" s="33">
        <f t="shared" si="678"/>
        <v>398.0075267210342</v>
      </c>
      <c r="X1192" s="33">
        <v>96485</v>
      </c>
      <c r="Y1192" s="16">
        <f t="shared" si="679"/>
        <v>-230.85012506664009</v>
      </c>
      <c r="Z1192" s="16">
        <v>6</v>
      </c>
      <c r="AA1192" s="16">
        <v>13</v>
      </c>
      <c r="AB1192" s="8">
        <f t="shared" si="680"/>
        <v>0.291497975708502</v>
      </c>
      <c r="AC1192" s="16">
        <f t="shared" si="668"/>
        <v>61.910999554341061</v>
      </c>
      <c r="AD1192" s="20">
        <f>'PFAS Properties'!$W$55</f>
        <v>6</v>
      </c>
      <c r="AE1192" s="8">
        <f>'PFAS Properties'!$S$55</f>
        <v>2.6794278966121188</v>
      </c>
      <c r="AF1192" s="2">
        <f>'PFAS Properties'!$V$55</f>
        <v>3.5</v>
      </c>
      <c r="AG1192" s="24">
        <v>7.5</v>
      </c>
      <c r="AH1192" s="2" t="s">
        <v>183</v>
      </c>
      <c r="AI1192" s="2" t="s">
        <v>661</v>
      </c>
      <c r="AJ1192" s="2" t="s">
        <v>661</v>
      </c>
      <c r="AK1192" s="2" t="s">
        <v>661</v>
      </c>
      <c r="AL1192" s="2" t="s">
        <v>661</v>
      </c>
      <c r="AM1192" s="2" t="s">
        <v>661</v>
      </c>
      <c r="AN1192" s="2" t="s">
        <v>661</v>
      </c>
      <c r="AO1192" s="2" t="s">
        <v>661</v>
      </c>
      <c r="AP1192" s="15">
        <v>2.2799999999999998</v>
      </c>
      <c r="AQ1192" s="2" t="s">
        <v>661</v>
      </c>
      <c r="AR1192" s="16">
        <v>93</v>
      </c>
      <c r="AS1192" s="16">
        <v>1</v>
      </c>
      <c r="AT1192" s="16">
        <v>5</v>
      </c>
      <c r="AU1192" s="2" t="s">
        <v>661</v>
      </c>
      <c r="AV1192" s="16">
        <f t="shared" si="669"/>
        <v>99</v>
      </c>
      <c r="AW1192" s="20">
        <v>0.4</v>
      </c>
      <c r="AX1192" s="8">
        <f t="shared" si="670"/>
        <v>4.0000000000000001E-3</v>
      </c>
      <c r="AY1192" s="8" t="s">
        <v>184</v>
      </c>
      <c r="AZ1192" s="16">
        <v>100</v>
      </c>
      <c r="BA1192" s="16" t="s">
        <v>55</v>
      </c>
      <c r="BB1192" s="16">
        <v>5</v>
      </c>
      <c r="BC1192" s="16" t="s">
        <v>55</v>
      </c>
      <c r="BD1192" s="20">
        <v>1.4</v>
      </c>
      <c r="BE1192" s="16">
        <f t="shared" si="671"/>
        <v>349.99999999999994</v>
      </c>
      <c r="BF1192" s="16">
        <f t="shared" si="672"/>
        <v>2.5440680443502757</v>
      </c>
      <c r="BG1192" s="8">
        <f t="shared" si="673"/>
        <v>0.14612803567823801</v>
      </c>
      <c r="BH1192" s="13" t="s">
        <v>345</v>
      </c>
      <c r="BI1192" s="13"/>
      <c r="BJ1192" s="13"/>
      <c r="BK1192" s="13"/>
      <c r="BL1192" s="13"/>
      <c r="BM1192" s="17"/>
      <c r="BN1192" s="17"/>
      <c r="BO1192" s="2"/>
    </row>
    <row r="1193" spans="1:67" s="14" customFormat="1" x14ac:dyDescent="0.3">
      <c r="A1193" s="20">
        <v>1191</v>
      </c>
      <c r="B1193" s="2" t="s">
        <v>181</v>
      </c>
      <c r="C1193" s="2">
        <v>2020</v>
      </c>
      <c r="D1193" s="2" t="s">
        <v>203</v>
      </c>
      <c r="E1193" s="10" t="s">
        <v>787</v>
      </c>
      <c r="F1193" s="20" t="s">
        <v>29</v>
      </c>
      <c r="G1193" s="2" t="s">
        <v>78</v>
      </c>
      <c r="H1193" s="2" t="str">
        <f>'PFAS Properties'!$B$55</f>
        <v>FHxSA</v>
      </c>
      <c r="I1193" s="2" t="str">
        <f>'PFAS Properties'!$C$55</f>
        <v>FOSA</v>
      </c>
      <c r="J1193" s="2" t="str">
        <f>'PFAS Properties'!$D$55</f>
        <v>C6H2F13NO2S</v>
      </c>
      <c r="K1193" s="25">
        <f>'PFAS Properties'!$P$55</f>
        <v>398.95980000000003</v>
      </c>
      <c r="L1193" s="2">
        <f>'PFAS Properties'!$X$55</f>
        <v>6.2</v>
      </c>
      <c r="M1193" s="2" t="str">
        <f>'PFAS Properties'!$Y$55</f>
        <v>-</v>
      </c>
      <c r="N1193" s="33">
        <v>0</v>
      </c>
      <c r="O1193" s="33">
        <v>0</v>
      </c>
      <c r="P1193" s="33">
        <v>0</v>
      </c>
      <c r="Q1193" s="33">
        <f t="shared" si="674"/>
        <v>0.88818423022188298</v>
      </c>
      <c r="R1193" s="33">
        <v>0</v>
      </c>
      <c r="S1193" s="33">
        <f t="shared" si="675"/>
        <v>0.11181576977811705</v>
      </c>
      <c r="T1193" s="8">
        <f t="shared" si="662"/>
        <v>1</v>
      </c>
      <c r="U1193" s="33">
        <f t="shared" si="676"/>
        <v>0</v>
      </c>
      <c r="V1193" s="33">
        <f t="shared" si="677"/>
        <v>-0.88818423022188298</v>
      </c>
      <c r="W1193" s="33">
        <f t="shared" si="678"/>
        <v>398.07161576977819</v>
      </c>
      <c r="X1193" s="33">
        <v>96485</v>
      </c>
      <c r="Y1193" s="16">
        <f t="shared" si="679"/>
        <v>-215.27899015668652</v>
      </c>
      <c r="Z1193" s="16">
        <v>6</v>
      </c>
      <c r="AA1193" s="16">
        <v>13</v>
      </c>
      <c r="AB1193" s="8">
        <f t="shared" si="680"/>
        <v>0.291497975708502</v>
      </c>
      <c r="AC1193" s="16">
        <f t="shared" si="668"/>
        <v>61.910999554341061</v>
      </c>
      <c r="AD1193" s="20">
        <f>'PFAS Properties'!$W$55</f>
        <v>6</v>
      </c>
      <c r="AE1193" s="8">
        <f>'PFAS Properties'!$S$55</f>
        <v>2.6794278966121188</v>
      </c>
      <c r="AF1193" s="2">
        <f>'PFAS Properties'!$V$55</f>
        <v>3.5</v>
      </c>
      <c r="AG1193" s="24">
        <v>7.1</v>
      </c>
      <c r="AH1193" s="2" t="s">
        <v>183</v>
      </c>
      <c r="AI1193" s="2" t="s">
        <v>661</v>
      </c>
      <c r="AJ1193" s="2" t="s">
        <v>661</v>
      </c>
      <c r="AK1193" s="2" t="s">
        <v>661</v>
      </c>
      <c r="AL1193" s="2" t="s">
        <v>661</v>
      </c>
      <c r="AM1193" s="2" t="s">
        <v>661</v>
      </c>
      <c r="AN1193" s="2" t="s">
        <v>661</v>
      </c>
      <c r="AO1193" s="2" t="s">
        <v>661</v>
      </c>
      <c r="AP1193" s="15">
        <v>17.420000000000002</v>
      </c>
      <c r="AQ1193" s="2" t="s">
        <v>661</v>
      </c>
      <c r="AR1193" s="16">
        <v>48.86</v>
      </c>
      <c r="AS1193" s="16">
        <v>16.05</v>
      </c>
      <c r="AT1193" s="16">
        <v>35.090000000000003</v>
      </c>
      <c r="AU1193" s="2" t="s">
        <v>661</v>
      </c>
      <c r="AV1193" s="16">
        <f t="shared" si="669"/>
        <v>100</v>
      </c>
      <c r="AW1193" s="20">
        <v>1.19</v>
      </c>
      <c r="AX1193" s="8">
        <f t="shared" si="670"/>
        <v>1.1899999999999999E-2</v>
      </c>
      <c r="AY1193" s="8" t="s">
        <v>184</v>
      </c>
      <c r="AZ1193" s="16">
        <v>100</v>
      </c>
      <c r="BA1193" s="16" t="s">
        <v>55</v>
      </c>
      <c r="BB1193" s="16">
        <v>5</v>
      </c>
      <c r="BC1193" s="16" t="s">
        <v>55</v>
      </c>
      <c r="BD1193" s="20">
        <v>0.82</v>
      </c>
      <c r="BE1193" s="16">
        <f t="shared" si="671"/>
        <v>68.907563025210081</v>
      </c>
      <c r="BF1193" s="16">
        <f t="shared" si="672"/>
        <v>1.8382668909911859</v>
      </c>
      <c r="BG1193" s="8">
        <f t="shared" si="673"/>
        <v>-8.6186147616283335E-2</v>
      </c>
      <c r="BH1193" s="13" t="s">
        <v>345</v>
      </c>
      <c r="BI1193" s="13"/>
      <c r="BJ1193" s="13"/>
      <c r="BK1193" s="13"/>
      <c r="BL1193" s="13"/>
      <c r="BM1193" s="17"/>
      <c r="BN1193" s="17"/>
      <c r="BO1193" s="2"/>
    </row>
    <row r="1194" spans="1:67" s="14" customFormat="1" x14ac:dyDescent="0.3">
      <c r="A1194" s="20">
        <v>1192</v>
      </c>
      <c r="B1194" s="2" t="s">
        <v>181</v>
      </c>
      <c r="C1194" s="2">
        <v>2020</v>
      </c>
      <c r="D1194" s="2" t="s">
        <v>203</v>
      </c>
      <c r="E1194" s="10" t="s">
        <v>787</v>
      </c>
      <c r="F1194" s="20" t="s">
        <v>29</v>
      </c>
      <c r="G1194" s="2" t="s">
        <v>98</v>
      </c>
      <c r="H1194" s="2" t="str">
        <f>'PFAS Properties'!$B$55</f>
        <v>FHxSA</v>
      </c>
      <c r="I1194" s="2" t="str">
        <f>'PFAS Properties'!$C$55</f>
        <v>FOSA</v>
      </c>
      <c r="J1194" s="2" t="str">
        <f>'PFAS Properties'!$D$55</f>
        <v>C6H2F13NO2S</v>
      </c>
      <c r="K1194" s="25">
        <f>'PFAS Properties'!$P$55</f>
        <v>398.95980000000003</v>
      </c>
      <c r="L1194" s="2">
        <f>'PFAS Properties'!$X$55</f>
        <v>6.2</v>
      </c>
      <c r="M1194" s="2" t="str">
        <f>'PFAS Properties'!$Y$55</f>
        <v>-</v>
      </c>
      <c r="N1194" s="33">
        <v>0</v>
      </c>
      <c r="O1194" s="33">
        <v>0</v>
      </c>
      <c r="P1194" s="33">
        <v>0</v>
      </c>
      <c r="Q1194" s="33">
        <f t="shared" si="674"/>
        <v>0.61313682015314319</v>
      </c>
      <c r="R1194" s="33">
        <v>0</v>
      </c>
      <c r="S1194" s="33">
        <f t="shared" si="675"/>
        <v>0.38686317984685686</v>
      </c>
      <c r="T1194" s="8">
        <f t="shared" si="662"/>
        <v>1</v>
      </c>
      <c r="U1194" s="33">
        <f t="shared" si="676"/>
        <v>0</v>
      </c>
      <c r="V1194" s="33">
        <f t="shared" si="677"/>
        <v>-0.61313682015314319</v>
      </c>
      <c r="W1194" s="33">
        <f t="shared" si="678"/>
        <v>398.34666317984693</v>
      </c>
      <c r="X1194" s="33">
        <v>96485</v>
      </c>
      <c r="Y1194" s="16">
        <f t="shared" si="679"/>
        <v>-148.51010830676128</v>
      </c>
      <c r="Z1194" s="16">
        <v>6</v>
      </c>
      <c r="AA1194" s="16">
        <v>13</v>
      </c>
      <c r="AB1194" s="8">
        <f t="shared" si="680"/>
        <v>0.291497975708502</v>
      </c>
      <c r="AC1194" s="16">
        <f t="shared" si="668"/>
        <v>61.910999554341061</v>
      </c>
      <c r="AD1194" s="20">
        <f>'PFAS Properties'!$W$55</f>
        <v>6</v>
      </c>
      <c r="AE1194" s="8">
        <f>'PFAS Properties'!$S$55</f>
        <v>2.6794278966121188</v>
      </c>
      <c r="AF1194" s="2">
        <f>'PFAS Properties'!$V$55</f>
        <v>3.5</v>
      </c>
      <c r="AG1194" s="24">
        <v>6.4</v>
      </c>
      <c r="AH1194" s="2" t="s">
        <v>183</v>
      </c>
      <c r="AI1194" s="2" t="s">
        <v>661</v>
      </c>
      <c r="AJ1194" s="15" t="s">
        <v>661</v>
      </c>
      <c r="AK1194" s="8" t="s">
        <v>661</v>
      </c>
      <c r="AL1194" s="2" t="s">
        <v>661</v>
      </c>
      <c r="AM1194" s="15" t="s">
        <v>661</v>
      </c>
      <c r="AN1194" s="8" t="s">
        <v>661</v>
      </c>
      <c r="AO1194" s="15" t="s">
        <v>661</v>
      </c>
      <c r="AP1194" s="15">
        <v>16.54</v>
      </c>
      <c r="AQ1194" s="13" t="s">
        <v>661</v>
      </c>
      <c r="AR1194" s="16">
        <v>29.38</v>
      </c>
      <c r="AS1194" s="16">
        <v>13.9</v>
      </c>
      <c r="AT1194" s="16">
        <v>56.71</v>
      </c>
      <c r="AU1194" s="15" t="s">
        <v>661</v>
      </c>
      <c r="AV1194" s="16">
        <f t="shared" si="669"/>
        <v>99.990000000000009</v>
      </c>
      <c r="AW1194" s="20">
        <v>0.17</v>
      </c>
      <c r="AX1194" s="8">
        <f t="shared" si="670"/>
        <v>1.7000000000000001E-3</v>
      </c>
      <c r="AY1194" s="8" t="s">
        <v>184</v>
      </c>
      <c r="AZ1194" s="16">
        <v>100</v>
      </c>
      <c r="BA1194" s="16" t="s">
        <v>55</v>
      </c>
      <c r="BB1194" s="16">
        <v>5</v>
      </c>
      <c r="BC1194" s="16" t="s">
        <v>55</v>
      </c>
      <c r="BD1194" s="20">
        <v>2.75</v>
      </c>
      <c r="BE1194" s="16">
        <f t="shared" si="671"/>
        <v>1617.6470588235293</v>
      </c>
      <c r="BF1194" s="16">
        <f t="shared" si="672"/>
        <v>3.2088837724519887</v>
      </c>
      <c r="BG1194" s="8">
        <f t="shared" si="673"/>
        <v>0.43933269383026263</v>
      </c>
      <c r="BH1194" s="13" t="s">
        <v>345</v>
      </c>
      <c r="BI1194" s="13"/>
      <c r="BJ1194" s="13"/>
      <c r="BK1194" s="13"/>
      <c r="BL1194" s="13"/>
      <c r="BM1194" s="17"/>
      <c r="BN1194" s="17"/>
      <c r="BO1194" s="2"/>
    </row>
    <row r="1195" spans="1:67" s="14" customFormat="1" x14ac:dyDescent="0.3">
      <c r="A1195" s="20">
        <v>1193</v>
      </c>
      <c r="B1195" s="2" t="s">
        <v>247</v>
      </c>
      <c r="C1195" s="2">
        <v>2011</v>
      </c>
      <c r="D1195" s="2" t="s">
        <v>199</v>
      </c>
      <c r="E1195" s="10" t="s">
        <v>246</v>
      </c>
      <c r="F1195" s="20" t="s">
        <v>63</v>
      </c>
      <c r="G1195" s="2" t="s">
        <v>126</v>
      </c>
      <c r="H1195" s="2" t="str">
        <f>'PFAS Properties'!$B$56</f>
        <v>PFOSA</v>
      </c>
      <c r="I1195" s="2" t="str">
        <f>'PFAS Properties'!$C$56</f>
        <v>FOSA</v>
      </c>
      <c r="J1195" s="2" t="str">
        <f>'PFAS Properties'!$D$56</f>
        <v>C8H2F17NO2S</v>
      </c>
      <c r="K1195" s="25">
        <f>'PFAS Properties'!$P$56</f>
        <v>498.95340000000004</v>
      </c>
      <c r="L1195" s="2">
        <f>'PFAS Properties'!$X$56</f>
        <v>6.2</v>
      </c>
      <c r="M1195" s="2" t="str">
        <f>'PFAS Properties'!$Y$56</f>
        <v>-</v>
      </c>
      <c r="N1195" s="33">
        <v>0</v>
      </c>
      <c r="O1195" s="33">
        <v>0</v>
      </c>
      <c r="P1195" s="33">
        <v>0</v>
      </c>
      <c r="Q1195" s="33">
        <f t="shared" si="674"/>
        <v>0.74315135718388992</v>
      </c>
      <c r="R1195" s="33">
        <v>0</v>
      </c>
      <c r="S1195" s="33">
        <f t="shared" si="675"/>
        <v>0.25684864281611008</v>
      </c>
      <c r="T1195" s="8">
        <f t="shared" si="662"/>
        <v>1</v>
      </c>
      <c r="U1195" s="33">
        <f t="shared" si="676"/>
        <v>0</v>
      </c>
      <c r="V1195" s="33">
        <f t="shared" si="677"/>
        <v>-0.74315135718388992</v>
      </c>
      <c r="W1195" s="33">
        <f t="shared" si="678"/>
        <v>498.21024864281617</v>
      </c>
      <c r="X1195" s="33">
        <v>96485</v>
      </c>
      <c r="Y1195" s="16">
        <f t="shared" si="679"/>
        <v>-143.92108330411705</v>
      </c>
      <c r="Z1195" s="16">
        <v>8</v>
      </c>
      <c r="AA1195" s="16">
        <v>17</v>
      </c>
      <c r="AB1195" s="8">
        <f t="shared" si="680"/>
        <v>0.29721362229102166</v>
      </c>
      <c r="AC1195" s="16">
        <f t="shared" si="668"/>
        <v>64.735504357721567</v>
      </c>
      <c r="AD1195" s="20">
        <f>'PFAS Properties'!$W$56</f>
        <v>8</v>
      </c>
      <c r="AE1195" s="8">
        <f>'PFAS Properties'!$S$56</f>
        <v>0.90525604874845123</v>
      </c>
      <c r="AF1195" s="2">
        <f>'PFAS Properties'!$V$56</f>
        <v>4.8</v>
      </c>
      <c r="AG1195" s="124">
        <v>6.6614000000000004</v>
      </c>
      <c r="AH1195" s="70" t="s">
        <v>752</v>
      </c>
      <c r="AI1195" s="2" t="s">
        <v>661</v>
      </c>
      <c r="AJ1195" s="15" t="s">
        <v>661</v>
      </c>
      <c r="AK1195" s="8" t="s">
        <v>661</v>
      </c>
      <c r="AL1195" s="2" t="s">
        <v>661</v>
      </c>
      <c r="AM1195" s="15" t="s">
        <v>661</v>
      </c>
      <c r="AN1195" s="8" t="s">
        <v>661</v>
      </c>
      <c r="AO1195" s="15" t="s">
        <v>661</v>
      </c>
      <c r="AP1195" s="72">
        <v>5.6683166666666667</v>
      </c>
      <c r="AQ1195" s="70" t="s">
        <v>752</v>
      </c>
      <c r="AR1195" s="16">
        <v>100</v>
      </c>
      <c r="AS1195" s="16">
        <v>0</v>
      </c>
      <c r="AT1195" s="16">
        <v>0</v>
      </c>
      <c r="AU1195" s="2" t="s">
        <v>661</v>
      </c>
      <c r="AV1195" s="16">
        <f t="shared" si="669"/>
        <v>100</v>
      </c>
      <c r="AW1195" s="20">
        <v>0.03</v>
      </c>
      <c r="AX1195" s="8">
        <f t="shared" si="670"/>
        <v>2.9999999999999997E-4</v>
      </c>
      <c r="AY1195" s="13" t="s">
        <v>127</v>
      </c>
      <c r="AZ1195" s="16">
        <v>20</v>
      </c>
      <c r="BA1195" s="16" t="s">
        <v>55</v>
      </c>
      <c r="BB1195" s="15">
        <v>1.4</v>
      </c>
      <c r="BC1195" s="16">
        <v>143</v>
      </c>
      <c r="BD1195" s="25">
        <f>(15.9+23.3+13.2+19+16.3)/5</f>
        <v>17.54</v>
      </c>
      <c r="BE1195" s="16">
        <f t="shared" si="671"/>
        <v>58466.666666666672</v>
      </c>
      <c r="BF1195" s="16">
        <f t="shared" si="672"/>
        <v>4.7669083343103589</v>
      </c>
      <c r="BG1195" s="8">
        <f t="shared" si="673"/>
        <v>1.2440295890300217</v>
      </c>
      <c r="BH1195" s="13" t="s">
        <v>871</v>
      </c>
      <c r="BI1195" s="13"/>
      <c r="BJ1195" s="13"/>
      <c r="BK1195" s="13"/>
      <c r="BL1195" s="13"/>
      <c r="BM1195" s="17"/>
      <c r="BN1195" s="17"/>
      <c r="BO1195" s="2"/>
    </row>
    <row r="1196" spans="1:67" s="14" customFormat="1" x14ac:dyDescent="0.3">
      <c r="A1196" s="20">
        <v>1194</v>
      </c>
      <c r="B1196" s="2" t="s">
        <v>247</v>
      </c>
      <c r="C1196" s="2">
        <v>2011</v>
      </c>
      <c r="D1196" s="2" t="s">
        <v>199</v>
      </c>
      <c r="E1196" s="10" t="s">
        <v>246</v>
      </c>
      <c r="F1196" s="20" t="s">
        <v>63</v>
      </c>
      <c r="G1196" s="2" t="s">
        <v>128</v>
      </c>
      <c r="H1196" s="2" t="str">
        <f>'PFAS Properties'!$B$56</f>
        <v>PFOSA</v>
      </c>
      <c r="I1196" s="2" t="str">
        <f>'PFAS Properties'!$C$56</f>
        <v>FOSA</v>
      </c>
      <c r="J1196" s="2" t="str">
        <f>'PFAS Properties'!$D$56</f>
        <v>C8H2F17NO2S</v>
      </c>
      <c r="K1196" s="25">
        <f>'PFAS Properties'!$P$56</f>
        <v>498.95340000000004</v>
      </c>
      <c r="L1196" s="2">
        <f>'PFAS Properties'!$X$56</f>
        <v>6.2</v>
      </c>
      <c r="M1196" s="2" t="str">
        <f>'PFAS Properties'!$Y$56</f>
        <v>-</v>
      </c>
      <c r="N1196" s="33">
        <v>0</v>
      </c>
      <c r="O1196" s="33">
        <v>0</v>
      </c>
      <c r="P1196" s="33">
        <v>0</v>
      </c>
      <c r="Q1196" s="33">
        <f t="shared" si="674"/>
        <v>0.93210105890867467</v>
      </c>
      <c r="R1196" s="33">
        <v>0</v>
      </c>
      <c r="S1196" s="33">
        <f t="shared" si="675"/>
        <v>6.7898941091325299E-2</v>
      </c>
      <c r="T1196" s="8">
        <f t="shared" si="662"/>
        <v>1</v>
      </c>
      <c r="U1196" s="33">
        <f t="shared" si="676"/>
        <v>0</v>
      </c>
      <c r="V1196" s="33">
        <f t="shared" si="677"/>
        <v>-0.93210105890867467</v>
      </c>
      <c r="W1196" s="33">
        <f t="shared" si="678"/>
        <v>498.02129894109135</v>
      </c>
      <c r="X1196" s="33">
        <v>96485</v>
      </c>
      <c r="Y1196" s="16">
        <f t="shared" si="679"/>
        <v>-180.58217762979919</v>
      </c>
      <c r="Z1196" s="16">
        <v>8</v>
      </c>
      <c r="AA1196" s="16">
        <v>17</v>
      </c>
      <c r="AB1196" s="8">
        <f t="shared" si="680"/>
        <v>0.29721362229102166</v>
      </c>
      <c r="AC1196" s="16">
        <f t="shared" si="668"/>
        <v>64.735504357721567</v>
      </c>
      <c r="AD1196" s="20">
        <f>'PFAS Properties'!$W$56</f>
        <v>8</v>
      </c>
      <c r="AE1196" s="8">
        <f>'PFAS Properties'!$S$56</f>
        <v>0.90525604874845123</v>
      </c>
      <c r="AF1196" s="2">
        <f>'PFAS Properties'!$V$56</f>
        <v>4.8</v>
      </c>
      <c r="AG1196" s="124">
        <v>7.3376000000000001</v>
      </c>
      <c r="AH1196" s="70" t="s">
        <v>752</v>
      </c>
      <c r="AI1196" s="2" t="s">
        <v>661</v>
      </c>
      <c r="AJ1196" s="15" t="s">
        <v>661</v>
      </c>
      <c r="AK1196" s="8" t="s">
        <v>661</v>
      </c>
      <c r="AL1196" s="2" t="s">
        <v>661</v>
      </c>
      <c r="AM1196" s="15" t="s">
        <v>661</v>
      </c>
      <c r="AN1196" s="8" t="s">
        <v>661</v>
      </c>
      <c r="AO1196" s="15" t="s">
        <v>661</v>
      </c>
      <c r="AP1196" s="72">
        <v>11.99159166666667</v>
      </c>
      <c r="AQ1196" s="70" t="s">
        <v>752</v>
      </c>
      <c r="AR1196" s="16">
        <v>0</v>
      </c>
      <c r="AS1196" s="16">
        <v>100</v>
      </c>
      <c r="AT1196" s="16">
        <v>0</v>
      </c>
      <c r="AU1196" s="2" t="s">
        <v>661</v>
      </c>
      <c r="AV1196" s="16">
        <f t="shared" si="669"/>
        <v>100</v>
      </c>
      <c r="AW1196" s="20">
        <v>1.6</v>
      </c>
      <c r="AX1196" s="8">
        <f t="shared" si="670"/>
        <v>1.6E-2</v>
      </c>
      <c r="AY1196" s="13" t="s">
        <v>127</v>
      </c>
      <c r="AZ1196" s="16">
        <v>20</v>
      </c>
      <c r="BA1196" s="16" t="s">
        <v>55</v>
      </c>
      <c r="BB1196" s="16">
        <v>1.4</v>
      </c>
      <c r="BC1196" s="16">
        <v>143</v>
      </c>
      <c r="BD1196" s="20">
        <f>(139+165+187+159+200)/5</f>
        <v>170</v>
      </c>
      <c r="BE1196" s="16">
        <f t="shared" si="671"/>
        <v>10625</v>
      </c>
      <c r="BF1196" s="16">
        <f t="shared" si="672"/>
        <v>4.0263289387223491</v>
      </c>
      <c r="BG1196" s="8">
        <f t="shared" si="673"/>
        <v>2.2304489213782741</v>
      </c>
      <c r="BH1196" s="13" t="s">
        <v>871</v>
      </c>
      <c r="BI1196" s="13"/>
      <c r="BJ1196" s="13"/>
      <c r="BK1196" s="13"/>
      <c r="BL1196" s="13"/>
      <c r="BM1196" s="17"/>
      <c r="BN1196" s="17"/>
      <c r="BO1196" s="2"/>
    </row>
    <row r="1197" spans="1:67" s="14" customFormat="1" x14ac:dyDescent="0.3">
      <c r="A1197" s="20">
        <v>1195</v>
      </c>
      <c r="B1197" s="2" t="s">
        <v>247</v>
      </c>
      <c r="C1197" s="2">
        <v>2011</v>
      </c>
      <c r="D1197" s="2" t="s">
        <v>199</v>
      </c>
      <c r="E1197" s="10" t="s">
        <v>246</v>
      </c>
      <c r="F1197" s="20" t="s">
        <v>63</v>
      </c>
      <c r="G1197" s="2" t="s">
        <v>130</v>
      </c>
      <c r="H1197" s="2" t="str">
        <f>'PFAS Properties'!$B$56</f>
        <v>PFOSA</v>
      </c>
      <c r="I1197" s="2" t="str">
        <f>'PFAS Properties'!$C$56</f>
        <v>FOSA</v>
      </c>
      <c r="J1197" s="2" t="str">
        <f>'PFAS Properties'!$D$56</f>
        <v>C8H2F17NO2S</v>
      </c>
      <c r="K1197" s="25">
        <f>'PFAS Properties'!$P$56</f>
        <v>498.95340000000004</v>
      </c>
      <c r="L1197" s="2">
        <f>'PFAS Properties'!$X$56</f>
        <v>6.2</v>
      </c>
      <c r="M1197" s="2" t="str">
        <f>'PFAS Properties'!$Y$56</f>
        <v>-</v>
      </c>
      <c r="N1197" s="33">
        <v>0</v>
      </c>
      <c r="O1197" s="33">
        <v>0</v>
      </c>
      <c r="P1197" s="33">
        <v>0</v>
      </c>
      <c r="Q1197" s="33">
        <f t="shared" si="674"/>
        <v>0.93210105890867467</v>
      </c>
      <c r="R1197" s="33">
        <v>0</v>
      </c>
      <c r="S1197" s="33">
        <f t="shared" si="675"/>
        <v>6.7898941091325299E-2</v>
      </c>
      <c r="T1197" s="8">
        <f t="shared" si="662"/>
        <v>1</v>
      </c>
      <c r="U1197" s="33">
        <f t="shared" si="676"/>
        <v>0</v>
      </c>
      <c r="V1197" s="33">
        <f t="shared" si="677"/>
        <v>-0.93210105890867467</v>
      </c>
      <c r="W1197" s="33">
        <f t="shared" si="678"/>
        <v>498.02129894109135</v>
      </c>
      <c r="X1197" s="33">
        <v>96485</v>
      </c>
      <c r="Y1197" s="16">
        <f t="shared" si="679"/>
        <v>-180.58217762979919</v>
      </c>
      <c r="Z1197" s="16">
        <v>8</v>
      </c>
      <c r="AA1197" s="16">
        <v>17</v>
      </c>
      <c r="AB1197" s="8">
        <f t="shared" si="680"/>
        <v>0.29721362229102166</v>
      </c>
      <c r="AC1197" s="16">
        <f t="shared" ref="AC1197:AC1234" si="681">((AA1197*19)/K1197)*100</f>
        <v>64.735504357721567</v>
      </c>
      <c r="AD1197" s="20">
        <f>'PFAS Properties'!$W$56</f>
        <v>8</v>
      </c>
      <c r="AE1197" s="8">
        <f>'PFAS Properties'!$S$56</f>
        <v>0.90525604874845123</v>
      </c>
      <c r="AF1197" s="2">
        <f>'PFAS Properties'!$V$56</f>
        <v>4.8</v>
      </c>
      <c r="AG1197" s="124">
        <v>7.3376000000000001</v>
      </c>
      <c r="AH1197" s="70" t="s">
        <v>752</v>
      </c>
      <c r="AI1197" s="2" t="s">
        <v>661</v>
      </c>
      <c r="AJ1197" s="15" t="s">
        <v>661</v>
      </c>
      <c r="AK1197" s="8" t="s">
        <v>661</v>
      </c>
      <c r="AL1197" s="2" t="s">
        <v>661</v>
      </c>
      <c r="AM1197" s="15" t="s">
        <v>661</v>
      </c>
      <c r="AN1197" s="8" t="s">
        <v>661</v>
      </c>
      <c r="AO1197" s="15" t="s">
        <v>661</v>
      </c>
      <c r="AP1197" s="72">
        <v>11.99159166666667</v>
      </c>
      <c r="AQ1197" s="70" t="s">
        <v>752</v>
      </c>
      <c r="AR1197" s="16">
        <v>0</v>
      </c>
      <c r="AS1197" s="16">
        <v>100</v>
      </c>
      <c r="AT1197" s="16">
        <v>0</v>
      </c>
      <c r="AU1197" s="2" t="s">
        <v>661</v>
      </c>
      <c r="AV1197" s="16">
        <f t="shared" si="669"/>
        <v>100</v>
      </c>
      <c r="AW1197" s="20">
        <v>1.1000000000000001</v>
      </c>
      <c r="AX1197" s="8">
        <f t="shared" si="670"/>
        <v>1.1000000000000001E-2</v>
      </c>
      <c r="AY1197" s="13" t="s">
        <v>127</v>
      </c>
      <c r="AZ1197" s="16">
        <v>20</v>
      </c>
      <c r="BA1197" s="16" t="s">
        <v>55</v>
      </c>
      <c r="BB1197" s="16">
        <v>1.4</v>
      </c>
      <c r="BC1197" s="16">
        <v>143</v>
      </c>
      <c r="BD1197" s="25">
        <f>(43.8+42+59.3+34.5+38.3)/5</f>
        <v>43.58</v>
      </c>
      <c r="BE1197" s="16">
        <f t="shared" si="671"/>
        <v>3961.8181818181811</v>
      </c>
      <c r="BF1197" s="16">
        <f t="shared" si="672"/>
        <v>3.5978945407520118</v>
      </c>
      <c r="BG1197" s="8">
        <f t="shared" si="673"/>
        <v>1.6392872259102369</v>
      </c>
      <c r="BH1197" s="13" t="s">
        <v>871</v>
      </c>
      <c r="BI1197" s="13"/>
      <c r="BJ1197" s="13"/>
      <c r="BK1197" s="13"/>
      <c r="BL1197" s="13"/>
      <c r="BM1197" s="17"/>
      <c r="BN1197" s="17"/>
      <c r="BO1197" s="2"/>
    </row>
    <row r="1198" spans="1:67" s="94" customFormat="1" x14ac:dyDescent="0.3">
      <c r="A1198" s="83">
        <v>1196</v>
      </c>
      <c r="B1198" s="84" t="s">
        <v>195</v>
      </c>
      <c r="C1198" s="84">
        <v>2018</v>
      </c>
      <c r="D1198" s="84" t="s">
        <v>199</v>
      </c>
      <c r="E1198" s="98" t="s">
        <v>795</v>
      </c>
      <c r="F1198" s="83" t="s">
        <v>29</v>
      </c>
      <c r="G1198" s="84" t="s">
        <v>47</v>
      </c>
      <c r="H1198" s="84" t="str">
        <f>'PFAS Properties'!$B$56</f>
        <v>PFOSA</v>
      </c>
      <c r="I1198" s="84" t="str">
        <f>'PFAS Properties'!$C$56</f>
        <v>FOSA</v>
      </c>
      <c r="J1198" s="84" t="str">
        <f>'PFAS Properties'!$D$56</f>
        <v>C8H2F17NO2S</v>
      </c>
      <c r="K1198" s="99">
        <f>'PFAS Properties'!$P$56</f>
        <v>498.95340000000004</v>
      </c>
      <c r="L1198" s="84">
        <f>'PFAS Properties'!$X$56</f>
        <v>6.2</v>
      </c>
      <c r="M1198" s="84" t="str">
        <f>'PFAS Properties'!$Y$56</f>
        <v>-</v>
      </c>
      <c r="N1198" s="87">
        <v>0</v>
      </c>
      <c r="O1198" s="87">
        <v>0</v>
      </c>
      <c r="P1198" s="87">
        <v>0</v>
      </c>
      <c r="Q1198" s="87">
        <f t="shared" si="674"/>
        <v>1.9562303872579508E-2</v>
      </c>
      <c r="R1198" s="87">
        <v>0</v>
      </c>
      <c r="S1198" s="87">
        <f t="shared" si="675"/>
        <v>0.9804376961274206</v>
      </c>
      <c r="T1198" s="88">
        <f t="shared" si="662"/>
        <v>1</v>
      </c>
      <c r="U1198" s="87">
        <f t="shared" si="676"/>
        <v>0</v>
      </c>
      <c r="V1198" s="87">
        <f t="shared" si="677"/>
        <v>-1.9562303872579508E-2</v>
      </c>
      <c r="W1198" s="87">
        <f t="shared" si="678"/>
        <v>498.93383769612757</v>
      </c>
      <c r="X1198" s="87">
        <v>96485</v>
      </c>
      <c r="Y1198" s="89">
        <f t="shared" si="679"/>
        <v>-3.7830043716044464</v>
      </c>
      <c r="Z1198" s="89">
        <v>10</v>
      </c>
      <c r="AA1198" s="89">
        <v>19</v>
      </c>
      <c r="AB1198" s="88">
        <f t="shared" si="680"/>
        <v>0.33240997229916897</v>
      </c>
      <c r="AC1198" s="89">
        <f t="shared" si="681"/>
        <v>72.351446046865291</v>
      </c>
      <c r="AD1198" s="83">
        <f>'PFAS Properties'!$W$35</f>
        <v>9</v>
      </c>
      <c r="AE1198" s="88">
        <f>'PFAS Properties'!$S$35</f>
        <v>0.90308998699194354</v>
      </c>
      <c r="AF1198" s="90">
        <f>'PFAS Properties'!$V$35</f>
        <v>6.3</v>
      </c>
      <c r="AG1198" s="93">
        <v>4.5</v>
      </c>
      <c r="AH1198" s="84" t="s">
        <v>658</v>
      </c>
      <c r="AI1198" s="88">
        <f>AJ1198*55.845/1000</f>
        <v>5.8637250000000002E-2</v>
      </c>
      <c r="AJ1198" s="89">
        <v>1.05</v>
      </c>
      <c r="AK1198" s="88">
        <f t="shared" ref="AK1198:AK1211" si="682">AI1198/10</f>
        <v>5.8637250000000002E-3</v>
      </c>
      <c r="AL1198" s="90">
        <f>AM1198*26.98/1000</f>
        <v>0.18454320000000002</v>
      </c>
      <c r="AM1198" s="89">
        <v>6.84</v>
      </c>
      <c r="AN1198" s="88">
        <f t="shared" ref="AN1198:AN1211" si="683">AL1198/10</f>
        <v>1.8454320000000003E-2</v>
      </c>
      <c r="AO1198" s="84" t="s">
        <v>48</v>
      </c>
      <c r="AP1198" s="92">
        <v>21.496500000000001</v>
      </c>
      <c r="AQ1198" s="84" t="s">
        <v>752</v>
      </c>
      <c r="AR1198" s="96">
        <v>41.737499999999997</v>
      </c>
      <c r="AS1198" s="96">
        <v>35.036999999999999</v>
      </c>
      <c r="AT1198" s="96">
        <v>21.971</v>
      </c>
      <c r="AU1198" s="84" t="s">
        <v>752</v>
      </c>
      <c r="AV1198" s="89">
        <f t="shared" si="669"/>
        <v>98.745499999999993</v>
      </c>
      <c r="AW1198" s="83">
        <v>45</v>
      </c>
      <c r="AX1198" s="88">
        <f t="shared" si="670"/>
        <v>0.45</v>
      </c>
      <c r="AY1198" s="88" t="s">
        <v>49</v>
      </c>
      <c r="AZ1198" s="89">
        <f>0.45/0.04</f>
        <v>11.25</v>
      </c>
      <c r="BA1198" s="89" t="s">
        <v>55</v>
      </c>
      <c r="BB1198" s="89">
        <v>1.25</v>
      </c>
      <c r="BC1198" s="89" t="s">
        <v>55</v>
      </c>
      <c r="BD1198" s="99">
        <f>(10^(5)*AX1198)</f>
        <v>45000</v>
      </c>
      <c r="BE1198" s="89">
        <f t="shared" si="671"/>
        <v>100000</v>
      </c>
      <c r="BF1198" s="89">
        <f t="shared" si="672"/>
        <v>5</v>
      </c>
      <c r="BG1198" s="88">
        <f t="shared" si="673"/>
        <v>4.653212513775344</v>
      </c>
      <c r="BH1198" s="84" t="s">
        <v>823</v>
      </c>
      <c r="BI1198" s="84"/>
      <c r="BJ1198" s="84"/>
      <c r="BK1198" s="84"/>
      <c r="BL1198" s="84"/>
      <c r="BM1198" s="83"/>
      <c r="BN1198" s="83"/>
      <c r="BO1198" s="84"/>
    </row>
    <row r="1199" spans="1:67" s="14" customFormat="1" x14ac:dyDescent="0.3">
      <c r="A1199" s="20">
        <v>1197</v>
      </c>
      <c r="B1199" s="2" t="s">
        <v>195</v>
      </c>
      <c r="C1199" s="2">
        <v>2022</v>
      </c>
      <c r="D1199" s="2" t="s">
        <v>199</v>
      </c>
      <c r="E1199" s="22" t="s">
        <v>798</v>
      </c>
      <c r="F1199" s="20" t="s">
        <v>29</v>
      </c>
      <c r="G1199" s="2" t="s">
        <v>237</v>
      </c>
      <c r="H1199" s="2" t="str">
        <f>'PFAS Properties'!$B$56</f>
        <v>PFOSA</v>
      </c>
      <c r="I1199" s="2" t="str">
        <f>'PFAS Properties'!$C$56</f>
        <v>FOSA</v>
      </c>
      <c r="J1199" s="2" t="str">
        <f>'PFAS Properties'!$D$56</f>
        <v>C8H2F17NO2S</v>
      </c>
      <c r="K1199" s="25">
        <f>'PFAS Properties'!$P$56</f>
        <v>498.95340000000004</v>
      </c>
      <c r="L1199" s="2">
        <f>'PFAS Properties'!$X$56</f>
        <v>6.2</v>
      </c>
      <c r="M1199" s="2" t="str">
        <f>'PFAS Properties'!$Y$56</f>
        <v>-</v>
      </c>
      <c r="N1199" s="33">
        <v>0</v>
      </c>
      <c r="O1199" s="33">
        <v>0</v>
      </c>
      <c r="P1199" s="33">
        <v>0</v>
      </c>
      <c r="Q1199" s="33">
        <f t="shared" si="674"/>
        <v>3.0653430031715497E-2</v>
      </c>
      <c r="R1199" s="33">
        <v>0</v>
      </c>
      <c r="S1199" s="33">
        <f t="shared" si="675"/>
        <v>0.96934656996828439</v>
      </c>
      <c r="T1199" s="8">
        <f t="shared" si="662"/>
        <v>0.99999999999999989</v>
      </c>
      <c r="U1199" s="33">
        <f t="shared" si="676"/>
        <v>0</v>
      </c>
      <c r="V1199" s="33">
        <f t="shared" si="677"/>
        <v>-3.0653430031715497E-2</v>
      </c>
      <c r="W1199" s="33">
        <f t="shared" si="678"/>
        <v>498.9227465699683</v>
      </c>
      <c r="X1199" s="33">
        <v>96485</v>
      </c>
      <c r="Y1199" s="16">
        <f t="shared" si="679"/>
        <v>-5.9279642328259738</v>
      </c>
      <c r="Z1199" s="16">
        <v>8</v>
      </c>
      <c r="AA1199" s="16">
        <v>17</v>
      </c>
      <c r="AB1199" s="8">
        <f t="shared" si="680"/>
        <v>0.29721362229102166</v>
      </c>
      <c r="AC1199" s="16">
        <f t="shared" si="681"/>
        <v>64.735504357721567</v>
      </c>
      <c r="AD1199" s="20">
        <f>'PFAS Properties'!$W$56</f>
        <v>8</v>
      </c>
      <c r="AE1199" s="8">
        <f>'PFAS Properties'!$S$56</f>
        <v>0.90525604874845123</v>
      </c>
      <c r="AF1199" s="2">
        <f>'PFAS Properties'!$V$56</f>
        <v>4.8</v>
      </c>
      <c r="AG1199" s="24">
        <v>4.7</v>
      </c>
      <c r="AH1199" s="2" t="s">
        <v>832</v>
      </c>
      <c r="AI1199" s="8">
        <f>(6.8*55.845)/1000</f>
        <v>0.37974599999999997</v>
      </c>
      <c r="AJ1199" s="15">
        <f>AI1199*1000/55.845</f>
        <v>6.8</v>
      </c>
      <c r="AK1199" s="8">
        <f t="shared" si="682"/>
        <v>3.7974599999999997E-2</v>
      </c>
      <c r="AL1199" s="8">
        <f>(4*26.982)/1000</f>
        <v>0.107928</v>
      </c>
      <c r="AM1199" s="15">
        <f>AL1199*1000/55.845</f>
        <v>1.932634971796938</v>
      </c>
      <c r="AN1199" s="8">
        <f t="shared" si="683"/>
        <v>1.07928E-2</v>
      </c>
      <c r="AO1199" s="2" t="s">
        <v>86</v>
      </c>
      <c r="AP1199" s="72">
        <v>14.768748</v>
      </c>
      <c r="AQ1199" s="70" t="s">
        <v>752</v>
      </c>
      <c r="AR1199" s="71">
        <v>37.396533331999997</v>
      </c>
      <c r="AS1199" s="71">
        <v>37.430266667999987</v>
      </c>
      <c r="AT1199" s="71">
        <v>24.989000000000001</v>
      </c>
      <c r="AU1199" s="70" t="s">
        <v>752</v>
      </c>
      <c r="AV1199" s="16">
        <f t="shared" ref="AV1199:AV1201" si="684">SUM(AR1199:AT1199)</f>
        <v>99.815799999999996</v>
      </c>
      <c r="AW1199" s="20">
        <v>44.9</v>
      </c>
      <c r="AX1199" s="8">
        <f t="shared" si="670"/>
        <v>0.44900000000000001</v>
      </c>
      <c r="AY1199" s="8" t="s">
        <v>240</v>
      </c>
      <c r="AZ1199" s="16">
        <f>0.75/0.03</f>
        <v>25</v>
      </c>
      <c r="BA1199" s="16" t="s">
        <v>55</v>
      </c>
      <c r="BB1199" s="15">
        <f>(7*K1199)/1000</f>
        <v>3.4926738000000004</v>
      </c>
      <c r="BC1199" s="16">
        <f>(200*K1199)/1000</f>
        <v>99.790680000000009</v>
      </c>
      <c r="BD1199" s="25">
        <f>(10^((3.11))*AX1199)</f>
        <v>578.42404871021745</v>
      </c>
      <c r="BE1199" s="16">
        <f t="shared" si="671"/>
        <v>1288.2495516931347</v>
      </c>
      <c r="BF1199" s="16">
        <f t="shared" si="672"/>
        <v>3.1100000000000003</v>
      </c>
      <c r="BG1199" s="8">
        <f t="shared" si="673"/>
        <v>2.7622463410033236</v>
      </c>
      <c r="BH1199" s="35" t="s">
        <v>872</v>
      </c>
      <c r="BI1199" s="16"/>
      <c r="BJ1199" s="13"/>
      <c r="BK1199" s="15"/>
      <c r="BL1199" s="16"/>
      <c r="BM1199" s="18"/>
      <c r="BN1199" s="8"/>
      <c r="BO1199" s="24"/>
    </row>
    <row r="1200" spans="1:67" s="14" customFormat="1" x14ac:dyDescent="0.3">
      <c r="A1200" s="20">
        <v>1198</v>
      </c>
      <c r="B1200" s="2" t="s">
        <v>195</v>
      </c>
      <c r="C1200" s="2">
        <v>2022</v>
      </c>
      <c r="D1200" s="2" t="s">
        <v>199</v>
      </c>
      <c r="E1200" s="10" t="s">
        <v>798</v>
      </c>
      <c r="F1200" s="20" t="s">
        <v>29</v>
      </c>
      <c r="G1200" s="2" t="s">
        <v>238</v>
      </c>
      <c r="H1200" s="2" t="str">
        <f>'PFAS Properties'!$B$56</f>
        <v>PFOSA</v>
      </c>
      <c r="I1200" s="2" t="str">
        <f>'PFAS Properties'!$C$56</f>
        <v>FOSA</v>
      </c>
      <c r="J1200" s="2" t="str">
        <f>'PFAS Properties'!$D$56</f>
        <v>C8H2F17NO2S</v>
      </c>
      <c r="K1200" s="25">
        <f>'PFAS Properties'!$P$56</f>
        <v>498.95340000000004</v>
      </c>
      <c r="L1200" s="2">
        <f>'PFAS Properties'!$X$56</f>
        <v>6.2</v>
      </c>
      <c r="M1200" s="2" t="str">
        <f>'PFAS Properties'!$Y$56</f>
        <v>-</v>
      </c>
      <c r="N1200" s="33">
        <v>0</v>
      </c>
      <c r="O1200" s="33">
        <v>0</v>
      </c>
      <c r="P1200" s="33">
        <v>0</v>
      </c>
      <c r="Q1200" s="33">
        <f t="shared" si="674"/>
        <v>7.8806838503302761E-3</v>
      </c>
      <c r="R1200" s="33">
        <v>0</v>
      </c>
      <c r="S1200" s="33">
        <f t="shared" si="675"/>
        <v>0.99211931614966975</v>
      </c>
      <c r="T1200" s="8">
        <f t="shared" si="662"/>
        <v>1</v>
      </c>
      <c r="U1200" s="33">
        <f t="shared" si="676"/>
        <v>0</v>
      </c>
      <c r="V1200" s="33">
        <f t="shared" si="677"/>
        <v>-7.8806838503302761E-3</v>
      </c>
      <c r="W1200" s="33">
        <f t="shared" si="678"/>
        <v>498.94551931614973</v>
      </c>
      <c r="X1200" s="33">
        <v>96485</v>
      </c>
      <c r="Y1200" s="16">
        <f t="shared" si="679"/>
        <v>-1.5239495132479994</v>
      </c>
      <c r="Z1200" s="16">
        <v>8</v>
      </c>
      <c r="AA1200" s="16">
        <v>17</v>
      </c>
      <c r="AB1200" s="8">
        <f t="shared" si="680"/>
        <v>0.29721362229102166</v>
      </c>
      <c r="AC1200" s="16">
        <f t="shared" si="681"/>
        <v>64.735504357721567</v>
      </c>
      <c r="AD1200" s="20">
        <f>'PFAS Properties'!$W$56</f>
        <v>8</v>
      </c>
      <c r="AE1200" s="8">
        <f>'PFAS Properties'!$S$56</f>
        <v>0.90525604874845123</v>
      </c>
      <c r="AF1200" s="2">
        <f>'PFAS Properties'!$V$56</f>
        <v>4.8</v>
      </c>
      <c r="AG1200" s="24">
        <v>4.0999999999999996</v>
      </c>
      <c r="AH1200" s="2" t="s">
        <v>832</v>
      </c>
      <c r="AI1200" s="8">
        <f>(28*55.845)/1000</f>
        <v>1.5636599999999998</v>
      </c>
      <c r="AJ1200" s="15">
        <f>AI1200*1000/55.845</f>
        <v>27.999999999999996</v>
      </c>
      <c r="AK1200" s="8">
        <f t="shared" si="682"/>
        <v>0.15636599999999998</v>
      </c>
      <c r="AL1200" s="8">
        <f>(17*26.982)/1000</f>
        <v>0.45869399999999994</v>
      </c>
      <c r="AM1200" s="15">
        <f>AL1200*1000/55.845</f>
        <v>8.2136986301369852</v>
      </c>
      <c r="AN1200" s="8">
        <f t="shared" si="683"/>
        <v>4.5869399999999991E-2</v>
      </c>
      <c r="AO1200" s="2" t="s">
        <v>86</v>
      </c>
      <c r="AP1200" s="72">
        <v>14.715147999999999</v>
      </c>
      <c r="AQ1200" s="70" t="s">
        <v>752</v>
      </c>
      <c r="AR1200" s="71">
        <v>37.490533331999998</v>
      </c>
      <c r="AS1200" s="71">
        <v>37.393866668000001</v>
      </c>
      <c r="AT1200" s="71">
        <v>24.9392</v>
      </c>
      <c r="AU1200" s="70" t="s">
        <v>752</v>
      </c>
      <c r="AV1200" s="16">
        <f t="shared" si="684"/>
        <v>99.823599999999999</v>
      </c>
      <c r="AW1200" s="20">
        <v>46.6</v>
      </c>
      <c r="AX1200" s="8">
        <f t="shared" si="670"/>
        <v>0.46600000000000003</v>
      </c>
      <c r="AY1200" s="8" t="s">
        <v>240</v>
      </c>
      <c r="AZ1200" s="16">
        <f>0.75/0.03</f>
        <v>25</v>
      </c>
      <c r="BA1200" s="16" t="s">
        <v>55</v>
      </c>
      <c r="BB1200" s="15">
        <f>(30*K1200)/1000</f>
        <v>14.968602000000001</v>
      </c>
      <c r="BC1200" s="16" t="s">
        <v>55</v>
      </c>
      <c r="BD1200" s="25">
        <f>(10^((3.06))*AX1200)</f>
        <v>535.03958761754791</v>
      </c>
      <c r="BE1200" s="16">
        <f t="shared" si="671"/>
        <v>1148.1536214968839</v>
      </c>
      <c r="BF1200" s="16">
        <f t="shared" si="672"/>
        <v>3.0600000000000005</v>
      </c>
      <c r="BG1200" s="8">
        <f t="shared" si="673"/>
        <v>2.7283859166900006</v>
      </c>
      <c r="BH1200" s="35" t="s">
        <v>872</v>
      </c>
      <c r="BI1200" s="2"/>
      <c r="BJ1200" s="2"/>
      <c r="BK1200" s="2"/>
      <c r="BL1200" s="2"/>
      <c r="BM1200" s="20"/>
      <c r="BN1200" s="20"/>
      <c r="BO1200" s="2"/>
    </row>
    <row r="1201" spans="1:69" s="14" customFormat="1" x14ac:dyDescent="0.3">
      <c r="A1201" s="20">
        <v>1199</v>
      </c>
      <c r="B1201" s="2" t="s">
        <v>195</v>
      </c>
      <c r="C1201" s="2">
        <v>2022</v>
      </c>
      <c r="D1201" s="2" t="s">
        <v>199</v>
      </c>
      <c r="E1201" s="10" t="s">
        <v>798</v>
      </c>
      <c r="F1201" s="20" t="s">
        <v>29</v>
      </c>
      <c r="G1201" s="2" t="s">
        <v>239</v>
      </c>
      <c r="H1201" s="2" t="str">
        <f>'PFAS Properties'!$B$56</f>
        <v>PFOSA</v>
      </c>
      <c r="I1201" s="2" t="str">
        <f>'PFAS Properties'!$C$56</f>
        <v>FOSA</v>
      </c>
      <c r="J1201" s="2" t="str">
        <f>'PFAS Properties'!$D$56</f>
        <v>C8H2F17NO2S</v>
      </c>
      <c r="K1201" s="25">
        <f>'PFAS Properties'!$P$56</f>
        <v>498.95340000000004</v>
      </c>
      <c r="L1201" s="2">
        <f>'PFAS Properties'!$X$56</f>
        <v>6.2</v>
      </c>
      <c r="M1201" s="2" t="str">
        <f>'PFAS Properties'!$Y$56</f>
        <v>-</v>
      </c>
      <c r="N1201" s="33">
        <v>0</v>
      </c>
      <c r="O1201" s="33">
        <v>0</v>
      </c>
      <c r="P1201" s="33">
        <v>0</v>
      </c>
      <c r="Q1201" s="33">
        <f t="shared" si="674"/>
        <v>6.2700123414338336E-3</v>
      </c>
      <c r="R1201" s="33">
        <v>0</v>
      </c>
      <c r="S1201" s="33">
        <f t="shared" si="675"/>
        <v>0.99372998765856613</v>
      </c>
      <c r="T1201" s="8">
        <f t="shared" si="662"/>
        <v>1</v>
      </c>
      <c r="U1201" s="33">
        <f t="shared" si="676"/>
        <v>0</v>
      </c>
      <c r="V1201" s="33">
        <f t="shared" si="677"/>
        <v>-6.2700123414338336E-3</v>
      </c>
      <c r="W1201" s="33">
        <f t="shared" si="678"/>
        <v>498.94712998765857</v>
      </c>
      <c r="X1201" s="33">
        <v>96485</v>
      </c>
      <c r="Y1201" s="16">
        <f t="shared" si="679"/>
        <v>-1.2124774438089405</v>
      </c>
      <c r="Z1201" s="16">
        <v>8</v>
      </c>
      <c r="AA1201" s="16">
        <v>17</v>
      </c>
      <c r="AB1201" s="8">
        <f t="shared" si="680"/>
        <v>0.29721362229102166</v>
      </c>
      <c r="AC1201" s="16">
        <f t="shared" si="681"/>
        <v>64.735504357721567</v>
      </c>
      <c r="AD1201" s="20">
        <f>'PFAS Properties'!$W$56</f>
        <v>8</v>
      </c>
      <c r="AE1201" s="8">
        <f>'PFAS Properties'!$S$56</f>
        <v>0.90525604874845123</v>
      </c>
      <c r="AF1201" s="2">
        <f>'PFAS Properties'!$V$56</f>
        <v>4.8</v>
      </c>
      <c r="AG1201" s="24">
        <v>4</v>
      </c>
      <c r="AH1201" s="2" t="s">
        <v>832</v>
      </c>
      <c r="AI1201" s="8">
        <f>(5*55.845)/1000</f>
        <v>0.279225</v>
      </c>
      <c r="AJ1201" s="15">
        <f>AI1201*1000/55.845</f>
        <v>5.0000000000000009</v>
      </c>
      <c r="AK1201" s="8">
        <f t="shared" si="682"/>
        <v>2.7922499999999999E-2</v>
      </c>
      <c r="AL1201" s="8">
        <f>(15*26.982)/1000</f>
        <v>0.40473000000000003</v>
      </c>
      <c r="AM1201" s="15">
        <f>AL1201*1000/55.845</f>
        <v>7.2473811442385179</v>
      </c>
      <c r="AN1201" s="8">
        <f t="shared" si="683"/>
        <v>4.0473000000000002E-2</v>
      </c>
      <c r="AO1201" s="2" t="s">
        <v>86</v>
      </c>
      <c r="AP1201" s="72">
        <v>14.763688</v>
      </c>
      <c r="AQ1201" s="70" t="s">
        <v>752</v>
      </c>
      <c r="AR1201" s="71">
        <v>37.414333332000012</v>
      </c>
      <c r="AS1201" s="71">
        <v>37.430866668</v>
      </c>
      <c r="AT1201" s="71">
        <v>24.970400000000001</v>
      </c>
      <c r="AU1201" s="70" t="s">
        <v>752</v>
      </c>
      <c r="AV1201" s="16">
        <f t="shared" si="684"/>
        <v>99.815600000000003</v>
      </c>
      <c r="AW1201" s="20">
        <v>53.6</v>
      </c>
      <c r="AX1201" s="8">
        <f t="shared" si="670"/>
        <v>0.53600000000000003</v>
      </c>
      <c r="AY1201" s="8" t="s">
        <v>240</v>
      </c>
      <c r="AZ1201" s="16">
        <f>0.75/0.03</f>
        <v>25</v>
      </c>
      <c r="BA1201" s="16" t="s">
        <v>55</v>
      </c>
      <c r="BB1201" s="15">
        <f>(7*K1201)/1000</f>
        <v>3.4926738000000004</v>
      </c>
      <c r="BC1201" s="16">
        <f>(200*K1201)/1000</f>
        <v>99.790680000000009</v>
      </c>
      <c r="BD1201" s="25">
        <f>(10^2.95)*AX1201</f>
        <v>477.71050283968816</v>
      </c>
      <c r="BE1201" s="16">
        <f t="shared" si="671"/>
        <v>891.25093813374656</v>
      </c>
      <c r="BF1201" s="16">
        <f t="shared" si="672"/>
        <v>2.9500000000000006</v>
      </c>
      <c r="BG1201" s="8">
        <f t="shared" si="673"/>
        <v>2.6791647896927704</v>
      </c>
      <c r="BH1201" s="35" t="s">
        <v>872</v>
      </c>
      <c r="BI1201" s="16"/>
      <c r="BJ1201" s="13"/>
      <c r="BK1201" s="15"/>
      <c r="BL1201" s="16"/>
      <c r="BM1201" s="18"/>
      <c r="BN1201" s="8"/>
      <c r="BO1201" s="24"/>
    </row>
    <row r="1202" spans="1:69" s="94" customFormat="1" x14ac:dyDescent="0.3">
      <c r="A1202" s="83">
        <v>1200</v>
      </c>
      <c r="B1202" s="84" t="s">
        <v>690</v>
      </c>
      <c r="C1202" s="84">
        <v>2023</v>
      </c>
      <c r="D1202" s="84" t="s">
        <v>199</v>
      </c>
      <c r="E1202" s="85" t="s">
        <v>803</v>
      </c>
      <c r="F1202" s="83" t="s">
        <v>29</v>
      </c>
      <c r="G1202" s="84" t="s">
        <v>691</v>
      </c>
      <c r="H1202" s="84" t="str">
        <f>'PFAS Properties'!$B$56</f>
        <v>PFOSA</v>
      </c>
      <c r="I1202" s="84" t="str">
        <f>'PFAS Properties'!$C$56</f>
        <v>FOSA</v>
      </c>
      <c r="J1202" s="84" t="str">
        <f>'PFAS Properties'!$D$56</f>
        <v>C8H2F17NO2S</v>
      </c>
      <c r="K1202" s="99">
        <f>'PFAS Properties'!$P$56</f>
        <v>498.95340000000004</v>
      </c>
      <c r="L1202" s="84">
        <f>'PFAS Properties'!$X$56</f>
        <v>6.2</v>
      </c>
      <c r="M1202" s="84" t="str">
        <f>'PFAS Properties'!$Y$56</f>
        <v>-</v>
      </c>
      <c r="N1202" s="87">
        <v>0</v>
      </c>
      <c r="O1202" s="87">
        <v>0</v>
      </c>
      <c r="P1202" s="87">
        <v>0</v>
      </c>
      <c r="Q1202" s="87">
        <f t="shared" si="674"/>
        <v>0.33386057541687802</v>
      </c>
      <c r="R1202" s="87">
        <v>0</v>
      </c>
      <c r="S1202" s="87">
        <f t="shared" si="675"/>
        <v>0.66613942458312203</v>
      </c>
      <c r="T1202" s="88">
        <f t="shared" si="662"/>
        <v>1</v>
      </c>
      <c r="U1202" s="87">
        <f t="shared" si="676"/>
        <v>0</v>
      </c>
      <c r="V1202" s="87">
        <f t="shared" si="677"/>
        <v>-0.33386057541687802</v>
      </c>
      <c r="W1202" s="87">
        <f t="shared" si="678"/>
        <v>498.61953942458319</v>
      </c>
      <c r="X1202" s="87">
        <v>96485</v>
      </c>
      <c r="Y1202" s="89">
        <f t="shared" si="679"/>
        <v>-64.60344024277785</v>
      </c>
      <c r="Z1202" s="89">
        <v>8</v>
      </c>
      <c r="AA1202" s="89">
        <v>17</v>
      </c>
      <c r="AB1202" s="88">
        <f t="shared" si="680"/>
        <v>0.29721362229102166</v>
      </c>
      <c r="AC1202" s="89">
        <f t="shared" si="681"/>
        <v>64.735504357721567</v>
      </c>
      <c r="AD1202" s="83">
        <f>'PFAS Properties'!$W$56</f>
        <v>8</v>
      </c>
      <c r="AE1202" s="88">
        <f>'PFAS Properties'!$S$56</f>
        <v>0.90525604874845123</v>
      </c>
      <c r="AF1202" s="84">
        <f>'PFAS Properties'!$V$56</f>
        <v>4.8</v>
      </c>
      <c r="AG1202" s="93">
        <v>5.9</v>
      </c>
      <c r="AH1202" s="84" t="s">
        <v>701</v>
      </c>
      <c r="AI1202" s="90">
        <f t="shared" ref="AI1202:AI1211" si="685">AJ1202*55.845/1000</f>
        <v>10.052100000000001</v>
      </c>
      <c r="AJ1202" s="89">
        <v>180</v>
      </c>
      <c r="AK1202" s="88">
        <f t="shared" si="682"/>
        <v>1.0052100000000002</v>
      </c>
      <c r="AL1202" s="90">
        <f t="shared" ref="AL1202:AL1211" si="686">AM1202*26.982/1000</f>
        <v>1.3491</v>
      </c>
      <c r="AM1202" s="89">
        <v>50</v>
      </c>
      <c r="AN1202" s="88">
        <f t="shared" si="683"/>
        <v>0.13491</v>
      </c>
      <c r="AO1202" s="90" t="s">
        <v>705</v>
      </c>
      <c r="AP1202" s="90">
        <v>20</v>
      </c>
      <c r="AQ1202" s="90" t="s">
        <v>702</v>
      </c>
      <c r="AR1202" s="84">
        <v>4.2</v>
      </c>
      <c r="AS1202" s="84">
        <v>53</v>
      </c>
      <c r="AT1202" s="84">
        <v>43</v>
      </c>
      <c r="AU1202" s="84" t="s">
        <v>703</v>
      </c>
      <c r="AV1202" s="89">
        <f t="shared" ref="AV1202:AV1221" si="687">SUM(AR1202:AT1202)</f>
        <v>100.2</v>
      </c>
      <c r="AW1202" s="83">
        <v>3.1</v>
      </c>
      <c r="AX1202" s="88">
        <f t="shared" si="670"/>
        <v>3.1E-2</v>
      </c>
      <c r="AY1202" s="88" t="s">
        <v>704</v>
      </c>
      <c r="AZ1202" s="89">
        <v>10</v>
      </c>
      <c r="BA1202" s="89" t="s">
        <v>55</v>
      </c>
      <c r="BB1202" s="89" t="s">
        <v>55</v>
      </c>
      <c r="BC1202" s="89" t="s">
        <v>55</v>
      </c>
      <c r="BD1202" s="93">
        <f t="shared" ref="BD1202:BD1211" si="688">10^BG1202</f>
        <v>549.54087385762534</v>
      </c>
      <c r="BE1202" s="89">
        <f t="shared" si="671"/>
        <v>17727.124963149206</v>
      </c>
      <c r="BF1202" s="89">
        <f t="shared" si="672"/>
        <v>4.248638306165728</v>
      </c>
      <c r="BG1202" s="88">
        <v>2.74</v>
      </c>
      <c r="BH1202" s="90" t="s">
        <v>846</v>
      </c>
      <c r="BI1202" s="88"/>
      <c r="BJ1202" s="91"/>
      <c r="BK1202" s="89"/>
      <c r="BL1202" s="89"/>
      <c r="BM1202" s="89"/>
      <c r="BN1202" s="89"/>
      <c r="BO1202" s="84"/>
    </row>
    <row r="1203" spans="1:69" x14ac:dyDescent="0.3">
      <c r="A1203" s="20">
        <v>1201</v>
      </c>
      <c r="B1203" s="2" t="s">
        <v>690</v>
      </c>
      <c r="C1203" s="2">
        <v>2023</v>
      </c>
      <c r="D1203" s="2" t="s">
        <v>199</v>
      </c>
      <c r="E1203" s="10" t="s">
        <v>803</v>
      </c>
      <c r="F1203" s="20" t="s">
        <v>29</v>
      </c>
      <c r="G1203" s="2" t="s">
        <v>692</v>
      </c>
      <c r="H1203" s="2" t="str">
        <f>'PFAS Properties'!$B$56</f>
        <v>PFOSA</v>
      </c>
      <c r="I1203" s="2" t="str">
        <f>'PFAS Properties'!$C$56</f>
        <v>FOSA</v>
      </c>
      <c r="J1203" s="2" t="str">
        <f>'PFAS Properties'!$D$56</f>
        <v>C8H2F17NO2S</v>
      </c>
      <c r="K1203" s="25">
        <f>'PFAS Properties'!$P$56</f>
        <v>498.95340000000004</v>
      </c>
      <c r="L1203" s="2">
        <f>'PFAS Properties'!$X$56</f>
        <v>6.2</v>
      </c>
      <c r="M1203" s="2" t="str">
        <f>'PFAS Properties'!$Y$56</f>
        <v>-</v>
      </c>
      <c r="N1203" s="33">
        <v>0</v>
      </c>
      <c r="O1203" s="33">
        <v>0</v>
      </c>
      <c r="P1203" s="33">
        <v>0</v>
      </c>
      <c r="Q1203" s="33">
        <f t="shared" si="674"/>
        <v>0.1663375308165618</v>
      </c>
      <c r="R1203" s="33">
        <v>0</v>
      </c>
      <c r="S1203" s="33">
        <f t="shared" si="675"/>
        <v>0.83366246918343823</v>
      </c>
      <c r="T1203" s="8">
        <f t="shared" si="662"/>
        <v>1</v>
      </c>
      <c r="U1203" s="33">
        <f t="shared" si="676"/>
        <v>0</v>
      </c>
      <c r="V1203" s="33">
        <f t="shared" si="677"/>
        <v>-0.1663375308165618</v>
      </c>
      <c r="W1203" s="33">
        <f t="shared" si="678"/>
        <v>498.78706246918352</v>
      </c>
      <c r="X1203" s="33">
        <v>96485</v>
      </c>
      <c r="Y1203" s="16">
        <f t="shared" si="679"/>
        <v>-32.17620878413927</v>
      </c>
      <c r="Z1203" s="16">
        <v>8</v>
      </c>
      <c r="AA1203" s="16">
        <v>17</v>
      </c>
      <c r="AB1203" s="8">
        <f t="shared" si="680"/>
        <v>0.29721362229102166</v>
      </c>
      <c r="AC1203" s="16">
        <f t="shared" si="681"/>
        <v>64.735504357721567</v>
      </c>
      <c r="AD1203" s="20">
        <f>'PFAS Properties'!$W$56</f>
        <v>8</v>
      </c>
      <c r="AE1203" s="8">
        <f>'PFAS Properties'!$S$56</f>
        <v>0.90525604874845123</v>
      </c>
      <c r="AF1203" s="2">
        <f>'PFAS Properties'!$V$56</f>
        <v>4.8</v>
      </c>
      <c r="AG1203" s="26">
        <v>5.5</v>
      </c>
      <c r="AH1203" s="2" t="s">
        <v>701</v>
      </c>
      <c r="AI1203" s="15">
        <f t="shared" si="685"/>
        <v>7.2598499999999992</v>
      </c>
      <c r="AJ1203" s="16">
        <v>130</v>
      </c>
      <c r="AK1203" s="8">
        <f t="shared" si="682"/>
        <v>0.72598499999999988</v>
      </c>
      <c r="AL1203" s="15">
        <f t="shared" si="686"/>
        <v>13.491</v>
      </c>
      <c r="AM1203" s="16">
        <v>500</v>
      </c>
      <c r="AN1203" s="8">
        <f t="shared" si="683"/>
        <v>1.3491</v>
      </c>
      <c r="AO1203" s="15" t="s">
        <v>705</v>
      </c>
      <c r="AP1203" s="15">
        <v>1</v>
      </c>
      <c r="AQ1203" s="15" t="s">
        <v>702</v>
      </c>
      <c r="AR1203" s="4">
        <v>54</v>
      </c>
      <c r="AS1203" s="4">
        <v>42</v>
      </c>
      <c r="AT1203" s="4">
        <v>4</v>
      </c>
      <c r="AU1203" s="2" t="s">
        <v>703</v>
      </c>
      <c r="AV1203" s="16">
        <f t="shared" si="687"/>
        <v>100</v>
      </c>
      <c r="AW1203" s="7">
        <v>2.2000000000000002</v>
      </c>
      <c r="AX1203" s="8">
        <f t="shared" si="670"/>
        <v>2.2000000000000002E-2</v>
      </c>
      <c r="AY1203" s="8" t="s">
        <v>704</v>
      </c>
      <c r="AZ1203" s="16">
        <v>10</v>
      </c>
      <c r="BA1203" s="16" t="s">
        <v>55</v>
      </c>
      <c r="BB1203" s="16" t="s">
        <v>55</v>
      </c>
      <c r="BC1203" s="16" t="s">
        <v>55</v>
      </c>
      <c r="BD1203" s="24">
        <f t="shared" si="688"/>
        <v>188.36490894898014</v>
      </c>
      <c r="BE1203" s="16">
        <f t="shared" si="671"/>
        <v>8562.0413158627325</v>
      </c>
      <c r="BF1203" s="16">
        <f t="shared" si="672"/>
        <v>3.9325773191777937</v>
      </c>
      <c r="BG1203" s="8">
        <f>(2.48+2.07)/2</f>
        <v>2.2749999999999999</v>
      </c>
      <c r="BH1203" s="15" t="s">
        <v>847</v>
      </c>
      <c r="BI1203" s="1"/>
      <c r="BJ1203" s="2"/>
      <c r="BK1203" s="1"/>
      <c r="BL1203" s="1"/>
      <c r="BM1203" s="7"/>
      <c r="BN1203" s="7"/>
      <c r="BO1203" s="1"/>
      <c r="BP1203" s="11"/>
      <c r="BQ1203" s="11"/>
    </row>
    <row r="1204" spans="1:69" x14ac:dyDescent="0.3">
      <c r="A1204" s="20">
        <v>1202</v>
      </c>
      <c r="B1204" s="2" t="s">
        <v>690</v>
      </c>
      <c r="C1204" s="2">
        <v>2023</v>
      </c>
      <c r="D1204" s="2" t="s">
        <v>199</v>
      </c>
      <c r="E1204" s="10" t="s">
        <v>803</v>
      </c>
      <c r="F1204" s="20" t="s">
        <v>29</v>
      </c>
      <c r="G1204" s="2" t="s">
        <v>694</v>
      </c>
      <c r="H1204" s="2" t="str">
        <f>'PFAS Properties'!$B$56</f>
        <v>PFOSA</v>
      </c>
      <c r="I1204" s="2" t="str">
        <f>'PFAS Properties'!$C$56</f>
        <v>FOSA</v>
      </c>
      <c r="J1204" s="2" t="str">
        <f>'PFAS Properties'!$D$56</f>
        <v>C8H2F17NO2S</v>
      </c>
      <c r="K1204" s="25">
        <f>'PFAS Properties'!$P$56</f>
        <v>498.95340000000004</v>
      </c>
      <c r="L1204" s="2">
        <f>'PFAS Properties'!$X$56</f>
        <v>6.2</v>
      </c>
      <c r="M1204" s="2" t="str">
        <f>'PFAS Properties'!$Y$56</f>
        <v>-</v>
      </c>
      <c r="N1204" s="33">
        <v>0</v>
      </c>
      <c r="O1204" s="33">
        <v>0</v>
      </c>
      <c r="P1204" s="33">
        <v>0</v>
      </c>
      <c r="Q1204" s="33">
        <f t="shared" si="674"/>
        <v>0.99009900990099009</v>
      </c>
      <c r="R1204" s="33">
        <v>0</v>
      </c>
      <c r="S1204" s="33">
        <f t="shared" si="675"/>
        <v>9.9009900990099133E-3</v>
      </c>
      <c r="T1204" s="8">
        <f t="shared" si="662"/>
        <v>1</v>
      </c>
      <c r="U1204" s="33">
        <f t="shared" si="676"/>
        <v>0</v>
      </c>
      <c r="V1204" s="33">
        <f t="shared" si="677"/>
        <v>-0.99009900990099009</v>
      </c>
      <c r="W1204" s="33">
        <f t="shared" si="678"/>
        <v>497.96330099009907</v>
      </c>
      <c r="X1204" s="33">
        <v>96485</v>
      </c>
      <c r="Y1204" s="16">
        <f t="shared" si="679"/>
        <v>-191.84085007942468</v>
      </c>
      <c r="Z1204" s="16">
        <v>8</v>
      </c>
      <c r="AA1204" s="16">
        <v>17</v>
      </c>
      <c r="AB1204" s="8">
        <f t="shared" si="680"/>
        <v>0.29721362229102166</v>
      </c>
      <c r="AC1204" s="16">
        <f t="shared" si="681"/>
        <v>64.735504357721567</v>
      </c>
      <c r="AD1204" s="20">
        <f>'PFAS Properties'!$W$56</f>
        <v>8</v>
      </c>
      <c r="AE1204" s="8">
        <f>'PFAS Properties'!$S$56</f>
        <v>0.90525604874845123</v>
      </c>
      <c r="AF1204" s="2">
        <f>'PFAS Properties'!$V$56</f>
        <v>4.8</v>
      </c>
      <c r="AG1204" s="26">
        <v>8.1999999999999993</v>
      </c>
      <c r="AH1204" s="2" t="s">
        <v>701</v>
      </c>
      <c r="AI1204" s="15">
        <f t="shared" si="685"/>
        <v>1.89873</v>
      </c>
      <c r="AJ1204" s="16">
        <v>34</v>
      </c>
      <c r="AK1204" s="8">
        <f t="shared" si="682"/>
        <v>0.18987300000000001</v>
      </c>
      <c r="AL1204" s="15">
        <f t="shared" si="686"/>
        <v>0.75549599999999995</v>
      </c>
      <c r="AM1204" s="16">
        <v>28</v>
      </c>
      <c r="AN1204" s="8">
        <f t="shared" si="683"/>
        <v>7.5549599999999995E-2</v>
      </c>
      <c r="AO1204" s="15" t="s">
        <v>705</v>
      </c>
      <c r="AP1204" s="15">
        <v>15</v>
      </c>
      <c r="AQ1204" s="15" t="s">
        <v>702</v>
      </c>
      <c r="AR1204" s="4">
        <v>27</v>
      </c>
      <c r="AS1204" s="4">
        <v>56</v>
      </c>
      <c r="AT1204" s="4">
        <v>16</v>
      </c>
      <c r="AU1204" s="2" t="s">
        <v>703</v>
      </c>
      <c r="AV1204" s="16">
        <f t="shared" si="687"/>
        <v>99</v>
      </c>
      <c r="AW1204" s="7">
        <v>1.6</v>
      </c>
      <c r="AX1204" s="8">
        <f t="shared" si="670"/>
        <v>1.6E-2</v>
      </c>
      <c r="AY1204" s="8" t="s">
        <v>704</v>
      </c>
      <c r="AZ1204" s="16">
        <v>10</v>
      </c>
      <c r="BA1204" s="16" t="s">
        <v>55</v>
      </c>
      <c r="BB1204" s="16" t="s">
        <v>55</v>
      </c>
      <c r="BC1204" s="16" t="s">
        <v>55</v>
      </c>
      <c r="BD1204" s="24">
        <f t="shared" si="688"/>
        <v>9.7723722095581103</v>
      </c>
      <c r="BE1204" s="16">
        <f t="shared" si="671"/>
        <v>610.77326309738191</v>
      </c>
      <c r="BF1204" s="16">
        <f t="shared" si="672"/>
        <v>2.7858800173440752</v>
      </c>
      <c r="BG1204" s="8">
        <v>0.99</v>
      </c>
      <c r="BH1204" s="15" t="s">
        <v>848</v>
      </c>
      <c r="BI1204" s="1"/>
      <c r="BJ1204" s="2"/>
      <c r="BK1204" s="1"/>
      <c r="BL1204" s="1"/>
      <c r="BM1204" s="7"/>
      <c r="BN1204" s="7"/>
      <c r="BO1204" s="1"/>
      <c r="BP1204" s="11"/>
      <c r="BQ1204" s="11"/>
    </row>
    <row r="1205" spans="1:69" x14ac:dyDescent="0.3">
      <c r="A1205" s="20">
        <v>1203</v>
      </c>
      <c r="B1205" s="2" t="s">
        <v>690</v>
      </c>
      <c r="C1205" s="2">
        <v>2023</v>
      </c>
      <c r="D1205" s="2" t="s">
        <v>199</v>
      </c>
      <c r="E1205" s="10" t="s">
        <v>803</v>
      </c>
      <c r="F1205" s="20" t="s">
        <v>29</v>
      </c>
      <c r="G1205" s="2" t="s">
        <v>693</v>
      </c>
      <c r="H1205" s="2" t="str">
        <f>'PFAS Properties'!$B$56</f>
        <v>PFOSA</v>
      </c>
      <c r="I1205" s="2" t="str">
        <f>'PFAS Properties'!$C$56</f>
        <v>FOSA</v>
      </c>
      <c r="J1205" s="2" t="str">
        <f>'PFAS Properties'!$D$56</f>
        <v>C8H2F17NO2S</v>
      </c>
      <c r="K1205" s="25">
        <f>'PFAS Properties'!$P$56</f>
        <v>498.95340000000004</v>
      </c>
      <c r="L1205" s="2">
        <f>'PFAS Properties'!$X$56</f>
        <v>6.2</v>
      </c>
      <c r="M1205" s="2" t="str">
        <f>'PFAS Properties'!$Y$56</f>
        <v>-</v>
      </c>
      <c r="N1205" s="33">
        <v>0</v>
      </c>
      <c r="O1205" s="33">
        <v>0</v>
      </c>
      <c r="P1205" s="33">
        <v>0</v>
      </c>
      <c r="Q1205" s="33">
        <f t="shared" si="674"/>
        <v>0.1663375308165618</v>
      </c>
      <c r="R1205" s="33">
        <v>0</v>
      </c>
      <c r="S1205" s="33">
        <f t="shared" si="675"/>
        <v>0.83366246918343823</v>
      </c>
      <c r="T1205" s="8">
        <f t="shared" si="662"/>
        <v>1</v>
      </c>
      <c r="U1205" s="33">
        <f t="shared" si="676"/>
        <v>0</v>
      </c>
      <c r="V1205" s="33">
        <f t="shared" si="677"/>
        <v>-0.1663375308165618</v>
      </c>
      <c r="W1205" s="33">
        <f t="shared" si="678"/>
        <v>498.78706246918352</v>
      </c>
      <c r="X1205" s="33">
        <v>96485</v>
      </c>
      <c r="Y1205" s="16">
        <f t="shared" si="679"/>
        <v>-32.17620878413927</v>
      </c>
      <c r="Z1205" s="16">
        <v>8</v>
      </c>
      <c r="AA1205" s="16">
        <v>17</v>
      </c>
      <c r="AB1205" s="8">
        <f t="shared" si="680"/>
        <v>0.29721362229102166</v>
      </c>
      <c r="AC1205" s="16">
        <f t="shared" si="681"/>
        <v>64.735504357721567</v>
      </c>
      <c r="AD1205" s="20">
        <f>'PFAS Properties'!$W$56</f>
        <v>8</v>
      </c>
      <c r="AE1205" s="8">
        <f>'PFAS Properties'!$S$56</f>
        <v>0.90525604874845123</v>
      </c>
      <c r="AF1205" s="2">
        <f>'PFAS Properties'!$V$56</f>
        <v>4.8</v>
      </c>
      <c r="AG1205" s="26">
        <v>5.5</v>
      </c>
      <c r="AH1205" s="2" t="s">
        <v>701</v>
      </c>
      <c r="AI1205" s="15">
        <f t="shared" si="685"/>
        <v>6.1429499999999999</v>
      </c>
      <c r="AJ1205" s="16">
        <v>110</v>
      </c>
      <c r="AK1205" s="8">
        <f t="shared" si="682"/>
        <v>0.61429500000000004</v>
      </c>
      <c r="AL1205" s="15">
        <f t="shared" si="686"/>
        <v>0.83644200000000002</v>
      </c>
      <c r="AM1205" s="16">
        <v>31</v>
      </c>
      <c r="AN1205" s="8">
        <f t="shared" si="683"/>
        <v>8.3644200000000002E-2</v>
      </c>
      <c r="AO1205" s="15" t="s">
        <v>705</v>
      </c>
      <c r="AP1205" s="15">
        <v>8.6</v>
      </c>
      <c r="AQ1205" s="15" t="s">
        <v>702</v>
      </c>
      <c r="AR1205" s="4">
        <v>27</v>
      </c>
      <c r="AS1205" s="4">
        <v>44</v>
      </c>
      <c r="AT1205" s="4">
        <v>29</v>
      </c>
      <c r="AU1205" s="2" t="s">
        <v>703</v>
      </c>
      <c r="AV1205" s="16">
        <f t="shared" si="687"/>
        <v>100</v>
      </c>
      <c r="AW1205" s="7">
        <v>1.3</v>
      </c>
      <c r="AX1205" s="8">
        <f t="shared" si="670"/>
        <v>1.3000000000000001E-2</v>
      </c>
      <c r="AY1205" s="8" t="s">
        <v>704</v>
      </c>
      <c r="AZ1205" s="16">
        <v>10</v>
      </c>
      <c r="BA1205" s="16" t="s">
        <v>55</v>
      </c>
      <c r="BB1205" s="16" t="s">
        <v>55</v>
      </c>
      <c r="BC1205" s="16" t="s">
        <v>55</v>
      </c>
      <c r="BD1205" s="24">
        <f t="shared" si="688"/>
        <v>142.88939585111027</v>
      </c>
      <c r="BE1205" s="16">
        <f t="shared" si="671"/>
        <v>10991.491988546943</v>
      </c>
      <c r="BF1205" s="16">
        <f t="shared" si="672"/>
        <v>4.0410566476931633</v>
      </c>
      <c r="BG1205" s="8">
        <v>2.1549999999999998</v>
      </c>
      <c r="BH1205" s="15" t="s">
        <v>849</v>
      </c>
      <c r="BI1205" s="1"/>
      <c r="BJ1205" s="2"/>
      <c r="BK1205" s="1"/>
      <c r="BL1205" s="1"/>
      <c r="BM1205" s="7"/>
      <c r="BN1205" s="7"/>
      <c r="BO1205" s="1"/>
      <c r="BP1205" s="11"/>
      <c r="BQ1205" s="11"/>
    </row>
    <row r="1206" spans="1:69" x14ac:dyDescent="0.3">
      <c r="A1206" s="20">
        <v>1204</v>
      </c>
      <c r="B1206" s="2" t="s">
        <v>690</v>
      </c>
      <c r="C1206" s="2">
        <v>2023</v>
      </c>
      <c r="D1206" s="2" t="s">
        <v>199</v>
      </c>
      <c r="E1206" s="10" t="s">
        <v>803</v>
      </c>
      <c r="F1206" s="20" t="s">
        <v>29</v>
      </c>
      <c r="G1206" s="2" t="s">
        <v>695</v>
      </c>
      <c r="H1206" s="2" t="str">
        <f>'PFAS Properties'!$B$56</f>
        <v>PFOSA</v>
      </c>
      <c r="I1206" s="2" t="str">
        <f>'PFAS Properties'!$C$56</f>
        <v>FOSA</v>
      </c>
      <c r="J1206" s="2" t="str">
        <f>'PFAS Properties'!$D$56</f>
        <v>C8H2F17NO2S</v>
      </c>
      <c r="K1206" s="25">
        <f>'PFAS Properties'!$P$56</f>
        <v>498.95340000000004</v>
      </c>
      <c r="L1206" s="2">
        <f>'PFAS Properties'!$X$56</f>
        <v>6.2</v>
      </c>
      <c r="M1206" s="2" t="str">
        <f>'PFAS Properties'!$Y$56</f>
        <v>-</v>
      </c>
      <c r="N1206" s="33">
        <v>0</v>
      </c>
      <c r="O1206" s="33">
        <v>0</v>
      </c>
      <c r="P1206" s="33">
        <v>0</v>
      </c>
      <c r="Q1206" s="33">
        <f t="shared" si="674"/>
        <v>0.99211931614966975</v>
      </c>
      <c r="R1206" s="33">
        <v>0</v>
      </c>
      <c r="S1206" s="33">
        <f t="shared" si="675"/>
        <v>7.8806838503302744E-3</v>
      </c>
      <c r="T1206" s="8">
        <f t="shared" si="662"/>
        <v>1</v>
      </c>
      <c r="U1206" s="33">
        <f t="shared" si="676"/>
        <v>0</v>
      </c>
      <c r="V1206" s="33">
        <f t="shared" si="677"/>
        <v>-0.99211931614966975</v>
      </c>
      <c r="W1206" s="33">
        <f t="shared" si="678"/>
        <v>497.96128068385042</v>
      </c>
      <c r="X1206" s="33">
        <v>96485</v>
      </c>
      <c r="Y1206" s="16">
        <f t="shared" si="679"/>
        <v>-192.23308303658112</v>
      </c>
      <c r="Z1206" s="16">
        <v>8</v>
      </c>
      <c r="AA1206" s="16">
        <v>17</v>
      </c>
      <c r="AB1206" s="8">
        <f t="shared" si="680"/>
        <v>0.29721362229102166</v>
      </c>
      <c r="AC1206" s="16">
        <f t="shared" si="681"/>
        <v>64.735504357721567</v>
      </c>
      <c r="AD1206" s="20">
        <f>'PFAS Properties'!$W$56</f>
        <v>8</v>
      </c>
      <c r="AE1206" s="8">
        <f>'PFAS Properties'!$S$56</f>
        <v>0.90525604874845123</v>
      </c>
      <c r="AF1206" s="2">
        <f>'PFAS Properties'!$V$56</f>
        <v>4.8</v>
      </c>
      <c r="AG1206" s="26">
        <v>8.3000000000000007</v>
      </c>
      <c r="AH1206" s="2" t="s">
        <v>701</v>
      </c>
      <c r="AI1206" s="15">
        <f t="shared" si="685"/>
        <v>2.066265</v>
      </c>
      <c r="AJ1206" s="16">
        <v>37</v>
      </c>
      <c r="AK1206" s="8">
        <f t="shared" si="682"/>
        <v>0.20662649999999999</v>
      </c>
      <c r="AL1206" s="15">
        <f t="shared" si="686"/>
        <v>0.72851399999999999</v>
      </c>
      <c r="AM1206" s="16">
        <v>27</v>
      </c>
      <c r="AN1206" s="8">
        <f t="shared" si="683"/>
        <v>7.2851399999999997E-2</v>
      </c>
      <c r="AO1206" s="15" t="s">
        <v>705</v>
      </c>
      <c r="AP1206" s="15">
        <v>14</v>
      </c>
      <c r="AQ1206" s="15" t="s">
        <v>702</v>
      </c>
      <c r="AR1206" s="4">
        <v>80</v>
      </c>
      <c r="AS1206" s="4">
        <v>15</v>
      </c>
      <c r="AT1206" s="4">
        <v>4.4000000000000004</v>
      </c>
      <c r="AU1206" s="2" t="s">
        <v>703</v>
      </c>
      <c r="AV1206" s="16">
        <f t="shared" si="687"/>
        <v>99.4</v>
      </c>
      <c r="AW1206" s="7">
        <v>1.2</v>
      </c>
      <c r="AX1206" s="8">
        <f t="shared" ref="AX1206:AX1234" si="689">AW1206/100</f>
        <v>1.2E-2</v>
      </c>
      <c r="AY1206" s="8" t="s">
        <v>704</v>
      </c>
      <c r="AZ1206" s="16">
        <v>10</v>
      </c>
      <c r="BA1206" s="16" t="s">
        <v>55</v>
      </c>
      <c r="BB1206" s="16" t="s">
        <v>55</v>
      </c>
      <c r="BC1206" s="16" t="s">
        <v>55</v>
      </c>
      <c r="BD1206" s="24">
        <f t="shared" si="688"/>
        <v>25.703957827688658</v>
      </c>
      <c r="BE1206" s="16">
        <f t="shared" si="671"/>
        <v>2141.9964856407214</v>
      </c>
      <c r="BF1206" s="16">
        <f t="shared" si="672"/>
        <v>3.3308187539523755</v>
      </c>
      <c r="BG1206" s="8">
        <f>(1.47+1.35)/2</f>
        <v>1.4100000000000001</v>
      </c>
      <c r="BH1206" s="15" t="s">
        <v>850</v>
      </c>
      <c r="BI1206" s="1"/>
      <c r="BJ1206" s="2"/>
      <c r="BK1206" s="1"/>
      <c r="BL1206" s="1"/>
      <c r="BM1206" s="7"/>
      <c r="BN1206" s="7"/>
      <c r="BO1206" s="1"/>
      <c r="BP1206" s="11"/>
      <c r="BQ1206" s="11"/>
    </row>
    <row r="1207" spans="1:69" x14ac:dyDescent="0.3">
      <c r="A1207" s="20">
        <v>1205</v>
      </c>
      <c r="B1207" s="2" t="s">
        <v>690</v>
      </c>
      <c r="C1207" s="2">
        <v>2023</v>
      </c>
      <c r="D1207" s="2" t="s">
        <v>199</v>
      </c>
      <c r="E1207" s="10" t="s">
        <v>803</v>
      </c>
      <c r="F1207" s="20" t="s">
        <v>29</v>
      </c>
      <c r="G1207" s="2" t="s">
        <v>696</v>
      </c>
      <c r="H1207" s="2" t="str">
        <f>'PFAS Properties'!$B$56</f>
        <v>PFOSA</v>
      </c>
      <c r="I1207" s="2" t="str">
        <f>'PFAS Properties'!$C$56</f>
        <v>FOSA</v>
      </c>
      <c r="J1207" s="2" t="str">
        <f>'PFAS Properties'!$D$56</f>
        <v>C8H2F17NO2S</v>
      </c>
      <c r="K1207" s="25">
        <f>'PFAS Properties'!$P$56</f>
        <v>498.95340000000004</v>
      </c>
      <c r="L1207" s="2">
        <f>'PFAS Properties'!$X$56</f>
        <v>6.2</v>
      </c>
      <c r="M1207" s="2" t="str">
        <f>'PFAS Properties'!$Y$56</f>
        <v>-</v>
      </c>
      <c r="N1207" s="33">
        <v>0</v>
      </c>
      <c r="O1207" s="33">
        <v>0</v>
      </c>
      <c r="P1207" s="33">
        <v>0</v>
      </c>
      <c r="Q1207" s="33">
        <f t="shared" si="674"/>
        <v>0.1663375308165618</v>
      </c>
      <c r="R1207" s="33">
        <v>0</v>
      </c>
      <c r="S1207" s="33">
        <f t="shared" si="675"/>
        <v>0.83366246918343823</v>
      </c>
      <c r="T1207" s="8">
        <f t="shared" ref="T1207:T1234" si="690">SUM(N1207:S1207)</f>
        <v>1</v>
      </c>
      <c r="U1207" s="33">
        <f t="shared" si="676"/>
        <v>0</v>
      </c>
      <c r="V1207" s="33">
        <f t="shared" si="677"/>
        <v>-0.1663375308165618</v>
      </c>
      <c r="W1207" s="33">
        <f t="shared" si="678"/>
        <v>498.78706246918352</v>
      </c>
      <c r="X1207" s="33">
        <v>96485</v>
      </c>
      <c r="Y1207" s="16">
        <f t="shared" si="679"/>
        <v>-32.17620878413927</v>
      </c>
      <c r="Z1207" s="16">
        <v>8</v>
      </c>
      <c r="AA1207" s="16">
        <v>17</v>
      </c>
      <c r="AB1207" s="8">
        <f t="shared" si="680"/>
        <v>0.29721362229102166</v>
      </c>
      <c r="AC1207" s="16">
        <f t="shared" si="681"/>
        <v>64.735504357721567</v>
      </c>
      <c r="AD1207" s="20">
        <f>'PFAS Properties'!$W$56</f>
        <v>8</v>
      </c>
      <c r="AE1207" s="8">
        <f>'PFAS Properties'!$S$56</f>
        <v>0.90525604874845123</v>
      </c>
      <c r="AF1207" s="2">
        <f>'PFAS Properties'!$V$56</f>
        <v>4.8</v>
      </c>
      <c r="AG1207" s="26">
        <v>5.5</v>
      </c>
      <c r="AH1207" s="2" t="s">
        <v>701</v>
      </c>
      <c r="AI1207" s="15">
        <f t="shared" si="685"/>
        <v>1.3402799999999999</v>
      </c>
      <c r="AJ1207" s="16">
        <v>24</v>
      </c>
      <c r="AK1207" s="8">
        <f t="shared" si="682"/>
        <v>0.13402799999999998</v>
      </c>
      <c r="AL1207" s="15">
        <f t="shared" si="686"/>
        <v>0.32378400000000002</v>
      </c>
      <c r="AM1207" s="16">
        <v>12</v>
      </c>
      <c r="AN1207" s="8">
        <f t="shared" si="683"/>
        <v>3.2378400000000002E-2</v>
      </c>
      <c r="AO1207" s="15" t="s">
        <v>705</v>
      </c>
      <c r="AP1207" s="15">
        <v>2.6</v>
      </c>
      <c r="AQ1207" s="15" t="s">
        <v>702</v>
      </c>
      <c r="AR1207" s="4">
        <v>86</v>
      </c>
      <c r="AS1207" s="4">
        <v>8</v>
      </c>
      <c r="AT1207" s="4">
        <v>6</v>
      </c>
      <c r="AU1207" s="2" t="s">
        <v>703</v>
      </c>
      <c r="AV1207" s="16">
        <f t="shared" si="687"/>
        <v>100</v>
      </c>
      <c r="AW1207" s="7">
        <v>1.2</v>
      </c>
      <c r="AX1207" s="8">
        <f t="shared" si="689"/>
        <v>1.2E-2</v>
      </c>
      <c r="AY1207" s="8" t="s">
        <v>704</v>
      </c>
      <c r="AZ1207" s="16">
        <v>10</v>
      </c>
      <c r="BA1207" s="16" t="s">
        <v>55</v>
      </c>
      <c r="BB1207" s="16" t="s">
        <v>55</v>
      </c>
      <c r="BC1207" s="16" t="s">
        <v>55</v>
      </c>
      <c r="BD1207" s="24">
        <f t="shared" si="688"/>
        <v>74.98942093324564</v>
      </c>
      <c r="BE1207" s="16">
        <f t="shared" si="671"/>
        <v>6249.1184111038028</v>
      </c>
      <c r="BF1207" s="16">
        <f t="shared" si="672"/>
        <v>3.7958187539523753</v>
      </c>
      <c r="BG1207" s="8">
        <f>(1.85+1.9)/2</f>
        <v>1.875</v>
      </c>
      <c r="BH1207" s="15" t="s">
        <v>851</v>
      </c>
      <c r="BI1207" s="1"/>
      <c r="BJ1207" s="2"/>
      <c r="BK1207" s="1"/>
      <c r="BL1207" s="1"/>
      <c r="BM1207" s="7"/>
      <c r="BN1207" s="7"/>
      <c r="BO1207" s="1"/>
      <c r="BP1207" s="11"/>
      <c r="BQ1207" s="11"/>
    </row>
    <row r="1208" spans="1:69" x14ac:dyDescent="0.3">
      <c r="A1208" s="20">
        <v>1206</v>
      </c>
      <c r="B1208" s="2" t="s">
        <v>690</v>
      </c>
      <c r="C1208" s="2">
        <v>2023</v>
      </c>
      <c r="D1208" s="2" t="s">
        <v>199</v>
      </c>
      <c r="E1208" s="10" t="s">
        <v>803</v>
      </c>
      <c r="F1208" s="20" t="s">
        <v>29</v>
      </c>
      <c r="G1208" s="2" t="s">
        <v>697</v>
      </c>
      <c r="H1208" s="2" t="str">
        <f>'PFAS Properties'!$B$56</f>
        <v>PFOSA</v>
      </c>
      <c r="I1208" s="2" t="str">
        <f>'PFAS Properties'!$C$56</f>
        <v>FOSA</v>
      </c>
      <c r="J1208" s="2" t="str">
        <f>'PFAS Properties'!$D$56</f>
        <v>C8H2F17NO2S</v>
      </c>
      <c r="K1208" s="25">
        <f>'PFAS Properties'!$P$56</f>
        <v>498.95340000000004</v>
      </c>
      <c r="L1208" s="2">
        <f>'PFAS Properties'!$X$56</f>
        <v>6.2</v>
      </c>
      <c r="M1208" s="2" t="str">
        <f>'PFAS Properties'!$Y$56</f>
        <v>-</v>
      </c>
      <c r="N1208" s="33">
        <v>0</v>
      </c>
      <c r="O1208" s="33">
        <v>0</v>
      </c>
      <c r="P1208" s="33">
        <v>0</v>
      </c>
      <c r="Q1208" s="33">
        <f t="shared" ref="Q1208:Q1234" si="691">(10^(AG1208-L1208))/(1+(10^(AG1208-L1208)))</f>
        <v>2.4503367550335952E-2</v>
      </c>
      <c r="R1208" s="33">
        <v>0</v>
      </c>
      <c r="S1208" s="33">
        <f t="shared" ref="S1208:S1234" si="692">(1/(1+(10^(AG1208-L1208))))</f>
        <v>0.97549663244966411</v>
      </c>
      <c r="T1208" s="8">
        <f t="shared" si="690"/>
        <v>1</v>
      </c>
      <c r="U1208" s="33">
        <f t="shared" si="676"/>
        <v>0</v>
      </c>
      <c r="V1208" s="33">
        <f t="shared" si="677"/>
        <v>-2.4503367550335952E-2</v>
      </c>
      <c r="W1208" s="33">
        <f t="shared" si="678"/>
        <v>498.92889663244978</v>
      </c>
      <c r="X1208" s="33">
        <v>96485</v>
      </c>
      <c r="Y1208" s="16">
        <f t="shared" si="679"/>
        <v>-4.7385658238108137</v>
      </c>
      <c r="Z1208" s="16">
        <v>8</v>
      </c>
      <c r="AA1208" s="16">
        <v>17</v>
      </c>
      <c r="AB1208" s="8">
        <f t="shared" si="680"/>
        <v>0.29721362229102166</v>
      </c>
      <c r="AC1208" s="16">
        <f t="shared" si="681"/>
        <v>64.735504357721567</v>
      </c>
      <c r="AD1208" s="20">
        <f>'PFAS Properties'!$W$56</f>
        <v>8</v>
      </c>
      <c r="AE1208" s="8">
        <f>'PFAS Properties'!$S$56</f>
        <v>0.90525604874845123</v>
      </c>
      <c r="AF1208" s="2">
        <f>'PFAS Properties'!$V$56</f>
        <v>4.8</v>
      </c>
      <c r="AG1208" s="26">
        <v>4.5999999999999996</v>
      </c>
      <c r="AH1208" s="2" t="s">
        <v>701</v>
      </c>
      <c r="AI1208" s="15">
        <f t="shared" si="685"/>
        <v>0.1396125</v>
      </c>
      <c r="AJ1208" s="16">
        <v>2.5</v>
      </c>
      <c r="AK1208" s="8">
        <f t="shared" si="682"/>
        <v>1.396125E-2</v>
      </c>
      <c r="AL1208" s="15">
        <f t="shared" si="686"/>
        <v>5.12658E-2</v>
      </c>
      <c r="AM1208" s="16">
        <v>1.9</v>
      </c>
      <c r="AN1208" s="8">
        <f t="shared" si="683"/>
        <v>5.1265800000000004E-3</v>
      </c>
      <c r="AO1208" s="15" t="s">
        <v>705</v>
      </c>
      <c r="AP1208" s="15">
        <v>1.8</v>
      </c>
      <c r="AQ1208" s="15" t="s">
        <v>702</v>
      </c>
      <c r="AR1208" s="4">
        <v>53</v>
      </c>
      <c r="AS1208" s="4">
        <v>40</v>
      </c>
      <c r="AT1208" s="4">
        <v>7</v>
      </c>
      <c r="AU1208" s="2" t="s">
        <v>703</v>
      </c>
      <c r="AV1208" s="16">
        <f t="shared" si="687"/>
        <v>100</v>
      </c>
      <c r="AW1208" s="7">
        <v>1.1000000000000001</v>
      </c>
      <c r="AX1208" s="8">
        <f t="shared" si="689"/>
        <v>1.1000000000000001E-2</v>
      </c>
      <c r="AY1208" s="8" t="s">
        <v>704</v>
      </c>
      <c r="AZ1208" s="16">
        <v>10</v>
      </c>
      <c r="BA1208" s="16" t="s">
        <v>55</v>
      </c>
      <c r="BB1208" s="16" t="s">
        <v>55</v>
      </c>
      <c r="BC1208" s="16" t="s">
        <v>55</v>
      </c>
      <c r="BD1208" s="24">
        <f t="shared" si="688"/>
        <v>70.794578438413865</v>
      </c>
      <c r="BE1208" s="16">
        <f t="shared" si="671"/>
        <v>6435.8707671285329</v>
      </c>
      <c r="BF1208" s="16">
        <f t="shared" si="672"/>
        <v>3.8086073148417752</v>
      </c>
      <c r="BG1208" s="8">
        <v>1.85</v>
      </c>
      <c r="BH1208" s="15" t="s">
        <v>849</v>
      </c>
      <c r="BI1208" s="1"/>
      <c r="BJ1208" s="2"/>
      <c r="BK1208" s="1"/>
      <c r="BL1208" s="1"/>
      <c r="BM1208" s="7"/>
      <c r="BN1208" s="7"/>
      <c r="BO1208" s="1"/>
      <c r="BP1208" s="11"/>
      <c r="BQ1208" s="11"/>
    </row>
    <row r="1209" spans="1:69" x14ac:dyDescent="0.3">
      <c r="A1209" s="20">
        <v>1207</v>
      </c>
      <c r="B1209" s="2" t="s">
        <v>690</v>
      </c>
      <c r="C1209" s="2">
        <v>2023</v>
      </c>
      <c r="D1209" s="2" t="s">
        <v>199</v>
      </c>
      <c r="E1209" s="10" t="s">
        <v>803</v>
      </c>
      <c r="F1209" s="20" t="s">
        <v>29</v>
      </c>
      <c r="G1209" s="2" t="s">
        <v>698</v>
      </c>
      <c r="H1209" s="2" t="str">
        <f>'PFAS Properties'!$B$56</f>
        <v>PFOSA</v>
      </c>
      <c r="I1209" s="2" t="str">
        <f>'PFAS Properties'!$C$56</f>
        <v>FOSA</v>
      </c>
      <c r="J1209" s="2" t="str">
        <f>'PFAS Properties'!$D$56</f>
        <v>C8H2F17NO2S</v>
      </c>
      <c r="K1209" s="25">
        <f>'PFAS Properties'!$P$56</f>
        <v>498.95340000000004</v>
      </c>
      <c r="L1209" s="2">
        <f>'PFAS Properties'!$X$56</f>
        <v>6.2</v>
      </c>
      <c r="M1209" s="2" t="str">
        <f>'PFAS Properties'!$Y$56</f>
        <v>-</v>
      </c>
      <c r="N1209" s="33">
        <v>0</v>
      </c>
      <c r="O1209" s="33">
        <v>0</v>
      </c>
      <c r="P1209" s="33">
        <v>0</v>
      </c>
      <c r="Q1209" s="33">
        <f t="shared" si="691"/>
        <v>0.71525275104919839</v>
      </c>
      <c r="R1209" s="33">
        <v>0</v>
      </c>
      <c r="S1209" s="33">
        <f t="shared" si="692"/>
        <v>0.28474724895080167</v>
      </c>
      <c r="T1209" s="8">
        <f t="shared" si="690"/>
        <v>1</v>
      </c>
      <c r="U1209" s="33">
        <f t="shared" si="676"/>
        <v>0</v>
      </c>
      <c r="V1209" s="33">
        <f t="shared" si="677"/>
        <v>-0.71525275104919839</v>
      </c>
      <c r="W1209" s="33">
        <f t="shared" si="678"/>
        <v>498.23814724895084</v>
      </c>
      <c r="X1209" s="33">
        <v>96485</v>
      </c>
      <c r="Y1209" s="16">
        <f t="shared" si="679"/>
        <v>-138.51039320459665</v>
      </c>
      <c r="Z1209" s="16">
        <v>8</v>
      </c>
      <c r="AA1209" s="16">
        <v>17</v>
      </c>
      <c r="AB1209" s="8">
        <f t="shared" si="680"/>
        <v>0.29721362229102166</v>
      </c>
      <c r="AC1209" s="16">
        <f t="shared" si="681"/>
        <v>64.735504357721567</v>
      </c>
      <c r="AD1209" s="20">
        <f>'PFAS Properties'!$W$56</f>
        <v>8</v>
      </c>
      <c r="AE1209" s="8">
        <f>'PFAS Properties'!$S$56</f>
        <v>0.90525604874845123</v>
      </c>
      <c r="AF1209" s="2">
        <f>'PFAS Properties'!$V$56</f>
        <v>4.8</v>
      </c>
      <c r="AG1209" s="26">
        <v>6.6</v>
      </c>
      <c r="AH1209" s="2" t="s">
        <v>701</v>
      </c>
      <c r="AI1209" s="15">
        <f t="shared" si="685"/>
        <v>11.169</v>
      </c>
      <c r="AJ1209" s="16">
        <v>200</v>
      </c>
      <c r="AK1209" s="8">
        <f t="shared" si="682"/>
        <v>1.1169</v>
      </c>
      <c r="AL1209" s="15">
        <f t="shared" si="686"/>
        <v>1.3760819999999998</v>
      </c>
      <c r="AM1209" s="16">
        <v>51</v>
      </c>
      <c r="AN1209" s="8">
        <f t="shared" si="683"/>
        <v>0.13760819999999999</v>
      </c>
      <c r="AO1209" s="15" t="s">
        <v>705</v>
      </c>
      <c r="AP1209" s="15">
        <v>16</v>
      </c>
      <c r="AQ1209" s="15" t="s">
        <v>702</v>
      </c>
      <c r="AR1209" s="4">
        <v>0.68</v>
      </c>
      <c r="AS1209" s="4">
        <v>48</v>
      </c>
      <c r="AT1209" s="4">
        <v>52</v>
      </c>
      <c r="AU1209" s="2" t="s">
        <v>703</v>
      </c>
      <c r="AV1209" s="16">
        <f t="shared" si="687"/>
        <v>100.68</v>
      </c>
      <c r="AW1209" s="7">
        <v>0.91</v>
      </c>
      <c r="AX1209" s="8">
        <f t="shared" si="689"/>
        <v>9.1000000000000004E-3</v>
      </c>
      <c r="AY1209" s="8" t="s">
        <v>704</v>
      </c>
      <c r="AZ1209" s="16">
        <v>10</v>
      </c>
      <c r="BA1209" s="16" t="s">
        <v>55</v>
      </c>
      <c r="BB1209" s="16" t="s">
        <v>55</v>
      </c>
      <c r="BC1209" s="16" t="s">
        <v>55</v>
      </c>
      <c r="BD1209" s="24">
        <f t="shared" si="688"/>
        <v>42.657951880159267</v>
      </c>
      <c r="BE1209" s="16">
        <f t="shared" si="671"/>
        <v>4687.6870197977214</v>
      </c>
      <c r="BF1209" s="16">
        <f t="shared" si="672"/>
        <v>3.6709586076789065</v>
      </c>
      <c r="BG1209" s="8">
        <f>(1.65+1.61)/2</f>
        <v>1.63</v>
      </c>
      <c r="BH1209" s="15" t="s">
        <v>852</v>
      </c>
      <c r="BI1209" s="1"/>
      <c r="BJ1209" s="2"/>
      <c r="BK1209" s="1"/>
      <c r="BL1209" s="1"/>
      <c r="BM1209" s="7"/>
      <c r="BN1209" s="7"/>
      <c r="BO1209" s="1"/>
      <c r="BP1209" s="11"/>
      <c r="BQ1209" s="11"/>
    </row>
    <row r="1210" spans="1:69" x14ac:dyDescent="0.3">
      <c r="A1210" s="20">
        <v>1208</v>
      </c>
      <c r="B1210" s="2" t="s">
        <v>690</v>
      </c>
      <c r="C1210" s="2">
        <v>2023</v>
      </c>
      <c r="D1210" s="2" t="s">
        <v>199</v>
      </c>
      <c r="E1210" s="10" t="s">
        <v>803</v>
      </c>
      <c r="F1210" s="20" t="s">
        <v>29</v>
      </c>
      <c r="G1210" s="2" t="s">
        <v>699</v>
      </c>
      <c r="H1210" s="2" t="str">
        <f>'PFAS Properties'!$B$56</f>
        <v>PFOSA</v>
      </c>
      <c r="I1210" s="2" t="str">
        <f>'PFAS Properties'!$C$56</f>
        <v>FOSA</v>
      </c>
      <c r="J1210" s="2" t="str">
        <f>'PFAS Properties'!$D$56</f>
        <v>C8H2F17NO2S</v>
      </c>
      <c r="K1210" s="25">
        <f>'PFAS Properties'!$P$56</f>
        <v>498.95340000000004</v>
      </c>
      <c r="L1210" s="2">
        <f>'PFAS Properties'!$X$56</f>
        <v>6.2</v>
      </c>
      <c r="M1210" s="2" t="str">
        <f>'PFAS Properties'!$Y$56</f>
        <v>-</v>
      </c>
      <c r="N1210" s="33">
        <v>0</v>
      </c>
      <c r="O1210" s="33">
        <v>0</v>
      </c>
      <c r="P1210" s="33">
        <v>0</v>
      </c>
      <c r="Q1210" s="33">
        <f t="shared" si="691"/>
        <v>0.28474724895080122</v>
      </c>
      <c r="R1210" s="33">
        <v>0</v>
      </c>
      <c r="S1210" s="33">
        <f t="shared" si="692"/>
        <v>0.71525275104919883</v>
      </c>
      <c r="T1210" s="8">
        <f t="shared" si="690"/>
        <v>1</v>
      </c>
      <c r="U1210" s="33">
        <f t="shared" si="676"/>
        <v>0</v>
      </c>
      <c r="V1210" s="33">
        <f t="shared" si="677"/>
        <v>-0.28474724895080122</v>
      </c>
      <c r="W1210" s="33">
        <f t="shared" si="678"/>
        <v>498.66865275104925</v>
      </c>
      <c r="X1210" s="33">
        <v>96485</v>
      </c>
      <c r="Y1210" s="16">
        <f t="shared" si="679"/>
        <v>-55.094376122202014</v>
      </c>
      <c r="Z1210" s="16">
        <v>8</v>
      </c>
      <c r="AA1210" s="16">
        <v>17</v>
      </c>
      <c r="AB1210" s="8">
        <f t="shared" si="680"/>
        <v>0.29721362229102166</v>
      </c>
      <c r="AC1210" s="16">
        <f t="shared" si="681"/>
        <v>64.735504357721567</v>
      </c>
      <c r="AD1210" s="20">
        <f>'PFAS Properties'!$W$56</f>
        <v>8</v>
      </c>
      <c r="AE1210" s="8">
        <f>'PFAS Properties'!$S$56</f>
        <v>0.90525604874845123</v>
      </c>
      <c r="AF1210" s="2">
        <f>'PFAS Properties'!$V$56</f>
        <v>4.8</v>
      </c>
      <c r="AG1210" s="26">
        <v>5.8</v>
      </c>
      <c r="AH1210" s="2" t="s">
        <v>701</v>
      </c>
      <c r="AI1210" s="15">
        <f t="shared" si="685"/>
        <v>1.6753499999999999</v>
      </c>
      <c r="AJ1210" s="16">
        <v>30</v>
      </c>
      <c r="AK1210" s="8">
        <f t="shared" si="682"/>
        <v>0.16753499999999999</v>
      </c>
      <c r="AL1210" s="15">
        <f t="shared" si="686"/>
        <v>0.75549599999999995</v>
      </c>
      <c r="AM1210" s="16">
        <v>28</v>
      </c>
      <c r="AN1210" s="8">
        <f t="shared" si="683"/>
        <v>7.5549599999999995E-2</v>
      </c>
      <c r="AO1210" s="15" t="s">
        <v>705</v>
      </c>
      <c r="AP1210" s="15">
        <v>0.77</v>
      </c>
      <c r="AQ1210" s="15" t="s">
        <v>702</v>
      </c>
      <c r="AR1210" s="4">
        <v>89</v>
      </c>
      <c r="AS1210" s="4">
        <v>8</v>
      </c>
      <c r="AT1210" s="4">
        <v>3</v>
      </c>
      <c r="AU1210" s="2" t="s">
        <v>703</v>
      </c>
      <c r="AV1210" s="16">
        <f t="shared" si="687"/>
        <v>100</v>
      </c>
      <c r="AW1210" s="7">
        <v>0.3</v>
      </c>
      <c r="AX1210" s="8">
        <f t="shared" si="689"/>
        <v>3.0000000000000001E-3</v>
      </c>
      <c r="AY1210" s="8" t="s">
        <v>704</v>
      </c>
      <c r="AZ1210" s="16">
        <v>10</v>
      </c>
      <c r="BA1210" s="16" t="s">
        <v>55</v>
      </c>
      <c r="BB1210" s="16" t="s">
        <v>55</v>
      </c>
      <c r="BC1210" s="16" t="s">
        <v>55</v>
      </c>
      <c r="BD1210" s="24">
        <f t="shared" si="688"/>
        <v>64.565422903465588</v>
      </c>
      <c r="BE1210" s="16">
        <f t="shared" si="671"/>
        <v>21521.80763448853</v>
      </c>
      <c r="BF1210" s="16">
        <f t="shared" si="672"/>
        <v>4.3328787452803379</v>
      </c>
      <c r="BG1210" s="8">
        <v>1.81</v>
      </c>
      <c r="BH1210" s="15" t="s">
        <v>853</v>
      </c>
      <c r="BI1210" s="1"/>
      <c r="BJ1210" s="2"/>
      <c r="BK1210" s="1"/>
      <c r="BL1210" s="1"/>
      <c r="BM1210" s="7"/>
      <c r="BN1210" s="7"/>
      <c r="BO1210" s="1"/>
      <c r="BP1210" s="11"/>
      <c r="BQ1210" s="11"/>
    </row>
    <row r="1211" spans="1:69" x14ac:dyDescent="0.3">
      <c r="A1211" s="20">
        <v>1209</v>
      </c>
      <c r="B1211" s="2" t="s">
        <v>690</v>
      </c>
      <c r="C1211" s="2">
        <v>2023</v>
      </c>
      <c r="D1211" s="2" t="s">
        <v>199</v>
      </c>
      <c r="E1211" s="10" t="s">
        <v>803</v>
      </c>
      <c r="F1211" s="20" t="s">
        <v>29</v>
      </c>
      <c r="G1211" s="2" t="s">
        <v>700</v>
      </c>
      <c r="H1211" s="2" t="str">
        <f>'PFAS Properties'!$B$56</f>
        <v>PFOSA</v>
      </c>
      <c r="I1211" s="2" t="str">
        <f>'PFAS Properties'!$C$56</f>
        <v>FOSA</v>
      </c>
      <c r="J1211" s="2" t="str">
        <f>'PFAS Properties'!$D$56</f>
        <v>C8H2F17NO2S</v>
      </c>
      <c r="K1211" s="25">
        <f>'PFAS Properties'!$P$56</f>
        <v>498.95340000000004</v>
      </c>
      <c r="L1211" s="2">
        <f>'PFAS Properties'!$X$56</f>
        <v>6.2</v>
      </c>
      <c r="M1211" s="2" t="str">
        <f>'PFAS Properties'!$Y$56</f>
        <v>-</v>
      </c>
      <c r="N1211" s="33">
        <v>0</v>
      </c>
      <c r="O1211" s="33">
        <v>0</v>
      </c>
      <c r="P1211" s="33">
        <v>0</v>
      </c>
      <c r="Q1211" s="33">
        <f t="shared" si="691"/>
        <v>0.11181576977811683</v>
      </c>
      <c r="R1211" s="33">
        <v>0</v>
      </c>
      <c r="S1211" s="33">
        <f t="shared" si="692"/>
        <v>0.8881842302218832</v>
      </c>
      <c r="T1211" s="8">
        <f t="shared" si="690"/>
        <v>1</v>
      </c>
      <c r="U1211" s="33">
        <f t="shared" si="676"/>
        <v>0</v>
      </c>
      <c r="V1211" s="33">
        <f t="shared" si="677"/>
        <v>-0.11181576977811683</v>
      </c>
      <c r="W1211" s="33">
        <f t="shared" si="678"/>
        <v>498.84158423022194</v>
      </c>
      <c r="X1211" s="33">
        <v>96485</v>
      </c>
      <c r="Y1211" s="16">
        <f t="shared" si="679"/>
        <v>-21.627195663107646</v>
      </c>
      <c r="Z1211" s="16">
        <v>8</v>
      </c>
      <c r="AA1211" s="16">
        <v>17</v>
      </c>
      <c r="AB1211" s="8">
        <f t="shared" si="680"/>
        <v>0.29721362229102166</v>
      </c>
      <c r="AC1211" s="16">
        <f t="shared" si="681"/>
        <v>64.735504357721567</v>
      </c>
      <c r="AD1211" s="20">
        <f>'PFAS Properties'!$W$56</f>
        <v>8</v>
      </c>
      <c r="AE1211" s="8">
        <f>'PFAS Properties'!$S$56</f>
        <v>0.90525604874845123</v>
      </c>
      <c r="AF1211" s="2">
        <f>'PFAS Properties'!$V$56</f>
        <v>4.8</v>
      </c>
      <c r="AG1211" s="26">
        <v>5.3</v>
      </c>
      <c r="AH1211" s="2" t="s">
        <v>701</v>
      </c>
      <c r="AI1211" s="15">
        <f t="shared" si="685"/>
        <v>1.2285899999999998</v>
      </c>
      <c r="AJ1211" s="16">
        <v>22</v>
      </c>
      <c r="AK1211" s="8">
        <f t="shared" si="682"/>
        <v>0.12285899999999998</v>
      </c>
      <c r="AL1211" s="15">
        <f t="shared" si="686"/>
        <v>2.15856</v>
      </c>
      <c r="AM1211" s="16">
        <v>80</v>
      </c>
      <c r="AN1211" s="8">
        <f t="shared" si="683"/>
        <v>0.21585599999999999</v>
      </c>
      <c r="AO1211" s="15" t="s">
        <v>705</v>
      </c>
      <c r="AP1211" s="15">
        <v>0.45</v>
      </c>
      <c r="AQ1211" s="15" t="s">
        <v>702</v>
      </c>
      <c r="AR1211" s="4">
        <v>96</v>
      </c>
      <c r="AS1211" s="4">
        <v>3</v>
      </c>
      <c r="AT1211" s="4">
        <v>2</v>
      </c>
      <c r="AU1211" s="2" t="s">
        <v>703</v>
      </c>
      <c r="AV1211" s="16">
        <f t="shared" si="687"/>
        <v>101</v>
      </c>
      <c r="AW1211" s="7">
        <v>0.19</v>
      </c>
      <c r="AX1211" s="8">
        <f t="shared" si="689"/>
        <v>1.9E-3</v>
      </c>
      <c r="AY1211" s="8" t="s">
        <v>704</v>
      </c>
      <c r="AZ1211" s="16">
        <v>10</v>
      </c>
      <c r="BA1211" s="16" t="s">
        <v>55</v>
      </c>
      <c r="BB1211" s="16" t="s">
        <v>55</v>
      </c>
      <c r="BC1211" s="16" t="s">
        <v>55</v>
      </c>
      <c r="BD1211" s="24">
        <f t="shared" si="688"/>
        <v>38.018939632056139</v>
      </c>
      <c r="BE1211" s="16">
        <f t="shared" si="671"/>
        <v>20009.968227397967</v>
      </c>
      <c r="BF1211" s="16">
        <f t="shared" si="672"/>
        <v>4.3012463990471712</v>
      </c>
      <c r="BG1211" s="8">
        <v>1.58</v>
      </c>
      <c r="BH1211" s="15" t="s">
        <v>846</v>
      </c>
      <c r="BI1211" s="1"/>
      <c r="BJ1211" s="2"/>
      <c r="BK1211" s="1"/>
      <c r="BL1211" s="1"/>
      <c r="BM1211" s="7"/>
      <c r="BN1211" s="7"/>
      <c r="BO1211" s="1"/>
      <c r="BP1211" s="11"/>
      <c r="BQ1211" s="11"/>
    </row>
    <row r="1212" spans="1:69" s="14" customFormat="1" x14ac:dyDescent="0.3">
      <c r="A1212" s="20">
        <v>1210</v>
      </c>
      <c r="B1212" s="2" t="s">
        <v>181</v>
      </c>
      <c r="C1212" s="2">
        <v>2020</v>
      </c>
      <c r="D1212" s="2" t="s">
        <v>203</v>
      </c>
      <c r="E1212" s="10" t="s">
        <v>787</v>
      </c>
      <c r="F1212" s="20" t="s">
        <v>29</v>
      </c>
      <c r="G1212" s="2" t="s">
        <v>62</v>
      </c>
      <c r="H1212" s="2" t="str">
        <f>'PFAS Properties'!$B$56</f>
        <v>PFOSA</v>
      </c>
      <c r="I1212" s="2" t="str">
        <f>'PFAS Properties'!$C$56</f>
        <v>FOSA</v>
      </c>
      <c r="J1212" s="2" t="str">
        <f>'PFAS Properties'!$D$56</f>
        <v>C8H2F17NO2S</v>
      </c>
      <c r="K1212" s="25">
        <f>'PFAS Properties'!$P$56</f>
        <v>498.95340000000004</v>
      </c>
      <c r="L1212" s="2">
        <f>'PFAS Properties'!$X$56</f>
        <v>6.2</v>
      </c>
      <c r="M1212" s="2" t="str">
        <f>'PFAS Properties'!$Y$56</f>
        <v>-</v>
      </c>
      <c r="N1212" s="33">
        <v>0</v>
      </c>
      <c r="O1212" s="33">
        <v>0</v>
      </c>
      <c r="P1212" s="33">
        <v>0</v>
      </c>
      <c r="Q1212" s="33">
        <f t="shared" si="691"/>
        <v>0.95227327896579606</v>
      </c>
      <c r="R1212" s="33">
        <v>0</v>
      </c>
      <c r="S1212" s="33">
        <f t="shared" si="692"/>
        <v>4.7726721034203903E-2</v>
      </c>
      <c r="T1212" s="8">
        <f t="shared" si="690"/>
        <v>1</v>
      </c>
      <c r="U1212" s="33">
        <f t="shared" si="676"/>
        <v>0</v>
      </c>
      <c r="V1212" s="33">
        <f t="shared" si="677"/>
        <v>-0.95227327896579606</v>
      </c>
      <c r="W1212" s="33">
        <f t="shared" si="678"/>
        <v>498.00112672103421</v>
      </c>
      <c r="X1212" s="33">
        <v>96485</v>
      </c>
      <c r="Y1212" s="16">
        <f t="shared" si="679"/>
        <v>-184.49774988658487</v>
      </c>
      <c r="Z1212" s="16">
        <v>8</v>
      </c>
      <c r="AA1212" s="16">
        <v>17</v>
      </c>
      <c r="AB1212" s="8">
        <f t="shared" si="680"/>
        <v>0.29721362229102166</v>
      </c>
      <c r="AC1212" s="16">
        <f t="shared" si="681"/>
        <v>64.735504357721567</v>
      </c>
      <c r="AD1212" s="20">
        <f>'PFAS Properties'!$W$56</f>
        <v>8</v>
      </c>
      <c r="AE1212" s="8">
        <f>'PFAS Properties'!$S$56</f>
        <v>0.90525604874845123</v>
      </c>
      <c r="AF1212" s="2">
        <f>'PFAS Properties'!$V$56</f>
        <v>4.8</v>
      </c>
      <c r="AG1212" s="24">
        <v>7.5</v>
      </c>
      <c r="AH1212" s="2" t="s">
        <v>183</v>
      </c>
      <c r="AI1212" s="2" t="s">
        <v>661</v>
      </c>
      <c r="AJ1212" s="2" t="s">
        <v>661</v>
      </c>
      <c r="AK1212" s="2" t="s">
        <v>661</v>
      </c>
      <c r="AL1212" s="2" t="s">
        <v>661</v>
      </c>
      <c r="AM1212" s="2" t="s">
        <v>661</v>
      </c>
      <c r="AN1212" s="2" t="s">
        <v>661</v>
      </c>
      <c r="AO1212" s="2" t="s">
        <v>661</v>
      </c>
      <c r="AP1212" s="15">
        <v>41.4</v>
      </c>
      <c r="AQ1212" s="2" t="s">
        <v>661</v>
      </c>
      <c r="AR1212" s="16">
        <v>16.899999999999999</v>
      </c>
      <c r="AS1212" s="16">
        <v>17.5</v>
      </c>
      <c r="AT1212" s="16">
        <v>65.599999999999994</v>
      </c>
      <c r="AU1212" s="2" t="s">
        <v>661</v>
      </c>
      <c r="AV1212" s="16">
        <f t="shared" si="687"/>
        <v>100</v>
      </c>
      <c r="AW1212" s="20">
        <v>0.7</v>
      </c>
      <c r="AX1212" s="8">
        <f t="shared" si="689"/>
        <v>6.9999999999999993E-3</v>
      </c>
      <c r="AY1212" s="13" t="s">
        <v>184</v>
      </c>
      <c r="AZ1212" s="16">
        <v>100</v>
      </c>
      <c r="BA1212" s="16" t="s">
        <v>55</v>
      </c>
      <c r="BB1212" s="16">
        <v>5</v>
      </c>
      <c r="BC1212" s="16" t="s">
        <v>55</v>
      </c>
      <c r="BD1212" s="24">
        <v>7.42</v>
      </c>
      <c r="BE1212" s="16">
        <f t="shared" si="671"/>
        <v>1060</v>
      </c>
      <c r="BF1212" s="16">
        <f t="shared" si="672"/>
        <v>3.0253058652647704</v>
      </c>
      <c r="BG1212" s="8">
        <f t="shared" ref="BG1212:BG1234" si="693">LOG(BD1212)</f>
        <v>0.87040390527902711</v>
      </c>
      <c r="BH1212" s="13" t="s">
        <v>345</v>
      </c>
      <c r="BI1212" s="13"/>
      <c r="BJ1212" s="13"/>
      <c r="BK1212" s="13"/>
      <c r="BL1212" s="13"/>
      <c r="BM1212" s="17"/>
      <c r="BN1212" s="17"/>
      <c r="BO1212" s="2"/>
    </row>
    <row r="1213" spans="1:69" s="14" customFormat="1" x14ac:dyDescent="0.3">
      <c r="A1213" s="20">
        <v>1211</v>
      </c>
      <c r="B1213" s="2" t="s">
        <v>181</v>
      </c>
      <c r="C1213" s="2">
        <v>2020</v>
      </c>
      <c r="D1213" s="2" t="s">
        <v>203</v>
      </c>
      <c r="E1213" s="10" t="s">
        <v>787</v>
      </c>
      <c r="F1213" s="20" t="s">
        <v>29</v>
      </c>
      <c r="G1213" s="2" t="s">
        <v>57</v>
      </c>
      <c r="H1213" s="2" t="str">
        <f>'PFAS Properties'!$B$56</f>
        <v>PFOSA</v>
      </c>
      <c r="I1213" s="2" t="str">
        <f>'PFAS Properties'!$C$56</f>
        <v>FOSA</v>
      </c>
      <c r="J1213" s="2" t="str">
        <f>'PFAS Properties'!$D$56</f>
        <v>C8H2F17NO2S</v>
      </c>
      <c r="K1213" s="25">
        <f>'PFAS Properties'!$P$56</f>
        <v>498.95340000000004</v>
      </c>
      <c r="L1213" s="2">
        <f>'PFAS Properties'!$X$56</f>
        <v>6.2</v>
      </c>
      <c r="M1213" s="2" t="str">
        <f>'PFAS Properties'!$Y$56</f>
        <v>-</v>
      </c>
      <c r="N1213" s="33">
        <v>0</v>
      </c>
      <c r="O1213" s="33">
        <v>0</v>
      </c>
      <c r="P1213" s="33">
        <v>0</v>
      </c>
      <c r="Q1213" s="33">
        <f t="shared" si="691"/>
        <v>0.79923999108689814</v>
      </c>
      <c r="R1213" s="33">
        <v>0</v>
      </c>
      <c r="S1213" s="33">
        <f t="shared" si="692"/>
        <v>0.20076000891310183</v>
      </c>
      <c r="T1213" s="8">
        <f t="shared" si="690"/>
        <v>1</v>
      </c>
      <c r="U1213" s="33">
        <f t="shared" si="676"/>
        <v>0</v>
      </c>
      <c r="V1213" s="33">
        <f t="shared" si="677"/>
        <v>-0.79923999108689814</v>
      </c>
      <c r="W1213" s="33">
        <f t="shared" si="678"/>
        <v>498.1541600089131</v>
      </c>
      <c r="X1213" s="33">
        <v>96485</v>
      </c>
      <c r="Y1213" s="16">
        <f t="shared" si="679"/>
        <v>-154.80081615425956</v>
      </c>
      <c r="Z1213" s="16">
        <v>8</v>
      </c>
      <c r="AA1213" s="16">
        <v>17</v>
      </c>
      <c r="AB1213" s="8">
        <f t="shared" si="680"/>
        <v>0.29721362229102166</v>
      </c>
      <c r="AC1213" s="16">
        <f t="shared" si="681"/>
        <v>64.735504357721567</v>
      </c>
      <c r="AD1213" s="20">
        <f>'PFAS Properties'!$W$56</f>
        <v>8</v>
      </c>
      <c r="AE1213" s="8">
        <f>'PFAS Properties'!$S$56</f>
        <v>0.90525604874845123</v>
      </c>
      <c r="AF1213" s="2">
        <f>'PFAS Properties'!$V$56</f>
        <v>4.8</v>
      </c>
      <c r="AG1213" s="24">
        <v>6.8</v>
      </c>
      <c r="AH1213" s="2" t="s">
        <v>183</v>
      </c>
      <c r="AI1213" s="2" t="s">
        <v>661</v>
      </c>
      <c r="AJ1213" s="2" t="s">
        <v>661</v>
      </c>
      <c r="AK1213" s="2" t="s">
        <v>661</v>
      </c>
      <c r="AL1213" s="2" t="s">
        <v>661</v>
      </c>
      <c r="AM1213" s="2" t="s">
        <v>661</v>
      </c>
      <c r="AN1213" s="2" t="s">
        <v>661</v>
      </c>
      <c r="AO1213" s="2" t="s">
        <v>661</v>
      </c>
      <c r="AP1213" s="15">
        <v>7.1</v>
      </c>
      <c r="AQ1213" s="2" t="s">
        <v>661</v>
      </c>
      <c r="AR1213" s="16">
        <v>48.9</v>
      </c>
      <c r="AS1213" s="16">
        <v>27</v>
      </c>
      <c r="AT1213" s="16">
        <v>24.2</v>
      </c>
      <c r="AU1213" s="2" t="s">
        <v>661</v>
      </c>
      <c r="AV1213" s="16">
        <f t="shared" si="687"/>
        <v>100.10000000000001</v>
      </c>
      <c r="AW1213" s="20">
        <v>0.37</v>
      </c>
      <c r="AX1213" s="8">
        <f t="shared" si="689"/>
        <v>3.7000000000000002E-3</v>
      </c>
      <c r="AY1213" s="13" t="s">
        <v>184</v>
      </c>
      <c r="AZ1213" s="16">
        <v>100</v>
      </c>
      <c r="BA1213" s="16" t="s">
        <v>55</v>
      </c>
      <c r="BB1213" s="16">
        <v>5</v>
      </c>
      <c r="BC1213" s="16" t="s">
        <v>55</v>
      </c>
      <c r="BD1213" s="24">
        <v>6.6639999999999997</v>
      </c>
      <c r="BE1213" s="16">
        <f t="shared" si="671"/>
        <v>1801.0810810810808</v>
      </c>
      <c r="BF1213" s="16">
        <f t="shared" si="672"/>
        <v>3.2555332643317363</v>
      </c>
      <c r="BG1213" s="8">
        <f t="shared" si="693"/>
        <v>0.82373498839873116</v>
      </c>
      <c r="BH1213" s="13" t="s">
        <v>345</v>
      </c>
      <c r="BI1213" s="13"/>
      <c r="BJ1213" s="13"/>
      <c r="BK1213" s="13"/>
      <c r="BL1213" s="13"/>
      <c r="BM1213" s="17"/>
      <c r="BN1213" s="17"/>
      <c r="BO1213" s="2"/>
    </row>
    <row r="1214" spans="1:69" s="14" customFormat="1" x14ac:dyDescent="0.3">
      <c r="A1214" s="20">
        <v>1212</v>
      </c>
      <c r="B1214" s="2" t="s">
        <v>181</v>
      </c>
      <c r="C1214" s="2">
        <v>2020</v>
      </c>
      <c r="D1214" s="2" t="s">
        <v>203</v>
      </c>
      <c r="E1214" s="10" t="s">
        <v>787</v>
      </c>
      <c r="F1214" s="20" t="s">
        <v>29</v>
      </c>
      <c r="G1214" s="2" t="s">
        <v>58</v>
      </c>
      <c r="H1214" s="2" t="str">
        <f>'PFAS Properties'!$B$56</f>
        <v>PFOSA</v>
      </c>
      <c r="I1214" s="2" t="str">
        <f>'PFAS Properties'!$C$56</f>
        <v>FOSA</v>
      </c>
      <c r="J1214" s="2" t="str">
        <f>'PFAS Properties'!$D$56</f>
        <v>C8H2F17NO2S</v>
      </c>
      <c r="K1214" s="25">
        <f>'PFAS Properties'!$P$56</f>
        <v>498.95340000000004</v>
      </c>
      <c r="L1214" s="2">
        <f>'PFAS Properties'!$X$56</f>
        <v>6.2</v>
      </c>
      <c r="M1214" s="2" t="str">
        <f>'PFAS Properties'!$Y$56</f>
        <v>-</v>
      </c>
      <c r="N1214" s="33">
        <v>0</v>
      </c>
      <c r="O1214" s="33">
        <v>0</v>
      </c>
      <c r="P1214" s="33">
        <v>0</v>
      </c>
      <c r="Q1214" s="33">
        <f t="shared" si="691"/>
        <v>0.5</v>
      </c>
      <c r="R1214" s="33">
        <v>0</v>
      </c>
      <c r="S1214" s="33">
        <f t="shared" si="692"/>
        <v>0.5</v>
      </c>
      <c r="T1214" s="8">
        <f t="shared" si="690"/>
        <v>1</v>
      </c>
      <c r="U1214" s="33">
        <f t="shared" si="676"/>
        <v>0</v>
      </c>
      <c r="V1214" s="33">
        <f t="shared" si="677"/>
        <v>-0.5</v>
      </c>
      <c r="W1214" s="33">
        <f t="shared" si="678"/>
        <v>498.45340000000004</v>
      </c>
      <c r="X1214" s="33">
        <v>96485</v>
      </c>
      <c r="Y1214" s="16">
        <f t="shared" si="679"/>
        <v>-96.784373423874726</v>
      </c>
      <c r="Z1214" s="16">
        <v>8</v>
      </c>
      <c r="AA1214" s="16">
        <v>17</v>
      </c>
      <c r="AB1214" s="8">
        <f t="shared" si="680"/>
        <v>0.29721362229102166</v>
      </c>
      <c r="AC1214" s="16">
        <f t="shared" si="681"/>
        <v>64.735504357721567</v>
      </c>
      <c r="AD1214" s="20">
        <f>'PFAS Properties'!$W$56</f>
        <v>8</v>
      </c>
      <c r="AE1214" s="8">
        <f>'PFAS Properties'!$S$56</f>
        <v>0.90525604874845123</v>
      </c>
      <c r="AF1214" s="2">
        <f>'PFAS Properties'!$V$56</f>
        <v>4.8</v>
      </c>
      <c r="AG1214" s="24">
        <v>6.2</v>
      </c>
      <c r="AH1214" s="2" t="s">
        <v>183</v>
      </c>
      <c r="AI1214" s="2" t="s">
        <v>661</v>
      </c>
      <c r="AJ1214" s="2" t="s">
        <v>661</v>
      </c>
      <c r="AK1214" s="2" t="s">
        <v>661</v>
      </c>
      <c r="AL1214" s="2" t="s">
        <v>661</v>
      </c>
      <c r="AM1214" s="2" t="s">
        <v>661</v>
      </c>
      <c r="AN1214" s="2" t="s">
        <v>661</v>
      </c>
      <c r="AO1214" s="2" t="s">
        <v>661</v>
      </c>
      <c r="AP1214" s="15">
        <v>8</v>
      </c>
      <c r="AQ1214" s="2" t="s">
        <v>661</v>
      </c>
      <c r="AR1214" s="16">
        <v>51.44</v>
      </c>
      <c r="AS1214" s="16">
        <v>10.17</v>
      </c>
      <c r="AT1214" s="16">
        <v>38.380000000000003</v>
      </c>
      <c r="AU1214" s="2" t="s">
        <v>661</v>
      </c>
      <c r="AV1214" s="16">
        <f t="shared" si="687"/>
        <v>99.990000000000009</v>
      </c>
      <c r="AW1214" s="20">
        <v>0.08</v>
      </c>
      <c r="AX1214" s="8">
        <f t="shared" si="689"/>
        <v>8.0000000000000004E-4</v>
      </c>
      <c r="AY1214" s="8" t="s">
        <v>184</v>
      </c>
      <c r="AZ1214" s="16">
        <v>100</v>
      </c>
      <c r="BA1214" s="16" t="s">
        <v>55</v>
      </c>
      <c r="BB1214" s="16">
        <v>5</v>
      </c>
      <c r="BC1214" s="16" t="s">
        <v>55</v>
      </c>
      <c r="BD1214" s="24">
        <v>18.16</v>
      </c>
      <c r="BE1214" s="16">
        <f t="shared" si="671"/>
        <v>22700</v>
      </c>
      <c r="BF1214" s="16">
        <f t="shared" si="672"/>
        <v>4.3560258571931225</v>
      </c>
      <c r="BG1214" s="8">
        <f t="shared" si="693"/>
        <v>1.2591158441850663</v>
      </c>
      <c r="BH1214" s="13" t="s">
        <v>345</v>
      </c>
      <c r="BI1214" s="13"/>
      <c r="BJ1214" s="13"/>
      <c r="BK1214" s="13"/>
      <c r="BL1214" s="13"/>
      <c r="BM1214" s="17"/>
      <c r="BN1214" s="17"/>
      <c r="BO1214" s="2"/>
    </row>
    <row r="1215" spans="1:69" s="14" customFormat="1" x14ac:dyDescent="0.3">
      <c r="A1215" s="20">
        <v>1213</v>
      </c>
      <c r="B1215" s="2" t="s">
        <v>181</v>
      </c>
      <c r="C1215" s="2">
        <v>2020</v>
      </c>
      <c r="D1215" s="2" t="s">
        <v>203</v>
      </c>
      <c r="E1215" s="10" t="s">
        <v>787</v>
      </c>
      <c r="F1215" s="20" t="s">
        <v>29</v>
      </c>
      <c r="G1215" s="2" t="s">
        <v>59</v>
      </c>
      <c r="H1215" s="2" t="str">
        <f>'PFAS Properties'!$B$56</f>
        <v>PFOSA</v>
      </c>
      <c r="I1215" s="2" t="str">
        <f>'PFAS Properties'!$C$56</f>
        <v>FOSA</v>
      </c>
      <c r="J1215" s="2" t="str">
        <f>'PFAS Properties'!$D$56</f>
        <v>C8H2F17NO2S</v>
      </c>
      <c r="K1215" s="25">
        <f>'PFAS Properties'!$P$56</f>
        <v>498.95340000000004</v>
      </c>
      <c r="L1215" s="2">
        <f>'PFAS Properties'!$X$56</f>
        <v>6.2</v>
      </c>
      <c r="M1215" s="2" t="str">
        <f>'PFAS Properties'!$Y$56</f>
        <v>-</v>
      </c>
      <c r="N1215" s="33">
        <v>0</v>
      </c>
      <c r="O1215" s="33">
        <v>0</v>
      </c>
      <c r="P1215" s="33">
        <v>0</v>
      </c>
      <c r="Q1215" s="33">
        <f t="shared" si="691"/>
        <v>0.9693465699682845</v>
      </c>
      <c r="R1215" s="33">
        <v>0</v>
      </c>
      <c r="S1215" s="33">
        <f t="shared" si="692"/>
        <v>3.0653430031715501E-2</v>
      </c>
      <c r="T1215" s="8">
        <f t="shared" si="690"/>
        <v>1</v>
      </c>
      <c r="U1215" s="33">
        <f t="shared" si="676"/>
        <v>0</v>
      </c>
      <c r="V1215" s="33">
        <f t="shared" si="677"/>
        <v>-0.9693465699682845</v>
      </c>
      <c r="W1215" s="33">
        <f t="shared" si="678"/>
        <v>497.98405343003174</v>
      </c>
      <c r="X1215" s="33">
        <v>96485</v>
      </c>
      <c r="Y1215" s="16">
        <f t="shared" si="679"/>
        <v>-187.81204570545714</v>
      </c>
      <c r="Z1215" s="16">
        <v>8</v>
      </c>
      <c r="AA1215" s="16">
        <v>17</v>
      </c>
      <c r="AB1215" s="8">
        <f t="shared" si="680"/>
        <v>0.29721362229102166</v>
      </c>
      <c r="AC1215" s="16">
        <f t="shared" si="681"/>
        <v>64.735504357721567</v>
      </c>
      <c r="AD1215" s="20">
        <f>'PFAS Properties'!$W$56</f>
        <v>8</v>
      </c>
      <c r="AE1215" s="8">
        <f>'PFAS Properties'!$S$56</f>
        <v>0.90525604874845123</v>
      </c>
      <c r="AF1215" s="2">
        <f>'PFAS Properties'!$V$56</f>
        <v>4.8</v>
      </c>
      <c r="AG1215" s="24">
        <v>7.7</v>
      </c>
      <c r="AH1215" s="2" t="s">
        <v>183</v>
      </c>
      <c r="AI1215" s="2" t="s">
        <v>661</v>
      </c>
      <c r="AJ1215" s="2" t="s">
        <v>661</v>
      </c>
      <c r="AK1215" s="2" t="s">
        <v>661</v>
      </c>
      <c r="AL1215" s="2" t="s">
        <v>661</v>
      </c>
      <c r="AM1215" s="2" t="s">
        <v>661</v>
      </c>
      <c r="AN1215" s="2" t="s">
        <v>661</v>
      </c>
      <c r="AO1215" s="2" t="s">
        <v>661</v>
      </c>
      <c r="AP1215" s="15">
        <v>4.8</v>
      </c>
      <c r="AQ1215" s="2" t="s">
        <v>661</v>
      </c>
      <c r="AR1215" s="16">
        <v>46</v>
      </c>
      <c r="AS1215" s="16">
        <v>37</v>
      </c>
      <c r="AT1215" s="16">
        <v>17</v>
      </c>
      <c r="AU1215" s="2" t="s">
        <v>661</v>
      </c>
      <c r="AV1215" s="16">
        <f t="shared" si="687"/>
        <v>100</v>
      </c>
      <c r="AW1215" s="20">
        <v>0.25</v>
      </c>
      <c r="AX1215" s="8">
        <f t="shared" si="689"/>
        <v>2.5000000000000001E-3</v>
      </c>
      <c r="AY1215" s="13" t="s">
        <v>184</v>
      </c>
      <c r="AZ1215" s="16">
        <v>100</v>
      </c>
      <c r="BA1215" s="16" t="s">
        <v>55</v>
      </c>
      <c r="BB1215" s="16">
        <v>5</v>
      </c>
      <c r="BC1215" s="16" t="s">
        <v>55</v>
      </c>
      <c r="BD1215" s="24">
        <v>4.18</v>
      </c>
      <c r="BE1215" s="16">
        <f t="shared" si="671"/>
        <v>1671.9999999999998</v>
      </c>
      <c r="BF1215" s="16">
        <f t="shared" si="672"/>
        <v>3.2232362731029975</v>
      </c>
      <c r="BG1215" s="8">
        <f t="shared" si="693"/>
        <v>0.62117628177503514</v>
      </c>
      <c r="BH1215" s="13" t="s">
        <v>345</v>
      </c>
      <c r="BI1215" s="13"/>
      <c r="BJ1215" s="13"/>
      <c r="BK1215" s="13"/>
      <c r="BL1215" s="13"/>
      <c r="BM1215" s="17"/>
      <c r="BN1215" s="17"/>
      <c r="BO1215" s="2"/>
    </row>
    <row r="1216" spans="1:69" s="14" customFormat="1" x14ac:dyDescent="0.3">
      <c r="A1216" s="20">
        <v>1214</v>
      </c>
      <c r="B1216" s="2" t="s">
        <v>181</v>
      </c>
      <c r="C1216" s="2">
        <v>2020</v>
      </c>
      <c r="D1216" s="2" t="s">
        <v>203</v>
      </c>
      <c r="E1216" s="10" t="s">
        <v>787</v>
      </c>
      <c r="F1216" s="20" t="s">
        <v>29</v>
      </c>
      <c r="G1216" s="2" t="s">
        <v>61</v>
      </c>
      <c r="H1216" s="2" t="str">
        <f>'PFAS Properties'!$B$56</f>
        <v>PFOSA</v>
      </c>
      <c r="I1216" s="2" t="str">
        <f>'PFAS Properties'!$C$56</f>
        <v>FOSA</v>
      </c>
      <c r="J1216" s="2" t="str">
        <f>'PFAS Properties'!$D$56</f>
        <v>C8H2F17NO2S</v>
      </c>
      <c r="K1216" s="25">
        <f>'PFAS Properties'!$P$56</f>
        <v>498.95340000000004</v>
      </c>
      <c r="L1216" s="2">
        <f>'PFAS Properties'!$X$56</f>
        <v>6.2</v>
      </c>
      <c r="M1216" s="2" t="str">
        <f>'PFAS Properties'!$Y$56</f>
        <v>-</v>
      </c>
      <c r="N1216" s="33">
        <v>0</v>
      </c>
      <c r="O1216" s="33">
        <v>0</v>
      </c>
      <c r="P1216" s="33">
        <v>0</v>
      </c>
      <c r="Q1216" s="33">
        <f t="shared" si="691"/>
        <v>0.94064905689723244</v>
      </c>
      <c r="R1216" s="33">
        <v>0</v>
      </c>
      <c r="S1216" s="33">
        <f t="shared" si="692"/>
        <v>5.9350943102767569E-2</v>
      </c>
      <c r="T1216" s="8">
        <f t="shared" si="690"/>
        <v>1</v>
      </c>
      <c r="U1216" s="33">
        <f t="shared" si="676"/>
        <v>0</v>
      </c>
      <c r="V1216" s="33">
        <f t="shared" si="677"/>
        <v>-0.94064905689723244</v>
      </c>
      <c r="W1216" s="33">
        <f t="shared" si="678"/>
        <v>498.01275094310284</v>
      </c>
      <c r="X1216" s="33">
        <v>96485</v>
      </c>
      <c r="Y1216" s="16">
        <f t="shared" si="679"/>
        <v>-182.24136647677619</v>
      </c>
      <c r="Z1216" s="16">
        <v>8</v>
      </c>
      <c r="AA1216" s="16">
        <v>17</v>
      </c>
      <c r="AB1216" s="8">
        <f t="shared" si="680"/>
        <v>0.29721362229102166</v>
      </c>
      <c r="AC1216" s="16">
        <f t="shared" si="681"/>
        <v>64.735504357721567</v>
      </c>
      <c r="AD1216" s="20">
        <f>'PFAS Properties'!$W$56</f>
        <v>8</v>
      </c>
      <c r="AE1216" s="8">
        <f>'PFAS Properties'!$S$56</f>
        <v>0.90525604874845123</v>
      </c>
      <c r="AF1216" s="2">
        <f>'PFAS Properties'!$V$56</f>
        <v>4.8</v>
      </c>
      <c r="AG1216" s="24">
        <v>7.4</v>
      </c>
      <c r="AH1216" s="2" t="s">
        <v>183</v>
      </c>
      <c r="AI1216" s="2" t="s">
        <v>661</v>
      </c>
      <c r="AJ1216" s="2" t="s">
        <v>661</v>
      </c>
      <c r="AK1216" s="2" t="s">
        <v>661</v>
      </c>
      <c r="AL1216" s="2" t="s">
        <v>661</v>
      </c>
      <c r="AM1216" s="2" t="s">
        <v>661</v>
      </c>
      <c r="AN1216" s="2" t="s">
        <v>661</v>
      </c>
      <c r="AO1216" s="2" t="s">
        <v>661</v>
      </c>
      <c r="AP1216" s="15">
        <v>29.6</v>
      </c>
      <c r="AQ1216" s="2" t="s">
        <v>661</v>
      </c>
      <c r="AR1216" s="16">
        <v>39.799999999999997</v>
      </c>
      <c r="AS1216" s="16">
        <v>7.7</v>
      </c>
      <c r="AT1216" s="16">
        <v>52.5</v>
      </c>
      <c r="AU1216" s="2" t="s">
        <v>661</v>
      </c>
      <c r="AV1216" s="16">
        <f t="shared" si="687"/>
        <v>100</v>
      </c>
      <c r="AW1216" s="20">
        <v>2.23</v>
      </c>
      <c r="AX1216" s="8">
        <f t="shared" si="689"/>
        <v>2.23E-2</v>
      </c>
      <c r="AY1216" s="8" t="s">
        <v>184</v>
      </c>
      <c r="AZ1216" s="16">
        <v>100</v>
      </c>
      <c r="BA1216" s="16" t="s">
        <v>55</v>
      </c>
      <c r="BB1216" s="16">
        <v>5</v>
      </c>
      <c r="BC1216" s="16" t="s">
        <v>55</v>
      </c>
      <c r="BD1216" s="24">
        <v>3.14</v>
      </c>
      <c r="BE1216" s="16">
        <f t="shared" ref="BE1216:BE1234" si="694">BD1216/AX1216</f>
        <v>140.80717488789239</v>
      </c>
      <c r="BF1216" s="16">
        <f t="shared" ref="BF1216:BF1234" si="695">LOG(BE1216)</f>
        <v>2.1486247850250542</v>
      </c>
      <c r="BG1216" s="8">
        <f t="shared" si="693"/>
        <v>0.49692964807321494</v>
      </c>
      <c r="BH1216" s="13" t="s">
        <v>345</v>
      </c>
      <c r="BI1216" s="13"/>
      <c r="BJ1216" s="13"/>
      <c r="BK1216" s="13"/>
      <c r="BL1216" s="13"/>
      <c r="BM1216" s="17"/>
      <c r="BN1216" s="17"/>
      <c r="BO1216" s="2"/>
    </row>
    <row r="1217" spans="1:69" s="14" customFormat="1" x14ac:dyDescent="0.3">
      <c r="A1217" s="20">
        <v>1215</v>
      </c>
      <c r="B1217" s="2" t="s">
        <v>181</v>
      </c>
      <c r="C1217" s="2">
        <v>2020</v>
      </c>
      <c r="D1217" s="2" t="s">
        <v>203</v>
      </c>
      <c r="E1217" s="10" t="s">
        <v>787</v>
      </c>
      <c r="F1217" s="20" t="s">
        <v>29</v>
      </c>
      <c r="G1217" s="2" t="s">
        <v>60</v>
      </c>
      <c r="H1217" s="2" t="str">
        <f>'PFAS Properties'!$B$56</f>
        <v>PFOSA</v>
      </c>
      <c r="I1217" s="2" t="str">
        <f>'PFAS Properties'!$C$56</f>
        <v>FOSA</v>
      </c>
      <c r="J1217" s="2" t="str">
        <f>'PFAS Properties'!$D$56</f>
        <v>C8H2F17NO2S</v>
      </c>
      <c r="K1217" s="25">
        <f>'PFAS Properties'!$P$56</f>
        <v>498.95340000000004</v>
      </c>
      <c r="L1217" s="2">
        <f>'PFAS Properties'!$X$56</f>
        <v>6.2</v>
      </c>
      <c r="M1217" s="2" t="str">
        <f>'PFAS Properties'!$Y$56</f>
        <v>-</v>
      </c>
      <c r="N1217" s="33">
        <v>0</v>
      </c>
      <c r="O1217" s="33">
        <v>0</v>
      </c>
      <c r="P1217" s="33">
        <v>0</v>
      </c>
      <c r="Q1217" s="33">
        <f t="shared" si="691"/>
        <v>0.9693465699682845</v>
      </c>
      <c r="R1217" s="33">
        <v>0</v>
      </c>
      <c r="S1217" s="33">
        <f t="shared" si="692"/>
        <v>3.0653430031715501E-2</v>
      </c>
      <c r="T1217" s="8">
        <f t="shared" si="690"/>
        <v>1</v>
      </c>
      <c r="U1217" s="33">
        <f t="shared" ref="U1217:U1234" si="696">((1*N1217)+(1*O1217)+(1*P1217))</f>
        <v>0</v>
      </c>
      <c r="V1217" s="33">
        <f t="shared" ref="V1217:V1234" si="697">-((1*O1217)+(2*P1217)+(1*Q1217)+(2*R1217))</f>
        <v>-0.9693465699682845</v>
      </c>
      <c r="W1217" s="33">
        <f t="shared" ref="W1217:W1234" si="698">(N1217*(K1217+1))+(O1217*K1217)+(P1217*(K1217-1))+(Q1217*(K1217-1))+(R1217*(K1217-2))+(S1217*K1217)</f>
        <v>497.98405343003174</v>
      </c>
      <c r="X1217" s="33">
        <v>96485</v>
      </c>
      <c r="Y1217" s="16">
        <f t="shared" ref="Y1217:Y1234" si="699">((V1217+U1217)/W1217)*X1217</f>
        <v>-187.81204570545714</v>
      </c>
      <c r="Z1217" s="16">
        <v>8</v>
      </c>
      <c r="AA1217" s="16">
        <v>17</v>
      </c>
      <c r="AB1217" s="8">
        <f t="shared" ref="AB1217:AB1234" si="700">(Z1217/AA1217)*(12/19)</f>
        <v>0.29721362229102166</v>
      </c>
      <c r="AC1217" s="16">
        <f t="shared" si="681"/>
        <v>64.735504357721567</v>
      </c>
      <c r="AD1217" s="20">
        <f>'PFAS Properties'!$W$56</f>
        <v>8</v>
      </c>
      <c r="AE1217" s="8">
        <f>'PFAS Properties'!$S$56</f>
        <v>0.90525604874845123</v>
      </c>
      <c r="AF1217" s="2">
        <f>'PFAS Properties'!$V$56</f>
        <v>4.8</v>
      </c>
      <c r="AG1217" s="24">
        <v>7.7</v>
      </c>
      <c r="AH1217" s="2" t="s">
        <v>183</v>
      </c>
      <c r="AI1217" s="2" t="s">
        <v>661</v>
      </c>
      <c r="AJ1217" s="2" t="s">
        <v>661</v>
      </c>
      <c r="AK1217" s="2" t="s">
        <v>661</v>
      </c>
      <c r="AL1217" s="2" t="s">
        <v>661</v>
      </c>
      <c r="AM1217" s="2" t="s">
        <v>661</v>
      </c>
      <c r="AN1217" s="2" t="s">
        <v>661</v>
      </c>
      <c r="AO1217" s="2" t="s">
        <v>661</v>
      </c>
      <c r="AP1217" s="15">
        <v>21.63</v>
      </c>
      <c r="AQ1217" s="2" t="s">
        <v>661</v>
      </c>
      <c r="AR1217" s="16">
        <v>70</v>
      </c>
      <c r="AS1217" s="16">
        <v>11</v>
      </c>
      <c r="AT1217" s="16">
        <v>19</v>
      </c>
      <c r="AU1217" s="2" t="s">
        <v>661</v>
      </c>
      <c r="AV1217" s="16">
        <f t="shared" si="687"/>
        <v>100</v>
      </c>
      <c r="AW1217" s="20">
        <v>4.9000000000000004</v>
      </c>
      <c r="AX1217" s="8">
        <f t="shared" si="689"/>
        <v>4.9000000000000002E-2</v>
      </c>
      <c r="AY1217" s="8" t="s">
        <v>184</v>
      </c>
      <c r="AZ1217" s="16">
        <v>100</v>
      </c>
      <c r="BA1217" s="16" t="s">
        <v>55</v>
      </c>
      <c r="BB1217" s="16">
        <v>5</v>
      </c>
      <c r="BC1217" s="16" t="s">
        <v>55</v>
      </c>
      <c r="BD1217" s="24">
        <v>47.29</v>
      </c>
      <c r="BE1217" s="16">
        <f t="shared" si="694"/>
        <v>965.10204081632651</v>
      </c>
      <c r="BF1217" s="16">
        <f t="shared" si="695"/>
        <v>2.9845732339869127</v>
      </c>
      <c r="BG1217" s="8">
        <f t="shared" si="693"/>
        <v>1.6747693140154263</v>
      </c>
      <c r="BH1217" s="13" t="s">
        <v>345</v>
      </c>
      <c r="BI1217" s="13"/>
      <c r="BJ1217" s="13"/>
      <c r="BK1217" s="13"/>
      <c r="BL1217" s="13"/>
      <c r="BM1217" s="17"/>
      <c r="BN1217" s="17"/>
      <c r="BO1217" s="2"/>
    </row>
    <row r="1218" spans="1:69" s="14" customFormat="1" x14ac:dyDescent="0.3">
      <c r="A1218" s="20">
        <v>1216</v>
      </c>
      <c r="B1218" s="2" t="s">
        <v>181</v>
      </c>
      <c r="C1218" s="2">
        <v>2020</v>
      </c>
      <c r="D1218" s="2" t="s">
        <v>203</v>
      </c>
      <c r="E1218" s="10" t="s">
        <v>787</v>
      </c>
      <c r="F1218" s="20" t="s">
        <v>29</v>
      </c>
      <c r="G1218" s="2" t="s">
        <v>77</v>
      </c>
      <c r="H1218" s="2" t="str">
        <f>'PFAS Properties'!$B$56</f>
        <v>PFOSA</v>
      </c>
      <c r="I1218" s="2" t="str">
        <f>'PFAS Properties'!$C$56</f>
        <v>FOSA</v>
      </c>
      <c r="J1218" s="2" t="str">
        <f>'PFAS Properties'!$D$56</f>
        <v>C8H2F17NO2S</v>
      </c>
      <c r="K1218" s="25">
        <f>'PFAS Properties'!$P$56</f>
        <v>498.95340000000004</v>
      </c>
      <c r="L1218" s="2">
        <f>'PFAS Properties'!$X$56</f>
        <v>6.2</v>
      </c>
      <c r="M1218" s="2" t="str">
        <f>'PFAS Properties'!$Y$56</f>
        <v>-</v>
      </c>
      <c r="N1218" s="33">
        <v>0</v>
      </c>
      <c r="O1218" s="33">
        <v>0</v>
      </c>
      <c r="P1218" s="33">
        <v>0</v>
      </c>
      <c r="Q1218" s="33">
        <f t="shared" si="691"/>
        <v>0.9693465699682845</v>
      </c>
      <c r="R1218" s="33">
        <v>0</v>
      </c>
      <c r="S1218" s="33">
        <f t="shared" si="692"/>
        <v>3.0653430031715501E-2</v>
      </c>
      <c r="T1218" s="8">
        <f t="shared" si="690"/>
        <v>1</v>
      </c>
      <c r="U1218" s="33">
        <f t="shared" si="696"/>
        <v>0</v>
      </c>
      <c r="V1218" s="33">
        <f t="shared" si="697"/>
        <v>-0.9693465699682845</v>
      </c>
      <c r="W1218" s="33">
        <f t="shared" si="698"/>
        <v>497.98405343003174</v>
      </c>
      <c r="X1218" s="33">
        <v>96485</v>
      </c>
      <c r="Y1218" s="16">
        <f t="shared" si="699"/>
        <v>-187.81204570545714</v>
      </c>
      <c r="Z1218" s="16">
        <v>8</v>
      </c>
      <c r="AA1218" s="16">
        <v>17</v>
      </c>
      <c r="AB1218" s="8">
        <f t="shared" si="700"/>
        <v>0.29721362229102166</v>
      </c>
      <c r="AC1218" s="16">
        <f t="shared" si="681"/>
        <v>64.735504357721567</v>
      </c>
      <c r="AD1218" s="20">
        <f>'PFAS Properties'!$W$56</f>
        <v>8</v>
      </c>
      <c r="AE1218" s="8">
        <f>'PFAS Properties'!$S$56</f>
        <v>0.90525604874845123</v>
      </c>
      <c r="AF1218" s="2">
        <f>'PFAS Properties'!$V$56</f>
        <v>4.8</v>
      </c>
      <c r="AG1218" s="24">
        <v>7.7</v>
      </c>
      <c r="AH1218" s="2" t="s">
        <v>183</v>
      </c>
      <c r="AI1218" s="2" t="s">
        <v>661</v>
      </c>
      <c r="AJ1218" s="2" t="s">
        <v>661</v>
      </c>
      <c r="AK1218" s="2" t="s">
        <v>661</v>
      </c>
      <c r="AL1218" s="2" t="s">
        <v>661</v>
      </c>
      <c r="AM1218" s="2" t="s">
        <v>661</v>
      </c>
      <c r="AN1218" s="2" t="s">
        <v>661</v>
      </c>
      <c r="AO1218" s="2" t="s">
        <v>661</v>
      </c>
      <c r="AP1218" s="15">
        <v>7.8</v>
      </c>
      <c r="AQ1218" s="2" t="s">
        <v>661</v>
      </c>
      <c r="AR1218" s="16">
        <v>48.9</v>
      </c>
      <c r="AS1218" s="16">
        <v>32.6</v>
      </c>
      <c r="AT1218" s="16">
        <v>18.5</v>
      </c>
      <c r="AU1218" s="2" t="s">
        <v>661</v>
      </c>
      <c r="AV1218" s="16">
        <f t="shared" si="687"/>
        <v>100</v>
      </c>
      <c r="AW1218" s="20">
        <v>0.13</v>
      </c>
      <c r="AX1218" s="8">
        <f t="shared" si="689"/>
        <v>1.2999999999999999E-3</v>
      </c>
      <c r="AY1218" s="8" t="s">
        <v>184</v>
      </c>
      <c r="AZ1218" s="16">
        <v>100</v>
      </c>
      <c r="BA1218" s="16" t="s">
        <v>55</v>
      </c>
      <c r="BB1218" s="16">
        <v>5</v>
      </c>
      <c r="BC1218" s="16" t="s">
        <v>55</v>
      </c>
      <c r="BD1218" s="24">
        <v>2.2200000000000002</v>
      </c>
      <c r="BE1218" s="16">
        <f t="shared" si="694"/>
        <v>1707.6923076923078</v>
      </c>
      <c r="BF1218" s="16">
        <f t="shared" si="695"/>
        <v>3.2324096221438019</v>
      </c>
      <c r="BG1218" s="8">
        <f t="shared" si="693"/>
        <v>0.34635297445063867</v>
      </c>
      <c r="BH1218" s="13" t="s">
        <v>345</v>
      </c>
      <c r="BI1218" s="13"/>
      <c r="BJ1218" s="13"/>
      <c r="BK1218" s="13"/>
      <c r="BL1218" s="13"/>
      <c r="BM1218" s="17"/>
      <c r="BN1218" s="17"/>
      <c r="BO1218" s="2"/>
    </row>
    <row r="1219" spans="1:69" s="14" customFormat="1" x14ac:dyDescent="0.3">
      <c r="A1219" s="20">
        <v>1217</v>
      </c>
      <c r="B1219" s="2" t="s">
        <v>181</v>
      </c>
      <c r="C1219" s="2">
        <v>2020</v>
      </c>
      <c r="D1219" s="2" t="s">
        <v>203</v>
      </c>
      <c r="E1219" s="10" t="s">
        <v>787</v>
      </c>
      <c r="F1219" s="20" t="s">
        <v>29</v>
      </c>
      <c r="G1219" s="2" t="s">
        <v>182</v>
      </c>
      <c r="H1219" s="2" t="str">
        <f>'PFAS Properties'!$B$56</f>
        <v>PFOSA</v>
      </c>
      <c r="I1219" s="2" t="str">
        <f>'PFAS Properties'!$C$56</f>
        <v>FOSA</v>
      </c>
      <c r="J1219" s="2" t="str">
        <f>'PFAS Properties'!$D$56</f>
        <v>C8H2F17NO2S</v>
      </c>
      <c r="K1219" s="25">
        <f>'PFAS Properties'!$P$56</f>
        <v>498.95340000000004</v>
      </c>
      <c r="L1219" s="2">
        <f>'PFAS Properties'!$X$56</f>
        <v>6.2</v>
      </c>
      <c r="M1219" s="2" t="str">
        <f>'PFAS Properties'!$Y$56</f>
        <v>-</v>
      </c>
      <c r="N1219" s="33">
        <v>0</v>
      </c>
      <c r="O1219" s="33">
        <v>0</v>
      </c>
      <c r="P1219" s="33">
        <v>0</v>
      </c>
      <c r="Q1219" s="33">
        <f t="shared" si="691"/>
        <v>0.95227327896579606</v>
      </c>
      <c r="R1219" s="33">
        <v>0</v>
      </c>
      <c r="S1219" s="33">
        <f t="shared" si="692"/>
        <v>4.7726721034203903E-2</v>
      </c>
      <c r="T1219" s="8">
        <f t="shared" si="690"/>
        <v>1</v>
      </c>
      <c r="U1219" s="33">
        <f t="shared" si="696"/>
        <v>0</v>
      </c>
      <c r="V1219" s="33">
        <f t="shared" si="697"/>
        <v>-0.95227327896579606</v>
      </c>
      <c r="W1219" s="33">
        <f t="shared" si="698"/>
        <v>498.00112672103421</v>
      </c>
      <c r="X1219" s="33">
        <v>96485</v>
      </c>
      <c r="Y1219" s="16">
        <f t="shared" si="699"/>
        <v>-184.49774988658487</v>
      </c>
      <c r="Z1219" s="16">
        <v>8</v>
      </c>
      <c r="AA1219" s="16">
        <v>17</v>
      </c>
      <c r="AB1219" s="8">
        <f t="shared" si="700"/>
        <v>0.29721362229102166</v>
      </c>
      <c r="AC1219" s="16">
        <f t="shared" si="681"/>
        <v>64.735504357721567</v>
      </c>
      <c r="AD1219" s="20">
        <f>'PFAS Properties'!$W$56</f>
        <v>8</v>
      </c>
      <c r="AE1219" s="8">
        <f>'PFAS Properties'!$S$56</f>
        <v>0.90525604874845123</v>
      </c>
      <c r="AF1219" s="2">
        <f>'PFAS Properties'!$V$56</f>
        <v>4.8</v>
      </c>
      <c r="AG1219" s="24">
        <v>7.5</v>
      </c>
      <c r="AH1219" s="2" t="s">
        <v>183</v>
      </c>
      <c r="AI1219" s="2" t="s">
        <v>661</v>
      </c>
      <c r="AJ1219" s="2" t="s">
        <v>661</v>
      </c>
      <c r="AK1219" s="2" t="s">
        <v>661</v>
      </c>
      <c r="AL1219" s="2" t="s">
        <v>661</v>
      </c>
      <c r="AM1219" s="2" t="s">
        <v>661</v>
      </c>
      <c r="AN1219" s="2" t="s">
        <v>661</v>
      </c>
      <c r="AO1219" s="2" t="s">
        <v>661</v>
      </c>
      <c r="AP1219" s="15">
        <v>2.2799999999999998</v>
      </c>
      <c r="AQ1219" s="2" t="s">
        <v>661</v>
      </c>
      <c r="AR1219" s="16">
        <v>93</v>
      </c>
      <c r="AS1219" s="16">
        <v>1</v>
      </c>
      <c r="AT1219" s="16">
        <v>5</v>
      </c>
      <c r="AU1219" s="2" t="s">
        <v>661</v>
      </c>
      <c r="AV1219" s="16">
        <f t="shared" si="687"/>
        <v>99</v>
      </c>
      <c r="AW1219" s="20">
        <v>0.4</v>
      </c>
      <c r="AX1219" s="8">
        <f t="shared" si="689"/>
        <v>4.0000000000000001E-3</v>
      </c>
      <c r="AY1219" s="8" t="s">
        <v>184</v>
      </c>
      <c r="AZ1219" s="16">
        <v>100</v>
      </c>
      <c r="BA1219" s="16" t="s">
        <v>55</v>
      </c>
      <c r="BB1219" s="16">
        <v>5</v>
      </c>
      <c r="BC1219" s="16" t="s">
        <v>55</v>
      </c>
      <c r="BD1219" s="24">
        <v>15.58</v>
      </c>
      <c r="BE1219" s="16">
        <f t="shared" si="694"/>
        <v>3895</v>
      </c>
      <c r="BF1219" s="16">
        <f t="shared" si="695"/>
        <v>3.5905074620085831</v>
      </c>
      <c r="BG1219" s="8">
        <f t="shared" si="693"/>
        <v>1.1925674533365456</v>
      </c>
      <c r="BH1219" s="13" t="s">
        <v>345</v>
      </c>
      <c r="BI1219" s="13"/>
      <c r="BJ1219" s="13"/>
      <c r="BK1219" s="13"/>
      <c r="BL1219" s="13"/>
      <c r="BM1219" s="17"/>
      <c r="BN1219" s="17"/>
      <c r="BO1219" s="2"/>
    </row>
    <row r="1220" spans="1:69" s="14" customFormat="1" x14ac:dyDescent="0.3">
      <c r="A1220" s="20">
        <v>1218</v>
      </c>
      <c r="B1220" s="2" t="s">
        <v>181</v>
      </c>
      <c r="C1220" s="2">
        <v>2020</v>
      </c>
      <c r="D1220" s="2" t="s">
        <v>203</v>
      </c>
      <c r="E1220" s="10" t="s">
        <v>787</v>
      </c>
      <c r="F1220" s="20" t="s">
        <v>29</v>
      </c>
      <c r="G1220" s="2" t="s">
        <v>78</v>
      </c>
      <c r="H1220" s="2" t="str">
        <f>'PFAS Properties'!$B$56</f>
        <v>PFOSA</v>
      </c>
      <c r="I1220" s="2" t="str">
        <f>'PFAS Properties'!$C$56</f>
        <v>FOSA</v>
      </c>
      <c r="J1220" s="2" t="str">
        <f>'PFAS Properties'!$D$56</f>
        <v>C8H2F17NO2S</v>
      </c>
      <c r="K1220" s="25">
        <f>'PFAS Properties'!$P$56</f>
        <v>498.95340000000004</v>
      </c>
      <c r="L1220" s="2">
        <f>'PFAS Properties'!$X$56</f>
        <v>6.2</v>
      </c>
      <c r="M1220" s="2" t="str">
        <f>'PFAS Properties'!$Y$56</f>
        <v>-</v>
      </c>
      <c r="N1220" s="33">
        <v>0</v>
      </c>
      <c r="O1220" s="33">
        <v>0</v>
      </c>
      <c r="P1220" s="33">
        <v>0</v>
      </c>
      <c r="Q1220" s="33">
        <f t="shared" si="691"/>
        <v>0.88818423022188298</v>
      </c>
      <c r="R1220" s="33">
        <v>0</v>
      </c>
      <c r="S1220" s="33">
        <f t="shared" si="692"/>
        <v>0.11181576977811705</v>
      </c>
      <c r="T1220" s="8">
        <f t="shared" si="690"/>
        <v>1</v>
      </c>
      <c r="U1220" s="33">
        <f t="shared" si="696"/>
        <v>0</v>
      </c>
      <c r="V1220" s="33">
        <f t="shared" si="697"/>
        <v>-0.88818423022188298</v>
      </c>
      <c r="W1220" s="33">
        <f t="shared" si="698"/>
        <v>498.06521576977815</v>
      </c>
      <c r="X1220" s="33">
        <v>96485</v>
      </c>
      <c r="Y1220" s="16">
        <f t="shared" si="699"/>
        <v>-172.05870383963943</v>
      </c>
      <c r="Z1220" s="16">
        <v>8</v>
      </c>
      <c r="AA1220" s="16">
        <v>17</v>
      </c>
      <c r="AB1220" s="8">
        <f t="shared" si="700"/>
        <v>0.29721362229102166</v>
      </c>
      <c r="AC1220" s="16">
        <f t="shared" si="681"/>
        <v>64.735504357721567</v>
      </c>
      <c r="AD1220" s="20">
        <f>'PFAS Properties'!$W$56</f>
        <v>8</v>
      </c>
      <c r="AE1220" s="8">
        <f>'PFAS Properties'!$S$56</f>
        <v>0.90525604874845123</v>
      </c>
      <c r="AF1220" s="2">
        <f>'PFAS Properties'!$V$56</f>
        <v>4.8</v>
      </c>
      <c r="AG1220" s="24">
        <v>7.1</v>
      </c>
      <c r="AH1220" s="2" t="s">
        <v>183</v>
      </c>
      <c r="AI1220" s="2" t="s">
        <v>661</v>
      </c>
      <c r="AJ1220" s="2" t="s">
        <v>661</v>
      </c>
      <c r="AK1220" s="2" t="s">
        <v>661</v>
      </c>
      <c r="AL1220" s="2" t="s">
        <v>661</v>
      </c>
      <c r="AM1220" s="2" t="s">
        <v>661</v>
      </c>
      <c r="AN1220" s="2" t="s">
        <v>661</v>
      </c>
      <c r="AO1220" s="2" t="s">
        <v>661</v>
      </c>
      <c r="AP1220" s="15">
        <v>17.420000000000002</v>
      </c>
      <c r="AQ1220" s="2" t="s">
        <v>661</v>
      </c>
      <c r="AR1220" s="16">
        <v>48.86</v>
      </c>
      <c r="AS1220" s="16">
        <v>16.05</v>
      </c>
      <c r="AT1220" s="16">
        <v>35.090000000000003</v>
      </c>
      <c r="AU1220" s="2" t="s">
        <v>661</v>
      </c>
      <c r="AV1220" s="16">
        <f t="shared" si="687"/>
        <v>100</v>
      </c>
      <c r="AW1220" s="20">
        <v>1.19</v>
      </c>
      <c r="AX1220" s="8">
        <f t="shared" si="689"/>
        <v>1.1899999999999999E-2</v>
      </c>
      <c r="AY1220" s="8" t="s">
        <v>184</v>
      </c>
      <c r="AZ1220" s="16">
        <v>100</v>
      </c>
      <c r="BA1220" s="16" t="s">
        <v>55</v>
      </c>
      <c r="BB1220" s="16">
        <v>5</v>
      </c>
      <c r="BC1220" s="16" t="s">
        <v>55</v>
      </c>
      <c r="BD1220" s="24">
        <v>8.49</v>
      </c>
      <c r="BE1220" s="16">
        <f t="shared" si="694"/>
        <v>713.44537815126057</v>
      </c>
      <c r="BF1220" s="16">
        <f t="shared" si="695"/>
        <v>2.8533607288514218</v>
      </c>
      <c r="BG1220" s="8">
        <f t="shared" si="693"/>
        <v>0.9289076902439527</v>
      </c>
      <c r="BH1220" s="13" t="s">
        <v>345</v>
      </c>
      <c r="BI1220" s="13"/>
      <c r="BJ1220" s="13"/>
      <c r="BK1220" s="13"/>
      <c r="BL1220" s="13"/>
      <c r="BM1220" s="17"/>
      <c r="BN1220" s="17"/>
      <c r="BO1220" s="2"/>
    </row>
    <row r="1221" spans="1:69" s="14" customFormat="1" x14ac:dyDescent="0.3">
      <c r="A1221" s="20">
        <v>1219</v>
      </c>
      <c r="B1221" s="2" t="s">
        <v>181</v>
      </c>
      <c r="C1221" s="2">
        <v>2020</v>
      </c>
      <c r="D1221" s="2" t="s">
        <v>203</v>
      </c>
      <c r="E1221" s="10" t="s">
        <v>787</v>
      </c>
      <c r="F1221" s="20" t="s">
        <v>29</v>
      </c>
      <c r="G1221" s="2" t="s">
        <v>98</v>
      </c>
      <c r="H1221" s="2" t="str">
        <f>'PFAS Properties'!$B$56</f>
        <v>PFOSA</v>
      </c>
      <c r="I1221" s="2" t="str">
        <f>'PFAS Properties'!$C$56</f>
        <v>FOSA</v>
      </c>
      <c r="J1221" s="2" t="str">
        <f>'PFAS Properties'!$D$56</f>
        <v>C8H2F17NO2S</v>
      </c>
      <c r="K1221" s="25">
        <f>'PFAS Properties'!$P$56</f>
        <v>498.95340000000004</v>
      </c>
      <c r="L1221" s="2">
        <f>'PFAS Properties'!$X$56</f>
        <v>6.2</v>
      </c>
      <c r="M1221" s="2" t="str">
        <f>'PFAS Properties'!$Y$56</f>
        <v>-</v>
      </c>
      <c r="N1221" s="33">
        <v>0</v>
      </c>
      <c r="O1221" s="33">
        <v>0</v>
      </c>
      <c r="P1221" s="33">
        <v>0</v>
      </c>
      <c r="Q1221" s="33">
        <f t="shared" si="691"/>
        <v>0.61313682015314319</v>
      </c>
      <c r="R1221" s="33">
        <v>0</v>
      </c>
      <c r="S1221" s="33">
        <f t="shared" si="692"/>
        <v>0.38686317984685686</v>
      </c>
      <c r="T1221" s="8">
        <f t="shared" si="690"/>
        <v>1</v>
      </c>
      <c r="U1221" s="33">
        <f t="shared" si="696"/>
        <v>0</v>
      </c>
      <c r="V1221" s="33">
        <f t="shared" si="697"/>
        <v>-0.61313682015314319</v>
      </c>
      <c r="W1221" s="33">
        <f t="shared" si="698"/>
        <v>498.34026317984694</v>
      </c>
      <c r="X1221" s="33">
        <v>96485</v>
      </c>
      <c r="Y1221" s="16">
        <f t="shared" si="699"/>
        <v>-118.71107045413709</v>
      </c>
      <c r="Z1221" s="16">
        <v>8</v>
      </c>
      <c r="AA1221" s="16">
        <v>17</v>
      </c>
      <c r="AB1221" s="8">
        <f t="shared" si="700"/>
        <v>0.29721362229102166</v>
      </c>
      <c r="AC1221" s="16">
        <f t="shared" si="681"/>
        <v>64.735504357721567</v>
      </c>
      <c r="AD1221" s="20">
        <f>'PFAS Properties'!$W$56</f>
        <v>8</v>
      </c>
      <c r="AE1221" s="8">
        <f>'PFAS Properties'!$S$56</f>
        <v>0.90525604874845123</v>
      </c>
      <c r="AF1221" s="2">
        <f>'PFAS Properties'!$V$56</f>
        <v>4.8</v>
      </c>
      <c r="AG1221" s="24">
        <v>6.4</v>
      </c>
      <c r="AH1221" s="2" t="s">
        <v>183</v>
      </c>
      <c r="AI1221" s="2" t="s">
        <v>661</v>
      </c>
      <c r="AJ1221" s="15" t="s">
        <v>661</v>
      </c>
      <c r="AK1221" s="8" t="s">
        <v>661</v>
      </c>
      <c r="AL1221" s="2" t="s">
        <v>661</v>
      </c>
      <c r="AM1221" s="15" t="s">
        <v>661</v>
      </c>
      <c r="AN1221" s="8" t="s">
        <v>661</v>
      </c>
      <c r="AO1221" s="15" t="s">
        <v>661</v>
      </c>
      <c r="AP1221" s="15">
        <v>16.54</v>
      </c>
      <c r="AQ1221" s="13" t="s">
        <v>661</v>
      </c>
      <c r="AR1221" s="16">
        <v>29.38</v>
      </c>
      <c r="AS1221" s="16">
        <v>13.9</v>
      </c>
      <c r="AT1221" s="16">
        <v>56.71</v>
      </c>
      <c r="AU1221" s="15" t="s">
        <v>661</v>
      </c>
      <c r="AV1221" s="16">
        <f t="shared" si="687"/>
        <v>99.990000000000009</v>
      </c>
      <c r="AW1221" s="20">
        <v>0.17</v>
      </c>
      <c r="AX1221" s="8">
        <f t="shared" si="689"/>
        <v>1.7000000000000001E-3</v>
      </c>
      <c r="AY1221" s="8" t="s">
        <v>184</v>
      </c>
      <c r="AZ1221" s="16">
        <v>100</v>
      </c>
      <c r="BA1221" s="16" t="s">
        <v>55</v>
      </c>
      <c r="BB1221" s="16">
        <v>5</v>
      </c>
      <c r="BC1221" s="16" t="s">
        <v>55</v>
      </c>
      <c r="BD1221" s="24">
        <v>12.82</v>
      </c>
      <c r="BE1221" s="16">
        <f t="shared" si="694"/>
        <v>7541.1764705882351</v>
      </c>
      <c r="BF1221" s="16">
        <f t="shared" si="695"/>
        <v>3.8774391038045248</v>
      </c>
      <c r="BG1221" s="8">
        <f t="shared" si="693"/>
        <v>1.1078880251827987</v>
      </c>
      <c r="BH1221" s="13" t="s">
        <v>345</v>
      </c>
      <c r="BI1221" s="13"/>
      <c r="BJ1221" s="13"/>
      <c r="BK1221" s="13"/>
      <c r="BL1221" s="13"/>
      <c r="BM1221" s="17"/>
      <c r="BN1221" s="17"/>
      <c r="BO1221" s="2"/>
    </row>
    <row r="1222" spans="1:69" s="14" customFormat="1" x14ac:dyDescent="0.3">
      <c r="A1222" s="20">
        <v>1220</v>
      </c>
      <c r="B1222" s="2" t="s">
        <v>195</v>
      </c>
      <c r="C1222" s="2">
        <v>2022</v>
      </c>
      <c r="D1222" s="2" t="s">
        <v>199</v>
      </c>
      <c r="E1222" s="10" t="s">
        <v>798</v>
      </c>
      <c r="F1222" s="20" t="s">
        <v>29</v>
      </c>
      <c r="G1222" s="2" t="s">
        <v>237</v>
      </c>
      <c r="H1222" s="2" t="str">
        <f>'PFAS Properties'!$B$57</f>
        <v>EtFOSA</v>
      </c>
      <c r="I1222" s="2" t="str">
        <f>'PFAS Properties'!$C$57</f>
        <v>FOSA</v>
      </c>
      <c r="J1222" s="2" t="str">
        <f>'PFAS Properties'!$D$57</f>
        <v>C10H6F17NO2S</v>
      </c>
      <c r="K1222" s="25">
        <f>'PFAS Properties'!$P$57</f>
        <v>526.9846</v>
      </c>
      <c r="L1222" s="2">
        <f>'PFAS Properties'!$X$57</f>
        <v>9</v>
      </c>
      <c r="M1222" s="2" t="str">
        <f>'PFAS Properties'!$Y$57</f>
        <v>-</v>
      </c>
      <c r="N1222" s="33">
        <v>0</v>
      </c>
      <c r="O1222" s="33">
        <v>0</v>
      </c>
      <c r="P1222" s="33">
        <v>0</v>
      </c>
      <c r="Q1222" s="33">
        <f t="shared" si="691"/>
        <v>5.0116211602181956E-5</v>
      </c>
      <c r="R1222" s="33">
        <v>0</v>
      </c>
      <c r="S1222" s="33">
        <f t="shared" si="692"/>
        <v>0.99994988378839778</v>
      </c>
      <c r="T1222" s="8">
        <f t="shared" si="690"/>
        <v>1</v>
      </c>
      <c r="U1222" s="33">
        <f t="shared" si="696"/>
        <v>0</v>
      </c>
      <c r="V1222" s="33">
        <f t="shared" si="697"/>
        <v>-5.0116211602181956E-5</v>
      </c>
      <c r="W1222" s="33">
        <f t="shared" si="698"/>
        <v>526.98454988378842</v>
      </c>
      <c r="X1222" s="33">
        <v>96485</v>
      </c>
      <c r="Y1222" s="16">
        <f t="shared" si="699"/>
        <v>-9.1757200045102863E-3</v>
      </c>
      <c r="Z1222" s="16">
        <v>10</v>
      </c>
      <c r="AA1222" s="16">
        <v>17</v>
      </c>
      <c r="AB1222" s="8">
        <f t="shared" si="700"/>
        <v>0.37151702786377711</v>
      </c>
      <c r="AC1222" s="16">
        <f t="shared" si="681"/>
        <v>61.292113659488344</v>
      </c>
      <c r="AD1222" s="20">
        <f>'PFAS Properties'!$W$57</f>
        <v>8</v>
      </c>
      <c r="AE1222" s="8">
        <f>'PFAS Properties'!$S$57</f>
        <v>-9.1514981121350217E-2</v>
      </c>
      <c r="AF1222" s="2">
        <f>'PFAS Properties'!$V$57</f>
        <v>5.6</v>
      </c>
      <c r="AG1222" s="24">
        <v>4.7</v>
      </c>
      <c r="AH1222" s="2" t="s">
        <v>832</v>
      </c>
      <c r="AI1222" s="8">
        <f>(6.8*55.845)/1000</f>
        <v>0.37974599999999997</v>
      </c>
      <c r="AJ1222" s="15">
        <f t="shared" ref="AJ1222:AJ1234" si="701">AI1222*1000/55.845</f>
        <v>6.8</v>
      </c>
      <c r="AK1222" s="8">
        <f t="shared" ref="AK1222:AK1234" si="702">AI1222/10</f>
        <v>3.7974599999999997E-2</v>
      </c>
      <c r="AL1222" s="8">
        <f>(4*26.982)/1000</f>
        <v>0.107928</v>
      </c>
      <c r="AM1222" s="15">
        <f>AL1222*1000/55.845</f>
        <v>1.932634971796938</v>
      </c>
      <c r="AN1222" s="8">
        <f t="shared" ref="AN1222:AN1234" si="703">AL1222/10</f>
        <v>1.07928E-2</v>
      </c>
      <c r="AO1222" s="2" t="s">
        <v>86</v>
      </c>
      <c r="AP1222" s="72">
        <v>14.768748</v>
      </c>
      <c r="AQ1222" s="70" t="s">
        <v>752</v>
      </c>
      <c r="AR1222" s="71">
        <v>37.396533331999997</v>
      </c>
      <c r="AS1222" s="71">
        <v>37.430266667999987</v>
      </c>
      <c r="AT1222" s="71">
        <v>24.989000000000001</v>
      </c>
      <c r="AU1222" s="70" t="s">
        <v>752</v>
      </c>
      <c r="AV1222" s="16">
        <f t="shared" ref="AV1222:AV1224" si="704">SUM(AR1222:AT1222)</f>
        <v>99.815799999999996</v>
      </c>
      <c r="AW1222" s="20">
        <v>44.9</v>
      </c>
      <c r="AX1222" s="8">
        <f t="shared" si="689"/>
        <v>0.44900000000000001</v>
      </c>
      <c r="AY1222" s="8" t="s">
        <v>240</v>
      </c>
      <c r="AZ1222" s="16">
        <f>0.75/0.03</f>
        <v>25</v>
      </c>
      <c r="BA1222" s="16" t="s">
        <v>55</v>
      </c>
      <c r="BB1222" s="15">
        <f>(7*K1222)/1000</f>
        <v>3.6888922000000002</v>
      </c>
      <c r="BC1222" s="16">
        <f>(200*K1222)/1000</f>
        <v>105.39691999999999</v>
      </c>
      <c r="BD1222" s="25">
        <f>(10^4.08)*AX1222</f>
        <v>5398.1673114321939</v>
      </c>
      <c r="BE1222" s="16">
        <f t="shared" si="694"/>
        <v>12022.644346174151</v>
      </c>
      <c r="BF1222" s="16">
        <f t="shared" si="695"/>
        <v>4.080000000000001</v>
      </c>
      <c r="BG1222" s="8">
        <f t="shared" si="693"/>
        <v>3.7322463410033238</v>
      </c>
      <c r="BH1222" s="2" t="s">
        <v>588</v>
      </c>
      <c r="BI1222" s="16"/>
      <c r="BJ1222" s="13"/>
      <c r="BK1222" s="15"/>
      <c r="BL1222" s="16"/>
      <c r="BM1222" s="18"/>
      <c r="BN1222" s="8"/>
      <c r="BO1222" s="24"/>
    </row>
    <row r="1223" spans="1:69" s="14" customFormat="1" x14ac:dyDescent="0.3">
      <c r="A1223" s="20">
        <v>1221</v>
      </c>
      <c r="B1223" s="2" t="s">
        <v>195</v>
      </c>
      <c r="C1223" s="2">
        <v>2022</v>
      </c>
      <c r="D1223" s="2" t="s">
        <v>199</v>
      </c>
      <c r="E1223" s="10" t="s">
        <v>798</v>
      </c>
      <c r="F1223" s="20" t="s">
        <v>29</v>
      </c>
      <c r="G1223" s="2" t="s">
        <v>238</v>
      </c>
      <c r="H1223" s="2" t="str">
        <f>'PFAS Properties'!$B$57</f>
        <v>EtFOSA</v>
      </c>
      <c r="I1223" s="2" t="str">
        <f>'PFAS Properties'!$C$57</f>
        <v>FOSA</v>
      </c>
      <c r="J1223" s="2" t="str">
        <f>'PFAS Properties'!$D$57</f>
        <v>C10H6F17NO2S</v>
      </c>
      <c r="K1223" s="25">
        <f>'PFAS Properties'!$P$57</f>
        <v>526.9846</v>
      </c>
      <c r="L1223" s="2">
        <f>'PFAS Properties'!$X$57</f>
        <v>9</v>
      </c>
      <c r="M1223" s="2" t="str">
        <f>'PFAS Properties'!$Y$57</f>
        <v>-</v>
      </c>
      <c r="N1223" s="33">
        <v>0</v>
      </c>
      <c r="O1223" s="33">
        <v>0</v>
      </c>
      <c r="P1223" s="33">
        <v>0</v>
      </c>
      <c r="Q1223" s="33">
        <f t="shared" si="691"/>
        <v>1.258909563061765E-5</v>
      </c>
      <c r="R1223" s="33">
        <v>0</v>
      </c>
      <c r="S1223" s="33">
        <f t="shared" si="692"/>
        <v>0.99998741090436949</v>
      </c>
      <c r="T1223" s="8">
        <f t="shared" si="690"/>
        <v>1</v>
      </c>
      <c r="U1223" s="33">
        <f t="shared" si="696"/>
        <v>0</v>
      </c>
      <c r="V1223" s="33">
        <f t="shared" si="697"/>
        <v>-1.258909563061765E-5</v>
      </c>
      <c r="W1223" s="33">
        <f t="shared" si="698"/>
        <v>526.9845874109044</v>
      </c>
      <c r="X1223" s="33">
        <v>96485</v>
      </c>
      <c r="Y1223" s="16">
        <f t="shared" si="699"/>
        <v>-2.3049229919376007E-3</v>
      </c>
      <c r="Z1223" s="16">
        <v>10</v>
      </c>
      <c r="AA1223" s="16">
        <v>17</v>
      </c>
      <c r="AB1223" s="8">
        <f t="shared" si="700"/>
        <v>0.37151702786377711</v>
      </c>
      <c r="AC1223" s="16">
        <f t="shared" si="681"/>
        <v>61.292113659488344</v>
      </c>
      <c r="AD1223" s="20">
        <f>'PFAS Properties'!$W$57</f>
        <v>8</v>
      </c>
      <c r="AE1223" s="8">
        <f>'PFAS Properties'!$S$57</f>
        <v>-9.1514981121350217E-2</v>
      </c>
      <c r="AF1223" s="2">
        <f>'PFAS Properties'!$V$57</f>
        <v>5.6</v>
      </c>
      <c r="AG1223" s="24">
        <v>4.0999999999999996</v>
      </c>
      <c r="AH1223" s="2" t="s">
        <v>832</v>
      </c>
      <c r="AI1223" s="8">
        <f>(28*55.845)/1000</f>
        <v>1.5636599999999998</v>
      </c>
      <c r="AJ1223" s="15">
        <f t="shared" si="701"/>
        <v>27.999999999999996</v>
      </c>
      <c r="AK1223" s="8">
        <f t="shared" si="702"/>
        <v>0.15636599999999998</v>
      </c>
      <c r="AL1223" s="8">
        <f>(17*26.982)/1000</f>
        <v>0.45869399999999994</v>
      </c>
      <c r="AM1223" s="15">
        <f>AL1223*1000/55.845</f>
        <v>8.2136986301369852</v>
      </c>
      <c r="AN1223" s="8">
        <f t="shared" si="703"/>
        <v>4.5869399999999991E-2</v>
      </c>
      <c r="AO1223" s="2" t="s">
        <v>86</v>
      </c>
      <c r="AP1223" s="72">
        <v>14.715147999999999</v>
      </c>
      <c r="AQ1223" s="70" t="s">
        <v>752</v>
      </c>
      <c r="AR1223" s="71">
        <v>37.490533331999998</v>
      </c>
      <c r="AS1223" s="71">
        <v>37.393866668000001</v>
      </c>
      <c r="AT1223" s="71">
        <v>24.9392</v>
      </c>
      <c r="AU1223" s="70" t="s">
        <v>752</v>
      </c>
      <c r="AV1223" s="16">
        <f t="shared" si="704"/>
        <v>99.823599999999999</v>
      </c>
      <c r="AW1223" s="20">
        <v>46.6</v>
      </c>
      <c r="AX1223" s="8">
        <f t="shared" si="689"/>
        <v>0.46600000000000003</v>
      </c>
      <c r="AY1223" s="8" t="s">
        <v>240</v>
      </c>
      <c r="AZ1223" s="16">
        <f>0.75/0.03</f>
        <v>25</v>
      </c>
      <c r="BA1223" s="16" t="s">
        <v>55</v>
      </c>
      <c r="BB1223" s="15">
        <f>(30*K1223)/1000</f>
        <v>15.809538</v>
      </c>
      <c r="BC1223" s="16" t="s">
        <v>55</v>
      </c>
      <c r="BD1223" s="25">
        <f>(10^3.12)*AX1223</f>
        <v>614.30764016728654</v>
      </c>
      <c r="BE1223" s="16">
        <f t="shared" si="694"/>
        <v>1318.2567385564089</v>
      </c>
      <c r="BF1223" s="16">
        <f t="shared" si="695"/>
        <v>3.1200000000000006</v>
      </c>
      <c r="BG1223" s="8">
        <f t="shared" si="693"/>
        <v>2.7883859166900007</v>
      </c>
      <c r="BH1223" s="35" t="s">
        <v>588</v>
      </c>
      <c r="BI1223" s="2"/>
      <c r="BJ1223" s="2"/>
      <c r="BK1223" s="2"/>
      <c r="BL1223" s="2"/>
      <c r="BM1223" s="20"/>
      <c r="BN1223" s="20"/>
      <c r="BO1223" s="2"/>
    </row>
    <row r="1224" spans="1:69" s="14" customFormat="1" x14ac:dyDescent="0.3">
      <c r="A1224" s="20">
        <v>1222</v>
      </c>
      <c r="B1224" s="2" t="s">
        <v>195</v>
      </c>
      <c r="C1224" s="2">
        <v>2022</v>
      </c>
      <c r="D1224" s="2" t="s">
        <v>199</v>
      </c>
      <c r="E1224" s="10" t="s">
        <v>798</v>
      </c>
      <c r="F1224" s="20" t="s">
        <v>29</v>
      </c>
      <c r="G1224" s="2" t="s">
        <v>239</v>
      </c>
      <c r="H1224" s="2" t="str">
        <f>'PFAS Properties'!$B$57</f>
        <v>EtFOSA</v>
      </c>
      <c r="I1224" s="2" t="str">
        <f>'PFAS Properties'!$C$57</f>
        <v>FOSA</v>
      </c>
      <c r="J1224" s="2" t="str">
        <f>'PFAS Properties'!$D$57</f>
        <v>C10H6F17NO2S</v>
      </c>
      <c r="K1224" s="25">
        <f>'PFAS Properties'!$P$57</f>
        <v>526.9846</v>
      </c>
      <c r="L1224" s="2">
        <f>'PFAS Properties'!$X$57</f>
        <v>9</v>
      </c>
      <c r="M1224" s="2" t="str">
        <f>'PFAS Properties'!$Y$57</f>
        <v>-</v>
      </c>
      <c r="N1224" s="33">
        <v>0</v>
      </c>
      <c r="O1224" s="33">
        <v>0</v>
      </c>
      <c r="P1224" s="33">
        <v>0</v>
      </c>
      <c r="Q1224" s="33">
        <f t="shared" si="691"/>
        <v>9.9999000009999908E-6</v>
      </c>
      <c r="R1224" s="33">
        <v>0</v>
      </c>
      <c r="S1224" s="33">
        <f t="shared" si="692"/>
        <v>0.99999000009999894</v>
      </c>
      <c r="T1224" s="8">
        <f t="shared" si="690"/>
        <v>0.99999999999999989</v>
      </c>
      <c r="U1224" s="33">
        <f t="shared" si="696"/>
        <v>0</v>
      </c>
      <c r="V1224" s="33">
        <f t="shared" si="697"/>
        <v>-9.9999000009999908E-6</v>
      </c>
      <c r="W1224" s="33">
        <f t="shared" si="698"/>
        <v>526.98459000009996</v>
      </c>
      <c r="X1224" s="33">
        <v>96485</v>
      </c>
      <c r="Y1224" s="16">
        <f t="shared" si="699"/>
        <v>-1.8308701428941235E-3</v>
      </c>
      <c r="Z1224" s="16">
        <v>10</v>
      </c>
      <c r="AA1224" s="16">
        <v>17</v>
      </c>
      <c r="AB1224" s="8">
        <f t="shared" si="700"/>
        <v>0.37151702786377711</v>
      </c>
      <c r="AC1224" s="16">
        <f t="shared" si="681"/>
        <v>61.292113659488344</v>
      </c>
      <c r="AD1224" s="20">
        <f>'PFAS Properties'!$W$57</f>
        <v>8</v>
      </c>
      <c r="AE1224" s="8">
        <f>'PFAS Properties'!$S$57</f>
        <v>-9.1514981121350217E-2</v>
      </c>
      <c r="AF1224" s="2">
        <f>'PFAS Properties'!$V$57</f>
        <v>5.6</v>
      </c>
      <c r="AG1224" s="24">
        <v>4</v>
      </c>
      <c r="AH1224" s="2" t="s">
        <v>832</v>
      </c>
      <c r="AI1224" s="8">
        <f>(5*55.845)/1000</f>
        <v>0.279225</v>
      </c>
      <c r="AJ1224" s="15">
        <f t="shared" si="701"/>
        <v>5.0000000000000009</v>
      </c>
      <c r="AK1224" s="8">
        <f t="shared" si="702"/>
        <v>2.7922499999999999E-2</v>
      </c>
      <c r="AL1224" s="8">
        <f>(15*26.982)/1000</f>
        <v>0.40473000000000003</v>
      </c>
      <c r="AM1224" s="15">
        <f>AL1224*1000/55.845</f>
        <v>7.2473811442385179</v>
      </c>
      <c r="AN1224" s="8">
        <f t="shared" si="703"/>
        <v>4.0473000000000002E-2</v>
      </c>
      <c r="AO1224" s="2" t="s">
        <v>86</v>
      </c>
      <c r="AP1224" s="72">
        <v>14.763688</v>
      </c>
      <c r="AQ1224" s="70" t="s">
        <v>752</v>
      </c>
      <c r="AR1224" s="71">
        <v>37.414333332000012</v>
      </c>
      <c r="AS1224" s="71">
        <v>37.430866668</v>
      </c>
      <c r="AT1224" s="71">
        <v>24.970400000000001</v>
      </c>
      <c r="AU1224" s="70" t="s">
        <v>752</v>
      </c>
      <c r="AV1224" s="16">
        <f t="shared" si="704"/>
        <v>99.815600000000003</v>
      </c>
      <c r="AW1224" s="20">
        <v>53.6</v>
      </c>
      <c r="AX1224" s="8">
        <f t="shared" si="689"/>
        <v>0.53600000000000003</v>
      </c>
      <c r="AY1224" s="8" t="s">
        <v>240</v>
      </c>
      <c r="AZ1224" s="16">
        <f>0.75/0.03</f>
        <v>25</v>
      </c>
      <c r="BA1224" s="16" t="s">
        <v>55</v>
      </c>
      <c r="BB1224" s="15">
        <f>(7*K1224)/1000</f>
        <v>3.6888922000000002</v>
      </c>
      <c r="BC1224" s="16">
        <f>(200*K1224)/1000</f>
        <v>105.39691999999999</v>
      </c>
      <c r="BD1224" s="25">
        <f>(10^2.99)*AX1224</f>
        <v>523.79915043231495</v>
      </c>
      <c r="BE1224" s="16">
        <f t="shared" si="694"/>
        <v>977.23722095581138</v>
      </c>
      <c r="BF1224" s="16">
        <f t="shared" si="695"/>
        <v>2.99</v>
      </c>
      <c r="BG1224" s="8">
        <f t="shared" si="693"/>
        <v>2.7191647896927704</v>
      </c>
      <c r="BH1224" s="2" t="s">
        <v>588</v>
      </c>
      <c r="BI1224" s="16"/>
      <c r="BJ1224" s="13"/>
      <c r="BK1224" s="15"/>
      <c r="BL1224" s="16"/>
      <c r="BM1224" s="18"/>
      <c r="BN1224" s="8"/>
      <c r="BO1224" s="24"/>
    </row>
    <row r="1225" spans="1:69" x14ac:dyDescent="0.3">
      <c r="A1225" s="20">
        <v>1223</v>
      </c>
      <c r="B1225" s="1" t="s">
        <v>873</v>
      </c>
      <c r="C1225" s="1">
        <v>2007</v>
      </c>
      <c r="D1225" s="1" t="s">
        <v>203</v>
      </c>
      <c r="E1225" s="10" t="s">
        <v>225</v>
      </c>
      <c r="F1225" s="7" t="s">
        <v>63</v>
      </c>
      <c r="G1225" s="4">
        <v>1</v>
      </c>
      <c r="H1225" s="2" t="str">
        <f>'PFAS Properties'!$B$58</f>
        <v>N-MeFOSAA</v>
      </c>
      <c r="I1225" s="2" t="str">
        <f>'PFAS Properties'!$C$58</f>
        <v>FOSAA</v>
      </c>
      <c r="J1225" s="2" t="str">
        <f>'PFAS Properties'!$D$58</f>
        <v>C11H6F17NO4S</v>
      </c>
      <c r="K1225" s="25">
        <f>'PFAS Properties'!$P$58</f>
        <v>570.97440000000006</v>
      </c>
      <c r="L1225" s="2">
        <f>'PFAS Properties'!$X$58</f>
        <v>3.9</v>
      </c>
      <c r="M1225" s="2" t="str">
        <f>'PFAS Properties'!$Y$58</f>
        <v>-</v>
      </c>
      <c r="N1225" s="33">
        <v>0</v>
      </c>
      <c r="O1225" s="33">
        <v>0</v>
      </c>
      <c r="P1225" s="33">
        <v>0</v>
      </c>
      <c r="Q1225" s="33">
        <f t="shared" si="691"/>
        <v>0.99920630222183071</v>
      </c>
      <c r="R1225" s="33">
        <v>0</v>
      </c>
      <c r="S1225" s="33">
        <f t="shared" si="692"/>
        <v>7.9369777816924324E-4</v>
      </c>
      <c r="T1225" s="8">
        <f t="shared" si="690"/>
        <v>1</v>
      </c>
      <c r="U1225" s="33">
        <f t="shared" si="696"/>
        <v>0</v>
      </c>
      <c r="V1225" s="33">
        <f t="shared" si="697"/>
        <v>-0.99920630222183071</v>
      </c>
      <c r="W1225" s="33">
        <f t="shared" si="698"/>
        <v>569.9751936977782</v>
      </c>
      <c r="X1225" s="33">
        <v>96485</v>
      </c>
      <c r="Y1225" s="16">
        <f t="shared" si="699"/>
        <v>-169.14494022873674</v>
      </c>
      <c r="Z1225" s="16">
        <v>11</v>
      </c>
      <c r="AA1225" s="16">
        <v>17</v>
      </c>
      <c r="AB1225" s="8">
        <f t="shared" si="700"/>
        <v>0.4086687306501548</v>
      </c>
      <c r="AC1225" s="16">
        <f t="shared" si="681"/>
        <v>56.569961805643118</v>
      </c>
      <c r="AD1225" s="20">
        <f>'PFAS Properties'!$W$58</f>
        <v>8</v>
      </c>
      <c r="AE1225" s="8">
        <f>'PFAS Properties'!$S$58</f>
        <v>0.89209460269048035</v>
      </c>
      <c r="AF1225" s="2">
        <f>'PFAS Properties'!$V$58</f>
        <v>5</v>
      </c>
      <c r="AG1225" s="26">
        <v>7</v>
      </c>
      <c r="AH1225" s="1" t="s">
        <v>363</v>
      </c>
      <c r="AI1225" s="6">
        <f>334*55.85/1000</f>
        <v>18.6539</v>
      </c>
      <c r="AJ1225" s="3">
        <f t="shared" si="701"/>
        <v>334.0299041991226</v>
      </c>
      <c r="AK1225" s="8">
        <f t="shared" si="702"/>
        <v>1.8653900000000001</v>
      </c>
      <c r="AL1225" s="6">
        <f>41*26.98/1000</f>
        <v>1.1061800000000002</v>
      </c>
      <c r="AM1225" s="3">
        <f t="shared" ref="AM1225:AM1234" si="705">AL1225*1000/26.98</f>
        <v>41</v>
      </c>
      <c r="AN1225" s="8">
        <f t="shared" si="703"/>
        <v>0.11061800000000002</v>
      </c>
      <c r="AO1225" s="3" t="s">
        <v>93</v>
      </c>
      <c r="AP1225" s="15">
        <v>38.6</v>
      </c>
      <c r="AQ1225" s="1" t="s">
        <v>363</v>
      </c>
      <c r="AR1225" s="4">
        <v>11</v>
      </c>
      <c r="AS1225" s="4">
        <v>36</v>
      </c>
      <c r="AT1225" s="4">
        <v>53</v>
      </c>
      <c r="AU1225" s="1" t="s">
        <v>363</v>
      </c>
      <c r="AV1225" s="16">
        <f t="shared" ref="AV1225:AV1234" si="706">SUM(AR1225:AT1225)</f>
        <v>100</v>
      </c>
      <c r="AW1225" s="7">
        <v>2.48</v>
      </c>
      <c r="AX1225" s="31">
        <f t="shared" si="689"/>
        <v>2.4799999999999999E-2</v>
      </c>
      <c r="AY1225" s="5" t="s">
        <v>87</v>
      </c>
      <c r="AZ1225" s="39">
        <f t="shared" ref="AZ1225:AZ1256" si="707">5/0.05</f>
        <v>100</v>
      </c>
      <c r="BA1225" s="30" t="s">
        <v>55</v>
      </c>
      <c r="BB1225" s="15">
        <f t="shared" ref="BB1225:BB1234" si="708">1*K1225/1000</f>
        <v>0.5709744000000001</v>
      </c>
      <c r="BC1225" s="16">
        <f t="shared" ref="BC1225:BC1234" si="709">200*K1225/1000</f>
        <v>114.19488</v>
      </c>
      <c r="BD1225" s="24">
        <v>83.28</v>
      </c>
      <c r="BE1225" s="16">
        <f t="shared" si="694"/>
        <v>3358.0645161290322</v>
      </c>
      <c r="BF1225" s="16">
        <f t="shared" si="695"/>
        <v>3.5260890356762635</v>
      </c>
      <c r="BG1225" s="8">
        <f t="shared" si="693"/>
        <v>1.9205407165024797</v>
      </c>
      <c r="BH1225" s="5" t="s">
        <v>844</v>
      </c>
      <c r="BI1225" s="13"/>
      <c r="BJ1225" s="13"/>
      <c r="BK1225" s="8"/>
      <c r="BL1225" s="8"/>
      <c r="BM1225" s="18"/>
      <c r="BN1225" s="8"/>
      <c r="BO1225" s="24"/>
      <c r="BP1225" s="11"/>
      <c r="BQ1225" s="11"/>
    </row>
    <row r="1226" spans="1:69" x14ac:dyDescent="0.3">
      <c r="A1226" s="20">
        <v>1224</v>
      </c>
      <c r="B1226" s="1" t="s">
        <v>873</v>
      </c>
      <c r="C1226" s="1">
        <v>2007</v>
      </c>
      <c r="D1226" s="1" t="s">
        <v>203</v>
      </c>
      <c r="E1226" s="10" t="s">
        <v>225</v>
      </c>
      <c r="F1226" s="7" t="s">
        <v>63</v>
      </c>
      <c r="G1226" s="4">
        <v>2</v>
      </c>
      <c r="H1226" s="2" t="str">
        <f>'PFAS Properties'!$B$58</f>
        <v>N-MeFOSAA</v>
      </c>
      <c r="I1226" s="2" t="str">
        <f>'PFAS Properties'!$C$58</f>
        <v>FOSAA</v>
      </c>
      <c r="J1226" s="2" t="str">
        <f>'PFAS Properties'!$D$58</f>
        <v>C11H6F17NO4S</v>
      </c>
      <c r="K1226" s="25">
        <f>'PFAS Properties'!$P$58</f>
        <v>570.97440000000006</v>
      </c>
      <c r="L1226" s="2">
        <f>'PFAS Properties'!$X$58</f>
        <v>3.9</v>
      </c>
      <c r="M1226" s="2" t="str">
        <f>'PFAS Properties'!$Y$58</f>
        <v>-</v>
      </c>
      <c r="N1226" s="33">
        <v>0</v>
      </c>
      <c r="O1226" s="33">
        <v>0</v>
      </c>
      <c r="P1226" s="33">
        <v>0</v>
      </c>
      <c r="Q1226" s="33">
        <f t="shared" si="691"/>
        <v>0.99974887443673854</v>
      </c>
      <c r="R1226" s="33">
        <v>0</v>
      </c>
      <c r="S1226" s="33">
        <f t="shared" si="692"/>
        <v>2.5112556326146155E-4</v>
      </c>
      <c r="T1226" s="8">
        <f t="shared" si="690"/>
        <v>1</v>
      </c>
      <c r="U1226" s="33">
        <f t="shared" si="696"/>
        <v>0</v>
      </c>
      <c r="V1226" s="33">
        <f t="shared" si="697"/>
        <v>-0.99974887443673854</v>
      </c>
      <c r="W1226" s="33">
        <f t="shared" si="698"/>
        <v>569.97465112556324</v>
      </c>
      <c r="X1226" s="33">
        <v>96485</v>
      </c>
      <c r="Y1226" s="16">
        <f t="shared" si="699"/>
        <v>-169.23694757221543</v>
      </c>
      <c r="Z1226" s="16">
        <v>11</v>
      </c>
      <c r="AA1226" s="16">
        <v>17</v>
      </c>
      <c r="AB1226" s="8">
        <f t="shared" si="700"/>
        <v>0.4086687306501548</v>
      </c>
      <c r="AC1226" s="16">
        <f t="shared" si="681"/>
        <v>56.569961805643118</v>
      </c>
      <c r="AD1226" s="20">
        <f>'PFAS Properties'!$W$58</f>
        <v>8</v>
      </c>
      <c r="AE1226" s="8">
        <f>'PFAS Properties'!$S$58</f>
        <v>0.89209460269048035</v>
      </c>
      <c r="AF1226" s="2">
        <f>'PFAS Properties'!$V$58</f>
        <v>5</v>
      </c>
      <c r="AG1226" s="26">
        <v>7.5</v>
      </c>
      <c r="AH1226" s="1" t="s">
        <v>363</v>
      </c>
      <c r="AI1226" s="6">
        <f>116*55.845/1000</f>
        <v>6.4780199999999999</v>
      </c>
      <c r="AJ1226" s="3">
        <f t="shared" si="701"/>
        <v>116</v>
      </c>
      <c r="AK1226" s="8">
        <f t="shared" si="702"/>
        <v>0.64780199999999999</v>
      </c>
      <c r="AL1226" s="6">
        <f>7*26.98/1000</f>
        <v>0.18886</v>
      </c>
      <c r="AM1226" s="3">
        <f t="shared" si="705"/>
        <v>7</v>
      </c>
      <c r="AN1226" s="8">
        <f t="shared" si="703"/>
        <v>1.8886E-2</v>
      </c>
      <c r="AO1226" s="3" t="s">
        <v>93</v>
      </c>
      <c r="AP1226" s="15">
        <v>30</v>
      </c>
      <c r="AQ1226" s="1" t="s">
        <v>363</v>
      </c>
      <c r="AR1226" s="4">
        <v>49</v>
      </c>
      <c r="AS1226" s="4">
        <v>25</v>
      </c>
      <c r="AT1226" s="4">
        <v>26</v>
      </c>
      <c r="AU1226" s="1" t="s">
        <v>363</v>
      </c>
      <c r="AV1226" s="16">
        <f t="shared" si="706"/>
        <v>100</v>
      </c>
      <c r="AW1226" s="7">
        <v>1.02</v>
      </c>
      <c r="AX1226" s="6">
        <f t="shared" si="689"/>
        <v>1.0200000000000001E-2</v>
      </c>
      <c r="AY1226" s="5" t="s">
        <v>87</v>
      </c>
      <c r="AZ1226" s="39">
        <f t="shared" si="707"/>
        <v>100</v>
      </c>
      <c r="BA1226" s="30" t="s">
        <v>55</v>
      </c>
      <c r="BB1226" s="15">
        <f t="shared" si="708"/>
        <v>0.5709744000000001</v>
      </c>
      <c r="BC1226" s="16">
        <f t="shared" si="709"/>
        <v>114.19488</v>
      </c>
      <c r="BD1226" s="26">
        <v>6.65</v>
      </c>
      <c r="BE1226" s="16">
        <f t="shared" si="694"/>
        <v>651.96078431372553</v>
      </c>
      <c r="BF1226" s="16">
        <f t="shared" si="695"/>
        <v>2.814221473541187</v>
      </c>
      <c r="BG1226" s="8">
        <f t="shared" si="693"/>
        <v>0.82282164530310464</v>
      </c>
      <c r="BH1226" s="5" t="s">
        <v>844</v>
      </c>
      <c r="BI1226" s="13"/>
      <c r="BJ1226" s="13"/>
      <c r="BK1226" s="8"/>
      <c r="BL1226" s="8"/>
      <c r="BM1226" s="18"/>
      <c r="BN1226" s="8"/>
      <c r="BO1226" s="24"/>
      <c r="BP1226" s="11"/>
      <c r="BQ1226" s="11"/>
    </row>
    <row r="1227" spans="1:69" x14ac:dyDescent="0.3">
      <c r="A1227" s="20">
        <v>1225</v>
      </c>
      <c r="B1227" s="1" t="s">
        <v>873</v>
      </c>
      <c r="C1227" s="1">
        <v>2007</v>
      </c>
      <c r="D1227" s="1" t="s">
        <v>203</v>
      </c>
      <c r="E1227" s="10" t="s">
        <v>225</v>
      </c>
      <c r="F1227" s="7" t="s">
        <v>63</v>
      </c>
      <c r="G1227" s="4">
        <v>3</v>
      </c>
      <c r="H1227" s="2" t="str">
        <f>'PFAS Properties'!$B$58</f>
        <v>N-MeFOSAA</v>
      </c>
      <c r="I1227" s="2" t="str">
        <f>'PFAS Properties'!$C$58</f>
        <v>FOSAA</v>
      </c>
      <c r="J1227" s="2" t="str">
        <f>'PFAS Properties'!$D$58</f>
        <v>C11H6F17NO4S</v>
      </c>
      <c r="K1227" s="25">
        <f>'PFAS Properties'!$P$58</f>
        <v>570.97440000000006</v>
      </c>
      <c r="L1227" s="2">
        <f>'PFAS Properties'!$X$58</f>
        <v>3.9</v>
      </c>
      <c r="M1227" s="2" t="str">
        <f>'PFAS Properties'!$Y$58</f>
        <v>-</v>
      </c>
      <c r="N1227" s="33">
        <v>0</v>
      </c>
      <c r="O1227" s="33">
        <v>0</v>
      </c>
      <c r="P1227" s="33">
        <v>0</v>
      </c>
      <c r="Q1227" s="33">
        <f t="shared" si="691"/>
        <v>0.99980051357127842</v>
      </c>
      <c r="R1227" s="33">
        <v>0</v>
      </c>
      <c r="S1227" s="33">
        <f t="shared" si="692"/>
        <v>1.9948642872153033E-4</v>
      </c>
      <c r="T1227" s="8">
        <f t="shared" si="690"/>
        <v>1</v>
      </c>
      <c r="U1227" s="33">
        <f t="shared" si="696"/>
        <v>0</v>
      </c>
      <c r="V1227" s="33">
        <f t="shared" si="697"/>
        <v>-0.99980051357127842</v>
      </c>
      <c r="W1227" s="33">
        <f t="shared" si="698"/>
        <v>569.97459948642881</v>
      </c>
      <c r="X1227" s="33">
        <v>96485</v>
      </c>
      <c r="Y1227" s="16">
        <f t="shared" si="699"/>
        <v>-169.2457043504123</v>
      </c>
      <c r="Z1227" s="16">
        <v>11</v>
      </c>
      <c r="AA1227" s="16">
        <v>17</v>
      </c>
      <c r="AB1227" s="8">
        <f t="shared" si="700"/>
        <v>0.4086687306501548</v>
      </c>
      <c r="AC1227" s="16">
        <f t="shared" si="681"/>
        <v>56.569961805643118</v>
      </c>
      <c r="AD1227" s="20">
        <f>'PFAS Properties'!$W$58</f>
        <v>8</v>
      </c>
      <c r="AE1227" s="8">
        <f>'PFAS Properties'!$S$58</f>
        <v>0.89209460269048035</v>
      </c>
      <c r="AF1227" s="2">
        <f>'PFAS Properties'!$V$58</f>
        <v>5</v>
      </c>
      <c r="AG1227" s="26">
        <v>7.6</v>
      </c>
      <c r="AH1227" s="1" t="s">
        <v>363</v>
      </c>
      <c r="AI1227" s="6">
        <f>121*55.85/1000</f>
        <v>6.7578500000000004</v>
      </c>
      <c r="AJ1227" s="3">
        <f t="shared" si="701"/>
        <v>121.01083355716717</v>
      </c>
      <c r="AK1227" s="8">
        <f t="shared" si="702"/>
        <v>0.67578500000000008</v>
      </c>
      <c r="AL1227" s="6">
        <f>14*26.98/1000</f>
        <v>0.37772</v>
      </c>
      <c r="AM1227" s="3">
        <f t="shared" si="705"/>
        <v>14</v>
      </c>
      <c r="AN1227" s="8">
        <f t="shared" si="703"/>
        <v>3.7772E-2</v>
      </c>
      <c r="AO1227" s="3" t="s">
        <v>93</v>
      </c>
      <c r="AP1227" s="15">
        <v>32.1</v>
      </c>
      <c r="AQ1227" s="1" t="s">
        <v>363</v>
      </c>
      <c r="AR1227" s="4">
        <v>31</v>
      </c>
      <c r="AS1227" s="4">
        <v>38</v>
      </c>
      <c r="AT1227" s="4">
        <v>31</v>
      </c>
      <c r="AU1227" s="1" t="s">
        <v>363</v>
      </c>
      <c r="AV1227" s="16">
        <f t="shared" si="706"/>
        <v>100</v>
      </c>
      <c r="AW1227" s="7">
        <v>4.34</v>
      </c>
      <c r="AX1227" s="6">
        <f t="shared" si="689"/>
        <v>4.3400000000000001E-2</v>
      </c>
      <c r="AY1227" s="5" t="s">
        <v>87</v>
      </c>
      <c r="AZ1227" s="39">
        <f t="shared" si="707"/>
        <v>100</v>
      </c>
      <c r="BA1227" s="30" t="s">
        <v>55</v>
      </c>
      <c r="BB1227" s="15">
        <f t="shared" si="708"/>
        <v>0.5709744000000001</v>
      </c>
      <c r="BC1227" s="16">
        <f t="shared" si="709"/>
        <v>114.19488</v>
      </c>
      <c r="BD1227" s="26">
        <v>65.209999999999994</v>
      </c>
      <c r="BE1227" s="16">
        <f t="shared" si="694"/>
        <v>1502.5345622119814</v>
      </c>
      <c r="BF1227" s="16">
        <f t="shared" si="695"/>
        <v>3.1768244706949487</v>
      </c>
      <c r="BG1227" s="8">
        <f t="shared" si="693"/>
        <v>1.8143142002074595</v>
      </c>
      <c r="BH1227" s="5" t="s">
        <v>844</v>
      </c>
      <c r="BI1227" s="13"/>
      <c r="BJ1227" s="13"/>
      <c r="BK1227" s="8"/>
      <c r="BL1227" s="8"/>
      <c r="BM1227" s="18"/>
      <c r="BN1227" s="8"/>
      <c r="BO1227" s="24"/>
      <c r="BP1227" s="11"/>
      <c r="BQ1227" s="11"/>
    </row>
    <row r="1228" spans="1:69" x14ac:dyDescent="0.3">
      <c r="A1228" s="20">
        <v>1226</v>
      </c>
      <c r="B1228" s="1" t="s">
        <v>873</v>
      </c>
      <c r="C1228" s="1">
        <v>2007</v>
      </c>
      <c r="D1228" s="1" t="s">
        <v>203</v>
      </c>
      <c r="E1228" s="10" t="s">
        <v>225</v>
      </c>
      <c r="F1228" s="7" t="s">
        <v>63</v>
      </c>
      <c r="G1228" s="4">
        <v>4</v>
      </c>
      <c r="H1228" s="2" t="str">
        <f>'PFAS Properties'!$B$58</f>
        <v>N-MeFOSAA</v>
      </c>
      <c r="I1228" s="2" t="str">
        <f>'PFAS Properties'!$C$58</f>
        <v>FOSAA</v>
      </c>
      <c r="J1228" s="2" t="str">
        <f>'PFAS Properties'!$D$58</f>
        <v>C11H6F17NO4S</v>
      </c>
      <c r="K1228" s="25">
        <f>'PFAS Properties'!$P$58</f>
        <v>570.97440000000006</v>
      </c>
      <c r="L1228" s="2">
        <f>'PFAS Properties'!$X$58</f>
        <v>3.9</v>
      </c>
      <c r="M1228" s="2" t="str">
        <f>'PFAS Properties'!$Y$58</f>
        <v>-</v>
      </c>
      <c r="N1228" s="33">
        <v>0</v>
      </c>
      <c r="O1228" s="33">
        <v>0</v>
      </c>
      <c r="P1228" s="33">
        <v>0</v>
      </c>
      <c r="Q1228" s="33">
        <f t="shared" si="691"/>
        <v>0.99684769081673974</v>
      </c>
      <c r="R1228" s="33">
        <v>0</v>
      </c>
      <c r="S1228" s="33">
        <f t="shared" si="692"/>
        <v>3.1523091832602059E-3</v>
      </c>
      <c r="T1228" s="8">
        <f t="shared" si="690"/>
        <v>1</v>
      </c>
      <c r="U1228" s="33">
        <f t="shared" si="696"/>
        <v>0</v>
      </c>
      <c r="V1228" s="33">
        <f t="shared" si="697"/>
        <v>-0.99684769081673974</v>
      </c>
      <c r="W1228" s="33">
        <f t="shared" si="698"/>
        <v>569.97755230918324</v>
      </c>
      <c r="X1228" s="33">
        <v>96485</v>
      </c>
      <c r="Y1228" s="16">
        <f t="shared" si="699"/>
        <v>-168.74497786586517</v>
      </c>
      <c r="Z1228" s="16">
        <v>11</v>
      </c>
      <c r="AA1228" s="16">
        <v>17</v>
      </c>
      <c r="AB1228" s="8">
        <f t="shared" si="700"/>
        <v>0.4086687306501548</v>
      </c>
      <c r="AC1228" s="16">
        <f t="shared" si="681"/>
        <v>56.569961805643118</v>
      </c>
      <c r="AD1228" s="20">
        <f>'PFAS Properties'!$W$58</f>
        <v>8</v>
      </c>
      <c r="AE1228" s="8">
        <f>'PFAS Properties'!$S$58</f>
        <v>0.89209460269048035</v>
      </c>
      <c r="AF1228" s="2">
        <f>'PFAS Properties'!$V$58</f>
        <v>5</v>
      </c>
      <c r="AG1228" s="26">
        <v>6.4</v>
      </c>
      <c r="AH1228" s="1" t="s">
        <v>363</v>
      </c>
      <c r="AI1228" s="6">
        <f>1025*55.874/1000</f>
        <v>57.270850000000003</v>
      </c>
      <c r="AJ1228" s="3">
        <f t="shared" si="701"/>
        <v>1025.5322768376759</v>
      </c>
      <c r="AK1228" s="8">
        <f t="shared" si="702"/>
        <v>5.7270850000000006</v>
      </c>
      <c r="AL1228" s="6">
        <f>171*26.98/1000</f>
        <v>4.6135799999999998</v>
      </c>
      <c r="AM1228" s="3">
        <f t="shared" si="705"/>
        <v>171</v>
      </c>
      <c r="AN1228" s="8">
        <f t="shared" si="703"/>
        <v>0.46135799999999999</v>
      </c>
      <c r="AO1228" s="3" t="s">
        <v>93</v>
      </c>
      <c r="AP1228" s="15">
        <v>32.1</v>
      </c>
      <c r="AQ1228" s="1" t="s">
        <v>363</v>
      </c>
      <c r="AR1228" s="4">
        <v>65</v>
      </c>
      <c r="AS1228" s="4">
        <v>22</v>
      </c>
      <c r="AT1228" s="4">
        <v>13</v>
      </c>
      <c r="AU1228" s="1" t="s">
        <v>363</v>
      </c>
      <c r="AV1228" s="16">
        <f t="shared" si="706"/>
        <v>100</v>
      </c>
      <c r="AW1228" s="7">
        <v>0.56000000000000005</v>
      </c>
      <c r="AX1228" s="6">
        <f t="shared" si="689"/>
        <v>5.6000000000000008E-3</v>
      </c>
      <c r="AY1228" s="5" t="s">
        <v>87</v>
      </c>
      <c r="AZ1228" s="39">
        <f t="shared" si="707"/>
        <v>100</v>
      </c>
      <c r="BA1228" s="30" t="s">
        <v>55</v>
      </c>
      <c r="BB1228" s="15">
        <f t="shared" si="708"/>
        <v>0.5709744000000001</v>
      </c>
      <c r="BC1228" s="16">
        <f t="shared" si="709"/>
        <v>114.19488</v>
      </c>
      <c r="BD1228" s="26">
        <v>2.75</v>
      </c>
      <c r="BE1228" s="16">
        <f t="shared" si="694"/>
        <v>491.0714285714285</v>
      </c>
      <c r="BF1228" s="16">
        <f t="shared" si="695"/>
        <v>2.6911446668240622</v>
      </c>
      <c r="BG1228" s="8">
        <f t="shared" si="693"/>
        <v>0.43933269383026263</v>
      </c>
      <c r="BH1228" s="5" t="s">
        <v>844</v>
      </c>
      <c r="BI1228" s="13"/>
      <c r="BJ1228" s="13"/>
      <c r="BK1228" s="8"/>
      <c r="BL1228" s="8"/>
      <c r="BM1228" s="18"/>
      <c r="BN1228" s="8"/>
      <c r="BO1228" s="24"/>
      <c r="BP1228" s="11"/>
      <c r="BQ1228" s="11"/>
    </row>
    <row r="1229" spans="1:69" x14ac:dyDescent="0.3">
      <c r="A1229" s="20">
        <v>1227</v>
      </c>
      <c r="B1229" s="1" t="s">
        <v>873</v>
      </c>
      <c r="C1229" s="1">
        <v>2007</v>
      </c>
      <c r="D1229" s="1" t="s">
        <v>203</v>
      </c>
      <c r="E1229" s="10" t="s">
        <v>225</v>
      </c>
      <c r="F1229" s="7" t="s">
        <v>63</v>
      </c>
      <c r="G1229" s="4">
        <v>5</v>
      </c>
      <c r="H1229" s="2" t="str">
        <f>'PFAS Properties'!$B$58</f>
        <v>N-MeFOSAA</v>
      </c>
      <c r="I1229" s="2" t="str">
        <f>'PFAS Properties'!$C$58</f>
        <v>FOSAA</v>
      </c>
      <c r="J1229" s="2" t="str">
        <f>'PFAS Properties'!$D$58</f>
        <v>C11H6F17NO4S</v>
      </c>
      <c r="K1229" s="25">
        <f>'PFAS Properties'!$P$58</f>
        <v>570.97440000000006</v>
      </c>
      <c r="L1229" s="2">
        <f>'PFAS Properties'!$X$58</f>
        <v>3.9</v>
      </c>
      <c r="M1229" s="2" t="str">
        <f>'PFAS Properties'!$Y$58</f>
        <v>-</v>
      </c>
      <c r="N1229" s="33">
        <v>0</v>
      </c>
      <c r="O1229" s="33">
        <v>0</v>
      </c>
      <c r="P1229" s="33">
        <v>0</v>
      </c>
      <c r="Q1229" s="33">
        <f t="shared" si="691"/>
        <v>0.98439833775817054</v>
      </c>
      <c r="R1229" s="33">
        <v>0</v>
      </c>
      <c r="S1229" s="33">
        <f t="shared" si="692"/>
        <v>1.5601662241829593E-2</v>
      </c>
      <c r="T1229" s="8">
        <f t="shared" si="690"/>
        <v>1.0000000000000002</v>
      </c>
      <c r="U1229" s="33">
        <f t="shared" si="696"/>
        <v>0</v>
      </c>
      <c r="V1229" s="33">
        <f t="shared" si="697"/>
        <v>-0.98439833775817054</v>
      </c>
      <c r="W1229" s="33">
        <f t="shared" si="698"/>
        <v>569.99000166224198</v>
      </c>
      <c r="X1229" s="33">
        <v>96485</v>
      </c>
      <c r="Y1229" s="16">
        <f t="shared" si="699"/>
        <v>-166.63392926474353</v>
      </c>
      <c r="Z1229" s="16">
        <v>11</v>
      </c>
      <c r="AA1229" s="16">
        <v>17</v>
      </c>
      <c r="AB1229" s="8">
        <f t="shared" si="700"/>
        <v>0.4086687306501548</v>
      </c>
      <c r="AC1229" s="16">
        <f t="shared" si="681"/>
        <v>56.569961805643118</v>
      </c>
      <c r="AD1229" s="20">
        <f>'PFAS Properties'!$W$58</f>
        <v>8</v>
      </c>
      <c r="AE1229" s="8">
        <f>'PFAS Properties'!$S$58</f>
        <v>0.89209460269048035</v>
      </c>
      <c r="AF1229" s="2">
        <f>'PFAS Properties'!$V$58</f>
        <v>5</v>
      </c>
      <c r="AG1229" s="26">
        <v>5.7</v>
      </c>
      <c r="AH1229" s="1" t="s">
        <v>363</v>
      </c>
      <c r="AI1229" s="6">
        <f>268*55.85/1000</f>
        <v>14.9678</v>
      </c>
      <c r="AJ1229" s="3">
        <f t="shared" si="701"/>
        <v>268.02399498612232</v>
      </c>
      <c r="AK1229" s="8">
        <f t="shared" si="702"/>
        <v>1.49678</v>
      </c>
      <c r="AL1229" s="6">
        <f>90*26.98/1000</f>
        <v>2.4281999999999999</v>
      </c>
      <c r="AM1229" s="3">
        <f t="shared" si="705"/>
        <v>89.999999999999986</v>
      </c>
      <c r="AN1229" s="8">
        <f t="shared" si="703"/>
        <v>0.24281999999999998</v>
      </c>
      <c r="AO1229" s="3" t="s">
        <v>93</v>
      </c>
      <c r="AP1229" s="15">
        <v>22</v>
      </c>
      <c r="AQ1229" s="1" t="s">
        <v>363</v>
      </c>
      <c r="AR1229" s="4">
        <v>80</v>
      </c>
      <c r="AS1229" s="4">
        <v>15</v>
      </c>
      <c r="AT1229" s="4">
        <v>5</v>
      </c>
      <c r="AU1229" s="1" t="s">
        <v>363</v>
      </c>
      <c r="AV1229" s="16">
        <f t="shared" si="706"/>
        <v>100</v>
      </c>
      <c r="AW1229" s="7">
        <v>9.66</v>
      </c>
      <c r="AX1229" s="6">
        <f t="shared" si="689"/>
        <v>9.6600000000000005E-2</v>
      </c>
      <c r="AY1229" s="5" t="s">
        <v>87</v>
      </c>
      <c r="AZ1229" s="39">
        <f t="shared" si="707"/>
        <v>100</v>
      </c>
      <c r="BA1229" s="30" t="s">
        <v>55</v>
      </c>
      <c r="BB1229" s="15">
        <f t="shared" si="708"/>
        <v>0.5709744000000001</v>
      </c>
      <c r="BC1229" s="16">
        <f t="shared" si="709"/>
        <v>114.19488</v>
      </c>
      <c r="BD1229" s="26">
        <v>211.52</v>
      </c>
      <c r="BE1229" s="16">
        <f t="shared" si="694"/>
        <v>2189.6480331262942</v>
      </c>
      <c r="BF1229" s="16">
        <f t="shared" si="695"/>
        <v>3.340374311390053</v>
      </c>
      <c r="BG1229" s="8">
        <f t="shared" si="693"/>
        <v>2.3253514378055464</v>
      </c>
      <c r="BH1229" s="5" t="s">
        <v>844</v>
      </c>
      <c r="BI1229" s="13"/>
      <c r="BJ1229" s="13"/>
      <c r="BK1229" s="8"/>
      <c r="BL1229" s="8"/>
      <c r="BM1229" s="18"/>
      <c r="BN1229" s="8"/>
      <c r="BO1229" s="24"/>
      <c r="BP1229" s="11"/>
      <c r="BQ1229" s="11"/>
    </row>
    <row r="1230" spans="1:69" x14ac:dyDescent="0.3">
      <c r="A1230" s="20">
        <v>1228</v>
      </c>
      <c r="B1230" s="1" t="s">
        <v>873</v>
      </c>
      <c r="C1230" s="1">
        <v>2007</v>
      </c>
      <c r="D1230" s="1" t="s">
        <v>203</v>
      </c>
      <c r="E1230" s="10" t="s">
        <v>225</v>
      </c>
      <c r="F1230" s="7" t="s">
        <v>63</v>
      </c>
      <c r="G1230" s="4">
        <v>1</v>
      </c>
      <c r="H1230" s="2" t="str">
        <f>'PFAS Properties'!$B$59</f>
        <v>N-EtFOSAA</v>
      </c>
      <c r="I1230" s="2" t="str">
        <f>'PFAS Properties'!$C$59</f>
        <v>FOSAA</v>
      </c>
      <c r="J1230" s="2" t="str">
        <f>'PFAS Properties'!$D$59</f>
        <v>C12H8F17NO4S</v>
      </c>
      <c r="K1230" s="25">
        <f>'PFAS Properties'!$P$59</f>
        <v>584.99</v>
      </c>
      <c r="L1230" s="2">
        <f>'PFAS Properties'!$X$59</f>
        <v>3.9</v>
      </c>
      <c r="M1230" s="2" t="str">
        <f>'PFAS Properties'!$Y$59</f>
        <v>-</v>
      </c>
      <c r="N1230" s="33">
        <v>0</v>
      </c>
      <c r="O1230" s="33">
        <v>0</v>
      </c>
      <c r="P1230" s="33">
        <v>0</v>
      </c>
      <c r="Q1230" s="33">
        <f t="shared" si="691"/>
        <v>0.99920630222183071</v>
      </c>
      <c r="R1230" s="33">
        <v>0</v>
      </c>
      <c r="S1230" s="33">
        <f t="shared" si="692"/>
        <v>7.9369777816924324E-4</v>
      </c>
      <c r="T1230" s="8">
        <f t="shared" si="690"/>
        <v>1</v>
      </c>
      <c r="U1230" s="33">
        <f t="shared" si="696"/>
        <v>0</v>
      </c>
      <c r="V1230" s="33">
        <f t="shared" si="697"/>
        <v>-0.99920630222183071</v>
      </c>
      <c r="W1230" s="33">
        <f t="shared" si="698"/>
        <v>583.99079369777826</v>
      </c>
      <c r="X1230" s="33">
        <v>96485</v>
      </c>
      <c r="Y1230" s="16">
        <f t="shared" si="699"/>
        <v>-165.08551352226584</v>
      </c>
      <c r="Z1230" s="16">
        <v>12</v>
      </c>
      <c r="AA1230" s="16">
        <v>17</v>
      </c>
      <c r="AB1230" s="8">
        <f t="shared" si="700"/>
        <v>0.44582043343653249</v>
      </c>
      <c r="AC1230" s="16">
        <f t="shared" si="681"/>
        <v>55.214619053317151</v>
      </c>
      <c r="AD1230" s="20">
        <f>'PFAS Properties'!$W$59</f>
        <v>8</v>
      </c>
      <c r="AE1230" s="8">
        <f>'PFAS Properties'!$S$59</f>
        <v>0.38021124171160603</v>
      </c>
      <c r="AF1230" s="2">
        <f>'PFAS Properties'!$V$59</f>
        <v>5.4</v>
      </c>
      <c r="AG1230" s="26">
        <v>7</v>
      </c>
      <c r="AH1230" s="1" t="s">
        <v>363</v>
      </c>
      <c r="AI1230" s="6">
        <f>334*55.85/1000</f>
        <v>18.6539</v>
      </c>
      <c r="AJ1230" s="3">
        <f t="shared" si="701"/>
        <v>334.0299041991226</v>
      </c>
      <c r="AK1230" s="8">
        <f t="shared" si="702"/>
        <v>1.8653900000000001</v>
      </c>
      <c r="AL1230" s="6">
        <f>41*26.98/1000</f>
        <v>1.1061800000000002</v>
      </c>
      <c r="AM1230" s="3">
        <f t="shared" si="705"/>
        <v>41</v>
      </c>
      <c r="AN1230" s="8">
        <f t="shared" si="703"/>
        <v>0.11061800000000002</v>
      </c>
      <c r="AO1230" s="3" t="s">
        <v>93</v>
      </c>
      <c r="AP1230" s="15">
        <v>38.6</v>
      </c>
      <c r="AQ1230" s="1" t="s">
        <v>363</v>
      </c>
      <c r="AR1230" s="4">
        <v>11</v>
      </c>
      <c r="AS1230" s="4">
        <v>36</v>
      </c>
      <c r="AT1230" s="4">
        <v>53</v>
      </c>
      <c r="AU1230" s="1" t="s">
        <v>363</v>
      </c>
      <c r="AV1230" s="16">
        <f t="shared" si="706"/>
        <v>100</v>
      </c>
      <c r="AW1230" s="7">
        <v>2.48</v>
      </c>
      <c r="AX1230" s="31">
        <f t="shared" si="689"/>
        <v>2.4799999999999999E-2</v>
      </c>
      <c r="AY1230" s="5" t="s">
        <v>87</v>
      </c>
      <c r="AZ1230" s="39">
        <f t="shared" si="707"/>
        <v>100</v>
      </c>
      <c r="BA1230" s="30" t="s">
        <v>55</v>
      </c>
      <c r="BB1230" s="15">
        <f t="shared" si="708"/>
        <v>0.58499000000000001</v>
      </c>
      <c r="BC1230" s="16">
        <f t="shared" si="709"/>
        <v>116.998</v>
      </c>
      <c r="BD1230" s="26">
        <v>120.09</v>
      </c>
      <c r="BE1230" s="16">
        <f t="shared" si="694"/>
        <v>4842.3387096774195</v>
      </c>
      <c r="BF1230" s="16">
        <f t="shared" si="695"/>
        <v>3.6850551639985514</v>
      </c>
      <c r="BG1230" s="8">
        <f t="shared" si="693"/>
        <v>2.0795068448247678</v>
      </c>
      <c r="BH1230" s="5" t="s">
        <v>844</v>
      </c>
      <c r="BI1230" s="13"/>
      <c r="BJ1230" s="13"/>
      <c r="BK1230" s="8"/>
      <c r="BL1230" s="8"/>
      <c r="BM1230" s="18"/>
      <c r="BN1230" s="8"/>
      <c r="BO1230" s="24"/>
      <c r="BP1230" s="11"/>
      <c r="BQ1230" s="11"/>
    </row>
    <row r="1231" spans="1:69" x14ac:dyDescent="0.3">
      <c r="A1231" s="20">
        <v>1229</v>
      </c>
      <c r="B1231" s="1" t="s">
        <v>873</v>
      </c>
      <c r="C1231" s="1">
        <v>2007</v>
      </c>
      <c r="D1231" s="1" t="s">
        <v>203</v>
      </c>
      <c r="E1231" s="10" t="s">
        <v>225</v>
      </c>
      <c r="F1231" s="7" t="s">
        <v>63</v>
      </c>
      <c r="G1231" s="4">
        <v>2</v>
      </c>
      <c r="H1231" s="2" t="str">
        <f>'PFAS Properties'!$B$59</f>
        <v>N-EtFOSAA</v>
      </c>
      <c r="I1231" s="2" t="str">
        <f>'PFAS Properties'!$C$59</f>
        <v>FOSAA</v>
      </c>
      <c r="J1231" s="2" t="str">
        <f>'PFAS Properties'!$D$59</f>
        <v>C12H8F17NO4S</v>
      </c>
      <c r="K1231" s="25">
        <f>'PFAS Properties'!$P$59</f>
        <v>584.99</v>
      </c>
      <c r="L1231" s="2">
        <f>'PFAS Properties'!$X$59</f>
        <v>3.9</v>
      </c>
      <c r="M1231" s="2" t="str">
        <f>'PFAS Properties'!$Y$59</f>
        <v>-</v>
      </c>
      <c r="N1231" s="33">
        <v>0</v>
      </c>
      <c r="O1231" s="33">
        <v>0</v>
      </c>
      <c r="P1231" s="33">
        <v>0</v>
      </c>
      <c r="Q1231" s="33">
        <f t="shared" si="691"/>
        <v>0.99974887443673854</v>
      </c>
      <c r="R1231" s="33">
        <v>0</v>
      </c>
      <c r="S1231" s="33">
        <f t="shared" si="692"/>
        <v>2.5112556326146155E-4</v>
      </c>
      <c r="T1231" s="8">
        <f t="shared" si="690"/>
        <v>1</v>
      </c>
      <c r="U1231" s="33">
        <f t="shared" si="696"/>
        <v>0</v>
      </c>
      <c r="V1231" s="33">
        <f t="shared" si="697"/>
        <v>-0.99974887443673854</v>
      </c>
      <c r="W1231" s="33">
        <f t="shared" si="698"/>
        <v>583.9902511255633</v>
      </c>
      <c r="X1231" s="33">
        <v>96485</v>
      </c>
      <c r="Y1231" s="16">
        <f t="shared" si="699"/>
        <v>-165.17530894413639</v>
      </c>
      <c r="Z1231" s="16">
        <v>12</v>
      </c>
      <c r="AA1231" s="16">
        <v>17</v>
      </c>
      <c r="AB1231" s="8">
        <f t="shared" si="700"/>
        <v>0.44582043343653249</v>
      </c>
      <c r="AC1231" s="16">
        <f t="shared" si="681"/>
        <v>55.214619053317151</v>
      </c>
      <c r="AD1231" s="20">
        <f>'PFAS Properties'!$W$59</f>
        <v>8</v>
      </c>
      <c r="AE1231" s="8">
        <f>'PFAS Properties'!$S$59</f>
        <v>0.38021124171160603</v>
      </c>
      <c r="AF1231" s="2">
        <f>'PFAS Properties'!$V$59</f>
        <v>5.4</v>
      </c>
      <c r="AG1231" s="26">
        <v>7.5</v>
      </c>
      <c r="AH1231" s="1" t="s">
        <v>363</v>
      </c>
      <c r="AI1231" s="6">
        <f>116*55.845/1000</f>
        <v>6.4780199999999999</v>
      </c>
      <c r="AJ1231" s="3">
        <f t="shared" si="701"/>
        <v>116</v>
      </c>
      <c r="AK1231" s="8">
        <f t="shared" si="702"/>
        <v>0.64780199999999999</v>
      </c>
      <c r="AL1231" s="6">
        <f>7*26.98/1000</f>
        <v>0.18886</v>
      </c>
      <c r="AM1231" s="3">
        <f t="shared" si="705"/>
        <v>7</v>
      </c>
      <c r="AN1231" s="8">
        <f t="shared" si="703"/>
        <v>1.8886E-2</v>
      </c>
      <c r="AO1231" s="3" t="s">
        <v>93</v>
      </c>
      <c r="AP1231" s="15">
        <v>30</v>
      </c>
      <c r="AQ1231" s="1" t="s">
        <v>363</v>
      </c>
      <c r="AR1231" s="4">
        <v>49</v>
      </c>
      <c r="AS1231" s="4">
        <v>25</v>
      </c>
      <c r="AT1231" s="4">
        <v>26</v>
      </c>
      <c r="AU1231" s="1" t="s">
        <v>363</v>
      </c>
      <c r="AV1231" s="16">
        <f t="shared" si="706"/>
        <v>100</v>
      </c>
      <c r="AW1231" s="7">
        <v>1.02</v>
      </c>
      <c r="AX1231" s="6">
        <f t="shared" si="689"/>
        <v>1.0200000000000001E-2</v>
      </c>
      <c r="AY1231" s="5" t="s">
        <v>87</v>
      </c>
      <c r="AZ1231" s="39">
        <f t="shared" si="707"/>
        <v>100</v>
      </c>
      <c r="BA1231" s="30" t="s">
        <v>55</v>
      </c>
      <c r="BB1231" s="15">
        <f t="shared" si="708"/>
        <v>0.58499000000000001</v>
      </c>
      <c r="BC1231" s="16">
        <f t="shared" si="709"/>
        <v>116.998</v>
      </c>
      <c r="BD1231" s="26">
        <v>9.5299999999999994</v>
      </c>
      <c r="BE1231" s="16">
        <f t="shared" si="694"/>
        <v>934.31372549019591</v>
      </c>
      <c r="BF1231" s="16">
        <f t="shared" si="695"/>
        <v>2.9704927288764087</v>
      </c>
      <c r="BG1231" s="8">
        <f t="shared" si="693"/>
        <v>0.97909290063832632</v>
      </c>
      <c r="BH1231" s="5" t="s">
        <v>844</v>
      </c>
      <c r="BI1231" s="13"/>
      <c r="BJ1231" s="13"/>
      <c r="BK1231" s="8"/>
      <c r="BL1231" s="8"/>
      <c r="BM1231" s="18"/>
      <c r="BN1231" s="8"/>
      <c r="BO1231" s="24"/>
      <c r="BP1231" s="11"/>
      <c r="BQ1231" s="11"/>
    </row>
    <row r="1232" spans="1:69" x14ac:dyDescent="0.3">
      <c r="A1232" s="20">
        <v>1230</v>
      </c>
      <c r="B1232" s="1" t="s">
        <v>873</v>
      </c>
      <c r="C1232" s="1">
        <v>2007</v>
      </c>
      <c r="D1232" s="1" t="s">
        <v>203</v>
      </c>
      <c r="E1232" s="10" t="s">
        <v>225</v>
      </c>
      <c r="F1232" s="7" t="s">
        <v>63</v>
      </c>
      <c r="G1232" s="4">
        <v>3</v>
      </c>
      <c r="H1232" s="2" t="str">
        <f>'PFAS Properties'!$B$59</f>
        <v>N-EtFOSAA</v>
      </c>
      <c r="I1232" s="2" t="str">
        <f>'PFAS Properties'!$C$59</f>
        <v>FOSAA</v>
      </c>
      <c r="J1232" s="2" t="str">
        <f>'PFAS Properties'!$D$59</f>
        <v>C12H8F17NO4S</v>
      </c>
      <c r="K1232" s="25">
        <f>'PFAS Properties'!$P$59</f>
        <v>584.99</v>
      </c>
      <c r="L1232" s="2">
        <f>'PFAS Properties'!$X$59</f>
        <v>3.9</v>
      </c>
      <c r="M1232" s="2" t="str">
        <f>'PFAS Properties'!$Y$59</f>
        <v>-</v>
      </c>
      <c r="N1232" s="33">
        <v>0</v>
      </c>
      <c r="O1232" s="33">
        <v>0</v>
      </c>
      <c r="P1232" s="33">
        <v>0</v>
      </c>
      <c r="Q1232" s="33">
        <f t="shared" si="691"/>
        <v>0.99980051357127842</v>
      </c>
      <c r="R1232" s="33">
        <v>0</v>
      </c>
      <c r="S1232" s="33">
        <f t="shared" si="692"/>
        <v>1.9948642872153033E-4</v>
      </c>
      <c r="T1232" s="8">
        <f t="shared" si="690"/>
        <v>1</v>
      </c>
      <c r="U1232" s="33">
        <f t="shared" si="696"/>
        <v>0</v>
      </c>
      <c r="V1232" s="33">
        <f t="shared" si="697"/>
        <v>-0.99980051357127842</v>
      </c>
      <c r="W1232" s="33">
        <f t="shared" si="698"/>
        <v>583.99019948642865</v>
      </c>
      <c r="X1232" s="33">
        <v>96485</v>
      </c>
      <c r="Y1232" s="16">
        <f t="shared" si="699"/>
        <v>-165.18385520297858</v>
      </c>
      <c r="Z1232" s="16">
        <v>12</v>
      </c>
      <c r="AA1232" s="16">
        <v>17</v>
      </c>
      <c r="AB1232" s="8">
        <f t="shared" si="700"/>
        <v>0.44582043343653249</v>
      </c>
      <c r="AC1232" s="16">
        <f t="shared" si="681"/>
        <v>55.214619053317151</v>
      </c>
      <c r="AD1232" s="20">
        <f>'PFAS Properties'!$W$59</f>
        <v>8</v>
      </c>
      <c r="AE1232" s="8">
        <f>'PFAS Properties'!$S$59</f>
        <v>0.38021124171160603</v>
      </c>
      <c r="AF1232" s="2">
        <f>'PFAS Properties'!$V$59</f>
        <v>5.4</v>
      </c>
      <c r="AG1232" s="26">
        <v>7.6</v>
      </c>
      <c r="AH1232" s="1" t="s">
        <v>363</v>
      </c>
      <c r="AI1232" s="6">
        <f>121*55.85/1000</f>
        <v>6.7578500000000004</v>
      </c>
      <c r="AJ1232" s="3">
        <f t="shared" si="701"/>
        <v>121.01083355716717</v>
      </c>
      <c r="AK1232" s="8">
        <f t="shared" si="702"/>
        <v>0.67578500000000008</v>
      </c>
      <c r="AL1232" s="6">
        <f>14*26.98/1000</f>
        <v>0.37772</v>
      </c>
      <c r="AM1232" s="3">
        <f t="shared" si="705"/>
        <v>14</v>
      </c>
      <c r="AN1232" s="8">
        <f t="shared" si="703"/>
        <v>3.7772E-2</v>
      </c>
      <c r="AO1232" s="3" t="s">
        <v>93</v>
      </c>
      <c r="AP1232" s="15">
        <v>32.1</v>
      </c>
      <c r="AQ1232" s="1" t="s">
        <v>363</v>
      </c>
      <c r="AR1232" s="4">
        <v>31</v>
      </c>
      <c r="AS1232" s="4">
        <v>38</v>
      </c>
      <c r="AT1232" s="4">
        <v>31</v>
      </c>
      <c r="AU1232" s="1" t="s">
        <v>363</v>
      </c>
      <c r="AV1232" s="16">
        <f t="shared" si="706"/>
        <v>100</v>
      </c>
      <c r="AW1232" s="7">
        <v>4.34</v>
      </c>
      <c r="AX1232" s="6">
        <f t="shared" si="689"/>
        <v>4.3400000000000001E-2</v>
      </c>
      <c r="AY1232" s="5" t="s">
        <v>87</v>
      </c>
      <c r="AZ1232" s="39">
        <f t="shared" si="707"/>
        <v>100</v>
      </c>
      <c r="BA1232" s="30" t="s">
        <v>55</v>
      </c>
      <c r="BB1232" s="15">
        <f t="shared" si="708"/>
        <v>0.58499000000000001</v>
      </c>
      <c r="BC1232" s="16">
        <f t="shared" si="709"/>
        <v>116.998</v>
      </c>
      <c r="BD1232" s="26">
        <v>94.29</v>
      </c>
      <c r="BE1232" s="16">
        <f t="shared" si="694"/>
        <v>2172.5806451612902</v>
      </c>
      <c r="BF1232" s="16">
        <f t="shared" si="695"/>
        <v>3.3369759062247315</v>
      </c>
      <c r="BG1232" s="8">
        <f t="shared" si="693"/>
        <v>1.9744656357372425</v>
      </c>
      <c r="BH1232" s="5" t="s">
        <v>844</v>
      </c>
      <c r="BI1232" s="13"/>
      <c r="BJ1232" s="13"/>
      <c r="BK1232" s="8"/>
      <c r="BL1232" s="8"/>
      <c r="BM1232" s="18"/>
      <c r="BN1232" s="8"/>
      <c r="BO1232" s="24"/>
      <c r="BP1232" s="11"/>
      <c r="BQ1232" s="11"/>
    </row>
    <row r="1233" spans="1:69" x14ac:dyDescent="0.3">
      <c r="A1233" s="20">
        <v>1231</v>
      </c>
      <c r="B1233" s="1" t="s">
        <v>873</v>
      </c>
      <c r="C1233" s="1">
        <v>2007</v>
      </c>
      <c r="D1233" s="1" t="s">
        <v>203</v>
      </c>
      <c r="E1233" s="10" t="s">
        <v>225</v>
      </c>
      <c r="F1233" s="7" t="s">
        <v>63</v>
      </c>
      <c r="G1233" s="4">
        <v>4</v>
      </c>
      <c r="H1233" s="2" t="str">
        <f>'PFAS Properties'!$B$59</f>
        <v>N-EtFOSAA</v>
      </c>
      <c r="I1233" s="2" t="str">
        <f>'PFAS Properties'!$C$59</f>
        <v>FOSAA</v>
      </c>
      <c r="J1233" s="2" t="str">
        <f>'PFAS Properties'!$D$59</f>
        <v>C12H8F17NO4S</v>
      </c>
      <c r="K1233" s="25">
        <f>'PFAS Properties'!$P$59</f>
        <v>584.99</v>
      </c>
      <c r="L1233" s="2">
        <f>'PFAS Properties'!$X$59</f>
        <v>3.9</v>
      </c>
      <c r="M1233" s="2" t="str">
        <f>'PFAS Properties'!$Y$59</f>
        <v>-</v>
      </c>
      <c r="N1233" s="33">
        <v>0</v>
      </c>
      <c r="O1233" s="33">
        <v>0</v>
      </c>
      <c r="P1233" s="33">
        <v>0</v>
      </c>
      <c r="Q1233" s="33">
        <f t="shared" si="691"/>
        <v>0.99684769081673974</v>
      </c>
      <c r="R1233" s="33">
        <v>0</v>
      </c>
      <c r="S1233" s="33">
        <f t="shared" si="692"/>
        <v>3.1523091832602059E-3</v>
      </c>
      <c r="T1233" s="8">
        <f t="shared" si="690"/>
        <v>1</v>
      </c>
      <c r="U1233" s="33">
        <f t="shared" si="696"/>
        <v>0</v>
      </c>
      <c r="V1233" s="33">
        <f t="shared" si="697"/>
        <v>-0.99684769081673974</v>
      </c>
      <c r="W1233" s="33">
        <f t="shared" si="698"/>
        <v>583.9931523091833</v>
      </c>
      <c r="X1233" s="33">
        <v>96485</v>
      </c>
      <c r="Y1233" s="16">
        <f t="shared" si="699"/>
        <v>-164.69516648978129</v>
      </c>
      <c r="Z1233" s="16">
        <v>12</v>
      </c>
      <c r="AA1233" s="16">
        <v>17</v>
      </c>
      <c r="AB1233" s="8">
        <f t="shared" si="700"/>
        <v>0.44582043343653249</v>
      </c>
      <c r="AC1233" s="16">
        <f t="shared" si="681"/>
        <v>55.214619053317151</v>
      </c>
      <c r="AD1233" s="20">
        <f>'PFAS Properties'!$W$59</f>
        <v>8</v>
      </c>
      <c r="AE1233" s="8">
        <f>'PFAS Properties'!$S$59</f>
        <v>0.38021124171160603</v>
      </c>
      <c r="AF1233" s="2">
        <f>'PFAS Properties'!$V$59</f>
        <v>5.4</v>
      </c>
      <c r="AG1233" s="26">
        <v>6.4</v>
      </c>
      <c r="AH1233" s="1" t="s">
        <v>363</v>
      </c>
      <c r="AI1233" s="6">
        <f>1025*55.874/1000</f>
        <v>57.270850000000003</v>
      </c>
      <c r="AJ1233" s="3">
        <f t="shared" si="701"/>
        <v>1025.5322768376759</v>
      </c>
      <c r="AK1233" s="8">
        <f t="shared" si="702"/>
        <v>5.7270850000000006</v>
      </c>
      <c r="AL1233" s="6">
        <f>171*26.98/1000</f>
        <v>4.6135799999999998</v>
      </c>
      <c r="AM1233" s="3">
        <f t="shared" si="705"/>
        <v>171</v>
      </c>
      <c r="AN1233" s="8">
        <f t="shared" si="703"/>
        <v>0.46135799999999999</v>
      </c>
      <c r="AO1233" s="3" t="s">
        <v>93</v>
      </c>
      <c r="AP1233" s="15">
        <v>32.1</v>
      </c>
      <c r="AQ1233" s="1" t="s">
        <v>363</v>
      </c>
      <c r="AR1233" s="4">
        <v>65</v>
      </c>
      <c r="AS1233" s="4">
        <v>22</v>
      </c>
      <c r="AT1233" s="4">
        <v>13</v>
      </c>
      <c r="AU1233" s="1" t="s">
        <v>363</v>
      </c>
      <c r="AV1233" s="16">
        <f t="shared" si="706"/>
        <v>100</v>
      </c>
      <c r="AW1233" s="7">
        <v>0.56000000000000005</v>
      </c>
      <c r="AX1233" s="6">
        <f t="shared" si="689"/>
        <v>5.6000000000000008E-3</v>
      </c>
      <c r="AY1233" s="5" t="s">
        <v>87</v>
      </c>
      <c r="AZ1233" s="39">
        <f t="shared" si="707"/>
        <v>100</v>
      </c>
      <c r="BA1233" s="30" t="s">
        <v>55</v>
      </c>
      <c r="BB1233" s="15">
        <f t="shared" si="708"/>
        <v>0.58499000000000001</v>
      </c>
      <c r="BC1233" s="16">
        <f t="shared" si="709"/>
        <v>116.998</v>
      </c>
      <c r="BD1233" s="26">
        <v>2.76</v>
      </c>
      <c r="BE1233" s="16">
        <f t="shared" si="694"/>
        <v>492.85714285714278</v>
      </c>
      <c r="BF1233" s="16">
        <f t="shared" si="695"/>
        <v>2.692721055059017</v>
      </c>
      <c r="BG1233" s="8">
        <f t="shared" si="693"/>
        <v>0.44090908206521767</v>
      </c>
      <c r="BH1233" s="5" t="s">
        <v>844</v>
      </c>
      <c r="BI1233" s="13"/>
      <c r="BJ1233" s="13"/>
      <c r="BK1233" s="8"/>
      <c r="BL1233" s="8"/>
      <c r="BM1233" s="18"/>
      <c r="BN1233" s="8"/>
      <c r="BO1233" s="24"/>
      <c r="BP1233" s="11"/>
      <c r="BQ1233" s="11"/>
    </row>
    <row r="1234" spans="1:69" x14ac:dyDescent="0.3">
      <c r="A1234" s="20">
        <v>1232</v>
      </c>
      <c r="B1234" s="1" t="s">
        <v>873</v>
      </c>
      <c r="C1234" s="1">
        <v>2007</v>
      </c>
      <c r="D1234" s="1" t="s">
        <v>203</v>
      </c>
      <c r="E1234" s="10" t="s">
        <v>225</v>
      </c>
      <c r="F1234" s="7" t="s">
        <v>63</v>
      </c>
      <c r="G1234" s="4">
        <v>5</v>
      </c>
      <c r="H1234" s="2" t="str">
        <f>'PFAS Properties'!$B$59</f>
        <v>N-EtFOSAA</v>
      </c>
      <c r="I1234" s="2" t="str">
        <f>'PFAS Properties'!$C$59</f>
        <v>FOSAA</v>
      </c>
      <c r="J1234" s="2" t="str">
        <f>'PFAS Properties'!$D$59</f>
        <v>C12H8F17NO4S</v>
      </c>
      <c r="K1234" s="25">
        <f>'PFAS Properties'!$P$59</f>
        <v>584.99</v>
      </c>
      <c r="L1234" s="2">
        <f>'PFAS Properties'!$X$59</f>
        <v>3.9</v>
      </c>
      <c r="M1234" s="2" t="str">
        <f>'PFAS Properties'!$Y$59</f>
        <v>-</v>
      </c>
      <c r="N1234" s="33">
        <v>0</v>
      </c>
      <c r="O1234" s="33">
        <v>0</v>
      </c>
      <c r="P1234" s="33">
        <v>0</v>
      </c>
      <c r="Q1234" s="33">
        <f t="shared" si="691"/>
        <v>0.98439833775817054</v>
      </c>
      <c r="R1234" s="33">
        <v>0</v>
      </c>
      <c r="S1234" s="33">
        <f t="shared" si="692"/>
        <v>1.5601662241829593E-2</v>
      </c>
      <c r="T1234" s="8">
        <f t="shared" si="690"/>
        <v>1.0000000000000002</v>
      </c>
      <c r="U1234" s="33">
        <f t="shared" si="696"/>
        <v>0</v>
      </c>
      <c r="V1234" s="33">
        <f t="shared" si="697"/>
        <v>-0.98439833775817054</v>
      </c>
      <c r="W1234" s="33">
        <f t="shared" si="698"/>
        <v>584.00560166224193</v>
      </c>
      <c r="X1234" s="33">
        <v>96485</v>
      </c>
      <c r="Y1234" s="16">
        <f t="shared" si="699"/>
        <v>-162.63486745376858</v>
      </c>
      <c r="Z1234" s="16">
        <v>12</v>
      </c>
      <c r="AA1234" s="16">
        <v>17</v>
      </c>
      <c r="AB1234" s="8">
        <f t="shared" si="700"/>
        <v>0.44582043343653249</v>
      </c>
      <c r="AC1234" s="16">
        <f t="shared" si="681"/>
        <v>55.214619053317151</v>
      </c>
      <c r="AD1234" s="20">
        <f>'PFAS Properties'!$W$59</f>
        <v>8</v>
      </c>
      <c r="AE1234" s="8">
        <f>'PFAS Properties'!$S$59</f>
        <v>0.38021124171160603</v>
      </c>
      <c r="AF1234" s="2">
        <f>'PFAS Properties'!$V$59</f>
        <v>5.4</v>
      </c>
      <c r="AG1234" s="26">
        <v>5.7</v>
      </c>
      <c r="AH1234" s="1" t="s">
        <v>363</v>
      </c>
      <c r="AI1234" s="6">
        <f>268*55.85/1000</f>
        <v>14.9678</v>
      </c>
      <c r="AJ1234" s="3">
        <f t="shared" si="701"/>
        <v>268.02399498612232</v>
      </c>
      <c r="AK1234" s="8">
        <f t="shared" si="702"/>
        <v>1.49678</v>
      </c>
      <c r="AL1234" s="6">
        <f>90*26.98/1000</f>
        <v>2.4281999999999999</v>
      </c>
      <c r="AM1234" s="3">
        <f t="shared" si="705"/>
        <v>89.999999999999986</v>
      </c>
      <c r="AN1234" s="8">
        <f t="shared" si="703"/>
        <v>0.24281999999999998</v>
      </c>
      <c r="AO1234" s="3" t="s">
        <v>93</v>
      </c>
      <c r="AP1234" s="15">
        <v>22</v>
      </c>
      <c r="AQ1234" s="1" t="s">
        <v>363</v>
      </c>
      <c r="AR1234" s="4">
        <v>80</v>
      </c>
      <c r="AS1234" s="4">
        <v>15</v>
      </c>
      <c r="AT1234" s="4">
        <v>5</v>
      </c>
      <c r="AU1234" s="1" t="s">
        <v>363</v>
      </c>
      <c r="AV1234" s="16">
        <f t="shared" si="706"/>
        <v>100</v>
      </c>
      <c r="AW1234" s="7">
        <v>9.66</v>
      </c>
      <c r="AX1234" s="6">
        <f t="shared" si="689"/>
        <v>9.6600000000000005E-2</v>
      </c>
      <c r="AY1234" s="5" t="s">
        <v>87</v>
      </c>
      <c r="AZ1234" s="39">
        <f t="shared" si="707"/>
        <v>100</v>
      </c>
      <c r="BA1234" s="30" t="s">
        <v>55</v>
      </c>
      <c r="BB1234" s="15">
        <f t="shared" si="708"/>
        <v>0.58499000000000001</v>
      </c>
      <c r="BC1234" s="16">
        <f t="shared" si="709"/>
        <v>116.998</v>
      </c>
      <c r="BD1234" s="26">
        <v>293.69</v>
      </c>
      <c r="BE1234" s="16">
        <f t="shared" si="694"/>
        <v>3040.2691511387161</v>
      </c>
      <c r="BF1234" s="16">
        <f t="shared" si="695"/>
        <v>3.4829120328456256</v>
      </c>
      <c r="BG1234" s="8">
        <f t="shared" si="693"/>
        <v>2.467889159261119</v>
      </c>
      <c r="BH1234" s="5" t="s">
        <v>844</v>
      </c>
      <c r="BI1234" s="13"/>
      <c r="BJ1234" s="13"/>
      <c r="BK1234" s="8"/>
      <c r="BL1234" s="8"/>
      <c r="BM1234" s="18"/>
      <c r="BN1234" s="8"/>
      <c r="BO1234" s="24"/>
      <c r="BP1234" s="11"/>
      <c r="BQ1234" s="11"/>
    </row>
    <row r="1235" spans="1:69" s="14" customFormat="1" x14ac:dyDescent="0.3">
      <c r="A1235" s="20">
        <v>1233</v>
      </c>
      <c r="B1235" s="2" t="s">
        <v>358</v>
      </c>
      <c r="C1235" s="2">
        <v>2017</v>
      </c>
      <c r="D1235" s="2" t="s">
        <v>203</v>
      </c>
      <c r="E1235" s="10" t="s">
        <v>359</v>
      </c>
      <c r="F1235" s="20" t="s">
        <v>29</v>
      </c>
      <c r="G1235" s="2" t="s">
        <v>360</v>
      </c>
      <c r="H1235" s="2" t="str">
        <f>'PFAS Properties'!$B$60</f>
        <v>PFHxPA</v>
      </c>
      <c r="I1235" s="2" t="str">
        <f>'PFAS Properties'!$C$60</f>
        <v>PFPA</v>
      </c>
      <c r="J1235" s="2" t="str">
        <f>'PFAS Properties'!$D$60</f>
        <v>C6H2F13O3P</v>
      </c>
      <c r="K1235" s="25">
        <f>'PFAS Properties'!$P$60</f>
        <v>399.95329999999996</v>
      </c>
      <c r="L1235" s="2">
        <f>'PFAS Properties'!$X$60</f>
        <v>2.1</v>
      </c>
      <c r="M1235" s="2">
        <f>'PFAS Properties'!$Y$60</f>
        <v>2.4</v>
      </c>
      <c r="N1235" s="33">
        <v>0</v>
      </c>
      <c r="O1235" s="33">
        <v>0</v>
      </c>
      <c r="P1235" s="33">
        <v>0</v>
      </c>
      <c r="Q1235" s="33">
        <f t="shared" ref="Q1235:Q1255" si="710">1/(1+(10^(L1235-AG1235))+(10^(AG1235-M1235)))</f>
        <v>1.5823832918514553E-3</v>
      </c>
      <c r="R1235" s="33">
        <f t="shared" ref="R1235:R1255" si="711">1/(1+(10^(M1235-AG1235))+(10^((L1235+M1235)-(2*AG1235))))</f>
        <v>0.99841635977642174</v>
      </c>
      <c r="S1235" s="33">
        <f t="shared" ref="S1235:S1255" si="712">1/(1+(10^(AG1235-L1235))+(10^((2*AG1235)-L1235-M1235)))</f>
        <v>1.2569317268735621E-6</v>
      </c>
      <c r="T1235" s="8">
        <f t="shared" ref="T1235:T1255" si="713">SUM(Q1235:S1235)</f>
        <v>1</v>
      </c>
      <c r="U1235" s="33">
        <f t="shared" ref="U1235:U1255" si="714">((1*N1235)+(1*O1235)+(1*P1235))</f>
        <v>0</v>
      </c>
      <c r="V1235" s="33">
        <f t="shared" ref="V1235:V1255" si="715">-((1*O1235)+(2*P1235)+(1*Q1235)+(2*R1235))</f>
        <v>-1.998415102844695</v>
      </c>
      <c r="W1235" s="33">
        <f t="shared" ref="W1235:W1255" si="716">(N1235*(K1235+1))+(O1235*K1235)+(P1235*(K1235-1))+(Q1235*(K1235-1))+(R1235*(K1235-2))+(S1235*K1235)</f>
        <v>397.9548848971553</v>
      </c>
      <c r="X1235" s="33">
        <v>96485</v>
      </c>
      <c r="Y1235" s="16">
        <f t="shared" ref="Y1235:Y1255" si="717">((V1235+U1235)/W1235)*X1235</f>
        <v>-484.51995066677148</v>
      </c>
      <c r="Z1235" s="16">
        <v>6</v>
      </c>
      <c r="AA1235" s="16">
        <v>13</v>
      </c>
      <c r="AB1235" s="8">
        <f t="shared" ref="AB1235:AB1255" si="718">(Z1235/AA1235)*(12/19)</f>
        <v>0.291497975708502</v>
      </c>
      <c r="AC1235" s="16">
        <f t="shared" ref="AC1235:AC1255" si="719">((AA1235*19)/K1235)*100</f>
        <v>61.757210154285524</v>
      </c>
      <c r="AD1235" s="20">
        <f>'PFAS Properties'!$W$60</f>
        <v>6</v>
      </c>
      <c r="AE1235" s="8">
        <f>'PFAS Properties'!$S$60</f>
        <v>3.8720979742742268</v>
      </c>
      <c r="AF1235" s="2">
        <f>'PFAS Properties'!$V$60</f>
        <v>3</v>
      </c>
      <c r="AG1235" s="24">
        <v>5.2</v>
      </c>
      <c r="AH1235" s="2" t="s">
        <v>363</v>
      </c>
      <c r="AI1235" s="2" t="s">
        <v>363</v>
      </c>
      <c r="AJ1235" s="2" t="s">
        <v>363</v>
      </c>
      <c r="AK1235" s="2" t="s">
        <v>363</v>
      </c>
      <c r="AL1235" s="2" t="s">
        <v>363</v>
      </c>
      <c r="AM1235" s="2" t="s">
        <v>363</v>
      </c>
      <c r="AN1235" s="2" t="s">
        <v>363</v>
      </c>
      <c r="AO1235" s="2" t="s">
        <v>363</v>
      </c>
      <c r="AP1235" s="15">
        <v>9.6</v>
      </c>
      <c r="AQ1235" s="2" t="s">
        <v>363</v>
      </c>
      <c r="AR1235" s="16">
        <v>63</v>
      </c>
      <c r="AS1235" s="16">
        <v>32</v>
      </c>
      <c r="AT1235" s="16">
        <v>5</v>
      </c>
      <c r="AU1235" s="2" t="s">
        <v>363</v>
      </c>
      <c r="AV1235" s="16">
        <f t="shared" ref="AV1235:AV1246" si="720">SUM(AR1235:AT1235)</f>
        <v>100</v>
      </c>
      <c r="AW1235" s="20">
        <v>1</v>
      </c>
      <c r="AX1235" s="8">
        <f t="shared" ref="AX1235:AX1255" si="721">AW1235/100</f>
        <v>0.01</v>
      </c>
      <c r="AY1235" s="13" t="s">
        <v>364</v>
      </c>
      <c r="AZ1235" s="16">
        <f>5/0.05</f>
        <v>100</v>
      </c>
      <c r="BA1235" s="16" t="s">
        <v>55</v>
      </c>
      <c r="BB1235" s="16">
        <v>500</v>
      </c>
      <c r="BC1235" s="16">
        <v>50000</v>
      </c>
      <c r="BD1235" s="18">
        <f>10^-0.28</f>
        <v>0.52480746024977254</v>
      </c>
      <c r="BE1235" s="16">
        <f t="shared" ref="BE1235:BE1255" si="722">BD1235/AX1235</f>
        <v>52.48074602497725</v>
      </c>
      <c r="BF1235" s="16">
        <f t="shared" ref="BF1235:BF1255" si="723">LOG(BE1235)</f>
        <v>1.72</v>
      </c>
      <c r="BG1235" s="8">
        <f t="shared" ref="BG1235:BG1255" si="724">LOG(BD1235)</f>
        <v>-0.28000000000000003</v>
      </c>
      <c r="BH1235" s="13" t="s">
        <v>367</v>
      </c>
      <c r="BI1235" s="8"/>
      <c r="BJ1235" s="16"/>
      <c r="BK1235" s="8"/>
      <c r="BL1235" s="13"/>
      <c r="BM1235" s="16"/>
      <c r="BN1235" s="16"/>
      <c r="BO1235" s="18"/>
    </row>
    <row r="1236" spans="1:69" s="14" customFormat="1" x14ac:dyDescent="0.3">
      <c r="A1236" s="20">
        <v>1234</v>
      </c>
      <c r="B1236" s="2" t="s">
        <v>358</v>
      </c>
      <c r="C1236" s="2">
        <v>2017</v>
      </c>
      <c r="D1236" s="2" t="s">
        <v>203</v>
      </c>
      <c r="E1236" s="10" t="s">
        <v>359</v>
      </c>
      <c r="F1236" s="20" t="s">
        <v>29</v>
      </c>
      <c r="G1236" s="2" t="s">
        <v>88</v>
      </c>
      <c r="H1236" s="2" t="str">
        <f>'PFAS Properties'!$B$60</f>
        <v>PFHxPA</v>
      </c>
      <c r="I1236" s="2" t="str">
        <f>'PFAS Properties'!$C$60</f>
        <v>PFPA</v>
      </c>
      <c r="J1236" s="2" t="str">
        <f>'PFAS Properties'!$D$60</f>
        <v>C6H2F13O3P</v>
      </c>
      <c r="K1236" s="25">
        <f>'PFAS Properties'!$P$60</f>
        <v>399.95329999999996</v>
      </c>
      <c r="L1236" s="2">
        <f>'PFAS Properties'!$X$60</f>
        <v>2.1</v>
      </c>
      <c r="M1236" s="2">
        <f>'PFAS Properties'!$Y$60</f>
        <v>2.4</v>
      </c>
      <c r="N1236" s="33">
        <v>0</v>
      </c>
      <c r="O1236" s="33">
        <v>0</v>
      </c>
      <c r="P1236" s="33">
        <v>0</v>
      </c>
      <c r="Q1236" s="33">
        <f t="shared" si="710"/>
        <v>6.3091753501609994E-5</v>
      </c>
      <c r="R1236" s="33">
        <f t="shared" si="711"/>
        <v>0.99993690625136178</v>
      </c>
      <c r="S1236" s="33">
        <f t="shared" si="712"/>
        <v>1.9951364263899148E-9</v>
      </c>
      <c r="T1236" s="8">
        <f t="shared" si="713"/>
        <v>0.99999999999999978</v>
      </c>
      <c r="U1236" s="33">
        <f t="shared" si="714"/>
        <v>0</v>
      </c>
      <c r="V1236" s="33">
        <f t="shared" si="715"/>
        <v>-1.9999369042562252</v>
      </c>
      <c r="W1236" s="33">
        <f t="shared" si="716"/>
        <v>397.95336309574367</v>
      </c>
      <c r="X1236" s="33">
        <v>96485</v>
      </c>
      <c r="Y1236" s="16">
        <f t="shared" si="717"/>
        <v>-484.89076887317736</v>
      </c>
      <c r="Z1236" s="16">
        <v>6</v>
      </c>
      <c r="AA1236" s="16">
        <v>13</v>
      </c>
      <c r="AB1236" s="8">
        <f t="shared" si="718"/>
        <v>0.291497975708502</v>
      </c>
      <c r="AC1236" s="16">
        <f t="shared" si="719"/>
        <v>61.757210154285524</v>
      </c>
      <c r="AD1236" s="20">
        <f>'PFAS Properties'!$W$60</f>
        <v>6</v>
      </c>
      <c r="AE1236" s="8">
        <f>'PFAS Properties'!$S$60</f>
        <v>3.8720979742742268</v>
      </c>
      <c r="AF1236" s="2">
        <f>'PFAS Properties'!$V$60</f>
        <v>3</v>
      </c>
      <c r="AG1236" s="24">
        <v>6.6</v>
      </c>
      <c r="AH1236" s="2" t="s">
        <v>363</v>
      </c>
      <c r="AI1236" s="2" t="s">
        <v>363</v>
      </c>
      <c r="AJ1236" s="2" t="s">
        <v>363</v>
      </c>
      <c r="AK1236" s="2" t="s">
        <v>363</v>
      </c>
      <c r="AL1236" s="2" t="s">
        <v>363</v>
      </c>
      <c r="AM1236" s="2" t="s">
        <v>363</v>
      </c>
      <c r="AN1236" s="2" t="s">
        <v>363</v>
      </c>
      <c r="AO1236" s="2" t="s">
        <v>363</v>
      </c>
      <c r="AP1236" s="15">
        <v>33.5</v>
      </c>
      <c r="AQ1236" s="2" t="s">
        <v>363</v>
      </c>
      <c r="AR1236" s="16">
        <v>25</v>
      </c>
      <c r="AS1236" s="16">
        <v>38</v>
      </c>
      <c r="AT1236" s="16">
        <v>37</v>
      </c>
      <c r="AU1236" s="2" t="s">
        <v>363</v>
      </c>
      <c r="AV1236" s="16">
        <f t="shared" si="720"/>
        <v>100</v>
      </c>
      <c r="AW1236" s="20">
        <v>1.1000000000000001</v>
      </c>
      <c r="AX1236" s="8">
        <f t="shared" si="721"/>
        <v>1.1000000000000001E-2</v>
      </c>
      <c r="AY1236" s="13" t="s">
        <v>364</v>
      </c>
      <c r="AZ1236" s="16">
        <v>100</v>
      </c>
      <c r="BA1236" s="16" t="s">
        <v>55</v>
      </c>
      <c r="BB1236" s="16">
        <v>500</v>
      </c>
      <c r="BC1236" s="16">
        <v>50000</v>
      </c>
      <c r="BD1236" s="18">
        <f>10^-0.35</f>
        <v>0.44668359215096315</v>
      </c>
      <c r="BE1236" s="16">
        <f t="shared" si="722"/>
        <v>40.60759928645119</v>
      </c>
      <c r="BF1236" s="16">
        <f t="shared" si="723"/>
        <v>1.608607314841775</v>
      </c>
      <c r="BG1236" s="8">
        <f t="shared" si="724"/>
        <v>-0.35</v>
      </c>
      <c r="BH1236" s="13" t="s">
        <v>367</v>
      </c>
      <c r="BI1236" s="8"/>
      <c r="BJ1236" s="16"/>
      <c r="BK1236" s="8"/>
      <c r="BL1236" s="13"/>
      <c r="BM1236" s="16"/>
      <c r="BN1236" s="16"/>
      <c r="BO1236" s="18"/>
    </row>
    <row r="1237" spans="1:69" s="14" customFormat="1" x14ac:dyDescent="0.3">
      <c r="A1237" s="20">
        <v>1235</v>
      </c>
      <c r="B1237" s="2" t="s">
        <v>358</v>
      </c>
      <c r="C1237" s="2">
        <v>2017</v>
      </c>
      <c r="D1237" s="2" t="s">
        <v>203</v>
      </c>
      <c r="E1237" s="10" t="s">
        <v>359</v>
      </c>
      <c r="F1237" s="20" t="s">
        <v>29</v>
      </c>
      <c r="G1237" s="2" t="s">
        <v>365</v>
      </c>
      <c r="H1237" s="2" t="str">
        <f>'PFAS Properties'!$B$60</f>
        <v>PFHxPA</v>
      </c>
      <c r="I1237" s="2" t="str">
        <f>'PFAS Properties'!$C$60</f>
        <v>PFPA</v>
      </c>
      <c r="J1237" s="2" t="str">
        <f>'PFAS Properties'!$D$60</f>
        <v>C6H2F13O3P</v>
      </c>
      <c r="K1237" s="25">
        <f>'PFAS Properties'!$P$60</f>
        <v>399.95329999999996</v>
      </c>
      <c r="L1237" s="2">
        <f>'PFAS Properties'!$X$60</f>
        <v>2.1</v>
      </c>
      <c r="M1237" s="2">
        <f>'PFAS Properties'!$Y$60</f>
        <v>2.4</v>
      </c>
      <c r="N1237" s="33">
        <v>0</v>
      </c>
      <c r="O1237" s="33">
        <v>0</v>
      </c>
      <c r="P1237" s="33">
        <v>0</v>
      </c>
      <c r="Q1237" s="33">
        <f t="shared" si="710"/>
        <v>2.5118233365656961E-5</v>
      </c>
      <c r="R1237" s="33">
        <f t="shared" si="711"/>
        <v>0.99997488145041469</v>
      </c>
      <c r="S1237" s="33">
        <f t="shared" si="712"/>
        <v>3.1621982283401642E-10</v>
      </c>
      <c r="T1237" s="8">
        <f t="shared" si="713"/>
        <v>1.0000000000000002</v>
      </c>
      <c r="U1237" s="33">
        <f t="shared" si="714"/>
        <v>0</v>
      </c>
      <c r="V1237" s="33">
        <f t="shared" si="715"/>
        <v>-1.9999748811341951</v>
      </c>
      <c r="W1237" s="33">
        <f t="shared" si="716"/>
        <v>397.95332511886579</v>
      </c>
      <c r="X1237" s="33">
        <v>96485</v>
      </c>
      <c r="Y1237" s="16">
        <f t="shared" si="717"/>
        <v>-484.90002275667581</v>
      </c>
      <c r="Z1237" s="16">
        <v>6</v>
      </c>
      <c r="AA1237" s="16">
        <v>13</v>
      </c>
      <c r="AB1237" s="8">
        <f t="shared" si="718"/>
        <v>0.291497975708502</v>
      </c>
      <c r="AC1237" s="16">
        <f t="shared" si="719"/>
        <v>61.757210154285524</v>
      </c>
      <c r="AD1237" s="20">
        <f>'PFAS Properties'!$W$60</f>
        <v>6</v>
      </c>
      <c r="AE1237" s="8">
        <f>'PFAS Properties'!$S$60</f>
        <v>3.8720979742742268</v>
      </c>
      <c r="AF1237" s="2">
        <f>'PFAS Properties'!$V$60</f>
        <v>3</v>
      </c>
      <c r="AG1237" s="24">
        <v>7</v>
      </c>
      <c r="AH1237" s="2" t="s">
        <v>363</v>
      </c>
      <c r="AI1237" s="2" t="s">
        <v>363</v>
      </c>
      <c r="AJ1237" s="2" t="s">
        <v>363</v>
      </c>
      <c r="AK1237" s="2" t="s">
        <v>363</v>
      </c>
      <c r="AL1237" s="2" t="s">
        <v>363</v>
      </c>
      <c r="AM1237" s="2" t="s">
        <v>363</v>
      </c>
      <c r="AN1237" s="2" t="s">
        <v>363</v>
      </c>
      <c r="AO1237" s="2" t="s">
        <v>363</v>
      </c>
      <c r="AP1237" s="15">
        <v>23.3</v>
      </c>
      <c r="AQ1237" s="2" t="s">
        <v>363</v>
      </c>
      <c r="AR1237" s="16">
        <v>28</v>
      </c>
      <c r="AS1237" s="16">
        <v>48</v>
      </c>
      <c r="AT1237" s="16">
        <v>22</v>
      </c>
      <c r="AU1237" s="2" t="s">
        <v>363</v>
      </c>
      <c r="AV1237" s="16">
        <f t="shared" si="720"/>
        <v>98</v>
      </c>
      <c r="AW1237" s="20">
        <v>1.1000000000000001</v>
      </c>
      <c r="AX1237" s="8">
        <f t="shared" si="721"/>
        <v>1.1000000000000001E-2</v>
      </c>
      <c r="AY1237" s="8" t="s">
        <v>364</v>
      </c>
      <c r="AZ1237" s="16">
        <v>100</v>
      </c>
      <c r="BA1237" s="16" t="s">
        <v>55</v>
      </c>
      <c r="BB1237" s="16">
        <v>500</v>
      </c>
      <c r="BC1237" s="16">
        <v>50000</v>
      </c>
      <c r="BD1237" s="18">
        <f>10^-0.23</f>
        <v>0.58884365535558891</v>
      </c>
      <c r="BE1237" s="16">
        <f t="shared" si="722"/>
        <v>53.531241395962624</v>
      </c>
      <c r="BF1237" s="16">
        <f t="shared" si="723"/>
        <v>1.7286073148417749</v>
      </c>
      <c r="BG1237" s="8">
        <f t="shared" si="724"/>
        <v>-0.23000000000000004</v>
      </c>
      <c r="BH1237" s="13" t="s">
        <v>367</v>
      </c>
      <c r="BI1237" s="8"/>
      <c r="BJ1237" s="16"/>
      <c r="BK1237" s="8"/>
      <c r="BL1237" s="13"/>
      <c r="BM1237" s="16"/>
      <c r="BN1237" s="16"/>
      <c r="BO1237" s="18"/>
    </row>
    <row r="1238" spans="1:69" s="14" customFormat="1" x14ac:dyDescent="0.3">
      <c r="A1238" s="20">
        <v>1236</v>
      </c>
      <c r="B1238" s="2" t="s">
        <v>358</v>
      </c>
      <c r="C1238" s="2">
        <v>2017</v>
      </c>
      <c r="D1238" s="2" t="s">
        <v>203</v>
      </c>
      <c r="E1238" s="10" t="s">
        <v>359</v>
      </c>
      <c r="F1238" s="20" t="s">
        <v>29</v>
      </c>
      <c r="G1238" s="2" t="s">
        <v>89</v>
      </c>
      <c r="H1238" s="2" t="str">
        <f>'PFAS Properties'!$B$60</f>
        <v>PFHxPA</v>
      </c>
      <c r="I1238" s="2" t="str">
        <f>'PFAS Properties'!$C$60</f>
        <v>PFPA</v>
      </c>
      <c r="J1238" s="2" t="str">
        <f>'PFAS Properties'!$D$60</f>
        <v>C6H2F13O3P</v>
      </c>
      <c r="K1238" s="25">
        <f>'PFAS Properties'!$P$60</f>
        <v>399.95329999999996</v>
      </c>
      <c r="L1238" s="2">
        <f>'PFAS Properties'!$X$60</f>
        <v>2.1</v>
      </c>
      <c r="M1238" s="2">
        <f>'PFAS Properties'!$Y$60</f>
        <v>2.4</v>
      </c>
      <c r="N1238" s="33">
        <v>0</v>
      </c>
      <c r="O1238" s="33">
        <v>0</v>
      </c>
      <c r="P1238" s="33">
        <v>0</v>
      </c>
      <c r="Q1238" s="33">
        <f t="shared" si="710"/>
        <v>3.8257278528043545E-2</v>
      </c>
      <c r="R1238" s="33">
        <f t="shared" si="711"/>
        <v>0.96097938841075381</v>
      </c>
      <c r="S1238" s="33">
        <f t="shared" si="712"/>
        <v>7.6333306120273325E-4</v>
      </c>
      <c r="T1238" s="8">
        <f t="shared" si="713"/>
        <v>1</v>
      </c>
      <c r="U1238" s="33">
        <f t="shared" si="714"/>
        <v>0</v>
      </c>
      <c r="V1238" s="33">
        <f t="shared" si="715"/>
        <v>-1.9602160553495511</v>
      </c>
      <c r="W1238" s="33">
        <f t="shared" si="716"/>
        <v>397.99308394465044</v>
      </c>
      <c r="X1238" s="33">
        <v>96485</v>
      </c>
      <c r="Y1238" s="16">
        <f t="shared" si="717"/>
        <v>-475.21289622888082</v>
      </c>
      <c r="Z1238" s="16">
        <v>6</v>
      </c>
      <c r="AA1238" s="16">
        <v>13</v>
      </c>
      <c r="AB1238" s="8">
        <f t="shared" si="718"/>
        <v>0.291497975708502</v>
      </c>
      <c r="AC1238" s="16">
        <f t="shared" si="719"/>
        <v>61.757210154285524</v>
      </c>
      <c r="AD1238" s="20">
        <f>'PFAS Properties'!$W$60</f>
        <v>6</v>
      </c>
      <c r="AE1238" s="8">
        <f>'PFAS Properties'!$S$60</f>
        <v>3.8720979742742268</v>
      </c>
      <c r="AF1238" s="2">
        <f>'PFAS Properties'!$V$60</f>
        <v>3</v>
      </c>
      <c r="AG1238" s="24">
        <v>3.8</v>
      </c>
      <c r="AH1238" s="2" t="s">
        <v>363</v>
      </c>
      <c r="AI1238" s="2" t="s">
        <v>363</v>
      </c>
      <c r="AJ1238" s="2" t="s">
        <v>363</v>
      </c>
      <c r="AK1238" s="2" t="s">
        <v>363</v>
      </c>
      <c r="AL1238" s="2" t="s">
        <v>363</v>
      </c>
      <c r="AM1238" s="2" t="s">
        <v>363</v>
      </c>
      <c r="AN1238" s="2" t="s">
        <v>363</v>
      </c>
      <c r="AO1238" s="2" t="s">
        <v>363</v>
      </c>
      <c r="AP1238" s="15">
        <v>23.89</v>
      </c>
      <c r="AQ1238" s="2" t="s">
        <v>363</v>
      </c>
      <c r="AR1238" s="16">
        <v>53</v>
      </c>
      <c r="AS1238" s="16">
        <v>41</v>
      </c>
      <c r="AT1238" s="16">
        <v>6</v>
      </c>
      <c r="AU1238" s="2" t="s">
        <v>363</v>
      </c>
      <c r="AV1238" s="16">
        <f t="shared" si="720"/>
        <v>100</v>
      </c>
      <c r="AW1238" s="20">
        <v>3.6</v>
      </c>
      <c r="AX1238" s="8">
        <f t="shared" si="721"/>
        <v>3.6000000000000004E-2</v>
      </c>
      <c r="AY1238" s="13" t="s">
        <v>364</v>
      </c>
      <c r="AZ1238" s="16">
        <v>100</v>
      </c>
      <c r="BA1238" s="16" t="s">
        <v>55</v>
      </c>
      <c r="BB1238" s="16">
        <v>500</v>
      </c>
      <c r="BC1238" s="16">
        <v>50000</v>
      </c>
      <c r="BD1238" s="18">
        <f>10^1.44</f>
        <v>27.542287033381665</v>
      </c>
      <c r="BE1238" s="16">
        <f t="shared" si="722"/>
        <v>765.06352870504622</v>
      </c>
      <c r="BF1238" s="16">
        <f t="shared" si="723"/>
        <v>2.8836974992327127</v>
      </c>
      <c r="BG1238" s="8">
        <f t="shared" si="724"/>
        <v>1.44</v>
      </c>
      <c r="BH1238" s="13" t="s">
        <v>367</v>
      </c>
      <c r="BI1238" s="8"/>
      <c r="BJ1238" s="16"/>
      <c r="BK1238" s="8"/>
      <c r="BL1238" s="13"/>
      <c r="BM1238" s="16"/>
      <c r="BN1238" s="16"/>
      <c r="BO1238" s="18"/>
    </row>
    <row r="1239" spans="1:69" s="14" customFormat="1" x14ac:dyDescent="0.3">
      <c r="A1239" s="20">
        <v>1237</v>
      </c>
      <c r="B1239" s="2" t="s">
        <v>358</v>
      </c>
      <c r="C1239" s="2">
        <v>2017</v>
      </c>
      <c r="D1239" s="2" t="s">
        <v>203</v>
      </c>
      <c r="E1239" s="10" t="s">
        <v>359</v>
      </c>
      <c r="F1239" s="20" t="s">
        <v>29</v>
      </c>
      <c r="G1239" s="2" t="s">
        <v>361</v>
      </c>
      <c r="H1239" s="2" t="str">
        <f>'PFAS Properties'!$B$60</f>
        <v>PFHxPA</v>
      </c>
      <c r="I1239" s="2" t="str">
        <f>'PFAS Properties'!$C$60</f>
        <v>PFPA</v>
      </c>
      <c r="J1239" s="2" t="str">
        <f>'PFAS Properties'!$D$60</f>
        <v>C6H2F13O3P</v>
      </c>
      <c r="K1239" s="25">
        <f>'PFAS Properties'!$P$60</f>
        <v>399.95329999999996</v>
      </c>
      <c r="L1239" s="2">
        <f>'PFAS Properties'!$X$60</f>
        <v>2.1</v>
      </c>
      <c r="M1239" s="2">
        <f>'PFAS Properties'!$Y$60</f>
        <v>2.4</v>
      </c>
      <c r="N1239" s="33">
        <v>0</v>
      </c>
      <c r="O1239" s="33">
        <v>0</v>
      </c>
      <c r="P1239" s="33">
        <v>0</v>
      </c>
      <c r="Q1239" s="33">
        <f t="shared" si="710"/>
        <v>9.9004988115236631E-3</v>
      </c>
      <c r="R1239" s="33">
        <f t="shared" si="711"/>
        <v>0.99004988115236747</v>
      </c>
      <c r="S1239" s="33">
        <f t="shared" si="712"/>
        <v>4.9620036108776318E-5</v>
      </c>
      <c r="T1239" s="8">
        <f t="shared" si="713"/>
        <v>0.99999999999999989</v>
      </c>
      <c r="U1239" s="33">
        <f t="shared" si="714"/>
        <v>0</v>
      </c>
      <c r="V1239" s="33">
        <f t="shared" si="715"/>
        <v>-1.9900002611162586</v>
      </c>
      <c r="W1239" s="33">
        <f t="shared" si="716"/>
        <v>397.96329973888368</v>
      </c>
      <c r="X1239" s="33">
        <v>96485</v>
      </c>
      <c r="Y1239" s="16">
        <f t="shared" si="717"/>
        <v>-482.46955264413299</v>
      </c>
      <c r="Z1239" s="16">
        <v>6</v>
      </c>
      <c r="AA1239" s="16">
        <v>13</v>
      </c>
      <c r="AB1239" s="8">
        <f t="shared" si="718"/>
        <v>0.291497975708502</v>
      </c>
      <c r="AC1239" s="16">
        <f t="shared" si="719"/>
        <v>61.757210154285524</v>
      </c>
      <c r="AD1239" s="20">
        <f>'PFAS Properties'!$W$60</f>
        <v>6</v>
      </c>
      <c r="AE1239" s="8">
        <f>'PFAS Properties'!$S$60</f>
        <v>3.8720979742742268</v>
      </c>
      <c r="AF1239" s="2">
        <f>'PFAS Properties'!$V$60</f>
        <v>3</v>
      </c>
      <c r="AG1239" s="24">
        <v>4.4000000000000004</v>
      </c>
      <c r="AH1239" s="2" t="s">
        <v>363</v>
      </c>
      <c r="AI1239" s="2" t="s">
        <v>363</v>
      </c>
      <c r="AJ1239" s="2" t="s">
        <v>363</v>
      </c>
      <c r="AK1239" s="2" t="s">
        <v>363</v>
      </c>
      <c r="AL1239" s="2" t="s">
        <v>363</v>
      </c>
      <c r="AM1239" s="2" t="s">
        <v>363</v>
      </c>
      <c r="AN1239" s="2" t="s">
        <v>363</v>
      </c>
      <c r="AO1239" s="2" t="s">
        <v>363</v>
      </c>
      <c r="AP1239" s="15">
        <v>11.3</v>
      </c>
      <c r="AQ1239" s="2" t="s">
        <v>363</v>
      </c>
      <c r="AR1239" s="16">
        <v>58</v>
      </c>
      <c r="AS1239" s="16">
        <v>20</v>
      </c>
      <c r="AT1239" s="16">
        <v>22</v>
      </c>
      <c r="AU1239" s="2" t="s">
        <v>363</v>
      </c>
      <c r="AV1239" s="16">
        <f t="shared" si="720"/>
        <v>100</v>
      </c>
      <c r="AW1239" s="20">
        <v>10.199999999999999</v>
      </c>
      <c r="AX1239" s="8">
        <f t="shared" si="721"/>
        <v>0.10199999999999999</v>
      </c>
      <c r="AY1239" s="8" t="s">
        <v>364</v>
      </c>
      <c r="AZ1239" s="16">
        <v>100</v>
      </c>
      <c r="BA1239" s="16" t="s">
        <v>55</v>
      </c>
      <c r="BB1239" s="16">
        <v>500</v>
      </c>
      <c r="BC1239" s="16">
        <v>50000</v>
      </c>
      <c r="BD1239" s="18">
        <f>10^0.42</f>
        <v>2.6302679918953822</v>
      </c>
      <c r="BE1239" s="16">
        <f t="shared" si="722"/>
        <v>25.786941097013553</v>
      </c>
      <c r="BF1239" s="16">
        <f t="shared" si="723"/>
        <v>1.4113998282380826</v>
      </c>
      <c r="BG1239" s="8">
        <f t="shared" si="724"/>
        <v>0.42000000000000004</v>
      </c>
      <c r="BH1239" s="13" t="s">
        <v>367</v>
      </c>
      <c r="BI1239" s="8"/>
      <c r="BJ1239" s="16"/>
      <c r="BK1239" s="8"/>
      <c r="BL1239" s="13"/>
      <c r="BM1239" s="16"/>
      <c r="BN1239" s="16"/>
      <c r="BO1239" s="18"/>
    </row>
    <row r="1240" spans="1:69" s="14" customFormat="1" x14ac:dyDescent="0.3">
      <c r="A1240" s="20">
        <v>1238</v>
      </c>
      <c r="B1240" s="2" t="s">
        <v>358</v>
      </c>
      <c r="C1240" s="2">
        <v>2017</v>
      </c>
      <c r="D1240" s="2" t="s">
        <v>203</v>
      </c>
      <c r="E1240" s="10" t="s">
        <v>359</v>
      </c>
      <c r="F1240" s="20" t="s">
        <v>29</v>
      </c>
      <c r="G1240" s="2" t="s">
        <v>274</v>
      </c>
      <c r="H1240" s="2" t="str">
        <f>'PFAS Properties'!$B$60</f>
        <v>PFHxPA</v>
      </c>
      <c r="I1240" s="2" t="str">
        <f>'PFAS Properties'!$C$60</f>
        <v>PFPA</v>
      </c>
      <c r="J1240" s="2" t="str">
        <f>'PFAS Properties'!$D$60</f>
        <v>C6H2F13O3P</v>
      </c>
      <c r="K1240" s="25">
        <f>'PFAS Properties'!$P$60</f>
        <v>399.95329999999996</v>
      </c>
      <c r="L1240" s="2">
        <f>'PFAS Properties'!$X$60</f>
        <v>2.1</v>
      </c>
      <c r="M1240" s="2">
        <f>'PFAS Properties'!$Y$60</f>
        <v>2.4</v>
      </c>
      <c r="N1240" s="33">
        <v>0</v>
      </c>
      <c r="O1240" s="33">
        <v>0</v>
      </c>
      <c r="P1240" s="33">
        <v>0</v>
      </c>
      <c r="Q1240" s="33">
        <f t="shared" si="710"/>
        <v>1.9948642474204687E-4</v>
      </c>
      <c r="R1240" s="33">
        <f t="shared" si="711"/>
        <v>0.99980049362661549</v>
      </c>
      <c r="S1240" s="33">
        <f t="shared" si="712"/>
        <v>1.9948642474204673E-8</v>
      </c>
      <c r="T1240" s="8">
        <f t="shared" si="713"/>
        <v>1</v>
      </c>
      <c r="U1240" s="33">
        <f t="shared" si="714"/>
        <v>0</v>
      </c>
      <c r="V1240" s="33">
        <f t="shared" si="715"/>
        <v>-1.9998004736779731</v>
      </c>
      <c r="W1240" s="33">
        <f t="shared" si="716"/>
        <v>397.95349952632199</v>
      </c>
      <c r="X1240" s="33">
        <v>96485</v>
      </c>
      <c r="Y1240" s="16">
        <f t="shared" si="717"/>
        <v>-484.85752464166188</v>
      </c>
      <c r="Z1240" s="16">
        <v>6</v>
      </c>
      <c r="AA1240" s="16">
        <v>13</v>
      </c>
      <c r="AB1240" s="8">
        <f t="shared" si="718"/>
        <v>0.291497975708502</v>
      </c>
      <c r="AC1240" s="16">
        <f t="shared" si="719"/>
        <v>61.757210154285524</v>
      </c>
      <c r="AD1240" s="20">
        <f>'PFAS Properties'!$W$60</f>
        <v>6</v>
      </c>
      <c r="AE1240" s="8">
        <f>'PFAS Properties'!$S$60</f>
        <v>3.8720979742742268</v>
      </c>
      <c r="AF1240" s="2">
        <f>'PFAS Properties'!$V$60</f>
        <v>3</v>
      </c>
      <c r="AG1240" s="24">
        <v>6.1</v>
      </c>
      <c r="AH1240" s="2" t="s">
        <v>363</v>
      </c>
      <c r="AI1240" s="2" t="s">
        <v>363</v>
      </c>
      <c r="AJ1240" s="2" t="s">
        <v>363</v>
      </c>
      <c r="AK1240" s="2" t="s">
        <v>363</v>
      </c>
      <c r="AL1240" s="2" t="s">
        <v>363</v>
      </c>
      <c r="AM1240" s="2" t="s">
        <v>363</v>
      </c>
      <c r="AN1240" s="2" t="s">
        <v>363</v>
      </c>
      <c r="AO1240" s="2" t="s">
        <v>363</v>
      </c>
      <c r="AP1240" s="15">
        <v>24.2</v>
      </c>
      <c r="AQ1240" s="2" t="s">
        <v>363</v>
      </c>
      <c r="AR1240" s="16">
        <v>10</v>
      </c>
      <c r="AS1240" s="16">
        <v>61</v>
      </c>
      <c r="AT1240" s="16">
        <v>27</v>
      </c>
      <c r="AU1240" s="2" t="s">
        <v>363</v>
      </c>
      <c r="AV1240" s="16">
        <f t="shared" si="720"/>
        <v>98</v>
      </c>
      <c r="AW1240" s="20">
        <v>2.63</v>
      </c>
      <c r="AX1240" s="8">
        <f t="shared" si="721"/>
        <v>2.63E-2</v>
      </c>
      <c r="AY1240" s="8" t="s">
        <v>364</v>
      </c>
      <c r="AZ1240" s="16">
        <v>100</v>
      </c>
      <c r="BA1240" s="16" t="s">
        <v>55</v>
      </c>
      <c r="BB1240" s="16">
        <v>500</v>
      </c>
      <c r="BC1240" s="16">
        <v>50000</v>
      </c>
      <c r="BD1240" s="18">
        <f>10^0.02</f>
        <v>1.0471285480508996</v>
      </c>
      <c r="BE1240" s="16">
        <f t="shared" si="722"/>
        <v>39.814773690148272</v>
      </c>
      <c r="BF1240" s="16">
        <f t="shared" si="723"/>
        <v>1.6000442515102422</v>
      </c>
      <c r="BG1240" s="8">
        <f t="shared" si="724"/>
        <v>2.0000000000000032E-2</v>
      </c>
      <c r="BH1240" s="13" t="s">
        <v>367</v>
      </c>
      <c r="BI1240" s="8"/>
      <c r="BJ1240" s="16"/>
      <c r="BK1240" s="8"/>
      <c r="BL1240" s="13"/>
      <c r="BM1240" s="16"/>
      <c r="BN1240" s="16"/>
      <c r="BO1240" s="18"/>
    </row>
    <row r="1241" spans="1:69" s="14" customFormat="1" x14ac:dyDescent="0.3">
      <c r="A1241" s="20">
        <v>1239</v>
      </c>
      <c r="B1241" s="2" t="s">
        <v>358</v>
      </c>
      <c r="C1241" s="2">
        <v>2017</v>
      </c>
      <c r="D1241" s="2" t="s">
        <v>203</v>
      </c>
      <c r="E1241" s="10" t="s">
        <v>359</v>
      </c>
      <c r="F1241" s="20" t="s">
        <v>29</v>
      </c>
      <c r="G1241" s="2" t="s">
        <v>362</v>
      </c>
      <c r="H1241" s="2" t="str">
        <f>'PFAS Properties'!$B$60</f>
        <v>PFHxPA</v>
      </c>
      <c r="I1241" s="2" t="str">
        <f>'PFAS Properties'!$C$60</f>
        <v>PFPA</v>
      </c>
      <c r="J1241" s="2" t="str">
        <f>'PFAS Properties'!$D$60</f>
        <v>C6H2F13O3P</v>
      </c>
      <c r="K1241" s="25">
        <f>'PFAS Properties'!$P$60</f>
        <v>399.95329999999996</v>
      </c>
      <c r="L1241" s="2">
        <f>'PFAS Properties'!$X$60</f>
        <v>2.1</v>
      </c>
      <c r="M1241" s="2">
        <f>'PFAS Properties'!$Y$60</f>
        <v>2.4</v>
      </c>
      <c r="N1241" s="33">
        <v>0</v>
      </c>
      <c r="O1241" s="33">
        <v>0</v>
      </c>
      <c r="P1241" s="33">
        <v>0</v>
      </c>
      <c r="Q1241" s="33">
        <f t="shared" si="710"/>
        <v>7.8804366129203024E-3</v>
      </c>
      <c r="R1241" s="33">
        <f t="shared" si="711"/>
        <v>0.9920881908038528</v>
      </c>
      <c r="S1241" s="33">
        <f t="shared" si="712"/>
        <v>3.1372583226958831E-5</v>
      </c>
      <c r="T1241" s="8">
        <f t="shared" si="713"/>
        <v>1</v>
      </c>
      <c r="U1241" s="33">
        <f t="shared" si="714"/>
        <v>0</v>
      </c>
      <c r="V1241" s="33">
        <f t="shared" si="715"/>
        <v>-1.992056818220626</v>
      </c>
      <c r="W1241" s="33">
        <f t="shared" si="716"/>
        <v>397.96124318177937</v>
      </c>
      <c r="X1241" s="33">
        <v>96485</v>
      </c>
      <c r="Y1241" s="16">
        <f t="shared" si="717"/>
        <v>-482.97065455246604</v>
      </c>
      <c r="Z1241" s="16">
        <v>6</v>
      </c>
      <c r="AA1241" s="16">
        <v>13</v>
      </c>
      <c r="AB1241" s="8">
        <f t="shared" si="718"/>
        <v>0.291497975708502</v>
      </c>
      <c r="AC1241" s="16">
        <f t="shared" si="719"/>
        <v>61.757210154285524</v>
      </c>
      <c r="AD1241" s="20">
        <f>'PFAS Properties'!$W$60</f>
        <v>6</v>
      </c>
      <c r="AE1241" s="8">
        <f>'PFAS Properties'!$S$60</f>
        <v>3.8720979742742268</v>
      </c>
      <c r="AF1241" s="2">
        <f>'PFAS Properties'!$V$60</f>
        <v>3</v>
      </c>
      <c r="AG1241" s="24">
        <v>4.5</v>
      </c>
      <c r="AH1241" s="2" t="s">
        <v>363</v>
      </c>
      <c r="AI1241" s="2" t="s">
        <v>363</v>
      </c>
      <c r="AJ1241" s="2" t="s">
        <v>363</v>
      </c>
      <c r="AK1241" s="2" t="s">
        <v>363</v>
      </c>
      <c r="AL1241" s="2" t="s">
        <v>363</v>
      </c>
      <c r="AM1241" s="2" t="s">
        <v>363</v>
      </c>
      <c r="AN1241" s="2" t="s">
        <v>363</v>
      </c>
      <c r="AO1241" s="2" t="s">
        <v>363</v>
      </c>
      <c r="AP1241" s="72">
        <v>21.496500000000001</v>
      </c>
      <c r="AQ1241" s="70" t="s">
        <v>752</v>
      </c>
      <c r="AR1241" s="71">
        <v>41.737499999999997</v>
      </c>
      <c r="AS1241" s="71">
        <v>35.036999999999999</v>
      </c>
      <c r="AT1241" s="71">
        <v>21.971</v>
      </c>
      <c r="AU1241" s="70" t="s">
        <v>752</v>
      </c>
      <c r="AV1241" s="16">
        <f t="shared" si="720"/>
        <v>98.745499999999993</v>
      </c>
      <c r="AW1241" s="20">
        <v>45.7</v>
      </c>
      <c r="AX1241" s="8">
        <f t="shared" si="721"/>
        <v>0.45700000000000002</v>
      </c>
      <c r="AY1241" s="8" t="s">
        <v>364</v>
      </c>
      <c r="AZ1241" s="16">
        <v>100</v>
      </c>
      <c r="BA1241" s="16" t="s">
        <v>55</v>
      </c>
      <c r="BB1241" s="16">
        <v>500</v>
      </c>
      <c r="BC1241" s="16">
        <v>50000</v>
      </c>
      <c r="BD1241" s="18">
        <f>10^0.55</f>
        <v>3.5481338923357555</v>
      </c>
      <c r="BE1241" s="16">
        <f t="shared" si="722"/>
        <v>7.7639691298375393</v>
      </c>
      <c r="BF1241" s="16">
        <f t="shared" si="723"/>
        <v>0.89008379993014985</v>
      </c>
      <c r="BG1241" s="8">
        <f t="shared" si="724"/>
        <v>0.55000000000000016</v>
      </c>
      <c r="BH1241" s="13" t="s">
        <v>367</v>
      </c>
      <c r="BI1241" s="8"/>
      <c r="BJ1241" s="16"/>
      <c r="BK1241" s="8"/>
      <c r="BL1241" s="13"/>
      <c r="BM1241" s="16"/>
      <c r="BN1241" s="16"/>
      <c r="BO1241" s="18"/>
    </row>
    <row r="1242" spans="1:69" s="14" customFormat="1" x14ac:dyDescent="0.3">
      <c r="A1242" s="20">
        <v>1240</v>
      </c>
      <c r="B1242" s="2" t="s">
        <v>358</v>
      </c>
      <c r="C1242" s="2">
        <v>2017</v>
      </c>
      <c r="D1242" s="2" t="s">
        <v>203</v>
      </c>
      <c r="E1242" s="10" t="s">
        <v>359</v>
      </c>
      <c r="F1242" s="20" t="s">
        <v>29</v>
      </c>
      <c r="G1242" s="2" t="s">
        <v>360</v>
      </c>
      <c r="H1242" s="2" t="str">
        <f>'PFAS Properties'!$B$61</f>
        <v>PFOPA</v>
      </c>
      <c r="I1242" s="2" t="str">
        <f>'PFAS Properties'!$C$61</f>
        <v>PFPA</v>
      </c>
      <c r="J1242" s="2" t="str">
        <f>'PFAS Properties'!$D$61</f>
        <v>C8H2F17O3P</v>
      </c>
      <c r="K1242" s="25">
        <f>'PFAS Properties'!$P$61</f>
        <v>499.94689999999997</v>
      </c>
      <c r="L1242" s="2">
        <f>'PFAS Properties'!$X$61</f>
        <v>2.4</v>
      </c>
      <c r="M1242" s="2">
        <f>'PFAS Properties'!$Y$61</f>
        <v>4.5</v>
      </c>
      <c r="N1242" s="33">
        <v>0</v>
      </c>
      <c r="O1242" s="33">
        <v>0</v>
      </c>
      <c r="P1242" s="33">
        <v>0</v>
      </c>
      <c r="Q1242" s="33">
        <f t="shared" si="710"/>
        <v>0.16629369127298774</v>
      </c>
      <c r="R1242" s="33">
        <f t="shared" si="711"/>
        <v>0.83344275098776444</v>
      </c>
      <c r="S1242" s="33">
        <f t="shared" si="712"/>
        <v>2.6355773924778835E-4</v>
      </c>
      <c r="T1242" s="8">
        <f t="shared" si="713"/>
        <v>1</v>
      </c>
      <c r="U1242" s="33">
        <f t="shared" si="714"/>
        <v>0</v>
      </c>
      <c r="V1242" s="33">
        <f t="shared" si="715"/>
        <v>-1.8331791932485166</v>
      </c>
      <c r="W1242" s="33">
        <f t="shared" si="716"/>
        <v>498.11372080675142</v>
      </c>
      <c r="X1242" s="33">
        <v>96485</v>
      </c>
      <c r="Y1242" s="16">
        <f t="shared" si="717"/>
        <v>-355.08817981186149</v>
      </c>
      <c r="Z1242" s="16">
        <v>8</v>
      </c>
      <c r="AA1242" s="16">
        <v>17</v>
      </c>
      <c r="AB1242" s="8">
        <f t="shared" si="718"/>
        <v>0.29721362229102166</v>
      </c>
      <c r="AC1242" s="16">
        <f t="shared" si="719"/>
        <v>64.606861248664615</v>
      </c>
      <c r="AD1242" s="20">
        <f>'PFAS Properties'!$W$61</f>
        <v>8</v>
      </c>
      <c r="AE1242" s="8">
        <f>'PFAS Properties'!$S$61</f>
        <v>2.0969100130080562</v>
      </c>
      <c r="AF1242" s="2">
        <f>'PFAS Properties'!$V$61</f>
        <v>4.3</v>
      </c>
      <c r="AG1242" s="24">
        <v>5.2</v>
      </c>
      <c r="AH1242" s="2" t="s">
        <v>363</v>
      </c>
      <c r="AI1242" s="2" t="s">
        <v>363</v>
      </c>
      <c r="AJ1242" s="2" t="s">
        <v>363</v>
      </c>
      <c r="AK1242" s="2" t="s">
        <v>363</v>
      </c>
      <c r="AL1242" s="2" t="s">
        <v>363</v>
      </c>
      <c r="AM1242" s="2" t="s">
        <v>363</v>
      </c>
      <c r="AN1242" s="2" t="s">
        <v>363</v>
      </c>
      <c r="AO1242" s="2" t="s">
        <v>363</v>
      </c>
      <c r="AP1242" s="15">
        <v>9.6</v>
      </c>
      <c r="AQ1242" s="2" t="s">
        <v>363</v>
      </c>
      <c r="AR1242" s="16">
        <v>63</v>
      </c>
      <c r="AS1242" s="16">
        <v>32</v>
      </c>
      <c r="AT1242" s="16">
        <v>5</v>
      </c>
      <c r="AU1242" s="2" t="s">
        <v>363</v>
      </c>
      <c r="AV1242" s="16">
        <f t="shared" si="720"/>
        <v>100</v>
      </c>
      <c r="AW1242" s="20">
        <v>1</v>
      </c>
      <c r="AX1242" s="8">
        <f t="shared" si="721"/>
        <v>0.01</v>
      </c>
      <c r="AY1242" s="13" t="s">
        <v>364</v>
      </c>
      <c r="AZ1242" s="16">
        <f>5/0.05</f>
        <v>100</v>
      </c>
      <c r="BA1242" s="16" t="s">
        <v>55</v>
      </c>
      <c r="BB1242" s="16">
        <v>500</v>
      </c>
      <c r="BC1242" s="16">
        <v>50000</v>
      </c>
      <c r="BD1242" s="18">
        <f>10^0.73</f>
        <v>5.3703179637025285</v>
      </c>
      <c r="BE1242" s="16">
        <f t="shared" si="722"/>
        <v>537.03179637025278</v>
      </c>
      <c r="BF1242" s="16">
        <f t="shared" si="723"/>
        <v>2.73</v>
      </c>
      <c r="BG1242" s="8">
        <f t="shared" si="724"/>
        <v>0.73000000000000009</v>
      </c>
      <c r="BH1242" s="13" t="s">
        <v>367</v>
      </c>
      <c r="BI1242" s="8"/>
      <c r="BJ1242" s="16"/>
      <c r="BK1242" s="8"/>
      <c r="BL1242" s="13"/>
      <c r="BM1242" s="16"/>
      <c r="BN1242" s="16"/>
      <c r="BO1242" s="18"/>
    </row>
    <row r="1243" spans="1:69" s="14" customFormat="1" x14ac:dyDescent="0.3">
      <c r="A1243" s="20">
        <v>1241</v>
      </c>
      <c r="B1243" s="2" t="s">
        <v>358</v>
      </c>
      <c r="C1243" s="2">
        <v>2017</v>
      </c>
      <c r="D1243" s="2" t="s">
        <v>203</v>
      </c>
      <c r="E1243" s="10" t="s">
        <v>359</v>
      </c>
      <c r="F1243" s="20" t="s">
        <v>29</v>
      </c>
      <c r="G1243" s="2" t="s">
        <v>88</v>
      </c>
      <c r="H1243" s="2" t="str">
        <f>'PFAS Properties'!$B$61</f>
        <v>PFOPA</v>
      </c>
      <c r="I1243" s="2" t="str">
        <f>'PFAS Properties'!$C$61</f>
        <v>PFPA</v>
      </c>
      <c r="J1243" s="2" t="str">
        <f>'PFAS Properties'!$D$61</f>
        <v>C8H2F17O3P</v>
      </c>
      <c r="K1243" s="25">
        <f>'PFAS Properties'!$P$61</f>
        <v>499.94689999999997</v>
      </c>
      <c r="L1243" s="2">
        <f>'PFAS Properties'!$X$61</f>
        <v>2.4</v>
      </c>
      <c r="M1243" s="2">
        <f>'PFAS Properties'!$Y$61</f>
        <v>4.5</v>
      </c>
      <c r="N1243" s="33">
        <v>0</v>
      </c>
      <c r="O1243" s="33">
        <v>0</v>
      </c>
      <c r="P1243" s="33">
        <v>0</v>
      </c>
      <c r="Q1243" s="33">
        <f t="shared" si="710"/>
        <v>7.8806799317604221E-3</v>
      </c>
      <c r="R1243" s="33">
        <f t="shared" si="711"/>
        <v>0.99211882283095132</v>
      </c>
      <c r="S1243" s="33">
        <f t="shared" si="712"/>
        <v>4.9723728824419116E-7</v>
      </c>
      <c r="T1243" s="8">
        <f t="shared" si="713"/>
        <v>1</v>
      </c>
      <c r="U1243" s="33">
        <f t="shared" si="714"/>
        <v>0</v>
      </c>
      <c r="V1243" s="33">
        <f t="shared" si="715"/>
        <v>-1.992118325593663</v>
      </c>
      <c r="W1243" s="33">
        <f t="shared" si="716"/>
        <v>497.95478167440632</v>
      </c>
      <c r="X1243" s="33">
        <v>96485</v>
      </c>
      <c r="Y1243" s="16">
        <f t="shared" si="717"/>
        <v>-385.99797354809431</v>
      </c>
      <c r="Z1243" s="16">
        <v>8</v>
      </c>
      <c r="AA1243" s="16">
        <v>17</v>
      </c>
      <c r="AB1243" s="8">
        <f t="shared" si="718"/>
        <v>0.29721362229102166</v>
      </c>
      <c r="AC1243" s="16">
        <f t="shared" si="719"/>
        <v>64.606861248664615</v>
      </c>
      <c r="AD1243" s="20">
        <f>'PFAS Properties'!$W$61</f>
        <v>8</v>
      </c>
      <c r="AE1243" s="8">
        <f>'PFAS Properties'!$S$61</f>
        <v>2.0969100130080562</v>
      </c>
      <c r="AF1243" s="2">
        <f>'PFAS Properties'!$V$61</f>
        <v>4.3</v>
      </c>
      <c r="AG1243" s="24">
        <v>6.6</v>
      </c>
      <c r="AH1243" s="2" t="s">
        <v>363</v>
      </c>
      <c r="AI1243" s="2" t="s">
        <v>363</v>
      </c>
      <c r="AJ1243" s="2" t="s">
        <v>363</v>
      </c>
      <c r="AK1243" s="2" t="s">
        <v>363</v>
      </c>
      <c r="AL1243" s="2" t="s">
        <v>363</v>
      </c>
      <c r="AM1243" s="2" t="s">
        <v>363</v>
      </c>
      <c r="AN1243" s="2" t="s">
        <v>363</v>
      </c>
      <c r="AO1243" s="2" t="s">
        <v>363</v>
      </c>
      <c r="AP1243" s="15">
        <v>33.5</v>
      </c>
      <c r="AQ1243" s="2" t="s">
        <v>363</v>
      </c>
      <c r="AR1243" s="16">
        <v>25</v>
      </c>
      <c r="AS1243" s="16">
        <v>38</v>
      </c>
      <c r="AT1243" s="16">
        <v>37</v>
      </c>
      <c r="AU1243" s="2" t="s">
        <v>363</v>
      </c>
      <c r="AV1243" s="16">
        <f t="shared" si="720"/>
        <v>100</v>
      </c>
      <c r="AW1243" s="20">
        <v>1.1000000000000001</v>
      </c>
      <c r="AX1243" s="8">
        <f t="shared" si="721"/>
        <v>1.1000000000000001E-2</v>
      </c>
      <c r="AY1243" s="13" t="s">
        <v>364</v>
      </c>
      <c r="AZ1243" s="16">
        <v>100</v>
      </c>
      <c r="BA1243" s="16" t="s">
        <v>55</v>
      </c>
      <c r="BB1243" s="16">
        <v>500</v>
      </c>
      <c r="BC1243" s="16">
        <v>50000</v>
      </c>
      <c r="BD1243" s="18">
        <f>10^0.93</f>
        <v>8.5113803820237681</v>
      </c>
      <c r="BE1243" s="16">
        <f t="shared" si="722"/>
        <v>773.76185291125159</v>
      </c>
      <c r="BF1243" s="16">
        <f t="shared" si="723"/>
        <v>2.8886073148417752</v>
      </c>
      <c r="BG1243" s="8">
        <f t="shared" si="724"/>
        <v>0.93000000000000016</v>
      </c>
      <c r="BH1243" s="13" t="s">
        <v>367</v>
      </c>
      <c r="BI1243" s="8"/>
      <c r="BJ1243" s="16"/>
      <c r="BK1243" s="8"/>
      <c r="BL1243" s="13"/>
      <c r="BM1243" s="16"/>
      <c r="BN1243" s="16"/>
      <c r="BO1243" s="18"/>
    </row>
    <row r="1244" spans="1:69" s="14" customFormat="1" x14ac:dyDescent="0.3">
      <c r="A1244" s="20">
        <v>1242</v>
      </c>
      <c r="B1244" s="2" t="s">
        <v>358</v>
      </c>
      <c r="C1244" s="2">
        <v>2017</v>
      </c>
      <c r="D1244" s="2" t="s">
        <v>203</v>
      </c>
      <c r="E1244" s="10" t="s">
        <v>359</v>
      </c>
      <c r="F1244" s="20" t="s">
        <v>29</v>
      </c>
      <c r="G1244" s="2" t="s">
        <v>365</v>
      </c>
      <c r="H1244" s="2" t="str">
        <f>'PFAS Properties'!$B$61</f>
        <v>PFOPA</v>
      </c>
      <c r="I1244" s="2" t="str">
        <f>'PFAS Properties'!$C$61</f>
        <v>PFPA</v>
      </c>
      <c r="J1244" s="2" t="str">
        <f>'PFAS Properties'!$D$61</f>
        <v>C8H2F17O3P</v>
      </c>
      <c r="K1244" s="25">
        <f>'PFAS Properties'!$P$61</f>
        <v>499.94689999999997</v>
      </c>
      <c r="L1244" s="2">
        <f>'PFAS Properties'!$X$61</f>
        <v>2.4</v>
      </c>
      <c r="M1244" s="2">
        <f>'PFAS Properties'!$Y$61</f>
        <v>4.5</v>
      </c>
      <c r="N1244" s="33">
        <v>0</v>
      </c>
      <c r="O1244" s="33">
        <v>0</v>
      </c>
      <c r="P1244" s="33">
        <v>0</v>
      </c>
      <c r="Q1244" s="33">
        <f t="shared" si="710"/>
        <v>3.152308933652738E-3</v>
      </c>
      <c r="R1244" s="33">
        <f t="shared" si="711"/>
        <v>0.99684761188392701</v>
      </c>
      <c r="S1244" s="33">
        <f t="shared" si="712"/>
        <v>7.9182420383687557E-8</v>
      </c>
      <c r="T1244" s="8">
        <f t="shared" si="713"/>
        <v>1</v>
      </c>
      <c r="U1244" s="33">
        <f t="shared" si="714"/>
        <v>0</v>
      </c>
      <c r="V1244" s="33">
        <f t="shared" si="715"/>
        <v>-1.9968475327015067</v>
      </c>
      <c r="W1244" s="33">
        <f t="shared" si="716"/>
        <v>497.95005246729858</v>
      </c>
      <c r="X1244" s="33">
        <v>96485</v>
      </c>
      <c r="Y1244" s="16">
        <f t="shared" si="717"/>
        <v>-386.91799154967987</v>
      </c>
      <c r="Z1244" s="16">
        <v>8</v>
      </c>
      <c r="AA1244" s="16">
        <v>17</v>
      </c>
      <c r="AB1244" s="8">
        <f t="shared" si="718"/>
        <v>0.29721362229102166</v>
      </c>
      <c r="AC1244" s="16">
        <f t="shared" si="719"/>
        <v>64.606861248664615</v>
      </c>
      <c r="AD1244" s="20">
        <f>'PFAS Properties'!$W$61</f>
        <v>8</v>
      </c>
      <c r="AE1244" s="8">
        <f>'PFAS Properties'!$S$61</f>
        <v>2.0969100130080562</v>
      </c>
      <c r="AF1244" s="2">
        <f>'PFAS Properties'!$V$61</f>
        <v>4.3</v>
      </c>
      <c r="AG1244" s="24">
        <v>7</v>
      </c>
      <c r="AH1244" s="2" t="s">
        <v>363</v>
      </c>
      <c r="AI1244" s="2" t="s">
        <v>363</v>
      </c>
      <c r="AJ1244" s="2" t="s">
        <v>363</v>
      </c>
      <c r="AK1244" s="2" t="s">
        <v>363</v>
      </c>
      <c r="AL1244" s="2" t="s">
        <v>363</v>
      </c>
      <c r="AM1244" s="2" t="s">
        <v>363</v>
      </c>
      <c r="AN1244" s="2" t="s">
        <v>363</v>
      </c>
      <c r="AO1244" s="2" t="s">
        <v>363</v>
      </c>
      <c r="AP1244" s="15">
        <v>23.3</v>
      </c>
      <c r="AQ1244" s="2" t="s">
        <v>363</v>
      </c>
      <c r="AR1244" s="16">
        <v>28</v>
      </c>
      <c r="AS1244" s="16">
        <v>48</v>
      </c>
      <c r="AT1244" s="16">
        <v>22</v>
      </c>
      <c r="AU1244" s="2" t="s">
        <v>363</v>
      </c>
      <c r="AV1244" s="16">
        <f t="shared" si="720"/>
        <v>98</v>
      </c>
      <c r="AW1244" s="20">
        <v>1.1000000000000001</v>
      </c>
      <c r="AX1244" s="8">
        <f t="shared" si="721"/>
        <v>1.1000000000000001E-2</v>
      </c>
      <c r="AY1244" s="8" t="s">
        <v>364</v>
      </c>
      <c r="AZ1244" s="16">
        <v>100</v>
      </c>
      <c r="BA1244" s="16" t="s">
        <v>55</v>
      </c>
      <c r="BB1244" s="16">
        <v>500</v>
      </c>
      <c r="BC1244" s="16">
        <v>50000</v>
      </c>
      <c r="BD1244" s="18">
        <f>10^0.73</f>
        <v>5.3703179637025285</v>
      </c>
      <c r="BE1244" s="16">
        <f t="shared" si="722"/>
        <v>488.21072397295706</v>
      </c>
      <c r="BF1244" s="16">
        <f t="shared" si="723"/>
        <v>2.6886073148417751</v>
      </c>
      <c r="BG1244" s="8">
        <f t="shared" si="724"/>
        <v>0.73000000000000009</v>
      </c>
      <c r="BH1244" s="13" t="s">
        <v>367</v>
      </c>
      <c r="BI1244" s="8"/>
      <c r="BJ1244" s="16"/>
      <c r="BK1244" s="8"/>
      <c r="BL1244" s="13"/>
      <c r="BM1244" s="16"/>
      <c r="BN1244" s="16"/>
      <c r="BO1244" s="18"/>
    </row>
    <row r="1245" spans="1:69" s="14" customFormat="1" x14ac:dyDescent="0.3">
      <c r="A1245" s="20">
        <v>1243</v>
      </c>
      <c r="B1245" s="2" t="s">
        <v>358</v>
      </c>
      <c r="C1245" s="2">
        <v>2017</v>
      </c>
      <c r="D1245" s="2" t="s">
        <v>203</v>
      </c>
      <c r="E1245" s="10" t="s">
        <v>359</v>
      </c>
      <c r="F1245" s="20" t="s">
        <v>29</v>
      </c>
      <c r="G1245" s="2" t="s">
        <v>89</v>
      </c>
      <c r="H1245" s="2" t="str">
        <f>'PFAS Properties'!$B$61</f>
        <v>PFOPA</v>
      </c>
      <c r="I1245" s="2" t="str">
        <f>'PFAS Properties'!$C$61</f>
        <v>PFPA</v>
      </c>
      <c r="J1245" s="2" t="str">
        <f>'PFAS Properties'!$D$61</f>
        <v>C8H2F17O3P</v>
      </c>
      <c r="K1245" s="25">
        <f>'PFAS Properties'!$P$61</f>
        <v>499.94689999999997</v>
      </c>
      <c r="L1245" s="2">
        <f>'PFAS Properties'!$X$61</f>
        <v>2.4</v>
      </c>
      <c r="M1245" s="2">
        <f>'PFAS Properties'!$Y$61</f>
        <v>4.5</v>
      </c>
      <c r="N1245" s="33">
        <v>0</v>
      </c>
      <c r="O1245" s="33">
        <v>0</v>
      </c>
      <c r="P1245" s="33">
        <v>0</v>
      </c>
      <c r="Q1245" s="33">
        <f t="shared" si="710"/>
        <v>0.80688306853771696</v>
      </c>
      <c r="R1245" s="33">
        <f t="shared" si="711"/>
        <v>0.16099433792397572</v>
      </c>
      <c r="S1245" s="33">
        <f t="shared" si="712"/>
        <v>3.212259353830741E-2</v>
      </c>
      <c r="T1245" s="8">
        <f t="shared" si="713"/>
        <v>1</v>
      </c>
      <c r="U1245" s="33">
        <f t="shared" si="714"/>
        <v>0</v>
      </c>
      <c r="V1245" s="33">
        <f t="shared" si="715"/>
        <v>-1.1288717443856684</v>
      </c>
      <c r="W1245" s="33">
        <f t="shared" si="716"/>
        <v>498.81802825561431</v>
      </c>
      <c r="X1245" s="33">
        <v>96485</v>
      </c>
      <c r="Y1245" s="16">
        <f t="shared" si="717"/>
        <v>-218.35455835055879</v>
      </c>
      <c r="Z1245" s="16">
        <v>8</v>
      </c>
      <c r="AA1245" s="16">
        <v>17</v>
      </c>
      <c r="AB1245" s="8">
        <f t="shared" si="718"/>
        <v>0.29721362229102166</v>
      </c>
      <c r="AC1245" s="16">
        <f t="shared" si="719"/>
        <v>64.606861248664615</v>
      </c>
      <c r="AD1245" s="20">
        <f>'PFAS Properties'!$W$61</f>
        <v>8</v>
      </c>
      <c r="AE1245" s="8">
        <f>'PFAS Properties'!$S$61</f>
        <v>2.0969100130080562</v>
      </c>
      <c r="AF1245" s="2">
        <f>'PFAS Properties'!$V$61</f>
        <v>4.3</v>
      </c>
      <c r="AG1245" s="24">
        <v>3.8</v>
      </c>
      <c r="AH1245" s="2" t="s">
        <v>363</v>
      </c>
      <c r="AI1245" s="2" t="s">
        <v>363</v>
      </c>
      <c r="AJ1245" s="2" t="s">
        <v>363</v>
      </c>
      <c r="AK1245" s="2" t="s">
        <v>363</v>
      </c>
      <c r="AL1245" s="2" t="s">
        <v>363</v>
      </c>
      <c r="AM1245" s="2" t="s">
        <v>363</v>
      </c>
      <c r="AN1245" s="2" t="s">
        <v>363</v>
      </c>
      <c r="AO1245" s="2" t="s">
        <v>363</v>
      </c>
      <c r="AP1245" s="15">
        <v>23.89</v>
      </c>
      <c r="AQ1245" s="2" t="s">
        <v>363</v>
      </c>
      <c r="AR1245" s="16">
        <v>53</v>
      </c>
      <c r="AS1245" s="16">
        <v>41</v>
      </c>
      <c r="AT1245" s="16">
        <v>6</v>
      </c>
      <c r="AU1245" s="2" t="s">
        <v>363</v>
      </c>
      <c r="AV1245" s="16">
        <f t="shared" si="720"/>
        <v>100</v>
      </c>
      <c r="AW1245" s="20">
        <v>3.6</v>
      </c>
      <c r="AX1245" s="8">
        <f t="shared" si="721"/>
        <v>3.6000000000000004E-2</v>
      </c>
      <c r="AY1245" s="13" t="s">
        <v>364</v>
      </c>
      <c r="AZ1245" s="16">
        <v>100</v>
      </c>
      <c r="BA1245" s="16" t="s">
        <v>55</v>
      </c>
      <c r="BB1245" s="16">
        <v>500</v>
      </c>
      <c r="BC1245" s="16">
        <v>50000</v>
      </c>
      <c r="BD1245" s="18">
        <f>10^1.88</f>
        <v>75.857757502918361</v>
      </c>
      <c r="BE1245" s="16">
        <f t="shared" si="722"/>
        <v>2107.1599306366211</v>
      </c>
      <c r="BF1245" s="16">
        <f t="shared" si="723"/>
        <v>3.3236974992327126</v>
      </c>
      <c r="BG1245" s="8">
        <f t="shared" si="724"/>
        <v>1.88</v>
      </c>
      <c r="BH1245" s="13" t="s">
        <v>367</v>
      </c>
      <c r="BI1245" s="8"/>
      <c r="BJ1245" s="16"/>
      <c r="BK1245" s="8"/>
      <c r="BL1245" s="13"/>
      <c r="BM1245" s="16"/>
      <c r="BN1245" s="16"/>
      <c r="BO1245" s="18"/>
    </row>
    <row r="1246" spans="1:69" s="14" customFormat="1" x14ac:dyDescent="0.3">
      <c r="A1246" s="20">
        <v>1244</v>
      </c>
      <c r="B1246" s="2" t="s">
        <v>358</v>
      </c>
      <c r="C1246" s="2">
        <v>2017</v>
      </c>
      <c r="D1246" s="2" t="s">
        <v>203</v>
      </c>
      <c r="E1246" s="10" t="s">
        <v>359</v>
      </c>
      <c r="F1246" s="20" t="s">
        <v>29</v>
      </c>
      <c r="G1246" s="2" t="s">
        <v>361</v>
      </c>
      <c r="H1246" s="2" t="str">
        <f>'PFAS Properties'!$B$61</f>
        <v>PFOPA</v>
      </c>
      <c r="I1246" s="2" t="str">
        <f>'PFAS Properties'!$C$61</f>
        <v>PFPA</v>
      </c>
      <c r="J1246" s="2" t="str">
        <f>'PFAS Properties'!$D$61</f>
        <v>C8H2F17O3P</v>
      </c>
      <c r="K1246" s="25">
        <f>'PFAS Properties'!$P$61</f>
        <v>499.94689999999997</v>
      </c>
      <c r="L1246" s="2">
        <f>'PFAS Properties'!$X$61</f>
        <v>2.4</v>
      </c>
      <c r="M1246" s="2">
        <f>'PFAS Properties'!$Y$61</f>
        <v>4.5</v>
      </c>
      <c r="N1246" s="33">
        <v>0</v>
      </c>
      <c r="O1246" s="33">
        <v>0</v>
      </c>
      <c r="P1246" s="33">
        <v>0</v>
      </c>
      <c r="Q1246" s="33">
        <f t="shared" si="710"/>
        <v>0.55422288514639861</v>
      </c>
      <c r="R1246" s="33">
        <f t="shared" si="711"/>
        <v>0.44023488600213739</v>
      </c>
      <c r="S1246" s="33">
        <f t="shared" si="712"/>
        <v>5.5422288514639815E-3</v>
      </c>
      <c r="T1246" s="8">
        <f t="shared" si="713"/>
        <v>1</v>
      </c>
      <c r="U1246" s="33">
        <f t="shared" si="714"/>
        <v>0</v>
      </c>
      <c r="V1246" s="33">
        <f t="shared" si="715"/>
        <v>-1.4346926571506735</v>
      </c>
      <c r="W1246" s="33">
        <f t="shared" si="716"/>
        <v>498.51220734284925</v>
      </c>
      <c r="X1246" s="33">
        <v>96485</v>
      </c>
      <c r="Y1246" s="16">
        <f t="shared" si="717"/>
        <v>-277.67889930522955</v>
      </c>
      <c r="Z1246" s="16">
        <v>8</v>
      </c>
      <c r="AA1246" s="16">
        <v>17</v>
      </c>
      <c r="AB1246" s="8">
        <f t="shared" si="718"/>
        <v>0.29721362229102166</v>
      </c>
      <c r="AC1246" s="16">
        <f t="shared" si="719"/>
        <v>64.606861248664615</v>
      </c>
      <c r="AD1246" s="20">
        <f>'PFAS Properties'!$W$61</f>
        <v>8</v>
      </c>
      <c r="AE1246" s="8">
        <f>'PFAS Properties'!$S$61</f>
        <v>2.0969100130080562</v>
      </c>
      <c r="AF1246" s="2">
        <f>'PFAS Properties'!$V$61</f>
        <v>4.3</v>
      </c>
      <c r="AG1246" s="24">
        <v>4.4000000000000004</v>
      </c>
      <c r="AH1246" s="2" t="s">
        <v>363</v>
      </c>
      <c r="AI1246" s="2" t="s">
        <v>363</v>
      </c>
      <c r="AJ1246" s="2" t="s">
        <v>363</v>
      </c>
      <c r="AK1246" s="2" t="s">
        <v>363</v>
      </c>
      <c r="AL1246" s="2" t="s">
        <v>363</v>
      </c>
      <c r="AM1246" s="2" t="s">
        <v>363</v>
      </c>
      <c r="AN1246" s="2" t="s">
        <v>363</v>
      </c>
      <c r="AO1246" s="2" t="s">
        <v>363</v>
      </c>
      <c r="AP1246" s="15">
        <v>11.3</v>
      </c>
      <c r="AQ1246" s="2" t="s">
        <v>363</v>
      </c>
      <c r="AR1246" s="16">
        <v>58</v>
      </c>
      <c r="AS1246" s="16">
        <v>20</v>
      </c>
      <c r="AT1246" s="16">
        <v>22</v>
      </c>
      <c r="AU1246" s="2" t="s">
        <v>363</v>
      </c>
      <c r="AV1246" s="16">
        <f t="shared" si="720"/>
        <v>100</v>
      </c>
      <c r="AW1246" s="20">
        <v>10.199999999999999</v>
      </c>
      <c r="AX1246" s="8">
        <f t="shared" si="721"/>
        <v>0.10199999999999999</v>
      </c>
      <c r="AY1246" s="8" t="s">
        <v>364</v>
      </c>
      <c r="AZ1246" s="16">
        <v>100</v>
      </c>
      <c r="BA1246" s="16" t="s">
        <v>55</v>
      </c>
      <c r="BB1246" s="16">
        <v>500</v>
      </c>
      <c r="BC1246" s="16">
        <v>50000</v>
      </c>
      <c r="BD1246" s="18">
        <f>10^1.2</f>
        <v>15.848931924611136</v>
      </c>
      <c r="BE1246" s="16">
        <f t="shared" si="722"/>
        <v>155.38168553540331</v>
      </c>
      <c r="BF1246" s="16">
        <f t="shared" si="723"/>
        <v>2.1913998282380827</v>
      </c>
      <c r="BG1246" s="8">
        <f t="shared" si="724"/>
        <v>1.2</v>
      </c>
      <c r="BH1246" s="13" t="s">
        <v>367</v>
      </c>
      <c r="BI1246" s="8"/>
      <c r="BJ1246" s="16"/>
      <c r="BK1246" s="8"/>
      <c r="BL1246" s="13"/>
      <c r="BM1246" s="16"/>
      <c r="BN1246" s="16"/>
      <c r="BO1246" s="18"/>
    </row>
    <row r="1247" spans="1:69" s="14" customFormat="1" x14ac:dyDescent="0.3">
      <c r="A1247" s="20">
        <v>1245</v>
      </c>
      <c r="B1247" s="2" t="s">
        <v>358</v>
      </c>
      <c r="C1247" s="2">
        <v>2017</v>
      </c>
      <c r="D1247" s="2" t="s">
        <v>203</v>
      </c>
      <c r="E1247" s="10" t="s">
        <v>359</v>
      </c>
      <c r="F1247" s="20" t="s">
        <v>29</v>
      </c>
      <c r="G1247" s="2" t="s">
        <v>274</v>
      </c>
      <c r="H1247" s="2" t="str">
        <f>'PFAS Properties'!$B$61</f>
        <v>PFOPA</v>
      </c>
      <c r="I1247" s="2" t="str">
        <f>'PFAS Properties'!$C$61</f>
        <v>PFPA</v>
      </c>
      <c r="J1247" s="2" t="str">
        <f>'PFAS Properties'!$D$61</f>
        <v>C8H2F17O3P</v>
      </c>
      <c r="K1247" s="25">
        <f>'PFAS Properties'!$P$61</f>
        <v>499.94689999999997</v>
      </c>
      <c r="L1247" s="2">
        <f>'PFAS Properties'!$X$61</f>
        <v>2.4</v>
      </c>
      <c r="M1247" s="2">
        <f>'PFAS Properties'!$Y$61</f>
        <v>4.5</v>
      </c>
      <c r="N1247" s="33">
        <v>0</v>
      </c>
      <c r="O1247" s="33">
        <v>0</v>
      </c>
      <c r="P1247" s="33">
        <v>0</v>
      </c>
      <c r="Q1247" s="33">
        <f t="shared" si="710"/>
        <v>2.4503247752375171E-2</v>
      </c>
      <c r="R1247" s="33">
        <f t="shared" si="711"/>
        <v>0.97549186320694126</v>
      </c>
      <c r="S1247" s="33">
        <f t="shared" si="712"/>
        <v>4.8890406834660091E-6</v>
      </c>
      <c r="T1247" s="8">
        <f t="shared" si="713"/>
        <v>1</v>
      </c>
      <c r="U1247" s="33">
        <f t="shared" si="714"/>
        <v>0</v>
      </c>
      <c r="V1247" s="33">
        <f t="shared" si="715"/>
        <v>-1.9754869741662577</v>
      </c>
      <c r="W1247" s="33">
        <f t="shared" si="716"/>
        <v>497.97141302583361</v>
      </c>
      <c r="X1247" s="33">
        <v>96485</v>
      </c>
      <c r="Y1247" s="16">
        <f t="shared" si="717"/>
        <v>-382.7626560815113</v>
      </c>
      <c r="Z1247" s="16">
        <v>8</v>
      </c>
      <c r="AA1247" s="16">
        <v>17</v>
      </c>
      <c r="AB1247" s="8">
        <f t="shared" si="718"/>
        <v>0.29721362229102166</v>
      </c>
      <c r="AC1247" s="16">
        <f t="shared" si="719"/>
        <v>64.606861248664615</v>
      </c>
      <c r="AD1247" s="20">
        <f>'PFAS Properties'!$W$61</f>
        <v>8</v>
      </c>
      <c r="AE1247" s="8">
        <f>'PFAS Properties'!$S$61</f>
        <v>2.0969100130080562</v>
      </c>
      <c r="AF1247" s="2">
        <f>'PFAS Properties'!$V$61</f>
        <v>4.3</v>
      </c>
      <c r="AG1247" s="24">
        <v>6.1</v>
      </c>
      <c r="AH1247" s="2" t="s">
        <v>363</v>
      </c>
      <c r="AI1247" s="2" t="s">
        <v>363</v>
      </c>
      <c r="AJ1247" s="2" t="s">
        <v>363</v>
      </c>
      <c r="AK1247" s="2" t="s">
        <v>363</v>
      </c>
      <c r="AL1247" s="2" t="s">
        <v>363</v>
      </c>
      <c r="AM1247" s="2" t="s">
        <v>363</v>
      </c>
      <c r="AN1247" s="2" t="s">
        <v>363</v>
      </c>
      <c r="AO1247" s="2" t="s">
        <v>363</v>
      </c>
      <c r="AP1247" s="15">
        <v>24.2</v>
      </c>
      <c r="AQ1247" s="2" t="s">
        <v>363</v>
      </c>
      <c r="AR1247" s="16">
        <v>10</v>
      </c>
      <c r="AS1247" s="16">
        <v>61</v>
      </c>
      <c r="AT1247" s="16">
        <v>27</v>
      </c>
      <c r="AU1247" s="2" t="s">
        <v>363</v>
      </c>
      <c r="AV1247" s="16">
        <f t="shared" ref="AV1247:AV1255" si="725">SUM(AR1247:AT1247)</f>
        <v>98</v>
      </c>
      <c r="AW1247" s="20">
        <v>2.63</v>
      </c>
      <c r="AX1247" s="8">
        <f t="shared" si="721"/>
        <v>2.63E-2</v>
      </c>
      <c r="AY1247" s="8" t="s">
        <v>364</v>
      </c>
      <c r="AZ1247" s="16">
        <v>100</v>
      </c>
      <c r="BA1247" s="16" t="s">
        <v>55</v>
      </c>
      <c r="BB1247" s="16">
        <v>500</v>
      </c>
      <c r="BC1247" s="16">
        <v>50000</v>
      </c>
      <c r="BD1247" s="18">
        <f>10^1.09</f>
        <v>12.302687708123818</v>
      </c>
      <c r="BE1247" s="16">
        <f t="shared" si="722"/>
        <v>467.78280259025922</v>
      </c>
      <c r="BF1247" s="16">
        <f t="shared" si="723"/>
        <v>2.6700442515102423</v>
      </c>
      <c r="BG1247" s="8">
        <f t="shared" si="724"/>
        <v>1.0900000000000001</v>
      </c>
      <c r="BH1247" s="13" t="s">
        <v>367</v>
      </c>
      <c r="BI1247" s="8"/>
      <c r="BJ1247" s="16"/>
      <c r="BK1247" s="8"/>
      <c r="BL1247" s="13"/>
      <c r="BM1247" s="16"/>
      <c r="BN1247" s="16"/>
      <c r="BO1247" s="18"/>
    </row>
    <row r="1248" spans="1:69" s="14" customFormat="1" x14ac:dyDescent="0.3">
      <c r="A1248" s="20">
        <v>1246</v>
      </c>
      <c r="B1248" s="2" t="s">
        <v>358</v>
      </c>
      <c r="C1248" s="2">
        <v>2017</v>
      </c>
      <c r="D1248" s="2" t="s">
        <v>203</v>
      </c>
      <c r="E1248" s="10" t="s">
        <v>359</v>
      </c>
      <c r="F1248" s="20" t="s">
        <v>29</v>
      </c>
      <c r="G1248" s="2" t="s">
        <v>362</v>
      </c>
      <c r="H1248" s="2" t="str">
        <f>'PFAS Properties'!$B$61</f>
        <v>PFOPA</v>
      </c>
      <c r="I1248" s="2" t="str">
        <f>'PFAS Properties'!$C$61</f>
        <v>PFPA</v>
      </c>
      <c r="J1248" s="2" t="str">
        <f>'PFAS Properties'!$D$61</f>
        <v>C8H2F17O3P</v>
      </c>
      <c r="K1248" s="25">
        <f>'PFAS Properties'!$P$61</f>
        <v>499.94689999999997</v>
      </c>
      <c r="L1248" s="2">
        <f>'PFAS Properties'!$X$61</f>
        <v>2.4</v>
      </c>
      <c r="M1248" s="2">
        <f>'PFAS Properties'!$Y$61</f>
        <v>4.5</v>
      </c>
      <c r="N1248" s="33">
        <v>0</v>
      </c>
      <c r="O1248" s="33">
        <v>0</v>
      </c>
      <c r="P1248" s="33">
        <v>0</v>
      </c>
      <c r="Q1248" s="33">
        <f t="shared" si="710"/>
        <v>0.49802203517970961</v>
      </c>
      <c r="R1248" s="33">
        <f t="shared" si="711"/>
        <v>0.4980220351797095</v>
      </c>
      <c r="S1248" s="33">
        <f t="shared" si="712"/>
        <v>3.9559296405809272E-3</v>
      </c>
      <c r="T1248" s="8">
        <f t="shared" si="713"/>
        <v>1</v>
      </c>
      <c r="U1248" s="33">
        <f t="shared" si="714"/>
        <v>0</v>
      </c>
      <c r="V1248" s="33">
        <f t="shared" si="715"/>
        <v>-1.4940661055391287</v>
      </c>
      <c r="W1248" s="33">
        <f t="shared" si="716"/>
        <v>498.45283389446087</v>
      </c>
      <c r="X1248" s="33">
        <v>96485</v>
      </c>
      <c r="Y1248" s="16">
        <f t="shared" si="717"/>
        <v>-289.20483221380431</v>
      </c>
      <c r="Z1248" s="16">
        <v>8</v>
      </c>
      <c r="AA1248" s="16">
        <v>17</v>
      </c>
      <c r="AB1248" s="8">
        <f t="shared" si="718"/>
        <v>0.29721362229102166</v>
      </c>
      <c r="AC1248" s="16">
        <f t="shared" si="719"/>
        <v>64.606861248664615</v>
      </c>
      <c r="AD1248" s="20">
        <f>'PFAS Properties'!$W$61</f>
        <v>8</v>
      </c>
      <c r="AE1248" s="8">
        <f>'PFAS Properties'!$S$61</f>
        <v>2.0969100130080562</v>
      </c>
      <c r="AF1248" s="2">
        <f>'PFAS Properties'!$V$61</f>
        <v>4.3</v>
      </c>
      <c r="AG1248" s="24">
        <v>4.5</v>
      </c>
      <c r="AH1248" s="2" t="s">
        <v>363</v>
      </c>
      <c r="AI1248" s="2" t="s">
        <v>363</v>
      </c>
      <c r="AJ1248" s="2" t="s">
        <v>363</v>
      </c>
      <c r="AK1248" s="2" t="s">
        <v>363</v>
      </c>
      <c r="AL1248" s="2" t="s">
        <v>363</v>
      </c>
      <c r="AM1248" s="2" t="s">
        <v>363</v>
      </c>
      <c r="AN1248" s="2" t="s">
        <v>363</v>
      </c>
      <c r="AO1248" s="2" t="s">
        <v>363</v>
      </c>
      <c r="AP1248" s="72">
        <v>21.496500000000001</v>
      </c>
      <c r="AQ1248" s="70" t="s">
        <v>752</v>
      </c>
      <c r="AR1248" s="71">
        <v>41.737499999999997</v>
      </c>
      <c r="AS1248" s="71">
        <v>35.036999999999999</v>
      </c>
      <c r="AT1248" s="71">
        <v>21.971</v>
      </c>
      <c r="AU1248" s="70" t="s">
        <v>752</v>
      </c>
      <c r="AV1248" s="16">
        <f t="shared" si="725"/>
        <v>98.745499999999993</v>
      </c>
      <c r="AW1248" s="20">
        <v>45.7</v>
      </c>
      <c r="AX1248" s="8">
        <f t="shared" si="721"/>
        <v>0.45700000000000002</v>
      </c>
      <c r="AY1248" s="8" t="s">
        <v>364</v>
      </c>
      <c r="AZ1248" s="16">
        <v>100</v>
      </c>
      <c r="BA1248" s="16" t="s">
        <v>55</v>
      </c>
      <c r="BB1248" s="16">
        <v>500</v>
      </c>
      <c r="BC1248" s="16">
        <v>50000</v>
      </c>
      <c r="BD1248" s="18">
        <f>10^1.7</f>
        <v>50.118723362727238</v>
      </c>
      <c r="BE1248" s="16">
        <f t="shared" si="722"/>
        <v>109.66897891187578</v>
      </c>
      <c r="BF1248" s="16">
        <f t="shared" si="723"/>
        <v>2.0400837999301498</v>
      </c>
      <c r="BG1248" s="8">
        <f t="shared" si="724"/>
        <v>1.7000000000000002</v>
      </c>
      <c r="BH1248" s="13" t="s">
        <v>367</v>
      </c>
      <c r="BI1248" s="8"/>
      <c r="BJ1248" s="16"/>
      <c r="BK1248" s="8"/>
      <c r="BL1248" s="13"/>
      <c r="BM1248" s="16"/>
      <c r="BN1248" s="16"/>
      <c r="BO1248" s="18"/>
    </row>
    <row r="1249" spans="1:67" s="14" customFormat="1" x14ac:dyDescent="0.3">
      <c r="A1249" s="20">
        <v>1247</v>
      </c>
      <c r="B1249" s="2" t="s">
        <v>358</v>
      </c>
      <c r="C1249" s="2">
        <v>2017</v>
      </c>
      <c r="D1249" s="2" t="s">
        <v>203</v>
      </c>
      <c r="E1249" s="10" t="s">
        <v>359</v>
      </c>
      <c r="F1249" s="20" t="s">
        <v>29</v>
      </c>
      <c r="G1249" s="2" t="s">
        <v>360</v>
      </c>
      <c r="H1249" s="2" t="str">
        <f>'PFAS Properties'!$B$62</f>
        <v>PFDPA</v>
      </c>
      <c r="I1249" s="2" t="str">
        <f>'PFAS Properties'!$C$62</f>
        <v>PFPA</v>
      </c>
      <c r="J1249" s="2" t="str">
        <f>'PFAS Properties'!$D$62</f>
        <v>C10H2F21O3P</v>
      </c>
      <c r="K1249" s="25">
        <f>'PFAS Properties'!$P$62</f>
        <v>599.94049999999993</v>
      </c>
      <c r="L1249" s="2">
        <f>'PFAS Properties'!$X$62</f>
        <v>3.4</v>
      </c>
      <c r="M1249" s="2">
        <f>'PFAS Properties'!$Y$62</f>
        <v>5.6</v>
      </c>
      <c r="N1249" s="33">
        <v>0</v>
      </c>
      <c r="O1249" s="33">
        <v>0</v>
      </c>
      <c r="P1249" s="33">
        <v>0</v>
      </c>
      <c r="Q1249" s="33">
        <f t="shared" si="710"/>
        <v>0.70723553457380561</v>
      </c>
      <c r="R1249" s="33">
        <f t="shared" si="711"/>
        <v>0.28155553758406815</v>
      </c>
      <c r="S1249" s="33">
        <f t="shared" si="712"/>
        <v>1.1208927842126206E-2</v>
      </c>
      <c r="T1249" s="8">
        <f t="shared" si="713"/>
        <v>1</v>
      </c>
      <c r="U1249" s="33">
        <f t="shared" si="714"/>
        <v>0</v>
      </c>
      <c r="V1249" s="33">
        <f t="shared" si="715"/>
        <v>-1.2703466097419418</v>
      </c>
      <c r="W1249" s="33">
        <f t="shared" si="716"/>
        <v>598.67015339025795</v>
      </c>
      <c r="X1249" s="33">
        <v>96485</v>
      </c>
      <c r="Y1249" s="16">
        <f t="shared" si="717"/>
        <v>-204.73610041663687</v>
      </c>
      <c r="Z1249" s="16">
        <v>10</v>
      </c>
      <c r="AA1249" s="16">
        <v>21</v>
      </c>
      <c r="AB1249" s="8">
        <f t="shared" si="718"/>
        <v>0.3007518796992481</v>
      </c>
      <c r="AC1249" s="16">
        <f t="shared" si="719"/>
        <v>66.50659523736104</v>
      </c>
      <c r="AD1249" s="20">
        <f>'PFAS Properties'!$W$62</f>
        <v>10</v>
      </c>
      <c r="AE1249" s="8">
        <f>'PFAS Properties'!$S$62</f>
        <v>0.30535136944662378</v>
      </c>
      <c r="AF1249" s="2">
        <f>'PFAS Properties'!$V$62</f>
        <v>5.6</v>
      </c>
      <c r="AG1249" s="24">
        <v>5.2</v>
      </c>
      <c r="AH1249" s="2" t="s">
        <v>363</v>
      </c>
      <c r="AI1249" s="2" t="s">
        <v>363</v>
      </c>
      <c r="AJ1249" s="2" t="s">
        <v>363</v>
      </c>
      <c r="AK1249" s="2" t="s">
        <v>363</v>
      </c>
      <c r="AL1249" s="2" t="s">
        <v>363</v>
      </c>
      <c r="AM1249" s="2" t="s">
        <v>363</v>
      </c>
      <c r="AN1249" s="2" t="s">
        <v>363</v>
      </c>
      <c r="AO1249" s="2" t="s">
        <v>363</v>
      </c>
      <c r="AP1249" s="15">
        <v>9.6</v>
      </c>
      <c r="AQ1249" s="2" t="s">
        <v>363</v>
      </c>
      <c r="AR1249" s="16">
        <v>63</v>
      </c>
      <c r="AS1249" s="16">
        <v>32</v>
      </c>
      <c r="AT1249" s="16">
        <v>5</v>
      </c>
      <c r="AU1249" s="2" t="s">
        <v>363</v>
      </c>
      <c r="AV1249" s="16">
        <f t="shared" si="725"/>
        <v>100</v>
      </c>
      <c r="AW1249" s="20">
        <v>1</v>
      </c>
      <c r="AX1249" s="8">
        <f t="shared" si="721"/>
        <v>0.01</v>
      </c>
      <c r="AY1249" s="13" t="s">
        <v>364</v>
      </c>
      <c r="AZ1249" s="16">
        <f>5/0.05</f>
        <v>100</v>
      </c>
      <c r="BA1249" s="16" t="s">
        <v>55</v>
      </c>
      <c r="BB1249" s="16">
        <v>500</v>
      </c>
      <c r="BC1249" s="16">
        <v>50000</v>
      </c>
      <c r="BD1249" s="18">
        <f>10^1.11</f>
        <v>12.882495516931346</v>
      </c>
      <c r="BE1249" s="16">
        <f t="shared" si="722"/>
        <v>1288.2495516931347</v>
      </c>
      <c r="BF1249" s="16">
        <f t="shared" si="723"/>
        <v>3.1100000000000003</v>
      </c>
      <c r="BG1249" s="8">
        <f t="shared" si="724"/>
        <v>1.1100000000000003</v>
      </c>
      <c r="BH1249" s="13" t="s">
        <v>367</v>
      </c>
      <c r="BI1249" s="8"/>
      <c r="BJ1249" s="16"/>
      <c r="BK1249" s="8"/>
      <c r="BL1249" s="13"/>
      <c r="BM1249" s="16"/>
      <c r="BN1249" s="16"/>
      <c r="BO1249" s="18"/>
    </row>
    <row r="1250" spans="1:67" s="14" customFormat="1" x14ac:dyDescent="0.3">
      <c r="A1250" s="20">
        <v>1248</v>
      </c>
      <c r="B1250" s="2" t="s">
        <v>358</v>
      </c>
      <c r="C1250" s="2">
        <v>2017</v>
      </c>
      <c r="D1250" s="2" t="s">
        <v>203</v>
      </c>
      <c r="E1250" s="10" t="s">
        <v>359</v>
      </c>
      <c r="F1250" s="20" t="s">
        <v>29</v>
      </c>
      <c r="G1250" s="2" t="s">
        <v>88</v>
      </c>
      <c r="H1250" s="2" t="str">
        <f>'PFAS Properties'!$B$62</f>
        <v>PFDPA</v>
      </c>
      <c r="I1250" s="2" t="str">
        <f>'PFAS Properties'!$C$62</f>
        <v>PFPA</v>
      </c>
      <c r="J1250" s="2" t="str">
        <f>'PFAS Properties'!$D$62</f>
        <v>C10H2F21O3P</v>
      </c>
      <c r="K1250" s="25">
        <f>'PFAS Properties'!$P$62</f>
        <v>599.94049999999993</v>
      </c>
      <c r="L1250" s="2">
        <f>'PFAS Properties'!$X$62</f>
        <v>3.4</v>
      </c>
      <c r="M1250" s="2">
        <f>'PFAS Properties'!$Y$62</f>
        <v>5.6</v>
      </c>
      <c r="N1250" s="33">
        <v>0</v>
      </c>
      <c r="O1250" s="33">
        <v>0</v>
      </c>
      <c r="P1250" s="33">
        <v>0</v>
      </c>
      <c r="Q1250" s="33">
        <f t="shared" si="710"/>
        <v>9.0903876684669468E-2</v>
      </c>
      <c r="R1250" s="33">
        <f t="shared" si="711"/>
        <v>0.90903876684669449</v>
      </c>
      <c r="S1250" s="33">
        <f t="shared" si="712"/>
        <v>5.7356468635914049E-5</v>
      </c>
      <c r="T1250" s="8">
        <f t="shared" si="713"/>
        <v>0.99999999999999989</v>
      </c>
      <c r="U1250" s="33">
        <f t="shared" si="714"/>
        <v>0</v>
      </c>
      <c r="V1250" s="33">
        <f t="shared" si="715"/>
        <v>-1.9089814103780585</v>
      </c>
      <c r="W1250" s="33">
        <f t="shared" si="716"/>
        <v>598.0315185896219</v>
      </c>
      <c r="X1250" s="33">
        <v>96485</v>
      </c>
      <c r="Y1250" s="16">
        <f t="shared" si="717"/>
        <v>-307.99057517020196</v>
      </c>
      <c r="Z1250" s="16">
        <v>10</v>
      </c>
      <c r="AA1250" s="16">
        <v>21</v>
      </c>
      <c r="AB1250" s="8">
        <f t="shared" si="718"/>
        <v>0.3007518796992481</v>
      </c>
      <c r="AC1250" s="16">
        <f t="shared" si="719"/>
        <v>66.50659523736104</v>
      </c>
      <c r="AD1250" s="20">
        <f>'PFAS Properties'!$W$62</f>
        <v>10</v>
      </c>
      <c r="AE1250" s="8">
        <f>'PFAS Properties'!$S$62</f>
        <v>0.30535136944662378</v>
      </c>
      <c r="AF1250" s="2">
        <f>'PFAS Properties'!$V$62</f>
        <v>5.6</v>
      </c>
      <c r="AG1250" s="24">
        <v>6.6</v>
      </c>
      <c r="AH1250" s="2" t="s">
        <v>363</v>
      </c>
      <c r="AI1250" s="2" t="s">
        <v>363</v>
      </c>
      <c r="AJ1250" s="2" t="s">
        <v>363</v>
      </c>
      <c r="AK1250" s="2" t="s">
        <v>363</v>
      </c>
      <c r="AL1250" s="2" t="s">
        <v>363</v>
      </c>
      <c r="AM1250" s="2" t="s">
        <v>363</v>
      </c>
      <c r="AN1250" s="2" t="s">
        <v>363</v>
      </c>
      <c r="AO1250" s="2" t="s">
        <v>363</v>
      </c>
      <c r="AP1250" s="15">
        <v>33.5</v>
      </c>
      <c r="AQ1250" s="2" t="s">
        <v>363</v>
      </c>
      <c r="AR1250" s="16">
        <v>25</v>
      </c>
      <c r="AS1250" s="16">
        <v>38</v>
      </c>
      <c r="AT1250" s="16">
        <v>37</v>
      </c>
      <c r="AU1250" s="2" t="s">
        <v>363</v>
      </c>
      <c r="AV1250" s="16">
        <f t="shared" si="725"/>
        <v>100</v>
      </c>
      <c r="AW1250" s="20">
        <v>1.1000000000000001</v>
      </c>
      <c r="AX1250" s="8">
        <f t="shared" si="721"/>
        <v>1.1000000000000001E-2</v>
      </c>
      <c r="AY1250" s="13" t="s">
        <v>364</v>
      </c>
      <c r="AZ1250" s="16">
        <v>100</v>
      </c>
      <c r="BA1250" s="16" t="s">
        <v>55</v>
      </c>
      <c r="BB1250" s="16">
        <v>500</v>
      </c>
      <c r="BC1250" s="16">
        <v>50000</v>
      </c>
      <c r="BD1250" s="18">
        <f>10^1.41</f>
        <v>25.703957827688647</v>
      </c>
      <c r="BE1250" s="16">
        <f t="shared" si="722"/>
        <v>2336.723438880786</v>
      </c>
      <c r="BF1250" s="16">
        <f t="shared" si="723"/>
        <v>3.3686073148417752</v>
      </c>
      <c r="BG1250" s="8">
        <f t="shared" si="724"/>
        <v>1.4100000000000001</v>
      </c>
      <c r="BH1250" s="13" t="s">
        <v>367</v>
      </c>
      <c r="BI1250" s="8"/>
      <c r="BJ1250" s="16"/>
      <c r="BK1250" s="8"/>
      <c r="BL1250" s="13"/>
      <c r="BM1250" s="16"/>
      <c r="BN1250" s="16"/>
      <c r="BO1250" s="18"/>
    </row>
    <row r="1251" spans="1:67" s="14" customFormat="1" x14ac:dyDescent="0.3">
      <c r="A1251" s="20">
        <v>1249</v>
      </c>
      <c r="B1251" s="2" t="s">
        <v>358</v>
      </c>
      <c r="C1251" s="2">
        <v>2017</v>
      </c>
      <c r="D1251" s="2" t="s">
        <v>203</v>
      </c>
      <c r="E1251" s="10" t="s">
        <v>359</v>
      </c>
      <c r="F1251" s="20" t="s">
        <v>29</v>
      </c>
      <c r="G1251" s="2" t="s">
        <v>365</v>
      </c>
      <c r="H1251" s="2" t="str">
        <f>'PFAS Properties'!$B$62</f>
        <v>PFDPA</v>
      </c>
      <c r="I1251" s="2" t="str">
        <f>'PFAS Properties'!$C$62</f>
        <v>PFPA</v>
      </c>
      <c r="J1251" s="2" t="str">
        <f>'PFAS Properties'!$D$62</f>
        <v>C10H2F21O3P</v>
      </c>
      <c r="K1251" s="25">
        <f>'PFAS Properties'!$P$62</f>
        <v>599.94049999999993</v>
      </c>
      <c r="L1251" s="2">
        <f>'PFAS Properties'!$X$62</f>
        <v>3.4</v>
      </c>
      <c r="M1251" s="2">
        <f>'PFAS Properties'!$Y$62</f>
        <v>5.6</v>
      </c>
      <c r="N1251" s="33">
        <v>0</v>
      </c>
      <c r="O1251" s="33">
        <v>0</v>
      </c>
      <c r="P1251" s="33">
        <v>0</v>
      </c>
      <c r="Q1251" s="33">
        <f t="shared" si="710"/>
        <v>3.8286135679320717E-2</v>
      </c>
      <c r="R1251" s="33">
        <f t="shared" si="711"/>
        <v>0.96170424727820647</v>
      </c>
      <c r="S1251" s="33">
        <f t="shared" si="712"/>
        <v>9.6170424727820642E-6</v>
      </c>
      <c r="T1251" s="8">
        <f t="shared" si="713"/>
        <v>1</v>
      </c>
      <c r="U1251" s="33">
        <f t="shared" si="714"/>
        <v>0</v>
      </c>
      <c r="V1251" s="33">
        <f t="shared" si="715"/>
        <v>-1.9616946302357336</v>
      </c>
      <c r="W1251" s="33">
        <f t="shared" si="716"/>
        <v>597.97880536976413</v>
      </c>
      <c r="X1251" s="33">
        <v>96485</v>
      </c>
      <c r="Y1251" s="16">
        <f t="shared" si="717"/>
        <v>-316.52310198729515</v>
      </c>
      <c r="Z1251" s="16">
        <v>10</v>
      </c>
      <c r="AA1251" s="16">
        <v>21</v>
      </c>
      <c r="AB1251" s="8">
        <f t="shared" si="718"/>
        <v>0.3007518796992481</v>
      </c>
      <c r="AC1251" s="16">
        <f t="shared" si="719"/>
        <v>66.50659523736104</v>
      </c>
      <c r="AD1251" s="20">
        <f>'PFAS Properties'!$W$62</f>
        <v>10</v>
      </c>
      <c r="AE1251" s="8">
        <f>'PFAS Properties'!$S$62</f>
        <v>0.30535136944662378</v>
      </c>
      <c r="AF1251" s="2">
        <f>'PFAS Properties'!$V$62</f>
        <v>5.6</v>
      </c>
      <c r="AG1251" s="24">
        <v>7</v>
      </c>
      <c r="AH1251" s="2" t="s">
        <v>363</v>
      </c>
      <c r="AI1251" s="2" t="s">
        <v>363</v>
      </c>
      <c r="AJ1251" s="2" t="s">
        <v>363</v>
      </c>
      <c r="AK1251" s="2" t="s">
        <v>363</v>
      </c>
      <c r="AL1251" s="2" t="s">
        <v>363</v>
      </c>
      <c r="AM1251" s="2" t="s">
        <v>363</v>
      </c>
      <c r="AN1251" s="2" t="s">
        <v>363</v>
      </c>
      <c r="AO1251" s="2" t="s">
        <v>363</v>
      </c>
      <c r="AP1251" s="15">
        <v>23.3</v>
      </c>
      <c r="AQ1251" s="2" t="s">
        <v>363</v>
      </c>
      <c r="AR1251" s="16">
        <v>28</v>
      </c>
      <c r="AS1251" s="16">
        <v>48</v>
      </c>
      <c r="AT1251" s="16">
        <v>22</v>
      </c>
      <c r="AU1251" s="2" t="s">
        <v>363</v>
      </c>
      <c r="AV1251" s="16">
        <f t="shared" si="725"/>
        <v>98</v>
      </c>
      <c r="AW1251" s="20">
        <v>1.1000000000000001</v>
      </c>
      <c r="AX1251" s="8">
        <f t="shared" si="721"/>
        <v>1.1000000000000001E-2</v>
      </c>
      <c r="AY1251" s="8" t="s">
        <v>364</v>
      </c>
      <c r="AZ1251" s="16">
        <v>100</v>
      </c>
      <c r="BA1251" s="16" t="s">
        <v>55</v>
      </c>
      <c r="BB1251" s="16">
        <v>500</v>
      </c>
      <c r="BC1251" s="16">
        <v>50000</v>
      </c>
      <c r="BD1251" s="18">
        <f>10^1.22</f>
        <v>16.595869074375614</v>
      </c>
      <c r="BE1251" s="16">
        <f t="shared" si="722"/>
        <v>1508.7153703977829</v>
      </c>
      <c r="BF1251" s="16">
        <f t="shared" si="723"/>
        <v>3.1786073148417753</v>
      </c>
      <c r="BG1251" s="8">
        <f t="shared" si="724"/>
        <v>1.2200000000000002</v>
      </c>
      <c r="BH1251" s="13" t="s">
        <v>367</v>
      </c>
      <c r="BI1251" s="8"/>
      <c r="BJ1251" s="16"/>
      <c r="BK1251" s="8"/>
      <c r="BL1251" s="13"/>
      <c r="BM1251" s="16"/>
      <c r="BN1251" s="16"/>
      <c r="BO1251" s="18"/>
    </row>
    <row r="1252" spans="1:67" s="14" customFormat="1" x14ac:dyDescent="0.3">
      <c r="A1252" s="20">
        <v>1250</v>
      </c>
      <c r="B1252" s="2" t="s">
        <v>358</v>
      </c>
      <c r="C1252" s="2">
        <v>2017</v>
      </c>
      <c r="D1252" s="2" t="s">
        <v>203</v>
      </c>
      <c r="E1252" s="10" t="s">
        <v>359</v>
      </c>
      <c r="F1252" s="20" t="s">
        <v>29</v>
      </c>
      <c r="G1252" s="2" t="s">
        <v>89</v>
      </c>
      <c r="H1252" s="2" t="str">
        <f>'PFAS Properties'!$B$62</f>
        <v>PFDPA</v>
      </c>
      <c r="I1252" s="2" t="str">
        <f>'PFAS Properties'!$C$62</f>
        <v>PFPA</v>
      </c>
      <c r="J1252" s="2" t="str">
        <f>'PFAS Properties'!$D$62</f>
        <v>C10H2F21O3P</v>
      </c>
      <c r="K1252" s="25">
        <f>'PFAS Properties'!$P$62</f>
        <v>599.94049999999993</v>
      </c>
      <c r="L1252" s="2">
        <f>'PFAS Properties'!$X$62</f>
        <v>3.4</v>
      </c>
      <c r="M1252" s="2">
        <f>'PFAS Properties'!$Y$62</f>
        <v>5.6</v>
      </c>
      <c r="N1252" s="33">
        <v>0</v>
      </c>
      <c r="O1252" s="33">
        <v>0</v>
      </c>
      <c r="P1252" s="33">
        <v>0</v>
      </c>
      <c r="Q1252" s="33">
        <f t="shared" si="710"/>
        <v>0.70723553457380584</v>
      </c>
      <c r="R1252" s="33">
        <f t="shared" si="711"/>
        <v>1.1208927842126213E-2</v>
      </c>
      <c r="S1252" s="33">
        <f t="shared" si="712"/>
        <v>0.28155553758406793</v>
      </c>
      <c r="T1252" s="8">
        <f t="shared" si="713"/>
        <v>1</v>
      </c>
      <c r="U1252" s="33">
        <f t="shared" si="714"/>
        <v>0</v>
      </c>
      <c r="V1252" s="33">
        <f t="shared" si="715"/>
        <v>-0.72965339025805831</v>
      </c>
      <c r="W1252" s="33">
        <f t="shared" si="716"/>
        <v>599.21084660974191</v>
      </c>
      <c r="X1252" s="33">
        <v>96485</v>
      </c>
      <c r="Y1252" s="16">
        <f t="shared" si="717"/>
        <v>-117.48887350315229</v>
      </c>
      <c r="Z1252" s="16">
        <v>10</v>
      </c>
      <c r="AA1252" s="16">
        <v>21</v>
      </c>
      <c r="AB1252" s="8">
        <f t="shared" si="718"/>
        <v>0.3007518796992481</v>
      </c>
      <c r="AC1252" s="16">
        <f t="shared" si="719"/>
        <v>66.50659523736104</v>
      </c>
      <c r="AD1252" s="20">
        <f>'PFAS Properties'!$W$62</f>
        <v>10</v>
      </c>
      <c r="AE1252" s="8">
        <f>'PFAS Properties'!$S$62</f>
        <v>0.30535136944662378</v>
      </c>
      <c r="AF1252" s="2">
        <f>'PFAS Properties'!$V$62</f>
        <v>5.6</v>
      </c>
      <c r="AG1252" s="24">
        <v>3.8</v>
      </c>
      <c r="AH1252" s="2" t="s">
        <v>363</v>
      </c>
      <c r="AI1252" s="2" t="s">
        <v>363</v>
      </c>
      <c r="AJ1252" s="2" t="s">
        <v>363</v>
      </c>
      <c r="AK1252" s="2" t="s">
        <v>363</v>
      </c>
      <c r="AL1252" s="2" t="s">
        <v>363</v>
      </c>
      <c r="AM1252" s="2" t="s">
        <v>363</v>
      </c>
      <c r="AN1252" s="2" t="s">
        <v>363</v>
      </c>
      <c r="AO1252" s="2" t="s">
        <v>363</v>
      </c>
      <c r="AP1252" s="15">
        <v>23.89</v>
      </c>
      <c r="AQ1252" s="2" t="s">
        <v>363</v>
      </c>
      <c r="AR1252" s="16">
        <v>53</v>
      </c>
      <c r="AS1252" s="16">
        <v>41</v>
      </c>
      <c r="AT1252" s="16">
        <v>6</v>
      </c>
      <c r="AU1252" s="2" t="s">
        <v>363</v>
      </c>
      <c r="AV1252" s="16">
        <f t="shared" si="725"/>
        <v>100</v>
      </c>
      <c r="AW1252" s="20">
        <v>3.6</v>
      </c>
      <c r="AX1252" s="8">
        <f t="shared" si="721"/>
        <v>3.6000000000000004E-2</v>
      </c>
      <c r="AY1252" s="13" t="s">
        <v>364</v>
      </c>
      <c r="AZ1252" s="16">
        <v>100</v>
      </c>
      <c r="BA1252" s="16" t="s">
        <v>55</v>
      </c>
      <c r="BB1252" s="16">
        <v>500</v>
      </c>
      <c r="BC1252" s="16">
        <v>50000</v>
      </c>
      <c r="BD1252" s="18">
        <f>10^0.95</f>
        <v>8.9125093813374576</v>
      </c>
      <c r="BE1252" s="16">
        <f t="shared" si="722"/>
        <v>247.56970503715158</v>
      </c>
      <c r="BF1252" s="16">
        <f t="shared" si="723"/>
        <v>2.3936974992327129</v>
      </c>
      <c r="BG1252" s="8">
        <f t="shared" si="724"/>
        <v>0.95000000000000007</v>
      </c>
      <c r="BH1252" s="13" t="s">
        <v>367</v>
      </c>
      <c r="BI1252" s="8"/>
      <c r="BJ1252" s="16"/>
      <c r="BK1252" s="8"/>
      <c r="BL1252" s="13"/>
      <c r="BM1252" s="16"/>
      <c r="BN1252" s="16"/>
      <c r="BO1252" s="18"/>
    </row>
    <row r="1253" spans="1:67" s="14" customFormat="1" x14ac:dyDescent="0.3">
      <c r="A1253" s="20">
        <v>1251</v>
      </c>
      <c r="B1253" s="2" t="s">
        <v>358</v>
      </c>
      <c r="C1253" s="2">
        <v>2017</v>
      </c>
      <c r="D1253" s="2" t="s">
        <v>203</v>
      </c>
      <c r="E1253" s="10" t="s">
        <v>359</v>
      </c>
      <c r="F1253" s="20" t="s">
        <v>29</v>
      </c>
      <c r="G1253" s="2" t="s">
        <v>361</v>
      </c>
      <c r="H1253" s="2" t="str">
        <f>'PFAS Properties'!$B$62</f>
        <v>PFDPA</v>
      </c>
      <c r="I1253" s="2" t="str">
        <f>'PFAS Properties'!$C$62</f>
        <v>PFPA</v>
      </c>
      <c r="J1253" s="2" t="str">
        <f>'PFAS Properties'!$D$62</f>
        <v>C10H2F21O3P</v>
      </c>
      <c r="K1253" s="25">
        <f>'PFAS Properties'!$P$62</f>
        <v>599.94049999999993</v>
      </c>
      <c r="L1253" s="2">
        <f>'PFAS Properties'!$X$62</f>
        <v>3.4</v>
      </c>
      <c r="M1253" s="2">
        <f>'PFAS Properties'!$Y$62</f>
        <v>5.6</v>
      </c>
      <c r="N1253" s="33">
        <v>0</v>
      </c>
      <c r="O1253" s="33">
        <v>0</v>
      </c>
      <c r="P1253" s="33">
        <v>0</v>
      </c>
      <c r="Q1253" s="33">
        <f t="shared" si="710"/>
        <v>0.85977445397010155</v>
      </c>
      <c r="R1253" s="33">
        <f t="shared" si="711"/>
        <v>5.4248100632888409E-2</v>
      </c>
      <c r="S1253" s="33">
        <f t="shared" si="712"/>
        <v>8.5977445397010063E-2</v>
      </c>
      <c r="T1253" s="8">
        <f t="shared" si="713"/>
        <v>1</v>
      </c>
      <c r="U1253" s="33">
        <f t="shared" si="714"/>
        <v>0</v>
      </c>
      <c r="V1253" s="33">
        <f t="shared" si="715"/>
        <v>-0.96827065523587841</v>
      </c>
      <c r="W1253" s="33">
        <f t="shared" si="716"/>
        <v>598.97222934476406</v>
      </c>
      <c r="X1253" s="33">
        <v>96485</v>
      </c>
      <c r="Y1253" s="16">
        <f t="shared" si="717"/>
        <v>-155.97316468683857</v>
      </c>
      <c r="Z1253" s="16">
        <v>10</v>
      </c>
      <c r="AA1253" s="16">
        <v>21</v>
      </c>
      <c r="AB1253" s="8">
        <f t="shared" si="718"/>
        <v>0.3007518796992481</v>
      </c>
      <c r="AC1253" s="16">
        <f t="shared" si="719"/>
        <v>66.50659523736104</v>
      </c>
      <c r="AD1253" s="20">
        <f>'PFAS Properties'!$W$62</f>
        <v>10</v>
      </c>
      <c r="AE1253" s="8">
        <f>'PFAS Properties'!$S$62</f>
        <v>0.30535136944662378</v>
      </c>
      <c r="AF1253" s="2">
        <f>'PFAS Properties'!$V$62</f>
        <v>5.6</v>
      </c>
      <c r="AG1253" s="24">
        <v>4.4000000000000004</v>
      </c>
      <c r="AH1253" s="2" t="s">
        <v>363</v>
      </c>
      <c r="AI1253" s="2" t="s">
        <v>363</v>
      </c>
      <c r="AJ1253" s="2" t="s">
        <v>363</v>
      </c>
      <c r="AK1253" s="2" t="s">
        <v>363</v>
      </c>
      <c r="AL1253" s="2" t="s">
        <v>363</v>
      </c>
      <c r="AM1253" s="2" t="s">
        <v>363</v>
      </c>
      <c r="AN1253" s="2" t="s">
        <v>363</v>
      </c>
      <c r="AO1253" s="2" t="s">
        <v>363</v>
      </c>
      <c r="AP1253" s="15">
        <v>11.3</v>
      </c>
      <c r="AQ1253" s="2" t="s">
        <v>363</v>
      </c>
      <c r="AR1253" s="16">
        <v>58</v>
      </c>
      <c r="AS1253" s="16">
        <v>20</v>
      </c>
      <c r="AT1253" s="16">
        <v>22</v>
      </c>
      <c r="AU1253" s="2" t="s">
        <v>363</v>
      </c>
      <c r="AV1253" s="16">
        <f t="shared" si="725"/>
        <v>100</v>
      </c>
      <c r="AW1253" s="20">
        <v>10.199999999999999</v>
      </c>
      <c r="AX1253" s="8">
        <f t="shared" si="721"/>
        <v>0.10199999999999999</v>
      </c>
      <c r="AY1253" s="8" t="s">
        <v>364</v>
      </c>
      <c r="AZ1253" s="16">
        <v>100</v>
      </c>
      <c r="BA1253" s="16" t="s">
        <v>55</v>
      </c>
      <c r="BB1253" s="16">
        <v>500</v>
      </c>
      <c r="BC1253" s="16">
        <v>50000</v>
      </c>
      <c r="BD1253" s="18">
        <f>10^1.57</f>
        <v>37.153522909717275</v>
      </c>
      <c r="BE1253" s="16">
        <f t="shared" si="722"/>
        <v>364.25022460507137</v>
      </c>
      <c r="BF1253" s="16">
        <f t="shared" si="723"/>
        <v>2.5613998282380828</v>
      </c>
      <c r="BG1253" s="8">
        <f t="shared" si="724"/>
        <v>1.5700000000000003</v>
      </c>
      <c r="BH1253" s="13" t="s">
        <v>367</v>
      </c>
      <c r="BI1253" s="8"/>
      <c r="BJ1253" s="16"/>
      <c r="BK1253" s="8"/>
      <c r="BL1253" s="13"/>
      <c r="BM1253" s="16"/>
      <c r="BN1253" s="16"/>
      <c r="BO1253" s="18"/>
    </row>
    <row r="1254" spans="1:67" s="14" customFormat="1" x14ac:dyDescent="0.3">
      <c r="A1254" s="20">
        <v>1252</v>
      </c>
      <c r="B1254" s="2" t="s">
        <v>358</v>
      </c>
      <c r="C1254" s="2">
        <v>2017</v>
      </c>
      <c r="D1254" s="2" t="s">
        <v>203</v>
      </c>
      <c r="E1254" s="10" t="s">
        <v>359</v>
      </c>
      <c r="F1254" s="20" t="s">
        <v>29</v>
      </c>
      <c r="G1254" s="2" t="s">
        <v>274</v>
      </c>
      <c r="H1254" s="2" t="str">
        <f>'PFAS Properties'!$B$62</f>
        <v>PFDPA</v>
      </c>
      <c r="I1254" s="2" t="str">
        <f>'PFAS Properties'!$C$62</f>
        <v>PFPA</v>
      </c>
      <c r="J1254" s="2" t="str">
        <f>'PFAS Properties'!$D$62</f>
        <v>C10H2F21O3P</v>
      </c>
      <c r="K1254" s="25">
        <f>'PFAS Properties'!$P$62</f>
        <v>599.94049999999993</v>
      </c>
      <c r="L1254" s="2">
        <f>'PFAS Properties'!$X$62</f>
        <v>3.4</v>
      </c>
      <c r="M1254" s="2">
        <f>'PFAS Properties'!$Y$62</f>
        <v>5.6</v>
      </c>
      <c r="N1254" s="33">
        <v>0</v>
      </c>
      <c r="O1254" s="33">
        <v>0</v>
      </c>
      <c r="P1254" s="33">
        <v>0</v>
      </c>
      <c r="Q1254" s="33">
        <f t="shared" si="710"/>
        <v>0.2401379589221673</v>
      </c>
      <c r="R1254" s="33">
        <f t="shared" si="711"/>
        <v>0.75938290285800158</v>
      </c>
      <c r="S1254" s="33">
        <f t="shared" si="712"/>
        <v>4.7913821983094576E-4</v>
      </c>
      <c r="T1254" s="8">
        <f t="shared" si="713"/>
        <v>0.99999999999999978</v>
      </c>
      <c r="U1254" s="33">
        <f t="shared" si="714"/>
        <v>0</v>
      </c>
      <c r="V1254" s="33">
        <f t="shared" si="715"/>
        <v>-1.7589037646381704</v>
      </c>
      <c r="W1254" s="33">
        <f t="shared" si="716"/>
        <v>598.18159623536167</v>
      </c>
      <c r="X1254" s="33">
        <v>96485</v>
      </c>
      <c r="Y1254" s="16">
        <f t="shared" si="717"/>
        <v>-283.70620359965119</v>
      </c>
      <c r="Z1254" s="16">
        <v>10</v>
      </c>
      <c r="AA1254" s="16">
        <v>21</v>
      </c>
      <c r="AB1254" s="8">
        <f t="shared" si="718"/>
        <v>0.3007518796992481</v>
      </c>
      <c r="AC1254" s="16">
        <f t="shared" si="719"/>
        <v>66.50659523736104</v>
      </c>
      <c r="AD1254" s="20">
        <f>'PFAS Properties'!$W$62</f>
        <v>10</v>
      </c>
      <c r="AE1254" s="8">
        <f>'PFAS Properties'!$S$62</f>
        <v>0.30535136944662378</v>
      </c>
      <c r="AF1254" s="2">
        <f>'PFAS Properties'!$V$62</f>
        <v>5.6</v>
      </c>
      <c r="AG1254" s="24">
        <v>6.1</v>
      </c>
      <c r="AH1254" s="2" t="s">
        <v>363</v>
      </c>
      <c r="AI1254" s="2" t="s">
        <v>363</v>
      </c>
      <c r="AJ1254" s="2" t="s">
        <v>363</v>
      </c>
      <c r="AK1254" s="2" t="s">
        <v>363</v>
      </c>
      <c r="AL1254" s="2" t="s">
        <v>363</v>
      </c>
      <c r="AM1254" s="2" t="s">
        <v>363</v>
      </c>
      <c r="AN1254" s="2" t="s">
        <v>363</v>
      </c>
      <c r="AO1254" s="2" t="s">
        <v>363</v>
      </c>
      <c r="AP1254" s="15">
        <v>24.2</v>
      </c>
      <c r="AQ1254" s="2" t="s">
        <v>363</v>
      </c>
      <c r="AR1254" s="16">
        <v>10</v>
      </c>
      <c r="AS1254" s="16">
        <v>61</v>
      </c>
      <c r="AT1254" s="16">
        <v>27</v>
      </c>
      <c r="AU1254" s="2" t="s">
        <v>363</v>
      </c>
      <c r="AV1254" s="16">
        <f t="shared" si="725"/>
        <v>98</v>
      </c>
      <c r="AW1254" s="20">
        <v>2.63</v>
      </c>
      <c r="AX1254" s="8">
        <f t="shared" si="721"/>
        <v>2.63E-2</v>
      </c>
      <c r="AY1254" s="8" t="s">
        <v>364</v>
      </c>
      <c r="AZ1254" s="16">
        <v>100</v>
      </c>
      <c r="BA1254" s="16" t="s">
        <v>55</v>
      </c>
      <c r="BB1254" s="16">
        <v>500</v>
      </c>
      <c r="BC1254" s="16">
        <v>50000</v>
      </c>
      <c r="BD1254" s="18">
        <f>10^2.31</f>
        <v>204.17379446695315</v>
      </c>
      <c r="BE1254" s="16">
        <f t="shared" si="722"/>
        <v>7763.2621470324393</v>
      </c>
      <c r="BF1254" s="16">
        <f t="shared" si="723"/>
        <v>3.8900442515102425</v>
      </c>
      <c r="BG1254" s="8">
        <f t="shared" si="724"/>
        <v>2.3100000000000005</v>
      </c>
      <c r="BH1254" s="13" t="s">
        <v>367</v>
      </c>
      <c r="BI1254" s="8"/>
      <c r="BJ1254" s="16"/>
      <c r="BK1254" s="8"/>
      <c r="BL1254" s="13"/>
      <c r="BM1254" s="16"/>
      <c r="BN1254" s="16"/>
      <c r="BO1254" s="18"/>
    </row>
    <row r="1255" spans="1:67" s="14" customFormat="1" x14ac:dyDescent="0.3">
      <c r="A1255" s="20">
        <v>1253</v>
      </c>
      <c r="B1255" s="2" t="s">
        <v>358</v>
      </c>
      <c r="C1255" s="2">
        <v>2017</v>
      </c>
      <c r="D1255" s="2" t="s">
        <v>203</v>
      </c>
      <c r="E1255" s="10" t="s">
        <v>359</v>
      </c>
      <c r="F1255" s="20" t="s">
        <v>29</v>
      </c>
      <c r="G1255" s="2" t="s">
        <v>362</v>
      </c>
      <c r="H1255" s="2" t="str">
        <f>'PFAS Properties'!$B$62</f>
        <v>PFDPA</v>
      </c>
      <c r="I1255" s="2" t="str">
        <f>'PFAS Properties'!$C$62</f>
        <v>PFPA</v>
      </c>
      <c r="J1255" s="2" t="str">
        <f>'PFAS Properties'!$D$62</f>
        <v>C10H2F21O3P</v>
      </c>
      <c r="K1255" s="25">
        <f>'PFAS Properties'!$P$62</f>
        <v>599.94049999999993</v>
      </c>
      <c r="L1255" s="2">
        <f>'PFAS Properties'!$X$62</f>
        <v>3.4</v>
      </c>
      <c r="M1255" s="2">
        <f>'PFAS Properties'!$Y$62</f>
        <v>5.6</v>
      </c>
      <c r="N1255" s="33">
        <v>0</v>
      </c>
      <c r="O1255" s="33">
        <v>0</v>
      </c>
      <c r="P1255" s="33">
        <v>0</v>
      </c>
      <c r="Q1255" s="33">
        <f t="shared" si="710"/>
        <v>0.8629127998023951</v>
      </c>
      <c r="R1255" s="33">
        <f t="shared" si="711"/>
        <v>6.8543600098802435E-2</v>
      </c>
      <c r="S1255" s="33">
        <f t="shared" si="712"/>
        <v>6.8543600098802351E-2</v>
      </c>
      <c r="T1255" s="8">
        <f t="shared" si="713"/>
        <v>0.99999999999999989</v>
      </c>
      <c r="U1255" s="33">
        <f t="shared" si="714"/>
        <v>0</v>
      </c>
      <c r="V1255" s="33">
        <f t="shared" si="715"/>
        <v>-1</v>
      </c>
      <c r="W1255" s="33">
        <f t="shared" si="716"/>
        <v>598.94049999999982</v>
      </c>
      <c r="X1255" s="33">
        <v>96485</v>
      </c>
      <c r="Y1255" s="16">
        <f t="shared" si="717"/>
        <v>-161.09279636291089</v>
      </c>
      <c r="Z1255" s="16">
        <v>10</v>
      </c>
      <c r="AA1255" s="16">
        <v>21</v>
      </c>
      <c r="AB1255" s="8">
        <f t="shared" si="718"/>
        <v>0.3007518796992481</v>
      </c>
      <c r="AC1255" s="16">
        <f t="shared" si="719"/>
        <v>66.50659523736104</v>
      </c>
      <c r="AD1255" s="20">
        <f>'PFAS Properties'!$W$62</f>
        <v>10</v>
      </c>
      <c r="AE1255" s="8">
        <f>'PFAS Properties'!$S$62</f>
        <v>0.30535136944662378</v>
      </c>
      <c r="AF1255" s="2">
        <f>'PFAS Properties'!$V$62</f>
        <v>5.6</v>
      </c>
      <c r="AG1255" s="24">
        <v>4.5</v>
      </c>
      <c r="AH1255" s="2" t="s">
        <v>363</v>
      </c>
      <c r="AI1255" s="2" t="s">
        <v>363</v>
      </c>
      <c r="AJ1255" s="2" t="s">
        <v>363</v>
      </c>
      <c r="AK1255" s="2" t="s">
        <v>363</v>
      </c>
      <c r="AL1255" s="2" t="s">
        <v>363</v>
      </c>
      <c r="AM1255" s="2" t="s">
        <v>363</v>
      </c>
      <c r="AN1255" s="2" t="s">
        <v>363</v>
      </c>
      <c r="AO1255" s="2" t="s">
        <v>363</v>
      </c>
      <c r="AP1255" s="72">
        <v>21.496500000000001</v>
      </c>
      <c r="AQ1255" s="70" t="s">
        <v>752</v>
      </c>
      <c r="AR1255" s="71">
        <v>41.737499999999997</v>
      </c>
      <c r="AS1255" s="71">
        <v>35.036999999999999</v>
      </c>
      <c r="AT1255" s="71">
        <v>21.971</v>
      </c>
      <c r="AU1255" s="70" t="s">
        <v>752</v>
      </c>
      <c r="AV1255" s="16">
        <f t="shared" si="725"/>
        <v>98.745499999999993</v>
      </c>
      <c r="AW1255" s="20">
        <v>45.7</v>
      </c>
      <c r="AX1255" s="8">
        <f t="shared" si="721"/>
        <v>0.45700000000000002</v>
      </c>
      <c r="AY1255" s="8" t="s">
        <v>364</v>
      </c>
      <c r="AZ1255" s="16">
        <v>100</v>
      </c>
      <c r="BA1255" s="16" t="s">
        <v>55</v>
      </c>
      <c r="BB1255" s="16">
        <v>500</v>
      </c>
      <c r="BC1255" s="16">
        <v>50000</v>
      </c>
      <c r="BD1255" s="18">
        <f>10^1.55</f>
        <v>35.481338923357555</v>
      </c>
      <c r="BE1255" s="16">
        <f t="shared" si="722"/>
        <v>77.639691298375396</v>
      </c>
      <c r="BF1255" s="16">
        <f t="shared" si="723"/>
        <v>1.8900837999301499</v>
      </c>
      <c r="BG1255" s="8">
        <f t="shared" si="724"/>
        <v>1.55</v>
      </c>
      <c r="BH1255" s="13" t="s">
        <v>367</v>
      </c>
      <c r="BI1255" s="8"/>
      <c r="BJ1255" s="16"/>
      <c r="BK1255" s="8"/>
      <c r="BL1255" s="13"/>
      <c r="BM1255" s="16"/>
      <c r="BN1255" s="16"/>
      <c r="BO1255" s="18"/>
    </row>
    <row r="1256" spans="1:67" s="94" customFormat="1" x14ac:dyDescent="0.3">
      <c r="A1256" s="83">
        <v>1254</v>
      </c>
      <c r="B1256" s="84" t="s">
        <v>358</v>
      </c>
      <c r="C1256" s="84">
        <v>2017</v>
      </c>
      <c r="D1256" s="84" t="s">
        <v>203</v>
      </c>
      <c r="E1256" s="85" t="s">
        <v>359</v>
      </c>
      <c r="F1256" s="83" t="s">
        <v>29</v>
      </c>
      <c r="G1256" s="84" t="s">
        <v>360</v>
      </c>
      <c r="H1256" s="84" t="str">
        <f>'PFAS Properties'!$B$63</f>
        <v>C6/6 PFPiA</v>
      </c>
      <c r="I1256" s="84" t="str">
        <f>'PFAS Properties'!$C$63</f>
        <v>PFPiA</v>
      </c>
      <c r="J1256" s="84" t="str">
        <f>'PFAS Properties'!$D$63</f>
        <v>C12F26HO2P</v>
      </c>
      <c r="K1256" s="99">
        <f>'PFAS Properties'!$P$63</f>
        <v>701.92979999999989</v>
      </c>
      <c r="L1256" s="84">
        <f>'PFAS Properties'!$X$63</f>
        <v>0.9</v>
      </c>
      <c r="M1256" s="84" t="str">
        <f>'PFAS Properties'!$Y$63</f>
        <v>-</v>
      </c>
      <c r="N1256" s="87">
        <v>0</v>
      </c>
      <c r="O1256" s="87">
        <v>0</v>
      </c>
      <c r="P1256" s="87">
        <v>0</v>
      </c>
      <c r="Q1256" s="87">
        <f t="shared" ref="Q1256:Q1260" si="726">(10^(AG1256-L1256))/(1+(10^(AG1256-L1256)))</f>
        <v>0.99994988378839778</v>
      </c>
      <c r="R1256" s="87">
        <v>0</v>
      </c>
      <c r="S1256" s="87">
        <f t="shared" ref="S1256:S1260" si="727">(1/(1+(10^(AG1256-L1256))))</f>
        <v>5.0116211602181963E-5</v>
      </c>
      <c r="T1256" s="88">
        <f t="shared" ref="T1256:T1259" si="728">SUM(N1256:S1256)</f>
        <v>1</v>
      </c>
      <c r="U1256" s="87">
        <f t="shared" ref="U1256:U1269" si="729">((1*N1256)+(1*O1256)+(1*P1256))</f>
        <v>0</v>
      </c>
      <c r="V1256" s="87">
        <f t="shared" ref="V1256:V1269" si="730">-((1*O1256)+(2*P1256)+(1*Q1256)+(2*R1256))</f>
        <v>-0.99994988378839778</v>
      </c>
      <c r="W1256" s="87">
        <f t="shared" ref="W1256:W1269" si="731">(N1256*(K1256+1))+(O1256*K1256)+(P1256*(K1256-1))+(Q1256*(K1256-1))+(R1256*(K1256-2))+(S1256*K1256)</f>
        <v>700.92985011621147</v>
      </c>
      <c r="X1256" s="87">
        <v>96485</v>
      </c>
      <c r="Y1256" s="89">
        <f t="shared" ref="Y1256:Y1269" si="732">((V1256+U1256)/W1256)*X1256</f>
        <v>-137.64596346029137</v>
      </c>
      <c r="Z1256" s="84">
        <v>12</v>
      </c>
      <c r="AA1256" s="84">
        <v>26</v>
      </c>
      <c r="AB1256" s="88">
        <f t="shared" ref="AB1256:AB1269" si="733">(Z1256/AA1256)*(12/19)</f>
        <v>0.291497975708502</v>
      </c>
      <c r="AC1256" s="89">
        <f t="shared" ref="AC1256:AC1269" si="734">((AA1256*19)/K1256)*100</f>
        <v>70.377408111181509</v>
      </c>
      <c r="AD1256" s="83">
        <f>'PFAS Properties'!$W$63</f>
        <v>12</v>
      </c>
      <c r="AE1256" s="88">
        <f>'PFAS Properties'!$S$63</f>
        <v>-1.4135252214286034</v>
      </c>
      <c r="AF1256" s="84">
        <f>'PFAS Properties'!$V$63</f>
        <v>8</v>
      </c>
      <c r="AG1256" s="93">
        <v>5.2</v>
      </c>
      <c r="AH1256" s="84" t="s">
        <v>363</v>
      </c>
      <c r="AI1256" s="84" t="s">
        <v>363</v>
      </c>
      <c r="AJ1256" s="84" t="s">
        <v>363</v>
      </c>
      <c r="AK1256" s="84" t="s">
        <v>363</v>
      </c>
      <c r="AL1256" s="84" t="s">
        <v>363</v>
      </c>
      <c r="AM1256" s="84" t="s">
        <v>363</v>
      </c>
      <c r="AN1256" s="84" t="s">
        <v>363</v>
      </c>
      <c r="AO1256" s="84" t="s">
        <v>363</v>
      </c>
      <c r="AP1256" s="90">
        <v>9.6</v>
      </c>
      <c r="AQ1256" s="84" t="s">
        <v>363</v>
      </c>
      <c r="AR1256" s="89">
        <v>63</v>
      </c>
      <c r="AS1256" s="89">
        <v>32</v>
      </c>
      <c r="AT1256" s="89">
        <v>5</v>
      </c>
      <c r="AU1256" s="84" t="s">
        <v>363</v>
      </c>
      <c r="AV1256" s="89">
        <f t="shared" ref="AV1256:AV1276" si="735">SUM(AR1256:AT1256)</f>
        <v>100</v>
      </c>
      <c r="AW1256" s="83">
        <v>1</v>
      </c>
      <c r="AX1256" s="88">
        <f t="shared" ref="AX1256:AX1276" si="736">AW1256/100</f>
        <v>0.01</v>
      </c>
      <c r="AY1256" s="91" t="s">
        <v>364</v>
      </c>
      <c r="AZ1256" s="89">
        <f t="shared" si="707"/>
        <v>100</v>
      </c>
      <c r="BA1256" s="89" t="s">
        <v>55</v>
      </c>
      <c r="BB1256" s="89">
        <v>500</v>
      </c>
      <c r="BC1256" s="89">
        <v>50000</v>
      </c>
      <c r="BD1256" s="86">
        <f>10^1.3</f>
        <v>19.952623149688804</v>
      </c>
      <c r="BE1256" s="89">
        <f t="shared" ref="BE1256:BE1276" si="737">BD1256/AX1256</f>
        <v>1995.2623149688804</v>
      </c>
      <c r="BF1256" s="89">
        <f t="shared" ref="BF1256:BF1276" si="738">LOG(BE1256)</f>
        <v>3.3000000000000003</v>
      </c>
      <c r="BG1256" s="88">
        <f t="shared" ref="BG1256:BG1276" si="739">LOG(BD1256)</f>
        <v>1.3000000000000003</v>
      </c>
      <c r="BH1256" s="90" t="s">
        <v>367</v>
      </c>
      <c r="BI1256" s="88"/>
      <c r="BJ1256" s="91"/>
      <c r="BK1256" s="89"/>
      <c r="BL1256" s="89"/>
      <c r="BM1256" s="89"/>
      <c r="BN1256" s="89"/>
      <c r="BO1256" s="84"/>
    </row>
    <row r="1257" spans="1:67" s="94" customFormat="1" x14ac:dyDescent="0.3">
      <c r="A1257" s="83">
        <v>1255</v>
      </c>
      <c r="B1257" s="84" t="s">
        <v>358</v>
      </c>
      <c r="C1257" s="84">
        <v>2017</v>
      </c>
      <c r="D1257" s="84" t="s">
        <v>203</v>
      </c>
      <c r="E1257" s="85" t="s">
        <v>359</v>
      </c>
      <c r="F1257" s="83" t="s">
        <v>29</v>
      </c>
      <c r="G1257" s="84" t="s">
        <v>88</v>
      </c>
      <c r="H1257" s="84" t="str">
        <f>'PFAS Properties'!$B$63</f>
        <v>C6/6 PFPiA</v>
      </c>
      <c r="I1257" s="84" t="str">
        <f>'PFAS Properties'!$C$63</f>
        <v>PFPiA</v>
      </c>
      <c r="J1257" s="84" t="str">
        <f>'PFAS Properties'!$D$63</f>
        <v>C12F26HO2P</v>
      </c>
      <c r="K1257" s="99">
        <f>'PFAS Properties'!$P$63</f>
        <v>701.92979999999989</v>
      </c>
      <c r="L1257" s="84">
        <f>'PFAS Properties'!$X$63</f>
        <v>0.9</v>
      </c>
      <c r="M1257" s="84" t="str">
        <f>'PFAS Properties'!$Y$63</f>
        <v>-</v>
      </c>
      <c r="N1257" s="87">
        <v>0</v>
      </c>
      <c r="O1257" s="87">
        <v>0</v>
      </c>
      <c r="P1257" s="87">
        <v>0</v>
      </c>
      <c r="Q1257" s="87">
        <f t="shared" si="726"/>
        <v>0.99999800474166611</v>
      </c>
      <c r="R1257" s="87">
        <v>0</v>
      </c>
      <c r="S1257" s="87">
        <f t="shared" si="727"/>
        <v>1.9952583339051196E-6</v>
      </c>
      <c r="T1257" s="88">
        <f t="shared" si="728"/>
        <v>1</v>
      </c>
      <c r="U1257" s="87">
        <f t="shared" si="729"/>
        <v>0</v>
      </c>
      <c r="V1257" s="87">
        <f t="shared" si="730"/>
        <v>-0.99999800474166611</v>
      </c>
      <c r="W1257" s="87">
        <f t="shared" si="731"/>
        <v>700.92980199525823</v>
      </c>
      <c r="X1257" s="87">
        <v>96485</v>
      </c>
      <c r="Y1257" s="89">
        <f t="shared" si="732"/>
        <v>-137.65259689750269</v>
      </c>
      <c r="Z1257" s="84">
        <v>12</v>
      </c>
      <c r="AA1257" s="84">
        <v>26</v>
      </c>
      <c r="AB1257" s="88">
        <f t="shared" si="733"/>
        <v>0.291497975708502</v>
      </c>
      <c r="AC1257" s="89">
        <f t="shared" si="734"/>
        <v>70.377408111181509</v>
      </c>
      <c r="AD1257" s="83">
        <f>'PFAS Properties'!$W$63</f>
        <v>12</v>
      </c>
      <c r="AE1257" s="88">
        <f>'PFAS Properties'!$S$63</f>
        <v>-1.4135252214286034</v>
      </c>
      <c r="AF1257" s="84">
        <f>'PFAS Properties'!$V$63</f>
        <v>8</v>
      </c>
      <c r="AG1257" s="93">
        <v>6.6</v>
      </c>
      <c r="AH1257" s="84" t="s">
        <v>363</v>
      </c>
      <c r="AI1257" s="84" t="s">
        <v>363</v>
      </c>
      <c r="AJ1257" s="84" t="s">
        <v>363</v>
      </c>
      <c r="AK1257" s="84" t="s">
        <v>363</v>
      </c>
      <c r="AL1257" s="84" t="s">
        <v>363</v>
      </c>
      <c r="AM1257" s="84" t="s">
        <v>363</v>
      </c>
      <c r="AN1257" s="84" t="s">
        <v>363</v>
      </c>
      <c r="AO1257" s="84" t="s">
        <v>363</v>
      </c>
      <c r="AP1257" s="90">
        <v>33.5</v>
      </c>
      <c r="AQ1257" s="84" t="s">
        <v>363</v>
      </c>
      <c r="AR1257" s="89">
        <v>25</v>
      </c>
      <c r="AS1257" s="89">
        <v>38</v>
      </c>
      <c r="AT1257" s="89">
        <v>37</v>
      </c>
      <c r="AU1257" s="84" t="s">
        <v>363</v>
      </c>
      <c r="AV1257" s="89">
        <f t="shared" si="735"/>
        <v>100</v>
      </c>
      <c r="AW1257" s="83">
        <v>1.1000000000000001</v>
      </c>
      <c r="AX1257" s="88">
        <f t="shared" si="736"/>
        <v>1.1000000000000001E-2</v>
      </c>
      <c r="AY1257" s="91" t="s">
        <v>364</v>
      </c>
      <c r="AZ1257" s="89">
        <v>100</v>
      </c>
      <c r="BA1257" s="89" t="s">
        <v>55</v>
      </c>
      <c r="BB1257" s="89">
        <v>500</v>
      </c>
      <c r="BC1257" s="89">
        <v>50000</v>
      </c>
      <c r="BD1257" s="86">
        <f>10^1.49</f>
        <v>30.902954325135919</v>
      </c>
      <c r="BE1257" s="89">
        <f t="shared" si="737"/>
        <v>2809.359484103265</v>
      </c>
      <c r="BF1257" s="89">
        <f t="shared" si="738"/>
        <v>3.4486073148417753</v>
      </c>
      <c r="BG1257" s="88">
        <f t="shared" si="739"/>
        <v>1.4900000000000002</v>
      </c>
      <c r="BH1257" s="90" t="s">
        <v>367</v>
      </c>
      <c r="BI1257" s="88"/>
      <c r="BJ1257" s="91"/>
      <c r="BK1257" s="89"/>
      <c r="BL1257" s="89"/>
      <c r="BM1257" s="89"/>
      <c r="BN1257" s="89"/>
      <c r="BO1257" s="84"/>
    </row>
    <row r="1258" spans="1:67" s="94" customFormat="1" x14ac:dyDescent="0.3">
      <c r="A1258" s="83">
        <v>1256</v>
      </c>
      <c r="B1258" s="84" t="s">
        <v>358</v>
      </c>
      <c r="C1258" s="84">
        <v>2017</v>
      </c>
      <c r="D1258" s="84" t="s">
        <v>203</v>
      </c>
      <c r="E1258" s="85" t="s">
        <v>359</v>
      </c>
      <c r="F1258" s="83" t="s">
        <v>29</v>
      </c>
      <c r="G1258" s="84" t="s">
        <v>365</v>
      </c>
      <c r="H1258" s="84" t="str">
        <f>'PFAS Properties'!$B$63</f>
        <v>C6/6 PFPiA</v>
      </c>
      <c r="I1258" s="84" t="str">
        <f>'PFAS Properties'!$C$63</f>
        <v>PFPiA</v>
      </c>
      <c r="J1258" s="84" t="str">
        <f>'PFAS Properties'!$D$63</f>
        <v>C12F26HO2P</v>
      </c>
      <c r="K1258" s="99">
        <f>'PFAS Properties'!$P$63</f>
        <v>701.92979999999989</v>
      </c>
      <c r="L1258" s="84">
        <f>'PFAS Properties'!$X$63</f>
        <v>0.9</v>
      </c>
      <c r="M1258" s="84" t="str">
        <f>'PFAS Properties'!$Y$63</f>
        <v>-</v>
      </c>
      <c r="N1258" s="87">
        <v>0</v>
      </c>
      <c r="O1258" s="87">
        <v>0</v>
      </c>
      <c r="P1258" s="87">
        <v>0</v>
      </c>
      <c r="Q1258" s="87">
        <f t="shared" si="726"/>
        <v>0.9999992056723962</v>
      </c>
      <c r="R1258" s="87">
        <v>0</v>
      </c>
      <c r="S1258" s="87">
        <f t="shared" si="727"/>
        <v>7.9432760376743793E-7</v>
      </c>
      <c r="T1258" s="88">
        <f t="shared" si="728"/>
        <v>1</v>
      </c>
      <c r="U1258" s="87">
        <f t="shared" si="729"/>
        <v>0</v>
      </c>
      <c r="V1258" s="87">
        <f t="shared" si="730"/>
        <v>-0.9999992056723962</v>
      </c>
      <c r="W1258" s="87">
        <f t="shared" si="731"/>
        <v>700.92980079432743</v>
      </c>
      <c r="X1258" s="87">
        <v>96485</v>
      </c>
      <c r="Y1258" s="89">
        <f t="shared" si="732"/>
        <v>-137.65276244491216</v>
      </c>
      <c r="Z1258" s="84">
        <v>12</v>
      </c>
      <c r="AA1258" s="84">
        <v>26</v>
      </c>
      <c r="AB1258" s="88">
        <f t="shared" si="733"/>
        <v>0.291497975708502</v>
      </c>
      <c r="AC1258" s="89">
        <f t="shared" si="734"/>
        <v>70.377408111181509</v>
      </c>
      <c r="AD1258" s="83">
        <f>'PFAS Properties'!$W$63</f>
        <v>12</v>
      </c>
      <c r="AE1258" s="88">
        <f>'PFAS Properties'!$S$63</f>
        <v>-1.4135252214286034</v>
      </c>
      <c r="AF1258" s="84">
        <f>'PFAS Properties'!$V$63</f>
        <v>8</v>
      </c>
      <c r="AG1258" s="93">
        <v>7</v>
      </c>
      <c r="AH1258" s="84" t="s">
        <v>363</v>
      </c>
      <c r="AI1258" s="84" t="s">
        <v>363</v>
      </c>
      <c r="AJ1258" s="84" t="s">
        <v>363</v>
      </c>
      <c r="AK1258" s="84" t="s">
        <v>363</v>
      </c>
      <c r="AL1258" s="84" t="s">
        <v>363</v>
      </c>
      <c r="AM1258" s="84" t="s">
        <v>363</v>
      </c>
      <c r="AN1258" s="84" t="s">
        <v>363</v>
      </c>
      <c r="AO1258" s="84" t="s">
        <v>363</v>
      </c>
      <c r="AP1258" s="90">
        <v>23.3</v>
      </c>
      <c r="AQ1258" s="84" t="s">
        <v>363</v>
      </c>
      <c r="AR1258" s="89">
        <v>28</v>
      </c>
      <c r="AS1258" s="89">
        <v>48</v>
      </c>
      <c r="AT1258" s="89">
        <v>22</v>
      </c>
      <c r="AU1258" s="84" t="s">
        <v>363</v>
      </c>
      <c r="AV1258" s="89">
        <f t="shared" si="735"/>
        <v>98</v>
      </c>
      <c r="AW1258" s="83">
        <v>1.1000000000000001</v>
      </c>
      <c r="AX1258" s="88">
        <f t="shared" si="736"/>
        <v>1.1000000000000001E-2</v>
      </c>
      <c r="AY1258" s="88" t="s">
        <v>364</v>
      </c>
      <c r="AZ1258" s="89">
        <v>100</v>
      </c>
      <c r="BA1258" s="89" t="s">
        <v>55</v>
      </c>
      <c r="BB1258" s="89">
        <v>500</v>
      </c>
      <c r="BC1258" s="89">
        <v>50000</v>
      </c>
      <c r="BD1258" s="86">
        <f>10^2.06</f>
        <v>114.81536214968835</v>
      </c>
      <c r="BE1258" s="89">
        <f t="shared" si="737"/>
        <v>10437.760195426214</v>
      </c>
      <c r="BF1258" s="89">
        <f t="shared" si="738"/>
        <v>4.0186073148417751</v>
      </c>
      <c r="BG1258" s="88">
        <f t="shared" si="739"/>
        <v>2.0600000000000005</v>
      </c>
      <c r="BH1258" s="90" t="s">
        <v>367</v>
      </c>
      <c r="BI1258" s="88"/>
      <c r="BJ1258" s="91"/>
      <c r="BK1258" s="89"/>
      <c r="BL1258" s="89"/>
      <c r="BM1258" s="89"/>
      <c r="BN1258" s="89"/>
      <c r="BO1258" s="84"/>
    </row>
    <row r="1259" spans="1:67" s="94" customFormat="1" x14ac:dyDescent="0.3">
      <c r="A1259" s="83">
        <v>1257</v>
      </c>
      <c r="B1259" s="84" t="s">
        <v>358</v>
      </c>
      <c r="C1259" s="84">
        <v>2017</v>
      </c>
      <c r="D1259" s="84" t="s">
        <v>203</v>
      </c>
      <c r="E1259" s="85" t="s">
        <v>359</v>
      </c>
      <c r="F1259" s="83" t="s">
        <v>29</v>
      </c>
      <c r="G1259" s="84" t="s">
        <v>89</v>
      </c>
      <c r="H1259" s="84" t="str">
        <f>'PFAS Properties'!$B$63</f>
        <v>C6/6 PFPiA</v>
      </c>
      <c r="I1259" s="84" t="str">
        <f>'PFAS Properties'!$C$63</f>
        <v>PFPiA</v>
      </c>
      <c r="J1259" s="84" t="str">
        <f>'PFAS Properties'!$D$63</f>
        <v>C12F26HO2P</v>
      </c>
      <c r="K1259" s="99">
        <f>'PFAS Properties'!$P$63</f>
        <v>701.92979999999989</v>
      </c>
      <c r="L1259" s="84">
        <f>'PFAS Properties'!$X$63</f>
        <v>0.9</v>
      </c>
      <c r="M1259" s="84" t="str">
        <f>'PFAS Properties'!$Y$63</f>
        <v>-</v>
      </c>
      <c r="N1259" s="87">
        <v>0</v>
      </c>
      <c r="O1259" s="87">
        <v>0</v>
      </c>
      <c r="P1259" s="87">
        <v>0</v>
      </c>
      <c r="Q1259" s="87">
        <f t="shared" si="726"/>
        <v>0.99874265748864466</v>
      </c>
      <c r="R1259" s="87">
        <v>0</v>
      </c>
      <c r="S1259" s="87">
        <f t="shared" si="727"/>
        <v>1.2573425113552919E-3</v>
      </c>
      <c r="T1259" s="88">
        <f t="shared" si="728"/>
        <v>1</v>
      </c>
      <c r="U1259" s="87">
        <f t="shared" si="729"/>
        <v>0</v>
      </c>
      <c r="V1259" s="87">
        <f t="shared" si="730"/>
        <v>-0.99874265748864466</v>
      </c>
      <c r="W1259" s="87">
        <f t="shared" si="731"/>
        <v>700.93105734251117</v>
      </c>
      <c r="X1259" s="87">
        <v>96485</v>
      </c>
      <c r="Y1259" s="89">
        <f t="shared" si="732"/>
        <v>-137.47954852099471</v>
      </c>
      <c r="Z1259" s="84">
        <v>12</v>
      </c>
      <c r="AA1259" s="84">
        <v>26</v>
      </c>
      <c r="AB1259" s="88">
        <f t="shared" si="733"/>
        <v>0.291497975708502</v>
      </c>
      <c r="AC1259" s="89">
        <f t="shared" si="734"/>
        <v>70.377408111181509</v>
      </c>
      <c r="AD1259" s="83">
        <f>'PFAS Properties'!$W$63</f>
        <v>12</v>
      </c>
      <c r="AE1259" s="88">
        <f>'PFAS Properties'!$S$63</f>
        <v>-1.4135252214286034</v>
      </c>
      <c r="AF1259" s="84">
        <f>'PFAS Properties'!$V$63</f>
        <v>8</v>
      </c>
      <c r="AG1259" s="93">
        <v>3.8</v>
      </c>
      <c r="AH1259" s="84" t="s">
        <v>363</v>
      </c>
      <c r="AI1259" s="84" t="s">
        <v>363</v>
      </c>
      <c r="AJ1259" s="84" t="s">
        <v>363</v>
      </c>
      <c r="AK1259" s="84" t="s">
        <v>363</v>
      </c>
      <c r="AL1259" s="84" t="s">
        <v>363</v>
      </c>
      <c r="AM1259" s="84" t="s">
        <v>363</v>
      </c>
      <c r="AN1259" s="84" t="s">
        <v>363</v>
      </c>
      <c r="AO1259" s="84" t="s">
        <v>363</v>
      </c>
      <c r="AP1259" s="90">
        <v>23.89</v>
      </c>
      <c r="AQ1259" s="84" t="s">
        <v>363</v>
      </c>
      <c r="AR1259" s="89">
        <v>53</v>
      </c>
      <c r="AS1259" s="89">
        <v>41</v>
      </c>
      <c r="AT1259" s="89">
        <v>6</v>
      </c>
      <c r="AU1259" s="84" t="s">
        <v>363</v>
      </c>
      <c r="AV1259" s="89">
        <f t="shared" si="735"/>
        <v>100</v>
      </c>
      <c r="AW1259" s="83">
        <v>3.6</v>
      </c>
      <c r="AX1259" s="88">
        <f t="shared" si="736"/>
        <v>3.6000000000000004E-2</v>
      </c>
      <c r="AY1259" s="91" t="s">
        <v>364</v>
      </c>
      <c r="AZ1259" s="89">
        <v>100</v>
      </c>
      <c r="BA1259" s="89" t="s">
        <v>55</v>
      </c>
      <c r="BB1259" s="89">
        <v>500</v>
      </c>
      <c r="BC1259" s="89">
        <v>50000</v>
      </c>
      <c r="BD1259" s="86">
        <f>10^1.82</f>
        <v>66.069344800759623</v>
      </c>
      <c r="BE1259" s="89">
        <f t="shared" si="737"/>
        <v>1835.2595777988781</v>
      </c>
      <c r="BF1259" s="89">
        <f t="shared" si="738"/>
        <v>3.263697499232713</v>
      </c>
      <c r="BG1259" s="88">
        <f t="shared" si="739"/>
        <v>1.82</v>
      </c>
      <c r="BH1259" s="90" t="s">
        <v>367</v>
      </c>
      <c r="BI1259" s="88"/>
      <c r="BJ1259" s="91"/>
      <c r="BK1259" s="89"/>
      <c r="BL1259" s="89"/>
      <c r="BM1259" s="89"/>
      <c r="BN1259" s="89"/>
      <c r="BO1259" s="84"/>
    </row>
    <row r="1260" spans="1:67" s="94" customFormat="1" x14ac:dyDescent="0.3">
      <c r="A1260" s="83">
        <v>1258</v>
      </c>
      <c r="B1260" s="84" t="s">
        <v>358</v>
      </c>
      <c r="C1260" s="84">
        <v>2017</v>
      </c>
      <c r="D1260" s="84" t="s">
        <v>203</v>
      </c>
      <c r="E1260" s="85" t="s">
        <v>359</v>
      </c>
      <c r="F1260" s="83" t="s">
        <v>29</v>
      </c>
      <c r="G1260" s="84" t="s">
        <v>361</v>
      </c>
      <c r="H1260" s="84" t="str">
        <f>'PFAS Properties'!$B$63</f>
        <v>C6/6 PFPiA</v>
      </c>
      <c r="I1260" s="84" t="str">
        <f>'PFAS Properties'!$C$63</f>
        <v>PFPiA</v>
      </c>
      <c r="J1260" s="84" t="str">
        <f>'PFAS Properties'!$D$63</f>
        <v>C12F26HO2P</v>
      </c>
      <c r="K1260" s="99">
        <f>'PFAS Properties'!$P$63</f>
        <v>701.92979999999989</v>
      </c>
      <c r="L1260" s="84">
        <f>'PFAS Properties'!$X$63</f>
        <v>0.9</v>
      </c>
      <c r="M1260" s="84" t="str">
        <f>'PFAS Properties'!$Y$63</f>
        <v>-</v>
      </c>
      <c r="N1260" s="87">
        <v>0</v>
      </c>
      <c r="O1260" s="87">
        <v>0</v>
      </c>
      <c r="P1260" s="87">
        <v>0</v>
      </c>
      <c r="Q1260" s="87">
        <f t="shared" si="726"/>
        <v>0.99968387220237043</v>
      </c>
      <c r="R1260" s="87">
        <v>0</v>
      </c>
      <c r="S1260" s="87">
        <f t="shared" si="727"/>
        <v>3.1612779762961706E-4</v>
      </c>
      <c r="T1260" s="88">
        <f t="shared" ref="T1260:T1276" si="740">SUM(N1260:S1260)</f>
        <v>1</v>
      </c>
      <c r="U1260" s="87">
        <f t="shared" si="729"/>
        <v>0</v>
      </c>
      <c r="V1260" s="87">
        <f t="shared" si="730"/>
        <v>-0.99968387220237043</v>
      </c>
      <c r="W1260" s="87">
        <f t="shared" si="731"/>
        <v>700.93011612779753</v>
      </c>
      <c r="X1260" s="87">
        <v>96485</v>
      </c>
      <c r="Y1260" s="89">
        <f t="shared" si="732"/>
        <v>-137.60929397968624</v>
      </c>
      <c r="Z1260" s="84">
        <v>12</v>
      </c>
      <c r="AA1260" s="84">
        <v>26</v>
      </c>
      <c r="AB1260" s="88">
        <f t="shared" si="733"/>
        <v>0.291497975708502</v>
      </c>
      <c r="AC1260" s="89">
        <f t="shared" si="734"/>
        <v>70.377408111181509</v>
      </c>
      <c r="AD1260" s="83">
        <f>'PFAS Properties'!$W$63</f>
        <v>12</v>
      </c>
      <c r="AE1260" s="88">
        <f>'PFAS Properties'!$S$63</f>
        <v>-1.4135252214286034</v>
      </c>
      <c r="AF1260" s="84">
        <f>'PFAS Properties'!$V$63</f>
        <v>8</v>
      </c>
      <c r="AG1260" s="93">
        <v>4.4000000000000004</v>
      </c>
      <c r="AH1260" s="84" t="s">
        <v>363</v>
      </c>
      <c r="AI1260" s="84" t="s">
        <v>363</v>
      </c>
      <c r="AJ1260" s="84" t="s">
        <v>363</v>
      </c>
      <c r="AK1260" s="84" t="s">
        <v>363</v>
      </c>
      <c r="AL1260" s="84" t="s">
        <v>363</v>
      </c>
      <c r="AM1260" s="84" t="s">
        <v>363</v>
      </c>
      <c r="AN1260" s="84" t="s">
        <v>363</v>
      </c>
      <c r="AO1260" s="84" t="s">
        <v>363</v>
      </c>
      <c r="AP1260" s="90">
        <v>11.3</v>
      </c>
      <c r="AQ1260" s="84" t="s">
        <v>363</v>
      </c>
      <c r="AR1260" s="89">
        <v>58</v>
      </c>
      <c r="AS1260" s="89">
        <v>20</v>
      </c>
      <c r="AT1260" s="89">
        <v>22</v>
      </c>
      <c r="AU1260" s="84" t="s">
        <v>363</v>
      </c>
      <c r="AV1260" s="89">
        <f t="shared" si="735"/>
        <v>100</v>
      </c>
      <c r="AW1260" s="83">
        <v>10.199999999999999</v>
      </c>
      <c r="AX1260" s="88">
        <f t="shared" si="736"/>
        <v>0.10199999999999999</v>
      </c>
      <c r="AY1260" s="88" t="s">
        <v>364</v>
      </c>
      <c r="AZ1260" s="89">
        <v>100</v>
      </c>
      <c r="BA1260" s="89" t="s">
        <v>55</v>
      </c>
      <c r="BB1260" s="89">
        <v>500</v>
      </c>
      <c r="BC1260" s="89">
        <v>50000</v>
      </c>
      <c r="BD1260" s="86">
        <f>10^1.82</f>
        <v>66.069344800759623</v>
      </c>
      <c r="BE1260" s="89">
        <f t="shared" si="737"/>
        <v>647.7386745172513</v>
      </c>
      <c r="BF1260" s="89">
        <f t="shared" si="738"/>
        <v>2.8113998282380828</v>
      </c>
      <c r="BG1260" s="88">
        <f t="shared" si="739"/>
        <v>1.82</v>
      </c>
      <c r="BH1260" s="90" t="s">
        <v>367</v>
      </c>
      <c r="BI1260" s="88"/>
      <c r="BJ1260" s="91"/>
      <c r="BK1260" s="89"/>
      <c r="BL1260" s="89"/>
      <c r="BM1260" s="89"/>
      <c r="BN1260" s="89"/>
      <c r="BO1260" s="84"/>
    </row>
    <row r="1261" spans="1:67" s="94" customFormat="1" x14ac:dyDescent="0.3">
      <c r="A1261" s="83">
        <v>1259</v>
      </c>
      <c r="B1261" s="84" t="s">
        <v>358</v>
      </c>
      <c r="C1261" s="84">
        <v>2017</v>
      </c>
      <c r="D1261" s="84" t="s">
        <v>203</v>
      </c>
      <c r="E1261" s="85" t="s">
        <v>359</v>
      </c>
      <c r="F1261" s="83" t="s">
        <v>29</v>
      </c>
      <c r="G1261" s="84" t="s">
        <v>274</v>
      </c>
      <c r="H1261" s="84" t="str">
        <f>'PFAS Properties'!$B$63</f>
        <v>C6/6 PFPiA</v>
      </c>
      <c r="I1261" s="84" t="str">
        <f>'PFAS Properties'!$C$63</f>
        <v>PFPiA</v>
      </c>
      <c r="J1261" s="84" t="str">
        <f>'PFAS Properties'!$D$63</f>
        <v>C12F26HO2P</v>
      </c>
      <c r="K1261" s="99">
        <f>'PFAS Properties'!$P$63</f>
        <v>701.92979999999989</v>
      </c>
      <c r="L1261" s="84">
        <f>'PFAS Properties'!$X$63</f>
        <v>0.9</v>
      </c>
      <c r="M1261" s="84" t="str">
        <f>'PFAS Properties'!$Y$63</f>
        <v>-</v>
      </c>
      <c r="N1261" s="87">
        <v>0</v>
      </c>
      <c r="O1261" s="87">
        <v>0</v>
      </c>
      <c r="P1261" s="87">
        <v>0</v>
      </c>
      <c r="Q1261" s="87">
        <f t="shared" ref="Q1261:Q1276" si="741">(10^(AG1261-L1261))/(1+(10^(AG1261-L1261)))</f>
        <v>0.99999369046636566</v>
      </c>
      <c r="R1261" s="87">
        <v>0</v>
      </c>
      <c r="S1261" s="87">
        <f t="shared" ref="S1261:S1276" si="742">(1/(1+(10^(AG1261-L1261))))</f>
        <v>6.3095336343360639E-6</v>
      </c>
      <c r="T1261" s="88">
        <f t="shared" si="740"/>
        <v>1</v>
      </c>
      <c r="U1261" s="87">
        <f t="shared" si="729"/>
        <v>0</v>
      </c>
      <c r="V1261" s="87">
        <f t="shared" si="730"/>
        <v>-0.99999369046636566</v>
      </c>
      <c r="W1261" s="87">
        <f t="shared" si="731"/>
        <v>700.92980630953355</v>
      </c>
      <c r="X1261" s="87">
        <v>96485</v>
      </c>
      <c r="Y1261" s="89">
        <f t="shared" si="732"/>
        <v>-137.65200217786057</v>
      </c>
      <c r="Z1261" s="84">
        <v>12</v>
      </c>
      <c r="AA1261" s="84">
        <v>26</v>
      </c>
      <c r="AB1261" s="88">
        <f t="shared" si="733"/>
        <v>0.291497975708502</v>
      </c>
      <c r="AC1261" s="89">
        <f t="shared" si="734"/>
        <v>70.377408111181509</v>
      </c>
      <c r="AD1261" s="83">
        <f>'PFAS Properties'!$W$63</f>
        <v>12</v>
      </c>
      <c r="AE1261" s="88">
        <f>'PFAS Properties'!$S$63</f>
        <v>-1.4135252214286034</v>
      </c>
      <c r="AF1261" s="84">
        <f>'PFAS Properties'!$V$63</f>
        <v>8</v>
      </c>
      <c r="AG1261" s="93">
        <v>6.1</v>
      </c>
      <c r="AH1261" s="84" t="s">
        <v>363</v>
      </c>
      <c r="AI1261" s="84" t="s">
        <v>363</v>
      </c>
      <c r="AJ1261" s="84" t="s">
        <v>363</v>
      </c>
      <c r="AK1261" s="84" t="s">
        <v>363</v>
      </c>
      <c r="AL1261" s="84" t="s">
        <v>363</v>
      </c>
      <c r="AM1261" s="84" t="s">
        <v>363</v>
      </c>
      <c r="AN1261" s="84" t="s">
        <v>363</v>
      </c>
      <c r="AO1261" s="84" t="s">
        <v>363</v>
      </c>
      <c r="AP1261" s="90">
        <v>24.2</v>
      </c>
      <c r="AQ1261" s="84" t="s">
        <v>363</v>
      </c>
      <c r="AR1261" s="89">
        <v>10</v>
      </c>
      <c r="AS1261" s="89">
        <v>61</v>
      </c>
      <c r="AT1261" s="89">
        <v>27</v>
      </c>
      <c r="AU1261" s="84" t="s">
        <v>363</v>
      </c>
      <c r="AV1261" s="89">
        <f t="shared" si="735"/>
        <v>98</v>
      </c>
      <c r="AW1261" s="83">
        <v>2.63</v>
      </c>
      <c r="AX1261" s="88">
        <f t="shared" si="736"/>
        <v>2.63E-2</v>
      </c>
      <c r="AY1261" s="88" t="s">
        <v>364</v>
      </c>
      <c r="AZ1261" s="89">
        <v>100</v>
      </c>
      <c r="BA1261" s="89" t="s">
        <v>55</v>
      </c>
      <c r="BB1261" s="89">
        <v>500</v>
      </c>
      <c r="BC1261" s="89">
        <v>50000</v>
      </c>
      <c r="BD1261" s="86">
        <f>10^1.6</f>
        <v>39.810717055349755</v>
      </c>
      <c r="BE1261" s="89">
        <f t="shared" si="737"/>
        <v>1513.7154773897246</v>
      </c>
      <c r="BF1261" s="89">
        <f t="shared" si="738"/>
        <v>3.1800442515102425</v>
      </c>
      <c r="BG1261" s="88">
        <f t="shared" si="739"/>
        <v>1.6000000000000003</v>
      </c>
      <c r="BH1261" s="90" t="s">
        <v>367</v>
      </c>
      <c r="BI1261" s="88"/>
      <c r="BJ1261" s="91"/>
      <c r="BK1261" s="89"/>
      <c r="BL1261" s="89"/>
      <c r="BM1261" s="89"/>
      <c r="BN1261" s="89"/>
      <c r="BO1261" s="84"/>
    </row>
    <row r="1262" spans="1:67" s="94" customFormat="1" x14ac:dyDescent="0.3">
      <c r="A1262" s="83">
        <v>1260</v>
      </c>
      <c r="B1262" s="84" t="s">
        <v>358</v>
      </c>
      <c r="C1262" s="84">
        <v>2017</v>
      </c>
      <c r="D1262" s="84" t="s">
        <v>203</v>
      </c>
      <c r="E1262" s="85" t="s">
        <v>359</v>
      </c>
      <c r="F1262" s="83" t="s">
        <v>29</v>
      </c>
      <c r="G1262" s="84" t="s">
        <v>362</v>
      </c>
      <c r="H1262" s="84" t="str">
        <f>'PFAS Properties'!$B$63</f>
        <v>C6/6 PFPiA</v>
      </c>
      <c r="I1262" s="84" t="str">
        <f>'PFAS Properties'!$C$63</f>
        <v>PFPiA</v>
      </c>
      <c r="J1262" s="84" t="str">
        <f>'PFAS Properties'!$D$63</f>
        <v>C12F26HO2P</v>
      </c>
      <c r="K1262" s="99">
        <f>'PFAS Properties'!$P$63</f>
        <v>701.92979999999989</v>
      </c>
      <c r="L1262" s="84">
        <f>'PFAS Properties'!$X$63</f>
        <v>0.9</v>
      </c>
      <c r="M1262" s="84" t="str">
        <f>'PFAS Properties'!$Y$63</f>
        <v>-</v>
      </c>
      <c r="N1262" s="87">
        <v>0</v>
      </c>
      <c r="O1262" s="87">
        <v>0</v>
      </c>
      <c r="P1262" s="87">
        <v>0</v>
      </c>
      <c r="Q1262" s="87">
        <f t="shared" si="741"/>
        <v>0.99974887443673854</v>
      </c>
      <c r="R1262" s="87">
        <v>0</v>
      </c>
      <c r="S1262" s="87">
        <f t="shared" si="742"/>
        <v>2.5112556326146155E-4</v>
      </c>
      <c r="T1262" s="88">
        <f t="shared" si="740"/>
        <v>1</v>
      </c>
      <c r="U1262" s="87">
        <f t="shared" si="729"/>
        <v>0</v>
      </c>
      <c r="V1262" s="87">
        <f t="shared" si="730"/>
        <v>-0.99974887443673854</v>
      </c>
      <c r="W1262" s="87">
        <f t="shared" si="731"/>
        <v>700.93005112556318</v>
      </c>
      <c r="X1262" s="87">
        <v>96485</v>
      </c>
      <c r="Y1262" s="89">
        <f t="shared" si="732"/>
        <v>-137.61825448221356</v>
      </c>
      <c r="Z1262" s="84">
        <v>12</v>
      </c>
      <c r="AA1262" s="84">
        <v>26</v>
      </c>
      <c r="AB1262" s="88">
        <f t="shared" si="733"/>
        <v>0.291497975708502</v>
      </c>
      <c r="AC1262" s="89">
        <f t="shared" si="734"/>
        <v>70.377408111181509</v>
      </c>
      <c r="AD1262" s="83">
        <f>'PFAS Properties'!$W$63</f>
        <v>12</v>
      </c>
      <c r="AE1262" s="88">
        <f>'PFAS Properties'!$S$63</f>
        <v>-1.4135252214286034</v>
      </c>
      <c r="AF1262" s="84">
        <f>'PFAS Properties'!$V$63</f>
        <v>8</v>
      </c>
      <c r="AG1262" s="93">
        <v>4.5</v>
      </c>
      <c r="AH1262" s="84" t="s">
        <v>363</v>
      </c>
      <c r="AI1262" s="84" t="s">
        <v>363</v>
      </c>
      <c r="AJ1262" s="84" t="s">
        <v>363</v>
      </c>
      <c r="AK1262" s="84" t="s">
        <v>363</v>
      </c>
      <c r="AL1262" s="84" t="s">
        <v>363</v>
      </c>
      <c r="AM1262" s="84" t="s">
        <v>363</v>
      </c>
      <c r="AN1262" s="84" t="s">
        <v>363</v>
      </c>
      <c r="AO1262" s="84" t="s">
        <v>363</v>
      </c>
      <c r="AP1262" s="92">
        <v>21.496500000000001</v>
      </c>
      <c r="AQ1262" s="84" t="s">
        <v>752</v>
      </c>
      <c r="AR1262" s="96">
        <v>41.737499999999997</v>
      </c>
      <c r="AS1262" s="96">
        <v>35.036999999999999</v>
      </c>
      <c r="AT1262" s="96">
        <v>21.971</v>
      </c>
      <c r="AU1262" s="84" t="s">
        <v>752</v>
      </c>
      <c r="AV1262" s="89">
        <f t="shared" si="735"/>
        <v>98.745499999999993</v>
      </c>
      <c r="AW1262" s="83">
        <v>45.7</v>
      </c>
      <c r="AX1262" s="88">
        <f t="shared" si="736"/>
        <v>0.45700000000000002</v>
      </c>
      <c r="AY1262" s="88" t="s">
        <v>364</v>
      </c>
      <c r="AZ1262" s="89">
        <v>100</v>
      </c>
      <c r="BA1262" s="89" t="s">
        <v>55</v>
      </c>
      <c r="BB1262" s="89">
        <v>500</v>
      </c>
      <c r="BC1262" s="89">
        <v>50000</v>
      </c>
      <c r="BD1262" s="86">
        <f>10^1.98</f>
        <v>95.499258602143655</v>
      </c>
      <c r="BE1262" s="89">
        <f t="shared" si="737"/>
        <v>208.96993129571916</v>
      </c>
      <c r="BF1262" s="89">
        <f t="shared" si="738"/>
        <v>2.32008379993015</v>
      </c>
      <c r="BG1262" s="88">
        <f t="shared" si="739"/>
        <v>1.9800000000000002</v>
      </c>
      <c r="BH1262" s="90" t="s">
        <v>367</v>
      </c>
      <c r="BI1262" s="88"/>
      <c r="BJ1262" s="91"/>
      <c r="BK1262" s="89"/>
      <c r="BL1262" s="89"/>
      <c r="BM1262" s="89"/>
      <c r="BN1262" s="89"/>
      <c r="BO1262" s="84"/>
    </row>
    <row r="1263" spans="1:67" s="94" customFormat="1" x14ac:dyDescent="0.3">
      <c r="A1263" s="83">
        <v>1261</v>
      </c>
      <c r="B1263" s="84" t="s">
        <v>358</v>
      </c>
      <c r="C1263" s="84">
        <v>2017</v>
      </c>
      <c r="D1263" s="84" t="s">
        <v>203</v>
      </c>
      <c r="E1263" s="85" t="s">
        <v>359</v>
      </c>
      <c r="F1263" s="83" t="s">
        <v>29</v>
      </c>
      <c r="G1263" s="84" t="s">
        <v>360</v>
      </c>
      <c r="H1263" s="84" t="str">
        <f>'PFAS Properties'!$B$64</f>
        <v>C6/8 PFPiA</v>
      </c>
      <c r="I1263" s="84" t="str">
        <f>'PFAS Properties'!$C$64</f>
        <v>PFPiA</v>
      </c>
      <c r="J1263" s="84" t="str">
        <f>'PFAS Properties'!$D$64</f>
        <v>C14F30HO2P</v>
      </c>
      <c r="K1263" s="99">
        <f>'PFAS Properties'!$P$64</f>
        <v>801.9233999999999</v>
      </c>
      <c r="L1263" s="84">
        <f>'PFAS Properties'!$X$64</f>
        <v>0.9</v>
      </c>
      <c r="M1263" s="84" t="str">
        <f>'PFAS Properties'!$Y$63</f>
        <v>-</v>
      </c>
      <c r="N1263" s="87">
        <v>0</v>
      </c>
      <c r="O1263" s="87">
        <v>0</v>
      </c>
      <c r="P1263" s="87">
        <v>0</v>
      </c>
      <c r="Q1263" s="87">
        <f t="shared" si="741"/>
        <v>0.99994988378839778</v>
      </c>
      <c r="R1263" s="87">
        <v>0</v>
      </c>
      <c r="S1263" s="87">
        <f t="shared" si="742"/>
        <v>5.0116211602181963E-5</v>
      </c>
      <c r="T1263" s="88">
        <f t="shared" si="740"/>
        <v>1</v>
      </c>
      <c r="U1263" s="87">
        <f t="shared" si="729"/>
        <v>0</v>
      </c>
      <c r="V1263" s="87">
        <f t="shared" si="730"/>
        <v>-0.99994988378839778</v>
      </c>
      <c r="W1263" s="87">
        <f t="shared" si="731"/>
        <v>800.92345011621148</v>
      </c>
      <c r="X1263" s="87">
        <v>96485</v>
      </c>
      <c r="Y1263" s="89">
        <f t="shared" si="732"/>
        <v>-120.46115583620954</v>
      </c>
      <c r="Z1263" s="84">
        <v>12</v>
      </c>
      <c r="AA1263" s="84">
        <v>26</v>
      </c>
      <c r="AB1263" s="88">
        <f t="shared" si="733"/>
        <v>0.291497975708502</v>
      </c>
      <c r="AC1263" s="89">
        <f t="shared" si="734"/>
        <v>61.601893647198736</v>
      </c>
      <c r="AD1263" s="83">
        <f>'PFAS Properties'!$W$63</f>
        <v>12</v>
      </c>
      <c r="AE1263" s="88">
        <f>'PFAS Properties'!$S$64</f>
        <v>-3.2265792767093902</v>
      </c>
      <c r="AF1263" s="84">
        <f>'PFAS Properties'!$V$64</f>
        <v>9.4</v>
      </c>
      <c r="AG1263" s="93">
        <v>5.2</v>
      </c>
      <c r="AH1263" s="84" t="s">
        <v>363</v>
      </c>
      <c r="AI1263" s="84" t="s">
        <v>363</v>
      </c>
      <c r="AJ1263" s="84" t="s">
        <v>363</v>
      </c>
      <c r="AK1263" s="84" t="s">
        <v>363</v>
      </c>
      <c r="AL1263" s="84" t="s">
        <v>363</v>
      </c>
      <c r="AM1263" s="84" t="s">
        <v>363</v>
      </c>
      <c r="AN1263" s="84" t="s">
        <v>363</v>
      </c>
      <c r="AO1263" s="84" t="s">
        <v>363</v>
      </c>
      <c r="AP1263" s="90">
        <v>9.6</v>
      </c>
      <c r="AQ1263" s="84" t="s">
        <v>363</v>
      </c>
      <c r="AR1263" s="89">
        <v>63</v>
      </c>
      <c r="AS1263" s="89">
        <v>32</v>
      </c>
      <c r="AT1263" s="89">
        <v>5</v>
      </c>
      <c r="AU1263" s="84" t="s">
        <v>363</v>
      </c>
      <c r="AV1263" s="89">
        <f t="shared" si="735"/>
        <v>100</v>
      </c>
      <c r="AW1263" s="83">
        <v>1</v>
      </c>
      <c r="AX1263" s="88">
        <f t="shared" si="736"/>
        <v>0.01</v>
      </c>
      <c r="AY1263" s="91" t="s">
        <v>364</v>
      </c>
      <c r="AZ1263" s="89">
        <f>5/0.05</f>
        <v>100</v>
      </c>
      <c r="BA1263" s="89" t="s">
        <v>55</v>
      </c>
      <c r="BB1263" s="89">
        <v>500</v>
      </c>
      <c r="BC1263" s="89">
        <v>50000</v>
      </c>
      <c r="BD1263" s="86">
        <f>10^1.53</f>
        <v>33.884415613920268</v>
      </c>
      <c r="BE1263" s="89">
        <f t="shared" si="737"/>
        <v>3388.4415613920269</v>
      </c>
      <c r="BF1263" s="89">
        <f t="shared" si="738"/>
        <v>3.5300000000000002</v>
      </c>
      <c r="BG1263" s="88">
        <f t="shared" si="739"/>
        <v>1.5300000000000002</v>
      </c>
      <c r="BH1263" s="90" t="s">
        <v>367</v>
      </c>
      <c r="BI1263" s="88"/>
      <c r="BJ1263" s="91"/>
      <c r="BK1263" s="89"/>
      <c r="BL1263" s="89"/>
      <c r="BM1263" s="89"/>
      <c r="BN1263" s="89"/>
      <c r="BO1263" s="84"/>
    </row>
    <row r="1264" spans="1:67" s="94" customFormat="1" x14ac:dyDescent="0.3">
      <c r="A1264" s="83">
        <v>1262</v>
      </c>
      <c r="B1264" s="84" t="s">
        <v>358</v>
      </c>
      <c r="C1264" s="84">
        <v>2017</v>
      </c>
      <c r="D1264" s="84" t="s">
        <v>203</v>
      </c>
      <c r="E1264" s="85" t="s">
        <v>359</v>
      </c>
      <c r="F1264" s="83" t="s">
        <v>29</v>
      </c>
      <c r="G1264" s="84" t="s">
        <v>88</v>
      </c>
      <c r="H1264" s="84" t="str">
        <f>'PFAS Properties'!$B$64</f>
        <v>C6/8 PFPiA</v>
      </c>
      <c r="I1264" s="84" t="str">
        <f>'PFAS Properties'!$C$64</f>
        <v>PFPiA</v>
      </c>
      <c r="J1264" s="84" t="str">
        <f>'PFAS Properties'!$D$64</f>
        <v>C14F30HO2P</v>
      </c>
      <c r="K1264" s="99">
        <f>'PFAS Properties'!$P$64</f>
        <v>801.9233999999999</v>
      </c>
      <c r="L1264" s="84">
        <f>'PFAS Properties'!$X$64</f>
        <v>0.9</v>
      </c>
      <c r="M1264" s="84" t="str">
        <f>'PFAS Properties'!$Y$63</f>
        <v>-</v>
      </c>
      <c r="N1264" s="87">
        <v>0</v>
      </c>
      <c r="O1264" s="87">
        <v>0</v>
      </c>
      <c r="P1264" s="87">
        <v>0</v>
      </c>
      <c r="Q1264" s="87">
        <f t="shared" si="741"/>
        <v>0.99999800474166611</v>
      </c>
      <c r="R1264" s="87">
        <v>0</v>
      </c>
      <c r="S1264" s="87">
        <f t="shared" si="742"/>
        <v>1.9952583339051196E-6</v>
      </c>
      <c r="T1264" s="88">
        <f t="shared" si="740"/>
        <v>1</v>
      </c>
      <c r="U1264" s="87">
        <f t="shared" si="729"/>
        <v>0</v>
      </c>
      <c r="V1264" s="87">
        <f t="shared" si="730"/>
        <v>-0.99999800474166611</v>
      </c>
      <c r="W1264" s="87">
        <f t="shared" si="731"/>
        <v>800.92340199525825</v>
      </c>
      <c r="X1264" s="87">
        <v>96485</v>
      </c>
      <c r="Y1264" s="89">
        <f t="shared" si="732"/>
        <v>-120.46696007026011</v>
      </c>
      <c r="Z1264" s="84">
        <v>12</v>
      </c>
      <c r="AA1264" s="84">
        <v>26</v>
      </c>
      <c r="AB1264" s="88">
        <f t="shared" si="733"/>
        <v>0.291497975708502</v>
      </c>
      <c r="AC1264" s="89">
        <f t="shared" si="734"/>
        <v>61.601893647198736</v>
      </c>
      <c r="AD1264" s="83">
        <f>'PFAS Properties'!$W$63</f>
        <v>12</v>
      </c>
      <c r="AE1264" s="88">
        <f>'PFAS Properties'!$S$64</f>
        <v>-3.2265792767093902</v>
      </c>
      <c r="AF1264" s="84">
        <f>'PFAS Properties'!$V$64</f>
        <v>9.4</v>
      </c>
      <c r="AG1264" s="93">
        <v>6.6</v>
      </c>
      <c r="AH1264" s="84" t="s">
        <v>363</v>
      </c>
      <c r="AI1264" s="84" t="s">
        <v>363</v>
      </c>
      <c r="AJ1264" s="84" t="s">
        <v>363</v>
      </c>
      <c r="AK1264" s="84" t="s">
        <v>363</v>
      </c>
      <c r="AL1264" s="84" t="s">
        <v>363</v>
      </c>
      <c r="AM1264" s="84" t="s">
        <v>363</v>
      </c>
      <c r="AN1264" s="84" t="s">
        <v>363</v>
      </c>
      <c r="AO1264" s="84" t="s">
        <v>363</v>
      </c>
      <c r="AP1264" s="90">
        <v>33.5</v>
      </c>
      <c r="AQ1264" s="84" t="s">
        <v>363</v>
      </c>
      <c r="AR1264" s="89">
        <v>25</v>
      </c>
      <c r="AS1264" s="89">
        <v>38</v>
      </c>
      <c r="AT1264" s="89">
        <v>37</v>
      </c>
      <c r="AU1264" s="84" t="s">
        <v>363</v>
      </c>
      <c r="AV1264" s="89">
        <f t="shared" si="735"/>
        <v>100</v>
      </c>
      <c r="AW1264" s="83">
        <v>1.1000000000000001</v>
      </c>
      <c r="AX1264" s="88">
        <f t="shared" si="736"/>
        <v>1.1000000000000001E-2</v>
      </c>
      <c r="AY1264" s="91" t="s">
        <v>364</v>
      </c>
      <c r="AZ1264" s="89">
        <v>100</v>
      </c>
      <c r="BA1264" s="89" t="s">
        <v>55</v>
      </c>
      <c r="BB1264" s="89">
        <v>500</v>
      </c>
      <c r="BC1264" s="89">
        <v>50000</v>
      </c>
      <c r="BD1264" s="86">
        <f>10^2.59</f>
        <v>389.04514499428063</v>
      </c>
      <c r="BE1264" s="89">
        <f t="shared" si="737"/>
        <v>35367.740454025508</v>
      </c>
      <c r="BF1264" s="89">
        <f t="shared" si="738"/>
        <v>4.5486073148417754</v>
      </c>
      <c r="BG1264" s="88">
        <f t="shared" si="739"/>
        <v>2.59</v>
      </c>
      <c r="BH1264" s="90" t="s">
        <v>367</v>
      </c>
      <c r="BI1264" s="88"/>
      <c r="BJ1264" s="91"/>
      <c r="BK1264" s="89"/>
      <c r="BL1264" s="89"/>
      <c r="BM1264" s="89"/>
      <c r="BN1264" s="89"/>
      <c r="BO1264" s="84"/>
    </row>
    <row r="1265" spans="1:67" s="94" customFormat="1" x14ac:dyDescent="0.3">
      <c r="A1265" s="83">
        <v>1263</v>
      </c>
      <c r="B1265" s="84" t="s">
        <v>358</v>
      </c>
      <c r="C1265" s="84">
        <v>2017</v>
      </c>
      <c r="D1265" s="84" t="s">
        <v>203</v>
      </c>
      <c r="E1265" s="85" t="s">
        <v>359</v>
      </c>
      <c r="F1265" s="83" t="s">
        <v>29</v>
      </c>
      <c r="G1265" s="84" t="s">
        <v>365</v>
      </c>
      <c r="H1265" s="84" t="str">
        <f>'PFAS Properties'!$B$64</f>
        <v>C6/8 PFPiA</v>
      </c>
      <c r="I1265" s="84" t="str">
        <f>'PFAS Properties'!$C$64</f>
        <v>PFPiA</v>
      </c>
      <c r="J1265" s="84" t="str">
        <f>'PFAS Properties'!$D$64</f>
        <v>C14F30HO2P</v>
      </c>
      <c r="K1265" s="99">
        <f>'PFAS Properties'!$P$64</f>
        <v>801.9233999999999</v>
      </c>
      <c r="L1265" s="84">
        <f>'PFAS Properties'!$X$64</f>
        <v>0.9</v>
      </c>
      <c r="M1265" s="84" t="str">
        <f>'PFAS Properties'!$Y$63</f>
        <v>-</v>
      </c>
      <c r="N1265" s="87">
        <v>0</v>
      </c>
      <c r="O1265" s="87">
        <v>0</v>
      </c>
      <c r="P1265" s="87">
        <v>0</v>
      </c>
      <c r="Q1265" s="87">
        <f t="shared" si="741"/>
        <v>0.9999992056723962</v>
      </c>
      <c r="R1265" s="87">
        <v>0</v>
      </c>
      <c r="S1265" s="87">
        <f t="shared" si="742"/>
        <v>7.9432760376743793E-7</v>
      </c>
      <c r="T1265" s="88">
        <f t="shared" si="740"/>
        <v>1</v>
      </c>
      <c r="U1265" s="87">
        <f t="shared" si="729"/>
        <v>0</v>
      </c>
      <c r="V1265" s="87">
        <f t="shared" si="730"/>
        <v>-0.9999992056723962</v>
      </c>
      <c r="W1265" s="87">
        <f t="shared" si="731"/>
        <v>800.92340079432756</v>
      </c>
      <c r="X1265" s="87">
        <v>96485</v>
      </c>
      <c r="Y1265" s="89">
        <f t="shared" si="732"/>
        <v>-120.46710492365538</v>
      </c>
      <c r="Z1265" s="84">
        <v>12</v>
      </c>
      <c r="AA1265" s="84">
        <v>26</v>
      </c>
      <c r="AB1265" s="88">
        <f t="shared" si="733"/>
        <v>0.291497975708502</v>
      </c>
      <c r="AC1265" s="89">
        <f t="shared" si="734"/>
        <v>61.601893647198736</v>
      </c>
      <c r="AD1265" s="83">
        <f>'PFAS Properties'!$W$63</f>
        <v>12</v>
      </c>
      <c r="AE1265" s="88">
        <f>'PFAS Properties'!$S$64</f>
        <v>-3.2265792767093902</v>
      </c>
      <c r="AF1265" s="84">
        <f>'PFAS Properties'!$V$64</f>
        <v>9.4</v>
      </c>
      <c r="AG1265" s="93">
        <v>7</v>
      </c>
      <c r="AH1265" s="84" t="s">
        <v>363</v>
      </c>
      <c r="AI1265" s="84" t="s">
        <v>363</v>
      </c>
      <c r="AJ1265" s="84" t="s">
        <v>363</v>
      </c>
      <c r="AK1265" s="84" t="s">
        <v>363</v>
      </c>
      <c r="AL1265" s="84" t="s">
        <v>363</v>
      </c>
      <c r="AM1265" s="84" t="s">
        <v>363</v>
      </c>
      <c r="AN1265" s="84" t="s">
        <v>363</v>
      </c>
      <c r="AO1265" s="84" t="s">
        <v>363</v>
      </c>
      <c r="AP1265" s="90">
        <v>23.3</v>
      </c>
      <c r="AQ1265" s="84" t="s">
        <v>363</v>
      </c>
      <c r="AR1265" s="89">
        <v>28</v>
      </c>
      <c r="AS1265" s="89">
        <v>48</v>
      </c>
      <c r="AT1265" s="89">
        <v>22</v>
      </c>
      <c r="AU1265" s="84" t="s">
        <v>363</v>
      </c>
      <c r="AV1265" s="89">
        <f t="shared" si="735"/>
        <v>98</v>
      </c>
      <c r="AW1265" s="83">
        <v>1.1000000000000001</v>
      </c>
      <c r="AX1265" s="88">
        <f t="shared" si="736"/>
        <v>1.1000000000000001E-2</v>
      </c>
      <c r="AY1265" s="88" t="s">
        <v>364</v>
      </c>
      <c r="AZ1265" s="89">
        <v>100</v>
      </c>
      <c r="BA1265" s="89" t="s">
        <v>55</v>
      </c>
      <c r="BB1265" s="89">
        <v>500</v>
      </c>
      <c r="BC1265" s="89">
        <v>50000</v>
      </c>
      <c r="BD1265" s="86">
        <f>10^2.53</f>
        <v>338.84415613920248</v>
      </c>
      <c r="BE1265" s="89">
        <f t="shared" si="737"/>
        <v>30804.014194472951</v>
      </c>
      <c r="BF1265" s="89">
        <f t="shared" si="738"/>
        <v>4.4886073148417749</v>
      </c>
      <c r="BG1265" s="88">
        <f t="shared" si="739"/>
        <v>2.5299999999999998</v>
      </c>
      <c r="BH1265" s="90" t="s">
        <v>367</v>
      </c>
      <c r="BI1265" s="88"/>
      <c r="BJ1265" s="91"/>
      <c r="BK1265" s="89"/>
      <c r="BL1265" s="89"/>
      <c r="BM1265" s="89"/>
      <c r="BN1265" s="89"/>
      <c r="BO1265" s="84"/>
    </row>
    <row r="1266" spans="1:67" s="94" customFormat="1" x14ac:dyDescent="0.3">
      <c r="A1266" s="83">
        <v>1264</v>
      </c>
      <c r="B1266" s="84" t="s">
        <v>358</v>
      </c>
      <c r="C1266" s="84">
        <v>2017</v>
      </c>
      <c r="D1266" s="84" t="s">
        <v>203</v>
      </c>
      <c r="E1266" s="85" t="s">
        <v>359</v>
      </c>
      <c r="F1266" s="83" t="s">
        <v>29</v>
      </c>
      <c r="G1266" s="84" t="s">
        <v>89</v>
      </c>
      <c r="H1266" s="84" t="str">
        <f>'PFAS Properties'!$B$64</f>
        <v>C6/8 PFPiA</v>
      </c>
      <c r="I1266" s="84" t="str">
        <f>'PFAS Properties'!$C$64</f>
        <v>PFPiA</v>
      </c>
      <c r="J1266" s="84" t="str">
        <f>'PFAS Properties'!$D$64</f>
        <v>C14F30HO2P</v>
      </c>
      <c r="K1266" s="99">
        <f>'PFAS Properties'!$P$64</f>
        <v>801.9233999999999</v>
      </c>
      <c r="L1266" s="84">
        <f>'PFAS Properties'!$X$64</f>
        <v>0.9</v>
      </c>
      <c r="M1266" s="84" t="str">
        <f>'PFAS Properties'!$Y$63</f>
        <v>-</v>
      </c>
      <c r="N1266" s="87">
        <v>0</v>
      </c>
      <c r="O1266" s="87">
        <v>0</v>
      </c>
      <c r="P1266" s="87">
        <v>0</v>
      </c>
      <c r="Q1266" s="87">
        <f t="shared" si="741"/>
        <v>0.99874265748864466</v>
      </c>
      <c r="R1266" s="87">
        <v>0</v>
      </c>
      <c r="S1266" s="87">
        <f t="shared" si="742"/>
        <v>1.2573425113552919E-3</v>
      </c>
      <c r="T1266" s="88">
        <f t="shared" si="740"/>
        <v>1</v>
      </c>
      <c r="U1266" s="87">
        <f t="shared" si="729"/>
        <v>0</v>
      </c>
      <c r="V1266" s="87">
        <f t="shared" si="730"/>
        <v>-0.99874265748864466</v>
      </c>
      <c r="W1266" s="87">
        <f t="shared" si="731"/>
        <v>800.92465734251118</v>
      </c>
      <c r="X1266" s="87">
        <v>96485</v>
      </c>
      <c r="Y1266" s="89">
        <f t="shared" si="732"/>
        <v>-120.31554332155173</v>
      </c>
      <c r="Z1266" s="84">
        <v>12</v>
      </c>
      <c r="AA1266" s="84">
        <v>26</v>
      </c>
      <c r="AB1266" s="88">
        <f t="shared" si="733"/>
        <v>0.291497975708502</v>
      </c>
      <c r="AC1266" s="89">
        <f t="shared" si="734"/>
        <v>61.601893647198736</v>
      </c>
      <c r="AD1266" s="83">
        <f>'PFAS Properties'!$W$63</f>
        <v>12</v>
      </c>
      <c r="AE1266" s="88">
        <f>'PFAS Properties'!$S$64</f>
        <v>-3.2265792767093902</v>
      </c>
      <c r="AF1266" s="84">
        <f>'PFAS Properties'!$V$64</f>
        <v>9.4</v>
      </c>
      <c r="AG1266" s="93">
        <v>3.8</v>
      </c>
      <c r="AH1266" s="84" t="s">
        <v>363</v>
      </c>
      <c r="AI1266" s="84" t="s">
        <v>363</v>
      </c>
      <c r="AJ1266" s="84" t="s">
        <v>363</v>
      </c>
      <c r="AK1266" s="84" t="s">
        <v>363</v>
      </c>
      <c r="AL1266" s="84" t="s">
        <v>363</v>
      </c>
      <c r="AM1266" s="84" t="s">
        <v>363</v>
      </c>
      <c r="AN1266" s="84" t="s">
        <v>363</v>
      </c>
      <c r="AO1266" s="84" t="s">
        <v>363</v>
      </c>
      <c r="AP1266" s="90">
        <v>23.89</v>
      </c>
      <c r="AQ1266" s="84" t="s">
        <v>363</v>
      </c>
      <c r="AR1266" s="89">
        <v>53</v>
      </c>
      <c r="AS1266" s="89">
        <v>41</v>
      </c>
      <c r="AT1266" s="89">
        <v>6</v>
      </c>
      <c r="AU1266" s="84" t="s">
        <v>363</v>
      </c>
      <c r="AV1266" s="89">
        <f t="shared" si="735"/>
        <v>100</v>
      </c>
      <c r="AW1266" s="83">
        <v>3.6</v>
      </c>
      <c r="AX1266" s="88">
        <f t="shared" si="736"/>
        <v>3.6000000000000004E-2</v>
      </c>
      <c r="AY1266" s="91" t="s">
        <v>364</v>
      </c>
      <c r="AZ1266" s="89">
        <v>100</v>
      </c>
      <c r="BA1266" s="89" t="s">
        <v>55</v>
      </c>
      <c r="BB1266" s="89">
        <v>500</v>
      </c>
      <c r="BC1266" s="89">
        <v>50000</v>
      </c>
      <c r="BD1266" s="86">
        <f>10^1.49</f>
        <v>30.902954325135919</v>
      </c>
      <c r="BE1266" s="89">
        <f t="shared" si="737"/>
        <v>858.41539792044205</v>
      </c>
      <c r="BF1266" s="89">
        <f t="shared" si="738"/>
        <v>2.9336974992327129</v>
      </c>
      <c r="BG1266" s="88">
        <f t="shared" si="739"/>
        <v>1.4900000000000002</v>
      </c>
      <c r="BH1266" s="90" t="s">
        <v>367</v>
      </c>
      <c r="BI1266" s="88"/>
      <c r="BJ1266" s="91"/>
      <c r="BK1266" s="89"/>
      <c r="BL1266" s="89"/>
      <c r="BM1266" s="89"/>
      <c r="BN1266" s="89"/>
      <c r="BO1266" s="84"/>
    </row>
    <row r="1267" spans="1:67" s="94" customFormat="1" x14ac:dyDescent="0.3">
      <c r="A1267" s="83">
        <v>1265</v>
      </c>
      <c r="B1267" s="84" t="s">
        <v>358</v>
      </c>
      <c r="C1267" s="84">
        <v>2017</v>
      </c>
      <c r="D1267" s="84" t="s">
        <v>203</v>
      </c>
      <c r="E1267" s="85" t="s">
        <v>359</v>
      </c>
      <c r="F1267" s="83" t="s">
        <v>29</v>
      </c>
      <c r="G1267" s="84" t="s">
        <v>361</v>
      </c>
      <c r="H1267" s="84" t="str">
        <f>'PFAS Properties'!$B$64</f>
        <v>C6/8 PFPiA</v>
      </c>
      <c r="I1267" s="84" t="str">
        <f>'PFAS Properties'!$C$64</f>
        <v>PFPiA</v>
      </c>
      <c r="J1267" s="84" t="str">
        <f>'PFAS Properties'!$D$64</f>
        <v>C14F30HO2P</v>
      </c>
      <c r="K1267" s="99">
        <f>'PFAS Properties'!$P$64</f>
        <v>801.9233999999999</v>
      </c>
      <c r="L1267" s="84">
        <f>'PFAS Properties'!$X$64</f>
        <v>0.9</v>
      </c>
      <c r="M1267" s="84" t="str">
        <f>'PFAS Properties'!$Y$63</f>
        <v>-</v>
      </c>
      <c r="N1267" s="87">
        <v>0</v>
      </c>
      <c r="O1267" s="87">
        <v>0</v>
      </c>
      <c r="P1267" s="87">
        <v>0</v>
      </c>
      <c r="Q1267" s="87">
        <f t="shared" si="741"/>
        <v>0.99968387220237043</v>
      </c>
      <c r="R1267" s="87">
        <v>0</v>
      </c>
      <c r="S1267" s="87">
        <f t="shared" si="742"/>
        <v>3.1612779762961706E-4</v>
      </c>
      <c r="T1267" s="88">
        <f t="shared" si="740"/>
        <v>1</v>
      </c>
      <c r="U1267" s="87">
        <f t="shared" si="729"/>
        <v>0</v>
      </c>
      <c r="V1267" s="87">
        <f t="shared" si="730"/>
        <v>-0.99968387220237043</v>
      </c>
      <c r="W1267" s="87">
        <f t="shared" si="731"/>
        <v>800.92371612779766</v>
      </c>
      <c r="X1267" s="87">
        <v>96485</v>
      </c>
      <c r="Y1267" s="89">
        <f t="shared" si="732"/>
        <v>-120.42907016884385</v>
      </c>
      <c r="Z1267" s="84">
        <v>12</v>
      </c>
      <c r="AA1267" s="84">
        <v>26</v>
      </c>
      <c r="AB1267" s="88">
        <f t="shared" si="733"/>
        <v>0.291497975708502</v>
      </c>
      <c r="AC1267" s="89">
        <f t="shared" si="734"/>
        <v>61.601893647198736</v>
      </c>
      <c r="AD1267" s="83">
        <f>'PFAS Properties'!$W$63</f>
        <v>12</v>
      </c>
      <c r="AE1267" s="88">
        <f>'PFAS Properties'!$S$64</f>
        <v>-3.2265792767093902</v>
      </c>
      <c r="AF1267" s="84">
        <f>'PFAS Properties'!$V$64</f>
        <v>9.4</v>
      </c>
      <c r="AG1267" s="93">
        <v>4.4000000000000004</v>
      </c>
      <c r="AH1267" s="84" t="s">
        <v>363</v>
      </c>
      <c r="AI1267" s="84" t="s">
        <v>363</v>
      </c>
      <c r="AJ1267" s="84" t="s">
        <v>363</v>
      </c>
      <c r="AK1267" s="84" t="s">
        <v>363</v>
      </c>
      <c r="AL1267" s="84" t="s">
        <v>363</v>
      </c>
      <c r="AM1267" s="84" t="s">
        <v>363</v>
      </c>
      <c r="AN1267" s="84" t="s">
        <v>363</v>
      </c>
      <c r="AO1267" s="84" t="s">
        <v>363</v>
      </c>
      <c r="AP1267" s="90">
        <v>11.3</v>
      </c>
      <c r="AQ1267" s="84" t="s">
        <v>363</v>
      </c>
      <c r="AR1267" s="89">
        <v>58</v>
      </c>
      <c r="AS1267" s="89">
        <v>20</v>
      </c>
      <c r="AT1267" s="89">
        <v>22</v>
      </c>
      <c r="AU1267" s="84" t="s">
        <v>363</v>
      </c>
      <c r="AV1267" s="89">
        <f t="shared" si="735"/>
        <v>100</v>
      </c>
      <c r="AW1267" s="83">
        <v>10.199999999999999</v>
      </c>
      <c r="AX1267" s="88">
        <f t="shared" si="736"/>
        <v>0.10199999999999999</v>
      </c>
      <c r="AY1267" s="88" t="s">
        <v>364</v>
      </c>
      <c r="AZ1267" s="89">
        <v>100</v>
      </c>
      <c r="BA1267" s="89" t="s">
        <v>55</v>
      </c>
      <c r="BB1267" s="89">
        <v>500</v>
      </c>
      <c r="BC1267" s="89">
        <v>50000</v>
      </c>
      <c r="BD1267" s="86">
        <f>10^2.37</f>
        <v>234.42288153199232</v>
      </c>
      <c r="BE1267" s="89">
        <f t="shared" si="737"/>
        <v>2298.2635444312973</v>
      </c>
      <c r="BF1267" s="89">
        <f t="shared" si="738"/>
        <v>3.3613998282380826</v>
      </c>
      <c r="BG1267" s="88">
        <f t="shared" si="739"/>
        <v>2.37</v>
      </c>
      <c r="BH1267" s="90" t="s">
        <v>367</v>
      </c>
      <c r="BI1267" s="88"/>
      <c r="BJ1267" s="91"/>
      <c r="BK1267" s="89"/>
      <c r="BL1267" s="89"/>
      <c r="BM1267" s="89"/>
      <c r="BN1267" s="89"/>
      <c r="BO1267" s="84"/>
    </row>
    <row r="1268" spans="1:67" s="94" customFormat="1" x14ac:dyDescent="0.3">
      <c r="A1268" s="83">
        <v>1266</v>
      </c>
      <c r="B1268" s="84" t="s">
        <v>358</v>
      </c>
      <c r="C1268" s="84">
        <v>2017</v>
      </c>
      <c r="D1268" s="84" t="s">
        <v>203</v>
      </c>
      <c r="E1268" s="85" t="s">
        <v>359</v>
      </c>
      <c r="F1268" s="83" t="s">
        <v>29</v>
      </c>
      <c r="G1268" s="84" t="s">
        <v>274</v>
      </c>
      <c r="H1268" s="84" t="str">
        <f>'PFAS Properties'!$B$64</f>
        <v>C6/8 PFPiA</v>
      </c>
      <c r="I1268" s="84" t="str">
        <f>'PFAS Properties'!$C$64</f>
        <v>PFPiA</v>
      </c>
      <c r="J1268" s="84" t="str">
        <f>'PFAS Properties'!$D$64</f>
        <v>C14F30HO2P</v>
      </c>
      <c r="K1268" s="99">
        <f>'PFAS Properties'!$P$64</f>
        <v>801.9233999999999</v>
      </c>
      <c r="L1268" s="84">
        <f>'PFAS Properties'!$X$64</f>
        <v>0.9</v>
      </c>
      <c r="M1268" s="84" t="str">
        <f>'PFAS Properties'!$Y$63</f>
        <v>-</v>
      </c>
      <c r="N1268" s="87">
        <v>0</v>
      </c>
      <c r="O1268" s="87">
        <v>0</v>
      </c>
      <c r="P1268" s="87">
        <v>0</v>
      </c>
      <c r="Q1268" s="87">
        <f t="shared" si="741"/>
        <v>0.99999369046636566</v>
      </c>
      <c r="R1268" s="87">
        <v>0</v>
      </c>
      <c r="S1268" s="87">
        <f t="shared" si="742"/>
        <v>6.3095336343360639E-6</v>
      </c>
      <c r="T1268" s="88">
        <f t="shared" si="740"/>
        <v>1</v>
      </c>
      <c r="U1268" s="87">
        <f t="shared" si="729"/>
        <v>0</v>
      </c>
      <c r="V1268" s="87">
        <f t="shared" si="730"/>
        <v>-0.99999369046636566</v>
      </c>
      <c r="W1268" s="87">
        <f t="shared" si="731"/>
        <v>800.92340630953356</v>
      </c>
      <c r="X1268" s="87">
        <v>96485</v>
      </c>
      <c r="Y1268" s="89">
        <f t="shared" si="732"/>
        <v>-120.46643969268503</v>
      </c>
      <c r="Z1268" s="84">
        <v>12</v>
      </c>
      <c r="AA1268" s="84">
        <v>26</v>
      </c>
      <c r="AB1268" s="88">
        <f t="shared" si="733"/>
        <v>0.291497975708502</v>
      </c>
      <c r="AC1268" s="89">
        <f t="shared" si="734"/>
        <v>61.601893647198736</v>
      </c>
      <c r="AD1268" s="83">
        <f>'PFAS Properties'!$W$63</f>
        <v>12</v>
      </c>
      <c r="AE1268" s="88">
        <f>'PFAS Properties'!$S$64</f>
        <v>-3.2265792767093902</v>
      </c>
      <c r="AF1268" s="84">
        <f>'PFAS Properties'!$V$64</f>
        <v>9.4</v>
      </c>
      <c r="AG1268" s="93">
        <v>6.1</v>
      </c>
      <c r="AH1268" s="84" t="s">
        <v>363</v>
      </c>
      <c r="AI1268" s="84" t="s">
        <v>363</v>
      </c>
      <c r="AJ1268" s="84" t="s">
        <v>363</v>
      </c>
      <c r="AK1268" s="84" t="s">
        <v>363</v>
      </c>
      <c r="AL1268" s="84" t="s">
        <v>363</v>
      </c>
      <c r="AM1268" s="84" t="s">
        <v>363</v>
      </c>
      <c r="AN1268" s="84" t="s">
        <v>363</v>
      </c>
      <c r="AO1268" s="84" t="s">
        <v>363</v>
      </c>
      <c r="AP1268" s="90">
        <v>24.2</v>
      </c>
      <c r="AQ1268" s="84" t="s">
        <v>363</v>
      </c>
      <c r="AR1268" s="89">
        <v>10</v>
      </c>
      <c r="AS1268" s="89">
        <v>61</v>
      </c>
      <c r="AT1268" s="89">
        <v>27</v>
      </c>
      <c r="AU1268" s="84" t="s">
        <v>363</v>
      </c>
      <c r="AV1268" s="89">
        <f t="shared" si="735"/>
        <v>98</v>
      </c>
      <c r="AW1268" s="83">
        <v>2.63</v>
      </c>
      <c r="AX1268" s="88">
        <f t="shared" si="736"/>
        <v>2.63E-2</v>
      </c>
      <c r="AY1268" s="88" t="s">
        <v>364</v>
      </c>
      <c r="AZ1268" s="89">
        <v>100</v>
      </c>
      <c r="BA1268" s="89" t="s">
        <v>55</v>
      </c>
      <c r="BB1268" s="89">
        <v>500</v>
      </c>
      <c r="BC1268" s="89">
        <v>50000</v>
      </c>
      <c r="BD1268" s="86">
        <f>10^2.15</f>
        <v>141.25375446227542</v>
      </c>
      <c r="BE1268" s="89">
        <f t="shared" si="737"/>
        <v>5370.8651886796742</v>
      </c>
      <c r="BF1268" s="89">
        <f t="shared" si="738"/>
        <v>3.7300442515102423</v>
      </c>
      <c r="BG1268" s="88">
        <f t="shared" si="739"/>
        <v>2.15</v>
      </c>
      <c r="BH1268" s="90" t="s">
        <v>367</v>
      </c>
      <c r="BI1268" s="88"/>
      <c r="BJ1268" s="91"/>
      <c r="BK1268" s="89"/>
      <c r="BL1268" s="89"/>
      <c r="BM1268" s="89"/>
      <c r="BN1268" s="89"/>
      <c r="BO1268" s="84"/>
    </row>
    <row r="1269" spans="1:67" s="94" customFormat="1" x14ac:dyDescent="0.3">
      <c r="A1269" s="83">
        <v>1267</v>
      </c>
      <c r="B1269" s="84" t="s">
        <v>358</v>
      </c>
      <c r="C1269" s="84">
        <v>2017</v>
      </c>
      <c r="D1269" s="84" t="s">
        <v>203</v>
      </c>
      <c r="E1269" s="85" t="s">
        <v>359</v>
      </c>
      <c r="F1269" s="83" t="s">
        <v>29</v>
      </c>
      <c r="G1269" s="84" t="s">
        <v>362</v>
      </c>
      <c r="H1269" s="84" t="str">
        <f>'PFAS Properties'!$B$64</f>
        <v>C6/8 PFPiA</v>
      </c>
      <c r="I1269" s="84" t="str">
        <f>'PFAS Properties'!$C$64</f>
        <v>PFPiA</v>
      </c>
      <c r="J1269" s="84" t="str">
        <f>'PFAS Properties'!$D$64</f>
        <v>C14F30HO2P</v>
      </c>
      <c r="K1269" s="99">
        <f>'PFAS Properties'!$P$64</f>
        <v>801.9233999999999</v>
      </c>
      <c r="L1269" s="84">
        <f>'PFAS Properties'!$X$64</f>
        <v>0.9</v>
      </c>
      <c r="M1269" s="84" t="str">
        <f>'PFAS Properties'!$Y$63</f>
        <v>-</v>
      </c>
      <c r="N1269" s="87">
        <v>0</v>
      </c>
      <c r="O1269" s="87">
        <v>0</v>
      </c>
      <c r="P1269" s="87">
        <v>0</v>
      </c>
      <c r="Q1269" s="87">
        <f t="shared" si="741"/>
        <v>0.99974887443673854</v>
      </c>
      <c r="R1269" s="87">
        <v>0</v>
      </c>
      <c r="S1269" s="87">
        <f t="shared" si="742"/>
        <v>2.5112556326146155E-4</v>
      </c>
      <c r="T1269" s="88">
        <f t="shared" si="740"/>
        <v>1</v>
      </c>
      <c r="U1269" s="87">
        <f t="shared" si="729"/>
        <v>0</v>
      </c>
      <c r="V1269" s="87">
        <f t="shared" si="730"/>
        <v>-0.99974887443673854</v>
      </c>
      <c r="W1269" s="87">
        <f t="shared" si="731"/>
        <v>800.9236511255632</v>
      </c>
      <c r="X1269" s="87">
        <v>96485</v>
      </c>
      <c r="Y1269" s="89">
        <f t="shared" si="732"/>
        <v>-120.43691057751803</v>
      </c>
      <c r="Z1269" s="84">
        <v>12</v>
      </c>
      <c r="AA1269" s="84">
        <v>26</v>
      </c>
      <c r="AB1269" s="88">
        <f t="shared" si="733"/>
        <v>0.291497975708502</v>
      </c>
      <c r="AC1269" s="89">
        <f t="shared" si="734"/>
        <v>61.601893647198736</v>
      </c>
      <c r="AD1269" s="83">
        <f>'PFAS Properties'!$W$63</f>
        <v>12</v>
      </c>
      <c r="AE1269" s="88">
        <f>'PFAS Properties'!$S$64</f>
        <v>-3.2265792767093902</v>
      </c>
      <c r="AF1269" s="84">
        <f>'PFAS Properties'!$V$64</f>
        <v>9.4</v>
      </c>
      <c r="AG1269" s="93">
        <v>4.5</v>
      </c>
      <c r="AH1269" s="84" t="s">
        <v>363</v>
      </c>
      <c r="AI1269" s="84" t="s">
        <v>363</v>
      </c>
      <c r="AJ1269" s="84" t="s">
        <v>363</v>
      </c>
      <c r="AK1269" s="84" t="s">
        <v>363</v>
      </c>
      <c r="AL1269" s="84" t="s">
        <v>363</v>
      </c>
      <c r="AM1269" s="84" t="s">
        <v>363</v>
      </c>
      <c r="AN1269" s="84" t="s">
        <v>363</v>
      </c>
      <c r="AO1269" s="84" t="s">
        <v>363</v>
      </c>
      <c r="AP1269" s="92">
        <v>21.496500000000001</v>
      </c>
      <c r="AQ1269" s="84" t="s">
        <v>752</v>
      </c>
      <c r="AR1269" s="96">
        <v>41.737499999999997</v>
      </c>
      <c r="AS1269" s="96">
        <v>35.036999999999999</v>
      </c>
      <c r="AT1269" s="96">
        <v>21.971</v>
      </c>
      <c r="AU1269" s="84" t="s">
        <v>752</v>
      </c>
      <c r="AV1269" s="89">
        <f t="shared" si="735"/>
        <v>98.745499999999993</v>
      </c>
      <c r="AW1269" s="83">
        <v>45.7</v>
      </c>
      <c r="AX1269" s="88">
        <f t="shared" si="736"/>
        <v>0.45700000000000002</v>
      </c>
      <c r="AY1269" s="88" t="s">
        <v>364</v>
      </c>
      <c r="AZ1269" s="89">
        <v>100</v>
      </c>
      <c r="BA1269" s="89" t="s">
        <v>55</v>
      </c>
      <c r="BB1269" s="89">
        <v>500</v>
      </c>
      <c r="BC1269" s="89">
        <v>50000</v>
      </c>
      <c r="BD1269" s="86">
        <f>10^2.02</f>
        <v>104.71285480508998</v>
      </c>
      <c r="BE1269" s="89">
        <f t="shared" si="737"/>
        <v>229.13097331529534</v>
      </c>
      <c r="BF1269" s="89">
        <f t="shared" si="738"/>
        <v>2.3600837999301501</v>
      </c>
      <c r="BG1269" s="88">
        <f t="shared" si="739"/>
        <v>2.02</v>
      </c>
      <c r="BH1269" s="90" t="s">
        <v>367</v>
      </c>
      <c r="BI1269" s="88"/>
      <c r="BJ1269" s="91"/>
      <c r="BK1269" s="89"/>
      <c r="BL1269" s="89"/>
      <c r="BM1269" s="89"/>
      <c r="BN1269" s="89"/>
      <c r="BO1269" s="84"/>
    </row>
    <row r="1270" spans="1:67" s="94" customFormat="1" x14ac:dyDescent="0.3">
      <c r="A1270" s="83">
        <v>1268</v>
      </c>
      <c r="B1270" s="84" t="s">
        <v>358</v>
      </c>
      <c r="C1270" s="84">
        <v>2017</v>
      </c>
      <c r="D1270" s="84" t="s">
        <v>203</v>
      </c>
      <c r="E1270" s="85" t="s">
        <v>359</v>
      </c>
      <c r="F1270" s="83" t="s">
        <v>29</v>
      </c>
      <c r="G1270" s="84" t="s">
        <v>360</v>
      </c>
      <c r="H1270" s="84" t="str">
        <f>'PFAS Properties'!$B$65</f>
        <v>C8/8 PFPiA</v>
      </c>
      <c r="I1270" s="84" t="str">
        <f>'PFAS Properties'!$C$65</f>
        <v>PFPiA</v>
      </c>
      <c r="J1270" s="84" t="str">
        <f>'PFAS Properties'!$D$65</f>
        <v>C16F34HO2P</v>
      </c>
      <c r="K1270" s="99">
        <f>'PFAS Properties'!$P$65</f>
        <v>901.91699999999992</v>
      </c>
      <c r="L1270" s="84">
        <f>'PFAS Properties'!$X$65</f>
        <v>0.9</v>
      </c>
      <c r="M1270" s="84" t="str">
        <f>'PFAS Properties'!$Y$63</f>
        <v>-</v>
      </c>
      <c r="N1270" s="87">
        <v>0</v>
      </c>
      <c r="O1270" s="87">
        <v>0</v>
      </c>
      <c r="P1270" s="87">
        <v>0</v>
      </c>
      <c r="Q1270" s="87">
        <f t="shared" si="741"/>
        <v>0.99994988378839778</v>
      </c>
      <c r="R1270" s="87">
        <v>0</v>
      </c>
      <c r="S1270" s="87">
        <f t="shared" si="742"/>
        <v>5.0116211602181963E-5</v>
      </c>
      <c r="T1270" s="88">
        <f t="shared" si="740"/>
        <v>1</v>
      </c>
      <c r="U1270" s="87">
        <f t="shared" ref="U1270:U1276" si="743">((1*N1270)+(1*O1270)+(1*P1270))</f>
        <v>0</v>
      </c>
      <c r="V1270" s="87">
        <f t="shared" ref="V1270:V1276" si="744">-((1*O1270)+(2*P1270)+(1*Q1270)+(2*R1270))</f>
        <v>-0.99994988378839778</v>
      </c>
      <c r="W1270" s="87">
        <f t="shared" ref="W1270:W1276" si="745">(N1270*(K1270+1))+(O1270*K1270)+(P1270*(K1270-1))+(Q1270*(K1270-1))+(R1270*(K1270-2))+(S1270*K1270)</f>
        <v>900.9170501162115</v>
      </c>
      <c r="X1270" s="87">
        <v>96485</v>
      </c>
      <c r="Y1270" s="89">
        <f t="shared" ref="Y1270:Y1276" si="746">((V1270+U1270)/W1270)*X1270</f>
        <v>-107.09106296176586</v>
      </c>
      <c r="Z1270" s="84">
        <v>12</v>
      </c>
      <c r="AA1270" s="84">
        <v>26</v>
      </c>
      <c r="AB1270" s="88">
        <f t="shared" ref="AB1270:AB1276" si="747">(Z1270/AA1270)*(12/19)</f>
        <v>0.291497975708502</v>
      </c>
      <c r="AC1270" s="89">
        <f t="shared" ref="AC1270:AC1276" si="748">((AA1270*19)/K1270)*100</f>
        <v>54.77222405165886</v>
      </c>
      <c r="AD1270" s="83">
        <f>'PFAS Properties'!$W$63</f>
        <v>12</v>
      </c>
      <c r="AE1270" s="88">
        <f>'PFAS Properties'!$S$65</f>
        <v>-5.0477889418913309</v>
      </c>
      <c r="AF1270" s="84">
        <f>'PFAS Properties'!$V$65</f>
        <v>10.7</v>
      </c>
      <c r="AG1270" s="93">
        <v>5.2</v>
      </c>
      <c r="AH1270" s="84" t="s">
        <v>363</v>
      </c>
      <c r="AI1270" s="84" t="s">
        <v>363</v>
      </c>
      <c r="AJ1270" s="84" t="s">
        <v>363</v>
      </c>
      <c r="AK1270" s="84" t="s">
        <v>363</v>
      </c>
      <c r="AL1270" s="84" t="s">
        <v>363</v>
      </c>
      <c r="AM1270" s="84" t="s">
        <v>363</v>
      </c>
      <c r="AN1270" s="84" t="s">
        <v>363</v>
      </c>
      <c r="AO1270" s="84" t="s">
        <v>363</v>
      </c>
      <c r="AP1270" s="90">
        <v>9.6</v>
      </c>
      <c r="AQ1270" s="84" t="s">
        <v>363</v>
      </c>
      <c r="AR1270" s="89">
        <v>63</v>
      </c>
      <c r="AS1270" s="89">
        <v>32</v>
      </c>
      <c r="AT1270" s="89">
        <v>5</v>
      </c>
      <c r="AU1270" s="84" t="s">
        <v>363</v>
      </c>
      <c r="AV1270" s="89">
        <f t="shared" si="735"/>
        <v>100</v>
      </c>
      <c r="AW1270" s="83">
        <v>1</v>
      </c>
      <c r="AX1270" s="88">
        <f t="shared" si="736"/>
        <v>0.01</v>
      </c>
      <c r="AY1270" s="91" t="s">
        <v>364</v>
      </c>
      <c r="AZ1270" s="89">
        <f>5/0.05</f>
        <v>100</v>
      </c>
      <c r="BA1270" s="89" t="s">
        <v>55</v>
      </c>
      <c r="BB1270" s="89">
        <v>500</v>
      </c>
      <c r="BC1270" s="89">
        <v>50000</v>
      </c>
      <c r="BD1270" s="86">
        <f>10^2.1</f>
        <v>125.89254117941677</v>
      </c>
      <c r="BE1270" s="89">
        <f t="shared" si="737"/>
        <v>12589.254117941677</v>
      </c>
      <c r="BF1270" s="89">
        <f t="shared" si="738"/>
        <v>4.1000000000000005</v>
      </c>
      <c r="BG1270" s="88">
        <f t="shared" si="739"/>
        <v>2.1</v>
      </c>
      <c r="BH1270" s="90" t="s">
        <v>367</v>
      </c>
      <c r="BI1270" s="88"/>
      <c r="BJ1270" s="91"/>
      <c r="BK1270" s="89"/>
      <c r="BL1270" s="89"/>
      <c r="BM1270" s="89"/>
      <c r="BN1270" s="89"/>
      <c r="BO1270" s="84"/>
    </row>
    <row r="1271" spans="1:67" s="94" customFormat="1" x14ac:dyDescent="0.3">
      <c r="A1271" s="83">
        <v>1269</v>
      </c>
      <c r="B1271" s="84" t="s">
        <v>358</v>
      </c>
      <c r="C1271" s="84">
        <v>2017</v>
      </c>
      <c r="D1271" s="84" t="s">
        <v>203</v>
      </c>
      <c r="E1271" s="85" t="s">
        <v>359</v>
      </c>
      <c r="F1271" s="83" t="s">
        <v>29</v>
      </c>
      <c r="G1271" s="84" t="s">
        <v>88</v>
      </c>
      <c r="H1271" s="84" t="str">
        <f>'PFAS Properties'!$B$65</f>
        <v>C8/8 PFPiA</v>
      </c>
      <c r="I1271" s="84" t="str">
        <f>'PFAS Properties'!$C$65</f>
        <v>PFPiA</v>
      </c>
      <c r="J1271" s="84" t="str">
        <f>'PFAS Properties'!$D$65</f>
        <v>C16F34HO2P</v>
      </c>
      <c r="K1271" s="99">
        <f>'PFAS Properties'!$P$65</f>
        <v>901.91699999999992</v>
      </c>
      <c r="L1271" s="84">
        <f>'PFAS Properties'!$X$65</f>
        <v>0.9</v>
      </c>
      <c r="M1271" s="84" t="str">
        <f>'PFAS Properties'!$Y$63</f>
        <v>-</v>
      </c>
      <c r="N1271" s="87">
        <v>0</v>
      </c>
      <c r="O1271" s="87">
        <v>0</v>
      </c>
      <c r="P1271" s="87">
        <v>0</v>
      </c>
      <c r="Q1271" s="87">
        <f t="shared" si="741"/>
        <v>0.99999800474166611</v>
      </c>
      <c r="R1271" s="87">
        <v>0</v>
      </c>
      <c r="S1271" s="87">
        <f t="shared" si="742"/>
        <v>1.9952583339051196E-6</v>
      </c>
      <c r="T1271" s="88">
        <f t="shared" si="740"/>
        <v>1</v>
      </c>
      <c r="U1271" s="87">
        <f t="shared" si="743"/>
        <v>0</v>
      </c>
      <c r="V1271" s="87">
        <f t="shared" si="744"/>
        <v>-0.99999800474166611</v>
      </c>
      <c r="W1271" s="87">
        <f t="shared" si="745"/>
        <v>900.91700199525826</v>
      </c>
      <c r="X1271" s="87">
        <v>96485</v>
      </c>
      <c r="Y1271" s="89">
        <f t="shared" si="746"/>
        <v>-107.09622226444283</v>
      </c>
      <c r="Z1271" s="84">
        <v>12</v>
      </c>
      <c r="AA1271" s="84">
        <v>26</v>
      </c>
      <c r="AB1271" s="88">
        <f t="shared" si="747"/>
        <v>0.291497975708502</v>
      </c>
      <c r="AC1271" s="89">
        <f t="shared" si="748"/>
        <v>54.77222405165886</v>
      </c>
      <c r="AD1271" s="83">
        <f>'PFAS Properties'!$W$63</f>
        <v>12</v>
      </c>
      <c r="AE1271" s="88">
        <f>'PFAS Properties'!$S$65</f>
        <v>-5.0477889418913309</v>
      </c>
      <c r="AF1271" s="84">
        <f>'PFAS Properties'!$V$65</f>
        <v>10.7</v>
      </c>
      <c r="AG1271" s="93">
        <v>6.6</v>
      </c>
      <c r="AH1271" s="84" t="s">
        <v>363</v>
      </c>
      <c r="AI1271" s="84" t="s">
        <v>363</v>
      </c>
      <c r="AJ1271" s="84" t="s">
        <v>363</v>
      </c>
      <c r="AK1271" s="84" t="s">
        <v>363</v>
      </c>
      <c r="AL1271" s="84" t="s">
        <v>363</v>
      </c>
      <c r="AM1271" s="84" t="s">
        <v>363</v>
      </c>
      <c r="AN1271" s="84" t="s">
        <v>363</v>
      </c>
      <c r="AO1271" s="84" t="s">
        <v>363</v>
      </c>
      <c r="AP1271" s="90">
        <v>33.5</v>
      </c>
      <c r="AQ1271" s="84" t="s">
        <v>363</v>
      </c>
      <c r="AR1271" s="89">
        <v>25</v>
      </c>
      <c r="AS1271" s="89">
        <v>38</v>
      </c>
      <c r="AT1271" s="89">
        <v>37</v>
      </c>
      <c r="AU1271" s="84" t="s">
        <v>363</v>
      </c>
      <c r="AV1271" s="89">
        <f t="shared" si="735"/>
        <v>100</v>
      </c>
      <c r="AW1271" s="83">
        <v>1.1000000000000001</v>
      </c>
      <c r="AX1271" s="88">
        <f t="shared" si="736"/>
        <v>1.1000000000000001E-2</v>
      </c>
      <c r="AY1271" s="91" t="s">
        <v>364</v>
      </c>
      <c r="AZ1271" s="89">
        <v>100</v>
      </c>
      <c r="BA1271" s="89" t="s">
        <v>55</v>
      </c>
      <c r="BB1271" s="89">
        <v>500</v>
      </c>
      <c r="BC1271" s="89">
        <v>50000</v>
      </c>
      <c r="BD1271" s="86">
        <f>10^2.21</f>
        <v>162.18100973589304</v>
      </c>
      <c r="BE1271" s="89">
        <f t="shared" si="737"/>
        <v>14743.728157808457</v>
      </c>
      <c r="BF1271" s="89">
        <f t="shared" si="738"/>
        <v>4.1686073148417746</v>
      </c>
      <c r="BG1271" s="88">
        <f t="shared" si="739"/>
        <v>2.21</v>
      </c>
      <c r="BH1271" s="90" t="s">
        <v>367</v>
      </c>
      <c r="BI1271" s="88"/>
      <c r="BJ1271" s="91"/>
      <c r="BK1271" s="89"/>
      <c r="BL1271" s="89"/>
      <c r="BM1271" s="89"/>
      <c r="BN1271" s="89"/>
      <c r="BO1271" s="84"/>
    </row>
    <row r="1272" spans="1:67" s="94" customFormat="1" x14ac:dyDescent="0.3">
      <c r="A1272" s="83">
        <v>1270</v>
      </c>
      <c r="B1272" s="84" t="s">
        <v>358</v>
      </c>
      <c r="C1272" s="84">
        <v>2017</v>
      </c>
      <c r="D1272" s="84" t="s">
        <v>203</v>
      </c>
      <c r="E1272" s="85" t="s">
        <v>359</v>
      </c>
      <c r="F1272" s="83" t="s">
        <v>29</v>
      </c>
      <c r="G1272" s="84" t="s">
        <v>365</v>
      </c>
      <c r="H1272" s="84" t="str">
        <f>'PFAS Properties'!$B$65</f>
        <v>C8/8 PFPiA</v>
      </c>
      <c r="I1272" s="84" t="str">
        <f>'PFAS Properties'!$C$65</f>
        <v>PFPiA</v>
      </c>
      <c r="J1272" s="84" t="str">
        <f>'PFAS Properties'!$D$65</f>
        <v>C16F34HO2P</v>
      </c>
      <c r="K1272" s="99">
        <f>'PFAS Properties'!$P$65</f>
        <v>901.91699999999992</v>
      </c>
      <c r="L1272" s="84">
        <f>'PFAS Properties'!$X$65</f>
        <v>0.9</v>
      </c>
      <c r="M1272" s="84" t="str">
        <f>'PFAS Properties'!$Y$63</f>
        <v>-</v>
      </c>
      <c r="N1272" s="87">
        <v>0</v>
      </c>
      <c r="O1272" s="87">
        <v>0</v>
      </c>
      <c r="P1272" s="87">
        <v>0</v>
      </c>
      <c r="Q1272" s="87">
        <f t="shared" si="741"/>
        <v>0.9999992056723962</v>
      </c>
      <c r="R1272" s="87">
        <v>0</v>
      </c>
      <c r="S1272" s="87">
        <f t="shared" si="742"/>
        <v>7.9432760376743793E-7</v>
      </c>
      <c r="T1272" s="88">
        <f t="shared" si="740"/>
        <v>1</v>
      </c>
      <c r="U1272" s="87">
        <f t="shared" si="743"/>
        <v>0</v>
      </c>
      <c r="V1272" s="87">
        <f t="shared" si="744"/>
        <v>-0.9999992056723962</v>
      </c>
      <c r="W1272" s="87" t="s">
        <v>893</v>
      </c>
      <c r="X1272" s="87">
        <v>96485</v>
      </c>
      <c r="Y1272" s="89" t="e">
        <f t="shared" si="746"/>
        <v>#VALUE!</v>
      </c>
      <c r="Z1272" s="84">
        <v>12</v>
      </c>
      <c r="AA1272" s="84">
        <v>26</v>
      </c>
      <c r="AB1272" s="88">
        <f t="shared" si="747"/>
        <v>0.291497975708502</v>
      </c>
      <c r="AC1272" s="89">
        <f t="shared" si="748"/>
        <v>54.77222405165886</v>
      </c>
      <c r="AD1272" s="83">
        <f>'PFAS Properties'!$W$63</f>
        <v>12</v>
      </c>
      <c r="AE1272" s="88">
        <f>'PFAS Properties'!$S$65</f>
        <v>-5.0477889418913309</v>
      </c>
      <c r="AF1272" s="84">
        <f>'PFAS Properties'!$V$65</f>
        <v>10.7</v>
      </c>
      <c r="AG1272" s="93">
        <v>7</v>
      </c>
      <c r="AH1272" s="84" t="s">
        <v>363</v>
      </c>
      <c r="AI1272" s="84" t="s">
        <v>363</v>
      </c>
      <c r="AJ1272" s="84" t="s">
        <v>363</v>
      </c>
      <c r="AK1272" s="84" t="s">
        <v>363</v>
      </c>
      <c r="AL1272" s="84" t="s">
        <v>363</v>
      </c>
      <c r="AM1272" s="84" t="s">
        <v>363</v>
      </c>
      <c r="AN1272" s="84" t="s">
        <v>363</v>
      </c>
      <c r="AO1272" s="84" t="s">
        <v>363</v>
      </c>
      <c r="AP1272" s="90">
        <v>23.3</v>
      </c>
      <c r="AQ1272" s="84" t="s">
        <v>363</v>
      </c>
      <c r="AR1272" s="89">
        <v>28</v>
      </c>
      <c r="AS1272" s="89">
        <v>48</v>
      </c>
      <c r="AT1272" s="89">
        <v>22</v>
      </c>
      <c r="AU1272" s="84" t="s">
        <v>363</v>
      </c>
      <c r="AV1272" s="89">
        <f t="shared" si="735"/>
        <v>98</v>
      </c>
      <c r="AW1272" s="83">
        <v>1.1000000000000001</v>
      </c>
      <c r="AX1272" s="88">
        <f t="shared" si="736"/>
        <v>1.1000000000000001E-2</v>
      </c>
      <c r="AY1272" s="88" t="s">
        <v>364</v>
      </c>
      <c r="AZ1272" s="89">
        <v>100</v>
      </c>
      <c r="BA1272" s="89" t="s">
        <v>55</v>
      </c>
      <c r="BB1272" s="89">
        <v>500</v>
      </c>
      <c r="BC1272" s="89">
        <v>50000</v>
      </c>
      <c r="BD1272" s="86">
        <f>10^2.82</f>
        <v>660.69344800759643</v>
      </c>
      <c r="BE1272" s="89">
        <f t="shared" si="737"/>
        <v>60063.040727963307</v>
      </c>
      <c r="BF1272" s="89">
        <f t="shared" si="738"/>
        <v>4.7786073148417749</v>
      </c>
      <c r="BG1272" s="88">
        <f t="shared" si="739"/>
        <v>2.8200000000000003</v>
      </c>
      <c r="BH1272" s="90" t="s">
        <v>367</v>
      </c>
      <c r="BI1272" s="88"/>
      <c r="BJ1272" s="91"/>
      <c r="BK1272" s="89"/>
      <c r="BL1272" s="89"/>
      <c r="BM1272" s="89"/>
      <c r="BN1272" s="89"/>
      <c r="BO1272" s="84"/>
    </row>
    <row r="1273" spans="1:67" s="94" customFormat="1" x14ac:dyDescent="0.3">
      <c r="A1273" s="83">
        <v>1271</v>
      </c>
      <c r="B1273" s="84" t="s">
        <v>358</v>
      </c>
      <c r="C1273" s="84">
        <v>2017</v>
      </c>
      <c r="D1273" s="84" t="s">
        <v>203</v>
      </c>
      <c r="E1273" s="85" t="s">
        <v>359</v>
      </c>
      <c r="F1273" s="83" t="s">
        <v>29</v>
      </c>
      <c r="G1273" s="84" t="s">
        <v>89</v>
      </c>
      <c r="H1273" s="84" t="str">
        <f>'PFAS Properties'!$B$65</f>
        <v>C8/8 PFPiA</v>
      </c>
      <c r="I1273" s="84" t="str">
        <f>'PFAS Properties'!$C$65</f>
        <v>PFPiA</v>
      </c>
      <c r="J1273" s="84" t="str">
        <f>'PFAS Properties'!$D$65</f>
        <v>C16F34HO2P</v>
      </c>
      <c r="K1273" s="99">
        <f>'PFAS Properties'!$P$65</f>
        <v>901.91699999999992</v>
      </c>
      <c r="L1273" s="84">
        <f>'PFAS Properties'!$X$65</f>
        <v>0.9</v>
      </c>
      <c r="M1273" s="84" t="str">
        <f>'PFAS Properties'!$Y$63</f>
        <v>-</v>
      </c>
      <c r="N1273" s="87">
        <v>0</v>
      </c>
      <c r="O1273" s="87">
        <v>0</v>
      </c>
      <c r="P1273" s="87">
        <v>0</v>
      </c>
      <c r="Q1273" s="87">
        <f t="shared" si="741"/>
        <v>0.99874265748864466</v>
      </c>
      <c r="R1273" s="87">
        <v>0</v>
      </c>
      <c r="S1273" s="87">
        <f t="shared" si="742"/>
        <v>1.2573425113552919E-3</v>
      </c>
      <c r="T1273" s="88">
        <f t="shared" si="740"/>
        <v>1</v>
      </c>
      <c r="U1273" s="87">
        <f t="shared" si="743"/>
        <v>0</v>
      </c>
      <c r="V1273" s="87">
        <f t="shared" si="744"/>
        <v>-0.99874265748864466</v>
      </c>
      <c r="W1273" s="87">
        <f t="shared" si="745"/>
        <v>900.9182573425112</v>
      </c>
      <c r="X1273" s="87">
        <v>96485</v>
      </c>
      <c r="Y1273" s="89">
        <f t="shared" si="746"/>
        <v>-106.96163000630182</v>
      </c>
      <c r="Z1273" s="84">
        <v>12</v>
      </c>
      <c r="AA1273" s="84">
        <v>26</v>
      </c>
      <c r="AB1273" s="88">
        <f t="shared" si="747"/>
        <v>0.291497975708502</v>
      </c>
      <c r="AC1273" s="89">
        <f t="shared" si="748"/>
        <v>54.77222405165886</v>
      </c>
      <c r="AD1273" s="83">
        <f>'PFAS Properties'!$W$63</f>
        <v>12</v>
      </c>
      <c r="AE1273" s="88">
        <f>'PFAS Properties'!$S$65</f>
        <v>-5.0477889418913309</v>
      </c>
      <c r="AF1273" s="84">
        <f>'PFAS Properties'!$V$65</f>
        <v>10.7</v>
      </c>
      <c r="AG1273" s="93">
        <v>3.8</v>
      </c>
      <c r="AH1273" s="84" t="s">
        <v>363</v>
      </c>
      <c r="AI1273" s="84" t="s">
        <v>363</v>
      </c>
      <c r="AJ1273" s="84" t="s">
        <v>363</v>
      </c>
      <c r="AK1273" s="84" t="s">
        <v>363</v>
      </c>
      <c r="AL1273" s="84" t="s">
        <v>363</v>
      </c>
      <c r="AM1273" s="84" t="s">
        <v>363</v>
      </c>
      <c r="AN1273" s="84" t="s">
        <v>363</v>
      </c>
      <c r="AO1273" s="84" t="s">
        <v>363</v>
      </c>
      <c r="AP1273" s="90">
        <v>23.89</v>
      </c>
      <c r="AQ1273" s="84" t="s">
        <v>363</v>
      </c>
      <c r="AR1273" s="89">
        <v>53</v>
      </c>
      <c r="AS1273" s="89">
        <v>41</v>
      </c>
      <c r="AT1273" s="89">
        <v>6</v>
      </c>
      <c r="AU1273" s="84" t="s">
        <v>363</v>
      </c>
      <c r="AV1273" s="89">
        <f t="shared" si="735"/>
        <v>100</v>
      </c>
      <c r="AW1273" s="83">
        <v>3.6</v>
      </c>
      <c r="AX1273" s="88">
        <f t="shared" si="736"/>
        <v>3.6000000000000004E-2</v>
      </c>
      <c r="AY1273" s="91" t="s">
        <v>364</v>
      </c>
      <c r="AZ1273" s="89">
        <v>100</v>
      </c>
      <c r="BA1273" s="89" t="s">
        <v>55</v>
      </c>
      <c r="BB1273" s="89">
        <v>500</v>
      </c>
      <c r="BC1273" s="89">
        <v>50000</v>
      </c>
      <c r="BD1273" s="86">
        <f>10^1.31</f>
        <v>20.4173794466953</v>
      </c>
      <c r="BE1273" s="89">
        <f t="shared" si="737"/>
        <v>567.14942907486932</v>
      </c>
      <c r="BF1273" s="89">
        <f t="shared" si="738"/>
        <v>2.7536974992327128</v>
      </c>
      <c r="BG1273" s="88">
        <f t="shared" si="739"/>
        <v>1.31</v>
      </c>
      <c r="BH1273" s="90" t="s">
        <v>367</v>
      </c>
      <c r="BI1273" s="88"/>
      <c r="BJ1273" s="91"/>
      <c r="BK1273" s="89"/>
      <c r="BL1273" s="89"/>
      <c r="BM1273" s="89"/>
      <c r="BN1273" s="89"/>
      <c r="BO1273" s="84"/>
    </row>
    <row r="1274" spans="1:67" s="94" customFormat="1" x14ac:dyDescent="0.3">
      <c r="A1274" s="83">
        <v>1272</v>
      </c>
      <c r="B1274" s="84" t="s">
        <v>358</v>
      </c>
      <c r="C1274" s="84">
        <v>2017</v>
      </c>
      <c r="D1274" s="84" t="s">
        <v>203</v>
      </c>
      <c r="E1274" s="85" t="s">
        <v>359</v>
      </c>
      <c r="F1274" s="83" t="s">
        <v>29</v>
      </c>
      <c r="G1274" s="84" t="s">
        <v>361</v>
      </c>
      <c r="H1274" s="84" t="str">
        <f>'PFAS Properties'!$B$65</f>
        <v>C8/8 PFPiA</v>
      </c>
      <c r="I1274" s="84" t="str">
        <f>'PFAS Properties'!$C$65</f>
        <v>PFPiA</v>
      </c>
      <c r="J1274" s="84" t="str">
        <f>'PFAS Properties'!$D$65</f>
        <v>C16F34HO2P</v>
      </c>
      <c r="K1274" s="99">
        <f>'PFAS Properties'!$P$65</f>
        <v>901.91699999999992</v>
      </c>
      <c r="L1274" s="84">
        <f>'PFAS Properties'!$X$65</f>
        <v>0.9</v>
      </c>
      <c r="M1274" s="84" t="str">
        <f>'PFAS Properties'!$Y$63</f>
        <v>-</v>
      </c>
      <c r="N1274" s="87">
        <v>0</v>
      </c>
      <c r="O1274" s="87">
        <v>0</v>
      </c>
      <c r="P1274" s="87">
        <v>0</v>
      </c>
      <c r="Q1274" s="87">
        <f t="shared" si="741"/>
        <v>0.99968387220237043</v>
      </c>
      <c r="R1274" s="87">
        <v>0</v>
      </c>
      <c r="S1274" s="87">
        <f t="shared" si="742"/>
        <v>3.1612779762961706E-4</v>
      </c>
      <c r="T1274" s="88">
        <f t="shared" si="740"/>
        <v>1</v>
      </c>
      <c r="U1274" s="87">
        <f t="shared" si="743"/>
        <v>0</v>
      </c>
      <c r="V1274" s="87">
        <f t="shared" si="744"/>
        <v>-0.99968387220237043</v>
      </c>
      <c r="W1274" s="87">
        <f t="shared" si="745"/>
        <v>900.91731612779756</v>
      </c>
      <c r="X1274" s="87">
        <v>96485</v>
      </c>
      <c r="Y1274" s="89">
        <f t="shared" si="746"/>
        <v>-107.06254245840623</v>
      </c>
      <c r="Z1274" s="84">
        <v>12</v>
      </c>
      <c r="AA1274" s="84">
        <v>26</v>
      </c>
      <c r="AB1274" s="88">
        <f t="shared" si="747"/>
        <v>0.291497975708502</v>
      </c>
      <c r="AC1274" s="89">
        <f t="shared" si="748"/>
        <v>54.77222405165886</v>
      </c>
      <c r="AD1274" s="83">
        <f>'PFAS Properties'!$W$63</f>
        <v>12</v>
      </c>
      <c r="AE1274" s="88">
        <f>'PFAS Properties'!$S$65</f>
        <v>-5.0477889418913309</v>
      </c>
      <c r="AF1274" s="84">
        <f>'PFAS Properties'!$V$65</f>
        <v>10.7</v>
      </c>
      <c r="AG1274" s="93">
        <v>4.4000000000000004</v>
      </c>
      <c r="AH1274" s="84" t="s">
        <v>363</v>
      </c>
      <c r="AI1274" s="84" t="s">
        <v>363</v>
      </c>
      <c r="AJ1274" s="84" t="s">
        <v>363</v>
      </c>
      <c r="AK1274" s="84" t="s">
        <v>363</v>
      </c>
      <c r="AL1274" s="84" t="s">
        <v>363</v>
      </c>
      <c r="AM1274" s="84" t="s">
        <v>363</v>
      </c>
      <c r="AN1274" s="84" t="s">
        <v>363</v>
      </c>
      <c r="AO1274" s="84" t="s">
        <v>363</v>
      </c>
      <c r="AP1274" s="90">
        <v>11.3</v>
      </c>
      <c r="AQ1274" s="84" t="s">
        <v>363</v>
      </c>
      <c r="AR1274" s="89">
        <v>58</v>
      </c>
      <c r="AS1274" s="89">
        <v>20</v>
      </c>
      <c r="AT1274" s="89">
        <v>22</v>
      </c>
      <c r="AU1274" s="84" t="s">
        <v>363</v>
      </c>
      <c r="AV1274" s="89">
        <f t="shared" si="735"/>
        <v>100</v>
      </c>
      <c r="AW1274" s="83">
        <v>10.199999999999999</v>
      </c>
      <c r="AX1274" s="88">
        <f t="shared" si="736"/>
        <v>0.10199999999999999</v>
      </c>
      <c r="AY1274" s="88" t="s">
        <v>364</v>
      </c>
      <c r="AZ1274" s="89">
        <v>100</v>
      </c>
      <c r="BA1274" s="89" t="s">
        <v>55</v>
      </c>
      <c r="BB1274" s="89">
        <v>500</v>
      </c>
      <c r="BC1274" s="89">
        <v>50000</v>
      </c>
      <c r="BD1274" s="86">
        <f>10^2.19</f>
        <v>154.8816618912482</v>
      </c>
      <c r="BE1274" s="89">
        <f t="shared" si="737"/>
        <v>1518.4476656004726</v>
      </c>
      <c r="BF1274" s="89">
        <f t="shared" si="738"/>
        <v>3.1813998282380829</v>
      </c>
      <c r="BG1274" s="88">
        <f t="shared" si="739"/>
        <v>2.1900000000000004</v>
      </c>
      <c r="BH1274" s="90" t="s">
        <v>367</v>
      </c>
      <c r="BI1274" s="88"/>
      <c r="BJ1274" s="91"/>
      <c r="BK1274" s="89"/>
      <c r="BL1274" s="89"/>
      <c r="BM1274" s="89"/>
      <c r="BN1274" s="89"/>
      <c r="BO1274" s="84"/>
    </row>
    <row r="1275" spans="1:67" s="94" customFormat="1" x14ac:dyDescent="0.3">
      <c r="A1275" s="83">
        <v>1273</v>
      </c>
      <c r="B1275" s="84" t="s">
        <v>358</v>
      </c>
      <c r="C1275" s="84">
        <v>2017</v>
      </c>
      <c r="D1275" s="84" t="s">
        <v>203</v>
      </c>
      <c r="E1275" s="85" t="s">
        <v>359</v>
      </c>
      <c r="F1275" s="83" t="s">
        <v>29</v>
      </c>
      <c r="G1275" s="84" t="s">
        <v>274</v>
      </c>
      <c r="H1275" s="84" t="str">
        <f>'PFAS Properties'!$B$65</f>
        <v>C8/8 PFPiA</v>
      </c>
      <c r="I1275" s="84" t="str">
        <f>'PFAS Properties'!$C$65</f>
        <v>PFPiA</v>
      </c>
      <c r="J1275" s="84" t="str">
        <f>'PFAS Properties'!$D$65</f>
        <v>C16F34HO2P</v>
      </c>
      <c r="K1275" s="99">
        <f>'PFAS Properties'!$P$65</f>
        <v>901.91699999999992</v>
      </c>
      <c r="L1275" s="84">
        <f>'PFAS Properties'!$X$65</f>
        <v>0.9</v>
      </c>
      <c r="M1275" s="84" t="str">
        <f>'PFAS Properties'!$Y$63</f>
        <v>-</v>
      </c>
      <c r="N1275" s="87">
        <v>0</v>
      </c>
      <c r="O1275" s="87">
        <v>0</v>
      </c>
      <c r="P1275" s="87">
        <v>0</v>
      </c>
      <c r="Q1275" s="87">
        <f t="shared" si="741"/>
        <v>0.99999369046636566</v>
      </c>
      <c r="R1275" s="87">
        <v>0</v>
      </c>
      <c r="S1275" s="87">
        <f t="shared" si="742"/>
        <v>6.3095336343360639E-6</v>
      </c>
      <c r="T1275" s="88">
        <f t="shared" si="740"/>
        <v>1</v>
      </c>
      <c r="U1275" s="87">
        <f t="shared" si="743"/>
        <v>0</v>
      </c>
      <c r="V1275" s="87">
        <f t="shared" si="744"/>
        <v>-0.99999369046636566</v>
      </c>
      <c r="W1275" s="87">
        <f t="shared" si="745"/>
        <v>900.91700630953358</v>
      </c>
      <c r="X1275" s="87">
        <v>96485</v>
      </c>
      <c r="Y1275" s="89">
        <f t="shared" si="746"/>
        <v>-107.09575970807856</v>
      </c>
      <c r="Z1275" s="84">
        <v>12</v>
      </c>
      <c r="AA1275" s="84">
        <v>26</v>
      </c>
      <c r="AB1275" s="88">
        <f t="shared" si="747"/>
        <v>0.291497975708502</v>
      </c>
      <c r="AC1275" s="89">
        <f t="shared" si="748"/>
        <v>54.77222405165886</v>
      </c>
      <c r="AD1275" s="83">
        <f>'PFAS Properties'!$W$63</f>
        <v>12</v>
      </c>
      <c r="AE1275" s="88">
        <f>'PFAS Properties'!$S$65</f>
        <v>-5.0477889418913309</v>
      </c>
      <c r="AF1275" s="84">
        <f>'PFAS Properties'!$V$65</f>
        <v>10.7</v>
      </c>
      <c r="AG1275" s="93">
        <v>6.1</v>
      </c>
      <c r="AH1275" s="84" t="s">
        <v>363</v>
      </c>
      <c r="AI1275" s="84" t="s">
        <v>363</v>
      </c>
      <c r="AJ1275" s="84" t="s">
        <v>363</v>
      </c>
      <c r="AK1275" s="84" t="s">
        <v>363</v>
      </c>
      <c r="AL1275" s="84" t="s">
        <v>363</v>
      </c>
      <c r="AM1275" s="84" t="s">
        <v>363</v>
      </c>
      <c r="AN1275" s="84" t="s">
        <v>363</v>
      </c>
      <c r="AO1275" s="84" t="s">
        <v>363</v>
      </c>
      <c r="AP1275" s="90">
        <v>24.2</v>
      </c>
      <c r="AQ1275" s="84" t="s">
        <v>363</v>
      </c>
      <c r="AR1275" s="89">
        <v>10</v>
      </c>
      <c r="AS1275" s="89">
        <v>61</v>
      </c>
      <c r="AT1275" s="89">
        <v>27</v>
      </c>
      <c r="AU1275" s="84" t="s">
        <v>363</v>
      </c>
      <c r="AV1275" s="89">
        <f t="shared" si="735"/>
        <v>98</v>
      </c>
      <c r="AW1275" s="83">
        <v>2.63</v>
      </c>
      <c r="AX1275" s="88">
        <f t="shared" si="736"/>
        <v>2.63E-2</v>
      </c>
      <c r="AY1275" s="88" t="s">
        <v>364</v>
      </c>
      <c r="AZ1275" s="89">
        <v>100</v>
      </c>
      <c r="BA1275" s="89" t="s">
        <v>55</v>
      </c>
      <c r="BB1275" s="89">
        <v>500</v>
      </c>
      <c r="BC1275" s="89">
        <v>50000</v>
      </c>
      <c r="BD1275" s="86">
        <f>10^1.81</f>
        <v>64.565422903465588</v>
      </c>
      <c r="BE1275" s="89">
        <f t="shared" si="737"/>
        <v>2454.959045759148</v>
      </c>
      <c r="BF1275" s="89">
        <f t="shared" si="738"/>
        <v>3.3900442515102425</v>
      </c>
      <c r="BG1275" s="88">
        <f t="shared" si="739"/>
        <v>1.8100000000000003</v>
      </c>
      <c r="BH1275" s="90" t="s">
        <v>367</v>
      </c>
      <c r="BI1275" s="88"/>
      <c r="BJ1275" s="91"/>
      <c r="BK1275" s="89"/>
      <c r="BL1275" s="89"/>
      <c r="BM1275" s="89"/>
      <c r="BN1275" s="89"/>
      <c r="BO1275" s="84"/>
    </row>
    <row r="1276" spans="1:67" s="94" customFormat="1" x14ac:dyDescent="0.3">
      <c r="A1276" s="83">
        <v>1274</v>
      </c>
      <c r="B1276" s="84" t="s">
        <v>358</v>
      </c>
      <c r="C1276" s="84">
        <v>2017</v>
      </c>
      <c r="D1276" s="84" t="s">
        <v>203</v>
      </c>
      <c r="E1276" s="85" t="s">
        <v>359</v>
      </c>
      <c r="F1276" s="83" t="s">
        <v>29</v>
      </c>
      <c r="G1276" s="84" t="s">
        <v>362</v>
      </c>
      <c r="H1276" s="84" t="str">
        <f>'PFAS Properties'!$B$65</f>
        <v>C8/8 PFPiA</v>
      </c>
      <c r="I1276" s="84" t="str">
        <f>'PFAS Properties'!$C$65</f>
        <v>PFPiA</v>
      </c>
      <c r="J1276" s="84" t="str">
        <f>'PFAS Properties'!$D$65</f>
        <v>C16F34HO2P</v>
      </c>
      <c r="K1276" s="99">
        <f>'PFAS Properties'!$P$65</f>
        <v>901.91699999999992</v>
      </c>
      <c r="L1276" s="84">
        <f>'PFAS Properties'!$X$65</f>
        <v>0.9</v>
      </c>
      <c r="M1276" s="84" t="str">
        <f>'PFAS Properties'!$Y$63</f>
        <v>-</v>
      </c>
      <c r="N1276" s="87">
        <v>0</v>
      </c>
      <c r="O1276" s="87">
        <v>0</v>
      </c>
      <c r="P1276" s="87">
        <v>0</v>
      </c>
      <c r="Q1276" s="87">
        <f t="shared" si="741"/>
        <v>0.99974887443673854</v>
      </c>
      <c r="R1276" s="87">
        <v>0</v>
      </c>
      <c r="S1276" s="87">
        <f t="shared" si="742"/>
        <v>2.5112556326146155E-4</v>
      </c>
      <c r="T1276" s="88">
        <f t="shared" si="740"/>
        <v>1</v>
      </c>
      <c r="U1276" s="87">
        <f t="shared" si="743"/>
        <v>0</v>
      </c>
      <c r="V1276" s="87">
        <f t="shared" si="744"/>
        <v>-0.99974887443673854</v>
      </c>
      <c r="W1276" s="87">
        <f t="shared" si="745"/>
        <v>900.91725112556321</v>
      </c>
      <c r="X1276" s="87">
        <v>96485</v>
      </c>
      <c r="Y1276" s="89">
        <f t="shared" si="746"/>
        <v>-107.0695116887985</v>
      </c>
      <c r="Z1276" s="84">
        <v>12</v>
      </c>
      <c r="AA1276" s="84">
        <v>26</v>
      </c>
      <c r="AB1276" s="88">
        <f t="shared" si="747"/>
        <v>0.291497975708502</v>
      </c>
      <c r="AC1276" s="89">
        <f t="shared" si="748"/>
        <v>54.77222405165886</v>
      </c>
      <c r="AD1276" s="83">
        <f>'PFAS Properties'!$W$63</f>
        <v>12</v>
      </c>
      <c r="AE1276" s="88">
        <f>'PFAS Properties'!$S$65</f>
        <v>-5.0477889418913309</v>
      </c>
      <c r="AF1276" s="84">
        <f>'PFAS Properties'!$V$65</f>
        <v>10.7</v>
      </c>
      <c r="AG1276" s="93">
        <v>4.5</v>
      </c>
      <c r="AH1276" s="84" t="s">
        <v>363</v>
      </c>
      <c r="AI1276" s="84" t="s">
        <v>363</v>
      </c>
      <c r="AJ1276" s="84" t="s">
        <v>363</v>
      </c>
      <c r="AK1276" s="84" t="s">
        <v>363</v>
      </c>
      <c r="AL1276" s="84" t="s">
        <v>363</v>
      </c>
      <c r="AM1276" s="84" t="s">
        <v>363</v>
      </c>
      <c r="AN1276" s="84" t="s">
        <v>363</v>
      </c>
      <c r="AO1276" s="84" t="s">
        <v>363</v>
      </c>
      <c r="AP1276" s="92">
        <v>21.496500000000001</v>
      </c>
      <c r="AQ1276" s="84" t="s">
        <v>752</v>
      </c>
      <c r="AR1276" s="96">
        <v>41.737499999999997</v>
      </c>
      <c r="AS1276" s="96">
        <v>35.036999999999999</v>
      </c>
      <c r="AT1276" s="96">
        <v>21.971</v>
      </c>
      <c r="AU1276" s="84" t="s">
        <v>752</v>
      </c>
      <c r="AV1276" s="89">
        <f t="shared" si="735"/>
        <v>98.745499999999993</v>
      </c>
      <c r="AW1276" s="83">
        <v>45.7</v>
      </c>
      <c r="AX1276" s="88">
        <f t="shared" si="736"/>
        <v>0.45700000000000002</v>
      </c>
      <c r="AY1276" s="88" t="s">
        <v>364</v>
      </c>
      <c r="AZ1276" s="89">
        <v>100</v>
      </c>
      <c r="BA1276" s="89" t="s">
        <v>55</v>
      </c>
      <c r="BB1276" s="89">
        <v>500</v>
      </c>
      <c r="BC1276" s="89">
        <v>50000</v>
      </c>
      <c r="BD1276" s="86">
        <f>10^2</f>
        <v>100</v>
      </c>
      <c r="BE1276" s="89">
        <f t="shared" si="737"/>
        <v>218.81838074398249</v>
      </c>
      <c r="BF1276" s="89">
        <f t="shared" si="738"/>
        <v>2.3400837999301496</v>
      </c>
      <c r="BG1276" s="88">
        <f t="shared" si="739"/>
        <v>2</v>
      </c>
      <c r="BH1276" s="90" t="s">
        <v>367</v>
      </c>
      <c r="BI1276" s="88"/>
      <c r="BJ1276" s="91"/>
      <c r="BK1276" s="89"/>
      <c r="BL1276" s="89"/>
      <c r="BM1276" s="89"/>
      <c r="BN1276" s="89"/>
      <c r="BO1276" s="84"/>
    </row>
  </sheetData>
  <sheetProtection algorithmName="SHA-512" hashValue="FuGk3DrU8i7HVYVORsrgG2PiWeE2sQyFcgakQ5N8l6OwXRHnLK/awVVJZ2zlz5K7+lILTAI9bvUXVoab50fX6w==" saltValue="YVh/XiaAK2+Dvh6NEHJHIg==" spinCount="100000" sheet="1" objects="1" scenarios="1" selectLockedCells="1" selectUnlockedCells="1"/>
  <conditionalFormatting sqref="BK3:BK7 BK55:BK59 BK33:BK38 BK44:BK48 BK795:BK798 BK831:BK832 BK834:BK836 BK885:BL885 BK942 BK948:BK981 BK669:BK680 BK139:BK145 BK116 BK114 BK455:BK495 BK512:BK526 BK551:BK582 BK155:BK204 BK208:BK445 BK530:BK540 BK586:BK624 BK983:BK991">
    <cfRule type="cellIs" dxfId="1736" priority="3486" operator="greaterThan">
      <formula>1</formula>
    </cfRule>
  </conditionalFormatting>
  <conditionalFormatting sqref="BK8">
    <cfRule type="cellIs" dxfId="1735" priority="3485" operator="greaterThan">
      <formula>1</formula>
    </cfRule>
  </conditionalFormatting>
  <conditionalFormatting sqref="BK19:BK24">
    <cfRule type="cellIs" dxfId="1734" priority="3484" operator="greaterThan">
      <formula>1</formula>
    </cfRule>
  </conditionalFormatting>
  <conditionalFormatting sqref="BK25:BK29">
    <cfRule type="cellIs" dxfId="1733" priority="3483" operator="greaterThan">
      <formula>1</formula>
    </cfRule>
  </conditionalFormatting>
  <conditionalFormatting sqref="BK30:BK38 BK44:BK48">
    <cfRule type="cellIs" dxfId="1732" priority="3482" operator="greaterThan">
      <formula>1</formula>
    </cfRule>
  </conditionalFormatting>
  <conditionalFormatting sqref="BK51:BK54">
    <cfRule type="cellIs" dxfId="1731" priority="3481" operator="greaterThan">
      <formula>1</formula>
    </cfRule>
  </conditionalFormatting>
  <conditionalFormatting sqref="BK50">
    <cfRule type="cellIs" dxfId="1730" priority="3480" operator="greaterThan">
      <formula>1</formula>
    </cfRule>
  </conditionalFormatting>
  <conditionalFormatting sqref="BK49">
    <cfRule type="cellIs" dxfId="1729" priority="3479" operator="greaterThan">
      <formula>1</formula>
    </cfRule>
  </conditionalFormatting>
  <conditionalFormatting sqref="BK32:BK37">
    <cfRule type="cellIs" dxfId="1728" priority="3478" operator="greaterThan">
      <formula>1</formula>
    </cfRule>
  </conditionalFormatting>
  <conditionalFormatting sqref="BK40:BK43">
    <cfRule type="cellIs" dxfId="1727" priority="3477" operator="greaterThan">
      <formula>1</formula>
    </cfRule>
  </conditionalFormatting>
  <conditionalFormatting sqref="BK39">
    <cfRule type="cellIs" dxfId="1726" priority="3476" operator="greaterThan">
      <formula>1</formula>
    </cfRule>
  </conditionalFormatting>
  <conditionalFormatting sqref="BK1235">
    <cfRule type="cellIs" dxfId="1725" priority="3475" operator="greaterThan">
      <formula>1</formula>
    </cfRule>
  </conditionalFormatting>
  <conditionalFormatting sqref="BK1235">
    <cfRule type="cellIs" dxfId="1724" priority="3474" operator="greaterThan">
      <formula>1</formula>
    </cfRule>
  </conditionalFormatting>
  <conditionalFormatting sqref="BK1236:BK1241">
    <cfRule type="cellIs" dxfId="1723" priority="3473" operator="greaterThan">
      <formula>1</formula>
    </cfRule>
  </conditionalFormatting>
  <conditionalFormatting sqref="BK1236:BK1241">
    <cfRule type="cellIs" dxfId="1722" priority="3472" operator="greaterThan">
      <formula>1</formula>
    </cfRule>
  </conditionalFormatting>
  <conditionalFormatting sqref="BK1242">
    <cfRule type="cellIs" dxfId="1721" priority="3471" operator="greaterThan">
      <formula>1</formula>
    </cfRule>
  </conditionalFormatting>
  <conditionalFormatting sqref="BK1242">
    <cfRule type="cellIs" dxfId="1720" priority="3470" operator="greaterThan">
      <formula>1</formula>
    </cfRule>
  </conditionalFormatting>
  <conditionalFormatting sqref="BK1243:BK1248">
    <cfRule type="cellIs" dxfId="1719" priority="3469" operator="greaterThan">
      <formula>1</formula>
    </cfRule>
  </conditionalFormatting>
  <conditionalFormatting sqref="BK1243:BK1248">
    <cfRule type="cellIs" dxfId="1718" priority="3468" operator="greaterThan">
      <formula>1</formula>
    </cfRule>
  </conditionalFormatting>
  <conditionalFormatting sqref="BK1249">
    <cfRule type="cellIs" dxfId="1717" priority="3467" operator="greaterThan">
      <formula>1</formula>
    </cfRule>
  </conditionalFormatting>
  <conditionalFormatting sqref="BK1249">
    <cfRule type="cellIs" dxfId="1716" priority="3466" operator="greaterThan">
      <formula>1</formula>
    </cfRule>
  </conditionalFormatting>
  <conditionalFormatting sqref="BK1250:BK1255">
    <cfRule type="cellIs" dxfId="1715" priority="3465" operator="greaterThan">
      <formula>1</formula>
    </cfRule>
  </conditionalFormatting>
  <conditionalFormatting sqref="BK1250:BK1255">
    <cfRule type="cellIs" dxfId="1714" priority="3464" operator="greaterThan">
      <formula>1</formula>
    </cfRule>
  </conditionalFormatting>
  <conditionalFormatting sqref="BK80">
    <cfRule type="cellIs" dxfId="1713" priority="3463" operator="greaterThan">
      <formula>1</formula>
    </cfRule>
  </conditionalFormatting>
  <conditionalFormatting sqref="BK80">
    <cfRule type="cellIs" dxfId="1712" priority="3462" operator="greaterThan">
      <formula>1</formula>
    </cfRule>
  </conditionalFormatting>
  <conditionalFormatting sqref="BK81">
    <cfRule type="cellIs" dxfId="1711" priority="3461" operator="greaterThan">
      <formula>1</formula>
    </cfRule>
  </conditionalFormatting>
  <conditionalFormatting sqref="BK81">
    <cfRule type="cellIs" dxfId="1710" priority="3460" operator="greaterThan">
      <formula>1</formula>
    </cfRule>
  </conditionalFormatting>
  <conditionalFormatting sqref="BK82:BK83">
    <cfRule type="cellIs" dxfId="1709" priority="3459" operator="greaterThan">
      <formula>1</formula>
    </cfRule>
  </conditionalFormatting>
  <conditionalFormatting sqref="BK82:BK83">
    <cfRule type="cellIs" dxfId="1708" priority="3458" operator="greaterThan">
      <formula>1</formula>
    </cfRule>
  </conditionalFormatting>
  <conditionalFormatting sqref="BK1128:BK1138">
    <cfRule type="cellIs" dxfId="1707" priority="3455" operator="greaterThan">
      <formula>1</formula>
    </cfRule>
  </conditionalFormatting>
  <conditionalFormatting sqref="BK1122:BK1126">
    <cfRule type="cellIs" dxfId="1706" priority="3457" operator="greaterThan">
      <formula>1</formula>
    </cfRule>
  </conditionalFormatting>
  <conditionalFormatting sqref="BK1127">
    <cfRule type="cellIs" dxfId="1705" priority="3456" operator="greaterThan">
      <formula>1</formula>
    </cfRule>
  </conditionalFormatting>
  <conditionalFormatting sqref="BK1155:BK1159">
    <cfRule type="cellIs" dxfId="1704" priority="3452" operator="greaterThan">
      <formula>1</formula>
    </cfRule>
  </conditionalFormatting>
  <conditionalFormatting sqref="BK1149:BK1153">
    <cfRule type="cellIs" dxfId="1703" priority="3454" operator="greaterThan">
      <formula>1</formula>
    </cfRule>
  </conditionalFormatting>
  <conditionalFormatting sqref="BK1154">
    <cfRule type="cellIs" dxfId="1702" priority="3453" operator="greaterThan">
      <formula>1</formula>
    </cfRule>
  </conditionalFormatting>
  <conditionalFormatting sqref="BK117">
    <cfRule type="cellIs" dxfId="1701" priority="3450" operator="greaterThan">
      <formula>1</formula>
    </cfRule>
  </conditionalFormatting>
  <conditionalFormatting sqref="BK625:BK630">
    <cfRule type="cellIs" dxfId="1700" priority="3449" operator="greaterThan">
      <formula>1</formula>
    </cfRule>
  </conditionalFormatting>
  <conditionalFormatting sqref="BK641:BK642">
    <cfRule type="cellIs" dxfId="1699" priority="3448" operator="greaterThan">
      <formula>1</formula>
    </cfRule>
  </conditionalFormatting>
  <conditionalFormatting sqref="BK643">
    <cfRule type="cellIs" dxfId="1698" priority="3447" operator="greaterThan">
      <formula>1</formula>
    </cfRule>
  </conditionalFormatting>
  <conditionalFormatting sqref="BK645">
    <cfRule type="cellIs" dxfId="1697" priority="3446" operator="greaterThan">
      <formula>1</formula>
    </cfRule>
  </conditionalFormatting>
  <conditionalFormatting sqref="BK1160">
    <cfRule type="cellIs" dxfId="1696" priority="3445" operator="greaterThan">
      <formula>1</formula>
    </cfRule>
  </conditionalFormatting>
  <conditionalFormatting sqref="BK1162">
    <cfRule type="cellIs" dxfId="1695" priority="3444" operator="greaterThan">
      <formula>1</formula>
    </cfRule>
  </conditionalFormatting>
  <conditionalFormatting sqref="BK1201">
    <cfRule type="cellIs" dxfId="1694" priority="3442" operator="greaterThan">
      <formula>1</formula>
    </cfRule>
  </conditionalFormatting>
  <conditionalFormatting sqref="BK1199">
    <cfRule type="cellIs" dxfId="1693" priority="3443" operator="greaterThan">
      <formula>1</formula>
    </cfRule>
  </conditionalFormatting>
  <conditionalFormatting sqref="BK1224">
    <cfRule type="cellIs" dxfId="1692" priority="3440" operator="greaterThan">
      <formula>1</formula>
    </cfRule>
  </conditionalFormatting>
  <conditionalFormatting sqref="BK1222">
    <cfRule type="cellIs" dxfId="1691" priority="3441" operator="greaterThan">
      <formula>1</formula>
    </cfRule>
  </conditionalFormatting>
  <conditionalFormatting sqref="BK649">
    <cfRule type="cellIs" dxfId="1690" priority="3438" operator="greaterThan">
      <formula>1</formula>
    </cfRule>
  </conditionalFormatting>
  <conditionalFormatting sqref="BK647">
    <cfRule type="cellIs" dxfId="1689" priority="3439" operator="greaterThan">
      <formula>1</formula>
    </cfRule>
  </conditionalFormatting>
  <conditionalFormatting sqref="N3:S3">
    <cfRule type="colorScale" priority="32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:S11 N13:S31 N33:S48 N32 P32:S32">
    <cfRule type="colorScale" priority="34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K89">
    <cfRule type="cellIs" dxfId="1688" priority="3423" operator="greaterThan">
      <formula>1</formula>
    </cfRule>
  </conditionalFormatting>
  <conditionalFormatting sqref="BK89">
    <cfRule type="cellIs" dxfId="1687" priority="3422" operator="greaterThan">
      <formula>1</formula>
    </cfRule>
  </conditionalFormatting>
  <conditionalFormatting sqref="BK90:BK91">
    <cfRule type="cellIs" dxfId="1686" priority="3421" operator="greaterThan">
      <formula>1</formula>
    </cfRule>
  </conditionalFormatting>
  <conditionalFormatting sqref="BK90:BK91">
    <cfRule type="cellIs" dxfId="1685" priority="3420" operator="greaterThan">
      <formula>1</formula>
    </cfRule>
  </conditionalFormatting>
  <conditionalFormatting sqref="BK170">
    <cfRule type="cellIs" dxfId="1684" priority="3407" operator="greaterThan">
      <formula>1</formula>
    </cfRule>
  </conditionalFormatting>
  <conditionalFormatting sqref="BK693:BK695">
    <cfRule type="cellIs" dxfId="1683" priority="3404" operator="greaterThan">
      <formula>1</formula>
    </cfRule>
  </conditionalFormatting>
  <conditionalFormatting sqref="BK696">
    <cfRule type="cellIs" dxfId="1682" priority="3402" operator="greaterThan">
      <formula>1</formula>
    </cfRule>
  </conditionalFormatting>
  <conditionalFormatting sqref="BK193:BK195">
    <cfRule type="cellIs" dxfId="1681" priority="3391" operator="greaterThan">
      <formula>1</formula>
    </cfRule>
  </conditionalFormatting>
  <conditionalFormatting sqref="BK202">
    <cfRule type="cellIs" dxfId="1680" priority="3390" operator="greaterThan">
      <formula>1</formula>
    </cfRule>
  </conditionalFormatting>
  <conditionalFormatting sqref="BK768">
    <cfRule type="cellIs" dxfId="1679" priority="3386" operator="greaterThan">
      <formula>1</formula>
    </cfRule>
  </conditionalFormatting>
  <conditionalFormatting sqref="BK226:BK228">
    <cfRule type="cellIs" dxfId="1678" priority="3377" operator="greaterThan">
      <formula>1</formula>
    </cfRule>
  </conditionalFormatting>
  <conditionalFormatting sqref="BK229">
    <cfRule type="cellIs" dxfId="1677" priority="3376" operator="greaterThan">
      <formula>1</formula>
    </cfRule>
  </conditionalFormatting>
  <conditionalFormatting sqref="BK230:BK236">
    <cfRule type="cellIs" dxfId="1676" priority="3375" operator="greaterThan">
      <formula>1</formula>
    </cfRule>
  </conditionalFormatting>
  <conditionalFormatting sqref="BK242">
    <cfRule type="cellIs" dxfId="1675" priority="3368" operator="greaterThan">
      <formula>1</formula>
    </cfRule>
  </conditionalFormatting>
  <conditionalFormatting sqref="BK243:BK251">
    <cfRule type="cellIs" dxfId="1674" priority="3367" operator="greaterThan">
      <formula>1</formula>
    </cfRule>
  </conditionalFormatting>
  <conditionalFormatting sqref="BK255:BK354">
    <cfRule type="cellIs" dxfId="1673" priority="3366" operator="greaterThan">
      <formula>1</formula>
    </cfRule>
  </conditionalFormatting>
  <conditionalFormatting sqref="BK355:BK364">
    <cfRule type="cellIs" dxfId="1672" priority="3364" operator="greaterThan">
      <formula>1</formula>
    </cfRule>
  </conditionalFormatting>
  <conditionalFormatting sqref="BK365:BK383">
    <cfRule type="cellIs" dxfId="1671" priority="3363" operator="greaterThan">
      <formula>1</formula>
    </cfRule>
  </conditionalFormatting>
  <conditionalFormatting sqref="BK397:BK401">
    <cfRule type="cellIs" dxfId="1670" priority="3358" operator="greaterThan">
      <formula>1</formula>
    </cfRule>
  </conditionalFormatting>
  <conditionalFormatting sqref="BK402:BK406">
    <cfRule type="cellIs" dxfId="1669" priority="3357" operator="greaterThan">
      <formula>1</formula>
    </cfRule>
  </conditionalFormatting>
  <conditionalFormatting sqref="BK402:BK406">
    <cfRule type="cellIs" dxfId="1668" priority="3356" operator="greaterThan">
      <formula>1</formula>
    </cfRule>
  </conditionalFormatting>
  <conditionalFormatting sqref="BK407">
    <cfRule type="cellIs" dxfId="1667" priority="3354" operator="greaterThan">
      <formula>1</formula>
    </cfRule>
  </conditionalFormatting>
  <conditionalFormatting sqref="BK411">
    <cfRule type="cellIs" dxfId="1666" priority="3350" operator="greaterThan">
      <formula>1</formula>
    </cfRule>
  </conditionalFormatting>
  <conditionalFormatting sqref="BK460:BK462">
    <cfRule type="cellIs" dxfId="1665" priority="3342" operator="greaterThan">
      <formula>1</formula>
    </cfRule>
  </conditionalFormatting>
  <conditionalFormatting sqref="BK467">
    <cfRule type="cellIs" dxfId="1664" priority="3336" operator="greaterThan">
      <formula>1</formula>
    </cfRule>
  </conditionalFormatting>
  <conditionalFormatting sqref="BK469">
    <cfRule type="cellIs" dxfId="1663" priority="3335" operator="greaterThan">
      <formula>1</formula>
    </cfRule>
  </conditionalFormatting>
  <conditionalFormatting sqref="BK470:BK479">
    <cfRule type="cellIs" dxfId="1662" priority="3333" operator="greaterThan">
      <formula>1</formula>
    </cfRule>
  </conditionalFormatting>
  <conditionalFormatting sqref="BK779:BK783">
    <cfRule type="cellIs" dxfId="1661" priority="3329" operator="greaterThan">
      <formula>1</formula>
    </cfRule>
  </conditionalFormatting>
  <conditionalFormatting sqref="BK792:BK794">
    <cfRule type="cellIs" dxfId="1660" priority="3324" operator="greaterThan">
      <formula>1</formula>
    </cfRule>
  </conditionalFormatting>
  <conditionalFormatting sqref="BK833">
    <cfRule type="cellIs" dxfId="1659" priority="3314" operator="greaterThan">
      <formula>1</formula>
    </cfRule>
  </conditionalFormatting>
  <conditionalFormatting sqref="BK838">
    <cfRule type="cellIs" dxfId="1658" priority="3311" operator="greaterThan">
      <formula>1</formula>
    </cfRule>
  </conditionalFormatting>
  <conditionalFormatting sqref="BK841">
    <cfRule type="cellIs" dxfId="1657" priority="3308" operator="greaterThan">
      <formula>1</formula>
    </cfRule>
  </conditionalFormatting>
  <conditionalFormatting sqref="BK839:BK840">
    <cfRule type="cellIs" dxfId="1656" priority="3306" operator="greaterThan">
      <formula>1</formula>
    </cfRule>
  </conditionalFormatting>
  <conditionalFormatting sqref="BK845:BK863">
    <cfRule type="cellIs" dxfId="1655" priority="3304" operator="greaterThan">
      <formula>1</formula>
    </cfRule>
  </conditionalFormatting>
  <conditionalFormatting sqref="BK864">
    <cfRule type="cellIs" dxfId="1654" priority="3301" operator="greaterThan">
      <formula>1</formula>
    </cfRule>
  </conditionalFormatting>
  <conditionalFormatting sqref="BK879:BK883">
    <cfRule type="cellIs" dxfId="1653" priority="3299" operator="greaterThan">
      <formula>1</formula>
    </cfRule>
  </conditionalFormatting>
  <conditionalFormatting sqref="BK884:BK885">
    <cfRule type="cellIs" dxfId="1652" priority="3297" operator="greaterThan">
      <formula>1</formula>
    </cfRule>
  </conditionalFormatting>
  <conditionalFormatting sqref="BK889">
    <cfRule type="cellIs" dxfId="1651" priority="3292" operator="greaterThan">
      <formula>1</formula>
    </cfRule>
  </conditionalFormatting>
  <conditionalFormatting sqref="BK1022">
    <cfRule type="cellIs" dxfId="1650" priority="3286" operator="greaterThan">
      <formula>1</formula>
    </cfRule>
  </conditionalFormatting>
  <conditionalFormatting sqref="BK1023:BK1029">
    <cfRule type="cellIs" dxfId="1649" priority="3285" operator="greaterThan">
      <formula>1</formula>
    </cfRule>
  </conditionalFormatting>
  <conditionalFormatting sqref="BK1057">
    <cfRule type="cellIs" dxfId="1648" priority="3279" operator="greaterThan">
      <formula>1</formula>
    </cfRule>
  </conditionalFormatting>
  <conditionalFormatting sqref="BK1056">
    <cfRule type="cellIs" dxfId="1647" priority="3278" operator="greaterThan">
      <formula>1</formula>
    </cfRule>
  </conditionalFormatting>
  <conditionalFormatting sqref="BK908:BK947">
    <cfRule type="cellIs" dxfId="1646" priority="3275" operator="greaterThan">
      <formula>1</formula>
    </cfRule>
  </conditionalFormatting>
  <conditionalFormatting sqref="BK992:BK1021">
    <cfRule type="cellIs" dxfId="1645" priority="3273" operator="greaterThan">
      <formula>1</formula>
    </cfRule>
  </conditionalFormatting>
  <conditionalFormatting sqref="BK492:BK494">
    <cfRule type="cellIs" dxfId="1644" priority="3269" operator="greaterThan">
      <formula>1</formula>
    </cfRule>
  </conditionalFormatting>
  <conditionalFormatting sqref="BK512:BK516">
    <cfRule type="cellIs" dxfId="1643" priority="3268" operator="greaterThan">
      <formula>1</formula>
    </cfRule>
  </conditionalFormatting>
  <conditionalFormatting sqref="BK517">
    <cfRule type="cellIs" dxfId="1642" priority="3267" operator="greaterThan">
      <formula>1</formula>
    </cfRule>
  </conditionalFormatting>
  <conditionalFormatting sqref="BK520">
    <cfRule type="cellIs" dxfId="1641" priority="3266" operator="greaterThan">
      <formula>1</formula>
    </cfRule>
  </conditionalFormatting>
  <conditionalFormatting sqref="BK521:BK525">
    <cfRule type="cellIs" dxfId="1640" priority="3265" operator="greaterThan">
      <formula>1</formula>
    </cfRule>
  </conditionalFormatting>
  <conditionalFormatting sqref="BK540">
    <cfRule type="cellIs" dxfId="1639" priority="3264" operator="greaterThan">
      <formula>1</formula>
    </cfRule>
  </conditionalFormatting>
  <conditionalFormatting sqref="BK551:BK555">
    <cfRule type="cellIs" dxfId="1638" priority="3263" operator="greaterThan">
      <formula>1</formula>
    </cfRule>
  </conditionalFormatting>
  <conditionalFormatting sqref="BK1070:BK1074">
    <cfRule type="cellIs" dxfId="1637" priority="3262" operator="greaterThan">
      <formula>1</formula>
    </cfRule>
  </conditionalFormatting>
  <conditionalFormatting sqref="V113:Y145 T116:T145 T114 T455:T495 V455:Y495 V512:Y526 T512:T526 T551:T582 V551:Y582 V693:Y867 V879:Y981 T155:T204 V155:Y204 V208:Y445 T208:T445 T530:T540 V530:Y540 T3 V3:Y111 T61:T91 V586:Y682 T586:T668 V983:Y1096 T1070:T1096 T1103:T1255 V1212:Y1276 V1103:Y1201">
    <cfRule type="cellIs" dxfId="1636" priority="3260" operator="equal">
      <formula>1</formula>
    </cfRule>
    <cfRule type="cellIs" dxfId="1635" priority="3261" operator="equal">
      <formula>1</formula>
    </cfRule>
  </conditionalFormatting>
  <conditionalFormatting sqref="T4:T48">
    <cfRule type="cellIs" dxfId="1634" priority="3258" operator="equal">
      <formula>1</formula>
    </cfRule>
    <cfRule type="cellIs" dxfId="1633" priority="3259" operator="equal">
      <formula>1</formula>
    </cfRule>
  </conditionalFormatting>
  <conditionalFormatting sqref="T1175">
    <cfRule type="cellIs" dxfId="1632" priority="3243" operator="equal">
      <formula>1</formula>
    </cfRule>
    <cfRule type="cellIs" dxfId="1631" priority="3244" operator="equal">
      <formula>1</formula>
    </cfRule>
  </conditionalFormatting>
  <conditionalFormatting sqref="T1222:T1224">
    <cfRule type="cellIs" dxfId="1630" priority="3237" operator="equal">
      <formula>1</formula>
    </cfRule>
    <cfRule type="cellIs" dxfId="1629" priority="3238" operator="equal">
      <formula>1</formula>
    </cfRule>
  </conditionalFormatting>
  <conditionalFormatting sqref="T1225">
    <cfRule type="cellIs" dxfId="1628" priority="3233" operator="equal">
      <formula>1</formula>
    </cfRule>
    <cfRule type="cellIs" dxfId="1627" priority="3234" operator="equal">
      <formula>1</formula>
    </cfRule>
  </conditionalFormatting>
  <conditionalFormatting sqref="BK1225:BK1234">
    <cfRule type="cellIs" dxfId="1626" priority="3232" operator="greaterThan">
      <formula>1</formula>
    </cfRule>
  </conditionalFormatting>
  <conditionalFormatting sqref="T80">
    <cfRule type="cellIs" dxfId="1625" priority="3224" operator="equal">
      <formula>1</formula>
    </cfRule>
    <cfRule type="cellIs" dxfId="1624" priority="3225" operator="equal">
      <formula>1</formula>
    </cfRule>
  </conditionalFormatting>
  <conditionalFormatting sqref="T81">
    <cfRule type="cellIs" dxfId="1623" priority="3220" operator="equal">
      <formula>1</formula>
    </cfRule>
    <cfRule type="cellIs" dxfId="1622" priority="3221" operator="equal">
      <formula>1</formula>
    </cfRule>
  </conditionalFormatting>
  <conditionalFormatting sqref="T82">
    <cfRule type="cellIs" dxfId="1621" priority="3216" operator="equal">
      <formula>1</formula>
    </cfRule>
    <cfRule type="cellIs" dxfId="1620" priority="3217" operator="equal">
      <formula>1</formula>
    </cfRule>
  </conditionalFormatting>
  <conditionalFormatting sqref="T83">
    <cfRule type="cellIs" dxfId="1619" priority="3212" operator="equal">
      <formula>1</formula>
    </cfRule>
    <cfRule type="cellIs" dxfId="1618" priority="3213" operator="equal">
      <formula>1</formula>
    </cfRule>
  </conditionalFormatting>
  <conditionalFormatting sqref="T84:T91">
    <cfRule type="cellIs" dxfId="1617" priority="3208" operator="equal">
      <formula>1</formula>
    </cfRule>
    <cfRule type="cellIs" dxfId="1616" priority="3209" operator="equal">
      <formula>1</formula>
    </cfRule>
  </conditionalFormatting>
  <conditionalFormatting sqref="T1112:T1148">
    <cfRule type="cellIs" dxfId="1615" priority="3204" operator="equal">
      <formula>1</formula>
    </cfRule>
    <cfRule type="cellIs" dxfId="1614" priority="3205" operator="equal">
      <formula>1</formula>
    </cfRule>
  </conditionalFormatting>
  <conditionalFormatting sqref="T1149">
    <cfRule type="cellIs" dxfId="1613" priority="3200" operator="equal">
      <formula>1</formula>
    </cfRule>
    <cfRule type="cellIs" dxfId="1612" priority="3201" operator="equal">
      <formula>1</formula>
    </cfRule>
  </conditionalFormatting>
  <conditionalFormatting sqref="V112">
    <cfRule type="cellIs" dxfId="1611" priority="3198" operator="equal">
      <formula>1</formula>
    </cfRule>
    <cfRule type="cellIs" dxfId="1610" priority="3199" operator="equal">
      <formula>1</formula>
    </cfRule>
  </conditionalFormatting>
  <conditionalFormatting sqref="T112:T114">
    <cfRule type="cellIs" dxfId="1609" priority="3196" operator="equal">
      <formula>1</formula>
    </cfRule>
    <cfRule type="cellIs" dxfId="1608" priority="3197" operator="equal">
      <formula>1</formula>
    </cfRule>
  </conditionalFormatting>
  <conditionalFormatting sqref="T137:T145 T455:T495 T512:T526 T551:T582 T155:T204 T208:T445 T530:T540 T586:T624">
    <cfRule type="cellIs" dxfId="1607" priority="3192" operator="equal">
      <formula>1</formula>
    </cfRule>
    <cfRule type="cellIs" dxfId="1606" priority="3193" operator="equal">
      <formula>1</formula>
    </cfRule>
  </conditionalFormatting>
  <conditionalFormatting sqref="T191:T198 T201:T204 T455:T495 T512:T526 T551:T582 T208:T445 T530:T540 T586:T624">
    <cfRule type="cellIs" dxfId="1605" priority="3176" operator="equal">
      <formula>1</formula>
    </cfRule>
    <cfRule type="cellIs" dxfId="1604" priority="3177" operator="equal">
      <formula>1</formula>
    </cfRule>
  </conditionalFormatting>
  <conditionalFormatting sqref="T766:T778">
    <cfRule type="cellIs" dxfId="1603" priority="3172" operator="equal">
      <formula>1</formula>
    </cfRule>
    <cfRule type="cellIs" dxfId="1602" priority="3173" operator="equal">
      <formula>1</formula>
    </cfRule>
  </conditionalFormatting>
  <conditionalFormatting sqref="T218">
    <cfRule type="cellIs" dxfId="1601" priority="3168" operator="equal">
      <formula>1</formula>
    </cfRule>
    <cfRule type="cellIs" dxfId="1600" priority="3169" operator="equal">
      <formula>1</formula>
    </cfRule>
  </conditionalFormatting>
  <conditionalFormatting sqref="BK391:BK396">
    <cfRule type="cellIs" dxfId="1599" priority="3167" operator="greaterThan">
      <formula>1</formula>
    </cfRule>
  </conditionalFormatting>
  <conditionalFormatting sqref="T3:T48 T1222:T1225 T1175">
    <cfRule type="cellIs" dxfId="1598" priority="3123" operator="equal">
      <formula>1</formula>
    </cfRule>
    <cfRule type="cellIs" dxfId="1597" priority="3124" operator="equal">
      <formula>1</formula>
    </cfRule>
  </conditionalFormatting>
  <conditionalFormatting sqref="AV116:AV125 AV114 AV79:AV91 AV606:AV613 AV1111:AV1255">
    <cfRule type="cellIs" dxfId="1596" priority="3122" operator="between">
      <formula>95</formula>
      <formula>105</formula>
    </cfRule>
  </conditionalFormatting>
  <conditionalFormatting sqref="N12:S12">
    <cfRule type="colorScale" priority="308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12">
    <cfRule type="cellIs" dxfId="1595" priority="3078" operator="equal">
      <formula>1</formula>
    </cfRule>
    <cfRule type="cellIs" dxfId="1594" priority="3079" operator="equal">
      <formula>1</formula>
    </cfRule>
  </conditionalFormatting>
  <conditionalFormatting sqref="T199:T200">
    <cfRule type="cellIs" dxfId="1593" priority="2944" operator="equal">
      <formula>1</formula>
    </cfRule>
    <cfRule type="cellIs" dxfId="1592" priority="2945" operator="equal">
      <formula>1</formula>
    </cfRule>
  </conditionalFormatting>
  <conditionalFormatting sqref="T1133:T1135">
    <cfRule type="cellIs" dxfId="1591" priority="2928" operator="equal">
      <formula>1</formula>
    </cfRule>
    <cfRule type="cellIs" dxfId="1590" priority="2929" operator="equal">
      <formula>1</formula>
    </cfRule>
  </conditionalFormatting>
  <conditionalFormatting sqref="N625:N632 N639:N668 P625:P632 P639:P668 R625:R632 R639:R668">
    <cfRule type="colorScale" priority="29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625:S632 S639:S668">
    <cfRule type="colorScale" priority="29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625:Q632 Q639:Q668">
    <cfRule type="colorScale" priority="29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625:O632 O639:O668">
    <cfRule type="colorScale" priority="29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625:S632 N639:S668">
    <cfRule type="colorScale" priority="29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37:N145 P137:P145 R137:R145 R155:R164 P155:P164 N155:N164">
    <cfRule type="colorScale" priority="290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37:S145 S155:S164">
    <cfRule type="colorScale" priority="29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37:Q145 Q155:Q164">
    <cfRule type="colorScale" priority="29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37:O145 O155:O164">
    <cfRule type="colorScale" priority="290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37:S145 N155:S164">
    <cfRule type="colorScale" priority="29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669:T680">
    <cfRule type="cellIs" dxfId="1589" priority="2899" operator="equal">
      <formula>1</formula>
    </cfRule>
    <cfRule type="cellIs" dxfId="1588" priority="2900" operator="equal">
      <formula>1</formula>
    </cfRule>
  </conditionalFormatting>
  <conditionalFormatting sqref="N669:N680 P669:P680 R669:R680">
    <cfRule type="colorScale" priority="289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669:S680">
    <cfRule type="colorScale" priority="289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669:Q680">
    <cfRule type="colorScale" priority="289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669:O680">
    <cfRule type="colorScale" priority="28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669:S680">
    <cfRule type="colorScale" priority="289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165:T204 T455:T495 T512:T526 T551:T582 T208:T445 T530:T540 T586:T624">
    <cfRule type="cellIs" dxfId="1587" priority="2888" operator="equal">
      <formula>1</formula>
    </cfRule>
    <cfRule type="cellIs" dxfId="1586" priority="2889" operator="equal">
      <formula>1</formula>
    </cfRule>
  </conditionalFormatting>
  <conditionalFormatting sqref="N165:N190 P165:P190 R165:R190">
    <cfRule type="colorScale" priority="288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65:S190">
    <cfRule type="colorScale" priority="28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65:Q190">
    <cfRule type="colorScale" priority="28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65:O190">
    <cfRule type="colorScale" priority="288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65:S190">
    <cfRule type="colorScale" priority="288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681:T682 T693:T765">
    <cfRule type="cellIs" dxfId="1585" priority="2877" operator="equal">
      <formula>1</formula>
    </cfRule>
    <cfRule type="cellIs" dxfId="1584" priority="2878" operator="equal">
      <formula>1</formula>
    </cfRule>
  </conditionalFormatting>
  <conditionalFormatting sqref="N681:N682 P681:P682 R681:R682 R693:R765 P693:P765 N693:N765">
    <cfRule type="colorScale" priority="287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681:S682 S693:S765">
    <cfRule type="colorScale" priority="28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681:Q682 Q693:Q765">
    <cfRule type="colorScale" priority="287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681:O682 O693:O765">
    <cfRule type="colorScale" priority="287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681:S682 N693:S765">
    <cfRule type="colorScale" priority="28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K115">
    <cfRule type="cellIs" dxfId="1583" priority="2867" operator="greaterThan">
      <formula>1</formula>
    </cfRule>
  </conditionalFormatting>
  <conditionalFormatting sqref="T115">
    <cfRule type="cellIs" dxfId="1582" priority="2863" operator="equal">
      <formula>1</formula>
    </cfRule>
    <cfRule type="cellIs" dxfId="1581" priority="2864" operator="equal">
      <formula>1</formula>
    </cfRule>
  </conditionalFormatting>
  <conditionalFormatting sqref="N191 P191 R191">
    <cfRule type="colorScale" priority="28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91">
    <cfRule type="colorScale" priority="28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91">
    <cfRule type="colorScale" priority="28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91">
    <cfRule type="colorScale" priority="28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91:S191">
    <cfRule type="colorScale" priority="28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92:N204 P192:P204 R192:R204 R208:R217 P208:P217 N208:N217">
    <cfRule type="colorScale" priority="28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92:S204 S208:S217">
    <cfRule type="colorScale" priority="28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92:Q204 Q208:Q217">
    <cfRule type="colorScale" priority="28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92:O204 O208:O217">
    <cfRule type="colorScale" priority="28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92:S204 N208:S217">
    <cfRule type="colorScale" priority="28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766:N778 P766:P778 R766:R778">
    <cfRule type="colorScale" priority="284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766:S778">
    <cfRule type="colorScale" priority="28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766:Q778">
    <cfRule type="colorScale" priority="28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766:O778">
    <cfRule type="colorScale" priority="28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766:S778">
    <cfRule type="colorScale" priority="28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218 N218 R218">
    <cfRule type="colorScale" priority="28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18">
    <cfRule type="colorScale" priority="28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218">
    <cfRule type="colorScale" priority="28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218">
    <cfRule type="colorScale" priority="28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218:S218">
    <cfRule type="colorScale" priority="28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490">
    <cfRule type="cellIs" dxfId="1580" priority="2761" operator="equal">
      <formula>1</formula>
    </cfRule>
    <cfRule type="cellIs" dxfId="1579" priority="2762" operator="equal">
      <formula>1</formula>
    </cfRule>
  </conditionalFormatting>
  <conditionalFormatting sqref="T255:T445 T219:T251 T455">
    <cfRule type="cellIs" dxfId="1578" priority="2827" operator="equal">
      <formula>1</formula>
    </cfRule>
    <cfRule type="cellIs" dxfId="1577" priority="2828" operator="equal">
      <formula>1</formula>
    </cfRule>
  </conditionalFormatting>
  <conditionalFormatting sqref="P219:P230 P237:P251 N219:N230 N237:N251 R219:R230 R237:R251 R255:R445 N255:N445 P255:P445 P455 N455 R455">
    <cfRule type="colorScale" priority="28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19:S230 S237:S251 S255:S445 S455">
    <cfRule type="colorScale" priority="28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219:Q230 Q237:Q251 Q255:Q445 Q455">
    <cfRule type="colorScale" priority="28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219:O230 O237:O251 O255:O445 O455">
    <cfRule type="colorScale" priority="28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219:S230 N237:S251 N255:S445 N455:S455">
    <cfRule type="colorScale" priority="28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491:T494 T512:T526 T530:T539">
    <cfRule type="cellIs" dxfId="1576" priority="2750" operator="equal">
      <formula>1</formula>
    </cfRule>
    <cfRule type="cellIs" dxfId="1575" priority="2751" operator="equal">
      <formula>1</formula>
    </cfRule>
  </conditionalFormatting>
  <conditionalFormatting sqref="T456">
    <cfRule type="cellIs" dxfId="1574" priority="2816" operator="equal">
      <formula>1</formula>
    </cfRule>
    <cfRule type="cellIs" dxfId="1573" priority="2817" operator="equal">
      <formula>1</formula>
    </cfRule>
  </conditionalFormatting>
  <conditionalFormatting sqref="P456 N456 R456">
    <cfRule type="colorScale" priority="28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456">
    <cfRule type="colorScale" priority="28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456">
    <cfRule type="colorScale" priority="28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456">
    <cfRule type="colorScale" priority="28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56:S456">
    <cfRule type="colorScale" priority="28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540 T561:T582 T551:T558 T586:T624">
    <cfRule type="cellIs" dxfId="1572" priority="2739" operator="equal">
      <formula>1</formula>
    </cfRule>
    <cfRule type="cellIs" dxfId="1571" priority="2740" operator="equal">
      <formula>1</formula>
    </cfRule>
  </conditionalFormatting>
  <conditionalFormatting sqref="T457:T495 T512:T526 T551:T582 T530:T540 T586:T624">
    <cfRule type="cellIs" dxfId="1570" priority="2805" operator="equal">
      <formula>1</formula>
    </cfRule>
    <cfRule type="cellIs" dxfId="1569" priority="2806" operator="equal">
      <formula>1</formula>
    </cfRule>
  </conditionalFormatting>
  <conditionalFormatting sqref="N457:N489 P457:P489 R457:R489">
    <cfRule type="colorScale" priority="280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457:S489">
    <cfRule type="colorScale" priority="280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457:Q489">
    <cfRule type="colorScale" priority="280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457:O489">
    <cfRule type="colorScale" priority="280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57:S489">
    <cfRule type="colorScale" priority="28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779">
    <cfRule type="cellIs" dxfId="1568" priority="2794" operator="equal">
      <formula>1</formula>
    </cfRule>
    <cfRule type="cellIs" dxfId="1567" priority="2795" operator="equal">
      <formula>1</formula>
    </cfRule>
  </conditionalFormatting>
  <conditionalFormatting sqref="P779 N779 R779">
    <cfRule type="colorScale" priority="279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779">
    <cfRule type="colorScale" priority="27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779">
    <cfRule type="colorScale" priority="279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779">
    <cfRule type="colorScale" priority="27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779:S779">
    <cfRule type="colorScale" priority="278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780:T784 T786:T867 T886:T934 T936:T941 T943:T981 T983:T1057 T879:T884">
    <cfRule type="cellIs" dxfId="1566" priority="2783" operator="equal">
      <formula>1</formula>
    </cfRule>
    <cfRule type="cellIs" dxfId="1565" priority="2784" operator="equal">
      <formula>1</formula>
    </cfRule>
  </conditionalFormatting>
  <conditionalFormatting sqref="R780:R784 R786:R867 R886:R891 R898:R934 R936:R941 R943:R981 R983:R1057 P780:P784 P786:P867 P886:P891 P898:P934 P936:P941 P943:P981 P983:P1057 N780:N784 N786:N867 N886:N891 N898:N934 N936:N941 N943:N981 N983:N1057 N879:N884 P879:P884 R879:R884">
    <cfRule type="colorScale" priority="278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780:S784 S786:S867 S886:S891 S898:S934 S936:S941 S943:S981 S983:S1057 S879:S884">
    <cfRule type="colorScale" priority="278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780:Q784 Q786:Q867 Q886:Q891 Q898:Q934 Q936:Q941 Q943:Q981 Q983:Q1057 Q879:Q884">
    <cfRule type="colorScale" priority="27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780:O784 O786:O867 O886:O891 O898:O934 O936:O941 O943:O981 O983:O1057 O879:O884">
    <cfRule type="colorScale" priority="277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780:S784 N786:S867 N886:S891 N898:S934 N936:S941 N943:S981 N983:S1057 N879:S884">
    <cfRule type="colorScale" priority="27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1058:T1069">
    <cfRule type="cellIs" dxfId="1564" priority="2772" operator="equal">
      <formula>1</formula>
    </cfRule>
    <cfRule type="cellIs" dxfId="1563" priority="2773" operator="equal">
      <formula>1</formula>
    </cfRule>
  </conditionalFormatting>
  <conditionalFormatting sqref="N1058:N1069 P1058:P1069 R1058:R1069">
    <cfRule type="colorScale" priority="277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058:S1069">
    <cfRule type="colorScale" priority="27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058:Q1069">
    <cfRule type="colorScale" priority="276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058:O1069">
    <cfRule type="colorScale" priority="276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058:S1069">
    <cfRule type="colorScale" priority="27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90 P490 R490">
    <cfRule type="colorScale" priority="27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490">
    <cfRule type="colorScale" priority="27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490">
    <cfRule type="colorScale" priority="27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490">
    <cfRule type="colorScale" priority="27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90:S490">
    <cfRule type="colorScale" priority="27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12">
    <cfRule type="cellIs" dxfId="1562" priority="2684" operator="equal">
      <formula>1</formula>
    </cfRule>
    <cfRule type="cellIs" dxfId="1561" priority="2685" operator="equal">
      <formula>1</formula>
    </cfRule>
  </conditionalFormatting>
  <conditionalFormatting sqref="N491:N494 P491:P494 R491:R494 R512:R526 P512:P526 N512:N526 N530:N539 P530:P539 R530:R539">
    <cfRule type="colorScale" priority="27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491:S494 S512:S526 S530:S539">
    <cfRule type="colorScale" priority="27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491:Q494 Q512:Q526 Q530:Q539">
    <cfRule type="colorScale" priority="27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491:O494 O512:O526 O530:O539">
    <cfRule type="colorScale" priority="27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91:S494 N512:S526 N530:S539">
    <cfRule type="colorScale" priority="27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561:R571 N540 P540 R540 P561:P571 N561:N571 R551:R558 P551:P558 N551:N558">
    <cfRule type="colorScale" priority="27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561:S571 S540 S551:S558">
    <cfRule type="colorScale" priority="27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561:Q571 Q540 Q551:Q558">
    <cfRule type="colorScale" priority="27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561:O571 O540 O551:O558">
    <cfRule type="colorScale" priority="27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61:S571 N540:S540 N551:S558">
    <cfRule type="colorScale" priority="27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070:N1085 P1070:P1085 R1070:R1085">
    <cfRule type="colorScale" priority="27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070:S1085">
    <cfRule type="colorScale" priority="27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070:Q1085">
    <cfRule type="colorScale" priority="27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070:O1085">
    <cfRule type="colorScale" priority="27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070:S1085">
    <cfRule type="colorScale" priority="27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K935">
    <cfRule type="cellIs" dxfId="1560" priority="2582" operator="greaterThan">
      <formula>1</formula>
    </cfRule>
  </conditionalFormatting>
  <conditionalFormatting sqref="BL885">
    <cfRule type="cellIs" dxfId="1559" priority="2573" operator="greaterThan">
      <formula>1</formula>
    </cfRule>
  </conditionalFormatting>
  <conditionalFormatting sqref="T885">
    <cfRule type="cellIs" dxfId="1558" priority="2522" operator="equal">
      <formula>1</formula>
    </cfRule>
    <cfRule type="cellIs" dxfId="1557" priority="2523" operator="equal">
      <formula>1</formula>
    </cfRule>
  </conditionalFormatting>
  <conditionalFormatting sqref="P885 R885 N885">
    <cfRule type="colorScale" priority="25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885">
    <cfRule type="colorScale" priority="25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885">
    <cfRule type="colorScale" priority="25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885">
    <cfRule type="colorScale" priority="25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885:S885">
    <cfRule type="colorScale" priority="25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252">
    <cfRule type="cellIs" dxfId="1556" priority="2339" operator="equal">
      <formula>1</formula>
    </cfRule>
    <cfRule type="cellIs" dxfId="1555" priority="2340" operator="equal">
      <formula>1</formula>
    </cfRule>
  </conditionalFormatting>
  <conditionalFormatting sqref="T254">
    <cfRule type="cellIs" dxfId="1554" priority="2309" operator="equal">
      <formula>1</formula>
    </cfRule>
    <cfRule type="cellIs" dxfId="1553" priority="2310" operator="equal">
      <formula>1</formula>
    </cfRule>
  </conditionalFormatting>
  <conditionalFormatting sqref="T586">
    <cfRule type="cellIs" dxfId="1552" priority="2269" operator="equal">
      <formula>1</formula>
    </cfRule>
    <cfRule type="cellIs" dxfId="1551" priority="2270" operator="equal">
      <formula>1</formula>
    </cfRule>
  </conditionalFormatting>
  <conditionalFormatting sqref="T935">
    <cfRule type="cellIs" dxfId="1550" priority="2419" operator="equal">
      <formula>1</formula>
    </cfRule>
    <cfRule type="cellIs" dxfId="1549" priority="2420" operator="equal">
      <formula>1</formula>
    </cfRule>
  </conditionalFormatting>
  <conditionalFormatting sqref="R935 P935 N935">
    <cfRule type="colorScale" priority="24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935">
    <cfRule type="colorScale" priority="24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935">
    <cfRule type="colorScale" priority="24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935">
    <cfRule type="colorScale" priority="24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935:S935">
    <cfRule type="colorScale" priority="24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942">
    <cfRule type="cellIs" dxfId="1548" priority="2403" operator="equal">
      <formula>1</formula>
    </cfRule>
    <cfRule type="cellIs" dxfId="1547" priority="2404" operator="equal">
      <formula>1</formula>
    </cfRule>
  </conditionalFormatting>
  <conditionalFormatting sqref="R942 P942 N942">
    <cfRule type="colorScale" priority="240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942">
    <cfRule type="colorScale" priority="240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942">
    <cfRule type="colorScale" priority="24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942">
    <cfRule type="colorScale" priority="239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942:S942">
    <cfRule type="colorScale" priority="239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560">
    <cfRule type="cellIs" dxfId="1546" priority="2222" operator="equal">
      <formula>1</formula>
    </cfRule>
    <cfRule type="cellIs" dxfId="1545" priority="2223" operator="equal">
      <formula>1</formula>
    </cfRule>
  </conditionalFormatting>
  <conditionalFormatting sqref="P252 N252 R252">
    <cfRule type="colorScale" priority="23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52">
    <cfRule type="colorScale" priority="23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252">
    <cfRule type="colorScale" priority="23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252">
    <cfRule type="colorScale" priority="23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252:S252">
    <cfRule type="colorScale" priority="23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253">
    <cfRule type="cellIs" dxfId="1544" priority="2324" operator="equal">
      <formula>1</formula>
    </cfRule>
    <cfRule type="cellIs" dxfId="1543" priority="2325" operator="equal">
      <formula>1</formula>
    </cfRule>
  </conditionalFormatting>
  <conditionalFormatting sqref="P253 N253 R253">
    <cfRule type="colorScale" priority="23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53">
    <cfRule type="colorScale" priority="23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253">
    <cfRule type="colorScale" priority="23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253">
    <cfRule type="colorScale" priority="23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253:S253">
    <cfRule type="colorScale" priority="23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254 N254 R254">
    <cfRule type="colorScale" priority="23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54">
    <cfRule type="colorScale" priority="23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254">
    <cfRule type="colorScale" priority="230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254">
    <cfRule type="colorScale" priority="23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254:S254">
    <cfRule type="colorScale" priority="230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572 N572 R572">
    <cfRule type="colorScale" priority="350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572">
    <cfRule type="colorScale" priority="35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572">
    <cfRule type="colorScale" priority="35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572">
    <cfRule type="colorScale" priority="35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72:S572">
    <cfRule type="colorScale" priority="35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582">
    <cfRule type="cellIs" dxfId="1542" priority="2276" operator="equal">
      <formula>1</formula>
    </cfRule>
    <cfRule type="cellIs" dxfId="1541" priority="2277" operator="equal">
      <formula>1</formula>
    </cfRule>
  </conditionalFormatting>
  <conditionalFormatting sqref="T587">
    <cfRule type="cellIs" dxfId="1540" priority="2262" operator="equal">
      <formula>1</formula>
    </cfRule>
    <cfRule type="cellIs" dxfId="1539" priority="2263" operator="equal">
      <formula>1</formula>
    </cfRule>
  </conditionalFormatting>
  <conditionalFormatting sqref="N572:S572">
    <cfRule type="colorScale" priority="22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73:N582 P573:P582 R573:R582">
    <cfRule type="colorScale" priority="22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573:S582">
    <cfRule type="colorScale" priority="22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573:Q582">
    <cfRule type="colorScale" priority="22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573:O582">
    <cfRule type="colorScale" priority="22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73:S582">
    <cfRule type="colorScale" priority="22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73:S582">
    <cfRule type="colorScale" priority="22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559">
    <cfRule type="cellIs" dxfId="1538" priority="2237" operator="equal">
      <formula>1</formula>
    </cfRule>
    <cfRule type="cellIs" dxfId="1537" priority="2238" operator="equal">
      <formula>1</formula>
    </cfRule>
  </conditionalFormatting>
  <conditionalFormatting sqref="N559 P559 R559">
    <cfRule type="colorScale" priority="22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559">
    <cfRule type="colorScale" priority="22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559">
    <cfRule type="colorScale" priority="22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559">
    <cfRule type="colorScale" priority="22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59:S559">
    <cfRule type="colorScale" priority="22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60 P560 R560">
    <cfRule type="colorScale" priority="22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560">
    <cfRule type="colorScale" priority="22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560">
    <cfRule type="colorScale" priority="22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560">
    <cfRule type="colorScale" priority="22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60:S560">
    <cfRule type="colorScale" priority="22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I598:BI624">
    <cfRule type="cellIs" dxfId="1536" priority="2193" operator="greaterThan">
      <formula>1</formula>
    </cfRule>
  </conditionalFormatting>
  <conditionalFormatting sqref="BI598:BI624">
    <cfRule type="cellIs" dxfId="1535" priority="2192" operator="greaterThan">
      <formula>1</formula>
    </cfRule>
  </conditionalFormatting>
  <conditionalFormatting sqref="T598:T624">
    <cfRule type="cellIs" dxfId="1534" priority="2175" operator="equal">
      <formula>1</formula>
    </cfRule>
    <cfRule type="cellIs" dxfId="1533" priority="2176" operator="equal">
      <formula>1</formula>
    </cfRule>
  </conditionalFormatting>
  <conditionalFormatting sqref="T495">
    <cfRule type="cellIs" dxfId="1532" priority="2154" operator="equal">
      <formula>1</formula>
    </cfRule>
    <cfRule type="cellIs" dxfId="1531" priority="2155" operator="equal">
      <formula>1</formula>
    </cfRule>
  </conditionalFormatting>
  <conditionalFormatting sqref="P495 N495 R495">
    <cfRule type="colorScale" priority="21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495">
    <cfRule type="colorScale" priority="21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495">
    <cfRule type="colorScale" priority="21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495">
    <cfRule type="colorScale" priority="21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95:S495">
    <cfRule type="colorScale" priority="21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60">
    <cfRule type="cellIs" dxfId="1530" priority="2117" operator="equal">
      <formula>1</formula>
    </cfRule>
    <cfRule type="cellIs" dxfId="1529" priority="2118" operator="equal">
      <formula>1</formula>
    </cfRule>
  </conditionalFormatting>
  <conditionalFormatting sqref="T60">
    <cfRule type="cellIs" dxfId="1528" priority="2115" operator="equal">
      <formula>1</formula>
    </cfRule>
    <cfRule type="cellIs" dxfId="1527" priority="2116" operator="equal">
      <formula>1</formula>
    </cfRule>
  </conditionalFormatting>
  <conditionalFormatting sqref="T49">
    <cfRule type="cellIs" dxfId="1526" priority="2100" operator="equal">
      <formula>1</formula>
    </cfRule>
    <cfRule type="cellIs" dxfId="1525" priority="2101" operator="equal">
      <formula>1</formula>
    </cfRule>
  </conditionalFormatting>
  <conditionalFormatting sqref="T49">
    <cfRule type="cellIs" dxfId="1524" priority="2098" operator="equal">
      <formula>1</formula>
    </cfRule>
    <cfRule type="cellIs" dxfId="1523" priority="2099" operator="equal">
      <formula>1</formula>
    </cfRule>
  </conditionalFormatting>
  <conditionalFormatting sqref="T50:T59">
    <cfRule type="cellIs" dxfId="1522" priority="2083" operator="equal">
      <formula>1</formula>
    </cfRule>
    <cfRule type="cellIs" dxfId="1521" priority="2084" operator="equal">
      <formula>1</formula>
    </cfRule>
  </conditionalFormatting>
  <conditionalFormatting sqref="T50:T59">
    <cfRule type="cellIs" dxfId="1520" priority="2081" operator="equal">
      <formula>1</formula>
    </cfRule>
    <cfRule type="cellIs" dxfId="1519" priority="2082" operator="equal">
      <formula>1</formula>
    </cfRule>
  </conditionalFormatting>
  <conditionalFormatting sqref="R49:S49 N49:P49">
    <cfRule type="colorScale" priority="20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32">
    <cfRule type="colorScale" priority="20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32:S32">
    <cfRule type="colorScale" priority="20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49:S49">
    <cfRule type="colorScale" priority="35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49">
    <cfRule type="colorScale" priority="200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49">
    <cfRule type="colorScale" priority="20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9:S49">
    <cfRule type="colorScale" priority="200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50:S59 N50:P59">
    <cfRule type="colorScale" priority="20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50:S59">
    <cfRule type="colorScale" priority="200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50:Q59">
    <cfRule type="colorScale" priority="199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50:Q59">
    <cfRule type="colorScale" priority="199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0:S59">
    <cfRule type="colorScale" priority="199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60:O60 Q60:S60">
    <cfRule type="colorScale" priority="19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60:O60">
    <cfRule type="colorScale" priority="35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60">
    <cfRule type="colorScale" priority="19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60">
    <cfRule type="colorScale" priority="199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60:S60">
    <cfRule type="colorScale" priority="198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61:O69 Q61:S69">
    <cfRule type="colorScale" priority="198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61:O69">
    <cfRule type="colorScale" priority="198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61:P69">
    <cfRule type="colorScale" priority="19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61:P69">
    <cfRule type="colorScale" priority="19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61:S69">
    <cfRule type="colorScale" priority="198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235">
    <cfRule type="colorScale" priority="19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1235">
    <cfRule type="colorScale" priority="19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175 P1175 R1175">
    <cfRule type="colorScale" priority="19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175">
    <cfRule type="colorScale" priority="19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175">
    <cfRule type="colorScale" priority="19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175">
    <cfRule type="colorScale" priority="19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175:S1175">
    <cfRule type="colorScale" priority="19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1176:T1185">
    <cfRule type="cellIs" dxfId="1518" priority="1918" operator="equal">
      <formula>1</formula>
    </cfRule>
    <cfRule type="cellIs" dxfId="1517" priority="1919" operator="equal">
      <formula>1</formula>
    </cfRule>
  </conditionalFormatting>
  <conditionalFormatting sqref="T1176:T1185">
    <cfRule type="cellIs" dxfId="1516" priority="1916" operator="equal">
      <formula>1</formula>
    </cfRule>
    <cfRule type="cellIs" dxfId="1515" priority="1917" operator="equal">
      <formula>1</formula>
    </cfRule>
  </conditionalFormatting>
  <conditionalFormatting sqref="P1176:P1185 N1176:N1185 R1176:R1185">
    <cfRule type="colorScale" priority="19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176:S1185">
    <cfRule type="colorScale" priority="19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176:Q1185">
    <cfRule type="colorScale" priority="19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176:O1185">
    <cfRule type="colorScale" priority="19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176:S1185">
    <cfRule type="colorScale" priority="19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1186:T1194">
    <cfRule type="cellIs" dxfId="1514" priority="1905" operator="equal">
      <formula>1</formula>
    </cfRule>
    <cfRule type="cellIs" dxfId="1513" priority="1906" operator="equal">
      <formula>1</formula>
    </cfRule>
  </conditionalFormatting>
  <conditionalFormatting sqref="T1186:T1194">
    <cfRule type="cellIs" dxfId="1512" priority="1903" operator="equal">
      <formula>1</formula>
    </cfRule>
    <cfRule type="cellIs" dxfId="1511" priority="1904" operator="equal">
      <formula>1</formula>
    </cfRule>
  </conditionalFormatting>
  <conditionalFormatting sqref="P1186:P1194 N1186:N1194 R1186:R1194">
    <cfRule type="colorScale" priority="190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186:S1194">
    <cfRule type="colorScale" priority="190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186:Q1194">
    <cfRule type="colorScale" priority="19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186:O1194">
    <cfRule type="colorScale" priority="189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186:S1194">
    <cfRule type="colorScale" priority="189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1195">
    <cfRule type="cellIs" dxfId="1510" priority="1892" operator="equal">
      <formula>1</formula>
    </cfRule>
    <cfRule type="cellIs" dxfId="1509" priority="1893" operator="equal">
      <formula>1</formula>
    </cfRule>
  </conditionalFormatting>
  <conditionalFormatting sqref="T1195">
    <cfRule type="cellIs" dxfId="1508" priority="1890" operator="equal">
      <formula>1</formula>
    </cfRule>
    <cfRule type="cellIs" dxfId="1507" priority="1891" operator="equal">
      <formula>1</formula>
    </cfRule>
  </conditionalFormatting>
  <conditionalFormatting sqref="N1195 P1195 R1195">
    <cfRule type="colorScale" priority="188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195">
    <cfRule type="colorScale" priority="188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195">
    <cfRule type="colorScale" priority="188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195">
    <cfRule type="colorScale" priority="18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195:S1195">
    <cfRule type="colorScale" priority="18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1196:T1201 T1213:T1221">
    <cfRule type="cellIs" dxfId="1506" priority="1879" operator="equal">
      <formula>1</formula>
    </cfRule>
    <cfRule type="cellIs" dxfId="1505" priority="1880" operator="equal">
      <formula>1</formula>
    </cfRule>
  </conditionalFormatting>
  <conditionalFormatting sqref="T1196:T1201 T1213:T1221">
    <cfRule type="cellIs" dxfId="1504" priority="1877" operator="equal">
      <formula>1</formula>
    </cfRule>
    <cfRule type="cellIs" dxfId="1503" priority="1878" operator="equal">
      <formula>1</formula>
    </cfRule>
  </conditionalFormatting>
  <conditionalFormatting sqref="P1196:P1201 N1196:N1201 R1196:R1201 R1213:R1221 N1213:N1221 P1213:P1221">
    <cfRule type="colorScale" priority="187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196:S1201 S1213:S1221">
    <cfRule type="colorScale" priority="18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196:Q1201 Q1213:Q1221">
    <cfRule type="colorScale" priority="187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196:O1201 O1213:O1221">
    <cfRule type="colorScale" priority="187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196:S1201 N1213:S1221">
    <cfRule type="colorScale" priority="18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22 P1222 R1222">
    <cfRule type="colorScale" priority="18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222">
    <cfRule type="colorScale" priority="186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222">
    <cfRule type="colorScale" priority="18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222">
    <cfRule type="colorScale" priority="186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22:S1222">
    <cfRule type="colorScale" priority="186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23:N1224 P1223:P1224 R1223:R1224">
    <cfRule type="colorScale" priority="18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223:S1224">
    <cfRule type="colorScale" priority="18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223:Q1224">
    <cfRule type="colorScale" priority="18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223:O1224">
    <cfRule type="colorScale" priority="18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23:S1224">
    <cfRule type="colorScale" priority="18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25 P1225 R1225">
    <cfRule type="colorScale" priority="18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225">
    <cfRule type="colorScale" priority="18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225">
    <cfRule type="colorScale" priority="18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225">
    <cfRule type="colorScale" priority="18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25:S1225">
    <cfRule type="colorScale" priority="18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1226:T1230">
    <cfRule type="cellIs" dxfId="1502" priority="1841" operator="equal">
      <formula>1</formula>
    </cfRule>
    <cfRule type="cellIs" dxfId="1501" priority="1842" operator="equal">
      <formula>1</formula>
    </cfRule>
  </conditionalFormatting>
  <conditionalFormatting sqref="T1226:T1230">
    <cfRule type="cellIs" dxfId="1500" priority="1839" operator="equal">
      <formula>1</formula>
    </cfRule>
    <cfRule type="cellIs" dxfId="1499" priority="1840" operator="equal">
      <formula>1</formula>
    </cfRule>
  </conditionalFormatting>
  <conditionalFormatting sqref="N1226:N1230 P1226:P1230 R1226:R1230">
    <cfRule type="colorScale" priority="18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226:S1230">
    <cfRule type="colorScale" priority="18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226:Q1230">
    <cfRule type="colorScale" priority="18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226:O1230">
    <cfRule type="colorScale" priority="18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26:S1230">
    <cfRule type="colorScale" priority="18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1231">
    <cfRule type="cellIs" dxfId="1498" priority="1826" operator="equal">
      <formula>1</formula>
    </cfRule>
    <cfRule type="cellIs" dxfId="1497" priority="1827" operator="equal">
      <formula>1</formula>
    </cfRule>
  </conditionalFormatting>
  <conditionalFormatting sqref="T1231">
    <cfRule type="cellIs" dxfId="1496" priority="1824" operator="equal">
      <formula>1</formula>
    </cfRule>
    <cfRule type="cellIs" dxfId="1495" priority="1825" operator="equal">
      <formula>1</formula>
    </cfRule>
  </conditionalFormatting>
  <conditionalFormatting sqref="N1231 P1231 R1231">
    <cfRule type="colorScale" priority="18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231">
    <cfRule type="colorScale" priority="18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231">
    <cfRule type="colorScale" priority="18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231">
    <cfRule type="colorScale" priority="18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31:S1231">
    <cfRule type="colorScale" priority="18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1232">
    <cfRule type="cellIs" dxfId="1494" priority="1811" operator="equal">
      <formula>1</formula>
    </cfRule>
    <cfRule type="cellIs" dxfId="1493" priority="1812" operator="equal">
      <formula>1</formula>
    </cfRule>
  </conditionalFormatting>
  <conditionalFormatting sqref="T1232">
    <cfRule type="cellIs" dxfId="1492" priority="1809" operator="equal">
      <formula>1</formula>
    </cfRule>
    <cfRule type="cellIs" dxfId="1491" priority="1810" operator="equal">
      <formula>1</formula>
    </cfRule>
  </conditionalFormatting>
  <conditionalFormatting sqref="P1232 N1232 R1232">
    <cfRule type="colorScale" priority="18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232">
    <cfRule type="colorScale" priority="18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232">
    <cfRule type="colorScale" priority="180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232">
    <cfRule type="colorScale" priority="18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32:S1232">
    <cfRule type="colorScale" priority="180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1233">
    <cfRule type="cellIs" dxfId="1490" priority="1796" operator="equal">
      <formula>1</formula>
    </cfRule>
    <cfRule type="cellIs" dxfId="1489" priority="1797" operator="equal">
      <formula>1</formula>
    </cfRule>
  </conditionalFormatting>
  <conditionalFormatting sqref="T1233">
    <cfRule type="cellIs" dxfId="1488" priority="1794" operator="equal">
      <formula>1</formula>
    </cfRule>
    <cfRule type="cellIs" dxfId="1487" priority="1795" operator="equal">
      <formula>1</formula>
    </cfRule>
  </conditionalFormatting>
  <conditionalFormatting sqref="N1233 P1233 R1233">
    <cfRule type="colorScale" priority="179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233">
    <cfRule type="colorScale" priority="17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233">
    <cfRule type="colorScale" priority="179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233">
    <cfRule type="colorScale" priority="17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33:S1233">
    <cfRule type="colorScale" priority="178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1234">
    <cfRule type="cellIs" dxfId="1486" priority="1781" operator="equal">
      <formula>1</formula>
    </cfRule>
    <cfRule type="cellIs" dxfId="1485" priority="1782" operator="equal">
      <formula>1</formula>
    </cfRule>
  </conditionalFormatting>
  <conditionalFormatting sqref="T1234">
    <cfRule type="cellIs" dxfId="1484" priority="1779" operator="equal">
      <formula>1</formula>
    </cfRule>
    <cfRule type="cellIs" dxfId="1483" priority="1780" operator="equal">
      <formula>1</formula>
    </cfRule>
  </conditionalFormatting>
  <conditionalFormatting sqref="P1234 N1234 R1234">
    <cfRule type="colorScale" priority="17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234">
    <cfRule type="colorScale" priority="177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234">
    <cfRule type="colorScale" priority="177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234">
    <cfRule type="colorScale" priority="17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34:S1234">
    <cfRule type="colorScale" priority="177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80 P80 R80">
    <cfRule type="colorScale" priority="176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80">
    <cfRule type="colorScale" priority="176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80">
    <cfRule type="colorScale" priority="17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80">
    <cfRule type="colorScale" priority="176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80:S80">
    <cfRule type="colorScale" priority="17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81 P81 R81">
    <cfRule type="colorScale" priority="176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81">
    <cfRule type="colorScale" priority="176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81">
    <cfRule type="colorScale" priority="17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81">
    <cfRule type="colorScale" priority="17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81:S81">
    <cfRule type="colorScale" priority="17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82:P84 N82:N84 R82:R84">
    <cfRule type="colorScale" priority="17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82:S84">
    <cfRule type="colorScale" priority="17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82:Q84">
    <cfRule type="colorScale" priority="17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82:O84">
    <cfRule type="colorScale" priority="17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82:S84">
    <cfRule type="colorScale" priority="17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85:P89 N85:N89 R85:R89">
    <cfRule type="colorScale" priority="17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85:S89">
    <cfRule type="colorScale" priority="17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85:Q89">
    <cfRule type="colorScale" priority="17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85:O89">
    <cfRule type="colorScale" priority="17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85:S89">
    <cfRule type="colorScale" priority="17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90:P91 N90:N91 R90:R91">
    <cfRule type="colorScale" priority="17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90:S91">
    <cfRule type="colorScale" priority="17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90:Q91">
    <cfRule type="colorScale" priority="17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90:O91">
    <cfRule type="colorScale" priority="17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90:S91">
    <cfRule type="colorScale" priority="17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112 P1112 R1112">
    <cfRule type="colorScale" priority="17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112">
    <cfRule type="colorScale" priority="17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112">
    <cfRule type="colorScale" priority="17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112">
    <cfRule type="colorScale" priority="17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112:S1112">
    <cfRule type="colorScale" priority="17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113:P1122 N1113:N1122 R1113:R1122">
    <cfRule type="colorScale" priority="17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113:S1122">
    <cfRule type="colorScale" priority="17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113:Q1122">
    <cfRule type="colorScale" priority="17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113:O1122">
    <cfRule type="colorScale" priority="17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113:S1122">
    <cfRule type="colorScale" priority="17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123:P1148 N1123:N1148 R1123:R1148">
    <cfRule type="colorScale" priority="17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123:S1148">
    <cfRule type="colorScale" priority="17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123:Q1148">
    <cfRule type="colorScale" priority="17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123:O1148">
    <cfRule type="colorScale" priority="17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123:S1148">
    <cfRule type="colorScale" priority="17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149 P1149 R1149">
    <cfRule type="colorScale" priority="17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149">
    <cfRule type="colorScale" priority="17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149">
    <cfRule type="colorScale" priority="17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149">
    <cfRule type="colorScale" priority="17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149:S1149">
    <cfRule type="colorScale" priority="17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1150:T1234">
    <cfRule type="cellIs" dxfId="1482" priority="1709" operator="equal">
      <formula>1</formula>
    </cfRule>
    <cfRule type="cellIs" dxfId="1481" priority="1710" operator="equal">
      <formula>1</formula>
    </cfRule>
  </conditionalFormatting>
  <conditionalFormatting sqref="T1150:T1234">
    <cfRule type="cellIs" dxfId="1480" priority="1707" operator="equal">
      <formula>1</formula>
    </cfRule>
    <cfRule type="cellIs" dxfId="1479" priority="1708" operator="equal">
      <formula>1</formula>
    </cfRule>
  </conditionalFormatting>
  <conditionalFormatting sqref="P1150:P1174 N1150:N1174 R1150:R1174">
    <cfRule type="colorScale" priority="170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150:S1174">
    <cfRule type="colorScale" priority="17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150:Q1174">
    <cfRule type="colorScale" priority="170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150:O1174">
    <cfRule type="colorScale" priority="170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150:S1174">
    <cfRule type="colorScale" priority="170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256">
    <cfRule type="colorScale" priority="16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256">
    <cfRule type="colorScale" priority="168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256">
    <cfRule type="colorScale" priority="168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56 R1256">
    <cfRule type="colorScale" priority="35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56:O1256 Q1256:S1256">
    <cfRule type="colorScale" priority="35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256">
    <cfRule type="colorScale" priority="168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256">
    <cfRule type="colorScale" priority="168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56:S1256">
    <cfRule type="colorScale" priority="16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1256:T1276">
    <cfRule type="cellIs" dxfId="1478" priority="1660" operator="equal">
      <formula>1</formula>
    </cfRule>
    <cfRule type="cellIs" dxfId="1477" priority="1661" operator="equal">
      <formula>1</formula>
    </cfRule>
  </conditionalFormatting>
  <conditionalFormatting sqref="T1256:T1276">
    <cfRule type="cellIs" dxfId="1476" priority="1658" operator="equal">
      <formula>1</formula>
    </cfRule>
    <cfRule type="cellIs" dxfId="1475" priority="1659" operator="equal">
      <formula>1</formula>
    </cfRule>
  </conditionalFormatting>
  <conditionalFormatting sqref="S1257:S1263">
    <cfRule type="colorScale" priority="16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257:Q1263">
    <cfRule type="colorScale" priority="16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257:O1263">
    <cfRule type="colorScale" priority="16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1257:R1263 N1257:N1263">
    <cfRule type="colorScale" priority="16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57:O1263 Q1257:S1263">
    <cfRule type="colorScale" priority="16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257:P1263">
    <cfRule type="colorScale" priority="16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257:P1263">
    <cfRule type="colorScale" priority="16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57:S1263">
    <cfRule type="colorScale" priority="16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264">
    <cfRule type="colorScale" priority="16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264">
    <cfRule type="colorScale" priority="16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264">
    <cfRule type="colorScale" priority="16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64 R1264">
    <cfRule type="colorScale" priority="16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64:O1264 Q1264:S1264">
    <cfRule type="colorScale" priority="164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264">
    <cfRule type="colorScale" priority="16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264">
    <cfRule type="colorScale" priority="16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64:S1264">
    <cfRule type="colorScale" priority="16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265">
    <cfRule type="colorScale" priority="16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265">
    <cfRule type="colorScale" priority="16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265">
    <cfRule type="colorScale" priority="16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65 R1265">
    <cfRule type="colorScale" priority="16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65:O1265 Q1265:S1265">
    <cfRule type="colorScale" priority="16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265">
    <cfRule type="colorScale" priority="16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265">
    <cfRule type="colorScale" priority="16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65:S1265">
    <cfRule type="colorScale" priority="16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266">
    <cfRule type="colorScale" priority="16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266">
    <cfRule type="colorScale" priority="16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266">
    <cfRule type="colorScale" priority="16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1266 N1266">
    <cfRule type="colorScale" priority="16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66:O1266 Q1266:S1266">
    <cfRule type="colorScale" priority="16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266">
    <cfRule type="colorScale" priority="16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266">
    <cfRule type="colorScale" priority="16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66:S1266">
    <cfRule type="colorScale" priority="16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267">
    <cfRule type="colorScale" priority="16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267">
    <cfRule type="colorScale" priority="16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267">
    <cfRule type="colorScale" priority="16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67 R1267">
    <cfRule type="colorScale" priority="16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67:O1267 Q1267:S1267">
    <cfRule type="colorScale" priority="16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267">
    <cfRule type="colorScale" priority="16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267">
    <cfRule type="colorScale" priority="16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67:S1267">
    <cfRule type="colorScale" priority="16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268">
    <cfRule type="colorScale" priority="16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268">
    <cfRule type="colorScale" priority="160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268">
    <cfRule type="colorScale" priority="16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68 R1268">
    <cfRule type="colorScale" priority="16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68:O1268 Q1268:S1268">
    <cfRule type="colorScale" priority="16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268">
    <cfRule type="colorScale" priority="160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268">
    <cfRule type="colorScale" priority="16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68:S1268">
    <cfRule type="colorScale" priority="16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269">
    <cfRule type="colorScale" priority="160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269">
    <cfRule type="colorScale" priority="160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269">
    <cfRule type="colorScale" priority="16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69 R1269">
    <cfRule type="colorScale" priority="160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69:O1269 Q1269:S1269">
    <cfRule type="colorScale" priority="160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269">
    <cfRule type="colorScale" priority="159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269">
    <cfRule type="colorScale" priority="159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69:S1269">
    <cfRule type="colorScale" priority="159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270">
    <cfRule type="colorScale" priority="159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270">
    <cfRule type="colorScale" priority="159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270">
    <cfRule type="colorScale" priority="15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70 R1270">
    <cfRule type="colorScale" priority="15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70:O1270 Q1270:S1270">
    <cfRule type="colorScale" priority="159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270">
    <cfRule type="colorScale" priority="15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270">
    <cfRule type="colorScale" priority="159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70:S1270">
    <cfRule type="colorScale" priority="158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271:S1276">
    <cfRule type="colorScale" priority="15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271:Q1276">
    <cfRule type="colorScale" priority="15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271:O1276">
    <cfRule type="colorScale" priority="158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1271:R1276 N1271:N1276">
    <cfRule type="colorScale" priority="158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71:O1276 Q1271:S1276">
    <cfRule type="colorScale" priority="158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271:P1276">
    <cfRule type="colorScale" priority="158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271:P1276">
    <cfRule type="colorScale" priority="158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71:S1276">
    <cfRule type="colorScale" priority="158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Y112">
    <cfRule type="cellIs" dxfId="1474" priority="1559" operator="equal">
      <formula>1</formula>
    </cfRule>
    <cfRule type="cellIs" dxfId="1473" priority="1560" operator="equal">
      <formula>1</formula>
    </cfRule>
  </conditionalFormatting>
  <conditionalFormatting sqref="S1235">
    <cfRule type="colorScale" priority="35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35">
    <cfRule type="colorScale" priority="14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235">
    <cfRule type="colorScale" priority="14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235">
    <cfRule type="colorScale" priority="14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35:S1235">
    <cfRule type="colorScale" priority="137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1236:T1255">
    <cfRule type="cellIs" dxfId="1472" priority="1369" operator="equal">
      <formula>1</formula>
    </cfRule>
    <cfRule type="cellIs" dxfId="1471" priority="1370" operator="equal">
      <formula>1</formula>
    </cfRule>
  </conditionalFormatting>
  <conditionalFormatting sqref="T1236:T1255">
    <cfRule type="cellIs" dxfId="1470" priority="1367" operator="equal">
      <formula>1</formula>
    </cfRule>
    <cfRule type="cellIs" dxfId="1469" priority="1368" operator="equal">
      <formula>1</formula>
    </cfRule>
  </conditionalFormatting>
  <conditionalFormatting sqref="Q1236:Q1255">
    <cfRule type="colorScale" priority="136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1236:R1255">
    <cfRule type="colorScale" priority="13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236:S1255">
    <cfRule type="colorScale" priority="137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36:N1255">
    <cfRule type="colorScale" priority="136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236:O1255">
    <cfRule type="colorScale" priority="136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236:P1255">
    <cfRule type="colorScale" priority="13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36:S1255">
    <cfRule type="colorScale" priority="13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70:S70 O70">
    <cfRule type="colorScale" priority="35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70">
    <cfRule type="colorScale" priority="13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70">
    <cfRule type="colorScale" priority="13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70:S70">
    <cfRule type="colorScale" priority="13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71:S79 O71:O79">
    <cfRule type="colorScale" priority="13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71:N79">
    <cfRule type="colorScale" priority="13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71:P79">
    <cfRule type="colorScale" priority="13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71:S79">
    <cfRule type="colorScale" priority="13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785">
    <cfRule type="colorScale" priority="12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785">
    <cfRule type="cellIs" dxfId="1468" priority="1289" operator="equal">
      <formula>1</formula>
    </cfRule>
    <cfRule type="cellIs" dxfId="1467" priority="1290" operator="equal">
      <formula>1</formula>
    </cfRule>
  </conditionalFormatting>
  <conditionalFormatting sqref="P785 R785 N785">
    <cfRule type="colorScale" priority="128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785">
    <cfRule type="colorScale" priority="128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785">
    <cfRule type="colorScale" priority="12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785:S785">
    <cfRule type="colorScale" priority="128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92">
    <cfRule type="cellIs" dxfId="1466" priority="1269" operator="equal">
      <formula>1</formula>
    </cfRule>
    <cfRule type="cellIs" dxfId="1465" priority="1270" operator="equal">
      <formula>1</formula>
    </cfRule>
  </conditionalFormatting>
  <conditionalFormatting sqref="T92">
    <cfRule type="cellIs" dxfId="1464" priority="1267" operator="equal">
      <formula>1</formula>
    </cfRule>
    <cfRule type="cellIs" dxfId="1463" priority="1268" operator="equal">
      <formula>1</formula>
    </cfRule>
  </conditionalFormatting>
  <conditionalFormatting sqref="S92">
    <cfRule type="colorScale" priority="12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92">
    <cfRule type="colorScale" priority="12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92">
    <cfRule type="colorScale" priority="12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92 N92">
    <cfRule type="colorScale" priority="12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92:O92 Q92:S92">
    <cfRule type="colorScale" priority="12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92">
    <cfRule type="colorScale" priority="12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92">
    <cfRule type="colorScale" priority="12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92:S92">
    <cfRule type="colorScale" priority="12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93:T111">
    <cfRule type="cellIs" dxfId="1462" priority="1245" operator="equal">
      <formula>1</formula>
    </cfRule>
    <cfRule type="cellIs" dxfId="1461" priority="1246" operator="equal">
      <formula>1</formula>
    </cfRule>
  </conditionalFormatting>
  <conditionalFormatting sqref="T93:T111">
    <cfRule type="cellIs" dxfId="1460" priority="1243" operator="equal">
      <formula>1</formula>
    </cfRule>
    <cfRule type="cellIs" dxfId="1459" priority="1244" operator="equal">
      <formula>1</formula>
    </cfRule>
  </conditionalFormatting>
  <conditionalFormatting sqref="S93:S109">
    <cfRule type="colorScale" priority="12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93:Q109">
    <cfRule type="colorScale" priority="12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93:O109">
    <cfRule type="colorScale" priority="12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93:R109 N93:N109">
    <cfRule type="colorScale" priority="12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93:O109 Q93:S109">
    <cfRule type="colorScale" priority="12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93:P109">
    <cfRule type="colorScale" priority="12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93:P109">
    <cfRule type="colorScale" priority="12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93:S109">
    <cfRule type="colorScale" priority="12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112">
    <cfRule type="cellIs" dxfId="1458" priority="1223" operator="equal">
      <formula>1</formula>
    </cfRule>
    <cfRule type="cellIs" dxfId="1457" priority="1224" operator="equal">
      <formula>1</formula>
    </cfRule>
  </conditionalFormatting>
  <conditionalFormatting sqref="AV112:AV114 AV865:AV867 AV930:AV944 AV143:AV144 AV1070:AV1075 AV196:AV197 AV223:AV225 AV229:AV236 AV242:AV251 AV255:AV311 AV313:AV401 AV407 AV413:AV445 AV464:AV466 AV512:AV516 AV539 AV551:AV555 AV1127:AV1132 AV1225:AV1234 AV1242:AV1247 AV1249:AV1254">
    <cfRule type="cellIs" dxfId="1456" priority="1203" operator="between">
      <formula>95</formula>
      <formula>105</formula>
    </cfRule>
  </conditionalFormatting>
  <conditionalFormatting sqref="AV201">
    <cfRule type="cellIs" dxfId="1455" priority="1112" operator="between">
      <formula>95</formula>
      <formula>105</formula>
    </cfRule>
  </conditionalFormatting>
  <conditionalFormatting sqref="AV1235:AV1240">
    <cfRule type="cellIs" dxfId="1454" priority="1199" operator="between">
      <formula>95</formula>
      <formula>105</formula>
    </cfRule>
  </conditionalFormatting>
  <conditionalFormatting sqref="AV1242:AV1247">
    <cfRule type="cellIs" dxfId="1453" priority="1198" operator="between">
      <formula>95</formula>
      <formula>105</formula>
    </cfRule>
  </conditionalFormatting>
  <conditionalFormatting sqref="AV1249:AV1254">
    <cfRule type="cellIs" dxfId="1452" priority="1197" operator="between">
      <formula>95</formula>
      <formula>105</formula>
    </cfRule>
  </conditionalFormatting>
  <conditionalFormatting sqref="AV127:AV136 AV143:AV144 AV196:AV197 AV223:AV225 AV229:AV236 AV242:AV251 AV255:AV311 AV313:AV401 AV407 AV413:AV445 AV464:AV466 AV512:AV516 AV539 AV551:AV555 AV625:AV630">
    <cfRule type="cellIs" dxfId="1451" priority="1193" operator="between">
      <formula>95</formula>
      <formula>105</formula>
    </cfRule>
  </conditionalFormatting>
  <conditionalFormatting sqref="AV724:AV732">
    <cfRule type="cellIs" dxfId="1450" priority="792" operator="between">
      <formula>95</formula>
      <formula>105</formula>
    </cfRule>
  </conditionalFormatting>
  <conditionalFormatting sqref="AV705:AV723 AV733 AV736:AV761">
    <cfRule type="cellIs" dxfId="1449" priority="1191" operator="between">
      <formula>95</formula>
      <formula>105</formula>
    </cfRule>
  </conditionalFormatting>
  <conditionalFormatting sqref="AV196:AV197">
    <cfRule type="cellIs" dxfId="1448" priority="1190" operator="between">
      <formula>95</formula>
      <formula>105</formula>
    </cfRule>
  </conditionalFormatting>
  <conditionalFormatting sqref="AV223:AV225 AV229:AV236">
    <cfRule type="cellIs" dxfId="1447" priority="1189" operator="between">
      <formula>95</formula>
      <formula>105</formula>
    </cfRule>
  </conditionalFormatting>
  <conditionalFormatting sqref="AV242:AV251 AV255:AV311">
    <cfRule type="cellIs" dxfId="1446" priority="1188" operator="between">
      <formula>95</formula>
      <formula>105</formula>
    </cfRule>
  </conditionalFormatting>
  <conditionalFormatting sqref="AV313:AV401">
    <cfRule type="cellIs" dxfId="1445" priority="1187" operator="between">
      <formula>95</formula>
      <formula>105</formula>
    </cfRule>
  </conditionalFormatting>
  <conditionalFormatting sqref="AV407">
    <cfRule type="cellIs" dxfId="1444" priority="1186" operator="between">
      <formula>95</formula>
      <formula>105</formula>
    </cfRule>
  </conditionalFormatting>
  <conditionalFormatting sqref="AV413:AV445">
    <cfRule type="cellIs" dxfId="1443" priority="1184" operator="between">
      <formula>95</formula>
      <formula>105</formula>
    </cfRule>
  </conditionalFormatting>
  <conditionalFormatting sqref="AV464:AV466 AV512:AV516 AV539 AV551:AV555">
    <cfRule type="cellIs" dxfId="1442" priority="1182" operator="between">
      <formula>95</formula>
      <formula>105</formula>
    </cfRule>
  </conditionalFormatting>
  <conditionalFormatting sqref="AV779:AV783">
    <cfRule type="cellIs" dxfId="1441" priority="1181" operator="between">
      <formula>95</formula>
      <formula>105</formula>
    </cfRule>
  </conditionalFormatting>
  <conditionalFormatting sqref="AV795:AV798">
    <cfRule type="cellIs" dxfId="1440" priority="1180" operator="between">
      <formula>95</formula>
      <formula>105</formula>
    </cfRule>
  </conditionalFormatting>
  <conditionalFormatting sqref="AV803:AV836">
    <cfRule type="cellIs" dxfId="1439" priority="1179" operator="between">
      <formula>95</formula>
      <formula>105</formula>
    </cfRule>
  </conditionalFormatting>
  <conditionalFormatting sqref="AV839:AV840">
    <cfRule type="cellIs" dxfId="1438" priority="1178" operator="between">
      <formula>95</formula>
      <formula>105</formula>
    </cfRule>
  </conditionalFormatting>
  <conditionalFormatting sqref="AV574:AV580">
    <cfRule type="cellIs" dxfId="1437" priority="906" operator="between">
      <formula>95</formula>
      <formula>105</formula>
    </cfRule>
  </conditionalFormatting>
  <conditionalFormatting sqref="AV908:AV928">
    <cfRule type="cellIs" dxfId="1436" priority="1176" operator="between">
      <formula>95</formula>
      <formula>105</formula>
    </cfRule>
  </conditionalFormatting>
  <conditionalFormatting sqref="AV946:AV960 AV962:AV981 AV983:AV1056">
    <cfRule type="cellIs" dxfId="1435" priority="1175" operator="between">
      <formula>95</formula>
      <formula>105</formula>
    </cfRule>
  </conditionalFormatting>
  <conditionalFormatting sqref="AV512:AV516 AV539">
    <cfRule type="cellIs" dxfId="1434" priority="1174" operator="between">
      <formula>95</formula>
      <formula>105</formula>
    </cfRule>
  </conditionalFormatting>
  <conditionalFormatting sqref="AV551:AV555">
    <cfRule type="cellIs" dxfId="1433" priority="1173" operator="between">
      <formula>95</formula>
      <formula>105</formula>
    </cfRule>
  </conditionalFormatting>
  <conditionalFormatting sqref="AV841">
    <cfRule type="cellIs" dxfId="1432" priority="738" operator="between">
      <formula>95</formula>
      <formula>105</formula>
    </cfRule>
  </conditionalFormatting>
  <conditionalFormatting sqref="AV115">
    <cfRule type="cellIs" dxfId="1431" priority="1170" operator="between">
      <formula>95</formula>
      <formula>105</formula>
    </cfRule>
  </conditionalFormatting>
  <conditionalFormatting sqref="AV142">
    <cfRule type="cellIs" dxfId="1430" priority="1143" operator="between">
      <formula>95</formula>
      <formula>105</formula>
    </cfRule>
  </conditionalFormatting>
  <conditionalFormatting sqref="AV644">
    <cfRule type="cellIs" dxfId="1429" priority="863" operator="between">
      <formula>95</formula>
      <formula>105</formula>
    </cfRule>
  </conditionalFormatting>
  <conditionalFormatting sqref="AV92:AV111">
    <cfRule type="cellIs" dxfId="1428" priority="1161" operator="between">
      <formula>95</formula>
      <formula>105</formula>
    </cfRule>
  </conditionalFormatting>
  <conditionalFormatting sqref="AV92:AV111">
    <cfRule type="cellIs" dxfId="1427" priority="1160" operator="between">
      <formula>95</formula>
      <formula>105</formula>
    </cfRule>
  </conditionalFormatting>
  <conditionalFormatting sqref="AV126">
    <cfRule type="cellIs" dxfId="1426" priority="1159" operator="between">
      <formula>95</formula>
      <formula>105</formula>
    </cfRule>
  </conditionalFormatting>
  <conditionalFormatting sqref="AV137:AV138">
    <cfRule type="cellIs" dxfId="1425" priority="1157" operator="between">
      <formula>95</formula>
      <formula>105</formula>
    </cfRule>
  </conditionalFormatting>
  <conditionalFormatting sqref="AV178">
    <cfRule type="cellIs" dxfId="1424" priority="1130" operator="between">
      <formula>95</formula>
      <formula>105</formula>
    </cfRule>
  </conditionalFormatting>
  <conditionalFormatting sqref="S110:S136">
    <cfRule type="colorScale" priority="11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10:Q136">
    <cfRule type="colorScale" priority="11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10:O136">
    <cfRule type="colorScale" priority="11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110:R136 N110:N136">
    <cfRule type="colorScale" priority="11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10:O136 Q110:S136">
    <cfRule type="colorScale" priority="11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10:P136">
    <cfRule type="colorScale" priority="11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10:P136">
    <cfRule type="colorScale" priority="11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10:S136">
    <cfRule type="colorScale" priority="11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145">
    <cfRule type="cellIs" dxfId="1423" priority="1142" operator="between">
      <formula>95</formula>
      <formula>105</formula>
    </cfRule>
  </conditionalFormatting>
  <conditionalFormatting sqref="AV155:AV164">
    <cfRule type="cellIs" dxfId="1422" priority="1140" operator="between">
      <formula>95</formula>
      <formula>105</formula>
    </cfRule>
  </conditionalFormatting>
  <conditionalFormatting sqref="AV165:AV166">
    <cfRule type="cellIs" dxfId="1421" priority="1138" operator="between">
      <formula>95</formula>
      <formula>105</formula>
    </cfRule>
  </conditionalFormatting>
  <conditionalFormatting sqref="AV208:AV217">
    <cfRule type="cellIs" dxfId="1420" priority="1105" operator="between">
      <formula>95</formula>
      <formula>105</formula>
    </cfRule>
  </conditionalFormatting>
  <conditionalFormatting sqref="AV218:AV222">
    <cfRule type="cellIs" dxfId="1419" priority="1103" operator="between">
      <formula>95</formula>
      <formula>105</formula>
    </cfRule>
  </conditionalFormatting>
  <conditionalFormatting sqref="AV170">
    <cfRule type="cellIs" dxfId="1418" priority="1133" operator="between">
      <formula>95</formula>
      <formula>105</formula>
    </cfRule>
  </conditionalFormatting>
  <conditionalFormatting sqref="AV171:AV177">
    <cfRule type="cellIs" dxfId="1417" priority="1132" operator="between">
      <formula>95</formula>
      <formula>105</formula>
    </cfRule>
  </conditionalFormatting>
  <conditionalFormatting sqref="AV179:AV180">
    <cfRule type="cellIs" dxfId="1416" priority="1127" operator="between">
      <formula>95</formula>
      <formula>105</formula>
    </cfRule>
  </conditionalFormatting>
  <conditionalFormatting sqref="AV179:AV180">
    <cfRule type="cellIs" dxfId="1415" priority="1126" operator="between">
      <formula>95</formula>
      <formula>105</formula>
    </cfRule>
  </conditionalFormatting>
  <conditionalFormatting sqref="AV181:AV190">
    <cfRule type="cellIs" dxfId="1414" priority="1124" operator="between">
      <formula>95</formula>
      <formula>105</formula>
    </cfRule>
  </conditionalFormatting>
  <conditionalFormatting sqref="AV191:AV192">
    <cfRule type="cellIs" dxfId="1413" priority="1122" operator="between">
      <formula>95</formula>
      <formula>105</formula>
    </cfRule>
  </conditionalFormatting>
  <conditionalFormatting sqref="AV198">
    <cfRule type="cellIs" dxfId="1412" priority="1116" operator="between">
      <formula>95</formula>
      <formula>105</formula>
    </cfRule>
  </conditionalFormatting>
  <conditionalFormatting sqref="AV199:AV200">
    <cfRule type="cellIs" dxfId="1411" priority="1114" operator="between">
      <formula>95</formula>
      <formula>105</formula>
    </cfRule>
  </conditionalFormatting>
  <conditionalFormatting sqref="AV202">
    <cfRule type="cellIs" dxfId="1410" priority="1111" operator="between">
      <formula>95</formula>
      <formula>105</formula>
    </cfRule>
  </conditionalFormatting>
  <conditionalFormatting sqref="AV203:AV204">
    <cfRule type="cellIs" dxfId="1409" priority="1108" operator="between">
      <formula>95</formula>
      <formula>105</formula>
    </cfRule>
  </conditionalFormatting>
  <conditionalFormatting sqref="AV203:AV204">
    <cfRule type="cellIs" dxfId="1408" priority="1107" operator="between">
      <formula>95</formula>
      <formula>105</formula>
    </cfRule>
  </conditionalFormatting>
  <conditionalFormatting sqref="AV253:AV254">
    <cfRule type="cellIs" dxfId="1407" priority="1078" operator="between">
      <formula>95</formula>
      <formula>105</formula>
    </cfRule>
  </conditionalFormatting>
  <conditionalFormatting sqref="AV237:AV238">
    <cfRule type="cellIs" dxfId="1406" priority="1096" operator="between">
      <formula>95</formula>
      <formula>105</formula>
    </cfRule>
  </conditionalFormatting>
  <conditionalFormatting sqref="AV237:AV238">
    <cfRule type="cellIs" dxfId="1405" priority="1095" operator="between">
      <formula>95</formula>
      <formula>105</formula>
    </cfRule>
  </conditionalFormatting>
  <conditionalFormatting sqref="AV239:AV241">
    <cfRule type="cellIs" dxfId="1404" priority="1089" operator="between">
      <formula>95</formula>
      <formula>105</formula>
    </cfRule>
  </conditionalFormatting>
  <conditionalFormatting sqref="AV252">
    <cfRule type="cellIs" dxfId="1403" priority="1087" operator="between">
      <formula>95</formula>
      <formula>105</formula>
    </cfRule>
  </conditionalFormatting>
  <conditionalFormatting sqref="AV253:AV254">
    <cfRule type="cellIs" dxfId="1402" priority="1080" operator="between">
      <formula>95</formula>
      <formula>105</formula>
    </cfRule>
  </conditionalFormatting>
  <conditionalFormatting sqref="AV253:AV254">
    <cfRule type="cellIs" dxfId="1401" priority="1079" operator="between">
      <formula>95</formula>
      <formula>105</formula>
    </cfRule>
  </conditionalFormatting>
  <conditionalFormatting sqref="AV312">
    <cfRule type="cellIs" dxfId="1400" priority="1073" operator="between">
      <formula>95</formula>
      <formula>105</formula>
    </cfRule>
  </conditionalFormatting>
  <conditionalFormatting sqref="AV312">
    <cfRule type="cellIs" dxfId="1399" priority="1072" operator="between">
      <formula>95</formula>
      <formula>105</formula>
    </cfRule>
  </conditionalFormatting>
  <conditionalFormatting sqref="AV312">
    <cfRule type="cellIs" dxfId="1398" priority="1071" operator="between">
      <formula>95</formula>
      <formula>105</formula>
    </cfRule>
  </conditionalFormatting>
  <conditionalFormatting sqref="AV402:AV406">
    <cfRule type="cellIs" dxfId="1397" priority="1067" operator="between">
      <formula>95</formula>
      <formula>105</formula>
    </cfRule>
  </conditionalFormatting>
  <conditionalFormatting sqref="AV402:AV406">
    <cfRule type="cellIs" dxfId="1396" priority="1066" operator="between">
      <formula>95</formula>
      <formula>105</formula>
    </cfRule>
  </conditionalFormatting>
  <conditionalFormatting sqref="AV402:AV406">
    <cfRule type="cellIs" dxfId="1395" priority="1065" operator="between">
      <formula>95</formula>
      <formula>105</formula>
    </cfRule>
  </conditionalFormatting>
  <conditionalFormatting sqref="AV408:AV409">
    <cfRule type="cellIs" dxfId="1394" priority="1063" operator="between">
      <formula>95</formula>
      <formula>105</formula>
    </cfRule>
  </conditionalFormatting>
  <conditionalFormatting sqref="AV410">
    <cfRule type="cellIs" dxfId="1393" priority="1061" operator="between">
      <formula>95</formula>
      <formula>105</formula>
    </cfRule>
  </conditionalFormatting>
  <conditionalFormatting sqref="AV411">
    <cfRule type="cellIs" dxfId="1392" priority="1060" operator="between">
      <formula>95</formula>
      <formula>105</formula>
    </cfRule>
  </conditionalFormatting>
  <conditionalFormatting sqref="AV412">
    <cfRule type="cellIs" dxfId="1391" priority="1059" operator="between">
      <formula>95</formula>
      <formula>105</formula>
    </cfRule>
  </conditionalFormatting>
  <conditionalFormatting sqref="AV455">
    <cfRule type="cellIs" dxfId="1390" priority="1057" operator="between">
      <formula>95</formula>
      <formula>105</formula>
    </cfRule>
  </conditionalFormatting>
  <conditionalFormatting sqref="AV456:AV457">
    <cfRule type="cellIs" dxfId="1389" priority="1055" operator="between">
      <formula>95</formula>
      <formula>105</formula>
    </cfRule>
  </conditionalFormatting>
  <conditionalFormatting sqref="V446:Y454 T446:T454">
    <cfRule type="cellIs" dxfId="1388" priority="1048" operator="equal">
      <formula>1</formula>
    </cfRule>
    <cfRule type="cellIs" dxfId="1387" priority="1049" operator="equal">
      <formula>1</formula>
    </cfRule>
  </conditionalFormatting>
  <conditionalFormatting sqref="AV446:AV454">
    <cfRule type="cellIs" dxfId="1386" priority="1047" operator="between">
      <formula>95</formula>
      <formula>105</formula>
    </cfRule>
  </conditionalFormatting>
  <conditionalFormatting sqref="R446:R454 N446:N454 P446:P454">
    <cfRule type="colorScale" priority="10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446:S454">
    <cfRule type="colorScale" priority="10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446:Q454">
    <cfRule type="colorScale" priority="104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446:O454">
    <cfRule type="colorScale" priority="10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46:S454">
    <cfRule type="colorScale" priority="10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458:AV459">
    <cfRule type="cellIs" dxfId="1385" priority="1038" operator="between">
      <formula>95</formula>
      <formula>105</formula>
    </cfRule>
  </conditionalFormatting>
  <conditionalFormatting sqref="AV458:AV459">
    <cfRule type="cellIs" dxfId="1384" priority="1037" operator="between">
      <formula>95</formula>
      <formula>105</formula>
    </cfRule>
  </conditionalFormatting>
  <conditionalFormatting sqref="AV458:AV459">
    <cfRule type="cellIs" dxfId="1383" priority="1036" operator="between">
      <formula>95</formula>
      <formula>105</formula>
    </cfRule>
  </conditionalFormatting>
  <conditionalFormatting sqref="AV470:AV479">
    <cfRule type="cellIs" dxfId="1382" priority="1013" operator="between">
      <formula>95</formula>
      <formula>105</formula>
    </cfRule>
  </conditionalFormatting>
  <conditionalFormatting sqref="AV470:AV479">
    <cfRule type="cellIs" dxfId="1381" priority="1012" operator="between">
      <formula>95</formula>
      <formula>105</formula>
    </cfRule>
  </conditionalFormatting>
  <conditionalFormatting sqref="AV463">
    <cfRule type="cellIs" dxfId="1380" priority="1030" operator="between">
      <formula>95</formula>
      <formula>105</formula>
    </cfRule>
  </conditionalFormatting>
  <conditionalFormatting sqref="AV467">
    <cfRule type="cellIs" dxfId="1379" priority="1029" operator="between">
      <formula>95</formula>
      <formula>105</formula>
    </cfRule>
  </conditionalFormatting>
  <conditionalFormatting sqref="AV468">
    <cfRule type="cellIs" dxfId="1378" priority="1025" operator="between">
      <formula>95</formula>
      <formula>105</formula>
    </cfRule>
  </conditionalFormatting>
  <conditionalFormatting sqref="AV468">
    <cfRule type="cellIs" dxfId="1377" priority="1024" operator="between">
      <formula>95</formula>
      <formula>105</formula>
    </cfRule>
  </conditionalFormatting>
  <conditionalFormatting sqref="AV468">
    <cfRule type="cellIs" dxfId="1376" priority="1023" operator="between">
      <formula>95</formula>
      <formula>105</formula>
    </cfRule>
  </conditionalFormatting>
  <conditionalFormatting sqref="AV469">
    <cfRule type="cellIs" dxfId="1375" priority="1019" operator="between">
      <formula>95</formula>
      <formula>105</formula>
    </cfRule>
  </conditionalFormatting>
  <conditionalFormatting sqref="AV469">
    <cfRule type="cellIs" dxfId="1374" priority="1018" operator="between">
      <formula>95</formula>
      <formula>105</formula>
    </cfRule>
  </conditionalFormatting>
  <conditionalFormatting sqref="AV469">
    <cfRule type="cellIs" dxfId="1373" priority="1017" operator="between">
      <formula>95</formula>
      <formula>105</formula>
    </cfRule>
  </conditionalFormatting>
  <conditionalFormatting sqref="AV470:AV479">
    <cfRule type="cellIs" dxfId="1372" priority="1011" operator="between">
      <formula>95</formula>
      <formula>105</formula>
    </cfRule>
  </conditionalFormatting>
  <conditionalFormatting sqref="AV480">
    <cfRule type="cellIs" dxfId="1371" priority="1009" operator="between">
      <formula>95</formula>
      <formula>105</formula>
    </cfRule>
  </conditionalFormatting>
  <conditionalFormatting sqref="AV481:AV487">
    <cfRule type="cellIs" dxfId="1370" priority="1005" operator="between">
      <formula>95</formula>
      <formula>105</formula>
    </cfRule>
  </conditionalFormatting>
  <conditionalFormatting sqref="AV481:AV487">
    <cfRule type="cellIs" dxfId="1369" priority="1004" operator="between">
      <formula>95</formula>
      <formula>105</formula>
    </cfRule>
  </conditionalFormatting>
  <conditionalFormatting sqref="AV481:AV487">
    <cfRule type="cellIs" dxfId="1368" priority="1003" operator="between">
      <formula>95</formula>
      <formula>105</formula>
    </cfRule>
  </conditionalFormatting>
  <conditionalFormatting sqref="AV488:AV489">
    <cfRule type="cellIs" dxfId="1367" priority="1000" operator="between">
      <formula>95</formula>
      <formula>105</formula>
    </cfRule>
  </conditionalFormatting>
  <conditionalFormatting sqref="AV488:AV489">
    <cfRule type="cellIs" dxfId="1366" priority="999" operator="between">
      <formula>95</formula>
      <formula>105</formula>
    </cfRule>
  </conditionalFormatting>
  <conditionalFormatting sqref="AV490:AV491">
    <cfRule type="cellIs" dxfId="1365" priority="995" operator="between">
      <formula>95</formula>
      <formula>105</formula>
    </cfRule>
  </conditionalFormatting>
  <conditionalFormatting sqref="AV490:AV491">
    <cfRule type="cellIs" dxfId="1364" priority="994" operator="between">
      <formula>95</formula>
      <formula>105</formula>
    </cfRule>
  </conditionalFormatting>
  <conditionalFormatting sqref="AV490:AV491">
    <cfRule type="cellIs" dxfId="1363" priority="993" operator="between">
      <formula>95</formula>
      <formula>105</formula>
    </cfRule>
  </conditionalFormatting>
  <conditionalFormatting sqref="AV495">
    <cfRule type="cellIs" dxfId="1362" priority="987" operator="between">
      <formula>95</formula>
      <formula>105</formula>
    </cfRule>
  </conditionalFormatting>
  <conditionalFormatting sqref="V496:Y511">
    <cfRule type="cellIs" dxfId="1361" priority="980" operator="equal">
      <formula>1</formula>
    </cfRule>
    <cfRule type="cellIs" dxfId="1360" priority="981" operator="equal">
      <formula>1</formula>
    </cfRule>
  </conditionalFormatting>
  <conditionalFormatting sqref="AV496:AV511">
    <cfRule type="cellIs" dxfId="1359" priority="979" operator="between">
      <formula>95</formula>
      <formula>105</formula>
    </cfRule>
  </conditionalFormatting>
  <conditionalFormatting sqref="T496:T511">
    <cfRule type="cellIs" dxfId="1358" priority="977" operator="equal">
      <formula>1</formula>
    </cfRule>
    <cfRule type="cellIs" dxfId="1357" priority="978" operator="equal">
      <formula>1</formula>
    </cfRule>
  </conditionalFormatting>
  <conditionalFormatting sqref="T496:T511">
    <cfRule type="cellIs" dxfId="1356" priority="975" operator="equal">
      <formula>1</formula>
    </cfRule>
    <cfRule type="cellIs" dxfId="1355" priority="976" operator="equal">
      <formula>1</formula>
    </cfRule>
  </conditionalFormatting>
  <conditionalFormatting sqref="T496:T511">
    <cfRule type="cellIs" dxfId="1354" priority="973" operator="equal">
      <formula>1</formula>
    </cfRule>
    <cfRule type="cellIs" dxfId="1353" priority="974" operator="equal">
      <formula>1</formula>
    </cfRule>
  </conditionalFormatting>
  <conditionalFormatting sqref="T496:T511">
    <cfRule type="cellIs" dxfId="1352" priority="971" operator="equal">
      <formula>1</formula>
    </cfRule>
    <cfRule type="cellIs" dxfId="1351" priority="972" operator="equal">
      <formula>1</formula>
    </cfRule>
  </conditionalFormatting>
  <conditionalFormatting sqref="T496:T511">
    <cfRule type="cellIs" dxfId="1350" priority="969" operator="equal">
      <formula>1</formula>
    </cfRule>
    <cfRule type="cellIs" dxfId="1349" priority="970" operator="equal">
      <formula>1</formula>
    </cfRule>
  </conditionalFormatting>
  <conditionalFormatting sqref="N496:N505 P496:P505 R496:R505">
    <cfRule type="colorScale" priority="96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496:S505">
    <cfRule type="colorScale" priority="9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496:Q505">
    <cfRule type="colorScale" priority="96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496:O505">
    <cfRule type="colorScale" priority="9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96:S505">
    <cfRule type="colorScale" priority="96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517">
    <cfRule type="cellIs" dxfId="1348" priority="960" operator="between">
      <formula>95</formula>
      <formula>105</formula>
    </cfRule>
  </conditionalFormatting>
  <conditionalFormatting sqref="AV517">
    <cfRule type="cellIs" dxfId="1347" priority="959" operator="between">
      <formula>95</formula>
      <formula>105</formula>
    </cfRule>
  </conditionalFormatting>
  <conditionalFormatting sqref="AV517">
    <cfRule type="cellIs" dxfId="1346" priority="958" operator="between">
      <formula>95</formula>
      <formula>105</formula>
    </cfRule>
  </conditionalFormatting>
  <conditionalFormatting sqref="AV518:AV519">
    <cfRule type="cellIs" dxfId="1345" priority="956" operator="between">
      <formula>95</formula>
      <formula>105</formula>
    </cfRule>
  </conditionalFormatting>
  <conditionalFormatting sqref="AV520">
    <cfRule type="cellIs" dxfId="1344" priority="955" operator="between">
      <formula>95</formula>
      <formula>105</formula>
    </cfRule>
  </conditionalFormatting>
  <conditionalFormatting sqref="AV521:AV525">
    <cfRule type="cellIs" dxfId="1343" priority="951" operator="between">
      <formula>95</formula>
      <formula>105</formula>
    </cfRule>
  </conditionalFormatting>
  <conditionalFormatting sqref="AV521:AV525">
    <cfRule type="cellIs" dxfId="1342" priority="950" operator="between">
      <formula>95</formula>
      <formula>105</formula>
    </cfRule>
  </conditionalFormatting>
  <conditionalFormatting sqref="AV521:AV525">
    <cfRule type="cellIs" dxfId="1341" priority="949" operator="between">
      <formula>95</formula>
      <formula>105</formula>
    </cfRule>
  </conditionalFormatting>
  <conditionalFormatting sqref="AV526">
    <cfRule type="cellIs" dxfId="1340" priority="945" operator="between">
      <formula>95</formula>
      <formula>105</formula>
    </cfRule>
  </conditionalFormatting>
  <conditionalFormatting sqref="AV526">
    <cfRule type="cellIs" dxfId="1339" priority="944" operator="between">
      <formula>95</formula>
      <formula>105</formula>
    </cfRule>
  </conditionalFormatting>
  <conditionalFormatting sqref="AV526">
    <cfRule type="cellIs" dxfId="1338" priority="943" operator="between">
      <formula>95</formula>
      <formula>105</formula>
    </cfRule>
  </conditionalFormatting>
  <conditionalFormatting sqref="AV530:AV538">
    <cfRule type="cellIs" dxfId="1337" priority="939" operator="between">
      <formula>95</formula>
      <formula>105</formula>
    </cfRule>
  </conditionalFormatting>
  <conditionalFormatting sqref="AV530:AV538">
    <cfRule type="cellIs" dxfId="1336" priority="938" operator="between">
      <formula>95</formula>
      <formula>105</formula>
    </cfRule>
  </conditionalFormatting>
  <conditionalFormatting sqref="AV530:AV538">
    <cfRule type="cellIs" dxfId="1335" priority="937" operator="between">
      <formula>95</formula>
      <formula>105</formula>
    </cfRule>
  </conditionalFormatting>
  <conditionalFormatting sqref="AV540">
    <cfRule type="cellIs" dxfId="1334" priority="935" operator="between">
      <formula>95</formula>
      <formula>105</formula>
    </cfRule>
  </conditionalFormatting>
  <conditionalFormatting sqref="AV556:AV557">
    <cfRule type="cellIs" dxfId="1333" priority="933" operator="between">
      <formula>95</formula>
      <formula>105</formula>
    </cfRule>
  </conditionalFormatting>
  <conditionalFormatting sqref="AV561">
    <cfRule type="cellIs" dxfId="1332" priority="929" operator="between">
      <formula>95</formula>
      <formula>105</formula>
    </cfRule>
  </conditionalFormatting>
  <conditionalFormatting sqref="AV561">
    <cfRule type="cellIs" dxfId="1331" priority="928" operator="between">
      <formula>95</formula>
      <formula>105</formula>
    </cfRule>
  </conditionalFormatting>
  <conditionalFormatting sqref="AV561">
    <cfRule type="cellIs" dxfId="1330" priority="927" operator="between">
      <formula>95</formula>
      <formula>105</formula>
    </cfRule>
  </conditionalFormatting>
  <conditionalFormatting sqref="AV571">
    <cfRule type="cellIs" dxfId="1329" priority="922" operator="between">
      <formula>95</formula>
      <formula>105</formula>
    </cfRule>
  </conditionalFormatting>
  <conditionalFormatting sqref="AV571">
    <cfRule type="cellIs" dxfId="1328" priority="921" operator="between">
      <formula>95</formula>
      <formula>105</formula>
    </cfRule>
  </conditionalFormatting>
  <conditionalFormatting sqref="AV571">
    <cfRule type="cellIs" dxfId="1327" priority="920" operator="between">
      <formula>95</formula>
      <formula>105</formula>
    </cfRule>
  </conditionalFormatting>
  <conditionalFormatting sqref="AV571">
    <cfRule type="cellIs" dxfId="1326" priority="919" operator="between">
      <formula>95</formula>
      <formula>105</formula>
    </cfRule>
  </conditionalFormatting>
  <conditionalFormatting sqref="AV562:AV570">
    <cfRule type="cellIs" dxfId="1325" priority="915" operator="between">
      <formula>95</formula>
      <formula>105</formula>
    </cfRule>
  </conditionalFormatting>
  <conditionalFormatting sqref="AV562:AV570">
    <cfRule type="cellIs" dxfId="1324" priority="914" operator="between">
      <formula>95</formula>
      <formula>105</formula>
    </cfRule>
  </conditionalFormatting>
  <conditionalFormatting sqref="AV562:AV570">
    <cfRule type="cellIs" dxfId="1323" priority="913" operator="between">
      <formula>95</formula>
      <formula>105</formula>
    </cfRule>
  </conditionalFormatting>
  <conditionalFormatting sqref="AV572:AV573">
    <cfRule type="cellIs" dxfId="1322" priority="911" operator="between">
      <formula>95</formula>
      <formula>105</formula>
    </cfRule>
  </conditionalFormatting>
  <conditionalFormatting sqref="AV574:AV580">
    <cfRule type="cellIs" dxfId="1321" priority="907" operator="between">
      <formula>95</formula>
      <formula>105</formula>
    </cfRule>
  </conditionalFormatting>
  <conditionalFormatting sqref="AV574:AV580">
    <cfRule type="cellIs" dxfId="1320" priority="905" operator="between">
      <formula>95</formula>
      <formula>105</formula>
    </cfRule>
  </conditionalFormatting>
  <conditionalFormatting sqref="AV581">
    <cfRule type="cellIs" dxfId="1319" priority="903" operator="between">
      <formula>95</formula>
      <formula>105</formula>
    </cfRule>
  </conditionalFormatting>
  <conditionalFormatting sqref="AV1269">
    <cfRule type="cellIs" dxfId="1318" priority="468" operator="between">
      <formula>95</formula>
      <formula>105</formula>
    </cfRule>
  </conditionalFormatting>
  <conditionalFormatting sqref="AV1269">
    <cfRule type="cellIs" dxfId="1317" priority="467" operator="between">
      <formula>95</formula>
      <formula>105</formula>
    </cfRule>
  </conditionalFormatting>
  <conditionalFormatting sqref="AV1276">
    <cfRule type="cellIs" dxfId="1316" priority="464" operator="between">
      <formula>95</formula>
      <formula>105</formula>
    </cfRule>
  </conditionalFormatting>
  <conditionalFormatting sqref="AV1276">
    <cfRule type="cellIs" dxfId="1315" priority="463" operator="between">
      <formula>95</formula>
      <formula>105</formula>
    </cfRule>
  </conditionalFormatting>
  <conditionalFormatting sqref="AV597">
    <cfRule type="cellIs" dxfId="1314" priority="892" operator="between">
      <formula>95</formula>
      <formula>105</formula>
    </cfRule>
  </conditionalFormatting>
  <conditionalFormatting sqref="AV597">
    <cfRule type="cellIs" dxfId="1313" priority="891" operator="between">
      <formula>95</formula>
      <formula>105</formula>
    </cfRule>
  </conditionalFormatting>
  <conditionalFormatting sqref="AV597">
    <cfRule type="cellIs" dxfId="1312" priority="890" operator="between">
      <formula>95</formula>
      <formula>105</formula>
    </cfRule>
  </conditionalFormatting>
  <conditionalFormatting sqref="AV597">
    <cfRule type="cellIs" dxfId="1311" priority="889" operator="between">
      <formula>95</formula>
      <formula>105</formula>
    </cfRule>
  </conditionalFormatting>
  <conditionalFormatting sqref="AV588:AV596">
    <cfRule type="cellIs" dxfId="1310" priority="885" operator="between">
      <formula>95</formula>
      <formula>105</formula>
    </cfRule>
  </conditionalFormatting>
  <conditionalFormatting sqref="AV588:AV596">
    <cfRule type="cellIs" dxfId="1309" priority="884" operator="between">
      <formula>95</formula>
      <formula>105</formula>
    </cfRule>
  </conditionalFormatting>
  <conditionalFormatting sqref="AV588:AV596">
    <cfRule type="cellIs" dxfId="1308" priority="883" operator="between">
      <formula>95</formula>
      <formula>105</formula>
    </cfRule>
  </conditionalFormatting>
  <conditionalFormatting sqref="AV598:AV599">
    <cfRule type="cellIs" dxfId="1307" priority="881" operator="between">
      <formula>95</formula>
      <formula>105</formula>
    </cfRule>
  </conditionalFormatting>
  <conditionalFormatting sqref="AV600">
    <cfRule type="cellIs" dxfId="1306" priority="879" operator="between">
      <formula>95</formula>
      <formula>105</formula>
    </cfRule>
  </conditionalFormatting>
  <conditionalFormatting sqref="AV604:AV624">
    <cfRule type="cellIs" dxfId="1305" priority="877" operator="between">
      <formula>95</formula>
      <formula>105</formula>
    </cfRule>
  </conditionalFormatting>
  <conditionalFormatting sqref="AV631:AV638">
    <cfRule type="cellIs" dxfId="1304" priority="875" operator="between">
      <formula>95</formula>
      <formula>105</formula>
    </cfRule>
  </conditionalFormatting>
  <conditionalFormatting sqref="AV639:AV640">
    <cfRule type="cellIs" dxfId="1303" priority="871" operator="between">
      <formula>95</formula>
      <formula>105</formula>
    </cfRule>
  </conditionalFormatting>
  <conditionalFormatting sqref="AV639:AV640">
    <cfRule type="cellIs" dxfId="1302" priority="870" operator="between">
      <formula>95</formula>
      <formula>105</formula>
    </cfRule>
  </conditionalFormatting>
  <conditionalFormatting sqref="AV639:AV640">
    <cfRule type="cellIs" dxfId="1301" priority="869" operator="between">
      <formula>95</formula>
      <formula>105</formula>
    </cfRule>
  </conditionalFormatting>
  <conditionalFormatting sqref="AV646">
    <cfRule type="cellIs" dxfId="1300" priority="860" operator="between">
      <formula>95</formula>
      <formula>105</formula>
    </cfRule>
  </conditionalFormatting>
  <conditionalFormatting sqref="AV645">
    <cfRule type="cellIs" dxfId="1299" priority="862" operator="between">
      <formula>95</formula>
      <formula>105</formula>
    </cfRule>
  </conditionalFormatting>
  <conditionalFormatting sqref="AV650:AV656">
    <cfRule type="cellIs" dxfId="1298" priority="856" operator="between">
      <formula>95</formula>
      <formula>105</formula>
    </cfRule>
  </conditionalFormatting>
  <conditionalFormatting sqref="AV650:AV656">
    <cfRule type="cellIs" dxfId="1297" priority="855" operator="between">
      <formula>95</formula>
      <formula>105</formula>
    </cfRule>
  </conditionalFormatting>
  <conditionalFormatting sqref="AV650:AV656">
    <cfRule type="cellIs" dxfId="1296" priority="854" operator="between">
      <formula>95</formula>
      <formula>105</formula>
    </cfRule>
  </conditionalFormatting>
  <conditionalFormatting sqref="AV666">
    <cfRule type="cellIs" dxfId="1295" priority="849" operator="between">
      <formula>95</formula>
      <formula>105</formula>
    </cfRule>
  </conditionalFormatting>
  <conditionalFormatting sqref="AV666">
    <cfRule type="cellIs" dxfId="1294" priority="848" operator="between">
      <formula>95</formula>
      <formula>105</formula>
    </cfRule>
  </conditionalFormatting>
  <conditionalFormatting sqref="AV666">
    <cfRule type="cellIs" dxfId="1293" priority="847" operator="between">
      <formula>95</formula>
      <formula>105</formula>
    </cfRule>
  </conditionalFormatting>
  <conditionalFormatting sqref="AV666">
    <cfRule type="cellIs" dxfId="1292" priority="846" operator="between">
      <formula>95</formula>
      <formula>105</formula>
    </cfRule>
  </conditionalFormatting>
  <conditionalFormatting sqref="AV657:AV665">
    <cfRule type="cellIs" dxfId="1291" priority="842" operator="between">
      <formula>95</formula>
      <formula>105</formula>
    </cfRule>
  </conditionalFormatting>
  <conditionalFormatting sqref="AV657:AV665">
    <cfRule type="cellIs" dxfId="1290" priority="841" operator="between">
      <formula>95</formula>
      <formula>105</formula>
    </cfRule>
  </conditionalFormatting>
  <conditionalFormatting sqref="AV657:AV665">
    <cfRule type="cellIs" dxfId="1289" priority="840" operator="between">
      <formula>95</formula>
      <formula>105</formula>
    </cfRule>
  </conditionalFormatting>
  <conditionalFormatting sqref="AV667:AV668">
    <cfRule type="cellIs" dxfId="1288" priority="837" operator="between">
      <formula>95</formula>
      <formula>105</formula>
    </cfRule>
  </conditionalFormatting>
  <conditionalFormatting sqref="AV667:AV668">
    <cfRule type="cellIs" dxfId="1287" priority="836" operator="between">
      <formula>95</formula>
      <formula>105</formula>
    </cfRule>
  </conditionalFormatting>
  <conditionalFormatting sqref="AV669:AV670">
    <cfRule type="cellIs" dxfId="1286" priority="833" operator="between">
      <formula>95</formula>
      <formula>105</formula>
    </cfRule>
  </conditionalFormatting>
  <conditionalFormatting sqref="AV669:AV670">
    <cfRule type="cellIs" dxfId="1285" priority="832" operator="between">
      <formula>95</formula>
      <formula>105</formula>
    </cfRule>
  </conditionalFormatting>
  <conditionalFormatting sqref="AV680">
    <cfRule type="cellIs" dxfId="1284" priority="827" operator="between">
      <formula>95</formula>
      <formula>105</formula>
    </cfRule>
  </conditionalFormatting>
  <conditionalFormatting sqref="AV680">
    <cfRule type="cellIs" dxfId="1283" priority="826" operator="between">
      <formula>95</formula>
      <formula>105</formula>
    </cfRule>
  </conditionalFormatting>
  <conditionalFormatting sqref="AV680">
    <cfRule type="cellIs" dxfId="1282" priority="825" operator="between">
      <formula>95</formula>
      <formula>105</formula>
    </cfRule>
  </conditionalFormatting>
  <conditionalFormatting sqref="AV680">
    <cfRule type="cellIs" dxfId="1281" priority="824" operator="between">
      <formula>95</formula>
      <formula>105</formula>
    </cfRule>
  </conditionalFormatting>
  <conditionalFormatting sqref="AV671:AV679">
    <cfRule type="cellIs" dxfId="1280" priority="820" operator="between">
      <formula>95</formula>
      <formula>105</formula>
    </cfRule>
  </conditionalFormatting>
  <conditionalFormatting sqref="AV671:AV679">
    <cfRule type="cellIs" dxfId="1279" priority="819" operator="between">
      <formula>95</formula>
      <formula>105</formula>
    </cfRule>
  </conditionalFormatting>
  <conditionalFormatting sqref="AV671:AV679">
    <cfRule type="cellIs" dxfId="1278" priority="818" operator="between">
      <formula>95</formula>
      <formula>105</formula>
    </cfRule>
  </conditionalFormatting>
  <conditionalFormatting sqref="AV681:AV682">
    <cfRule type="cellIs" dxfId="1277" priority="816" operator="between">
      <formula>95</formula>
      <formula>105</formula>
    </cfRule>
  </conditionalFormatting>
  <conditionalFormatting sqref="AV698:AV704">
    <cfRule type="cellIs" dxfId="1276" priority="800" operator="between">
      <formula>95</formula>
      <formula>105</formula>
    </cfRule>
  </conditionalFormatting>
  <conditionalFormatting sqref="AV696">
    <cfRule type="cellIs" dxfId="1275" priority="808" operator="between">
      <formula>95</formula>
      <formula>105</formula>
    </cfRule>
  </conditionalFormatting>
  <conditionalFormatting sqref="AV696">
    <cfRule type="cellIs" dxfId="1274" priority="807" operator="between">
      <formula>95</formula>
      <formula>105</formula>
    </cfRule>
  </conditionalFormatting>
  <conditionalFormatting sqref="AV696">
    <cfRule type="cellIs" dxfId="1273" priority="806" operator="between">
      <formula>95</formula>
      <formula>105</formula>
    </cfRule>
  </conditionalFormatting>
  <conditionalFormatting sqref="AV697">
    <cfRule type="cellIs" dxfId="1272" priority="804" operator="between">
      <formula>95</formula>
      <formula>105</formula>
    </cfRule>
  </conditionalFormatting>
  <conditionalFormatting sqref="AV698:AV704">
    <cfRule type="cellIs" dxfId="1271" priority="799" operator="between">
      <formula>95</formula>
      <formula>105</formula>
    </cfRule>
  </conditionalFormatting>
  <conditionalFormatting sqref="AV698:AV704">
    <cfRule type="cellIs" dxfId="1270" priority="798" operator="between">
      <formula>95</formula>
      <formula>105</formula>
    </cfRule>
  </conditionalFormatting>
  <conditionalFormatting sqref="AV724:AV732">
    <cfRule type="cellIs" dxfId="1269" priority="794" operator="between">
      <formula>95</formula>
      <formula>105</formula>
    </cfRule>
  </conditionalFormatting>
  <conditionalFormatting sqref="AV724:AV732">
    <cfRule type="cellIs" dxfId="1268" priority="793" operator="between">
      <formula>95</formula>
      <formula>105</formula>
    </cfRule>
  </conditionalFormatting>
  <conditionalFormatting sqref="AV734:AV735">
    <cfRule type="cellIs" dxfId="1267" priority="789" operator="between">
      <formula>95</formula>
      <formula>105</formula>
    </cfRule>
  </conditionalFormatting>
  <conditionalFormatting sqref="AV734:AV735">
    <cfRule type="cellIs" dxfId="1266" priority="788" operator="between">
      <formula>95</formula>
      <formula>105</formula>
    </cfRule>
  </conditionalFormatting>
  <conditionalFormatting sqref="AV762">
    <cfRule type="cellIs" dxfId="1265" priority="786" operator="between">
      <formula>95</formula>
      <formula>105</formula>
    </cfRule>
  </conditionalFormatting>
  <conditionalFormatting sqref="AV766:AV767">
    <cfRule type="cellIs" dxfId="1264" priority="783" operator="between">
      <formula>95</formula>
      <formula>105</formula>
    </cfRule>
  </conditionalFormatting>
  <conditionalFormatting sqref="AV766:AV767">
    <cfRule type="cellIs" dxfId="1263" priority="782" operator="between">
      <formula>95</formula>
      <formula>105</formula>
    </cfRule>
  </conditionalFormatting>
  <conditionalFormatting sqref="AV768">
    <cfRule type="cellIs" dxfId="1262" priority="778" operator="between">
      <formula>95</formula>
      <formula>105</formula>
    </cfRule>
  </conditionalFormatting>
  <conditionalFormatting sqref="AV768">
    <cfRule type="cellIs" dxfId="1261" priority="777" operator="between">
      <formula>95</formula>
      <formula>105</formula>
    </cfRule>
  </conditionalFormatting>
  <conditionalFormatting sqref="AV768">
    <cfRule type="cellIs" dxfId="1260" priority="776" operator="between">
      <formula>95</formula>
      <formula>105</formula>
    </cfRule>
  </conditionalFormatting>
  <conditionalFormatting sqref="AV778">
    <cfRule type="cellIs" dxfId="1259" priority="774" operator="between">
      <formula>95</formula>
      <formula>105</formula>
    </cfRule>
  </conditionalFormatting>
  <conditionalFormatting sqref="AV769:AV777">
    <cfRule type="cellIs" dxfId="1258" priority="770" operator="between">
      <formula>95</formula>
      <formula>105</formula>
    </cfRule>
  </conditionalFormatting>
  <conditionalFormatting sqref="AV769:AV777">
    <cfRule type="cellIs" dxfId="1257" priority="769" operator="between">
      <formula>95</formula>
      <formula>105</formula>
    </cfRule>
  </conditionalFormatting>
  <conditionalFormatting sqref="AV769:AV777">
    <cfRule type="cellIs" dxfId="1256" priority="768" operator="between">
      <formula>95</formula>
      <formula>105</formula>
    </cfRule>
  </conditionalFormatting>
  <conditionalFormatting sqref="AV784">
    <cfRule type="cellIs" dxfId="1255" priority="764" operator="between">
      <formula>95</formula>
      <formula>105</formula>
    </cfRule>
  </conditionalFormatting>
  <conditionalFormatting sqref="AV784">
    <cfRule type="cellIs" dxfId="1254" priority="763" operator="between">
      <formula>95</formula>
      <formula>105</formula>
    </cfRule>
  </conditionalFormatting>
  <conditionalFormatting sqref="AV784">
    <cfRule type="cellIs" dxfId="1253" priority="762" operator="between">
      <formula>95</formula>
      <formula>105</formula>
    </cfRule>
  </conditionalFormatting>
  <conditionalFormatting sqref="AV785:AV789">
    <cfRule type="cellIs" dxfId="1252" priority="760" operator="between">
      <formula>95</formula>
      <formula>105</formula>
    </cfRule>
  </conditionalFormatting>
  <conditionalFormatting sqref="AV790:AV791">
    <cfRule type="cellIs" dxfId="1251" priority="756" operator="between">
      <formula>95</formula>
      <formula>105</formula>
    </cfRule>
  </conditionalFormatting>
  <conditionalFormatting sqref="AV790:AV791">
    <cfRule type="cellIs" dxfId="1250" priority="755" operator="between">
      <formula>95</formula>
      <formula>105</formula>
    </cfRule>
  </conditionalFormatting>
  <conditionalFormatting sqref="AV790:AV791">
    <cfRule type="cellIs" dxfId="1249" priority="754" operator="between">
      <formula>95</formula>
      <formula>105</formula>
    </cfRule>
  </conditionalFormatting>
  <conditionalFormatting sqref="AV799:AV801">
    <cfRule type="cellIs" dxfId="1248" priority="748" operator="between">
      <formula>95</formula>
      <formula>105</formula>
    </cfRule>
  </conditionalFormatting>
  <conditionalFormatting sqref="AV802">
    <cfRule type="cellIs" dxfId="1247" priority="746" operator="between">
      <formula>95</formula>
      <formula>105</formula>
    </cfRule>
  </conditionalFormatting>
  <conditionalFormatting sqref="AV837:AV838">
    <cfRule type="cellIs" dxfId="1246" priority="744" operator="between">
      <formula>95</formula>
      <formula>105</formula>
    </cfRule>
  </conditionalFormatting>
  <conditionalFormatting sqref="AV841">
    <cfRule type="cellIs" dxfId="1245" priority="740" operator="between">
      <formula>95</formula>
      <formula>105</formula>
    </cfRule>
  </conditionalFormatting>
  <conditionalFormatting sqref="AV841">
    <cfRule type="cellIs" dxfId="1244" priority="739" operator="between">
      <formula>95</formula>
      <formula>105</formula>
    </cfRule>
  </conditionalFormatting>
  <conditionalFormatting sqref="AV842:AV843">
    <cfRule type="cellIs" dxfId="1243" priority="736" operator="between">
      <formula>95</formula>
      <formula>105</formula>
    </cfRule>
  </conditionalFormatting>
  <conditionalFormatting sqref="AV844">
    <cfRule type="cellIs" dxfId="1242" priority="734" operator="between">
      <formula>95</formula>
      <formula>105</formula>
    </cfRule>
  </conditionalFormatting>
  <conditionalFormatting sqref="AV845:AV863">
    <cfRule type="cellIs" dxfId="1241" priority="732" operator="between">
      <formula>95</formula>
      <formula>105</formula>
    </cfRule>
  </conditionalFormatting>
  <conditionalFormatting sqref="AV864">
    <cfRule type="cellIs" dxfId="1240" priority="730" operator="between">
      <formula>95</formula>
      <formula>105</formula>
    </cfRule>
  </conditionalFormatting>
  <conditionalFormatting sqref="AV879:AV883">
    <cfRule type="cellIs" dxfId="1239" priority="726" operator="between">
      <formula>95</formula>
      <formula>105</formula>
    </cfRule>
  </conditionalFormatting>
  <conditionalFormatting sqref="AV879:AV883">
    <cfRule type="cellIs" dxfId="1238" priority="725" operator="between">
      <formula>95</formula>
      <formula>105</formula>
    </cfRule>
  </conditionalFormatting>
  <conditionalFormatting sqref="AV879:AV883">
    <cfRule type="cellIs" dxfId="1237" priority="724" operator="between">
      <formula>95</formula>
      <formula>105</formula>
    </cfRule>
  </conditionalFormatting>
  <conditionalFormatting sqref="AV884">
    <cfRule type="cellIs" dxfId="1236" priority="723" operator="between">
      <formula>95</formula>
      <formula>105</formula>
    </cfRule>
  </conditionalFormatting>
  <conditionalFormatting sqref="AV885">
    <cfRule type="cellIs" dxfId="1235" priority="721" operator="between">
      <formula>95</formula>
      <formula>105</formula>
    </cfRule>
  </conditionalFormatting>
  <conditionalFormatting sqref="AV889">
    <cfRule type="cellIs" dxfId="1234" priority="719" operator="between">
      <formula>95</formula>
      <formula>105</formula>
    </cfRule>
  </conditionalFormatting>
  <conditionalFormatting sqref="AV890:AV897">
    <cfRule type="cellIs" dxfId="1233" priority="716" operator="between">
      <formula>95</formula>
      <formula>105</formula>
    </cfRule>
  </conditionalFormatting>
  <conditionalFormatting sqref="AV890:AV897">
    <cfRule type="cellIs" dxfId="1232" priority="715" operator="between">
      <formula>95</formula>
      <formula>105</formula>
    </cfRule>
  </conditionalFormatting>
  <conditionalFormatting sqref="AV907">
    <cfRule type="cellIs" dxfId="1231" priority="713" operator="between">
      <formula>95</formula>
      <formula>105</formula>
    </cfRule>
  </conditionalFormatting>
  <conditionalFormatting sqref="AV898:AV906">
    <cfRule type="cellIs" dxfId="1230" priority="709" operator="between">
      <formula>95</formula>
      <formula>105</formula>
    </cfRule>
  </conditionalFormatting>
  <conditionalFormatting sqref="AV898:AV906">
    <cfRule type="cellIs" dxfId="1229" priority="708" operator="between">
      <formula>95</formula>
      <formula>105</formula>
    </cfRule>
  </conditionalFormatting>
  <conditionalFormatting sqref="AV898:AV906">
    <cfRule type="cellIs" dxfId="1228" priority="707" operator="between">
      <formula>95</formula>
      <formula>105</formula>
    </cfRule>
  </conditionalFormatting>
  <conditionalFormatting sqref="AV929">
    <cfRule type="cellIs" dxfId="1227" priority="705" operator="between">
      <formula>95</formula>
      <formula>105</formula>
    </cfRule>
  </conditionalFormatting>
  <conditionalFormatting sqref="AV945">
    <cfRule type="cellIs" dxfId="1226" priority="703" operator="between">
      <formula>95</formula>
      <formula>105</formula>
    </cfRule>
  </conditionalFormatting>
  <conditionalFormatting sqref="AV961">
    <cfRule type="cellIs" dxfId="1225" priority="701" operator="between">
      <formula>95</formula>
      <formula>105</formula>
    </cfRule>
  </conditionalFormatting>
  <conditionalFormatting sqref="AV1057">
    <cfRule type="cellIs" dxfId="1224" priority="699" operator="between">
      <formula>95</formula>
      <formula>105</formula>
    </cfRule>
  </conditionalFormatting>
  <conditionalFormatting sqref="AV1058:AV1059">
    <cfRule type="cellIs" dxfId="1223" priority="696" operator="between">
      <formula>95</formula>
      <formula>105</formula>
    </cfRule>
  </conditionalFormatting>
  <conditionalFormatting sqref="AV1058:AV1059">
    <cfRule type="cellIs" dxfId="1222" priority="695" operator="between">
      <formula>95</formula>
      <formula>105</formula>
    </cfRule>
  </conditionalFormatting>
  <conditionalFormatting sqref="AV1069">
    <cfRule type="cellIs" dxfId="1221" priority="693" operator="between">
      <formula>95</formula>
      <formula>105</formula>
    </cfRule>
  </conditionalFormatting>
  <conditionalFormatting sqref="AV1060:AV1068">
    <cfRule type="cellIs" dxfId="1220" priority="689" operator="between">
      <formula>95</formula>
      <formula>105</formula>
    </cfRule>
  </conditionalFormatting>
  <conditionalFormatting sqref="AV1060:AV1068">
    <cfRule type="cellIs" dxfId="1219" priority="688" operator="between">
      <formula>95</formula>
      <formula>105</formula>
    </cfRule>
  </conditionalFormatting>
  <conditionalFormatting sqref="AV1060:AV1068">
    <cfRule type="cellIs" dxfId="1218" priority="687" operator="between">
      <formula>95</formula>
      <formula>105</formula>
    </cfRule>
  </conditionalFormatting>
  <conditionalFormatting sqref="AV1085:AV1234">
    <cfRule type="cellIs" dxfId="1217" priority="685" operator="between">
      <formula>95</formula>
      <formula>105</formula>
    </cfRule>
  </conditionalFormatting>
  <conditionalFormatting sqref="AV1076:AV1084">
    <cfRule type="cellIs" dxfId="1216" priority="681" operator="between">
      <formula>95</formula>
      <formula>105</formula>
    </cfRule>
  </conditionalFormatting>
  <conditionalFormatting sqref="AV1076:AV1084">
    <cfRule type="cellIs" dxfId="1215" priority="680" operator="between">
      <formula>95</formula>
      <formula>105</formula>
    </cfRule>
  </conditionalFormatting>
  <conditionalFormatting sqref="AV1076:AV1084">
    <cfRule type="cellIs" dxfId="1214" priority="679" operator="between">
      <formula>95</formula>
      <formula>105</formula>
    </cfRule>
  </conditionalFormatting>
  <conditionalFormatting sqref="AV614">
    <cfRule type="cellIs" dxfId="1213" priority="677" operator="between">
      <formula>95</formula>
      <formula>105</formula>
    </cfRule>
  </conditionalFormatting>
  <conditionalFormatting sqref="AV624">
    <cfRule type="cellIs" dxfId="1212" priority="669" operator="between">
      <formula>95</formula>
      <formula>105</formula>
    </cfRule>
  </conditionalFormatting>
  <conditionalFormatting sqref="AV615:AV623">
    <cfRule type="cellIs" dxfId="1211" priority="665" operator="between">
      <formula>95</formula>
      <formula>105</formula>
    </cfRule>
  </conditionalFormatting>
  <conditionalFormatting sqref="AV615:AV623">
    <cfRule type="cellIs" dxfId="1210" priority="664" operator="between">
      <formula>95</formula>
      <formula>105</formula>
    </cfRule>
  </conditionalFormatting>
  <conditionalFormatting sqref="AV615:AV623">
    <cfRule type="cellIs" dxfId="1209" priority="663" operator="between">
      <formula>95</formula>
      <formula>105</formula>
    </cfRule>
  </conditionalFormatting>
  <conditionalFormatting sqref="AV1095:AV1234">
    <cfRule type="cellIs" dxfId="1208" priority="661" operator="between">
      <formula>95</formula>
      <formula>105</formula>
    </cfRule>
  </conditionalFormatting>
  <conditionalFormatting sqref="AV1086:AV1094">
    <cfRule type="cellIs" dxfId="1207" priority="657" operator="between">
      <formula>95</formula>
      <formula>105</formula>
    </cfRule>
  </conditionalFormatting>
  <conditionalFormatting sqref="AV1086:AV1094">
    <cfRule type="cellIs" dxfId="1206" priority="656" operator="between">
      <formula>95</formula>
      <formula>105</formula>
    </cfRule>
  </conditionalFormatting>
  <conditionalFormatting sqref="AV1086:AV1094">
    <cfRule type="cellIs" dxfId="1205" priority="655" operator="between">
      <formula>95</formula>
      <formula>105</formula>
    </cfRule>
  </conditionalFormatting>
  <conditionalFormatting sqref="AV1096 AV1103:AV1110">
    <cfRule type="cellIs" dxfId="1204" priority="649" operator="between">
      <formula>95</formula>
      <formula>105</formula>
    </cfRule>
  </conditionalFormatting>
  <conditionalFormatting sqref="AV1096 AV1103:AV1110">
    <cfRule type="cellIs" dxfId="1203" priority="648" operator="between">
      <formula>95</formula>
      <formula>105</formula>
    </cfRule>
  </conditionalFormatting>
  <conditionalFormatting sqref="AV1096 AV1103:AV1110">
    <cfRule type="cellIs" dxfId="1202" priority="647" operator="between">
      <formula>95</formula>
      <formula>105</formula>
    </cfRule>
  </conditionalFormatting>
  <conditionalFormatting sqref="AV1121">
    <cfRule type="cellIs" dxfId="1201" priority="645" operator="between">
      <formula>95</formula>
      <formula>105</formula>
    </cfRule>
  </conditionalFormatting>
  <conditionalFormatting sqref="AV1112:AV1120">
    <cfRule type="cellIs" dxfId="1200" priority="641" operator="between">
      <formula>95</formula>
      <formula>105</formula>
    </cfRule>
  </conditionalFormatting>
  <conditionalFormatting sqref="AV1112:AV1120">
    <cfRule type="cellIs" dxfId="1199" priority="640" operator="between">
      <formula>95</formula>
      <formula>105</formula>
    </cfRule>
  </conditionalFormatting>
  <conditionalFormatting sqref="AV1112:AV1120">
    <cfRule type="cellIs" dxfId="1198" priority="639" operator="between">
      <formula>95</formula>
      <formula>105</formula>
    </cfRule>
  </conditionalFormatting>
  <conditionalFormatting sqref="AV1122:AV1126">
    <cfRule type="cellIs" dxfId="1197" priority="635" operator="between">
      <formula>95</formula>
      <formula>105</formula>
    </cfRule>
  </conditionalFormatting>
  <conditionalFormatting sqref="AV1122:AV1126">
    <cfRule type="cellIs" dxfId="1196" priority="634" operator="between">
      <formula>95</formula>
      <formula>105</formula>
    </cfRule>
  </conditionalFormatting>
  <conditionalFormatting sqref="AV1122:AV1126">
    <cfRule type="cellIs" dxfId="1195" priority="633" operator="between">
      <formula>95</formula>
      <formula>105</formula>
    </cfRule>
  </conditionalFormatting>
  <conditionalFormatting sqref="AV1136:AV1137">
    <cfRule type="cellIs" dxfId="1194" priority="630" operator="between">
      <formula>95</formula>
      <formula>105</formula>
    </cfRule>
  </conditionalFormatting>
  <conditionalFormatting sqref="AV1136:AV1137">
    <cfRule type="cellIs" dxfId="1193" priority="629" operator="between">
      <formula>95</formula>
      <formula>105</formula>
    </cfRule>
  </conditionalFormatting>
  <conditionalFormatting sqref="AV1138">
    <cfRule type="cellIs" dxfId="1192" priority="627" operator="between">
      <formula>95</formula>
      <formula>105</formula>
    </cfRule>
  </conditionalFormatting>
  <conditionalFormatting sqref="AV1148">
    <cfRule type="cellIs" dxfId="1191" priority="625" operator="between">
      <formula>95</formula>
      <formula>105</formula>
    </cfRule>
  </conditionalFormatting>
  <conditionalFormatting sqref="AV1139:AV1147">
    <cfRule type="cellIs" dxfId="1190" priority="621" operator="between">
      <formula>95</formula>
      <formula>105</formula>
    </cfRule>
  </conditionalFormatting>
  <conditionalFormatting sqref="AV1139:AV1147">
    <cfRule type="cellIs" dxfId="1189" priority="620" operator="between">
      <formula>95</formula>
      <formula>105</formula>
    </cfRule>
  </conditionalFormatting>
  <conditionalFormatting sqref="AV1139:AV1147">
    <cfRule type="cellIs" dxfId="1188" priority="619" operator="between">
      <formula>95</formula>
      <formula>105</formula>
    </cfRule>
  </conditionalFormatting>
  <conditionalFormatting sqref="AV1149:AV1153">
    <cfRule type="cellIs" dxfId="1187" priority="615" operator="between">
      <formula>95</formula>
      <formula>105</formula>
    </cfRule>
  </conditionalFormatting>
  <conditionalFormatting sqref="AV1149:AV1153">
    <cfRule type="cellIs" dxfId="1186" priority="614" operator="between">
      <formula>95</formula>
      <formula>105</formula>
    </cfRule>
  </conditionalFormatting>
  <conditionalFormatting sqref="AV1149:AV1153">
    <cfRule type="cellIs" dxfId="1185" priority="613" operator="between">
      <formula>95</formula>
      <formula>105</formula>
    </cfRule>
  </conditionalFormatting>
  <conditionalFormatting sqref="AV1154:AV1159">
    <cfRule type="cellIs" dxfId="1184" priority="611" operator="between">
      <formula>95</formula>
      <formula>105</formula>
    </cfRule>
  </conditionalFormatting>
  <conditionalFormatting sqref="AV1163:AV1164">
    <cfRule type="cellIs" dxfId="1183" priority="608" operator="between">
      <formula>95</formula>
      <formula>105</formula>
    </cfRule>
  </conditionalFormatting>
  <conditionalFormatting sqref="AV1163:AV1164">
    <cfRule type="cellIs" dxfId="1182" priority="607" operator="between">
      <formula>95</formula>
      <formula>105</formula>
    </cfRule>
  </conditionalFormatting>
  <conditionalFormatting sqref="AV1174:AV1234">
    <cfRule type="cellIs" dxfId="1181" priority="605" operator="between">
      <formula>95</formula>
      <formula>105</formula>
    </cfRule>
  </conditionalFormatting>
  <conditionalFormatting sqref="AV1165:AV1173">
    <cfRule type="cellIs" dxfId="1180" priority="601" operator="between">
      <formula>95</formula>
      <formula>105</formula>
    </cfRule>
  </conditionalFormatting>
  <conditionalFormatting sqref="AV1165:AV1173">
    <cfRule type="cellIs" dxfId="1179" priority="600" operator="between">
      <formula>95</formula>
      <formula>105</formula>
    </cfRule>
  </conditionalFormatting>
  <conditionalFormatting sqref="AV1165:AV1173">
    <cfRule type="cellIs" dxfId="1178" priority="599" operator="between">
      <formula>95</formula>
      <formula>105</formula>
    </cfRule>
  </conditionalFormatting>
  <conditionalFormatting sqref="AV3:AV7">
    <cfRule type="cellIs" dxfId="1177" priority="595" operator="between">
      <formula>95</formula>
      <formula>105</formula>
    </cfRule>
  </conditionalFormatting>
  <conditionalFormatting sqref="AV3:AV7">
    <cfRule type="cellIs" dxfId="1176" priority="594" operator="between">
      <formula>95</formula>
      <formula>105</formula>
    </cfRule>
  </conditionalFormatting>
  <conditionalFormatting sqref="AV3:AV7">
    <cfRule type="cellIs" dxfId="1175" priority="593" operator="between">
      <formula>95</formula>
      <formula>105</formula>
    </cfRule>
  </conditionalFormatting>
  <conditionalFormatting sqref="AV8">
    <cfRule type="cellIs" dxfId="1174" priority="591" operator="between">
      <formula>95</formula>
      <formula>105</formula>
    </cfRule>
  </conditionalFormatting>
  <conditionalFormatting sqref="AV18">
    <cfRule type="cellIs" dxfId="1173" priority="589" operator="between">
      <formula>95</formula>
      <formula>105</formula>
    </cfRule>
  </conditionalFormatting>
  <conditionalFormatting sqref="AV9:AV17">
    <cfRule type="cellIs" dxfId="1172" priority="585" operator="between">
      <formula>95</formula>
      <formula>105</formula>
    </cfRule>
  </conditionalFormatting>
  <conditionalFormatting sqref="AV9:AV17">
    <cfRule type="cellIs" dxfId="1171" priority="584" operator="between">
      <formula>95</formula>
      <formula>105</formula>
    </cfRule>
  </conditionalFormatting>
  <conditionalFormatting sqref="AV9:AV17">
    <cfRule type="cellIs" dxfId="1170" priority="583" operator="between">
      <formula>95</formula>
      <formula>105</formula>
    </cfRule>
  </conditionalFormatting>
  <conditionalFormatting sqref="AV19:AV24">
    <cfRule type="cellIs" dxfId="1169" priority="581" operator="between">
      <formula>95</formula>
      <formula>105</formula>
    </cfRule>
  </conditionalFormatting>
  <conditionalFormatting sqref="AV25:AV28">
    <cfRule type="cellIs" dxfId="1168" priority="579" operator="between">
      <formula>95</formula>
      <formula>105</formula>
    </cfRule>
  </conditionalFormatting>
  <conditionalFormatting sqref="AV29">
    <cfRule type="cellIs" dxfId="1167" priority="577" operator="between">
      <formula>95</formula>
      <formula>105</formula>
    </cfRule>
  </conditionalFormatting>
  <conditionalFormatting sqref="AV30:AV31">
    <cfRule type="cellIs" dxfId="1166" priority="575" operator="between">
      <formula>95</formula>
      <formula>105</formula>
    </cfRule>
  </conditionalFormatting>
  <conditionalFormatting sqref="AV32">
    <cfRule type="cellIs" dxfId="1165" priority="573" operator="between">
      <formula>95</formula>
      <formula>105</formula>
    </cfRule>
  </conditionalFormatting>
  <conditionalFormatting sqref="AV33:AV37">
    <cfRule type="cellIs" dxfId="1164" priority="569" operator="between">
      <formula>95</formula>
      <formula>105</formula>
    </cfRule>
  </conditionalFormatting>
  <conditionalFormatting sqref="AV33:AV37">
    <cfRule type="cellIs" dxfId="1163" priority="568" operator="between">
      <formula>95</formula>
      <formula>105</formula>
    </cfRule>
  </conditionalFormatting>
  <conditionalFormatting sqref="AV33:AV37">
    <cfRule type="cellIs" dxfId="1162" priority="567" operator="between">
      <formula>95</formula>
      <formula>105</formula>
    </cfRule>
  </conditionalFormatting>
  <conditionalFormatting sqref="AV38">
    <cfRule type="cellIs" dxfId="1161" priority="565" operator="between">
      <formula>95</formula>
      <formula>105</formula>
    </cfRule>
  </conditionalFormatting>
  <conditionalFormatting sqref="AV39:AV43">
    <cfRule type="cellIs" dxfId="1160" priority="561" operator="between">
      <formula>95</formula>
      <formula>105</formula>
    </cfRule>
  </conditionalFormatting>
  <conditionalFormatting sqref="AV39:AV43">
    <cfRule type="cellIs" dxfId="1159" priority="560" operator="between">
      <formula>95</formula>
      <formula>105</formula>
    </cfRule>
  </conditionalFormatting>
  <conditionalFormatting sqref="AV39:AV43">
    <cfRule type="cellIs" dxfId="1158" priority="559" operator="between">
      <formula>95</formula>
      <formula>105</formula>
    </cfRule>
  </conditionalFormatting>
  <conditionalFormatting sqref="AV44:AV48">
    <cfRule type="cellIs" dxfId="1157" priority="555" operator="between">
      <formula>95</formula>
      <formula>105</formula>
    </cfRule>
  </conditionalFormatting>
  <conditionalFormatting sqref="AV44:AV48">
    <cfRule type="cellIs" dxfId="1156" priority="554" operator="between">
      <formula>95</formula>
      <formula>105</formula>
    </cfRule>
  </conditionalFormatting>
  <conditionalFormatting sqref="AV44:AV48">
    <cfRule type="cellIs" dxfId="1155" priority="553" operator="between">
      <formula>95</formula>
      <formula>105</formula>
    </cfRule>
  </conditionalFormatting>
  <conditionalFormatting sqref="AV49">
    <cfRule type="cellIs" dxfId="1154" priority="551" operator="between">
      <formula>95</formula>
      <formula>105</formula>
    </cfRule>
  </conditionalFormatting>
  <conditionalFormatting sqref="AV50:AV54">
    <cfRule type="cellIs" dxfId="1153" priority="547" operator="between">
      <formula>95</formula>
      <formula>105</formula>
    </cfRule>
  </conditionalFormatting>
  <conditionalFormatting sqref="AV50:AV54">
    <cfRule type="cellIs" dxfId="1152" priority="546" operator="between">
      <formula>95</formula>
      <formula>105</formula>
    </cfRule>
  </conditionalFormatting>
  <conditionalFormatting sqref="AV50:AV54">
    <cfRule type="cellIs" dxfId="1151" priority="545" operator="between">
      <formula>95</formula>
      <formula>105</formula>
    </cfRule>
  </conditionalFormatting>
  <conditionalFormatting sqref="AV55:AV59">
    <cfRule type="cellIs" dxfId="1150" priority="541" operator="between">
      <formula>95</formula>
      <formula>105</formula>
    </cfRule>
  </conditionalFormatting>
  <conditionalFormatting sqref="AV55:AV59">
    <cfRule type="cellIs" dxfId="1149" priority="540" operator="between">
      <formula>95</formula>
      <formula>105</formula>
    </cfRule>
  </conditionalFormatting>
  <conditionalFormatting sqref="AV55:AV59">
    <cfRule type="cellIs" dxfId="1148" priority="539" operator="between">
      <formula>95</formula>
      <formula>105</formula>
    </cfRule>
  </conditionalFormatting>
  <conditionalFormatting sqref="AV69">
    <cfRule type="cellIs" dxfId="1147" priority="537" operator="between">
      <formula>95</formula>
      <formula>105</formula>
    </cfRule>
  </conditionalFormatting>
  <conditionalFormatting sqref="AV60:AV68">
    <cfRule type="cellIs" dxfId="1146" priority="533" operator="between">
      <formula>95</formula>
      <formula>105</formula>
    </cfRule>
  </conditionalFormatting>
  <conditionalFormatting sqref="AV60:AV68">
    <cfRule type="cellIs" dxfId="1145" priority="532" operator="between">
      <formula>95</formula>
      <formula>105</formula>
    </cfRule>
  </conditionalFormatting>
  <conditionalFormatting sqref="AV60:AV68">
    <cfRule type="cellIs" dxfId="1144" priority="531" operator="between">
      <formula>95</formula>
      <formula>105</formula>
    </cfRule>
  </conditionalFormatting>
  <conditionalFormatting sqref="AV70:AV78">
    <cfRule type="cellIs" dxfId="1143" priority="525" operator="between">
      <formula>95</formula>
      <formula>105</formula>
    </cfRule>
  </conditionalFormatting>
  <conditionalFormatting sqref="AV70:AV78">
    <cfRule type="cellIs" dxfId="1142" priority="524" operator="between">
      <formula>95</formula>
      <formula>105</formula>
    </cfRule>
  </conditionalFormatting>
  <conditionalFormatting sqref="AV70:AV78">
    <cfRule type="cellIs" dxfId="1141" priority="523" operator="between">
      <formula>95</formula>
      <formula>105</formula>
    </cfRule>
  </conditionalFormatting>
  <conditionalFormatting sqref="AV1184">
    <cfRule type="cellIs" dxfId="1140" priority="521" operator="between">
      <formula>95</formula>
      <formula>105</formula>
    </cfRule>
  </conditionalFormatting>
  <conditionalFormatting sqref="AV1175:AV1183">
    <cfRule type="cellIs" dxfId="1139" priority="517" operator="between">
      <formula>95</formula>
      <formula>105</formula>
    </cfRule>
  </conditionalFormatting>
  <conditionalFormatting sqref="AV1175:AV1183">
    <cfRule type="cellIs" dxfId="1138" priority="516" operator="between">
      <formula>95</formula>
      <formula>105</formula>
    </cfRule>
  </conditionalFormatting>
  <conditionalFormatting sqref="AV1175:AV1183">
    <cfRule type="cellIs" dxfId="1137" priority="515" operator="between">
      <formula>95</formula>
      <formula>105</formula>
    </cfRule>
  </conditionalFormatting>
  <conditionalFormatting sqref="AV1194">
    <cfRule type="cellIs" dxfId="1136" priority="513" operator="between">
      <formula>95</formula>
      <formula>105</formula>
    </cfRule>
  </conditionalFormatting>
  <conditionalFormatting sqref="AV1185:AV1193">
    <cfRule type="cellIs" dxfId="1135" priority="509" operator="between">
      <formula>95</formula>
      <formula>105</formula>
    </cfRule>
  </conditionalFormatting>
  <conditionalFormatting sqref="AV1185:AV1193">
    <cfRule type="cellIs" dxfId="1134" priority="508" operator="between">
      <formula>95</formula>
      <formula>105</formula>
    </cfRule>
  </conditionalFormatting>
  <conditionalFormatting sqref="AV1185:AV1193">
    <cfRule type="cellIs" dxfId="1133" priority="507" operator="between">
      <formula>95</formula>
      <formula>105</formula>
    </cfRule>
  </conditionalFormatting>
  <conditionalFormatting sqref="AV1195:AV1197">
    <cfRule type="cellIs" dxfId="1132" priority="505" operator="between">
      <formula>95</formula>
      <formula>105</formula>
    </cfRule>
  </conditionalFormatting>
  <conditionalFormatting sqref="AV1198">
    <cfRule type="cellIs" dxfId="1131" priority="503" operator="between">
      <formula>95</formula>
      <formula>105</formula>
    </cfRule>
  </conditionalFormatting>
  <conditionalFormatting sqref="AV1221">
    <cfRule type="cellIs" dxfId="1130" priority="501" operator="between">
      <formula>95</formula>
      <formula>105</formula>
    </cfRule>
  </conditionalFormatting>
  <conditionalFormatting sqref="AV1212:AV1220">
    <cfRule type="cellIs" dxfId="1129" priority="497" operator="between">
      <formula>95</formula>
      <formula>105</formula>
    </cfRule>
  </conditionalFormatting>
  <conditionalFormatting sqref="AV1212:AV1220">
    <cfRule type="cellIs" dxfId="1128" priority="496" operator="between">
      <formula>95</formula>
      <formula>105</formula>
    </cfRule>
  </conditionalFormatting>
  <conditionalFormatting sqref="AV1212:AV1220">
    <cfRule type="cellIs" dxfId="1127" priority="495" operator="between">
      <formula>95</formula>
      <formula>105</formula>
    </cfRule>
  </conditionalFormatting>
  <conditionalFormatting sqref="AV1241">
    <cfRule type="cellIs" dxfId="1126" priority="492" operator="between">
      <formula>95</formula>
      <formula>105</formula>
    </cfRule>
  </conditionalFormatting>
  <conditionalFormatting sqref="AV1241">
    <cfRule type="cellIs" dxfId="1125" priority="491" operator="between">
      <formula>95</formula>
      <formula>105</formula>
    </cfRule>
  </conditionalFormatting>
  <conditionalFormatting sqref="AV1248">
    <cfRule type="cellIs" dxfId="1124" priority="488" operator="between">
      <formula>95</formula>
      <formula>105</formula>
    </cfRule>
  </conditionalFormatting>
  <conditionalFormatting sqref="AV1248">
    <cfRule type="cellIs" dxfId="1123" priority="487" operator="between">
      <formula>95</formula>
      <formula>105</formula>
    </cfRule>
  </conditionalFormatting>
  <conditionalFormatting sqref="AV1255">
    <cfRule type="cellIs" dxfId="1122" priority="484" operator="between">
      <formula>95</formula>
      <formula>105</formula>
    </cfRule>
  </conditionalFormatting>
  <conditionalFormatting sqref="AV1255">
    <cfRule type="cellIs" dxfId="1121" priority="483" operator="between">
      <formula>95</formula>
      <formula>105</formula>
    </cfRule>
  </conditionalFormatting>
  <conditionalFormatting sqref="AV1256:AV1261 AV1263:AV1268 AV1270:AV1275">
    <cfRule type="cellIs" dxfId="1120" priority="478" operator="between">
      <formula>95</formula>
      <formula>105</formula>
    </cfRule>
  </conditionalFormatting>
  <conditionalFormatting sqref="AV1256:AV1261">
    <cfRule type="cellIs" dxfId="1119" priority="477" operator="between">
      <formula>95</formula>
      <formula>105</formula>
    </cfRule>
  </conditionalFormatting>
  <conditionalFormatting sqref="AV1263:AV1268">
    <cfRule type="cellIs" dxfId="1118" priority="476" operator="between">
      <formula>95</formula>
      <formula>105</formula>
    </cfRule>
  </conditionalFormatting>
  <conditionalFormatting sqref="AV1270:AV1275">
    <cfRule type="cellIs" dxfId="1117" priority="475" operator="between">
      <formula>95</formula>
      <formula>105</formula>
    </cfRule>
  </conditionalFormatting>
  <conditionalFormatting sqref="AV1262">
    <cfRule type="cellIs" dxfId="1116" priority="472" operator="between">
      <formula>95</formula>
      <formula>105</formula>
    </cfRule>
  </conditionalFormatting>
  <conditionalFormatting sqref="AV1262">
    <cfRule type="cellIs" dxfId="1115" priority="471" operator="between">
      <formula>95</formula>
      <formula>105</formula>
    </cfRule>
  </conditionalFormatting>
  <conditionalFormatting sqref="V541:Y550 T541:T550">
    <cfRule type="cellIs" dxfId="1114" priority="456" operator="equal">
      <formula>1</formula>
    </cfRule>
    <cfRule type="cellIs" dxfId="1113" priority="457" operator="equal">
      <formula>1</formula>
    </cfRule>
  </conditionalFormatting>
  <conditionalFormatting sqref="AV541:AV550">
    <cfRule type="cellIs" dxfId="1112" priority="455" operator="between">
      <formula>95</formula>
      <formula>105</formula>
    </cfRule>
  </conditionalFormatting>
  <conditionalFormatting sqref="N541:N550 P541:P550 R541:R550">
    <cfRule type="colorScale" priority="4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541:S550">
    <cfRule type="colorScale" priority="4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541:Q550">
    <cfRule type="colorScale" priority="4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541:O550">
    <cfRule type="colorScale" priority="4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41:S550">
    <cfRule type="colorScale" priority="4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683:AV692">
    <cfRule type="cellIs" dxfId="1111" priority="442" operator="between">
      <formula>95</formula>
      <formula>105</formula>
    </cfRule>
  </conditionalFormatting>
  <conditionalFormatting sqref="AV683:AV692">
    <cfRule type="cellIs" dxfId="1110" priority="441" operator="between">
      <formula>95</formula>
      <formula>105</formula>
    </cfRule>
  </conditionalFormatting>
  <conditionalFormatting sqref="V683:Y692">
    <cfRule type="cellIs" dxfId="1109" priority="439" operator="equal">
      <formula>1</formula>
    </cfRule>
    <cfRule type="cellIs" dxfId="1108" priority="440" operator="equal">
      <formula>1</formula>
    </cfRule>
  </conditionalFormatting>
  <conditionalFormatting sqref="T683:T692">
    <cfRule type="cellIs" dxfId="1107" priority="435" operator="equal">
      <formula>1</formula>
    </cfRule>
    <cfRule type="cellIs" dxfId="1106" priority="436" operator="equal">
      <formula>1</formula>
    </cfRule>
  </conditionalFormatting>
  <conditionalFormatting sqref="N683:N692 P683:P692 R683:R692">
    <cfRule type="colorScale" priority="4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683:S692">
    <cfRule type="colorScale" priority="4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683:Q692">
    <cfRule type="colorScale" priority="4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683:O692">
    <cfRule type="colorScale" priority="4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683:S692">
    <cfRule type="colorScale" priority="4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868:AV878">
    <cfRule type="cellIs" dxfId="1105" priority="427" operator="between">
      <formula>95</formula>
      <formula>105</formula>
    </cfRule>
  </conditionalFormatting>
  <conditionalFormatting sqref="AV868:AV878">
    <cfRule type="cellIs" dxfId="1104" priority="426" operator="between">
      <formula>95</formula>
      <formula>105</formula>
    </cfRule>
  </conditionalFormatting>
  <conditionalFormatting sqref="V868:Y878">
    <cfRule type="cellIs" dxfId="1103" priority="424" operator="equal">
      <formula>1</formula>
    </cfRule>
    <cfRule type="cellIs" dxfId="1102" priority="425" operator="equal">
      <formula>1</formula>
    </cfRule>
  </conditionalFormatting>
  <conditionalFormatting sqref="T868:T878">
    <cfRule type="cellIs" dxfId="1101" priority="422" operator="equal">
      <formula>1</formula>
    </cfRule>
    <cfRule type="cellIs" dxfId="1100" priority="423" operator="equal">
      <formula>1</formula>
    </cfRule>
  </conditionalFormatting>
  <conditionalFormatting sqref="R868:R878 P868:P878 N868:N878">
    <cfRule type="colorScale" priority="4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868:S878">
    <cfRule type="colorScale" priority="4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868:Q878">
    <cfRule type="colorScale" priority="4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868:O878">
    <cfRule type="colorScale" priority="4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868:S878">
    <cfRule type="colorScale" priority="4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1202:Y1211">
    <cfRule type="cellIs" dxfId="1099" priority="410" operator="equal">
      <formula>1</formula>
    </cfRule>
    <cfRule type="cellIs" dxfId="1098" priority="411" operator="equal">
      <formula>1</formula>
    </cfRule>
  </conditionalFormatting>
  <conditionalFormatting sqref="AV1202:AV1211">
    <cfRule type="cellIs" dxfId="1097" priority="409" operator="between">
      <formula>95</formula>
      <formula>105</formula>
    </cfRule>
  </conditionalFormatting>
  <conditionalFormatting sqref="T1202:T1212">
    <cfRule type="cellIs" dxfId="1096" priority="407" operator="equal">
      <formula>1</formula>
    </cfRule>
    <cfRule type="cellIs" dxfId="1095" priority="408" operator="equal">
      <formula>1</formula>
    </cfRule>
  </conditionalFormatting>
  <conditionalFormatting sqref="T1202:T1212">
    <cfRule type="cellIs" dxfId="1094" priority="405" operator="equal">
      <formula>1</formula>
    </cfRule>
    <cfRule type="cellIs" dxfId="1093" priority="406" operator="equal">
      <formula>1</formula>
    </cfRule>
  </conditionalFormatting>
  <conditionalFormatting sqref="P1202:P1212 N1202:N1212 R1202:R1212">
    <cfRule type="colorScale" priority="40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202:S1212">
    <cfRule type="colorScale" priority="40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202:Q1212">
    <cfRule type="colorScale" priority="40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202:O1212">
    <cfRule type="colorScale" priority="40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02:S1212">
    <cfRule type="colorScale" priority="4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146:AV154">
    <cfRule type="cellIs" dxfId="1092" priority="399" operator="between">
      <formula>95</formula>
      <formula>105</formula>
    </cfRule>
  </conditionalFormatting>
  <conditionalFormatting sqref="V146:Y154 T146:T154">
    <cfRule type="cellIs" dxfId="1091" priority="397" operator="equal">
      <formula>1</formula>
    </cfRule>
    <cfRule type="cellIs" dxfId="1090" priority="398" operator="equal">
      <formula>1</formula>
    </cfRule>
  </conditionalFormatting>
  <conditionalFormatting sqref="T146:T154">
    <cfRule type="cellIs" dxfId="1089" priority="395" operator="equal">
      <formula>1</formula>
    </cfRule>
    <cfRule type="cellIs" dxfId="1088" priority="396" operator="equal">
      <formula>1</formula>
    </cfRule>
  </conditionalFormatting>
  <conditionalFormatting sqref="N146:N148 P146:P148 R146:R148">
    <cfRule type="colorScale" priority="39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46:S148">
    <cfRule type="colorScale" priority="39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46:Q148">
    <cfRule type="colorScale" priority="3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46:O148">
    <cfRule type="colorScale" priority="39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46:S148">
    <cfRule type="colorScale" priority="3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205:AV207">
    <cfRule type="cellIs" dxfId="1087" priority="387" operator="between">
      <formula>95</formula>
      <formula>105</formula>
    </cfRule>
  </conditionalFormatting>
  <conditionalFormatting sqref="AV205:AV207">
    <cfRule type="cellIs" dxfId="1086" priority="386" operator="between">
      <formula>95</formula>
      <formula>105</formula>
    </cfRule>
  </conditionalFormatting>
  <conditionalFormatting sqref="V205:Y207 T205:T207">
    <cfRule type="cellIs" dxfId="1085" priority="384" operator="equal">
      <formula>1</formula>
    </cfRule>
    <cfRule type="cellIs" dxfId="1084" priority="385" operator="equal">
      <formula>1</formula>
    </cfRule>
  </conditionalFormatting>
  <conditionalFormatting sqref="T205:T207">
    <cfRule type="cellIs" dxfId="1083" priority="382" operator="equal">
      <formula>1</formula>
    </cfRule>
    <cfRule type="cellIs" dxfId="1082" priority="383" operator="equal">
      <formula>1</formula>
    </cfRule>
  </conditionalFormatting>
  <conditionalFormatting sqref="T205:T207">
    <cfRule type="cellIs" dxfId="1081" priority="380" operator="equal">
      <formula>1</formula>
    </cfRule>
    <cfRule type="cellIs" dxfId="1080" priority="381" operator="equal">
      <formula>1</formula>
    </cfRule>
  </conditionalFormatting>
  <conditionalFormatting sqref="T205:T207">
    <cfRule type="cellIs" dxfId="1079" priority="378" operator="equal">
      <formula>1</formula>
    </cfRule>
    <cfRule type="cellIs" dxfId="1078" priority="379" operator="equal">
      <formula>1</formula>
    </cfRule>
  </conditionalFormatting>
  <conditionalFormatting sqref="N205:N207 P205:P207 R205:R207">
    <cfRule type="colorScale" priority="37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05:S207">
    <cfRule type="colorScale" priority="37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205:Q207">
    <cfRule type="colorScale" priority="3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205:O207">
    <cfRule type="colorScale" priority="37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205:S207">
    <cfRule type="colorScale" priority="37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527:AV529">
    <cfRule type="cellIs" dxfId="1077" priority="370" operator="between">
      <formula>95</formula>
      <formula>105</formula>
    </cfRule>
  </conditionalFormatting>
  <conditionalFormatting sqref="AV527:AV529">
    <cfRule type="cellIs" dxfId="1076" priority="369" operator="between">
      <formula>95</formula>
      <formula>105</formula>
    </cfRule>
  </conditionalFormatting>
  <conditionalFormatting sqref="V527:Y529 T527:T529">
    <cfRule type="cellIs" dxfId="1075" priority="367" operator="equal">
      <formula>1</formula>
    </cfRule>
    <cfRule type="cellIs" dxfId="1074" priority="368" operator="equal">
      <formula>1</formula>
    </cfRule>
  </conditionalFormatting>
  <conditionalFormatting sqref="T527:T529">
    <cfRule type="cellIs" dxfId="1073" priority="365" operator="equal">
      <formula>1</formula>
    </cfRule>
    <cfRule type="cellIs" dxfId="1072" priority="366" operator="equal">
      <formula>1</formula>
    </cfRule>
  </conditionalFormatting>
  <conditionalFormatting sqref="T527:T529">
    <cfRule type="cellIs" dxfId="1071" priority="363" operator="equal">
      <formula>1</formula>
    </cfRule>
    <cfRule type="cellIs" dxfId="1070" priority="364" operator="equal">
      <formula>1</formula>
    </cfRule>
  </conditionalFormatting>
  <conditionalFormatting sqref="T527:T529">
    <cfRule type="cellIs" dxfId="1069" priority="361" operator="equal">
      <formula>1</formula>
    </cfRule>
    <cfRule type="cellIs" dxfId="1068" priority="362" operator="equal">
      <formula>1</formula>
    </cfRule>
  </conditionalFormatting>
  <conditionalFormatting sqref="T527:T529">
    <cfRule type="cellIs" dxfId="1067" priority="357" operator="equal">
      <formula>1</formula>
    </cfRule>
    <cfRule type="cellIs" dxfId="1066" priority="358" operator="equal">
      <formula>1</formula>
    </cfRule>
  </conditionalFormatting>
  <conditionalFormatting sqref="T527:T529">
    <cfRule type="cellIs" dxfId="1065" priority="359" operator="equal">
      <formula>1</formula>
    </cfRule>
    <cfRule type="cellIs" dxfId="1064" priority="360" operator="equal">
      <formula>1</formula>
    </cfRule>
  </conditionalFormatting>
  <conditionalFormatting sqref="R527:R529 P527:P529 N527:N529">
    <cfRule type="colorScale" priority="3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527:S529">
    <cfRule type="colorScale" priority="3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527:Q529">
    <cfRule type="colorScale" priority="3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527:O529">
    <cfRule type="colorScale" priority="3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27:S529">
    <cfRule type="colorScale" priority="3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583:AV585">
    <cfRule type="cellIs" dxfId="1063" priority="349" operator="between">
      <formula>95</formula>
      <formula>105</formula>
    </cfRule>
  </conditionalFormatting>
  <conditionalFormatting sqref="AV583:AV585">
    <cfRule type="cellIs" dxfId="1062" priority="348" operator="between">
      <formula>95</formula>
      <formula>105</formula>
    </cfRule>
  </conditionalFormatting>
  <conditionalFormatting sqref="V583:Y585 T583:T585">
    <cfRule type="cellIs" dxfId="1061" priority="346" operator="equal">
      <formula>1</formula>
    </cfRule>
    <cfRule type="cellIs" dxfId="1060" priority="347" operator="equal">
      <formula>1</formula>
    </cfRule>
  </conditionalFormatting>
  <conditionalFormatting sqref="T583:T585">
    <cfRule type="cellIs" dxfId="1059" priority="344" operator="equal">
      <formula>1</formula>
    </cfRule>
    <cfRule type="cellIs" dxfId="1058" priority="345" operator="equal">
      <formula>1</formula>
    </cfRule>
  </conditionalFormatting>
  <conditionalFormatting sqref="T583:T585">
    <cfRule type="cellIs" dxfId="1057" priority="342" operator="equal">
      <formula>1</formula>
    </cfRule>
    <cfRule type="cellIs" dxfId="1056" priority="343" operator="equal">
      <formula>1</formula>
    </cfRule>
  </conditionalFormatting>
  <conditionalFormatting sqref="T583:T585">
    <cfRule type="cellIs" dxfId="1055" priority="340" operator="equal">
      <formula>1</formula>
    </cfRule>
    <cfRule type="cellIs" dxfId="1054" priority="341" operator="equal">
      <formula>1</formula>
    </cfRule>
  </conditionalFormatting>
  <conditionalFormatting sqref="T583:T585">
    <cfRule type="cellIs" dxfId="1053" priority="336" operator="equal">
      <formula>1</formula>
    </cfRule>
    <cfRule type="cellIs" dxfId="1052" priority="337" operator="equal">
      <formula>1</formula>
    </cfRule>
  </conditionalFormatting>
  <conditionalFormatting sqref="T583:T585">
    <cfRule type="cellIs" dxfId="1051" priority="338" operator="equal">
      <formula>1</formula>
    </cfRule>
    <cfRule type="cellIs" dxfId="1050" priority="339" operator="equal">
      <formula>1</formula>
    </cfRule>
  </conditionalFormatting>
  <conditionalFormatting sqref="N583:N584 P583:P584 R583:R584">
    <cfRule type="colorScale" priority="3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583:S584">
    <cfRule type="colorScale" priority="3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583:Q584">
    <cfRule type="colorScale" priority="3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583:O584">
    <cfRule type="colorScale" priority="3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83:S584">
    <cfRule type="colorScale" priority="3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83:S584">
    <cfRule type="colorScale" priority="3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K982">
    <cfRule type="cellIs" dxfId="1049" priority="329" operator="greaterThan">
      <formula>1</formula>
    </cfRule>
  </conditionalFormatting>
  <conditionalFormatting sqref="V982:Y982">
    <cfRule type="cellIs" dxfId="1048" priority="327" operator="equal">
      <formula>1</formula>
    </cfRule>
    <cfRule type="cellIs" dxfId="1047" priority="328" operator="equal">
      <formula>1</formula>
    </cfRule>
  </conditionalFormatting>
  <conditionalFormatting sqref="T982">
    <cfRule type="cellIs" dxfId="1046" priority="323" operator="equal">
      <formula>1</formula>
    </cfRule>
    <cfRule type="cellIs" dxfId="1045" priority="324" operator="equal">
      <formula>1</formula>
    </cfRule>
  </conditionalFormatting>
  <conditionalFormatting sqref="P982 R982 N982">
    <cfRule type="colorScale" priority="3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982">
    <cfRule type="colorScale" priority="3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982">
    <cfRule type="colorScale" priority="3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982">
    <cfRule type="colorScale" priority="3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982:S982">
    <cfRule type="colorScale" priority="3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982">
    <cfRule type="cellIs" dxfId="1044" priority="317" operator="between">
      <formula>95</formula>
      <formula>105</formula>
    </cfRule>
  </conditionalFormatting>
  <conditionalFormatting sqref="V149:Y154 T149:T154">
    <cfRule type="cellIs" dxfId="1043" priority="315" operator="equal">
      <formula>1</formula>
    </cfRule>
    <cfRule type="cellIs" dxfId="1042" priority="316" operator="equal">
      <formula>1</formula>
    </cfRule>
  </conditionalFormatting>
  <conditionalFormatting sqref="T149:T154">
    <cfRule type="cellIs" dxfId="1041" priority="313" operator="equal">
      <formula>1</formula>
    </cfRule>
    <cfRule type="cellIs" dxfId="1040" priority="314" operator="equal">
      <formula>1</formula>
    </cfRule>
  </conditionalFormatting>
  <conditionalFormatting sqref="N149:N154 P149:P154 R149:R154">
    <cfRule type="colorScale" priority="3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49:S154">
    <cfRule type="colorScale" priority="3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49:Q154">
    <cfRule type="colorScale" priority="3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49:O154">
    <cfRule type="colorScale" priority="30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49:S154">
    <cfRule type="colorScale" priority="3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149:AV154">
    <cfRule type="cellIs" dxfId="1039" priority="305" operator="between">
      <formula>95</formula>
      <formula>105</formula>
    </cfRule>
  </conditionalFormatting>
  <conditionalFormatting sqref="AV149:AV154">
    <cfRule type="cellIs" dxfId="1038" priority="304" operator="between">
      <formula>95</formula>
      <formula>105</formula>
    </cfRule>
  </conditionalFormatting>
  <conditionalFormatting sqref="BK149:BK154">
    <cfRule type="cellIs" dxfId="1037" priority="303" operator="greaterThan">
      <formula>1</formula>
    </cfRule>
  </conditionalFormatting>
  <conditionalFormatting sqref="BK149:BK154">
    <cfRule type="cellIs" dxfId="1036" priority="302" operator="greaterThan">
      <formula>1</formula>
    </cfRule>
  </conditionalFormatting>
  <conditionalFormatting sqref="AV231:AV236">
    <cfRule type="cellIs" dxfId="1035" priority="289" operator="between">
      <formula>95</formula>
      <formula>105</formula>
    </cfRule>
  </conditionalFormatting>
  <conditionalFormatting sqref="AV231:AV236">
    <cfRule type="cellIs" dxfId="1034" priority="288" operator="between">
      <formula>95</formula>
      <formula>105</formula>
    </cfRule>
  </conditionalFormatting>
  <conditionalFormatting sqref="BK231:BK236">
    <cfRule type="cellIs" dxfId="1033" priority="287" operator="greaterThan">
      <formula>1</formula>
    </cfRule>
  </conditionalFormatting>
  <conditionalFormatting sqref="BK231:BK236">
    <cfRule type="cellIs" dxfId="1032" priority="286" operator="greaterThan">
      <formula>1</formula>
    </cfRule>
  </conditionalFormatting>
  <conditionalFormatting sqref="V231:Y236 T231:T236">
    <cfRule type="cellIs" dxfId="1031" priority="283" operator="equal">
      <formula>1</formula>
    </cfRule>
    <cfRule type="cellIs" dxfId="1030" priority="284" operator="equal">
      <formula>1</formula>
    </cfRule>
  </conditionalFormatting>
  <conditionalFormatting sqref="T231:T236">
    <cfRule type="cellIs" dxfId="1029" priority="281" operator="equal">
      <formula>1</formula>
    </cfRule>
    <cfRule type="cellIs" dxfId="1028" priority="282" operator="equal">
      <formula>1</formula>
    </cfRule>
  </conditionalFormatting>
  <conditionalFormatting sqref="T231:T236">
    <cfRule type="cellIs" dxfId="1027" priority="279" operator="equal">
      <formula>1</formula>
    </cfRule>
    <cfRule type="cellIs" dxfId="1026" priority="280" operator="equal">
      <formula>1</formula>
    </cfRule>
  </conditionalFormatting>
  <conditionalFormatting sqref="T231:T236">
    <cfRule type="cellIs" dxfId="1025" priority="277" operator="equal">
      <formula>1</formula>
    </cfRule>
    <cfRule type="cellIs" dxfId="1024" priority="278" operator="equal">
      <formula>1</formula>
    </cfRule>
  </conditionalFormatting>
  <conditionalFormatting sqref="T231:T236">
    <cfRule type="cellIs" dxfId="1023" priority="275" operator="equal">
      <formula>1</formula>
    </cfRule>
    <cfRule type="cellIs" dxfId="1022" priority="276" operator="equal">
      <formula>1</formula>
    </cfRule>
  </conditionalFormatting>
  <conditionalFormatting sqref="R231:R236 N231:N236 P231:P236">
    <cfRule type="colorScale" priority="27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31:S236">
    <cfRule type="colorScale" priority="27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231:Q236">
    <cfRule type="colorScale" priority="2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231:O236">
    <cfRule type="colorScale" priority="27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231:S236">
    <cfRule type="colorScale" priority="2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506:AV511">
    <cfRule type="cellIs" dxfId="1021" priority="267" operator="between">
      <formula>95</formula>
      <formula>105</formula>
    </cfRule>
  </conditionalFormatting>
  <conditionalFormatting sqref="AV506:AV511">
    <cfRule type="cellIs" dxfId="1020" priority="266" operator="between">
      <formula>95</formula>
      <formula>105</formula>
    </cfRule>
  </conditionalFormatting>
  <conditionalFormatting sqref="BK506:BK511">
    <cfRule type="cellIs" dxfId="1019" priority="265" operator="greaterThan">
      <formula>1</formula>
    </cfRule>
  </conditionalFormatting>
  <conditionalFormatting sqref="BK506:BK511">
    <cfRule type="cellIs" dxfId="1018" priority="264" operator="greaterThan">
      <formula>1</formula>
    </cfRule>
  </conditionalFormatting>
  <conditionalFormatting sqref="V892:Y897">
    <cfRule type="cellIs" dxfId="1017" priority="184" operator="equal">
      <formula>1</formula>
    </cfRule>
    <cfRule type="cellIs" dxfId="1016" priority="185" operator="equal">
      <formula>1</formula>
    </cfRule>
  </conditionalFormatting>
  <conditionalFormatting sqref="T892:T897">
    <cfRule type="cellIs" dxfId="1015" priority="182" operator="equal">
      <formula>1</formula>
    </cfRule>
    <cfRule type="cellIs" dxfId="1014" priority="183" operator="equal">
      <formula>1</formula>
    </cfRule>
  </conditionalFormatting>
  <conditionalFormatting sqref="V506:Y511">
    <cfRule type="cellIs" dxfId="1013" priority="246" operator="equal">
      <formula>1</formula>
    </cfRule>
    <cfRule type="cellIs" dxfId="1012" priority="247" operator="equal">
      <formula>1</formula>
    </cfRule>
  </conditionalFormatting>
  <conditionalFormatting sqref="T506:T511">
    <cfRule type="cellIs" dxfId="1011" priority="244" operator="equal">
      <formula>1</formula>
    </cfRule>
    <cfRule type="cellIs" dxfId="1010" priority="245" operator="equal">
      <formula>1</formula>
    </cfRule>
  </conditionalFormatting>
  <conditionalFormatting sqref="T506:T511">
    <cfRule type="cellIs" dxfId="1009" priority="242" operator="equal">
      <formula>1</formula>
    </cfRule>
    <cfRule type="cellIs" dxfId="1008" priority="243" operator="equal">
      <formula>1</formula>
    </cfRule>
  </conditionalFormatting>
  <conditionalFormatting sqref="T506:T511">
    <cfRule type="cellIs" dxfId="1007" priority="240" operator="equal">
      <formula>1</formula>
    </cfRule>
    <cfRule type="cellIs" dxfId="1006" priority="241" operator="equal">
      <formula>1</formula>
    </cfRule>
  </conditionalFormatting>
  <conditionalFormatting sqref="T506:T511">
    <cfRule type="cellIs" dxfId="1005" priority="238" operator="equal">
      <formula>1</formula>
    </cfRule>
    <cfRule type="cellIs" dxfId="1004" priority="239" operator="equal">
      <formula>1</formula>
    </cfRule>
  </conditionalFormatting>
  <conditionalFormatting sqref="T506:T511">
    <cfRule type="cellIs" dxfId="1003" priority="236" operator="equal">
      <formula>1</formula>
    </cfRule>
    <cfRule type="cellIs" dxfId="1002" priority="237" operator="equal">
      <formula>1</formula>
    </cfRule>
  </conditionalFormatting>
  <conditionalFormatting sqref="N506:N511 P506:P511 R506:R511">
    <cfRule type="colorScale" priority="2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506:S511">
    <cfRule type="colorScale" priority="2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506:Q511">
    <cfRule type="colorScale" priority="2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506:O511">
    <cfRule type="colorScale" priority="2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06:S511">
    <cfRule type="colorScale" priority="2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633:AV638">
    <cfRule type="cellIs" dxfId="1001" priority="228" operator="between">
      <formula>95</formula>
      <formula>105</formula>
    </cfRule>
  </conditionalFormatting>
  <conditionalFormatting sqref="AV633:AV638">
    <cfRule type="cellIs" dxfId="1000" priority="227" operator="between">
      <formula>95</formula>
      <formula>105</formula>
    </cfRule>
  </conditionalFormatting>
  <conditionalFormatting sqref="BK633:BK638">
    <cfRule type="cellIs" dxfId="999" priority="226" operator="greaterThan">
      <formula>1</formula>
    </cfRule>
  </conditionalFormatting>
  <conditionalFormatting sqref="BK633:BK638">
    <cfRule type="cellIs" dxfId="998" priority="225" operator="greaterThan">
      <formula>1</formula>
    </cfRule>
  </conditionalFormatting>
  <conditionalFormatting sqref="V633:Y638 T633:T638">
    <cfRule type="cellIs" dxfId="997" priority="205" operator="equal">
      <formula>1</formula>
    </cfRule>
    <cfRule type="cellIs" dxfId="996" priority="206" operator="equal">
      <formula>1</formula>
    </cfRule>
  </conditionalFormatting>
  <conditionalFormatting sqref="N633:N638 P633:P638 R633:R638">
    <cfRule type="colorScale" priority="20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633:S638">
    <cfRule type="colorScale" priority="20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633:Q638">
    <cfRule type="colorScale" priority="20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633:O638">
    <cfRule type="colorScale" priority="20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633:S638">
    <cfRule type="colorScale" priority="2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892:AV897">
    <cfRule type="cellIs" dxfId="995" priority="197" operator="between">
      <formula>95</formula>
      <formula>105</formula>
    </cfRule>
  </conditionalFormatting>
  <conditionalFormatting sqref="AV892:AV897">
    <cfRule type="cellIs" dxfId="994" priority="196" operator="between">
      <formula>95</formula>
      <formula>105</formula>
    </cfRule>
  </conditionalFormatting>
  <conditionalFormatting sqref="BK892:BK897">
    <cfRule type="cellIs" dxfId="993" priority="195" operator="greaterThan">
      <formula>1</formula>
    </cfRule>
  </conditionalFormatting>
  <conditionalFormatting sqref="BK892:BK897">
    <cfRule type="cellIs" dxfId="992" priority="194" operator="greaterThan">
      <formula>1</formula>
    </cfRule>
  </conditionalFormatting>
  <conditionalFormatting sqref="R892:R897 P892:P897 N892:N897">
    <cfRule type="colorScale" priority="18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892:S897">
    <cfRule type="colorScale" priority="1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892:Q897">
    <cfRule type="colorScale" priority="17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892:O897">
    <cfRule type="colorScale" priority="1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892:S897">
    <cfRule type="colorScale" priority="17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1097:T1102 V1097:Y1102">
    <cfRule type="cellIs" dxfId="991" priority="160" operator="equal">
      <formula>1</formula>
    </cfRule>
    <cfRule type="cellIs" dxfId="990" priority="161" operator="equal">
      <formula>1</formula>
    </cfRule>
  </conditionalFormatting>
  <conditionalFormatting sqref="T1097:T1102">
    <cfRule type="cellIs" dxfId="989" priority="158" operator="equal">
      <formula>1</formula>
    </cfRule>
    <cfRule type="cellIs" dxfId="988" priority="159" operator="equal">
      <formula>1</formula>
    </cfRule>
  </conditionalFormatting>
  <conditionalFormatting sqref="S1096:S1111">
    <cfRule type="colorScale" priority="1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096:Q1111">
    <cfRule type="colorScale" priority="1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096:O1111">
    <cfRule type="colorScale" priority="1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096:S1111">
    <cfRule type="colorScale" priority="1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096:N1111 P1096:P1111 R1096:R1111">
    <cfRule type="colorScale" priority="1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1097:AV1102">
    <cfRule type="cellIs" dxfId="987" priority="149" operator="between">
      <formula>95</formula>
      <formula>105</formula>
    </cfRule>
  </conditionalFormatting>
  <conditionalFormatting sqref="AV1097:AV1102">
    <cfRule type="cellIs" dxfId="986" priority="148" operator="between">
      <formula>95</formula>
      <formula>105</formula>
    </cfRule>
  </conditionalFormatting>
  <conditionalFormatting sqref="AV1097:AV1102">
    <cfRule type="cellIs" dxfId="985" priority="147" operator="between">
      <formula>95</formula>
      <formula>105</formula>
    </cfRule>
  </conditionalFormatting>
  <conditionalFormatting sqref="AV228 AV226">
    <cfRule type="cellIs" dxfId="984" priority="134" operator="between">
      <formula>95</formula>
      <formula>105</formula>
    </cfRule>
  </conditionalFormatting>
  <conditionalFormatting sqref="AV226">
    <cfRule type="cellIs" dxfId="983" priority="132" operator="between">
      <formula>95</formula>
      <formula>105</formula>
    </cfRule>
  </conditionalFormatting>
  <conditionalFormatting sqref="AV227">
    <cfRule type="cellIs" dxfId="982" priority="131" operator="between">
      <formula>95</formula>
      <formula>105</formula>
    </cfRule>
  </conditionalFormatting>
  <conditionalFormatting sqref="N585:N598 P585:P598 R585:R598">
    <cfRule type="colorScale" priority="10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585:S598">
    <cfRule type="colorScale" priority="1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585:Q598">
    <cfRule type="colorScale" priority="1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585:O598">
    <cfRule type="colorScale" priority="10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85:S598">
    <cfRule type="colorScale" priority="1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85:S598">
    <cfRule type="colorScale" priority="1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558:AV560">
    <cfRule type="cellIs" dxfId="981" priority="103" operator="between">
      <formula>95</formula>
      <formula>105</formula>
    </cfRule>
  </conditionalFormatting>
  <conditionalFormatting sqref="AV586:AV587">
    <cfRule type="cellIs" dxfId="980" priority="101" operator="between">
      <formula>95</formula>
      <formula>105</formula>
    </cfRule>
  </conditionalFormatting>
  <conditionalFormatting sqref="AV582">
    <cfRule type="cellIs" dxfId="979" priority="99" operator="between">
      <formula>95</formula>
      <formula>105</formula>
    </cfRule>
  </conditionalFormatting>
  <conditionalFormatting sqref="AV602:AV603">
    <cfRule type="cellIs" dxfId="978" priority="97" operator="between">
      <formula>95</formula>
      <formula>105</formula>
    </cfRule>
  </conditionalFormatting>
  <conditionalFormatting sqref="AV601">
    <cfRule type="cellIs" dxfId="977" priority="95" operator="between">
      <formula>95</formula>
      <formula>105</formula>
    </cfRule>
  </conditionalFormatting>
  <conditionalFormatting sqref="AV647:AV649">
    <cfRule type="cellIs" dxfId="976" priority="93" operator="between">
      <formula>95</formula>
      <formula>105</formula>
    </cfRule>
  </conditionalFormatting>
  <conditionalFormatting sqref="AV764:AV765">
    <cfRule type="cellIs" dxfId="975" priority="91" operator="between">
      <formula>95</formula>
      <formula>105</formula>
    </cfRule>
  </conditionalFormatting>
  <conditionalFormatting sqref="AV763">
    <cfRule type="cellIs" dxfId="974" priority="89" operator="between">
      <formula>95</formula>
      <formula>105</formula>
    </cfRule>
  </conditionalFormatting>
  <conditionalFormatting sqref="AV887:AV888">
    <cfRule type="cellIs" dxfId="973" priority="87" operator="between">
      <formula>95</formula>
      <formula>105</formula>
    </cfRule>
  </conditionalFormatting>
  <conditionalFormatting sqref="AV886">
    <cfRule type="cellIs" dxfId="972" priority="85" operator="between">
      <formula>95</formula>
      <formula>105</formula>
    </cfRule>
  </conditionalFormatting>
  <conditionalFormatting sqref="AV1134:AV1135">
    <cfRule type="cellIs" dxfId="971" priority="83" operator="between">
      <formula>95</formula>
      <formula>105</formula>
    </cfRule>
  </conditionalFormatting>
  <conditionalFormatting sqref="AV1133">
    <cfRule type="cellIs" dxfId="970" priority="81" operator="between">
      <formula>95</formula>
      <formula>105</formula>
    </cfRule>
  </conditionalFormatting>
  <conditionalFormatting sqref="AV1161:AV1162">
    <cfRule type="cellIs" dxfId="969" priority="79" operator="between">
      <formula>95</formula>
      <formula>105</formula>
    </cfRule>
  </conditionalFormatting>
  <conditionalFormatting sqref="AV1160">
    <cfRule type="cellIs" dxfId="968" priority="77" operator="between">
      <formula>95</formula>
      <formula>105</formula>
    </cfRule>
  </conditionalFormatting>
  <conditionalFormatting sqref="AV1200:AV1201">
    <cfRule type="cellIs" dxfId="967" priority="75" operator="between">
      <formula>95</formula>
      <formula>105</formula>
    </cfRule>
  </conditionalFormatting>
  <conditionalFormatting sqref="AV1199">
    <cfRule type="cellIs" dxfId="966" priority="73" operator="between">
      <formula>95</formula>
      <formula>105</formula>
    </cfRule>
  </conditionalFormatting>
  <conditionalFormatting sqref="AV1223:AV1224">
    <cfRule type="cellIs" dxfId="965" priority="71" operator="between">
      <formula>95</formula>
      <formula>105</formula>
    </cfRule>
  </conditionalFormatting>
  <conditionalFormatting sqref="AV1222">
    <cfRule type="cellIs" dxfId="964" priority="69" operator="between">
      <formula>95</formula>
      <formula>105</formula>
    </cfRule>
  </conditionalFormatting>
  <conditionalFormatting sqref="N599:N605 P599:P605 R599:R605">
    <cfRule type="colorScale" priority="6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599:S605">
    <cfRule type="colorScale" priority="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599:Q605">
    <cfRule type="colorScale" priority="6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599:O605">
    <cfRule type="colorScale" priority="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99:S605">
    <cfRule type="colorScale" priority="6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99:S605">
    <cfRule type="colorScale" priority="6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096 P1096 R1096 R1103:R1111 P1103:P1111 N1103:N1111">
    <cfRule type="colorScale" priority="36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103:S1111 S1096">
    <cfRule type="colorScale" priority="36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103:Q1111 Q1096">
    <cfRule type="colorScale" priority="36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103:O1111 O1096">
    <cfRule type="colorScale" priority="366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096:S1096 N1103:S1111">
    <cfRule type="colorScale" priority="367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086:N1095 P1086:P1095 R1086:R1095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086:S1095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086:Q1095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086:O1095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086:S1095"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606:N624 P606:P624 R606:R624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606:S624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606:Q624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606:O624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606:S624"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141 AV139">
    <cfRule type="cellIs" dxfId="963" priority="24" operator="between">
      <formula>95</formula>
      <formula>105</formula>
    </cfRule>
  </conditionalFormatting>
  <conditionalFormatting sqref="AV139">
    <cfRule type="cellIs" dxfId="962" priority="23" operator="between">
      <formula>95</formula>
      <formula>105</formula>
    </cfRule>
  </conditionalFormatting>
  <conditionalFormatting sqref="AV140">
    <cfRule type="cellIs" dxfId="961" priority="22" operator="between">
      <formula>95</formula>
      <formula>105</formula>
    </cfRule>
  </conditionalFormatting>
  <conditionalFormatting sqref="AV169 AV167">
    <cfRule type="cellIs" dxfId="960" priority="21" operator="between">
      <formula>95</formula>
      <formula>105</formula>
    </cfRule>
  </conditionalFormatting>
  <conditionalFormatting sqref="AV167">
    <cfRule type="cellIs" dxfId="959" priority="20" operator="between">
      <formula>95</formula>
      <formula>105</formula>
    </cfRule>
  </conditionalFormatting>
  <conditionalFormatting sqref="AV168">
    <cfRule type="cellIs" dxfId="958" priority="19" operator="between">
      <formula>95</formula>
      <formula>105</formula>
    </cfRule>
  </conditionalFormatting>
  <conditionalFormatting sqref="AV195 AV193">
    <cfRule type="cellIs" dxfId="957" priority="18" operator="between">
      <formula>95</formula>
      <formula>105</formula>
    </cfRule>
  </conditionalFormatting>
  <conditionalFormatting sqref="AV193">
    <cfRule type="cellIs" dxfId="956" priority="17" operator="between">
      <formula>95</formula>
      <formula>105</formula>
    </cfRule>
  </conditionalFormatting>
  <conditionalFormatting sqref="AV194">
    <cfRule type="cellIs" dxfId="955" priority="16" operator="between">
      <formula>95</formula>
      <formula>105</formula>
    </cfRule>
  </conditionalFormatting>
  <conditionalFormatting sqref="AV462 AV460">
    <cfRule type="cellIs" dxfId="954" priority="15" operator="between">
      <formula>95</formula>
      <formula>105</formula>
    </cfRule>
  </conditionalFormatting>
  <conditionalFormatting sqref="AV460">
    <cfRule type="cellIs" dxfId="953" priority="14" operator="between">
      <formula>95</formula>
      <formula>105</formula>
    </cfRule>
  </conditionalFormatting>
  <conditionalFormatting sqref="AV461">
    <cfRule type="cellIs" dxfId="952" priority="13" operator="between">
      <formula>95</formula>
      <formula>105</formula>
    </cfRule>
  </conditionalFormatting>
  <conditionalFormatting sqref="AV494 AV492">
    <cfRule type="cellIs" dxfId="951" priority="12" operator="between">
      <formula>95</formula>
      <formula>105</formula>
    </cfRule>
  </conditionalFormatting>
  <conditionalFormatting sqref="AV492">
    <cfRule type="cellIs" dxfId="950" priority="11" operator="between">
      <formula>95</formula>
      <formula>105</formula>
    </cfRule>
  </conditionalFormatting>
  <conditionalFormatting sqref="AV493">
    <cfRule type="cellIs" dxfId="949" priority="10" operator="between">
      <formula>95</formula>
      <formula>105</formula>
    </cfRule>
  </conditionalFormatting>
  <conditionalFormatting sqref="AV643 AV641">
    <cfRule type="cellIs" dxfId="948" priority="9" operator="between">
      <formula>95</formula>
      <formula>105</formula>
    </cfRule>
  </conditionalFormatting>
  <conditionalFormatting sqref="AV641">
    <cfRule type="cellIs" dxfId="947" priority="8" operator="between">
      <formula>95</formula>
      <formula>105</formula>
    </cfRule>
  </conditionalFormatting>
  <conditionalFormatting sqref="AV642">
    <cfRule type="cellIs" dxfId="946" priority="7" operator="between">
      <formula>95</formula>
      <formula>105</formula>
    </cfRule>
  </conditionalFormatting>
  <conditionalFormatting sqref="AV695 AV693">
    <cfRule type="cellIs" dxfId="945" priority="6" operator="between">
      <formula>95</formula>
      <formula>105</formula>
    </cfRule>
  </conditionalFormatting>
  <conditionalFormatting sqref="AV693">
    <cfRule type="cellIs" dxfId="944" priority="5" operator="between">
      <formula>95</formula>
      <formula>105</formula>
    </cfRule>
  </conditionalFormatting>
  <conditionalFormatting sqref="AV694">
    <cfRule type="cellIs" dxfId="943" priority="4" operator="between">
      <formula>95</formula>
      <formula>105</formula>
    </cfRule>
  </conditionalFormatting>
  <conditionalFormatting sqref="AV794 AV792">
    <cfRule type="cellIs" dxfId="942" priority="3" operator="between">
      <formula>95</formula>
      <formula>105</formula>
    </cfRule>
  </conditionalFormatting>
  <conditionalFormatting sqref="AV792">
    <cfRule type="cellIs" dxfId="941" priority="2" operator="between">
      <formula>95</formula>
      <formula>105</formula>
    </cfRule>
  </conditionalFormatting>
  <conditionalFormatting sqref="AV793">
    <cfRule type="cellIs" dxfId="940" priority="1" operator="between">
      <formula>95</formula>
      <formula>105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4073E-1691-47C8-A74F-2DE3C021BBC3}">
  <sheetPr codeName="Sheet4"/>
  <dimension ref="A1"/>
  <sheetViews>
    <sheetView zoomScale="115" zoomScaleNormal="115" workbookViewId="0">
      <selection sqref="A1:A1048576"/>
    </sheetView>
  </sheetViews>
  <sheetFormatPr defaultRowHeight="14.4" x14ac:dyDescent="0.3"/>
  <cols>
    <col min="1" max="16384" width="8.88671875" style="117"/>
  </cols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D610C-11E7-4223-9D1A-2DC17AF59561}">
  <sheetPr codeName="Sheet3"/>
  <dimension ref="A1:CJ86"/>
  <sheetViews>
    <sheetView zoomScale="60" zoomScaleNormal="60" workbookViewId="0"/>
  </sheetViews>
  <sheetFormatPr defaultRowHeight="14.4" x14ac:dyDescent="0.3"/>
  <cols>
    <col min="1" max="1" width="13" style="2" customWidth="1"/>
    <col min="2" max="2" width="17.77734375" style="2" bestFit="1" customWidth="1"/>
    <col min="3" max="3" width="15" style="2" bestFit="1" customWidth="1"/>
    <col min="4" max="4" width="40.6640625" style="2" bestFit="1" customWidth="1"/>
    <col min="5" max="5" width="35.5546875" style="2" bestFit="1" customWidth="1"/>
    <col min="6" max="6" width="9.109375" style="2" bestFit="1" customWidth="1"/>
    <col min="7" max="7" width="24.44140625" style="2" bestFit="1" customWidth="1"/>
    <col min="8" max="8" width="15.109375" style="2" bestFit="1" customWidth="1"/>
    <col min="9" max="9" width="13.33203125" style="2" bestFit="1" customWidth="1"/>
    <col min="10" max="10" width="18.88671875" style="2" bestFit="1" customWidth="1"/>
    <col min="11" max="11" width="10.5546875" style="2" bestFit="1" customWidth="1"/>
    <col min="12" max="12" width="7.33203125" style="2" bestFit="1" customWidth="1"/>
    <col min="13" max="13" width="7.77734375" style="2" bestFit="1" customWidth="1"/>
    <col min="14" max="16" width="10.109375" style="2" bestFit="1" customWidth="1"/>
    <col min="17" max="17" width="9.5546875" style="2" bestFit="1" customWidth="1"/>
    <col min="18" max="18" width="10.109375" style="2" bestFit="1" customWidth="1"/>
    <col min="19" max="19" width="9.88671875" style="2" bestFit="1" customWidth="1"/>
    <col min="20" max="20" width="6.77734375" style="2" bestFit="1" customWidth="1"/>
    <col min="21" max="21" width="20.6640625" style="2" bestFit="1" customWidth="1"/>
    <col min="22" max="22" width="20.21875" style="2" bestFit="1" customWidth="1"/>
    <col min="23" max="23" width="17.88671875" style="2" bestFit="1" customWidth="1"/>
    <col min="24" max="24" width="11.21875" style="2" bestFit="1" customWidth="1"/>
    <col min="25" max="25" width="23.77734375" style="2" bestFit="1" customWidth="1"/>
    <col min="26" max="26" width="13" style="2" bestFit="1" customWidth="1"/>
    <col min="27" max="27" width="12.88671875" style="2" bestFit="1" customWidth="1"/>
    <col min="28" max="28" width="6.33203125" style="2" bestFit="1" customWidth="1"/>
    <col min="29" max="29" width="5.6640625" style="2" bestFit="1" customWidth="1"/>
    <col min="30" max="30" width="6.77734375" style="2" bestFit="1" customWidth="1"/>
    <col min="31" max="31" width="6.109375" style="2" bestFit="1" customWidth="1"/>
    <col min="32" max="32" width="6.77734375" style="2" bestFit="1" customWidth="1"/>
    <col min="33" max="33" width="13.33203125" style="20" bestFit="1" customWidth="1"/>
    <col min="34" max="34" width="22.33203125" style="2" bestFit="1" customWidth="1"/>
    <col min="35" max="41" width="14.33203125" style="2" bestFit="1" customWidth="1"/>
    <col min="42" max="42" width="12.6640625" style="20" bestFit="1" customWidth="1"/>
    <col min="43" max="43" width="18.5546875" style="2" bestFit="1" customWidth="1"/>
    <col min="44" max="44" width="14.33203125" style="20" bestFit="1" customWidth="1"/>
    <col min="45" max="46" width="13" style="20" bestFit="1" customWidth="1"/>
    <col min="47" max="47" width="15.6640625" style="2" bestFit="1" customWidth="1"/>
    <col min="48" max="48" width="13" style="2" bestFit="1" customWidth="1"/>
    <col min="49" max="49" width="7.77734375" style="20" bestFit="1" customWidth="1"/>
    <col min="50" max="50" width="6.21875" style="2" customWidth="1"/>
    <col min="51" max="51" width="32.33203125" style="2" bestFit="1" customWidth="1"/>
    <col min="52" max="52" width="9.88671875" style="2" bestFit="1" customWidth="1"/>
    <col min="53" max="53" width="10.21875" style="2" bestFit="1" customWidth="1"/>
    <col min="54" max="54" width="10.77734375" style="2" bestFit="1" customWidth="1"/>
    <col min="55" max="55" width="11.21875" style="2" bestFit="1" customWidth="1"/>
    <col min="56" max="56" width="14.33203125" style="20" bestFit="1" customWidth="1"/>
    <col min="57" max="57" width="17.44140625" style="2" bestFit="1" customWidth="1"/>
    <col min="58" max="59" width="14.33203125" style="2" bestFit="1" customWidth="1"/>
    <col min="60" max="60" width="89.33203125" style="2" bestFit="1" customWidth="1"/>
    <col min="61" max="61" width="11.88671875" style="2" bestFit="1" customWidth="1"/>
    <col min="62" max="62" width="18.5546875" style="2" bestFit="1" customWidth="1"/>
    <col min="63" max="63" width="5.21875" style="2" bestFit="1" customWidth="1"/>
    <col min="64" max="64" width="24.88671875" style="2" bestFit="1" customWidth="1"/>
    <col min="65" max="65" width="7.109375" style="2" bestFit="1" customWidth="1"/>
    <col min="66" max="66" width="8.44140625" style="2" bestFit="1" customWidth="1"/>
    <col min="67" max="67" width="7.77734375" style="2" bestFit="1" customWidth="1"/>
    <col min="68" max="68" width="65.5546875" style="2" bestFit="1" customWidth="1"/>
    <col min="69" max="69" width="8.44140625" style="2" bestFit="1" customWidth="1"/>
    <col min="70" max="70" width="16.21875" style="2" bestFit="1" customWidth="1"/>
    <col min="71" max="71" width="4.6640625" style="2" bestFit="1" customWidth="1"/>
    <col min="72" max="72" width="16.21875" style="2" bestFit="1" customWidth="1"/>
    <col min="73" max="73" width="8.44140625" style="2" bestFit="1" customWidth="1"/>
    <col min="74" max="74" width="9" style="2" bestFit="1" customWidth="1"/>
    <col min="75" max="75" width="7.88671875" style="2" bestFit="1" customWidth="1"/>
    <col min="76" max="76" width="5.6640625" style="2" bestFit="1" customWidth="1"/>
    <col min="77" max="77" width="9" style="2" bestFit="1" customWidth="1"/>
    <col min="78" max="79" width="15.5546875" style="2" bestFit="1" customWidth="1"/>
    <col min="80" max="80" width="16.21875" style="2" bestFit="1" customWidth="1"/>
    <col min="81" max="82" width="15.5546875" style="2" bestFit="1" customWidth="1"/>
    <col min="83" max="84" width="16.21875" style="2" bestFit="1" customWidth="1"/>
    <col min="85" max="86" width="15.5546875" style="2" bestFit="1" customWidth="1"/>
    <col min="87" max="88" width="8.88671875" style="2"/>
    <col min="89" max="89" width="14.5546875" style="2" bestFit="1" customWidth="1"/>
    <col min="90" max="16384" width="8.88671875" style="2"/>
  </cols>
  <sheetData>
    <row r="1" spans="1:77" s="42" customFormat="1" x14ac:dyDescent="0.3">
      <c r="A1" s="42" t="s">
        <v>662</v>
      </c>
      <c r="B1" s="42" t="s">
        <v>193</v>
      </c>
      <c r="C1" s="42" t="s">
        <v>776</v>
      </c>
      <c r="D1" s="42" t="s">
        <v>876</v>
      </c>
      <c r="E1" s="127" t="s">
        <v>198</v>
      </c>
      <c r="F1" s="42" t="s">
        <v>16</v>
      </c>
      <c r="G1" s="42" t="s">
        <v>777</v>
      </c>
      <c r="H1" s="42" t="s">
        <v>13</v>
      </c>
      <c r="I1" s="42" t="s">
        <v>13</v>
      </c>
      <c r="J1" s="42" t="s">
        <v>304</v>
      </c>
      <c r="K1" s="42" t="s">
        <v>271</v>
      </c>
      <c r="L1" s="42" t="s">
        <v>334</v>
      </c>
      <c r="M1" s="42" t="s">
        <v>335</v>
      </c>
      <c r="N1" s="42" t="s">
        <v>331</v>
      </c>
      <c r="O1" s="42" t="s">
        <v>336</v>
      </c>
      <c r="P1" s="42" t="s">
        <v>385</v>
      </c>
      <c r="Q1" s="42" t="s">
        <v>332</v>
      </c>
      <c r="R1" s="42" t="s">
        <v>384</v>
      </c>
      <c r="S1" s="42" t="s">
        <v>382</v>
      </c>
      <c r="T1" s="42" t="s">
        <v>333</v>
      </c>
      <c r="U1" s="42" t="s">
        <v>553</v>
      </c>
      <c r="V1" s="42" t="s">
        <v>554</v>
      </c>
      <c r="W1" s="42" t="s">
        <v>601</v>
      </c>
      <c r="X1" s="42" t="s">
        <v>626</v>
      </c>
      <c r="Y1" s="42" t="s">
        <v>881</v>
      </c>
      <c r="Z1" s="42" t="s">
        <v>278</v>
      </c>
      <c r="AA1" s="42" t="s">
        <v>276</v>
      </c>
      <c r="AB1" s="42" t="s">
        <v>279</v>
      </c>
      <c r="AC1" s="42" t="s">
        <v>277</v>
      </c>
      <c r="AD1" s="42" t="s">
        <v>779</v>
      </c>
      <c r="AE1" s="42" t="s">
        <v>12</v>
      </c>
      <c r="AF1" s="42" t="s">
        <v>12</v>
      </c>
      <c r="AG1" s="42" t="s">
        <v>17</v>
      </c>
      <c r="AH1" s="42" t="s">
        <v>17</v>
      </c>
      <c r="AI1" s="42" t="s">
        <v>18</v>
      </c>
      <c r="AJ1" s="42" t="s">
        <v>18</v>
      </c>
      <c r="AK1" s="42" t="s">
        <v>18</v>
      </c>
      <c r="AL1" s="42" t="s">
        <v>19</v>
      </c>
      <c r="AM1" s="42" t="s">
        <v>19</v>
      </c>
      <c r="AN1" s="42" t="s">
        <v>19</v>
      </c>
      <c r="AO1" s="42" t="s">
        <v>816</v>
      </c>
      <c r="AP1" s="42" t="s">
        <v>327</v>
      </c>
      <c r="AQ1" s="42" t="s">
        <v>327</v>
      </c>
      <c r="AR1" s="42" t="s">
        <v>665</v>
      </c>
      <c r="AS1" s="42" t="s">
        <v>20</v>
      </c>
      <c r="AT1" s="42" t="s">
        <v>21</v>
      </c>
      <c r="AU1" s="42" t="s">
        <v>660</v>
      </c>
      <c r="AV1" s="42" t="s">
        <v>667</v>
      </c>
      <c r="AW1" s="42" t="s">
        <v>22</v>
      </c>
      <c r="AX1" s="42" t="s">
        <v>23</v>
      </c>
      <c r="AY1" s="42" t="s">
        <v>818</v>
      </c>
      <c r="AZ1" s="42" t="s">
        <v>339</v>
      </c>
      <c r="BA1" s="42" t="s">
        <v>340</v>
      </c>
      <c r="BB1" s="42" t="s">
        <v>338</v>
      </c>
      <c r="BC1" s="42" t="s">
        <v>341</v>
      </c>
      <c r="BD1" s="42" t="s">
        <v>24</v>
      </c>
      <c r="BE1" s="165" t="s">
        <v>512</v>
      </c>
      <c r="BF1" s="42" t="s">
        <v>587</v>
      </c>
      <c r="BG1" s="42" t="s">
        <v>323</v>
      </c>
      <c r="BH1" s="42" t="s">
        <v>780</v>
      </c>
      <c r="BI1" s="42" t="s">
        <v>783</v>
      </c>
      <c r="BJ1" s="42" t="s">
        <v>783</v>
      </c>
      <c r="BK1" s="42" t="s">
        <v>191</v>
      </c>
      <c r="BL1" s="42" t="s">
        <v>784</v>
      </c>
      <c r="BM1" s="42" t="s">
        <v>251</v>
      </c>
      <c r="BN1" s="42" t="s">
        <v>252</v>
      </c>
      <c r="BO1" s="42" t="s">
        <v>24</v>
      </c>
    </row>
    <row r="2" spans="1:77" s="42" customFormat="1" x14ac:dyDescent="0.3">
      <c r="A2" s="42" t="s">
        <v>663</v>
      </c>
      <c r="B2" s="42" t="s">
        <v>194</v>
      </c>
      <c r="C2" s="42" t="s">
        <v>196</v>
      </c>
      <c r="D2" s="42" t="s">
        <v>197</v>
      </c>
      <c r="E2" s="127" t="s">
        <v>877</v>
      </c>
      <c r="F2" s="42" t="s">
        <v>878</v>
      </c>
      <c r="G2" s="42" t="s">
        <v>778</v>
      </c>
      <c r="H2" s="42" t="s">
        <v>25</v>
      </c>
      <c r="I2" s="42" t="s">
        <v>325</v>
      </c>
      <c r="J2" s="42" t="s">
        <v>305</v>
      </c>
      <c r="K2" s="42" t="s">
        <v>306</v>
      </c>
      <c r="L2" s="42" t="s">
        <v>307</v>
      </c>
      <c r="M2" s="42" t="s">
        <v>307</v>
      </c>
      <c r="N2" s="42" t="s">
        <v>307</v>
      </c>
      <c r="O2" s="42" t="s">
        <v>307</v>
      </c>
      <c r="P2" s="42" t="s">
        <v>307</v>
      </c>
      <c r="Q2" s="42" t="s">
        <v>307</v>
      </c>
      <c r="R2" s="42" t="s">
        <v>307</v>
      </c>
      <c r="S2" s="42" t="s">
        <v>307</v>
      </c>
      <c r="T2" s="42" t="s">
        <v>307</v>
      </c>
      <c r="U2" s="42" t="s">
        <v>879</v>
      </c>
      <c r="V2" s="42" t="s">
        <v>879</v>
      </c>
      <c r="W2" s="42" t="s">
        <v>306</v>
      </c>
      <c r="X2" s="42" t="s">
        <v>627</v>
      </c>
      <c r="Y2" s="42" t="s">
        <v>880</v>
      </c>
      <c r="Z2" s="42" t="s">
        <v>308</v>
      </c>
      <c r="AA2" s="42" t="s">
        <v>308</v>
      </c>
      <c r="AB2" s="42" t="s">
        <v>307</v>
      </c>
      <c r="AC2" s="42" t="s">
        <v>309</v>
      </c>
      <c r="AD2" s="42" t="s">
        <v>308</v>
      </c>
      <c r="AE2" s="42" t="s">
        <v>90</v>
      </c>
      <c r="AF2" s="42" t="s">
        <v>14</v>
      </c>
      <c r="AG2" s="42" t="s">
        <v>817</v>
      </c>
      <c r="AH2" s="42" t="s">
        <v>659</v>
      </c>
      <c r="AI2" s="42" t="s">
        <v>26</v>
      </c>
      <c r="AJ2" s="42" t="s">
        <v>27</v>
      </c>
      <c r="AK2" s="42" t="s">
        <v>15</v>
      </c>
      <c r="AL2" s="42" t="s">
        <v>26</v>
      </c>
      <c r="AM2" s="42" t="s">
        <v>27</v>
      </c>
      <c r="AN2" s="42" t="s">
        <v>15</v>
      </c>
      <c r="AO2" s="42" t="s">
        <v>659</v>
      </c>
      <c r="AP2" s="42" t="s">
        <v>328</v>
      </c>
      <c r="AQ2" s="42" t="s">
        <v>659</v>
      </c>
      <c r="AR2" s="42" t="s">
        <v>666</v>
      </c>
      <c r="AS2" s="42" t="s">
        <v>666</v>
      </c>
      <c r="AT2" s="42" t="s">
        <v>666</v>
      </c>
      <c r="AU2" s="42" t="s">
        <v>659</v>
      </c>
      <c r="AV2" s="42" t="s">
        <v>666</v>
      </c>
      <c r="AW2" s="42" t="s">
        <v>15</v>
      </c>
      <c r="AY2" s="42" t="s">
        <v>275</v>
      </c>
      <c r="AZ2" s="42" t="s">
        <v>185</v>
      </c>
      <c r="BA2" s="42" t="s">
        <v>185</v>
      </c>
      <c r="BB2" s="42" t="s">
        <v>192</v>
      </c>
      <c r="BC2" s="42" t="s">
        <v>192</v>
      </c>
      <c r="BD2" s="42" t="s">
        <v>28</v>
      </c>
      <c r="BE2" s="165" t="s">
        <v>513</v>
      </c>
      <c r="BF2" s="42" t="s">
        <v>307</v>
      </c>
      <c r="BG2" s="42" t="s">
        <v>307</v>
      </c>
      <c r="BH2" s="42" t="s">
        <v>781</v>
      </c>
      <c r="BI2" s="42" t="s">
        <v>890</v>
      </c>
      <c r="BJ2" s="42" t="s">
        <v>785</v>
      </c>
      <c r="BK2" s="42" t="s">
        <v>307</v>
      </c>
      <c r="BL2" s="42" t="s">
        <v>891</v>
      </c>
      <c r="BM2" s="42" t="s">
        <v>273</v>
      </c>
      <c r="BN2" s="42" t="s">
        <v>347</v>
      </c>
      <c r="BO2" s="42" t="s">
        <v>348</v>
      </c>
    </row>
    <row r="3" spans="1:77" x14ac:dyDescent="0.3">
      <c r="A3" s="168" t="s">
        <v>642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AD3" s="20"/>
      <c r="AY3" s="20"/>
      <c r="BF3" s="20"/>
    </row>
    <row r="4" spans="1:77" x14ac:dyDescent="0.3">
      <c r="A4" s="20">
        <v>933</v>
      </c>
      <c r="B4" s="2" t="s">
        <v>189</v>
      </c>
      <c r="C4" s="2">
        <v>2021</v>
      </c>
      <c r="D4" s="2" t="s">
        <v>510</v>
      </c>
      <c r="E4" s="41" t="s">
        <v>804</v>
      </c>
      <c r="F4" s="20" t="s">
        <v>29</v>
      </c>
      <c r="G4" s="2" t="s">
        <v>423</v>
      </c>
      <c r="H4" s="2" t="s">
        <v>5</v>
      </c>
      <c r="I4" s="2" t="s">
        <v>744</v>
      </c>
      <c r="J4" s="2" t="s">
        <v>393</v>
      </c>
      <c r="K4" s="18">
        <v>500</v>
      </c>
      <c r="L4" s="2">
        <v>0.1</v>
      </c>
      <c r="M4" s="2" t="s">
        <v>55</v>
      </c>
      <c r="N4" s="33">
        <v>0</v>
      </c>
      <c r="O4" s="33">
        <v>0</v>
      </c>
      <c r="P4" s="33">
        <v>0</v>
      </c>
      <c r="Q4" s="33">
        <v>0.99999619812049112</v>
      </c>
      <c r="R4" s="33">
        <v>0</v>
      </c>
      <c r="S4" s="33">
        <v>3.8018795088628527E-6</v>
      </c>
      <c r="T4" s="8">
        <v>1</v>
      </c>
      <c r="U4" s="33">
        <v>0</v>
      </c>
      <c r="V4" s="33">
        <v>-0.99999619812049112</v>
      </c>
      <c r="W4" s="33">
        <v>499.00000380187947</v>
      </c>
      <c r="X4" s="33">
        <v>96485</v>
      </c>
      <c r="Y4" s="16">
        <v>-193.35597683474842</v>
      </c>
      <c r="Z4" s="16">
        <v>8</v>
      </c>
      <c r="AA4" s="16">
        <v>17</v>
      </c>
      <c r="AB4" s="8">
        <v>0.29721362229102166</v>
      </c>
      <c r="AC4" s="16">
        <v>64.600000000000009</v>
      </c>
      <c r="AD4" s="2">
        <v>8</v>
      </c>
      <c r="AE4" s="8">
        <v>2.0166155475571776</v>
      </c>
      <c r="AF4" s="15">
        <v>5</v>
      </c>
      <c r="AG4" s="20">
        <v>5.52</v>
      </c>
      <c r="AH4" s="2" t="s">
        <v>190</v>
      </c>
      <c r="AI4" s="16">
        <v>5.5844999999999999E-2</v>
      </c>
      <c r="AJ4" s="2">
        <v>1</v>
      </c>
      <c r="AK4" s="8">
        <v>5.5845000000000001E-3</v>
      </c>
      <c r="AL4" s="16">
        <v>0.29678000000000004</v>
      </c>
      <c r="AM4" s="2">
        <v>11</v>
      </c>
      <c r="AN4" s="8">
        <v>2.9678000000000003E-2</v>
      </c>
      <c r="AO4" s="15" t="s">
        <v>93</v>
      </c>
      <c r="AP4" s="24">
        <v>0.2</v>
      </c>
      <c r="AQ4" s="15" t="s">
        <v>661</v>
      </c>
      <c r="AR4" s="25">
        <v>99</v>
      </c>
      <c r="AS4" s="25">
        <v>0.5</v>
      </c>
      <c r="AT4" s="25">
        <v>0.5</v>
      </c>
      <c r="AU4" s="2" t="s">
        <v>661</v>
      </c>
      <c r="AV4" s="15">
        <v>100</v>
      </c>
      <c r="AW4" s="18">
        <v>0</v>
      </c>
      <c r="AX4" s="13">
        <v>0</v>
      </c>
      <c r="AY4" s="16" t="s">
        <v>511</v>
      </c>
      <c r="AZ4" s="16">
        <v>100</v>
      </c>
      <c r="BA4" s="16" t="s">
        <v>55</v>
      </c>
      <c r="BB4" s="8">
        <v>5</v>
      </c>
      <c r="BC4" s="2">
        <v>500</v>
      </c>
      <c r="BD4" s="25">
        <v>21.453750819670397</v>
      </c>
      <c r="BE4" s="2" t="e">
        <v>#DIV/0!</v>
      </c>
      <c r="BF4" s="13" t="e">
        <v>#DIV/0!</v>
      </c>
      <c r="BG4" s="8">
        <v>1.3315032320862121</v>
      </c>
      <c r="BH4" s="2" t="s">
        <v>782</v>
      </c>
      <c r="BI4" s="2">
        <v>43.3</v>
      </c>
      <c r="BJ4" s="2" t="s">
        <v>349</v>
      </c>
      <c r="BK4" s="2">
        <v>0.7</v>
      </c>
      <c r="BL4" s="24">
        <v>43.3</v>
      </c>
      <c r="BM4" s="16">
        <v>10.39</v>
      </c>
      <c r="BN4" s="16">
        <v>222.90447101637545</v>
      </c>
      <c r="BO4" s="8">
        <v>21.453750819670397</v>
      </c>
      <c r="BQ4" s="8"/>
      <c r="BR4" s="13"/>
      <c r="BS4" s="15"/>
      <c r="BT4" s="16"/>
      <c r="BU4" s="18"/>
      <c r="BV4" s="8"/>
      <c r="BW4" s="8"/>
      <c r="BX4" s="16"/>
      <c r="BY4" s="24"/>
    </row>
    <row r="5" spans="1:77" x14ac:dyDescent="0.3">
      <c r="A5" s="20">
        <v>940</v>
      </c>
      <c r="B5" s="2" t="s">
        <v>189</v>
      </c>
      <c r="C5" s="2">
        <v>2021</v>
      </c>
      <c r="D5" s="2" t="s">
        <v>510</v>
      </c>
      <c r="E5" s="41" t="s">
        <v>804</v>
      </c>
      <c r="F5" s="20" t="s">
        <v>29</v>
      </c>
      <c r="G5" s="2" t="s">
        <v>430</v>
      </c>
      <c r="H5" s="2" t="s">
        <v>5</v>
      </c>
      <c r="I5" s="2" t="s">
        <v>744</v>
      </c>
      <c r="J5" s="2" t="s">
        <v>393</v>
      </c>
      <c r="K5" s="18">
        <v>500</v>
      </c>
      <c r="L5" s="2">
        <v>0.1</v>
      </c>
      <c r="M5" s="2" t="s">
        <v>55</v>
      </c>
      <c r="N5" s="33">
        <v>0</v>
      </c>
      <c r="O5" s="33">
        <v>0</v>
      </c>
      <c r="P5" s="33">
        <v>0</v>
      </c>
      <c r="Q5" s="33">
        <v>0.99999383408800013</v>
      </c>
      <c r="R5" s="33">
        <v>0</v>
      </c>
      <c r="S5" s="33">
        <v>6.1659119999096004E-6</v>
      </c>
      <c r="T5" s="8">
        <v>1</v>
      </c>
      <c r="U5" s="33">
        <v>0</v>
      </c>
      <c r="V5" s="33">
        <v>-0.99999383408800013</v>
      </c>
      <c r="W5" s="33">
        <v>499.000006165912</v>
      </c>
      <c r="X5" s="33">
        <v>96485</v>
      </c>
      <c r="Y5" s="16">
        <v>-193.35551881716952</v>
      </c>
      <c r="Z5" s="16">
        <v>8</v>
      </c>
      <c r="AA5" s="16">
        <v>17</v>
      </c>
      <c r="AB5" s="8">
        <v>0.29721362229102166</v>
      </c>
      <c r="AC5" s="16">
        <v>64.600000000000009</v>
      </c>
      <c r="AD5" s="2">
        <v>8</v>
      </c>
      <c r="AE5" s="8">
        <v>2.0166155475571776</v>
      </c>
      <c r="AF5" s="15">
        <v>5</v>
      </c>
      <c r="AG5" s="20">
        <v>5.31</v>
      </c>
      <c r="AH5" s="2" t="s">
        <v>190</v>
      </c>
      <c r="AI5" s="16">
        <v>5.5844999999999999E-2</v>
      </c>
      <c r="AJ5" s="2">
        <v>1</v>
      </c>
      <c r="AK5" s="8">
        <v>5.5845000000000001E-3</v>
      </c>
      <c r="AL5" s="16">
        <v>0.10792</v>
      </c>
      <c r="AM5" s="2">
        <v>4</v>
      </c>
      <c r="AN5" s="8">
        <v>1.0792E-2</v>
      </c>
      <c r="AO5" s="15" t="s">
        <v>93</v>
      </c>
      <c r="AP5" s="24">
        <v>0.2</v>
      </c>
      <c r="AQ5" s="15" t="s">
        <v>661</v>
      </c>
      <c r="AR5" s="25">
        <v>99</v>
      </c>
      <c r="AS5" s="25">
        <v>0.8</v>
      </c>
      <c r="AT5" s="25">
        <v>0.2</v>
      </c>
      <c r="AU5" s="2" t="s">
        <v>661</v>
      </c>
      <c r="AV5" s="15">
        <v>100</v>
      </c>
      <c r="AW5" s="18">
        <v>0</v>
      </c>
      <c r="AX5" s="13">
        <v>0</v>
      </c>
      <c r="AY5" s="16" t="s">
        <v>511</v>
      </c>
      <c r="AZ5" s="16">
        <v>100</v>
      </c>
      <c r="BA5" s="16" t="s">
        <v>55</v>
      </c>
      <c r="BB5" s="8">
        <v>5</v>
      </c>
      <c r="BC5" s="2">
        <v>500</v>
      </c>
      <c r="BD5" s="25">
        <v>19.228469549718195</v>
      </c>
      <c r="BE5" s="2" t="e">
        <v>#DIV/0!</v>
      </c>
      <c r="BF5" s="13" t="e">
        <v>#DIV/0!</v>
      </c>
      <c r="BG5" s="8">
        <v>1.2839447188425945</v>
      </c>
      <c r="BH5" s="2" t="s">
        <v>782</v>
      </c>
      <c r="BI5" s="2">
        <v>24.3</v>
      </c>
      <c r="BJ5" s="2" t="s">
        <v>349</v>
      </c>
      <c r="BK5" s="2">
        <v>0.9</v>
      </c>
      <c r="BL5" s="24">
        <v>24.3</v>
      </c>
      <c r="BM5" s="16">
        <v>10.39</v>
      </c>
      <c r="BN5" s="16">
        <v>199.78379862157206</v>
      </c>
      <c r="BO5" s="8">
        <v>19.228469549718195</v>
      </c>
      <c r="BQ5" s="8"/>
      <c r="BR5" s="13"/>
      <c r="BS5" s="15"/>
      <c r="BT5" s="16"/>
      <c r="BU5" s="18"/>
      <c r="BV5" s="8"/>
      <c r="BW5" s="8"/>
      <c r="BX5" s="16"/>
      <c r="BY5" s="24"/>
    </row>
    <row r="6" spans="1:77" x14ac:dyDescent="0.3">
      <c r="A6" s="166"/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67"/>
      <c r="AD6" s="20"/>
      <c r="AP6" s="24"/>
      <c r="AR6" s="25"/>
      <c r="AS6" s="25"/>
      <c r="AT6" s="25"/>
      <c r="AY6" s="20"/>
      <c r="BF6" s="20"/>
      <c r="BG6" s="8"/>
    </row>
    <row r="7" spans="1:77" x14ac:dyDescent="0.3">
      <c r="A7" s="166"/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AD7" s="20"/>
      <c r="AP7" s="24"/>
      <c r="AR7" s="25"/>
      <c r="AS7" s="25"/>
      <c r="AT7" s="25"/>
      <c r="AY7" s="20"/>
      <c r="BF7" s="20"/>
    </row>
    <row r="8" spans="1:77" x14ac:dyDescent="0.3">
      <c r="A8" s="168" t="s">
        <v>630</v>
      </c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AD8" s="20"/>
      <c r="AP8" s="24"/>
      <c r="AR8" s="25"/>
      <c r="AS8" s="25"/>
      <c r="AT8" s="25"/>
      <c r="AY8" s="20"/>
      <c r="BF8" s="20"/>
    </row>
    <row r="9" spans="1:77" x14ac:dyDescent="0.3">
      <c r="A9" s="20">
        <v>113</v>
      </c>
      <c r="B9" s="2" t="s">
        <v>204</v>
      </c>
      <c r="C9" s="2">
        <v>2013</v>
      </c>
      <c r="D9" s="2" t="s">
        <v>203</v>
      </c>
      <c r="E9" s="10" t="s">
        <v>792</v>
      </c>
      <c r="F9" s="20" t="s">
        <v>29</v>
      </c>
      <c r="G9" s="2" t="s">
        <v>50</v>
      </c>
      <c r="H9" s="2" t="s">
        <v>0</v>
      </c>
      <c r="I9" s="2" t="s">
        <v>743</v>
      </c>
      <c r="J9" s="2" t="s">
        <v>310</v>
      </c>
      <c r="K9" s="18">
        <v>214</v>
      </c>
      <c r="L9" s="2">
        <v>-0.2</v>
      </c>
      <c r="M9" s="2" t="s">
        <v>55</v>
      </c>
      <c r="N9" s="33">
        <v>0</v>
      </c>
      <c r="O9" s="33">
        <v>0</v>
      </c>
      <c r="P9" s="33">
        <v>0</v>
      </c>
      <c r="Q9" s="33">
        <v>0.99999999000000006</v>
      </c>
      <c r="R9" s="33">
        <v>0</v>
      </c>
      <c r="S9" s="33">
        <v>9.9999999000000002E-9</v>
      </c>
      <c r="T9" s="8">
        <v>1</v>
      </c>
      <c r="U9" s="33">
        <v>0</v>
      </c>
      <c r="V9" s="33">
        <v>-0.99999999000000006</v>
      </c>
      <c r="W9" s="33">
        <v>213.00000001000001</v>
      </c>
      <c r="X9" s="33">
        <v>96485</v>
      </c>
      <c r="Y9" s="16">
        <v>-452.98121610619808</v>
      </c>
      <c r="Z9" s="16">
        <v>4</v>
      </c>
      <c r="AA9" s="16">
        <v>7</v>
      </c>
      <c r="AB9" s="8">
        <v>0.36090225563909772</v>
      </c>
      <c r="AC9" s="16">
        <v>62.149532710280376</v>
      </c>
      <c r="AD9" s="2">
        <v>3</v>
      </c>
      <c r="AE9" s="8">
        <v>6.1376705372367555</v>
      </c>
      <c r="AF9" s="2">
        <v>2.2000000000000002</v>
      </c>
      <c r="AG9" s="20">
        <v>7.8</v>
      </c>
      <c r="AH9" s="2" t="s">
        <v>661</v>
      </c>
      <c r="AI9" s="15">
        <v>6.14</v>
      </c>
      <c r="AJ9" s="16">
        <v>0.61399999999999999</v>
      </c>
      <c r="AK9" s="8">
        <v>0.61399999999999999</v>
      </c>
      <c r="AL9" s="15">
        <v>1.67</v>
      </c>
      <c r="AM9" s="16">
        <v>0.16699999999999998</v>
      </c>
      <c r="AN9" s="8">
        <v>0.16699999999999998</v>
      </c>
      <c r="AO9" s="15" t="s">
        <v>41</v>
      </c>
      <c r="AP9" s="124">
        <v>6.4956666666666676</v>
      </c>
      <c r="AQ9" s="70" t="s">
        <v>752</v>
      </c>
      <c r="AR9" s="25">
        <v>33</v>
      </c>
      <c r="AS9" s="25">
        <v>42</v>
      </c>
      <c r="AT9" s="25">
        <v>25</v>
      </c>
      <c r="AU9" s="16" t="s">
        <v>661</v>
      </c>
      <c r="AV9" s="16">
        <v>100</v>
      </c>
      <c r="AW9" s="18">
        <v>4.5</v>
      </c>
      <c r="AX9" s="13">
        <v>4.4999999999999998E-2</v>
      </c>
      <c r="AY9" s="16" t="s">
        <v>42</v>
      </c>
      <c r="AZ9" s="16">
        <v>375</v>
      </c>
      <c r="BA9" s="16" t="s">
        <v>55</v>
      </c>
      <c r="BB9" s="8">
        <v>0.5</v>
      </c>
      <c r="BC9" s="2">
        <v>1000</v>
      </c>
      <c r="BD9" s="25">
        <v>3.18</v>
      </c>
      <c r="BE9" s="16">
        <v>70.666666666666671</v>
      </c>
      <c r="BF9" s="8">
        <v>1.8492146062090891</v>
      </c>
      <c r="BG9" s="8">
        <v>0.50242711998443268</v>
      </c>
      <c r="BH9" s="16" t="s">
        <v>844</v>
      </c>
      <c r="BI9" s="16"/>
      <c r="BJ9" s="15"/>
      <c r="BK9" s="16"/>
      <c r="BL9" s="18"/>
      <c r="BM9" s="15"/>
      <c r="BN9" s="15"/>
      <c r="BO9" s="8"/>
      <c r="BP9" s="13"/>
      <c r="BQ9" s="15"/>
      <c r="BR9" s="13"/>
      <c r="BS9" s="15"/>
      <c r="BT9" s="15"/>
      <c r="BU9" s="18"/>
      <c r="BV9" s="8"/>
      <c r="BW9" s="8"/>
      <c r="BX9" s="16"/>
      <c r="BY9" s="24"/>
    </row>
    <row r="10" spans="1:77" x14ac:dyDescent="0.3">
      <c r="A10" s="20">
        <v>144</v>
      </c>
      <c r="B10" s="2" t="s">
        <v>706</v>
      </c>
      <c r="C10" s="2">
        <v>2022</v>
      </c>
      <c r="D10" s="2" t="s">
        <v>199</v>
      </c>
      <c r="E10" s="10" t="s">
        <v>796</v>
      </c>
      <c r="F10" s="20" t="s">
        <v>29</v>
      </c>
      <c r="G10" s="2" t="s">
        <v>707</v>
      </c>
      <c r="H10" s="2" t="s">
        <v>8</v>
      </c>
      <c r="I10" s="2" t="s">
        <v>743</v>
      </c>
      <c r="J10" s="2" t="s">
        <v>312</v>
      </c>
      <c r="K10" s="18">
        <v>264</v>
      </c>
      <c r="L10" s="2">
        <v>-0.2</v>
      </c>
      <c r="M10" s="2" t="s">
        <v>55</v>
      </c>
      <c r="N10" s="33">
        <v>0</v>
      </c>
      <c r="O10" s="33">
        <v>0</v>
      </c>
      <c r="P10" s="33">
        <v>0</v>
      </c>
      <c r="Q10" s="33">
        <v>0.99999849893552062</v>
      </c>
      <c r="R10" s="33">
        <v>0</v>
      </c>
      <c r="S10" s="33">
        <v>1.50106447937241E-6</v>
      </c>
      <c r="T10" s="8">
        <v>1</v>
      </c>
      <c r="U10" s="33">
        <v>0</v>
      </c>
      <c r="V10" s="33">
        <v>-0.99999849893552062</v>
      </c>
      <c r="W10" s="33">
        <v>263.0000015010645</v>
      </c>
      <c r="X10" s="33">
        <v>96485</v>
      </c>
      <c r="Y10" s="16">
        <v>-366.86256509167043</v>
      </c>
      <c r="Z10" s="16">
        <v>5</v>
      </c>
      <c r="AA10" s="16">
        <v>9</v>
      </c>
      <c r="AB10" s="8">
        <v>0.35087719298245612</v>
      </c>
      <c r="AC10" s="16">
        <v>64.772727272727266</v>
      </c>
      <c r="AD10" s="2">
        <v>4</v>
      </c>
      <c r="AE10" s="8">
        <v>5.2933625547114458</v>
      </c>
      <c r="AF10" s="2">
        <v>2.9</v>
      </c>
      <c r="AG10" s="124">
        <v>5.6236000000000006</v>
      </c>
      <c r="AH10" s="70" t="s">
        <v>752</v>
      </c>
      <c r="AI10" s="2" t="s">
        <v>661</v>
      </c>
      <c r="AJ10" s="2" t="s">
        <v>661</v>
      </c>
      <c r="AK10" s="2" t="s">
        <v>661</v>
      </c>
      <c r="AL10" s="2" t="s">
        <v>661</v>
      </c>
      <c r="AM10" s="2" t="s">
        <v>661</v>
      </c>
      <c r="AN10" s="2" t="s">
        <v>661</v>
      </c>
      <c r="AO10" s="2" t="s">
        <v>661</v>
      </c>
      <c r="AP10" s="24">
        <v>17.2</v>
      </c>
      <c r="AQ10" s="2" t="s">
        <v>661</v>
      </c>
      <c r="AR10" s="25">
        <v>44.8</v>
      </c>
      <c r="AS10" s="25">
        <v>27</v>
      </c>
      <c r="AT10" s="25">
        <v>28.2</v>
      </c>
      <c r="AU10" s="2" t="s">
        <v>661</v>
      </c>
      <c r="AV10" s="2">
        <v>100</v>
      </c>
      <c r="AW10" s="18">
        <v>4</v>
      </c>
      <c r="AX10" s="13">
        <v>0.04</v>
      </c>
      <c r="AY10" s="16" t="s">
        <v>184</v>
      </c>
      <c r="AZ10" s="16">
        <v>50</v>
      </c>
      <c r="BA10" s="16" t="s">
        <v>55</v>
      </c>
      <c r="BB10" s="8">
        <v>0</v>
      </c>
      <c r="BC10" s="2">
        <v>100</v>
      </c>
      <c r="BD10" s="25">
        <v>35</v>
      </c>
      <c r="BE10" s="16">
        <v>875</v>
      </c>
      <c r="BF10" s="8">
        <v>2.9420080530223132</v>
      </c>
      <c r="BG10" s="8">
        <v>1.5440680443502757</v>
      </c>
      <c r="BH10" s="2" t="s">
        <v>835</v>
      </c>
      <c r="BI10" s="16"/>
      <c r="BL10" s="24"/>
      <c r="BM10" s="16"/>
      <c r="BN10" s="16"/>
      <c r="BO10" s="8"/>
      <c r="BU10" s="20"/>
      <c r="BV10" s="20"/>
    </row>
    <row r="11" spans="1:77" x14ac:dyDescent="0.3">
      <c r="A11" s="20">
        <v>145</v>
      </c>
      <c r="B11" s="2" t="s">
        <v>706</v>
      </c>
      <c r="C11" s="2">
        <v>2022</v>
      </c>
      <c r="D11" s="2" t="s">
        <v>199</v>
      </c>
      <c r="E11" s="10" t="s">
        <v>796</v>
      </c>
      <c r="F11" s="20" t="s">
        <v>29</v>
      </c>
      <c r="G11" s="2" t="s">
        <v>708</v>
      </c>
      <c r="H11" s="2" t="s">
        <v>8</v>
      </c>
      <c r="I11" s="2" t="s">
        <v>743</v>
      </c>
      <c r="J11" s="2" t="s">
        <v>312</v>
      </c>
      <c r="K11" s="18">
        <v>264</v>
      </c>
      <c r="L11" s="2">
        <v>-0.2</v>
      </c>
      <c r="M11" s="2" t="s">
        <v>55</v>
      </c>
      <c r="N11" s="33">
        <v>0</v>
      </c>
      <c r="O11" s="33">
        <v>0</v>
      </c>
      <c r="P11" s="33">
        <v>0</v>
      </c>
      <c r="Q11" s="33">
        <v>0.9999982333959051</v>
      </c>
      <c r="R11" s="33">
        <v>0</v>
      </c>
      <c r="S11" s="33">
        <v>1.7666040948916728E-6</v>
      </c>
      <c r="T11" s="8">
        <v>1</v>
      </c>
      <c r="U11" s="33">
        <v>0</v>
      </c>
      <c r="V11" s="33">
        <v>-0.9999982333959051</v>
      </c>
      <c r="W11" s="33">
        <v>263.0000017666041</v>
      </c>
      <c r="X11" s="33">
        <v>96485</v>
      </c>
      <c r="Y11" s="16">
        <v>-366.86246730457481</v>
      </c>
      <c r="Z11" s="16">
        <v>5</v>
      </c>
      <c r="AA11" s="16">
        <v>9</v>
      </c>
      <c r="AB11" s="8">
        <v>0.35087719298245612</v>
      </c>
      <c r="AC11" s="16">
        <v>64.772727272727266</v>
      </c>
      <c r="AD11" s="2">
        <v>4</v>
      </c>
      <c r="AE11" s="8">
        <v>5.2933625547114458</v>
      </c>
      <c r="AF11" s="2">
        <v>2.9</v>
      </c>
      <c r="AG11" s="124">
        <v>5.5528600000000008</v>
      </c>
      <c r="AH11" s="70" t="s">
        <v>752</v>
      </c>
      <c r="AI11" s="2" t="s">
        <v>661</v>
      </c>
      <c r="AJ11" s="2" t="s">
        <v>661</v>
      </c>
      <c r="AK11" s="2" t="s">
        <v>661</v>
      </c>
      <c r="AL11" s="2" t="s">
        <v>661</v>
      </c>
      <c r="AM11" s="2" t="s">
        <v>661</v>
      </c>
      <c r="AN11" s="2" t="s">
        <v>661</v>
      </c>
      <c r="AO11" s="2" t="s">
        <v>661</v>
      </c>
      <c r="AP11" s="24">
        <v>12.2</v>
      </c>
      <c r="AQ11" s="2" t="s">
        <v>661</v>
      </c>
      <c r="AR11" s="25">
        <v>41.8</v>
      </c>
      <c r="AS11" s="25">
        <v>30</v>
      </c>
      <c r="AT11" s="25">
        <v>28.2</v>
      </c>
      <c r="AU11" s="2" t="s">
        <v>661</v>
      </c>
      <c r="AV11" s="2">
        <v>100</v>
      </c>
      <c r="AW11" s="18">
        <v>2</v>
      </c>
      <c r="AX11" s="13">
        <v>0.02</v>
      </c>
      <c r="AY11" s="16" t="s">
        <v>184</v>
      </c>
      <c r="AZ11" s="16">
        <v>50</v>
      </c>
      <c r="BA11" s="16" t="s">
        <v>55</v>
      </c>
      <c r="BB11" s="8">
        <v>0</v>
      </c>
      <c r="BC11" s="2">
        <v>100</v>
      </c>
      <c r="BD11" s="25">
        <v>26.9</v>
      </c>
      <c r="BE11" s="16">
        <v>1345</v>
      </c>
      <c r="BF11" s="8">
        <v>3.1287222843384268</v>
      </c>
      <c r="BG11" s="8">
        <v>1.4297522800024081</v>
      </c>
      <c r="BH11" s="2" t="s">
        <v>835</v>
      </c>
      <c r="BI11" s="16"/>
      <c r="BL11" s="24"/>
      <c r="BM11" s="16"/>
      <c r="BN11" s="16"/>
      <c r="BO11" s="8"/>
      <c r="BU11" s="20"/>
      <c r="BV11" s="20"/>
    </row>
    <row r="12" spans="1:77" x14ac:dyDescent="0.3">
      <c r="A12" s="20">
        <v>146</v>
      </c>
      <c r="B12" s="2" t="s">
        <v>706</v>
      </c>
      <c r="C12" s="2">
        <v>2022</v>
      </c>
      <c r="D12" s="2" t="s">
        <v>199</v>
      </c>
      <c r="E12" s="10" t="s">
        <v>796</v>
      </c>
      <c r="F12" s="20" t="s">
        <v>29</v>
      </c>
      <c r="G12" s="2" t="s">
        <v>709</v>
      </c>
      <c r="H12" s="2" t="s">
        <v>8</v>
      </c>
      <c r="I12" s="2" t="s">
        <v>743</v>
      </c>
      <c r="J12" s="2" t="s">
        <v>312</v>
      </c>
      <c r="K12" s="18">
        <v>264</v>
      </c>
      <c r="L12" s="2">
        <v>-0.2</v>
      </c>
      <c r="M12" s="2" t="s">
        <v>55</v>
      </c>
      <c r="N12" s="33">
        <v>0</v>
      </c>
      <c r="O12" s="33">
        <v>0</v>
      </c>
      <c r="P12" s="33">
        <v>0</v>
      </c>
      <c r="Q12" s="33">
        <v>0.99999774680374132</v>
      </c>
      <c r="R12" s="33">
        <v>0</v>
      </c>
      <c r="S12" s="33">
        <v>2.2531962587246622E-6</v>
      </c>
      <c r="T12" s="8">
        <v>1</v>
      </c>
      <c r="U12" s="33">
        <v>0</v>
      </c>
      <c r="V12" s="33">
        <v>-0.99999774680374132</v>
      </c>
      <c r="W12" s="33">
        <v>263.00000225319627</v>
      </c>
      <c r="X12" s="33">
        <v>96485</v>
      </c>
      <c r="Y12" s="16">
        <v>-366.8622881131036</v>
      </c>
      <c r="Z12" s="16">
        <v>5</v>
      </c>
      <c r="AA12" s="16">
        <v>9</v>
      </c>
      <c r="AB12" s="8">
        <v>0.35087719298245612</v>
      </c>
      <c r="AC12" s="16">
        <v>64.772727272727266</v>
      </c>
      <c r="AD12" s="2">
        <v>4</v>
      </c>
      <c r="AE12" s="8">
        <v>5.2933625547114458</v>
      </c>
      <c r="AF12" s="2">
        <v>2.9</v>
      </c>
      <c r="AG12" s="124">
        <v>5.4471999999999996</v>
      </c>
      <c r="AH12" s="70" t="s">
        <v>752</v>
      </c>
      <c r="AI12" s="2" t="s">
        <v>661</v>
      </c>
      <c r="AJ12" s="2" t="s">
        <v>661</v>
      </c>
      <c r="AK12" s="2" t="s">
        <v>661</v>
      </c>
      <c r="AL12" s="2" t="s">
        <v>661</v>
      </c>
      <c r="AM12" s="2" t="s">
        <v>661</v>
      </c>
      <c r="AN12" s="2" t="s">
        <v>661</v>
      </c>
      <c r="AO12" s="2" t="s">
        <v>661</v>
      </c>
      <c r="AP12" s="24">
        <v>7.3</v>
      </c>
      <c r="AQ12" s="2" t="s">
        <v>661</v>
      </c>
      <c r="AR12" s="25">
        <v>48.9</v>
      </c>
      <c r="AS12" s="25">
        <v>26.9</v>
      </c>
      <c r="AT12" s="25">
        <v>24.2</v>
      </c>
      <c r="AU12" s="2" t="s">
        <v>661</v>
      </c>
      <c r="AV12" s="2">
        <v>100</v>
      </c>
      <c r="AW12" s="18">
        <v>2.2000000000000002</v>
      </c>
      <c r="AX12" s="13">
        <v>2.2000000000000002E-2</v>
      </c>
      <c r="AY12" s="16" t="s">
        <v>184</v>
      </c>
      <c r="AZ12" s="16">
        <v>50</v>
      </c>
      <c r="BA12" s="16" t="s">
        <v>55</v>
      </c>
      <c r="BB12" s="8">
        <v>0</v>
      </c>
      <c r="BC12" s="2">
        <v>100</v>
      </c>
      <c r="BD12" s="25">
        <v>28.8</v>
      </c>
      <c r="BE12" s="16">
        <v>1309.090909090909</v>
      </c>
      <c r="BF12" s="8">
        <v>3.1169698069370244</v>
      </c>
      <c r="BG12" s="8">
        <v>1.4593924877592308</v>
      </c>
      <c r="BH12" s="2" t="s">
        <v>835</v>
      </c>
      <c r="BI12" s="16"/>
      <c r="BL12" s="24"/>
      <c r="BM12" s="16"/>
      <c r="BN12" s="16"/>
      <c r="BO12" s="8"/>
      <c r="BU12" s="20"/>
      <c r="BV12" s="20"/>
    </row>
    <row r="13" spans="1:77" x14ac:dyDescent="0.3">
      <c r="A13" s="20">
        <v>203</v>
      </c>
      <c r="B13" s="2" t="s">
        <v>706</v>
      </c>
      <c r="C13" s="2">
        <v>2022</v>
      </c>
      <c r="D13" s="2" t="s">
        <v>199</v>
      </c>
      <c r="E13" s="10" t="s">
        <v>796</v>
      </c>
      <c r="F13" s="20" t="s">
        <v>29</v>
      </c>
      <c r="G13" s="2" t="s">
        <v>707</v>
      </c>
      <c r="H13" s="2" t="s">
        <v>9</v>
      </c>
      <c r="I13" s="2" t="s">
        <v>743</v>
      </c>
      <c r="J13" s="2" t="s">
        <v>572</v>
      </c>
      <c r="K13" s="20">
        <v>364</v>
      </c>
      <c r="L13" s="2">
        <v>-0.2</v>
      </c>
      <c r="M13" s="2" t="s">
        <v>55</v>
      </c>
      <c r="N13" s="33">
        <v>0</v>
      </c>
      <c r="O13" s="33">
        <v>0</v>
      </c>
      <c r="P13" s="33">
        <v>0</v>
      </c>
      <c r="Q13" s="33">
        <v>0.99999849893552062</v>
      </c>
      <c r="R13" s="33">
        <v>0</v>
      </c>
      <c r="S13" s="33">
        <v>1.50106447937241E-6</v>
      </c>
      <c r="T13" s="8">
        <v>1</v>
      </c>
      <c r="U13" s="33">
        <v>0</v>
      </c>
      <c r="V13" s="33">
        <v>-0.99999849893552062</v>
      </c>
      <c r="W13" s="33">
        <v>363.00000150106445</v>
      </c>
      <c r="X13" s="33">
        <v>96485</v>
      </c>
      <c r="Y13" s="16">
        <v>-265.79849799122047</v>
      </c>
      <c r="Z13" s="16">
        <v>7</v>
      </c>
      <c r="AA13" s="16">
        <v>13</v>
      </c>
      <c r="AB13" s="8">
        <v>0.34008097165991902</v>
      </c>
      <c r="AC13" s="16">
        <v>67.857142857142861</v>
      </c>
      <c r="AD13" s="2">
        <v>6</v>
      </c>
      <c r="AE13" s="8">
        <v>3.5619357633137811</v>
      </c>
      <c r="AF13" s="15">
        <v>4.3</v>
      </c>
      <c r="AG13" s="124">
        <v>5.6236000000000006</v>
      </c>
      <c r="AH13" s="70" t="s">
        <v>752</v>
      </c>
      <c r="AI13" s="2" t="s">
        <v>661</v>
      </c>
      <c r="AJ13" s="2" t="s">
        <v>661</v>
      </c>
      <c r="AK13" s="2" t="s">
        <v>661</v>
      </c>
      <c r="AL13" s="2" t="s">
        <v>661</v>
      </c>
      <c r="AM13" s="2" t="s">
        <v>661</v>
      </c>
      <c r="AN13" s="2" t="s">
        <v>661</v>
      </c>
      <c r="AO13" s="2" t="s">
        <v>661</v>
      </c>
      <c r="AP13" s="24">
        <v>17.2</v>
      </c>
      <c r="AQ13" s="2" t="s">
        <v>661</v>
      </c>
      <c r="AR13" s="25">
        <v>44.8</v>
      </c>
      <c r="AS13" s="25">
        <v>27</v>
      </c>
      <c r="AT13" s="25">
        <v>28.2</v>
      </c>
      <c r="AU13" s="2" t="s">
        <v>661</v>
      </c>
      <c r="AV13" s="2">
        <v>100</v>
      </c>
      <c r="AW13" s="18">
        <v>4</v>
      </c>
      <c r="AX13" s="13">
        <v>0.04</v>
      </c>
      <c r="AY13" s="16" t="s">
        <v>184</v>
      </c>
      <c r="AZ13" s="16">
        <v>50</v>
      </c>
      <c r="BA13" s="16" t="s">
        <v>55</v>
      </c>
      <c r="BB13" s="8">
        <v>0</v>
      </c>
      <c r="BC13" s="2">
        <v>100</v>
      </c>
      <c r="BD13" s="25">
        <v>53.9</v>
      </c>
      <c r="BE13" s="16">
        <v>1347.5</v>
      </c>
      <c r="BF13" s="8">
        <v>3.1295287738587763</v>
      </c>
      <c r="BG13" s="8">
        <v>1.7315887651867388</v>
      </c>
      <c r="BH13" s="2" t="s">
        <v>819</v>
      </c>
      <c r="BI13" s="16"/>
      <c r="BL13" s="24"/>
      <c r="BM13" s="16"/>
      <c r="BN13" s="16"/>
      <c r="BO13" s="8"/>
      <c r="BU13" s="20"/>
      <c r="BV13" s="20"/>
    </row>
    <row r="14" spans="1:77" x14ac:dyDescent="0.3">
      <c r="A14" s="20">
        <v>204</v>
      </c>
      <c r="B14" s="2" t="s">
        <v>706</v>
      </c>
      <c r="C14" s="2">
        <v>2022</v>
      </c>
      <c r="D14" s="2" t="s">
        <v>199</v>
      </c>
      <c r="E14" s="10" t="s">
        <v>796</v>
      </c>
      <c r="F14" s="20" t="s">
        <v>29</v>
      </c>
      <c r="G14" s="2" t="s">
        <v>708</v>
      </c>
      <c r="H14" s="2" t="s">
        <v>9</v>
      </c>
      <c r="I14" s="2" t="s">
        <v>743</v>
      </c>
      <c r="J14" s="2" t="s">
        <v>572</v>
      </c>
      <c r="K14" s="20">
        <v>364</v>
      </c>
      <c r="L14" s="2">
        <v>-0.2</v>
      </c>
      <c r="M14" s="2" t="s">
        <v>55</v>
      </c>
      <c r="N14" s="33">
        <v>0</v>
      </c>
      <c r="O14" s="33">
        <v>0</v>
      </c>
      <c r="P14" s="33">
        <v>0</v>
      </c>
      <c r="Q14" s="33">
        <v>0.9999982333959051</v>
      </c>
      <c r="R14" s="33">
        <v>0</v>
      </c>
      <c r="S14" s="33">
        <v>1.7666040948916728E-6</v>
      </c>
      <c r="T14" s="8">
        <v>1</v>
      </c>
      <c r="U14" s="33">
        <v>0</v>
      </c>
      <c r="V14" s="33">
        <v>-0.9999982333959051</v>
      </c>
      <c r="W14" s="33">
        <v>363.0000017666041</v>
      </c>
      <c r="X14" s="33">
        <v>96485</v>
      </c>
      <c r="Y14" s="16">
        <v>-265.79842721664824</v>
      </c>
      <c r="Z14" s="16">
        <v>7</v>
      </c>
      <c r="AA14" s="16">
        <v>13</v>
      </c>
      <c r="AB14" s="8">
        <v>0.34008097165991902</v>
      </c>
      <c r="AC14" s="16">
        <v>67.857142857142861</v>
      </c>
      <c r="AD14" s="2">
        <v>6</v>
      </c>
      <c r="AE14" s="8">
        <v>3.5619357633137811</v>
      </c>
      <c r="AF14" s="15">
        <v>4.3</v>
      </c>
      <c r="AG14" s="124">
        <v>5.5528600000000008</v>
      </c>
      <c r="AH14" s="70" t="s">
        <v>752</v>
      </c>
      <c r="AI14" s="2" t="s">
        <v>661</v>
      </c>
      <c r="AJ14" s="2" t="s">
        <v>661</v>
      </c>
      <c r="AK14" s="2" t="s">
        <v>661</v>
      </c>
      <c r="AL14" s="2" t="s">
        <v>661</v>
      </c>
      <c r="AM14" s="2" t="s">
        <v>661</v>
      </c>
      <c r="AN14" s="2" t="s">
        <v>661</v>
      </c>
      <c r="AO14" s="2" t="s">
        <v>661</v>
      </c>
      <c r="AP14" s="24">
        <v>12.2</v>
      </c>
      <c r="AQ14" s="2" t="s">
        <v>661</v>
      </c>
      <c r="AR14" s="25">
        <v>41.8</v>
      </c>
      <c r="AS14" s="25">
        <v>30</v>
      </c>
      <c r="AT14" s="25">
        <v>28.2</v>
      </c>
      <c r="AU14" s="2" t="s">
        <v>661</v>
      </c>
      <c r="AV14" s="2">
        <v>100</v>
      </c>
      <c r="AW14" s="18">
        <v>2</v>
      </c>
      <c r="AX14" s="13">
        <v>0.02</v>
      </c>
      <c r="AY14" s="16" t="s">
        <v>184</v>
      </c>
      <c r="AZ14" s="16">
        <v>50</v>
      </c>
      <c r="BA14" s="16" t="s">
        <v>55</v>
      </c>
      <c r="BB14" s="8">
        <v>0</v>
      </c>
      <c r="BC14" s="2">
        <v>100</v>
      </c>
      <c r="BD14" s="25">
        <v>43</v>
      </c>
      <c r="BE14" s="16">
        <v>2150</v>
      </c>
      <c r="BF14" s="8">
        <v>3.3324384599156054</v>
      </c>
      <c r="BG14" s="8">
        <v>1.6334684555795864</v>
      </c>
      <c r="BH14" s="2" t="s">
        <v>819</v>
      </c>
      <c r="BI14" s="16"/>
      <c r="BL14" s="24"/>
      <c r="BM14" s="16"/>
      <c r="BN14" s="16"/>
      <c r="BO14" s="8"/>
      <c r="BU14" s="20"/>
      <c r="BV14" s="20"/>
    </row>
    <row r="15" spans="1:77" x14ac:dyDescent="0.3">
      <c r="A15" s="20">
        <v>205</v>
      </c>
      <c r="B15" s="2" t="s">
        <v>706</v>
      </c>
      <c r="C15" s="2">
        <v>2022</v>
      </c>
      <c r="D15" s="2" t="s">
        <v>199</v>
      </c>
      <c r="E15" s="10" t="s">
        <v>796</v>
      </c>
      <c r="F15" s="20" t="s">
        <v>29</v>
      </c>
      <c r="G15" s="2" t="s">
        <v>709</v>
      </c>
      <c r="H15" s="2" t="s">
        <v>9</v>
      </c>
      <c r="I15" s="2" t="s">
        <v>743</v>
      </c>
      <c r="J15" s="2" t="s">
        <v>572</v>
      </c>
      <c r="K15" s="20">
        <v>364</v>
      </c>
      <c r="L15" s="2">
        <v>-0.2</v>
      </c>
      <c r="M15" s="2" t="s">
        <v>55</v>
      </c>
      <c r="N15" s="33">
        <v>0</v>
      </c>
      <c r="O15" s="33">
        <v>0</v>
      </c>
      <c r="P15" s="33">
        <v>0</v>
      </c>
      <c r="Q15" s="33">
        <v>0.99999774680374132</v>
      </c>
      <c r="R15" s="33">
        <v>0</v>
      </c>
      <c r="S15" s="33">
        <v>2.2531962587246622E-6</v>
      </c>
      <c r="T15" s="8">
        <v>1</v>
      </c>
      <c r="U15" s="33">
        <v>0</v>
      </c>
      <c r="V15" s="33">
        <v>-0.99999774680374132</v>
      </c>
      <c r="W15" s="33">
        <v>363.00000225319627</v>
      </c>
      <c r="X15" s="33">
        <v>96485</v>
      </c>
      <c r="Y15" s="16">
        <v>-265.79829752469215</v>
      </c>
      <c r="Z15" s="16">
        <v>7</v>
      </c>
      <c r="AA15" s="16">
        <v>13</v>
      </c>
      <c r="AB15" s="8">
        <v>0.34008097165991902</v>
      </c>
      <c r="AC15" s="16">
        <v>67.857142857142861</v>
      </c>
      <c r="AD15" s="2">
        <v>6</v>
      </c>
      <c r="AE15" s="8">
        <v>3.5619357633137811</v>
      </c>
      <c r="AF15" s="15">
        <v>4.3</v>
      </c>
      <c r="AG15" s="124">
        <v>5.4471999999999996</v>
      </c>
      <c r="AH15" s="70" t="s">
        <v>752</v>
      </c>
      <c r="AI15" s="2" t="s">
        <v>661</v>
      </c>
      <c r="AJ15" s="2" t="s">
        <v>661</v>
      </c>
      <c r="AK15" s="2" t="s">
        <v>661</v>
      </c>
      <c r="AL15" s="2" t="s">
        <v>661</v>
      </c>
      <c r="AM15" s="2" t="s">
        <v>661</v>
      </c>
      <c r="AN15" s="2" t="s">
        <v>661</v>
      </c>
      <c r="AO15" s="2" t="s">
        <v>661</v>
      </c>
      <c r="AP15" s="24">
        <v>7.3</v>
      </c>
      <c r="AQ15" s="2" t="s">
        <v>661</v>
      </c>
      <c r="AR15" s="25">
        <v>48.9</v>
      </c>
      <c r="AS15" s="25">
        <v>26.9</v>
      </c>
      <c r="AT15" s="25">
        <v>24.2</v>
      </c>
      <c r="AU15" s="2" t="s">
        <v>661</v>
      </c>
      <c r="AV15" s="2">
        <v>100</v>
      </c>
      <c r="AW15" s="18">
        <v>2.2000000000000002</v>
      </c>
      <c r="AX15" s="13">
        <v>2.2000000000000002E-2</v>
      </c>
      <c r="AY15" s="16" t="s">
        <v>184</v>
      </c>
      <c r="AZ15" s="16">
        <v>50</v>
      </c>
      <c r="BA15" s="16" t="s">
        <v>55</v>
      </c>
      <c r="BB15" s="8">
        <v>0</v>
      </c>
      <c r="BC15" s="2">
        <v>100</v>
      </c>
      <c r="BD15" s="25">
        <v>34.6</v>
      </c>
      <c r="BE15" s="16">
        <v>1572.7272727272727</v>
      </c>
      <c r="BF15" s="8">
        <v>3.1966534179705706</v>
      </c>
      <c r="BG15" s="8">
        <v>1.5390760987927767</v>
      </c>
      <c r="BH15" s="2" t="s">
        <v>819</v>
      </c>
      <c r="BI15" s="16"/>
      <c r="BL15" s="24"/>
      <c r="BM15" s="16"/>
      <c r="BN15" s="16"/>
      <c r="BO15" s="8"/>
      <c r="BU15" s="20"/>
      <c r="BV15" s="20"/>
    </row>
    <row r="16" spans="1:77" x14ac:dyDescent="0.3">
      <c r="A16" s="20">
        <v>478</v>
      </c>
      <c r="B16" s="2" t="s">
        <v>195</v>
      </c>
      <c r="C16" s="2">
        <v>2018</v>
      </c>
      <c r="D16" s="2" t="s">
        <v>199</v>
      </c>
      <c r="E16" s="10" t="s">
        <v>795</v>
      </c>
      <c r="F16" s="20" t="s">
        <v>29</v>
      </c>
      <c r="G16" s="2" t="s">
        <v>47</v>
      </c>
      <c r="H16" s="2" t="s">
        <v>6</v>
      </c>
      <c r="I16" s="2" t="s">
        <v>743</v>
      </c>
      <c r="J16" s="2" t="s">
        <v>599</v>
      </c>
      <c r="K16" s="18">
        <v>464</v>
      </c>
      <c r="L16" s="2">
        <v>-0.2</v>
      </c>
      <c r="M16" s="2" t="s">
        <v>55</v>
      </c>
      <c r="N16" s="33">
        <v>0</v>
      </c>
      <c r="O16" s="33">
        <v>0</v>
      </c>
      <c r="P16" s="33">
        <v>0</v>
      </c>
      <c r="Q16" s="33">
        <v>0.99998004777494953</v>
      </c>
      <c r="R16" s="33">
        <v>0</v>
      </c>
      <c r="S16" s="33">
        <v>1.9952225050461341E-5</v>
      </c>
      <c r="T16" s="8">
        <v>1</v>
      </c>
      <c r="U16" s="33">
        <v>0</v>
      </c>
      <c r="V16" s="33">
        <v>-0.99998004777494953</v>
      </c>
      <c r="W16" s="33">
        <v>463.00001995222505</v>
      </c>
      <c r="X16" s="33">
        <v>96485</v>
      </c>
      <c r="Y16" s="16">
        <v>-208.38676188290808</v>
      </c>
      <c r="Z16" s="16">
        <v>9</v>
      </c>
      <c r="AA16" s="16">
        <v>17</v>
      </c>
      <c r="AB16" s="8">
        <v>0.33436532507739936</v>
      </c>
      <c r="AC16" s="16">
        <v>69.612068965517238</v>
      </c>
      <c r="AD16" s="2">
        <v>8</v>
      </c>
      <c r="AE16" s="8">
        <v>1.7965743332104296</v>
      </c>
      <c r="AF16" s="15">
        <v>5.6</v>
      </c>
      <c r="AG16" s="20">
        <v>4.5</v>
      </c>
      <c r="AH16" s="2" t="s">
        <v>658</v>
      </c>
      <c r="AI16" s="8">
        <v>5.8637250000000002E-2</v>
      </c>
      <c r="AJ16" s="16">
        <v>1.05</v>
      </c>
      <c r="AK16" s="8">
        <v>5.8637250000000002E-3</v>
      </c>
      <c r="AL16" s="15">
        <v>0.18454320000000002</v>
      </c>
      <c r="AM16" s="16">
        <v>6.84</v>
      </c>
      <c r="AN16" s="8">
        <v>1.8454320000000003E-2</v>
      </c>
      <c r="AO16" s="2" t="s">
        <v>48</v>
      </c>
      <c r="AP16" s="124">
        <v>21.496500000000001</v>
      </c>
      <c r="AQ16" s="70" t="s">
        <v>752</v>
      </c>
      <c r="AR16" s="163">
        <v>41.737499999999997</v>
      </c>
      <c r="AS16" s="163">
        <v>35.036999999999999</v>
      </c>
      <c r="AT16" s="163">
        <v>21.971</v>
      </c>
      <c r="AU16" s="70" t="s">
        <v>752</v>
      </c>
      <c r="AV16" s="2">
        <v>98.745499999999993</v>
      </c>
      <c r="AW16" s="18">
        <v>45</v>
      </c>
      <c r="AX16" s="13">
        <v>0.45</v>
      </c>
      <c r="AY16" s="16" t="s">
        <v>49</v>
      </c>
      <c r="AZ16" s="16">
        <v>11.25</v>
      </c>
      <c r="BA16" s="16" t="s">
        <v>55</v>
      </c>
      <c r="BB16" s="8">
        <v>1.25</v>
      </c>
      <c r="BC16" s="2" t="s">
        <v>55</v>
      </c>
      <c r="BD16" s="25">
        <v>357.44770562592697</v>
      </c>
      <c r="BE16" s="16">
        <v>794.32823472428208</v>
      </c>
      <c r="BF16" s="8">
        <v>2.9000000000000004</v>
      </c>
      <c r="BG16" s="8">
        <v>2.5532125137753439</v>
      </c>
      <c r="BH16" s="16" t="s">
        <v>822</v>
      </c>
      <c r="BI16" s="16"/>
      <c r="BJ16" s="8"/>
      <c r="BK16" s="8"/>
      <c r="BL16" s="25"/>
      <c r="BM16" s="15"/>
      <c r="BN16" s="8"/>
      <c r="BO16" s="8"/>
      <c r="BQ16" s="13"/>
      <c r="BR16" s="13"/>
      <c r="BS16" s="13"/>
      <c r="BT16" s="17"/>
      <c r="BU16" s="17"/>
      <c r="BV16" s="13"/>
      <c r="BW16" s="15"/>
    </row>
    <row r="17" spans="1:77" s="130" customFormat="1" x14ac:dyDescent="0.3">
      <c r="A17" s="20">
        <v>493</v>
      </c>
      <c r="B17" s="2" t="s">
        <v>195</v>
      </c>
      <c r="C17" s="2">
        <v>2018</v>
      </c>
      <c r="D17" s="2" t="s">
        <v>199</v>
      </c>
      <c r="E17" s="22" t="s">
        <v>795</v>
      </c>
      <c r="F17" s="20" t="s">
        <v>29</v>
      </c>
      <c r="G17" s="2" t="s">
        <v>47</v>
      </c>
      <c r="H17" s="2" t="s">
        <v>10</v>
      </c>
      <c r="I17" s="2" t="s">
        <v>743</v>
      </c>
      <c r="J17" s="2" t="s">
        <v>579</v>
      </c>
      <c r="K17" s="20">
        <v>514</v>
      </c>
      <c r="L17" s="2">
        <v>-0.2</v>
      </c>
      <c r="M17" s="2" t="s">
        <v>55</v>
      </c>
      <c r="N17" s="33">
        <v>0</v>
      </c>
      <c r="O17" s="33">
        <v>0</v>
      </c>
      <c r="P17" s="33">
        <v>0</v>
      </c>
      <c r="Q17" s="33">
        <v>0.99998004777494953</v>
      </c>
      <c r="R17" s="33">
        <v>0</v>
      </c>
      <c r="S17" s="33">
        <v>1.9952225050461341E-5</v>
      </c>
      <c r="T17" s="8">
        <v>1</v>
      </c>
      <c r="U17" s="33">
        <v>0</v>
      </c>
      <c r="V17" s="33">
        <v>-0.99998004777494953</v>
      </c>
      <c r="W17" s="33">
        <v>513.0000199522251</v>
      </c>
      <c r="X17" s="33">
        <v>96485</v>
      </c>
      <c r="Y17" s="16">
        <v>-188.07616209946994</v>
      </c>
      <c r="Z17" s="16">
        <v>10</v>
      </c>
      <c r="AA17" s="16">
        <v>19</v>
      </c>
      <c r="AB17" s="8">
        <v>0.33240997229916897</v>
      </c>
      <c r="AC17" s="16">
        <v>70.233463035019454</v>
      </c>
      <c r="AD17" s="2">
        <v>9</v>
      </c>
      <c r="AE17" s="8">
        <v>0.90308998699194354</v>
      </c>
      <c r="AF17" s="15">
        <v>6.3</v>
      </c>
      <c r="AG17" s="20">
        <v>4.5</v>
      </c>
      <c r="AH17" s="2" t="s">
        <v>658</v>
      </c>
      <c r="AI17" s="8">
        <v>5.8637250000000002E-2</v>
      </c>
      <c r="AJ17" s="16">
        <v>1.05</v>
      </c>
      <c r="AK17" s="8">
        <v>5.8637250000000002E-3</v>
      </c>
      <c r="AL17" s="15">
        <v>0.18454320000000002</v>
      </c>
      <c r="AM17" s="16">
        <v>6.84</v>
      </c>
      <c r="AN17" s="8">
        <v>1.8454320000000003E-2</v>
      </c>
      <c r="AO17" s="2" t="s">
        <v>48</v>
      </c>
      <c r="AP17" s="124">
        <v>21.496500000000001</v>
      </c>
      <c r="AQ17" s="70" t="s">
        <v>752</v>
      </c>
      <c r="AR17" s="163">
        <v>41.737499999999997</v>
      </c>
      <c r="AS17" s="163">
        <v>35.036999999999999</v>
      </c>
      <c r="AT17" s="163">
        <v>21.971</v>
      </c>
      <c r="AU17" s="70" t="s">
        <v>752</v>
      </c>
      <c r="AV17" s="2">
        <v>98.745499999999993</v>
      </c>
      <c r="AW17" s="18">
        <v>45</v>
      </c>
      <c r="AX17" s="13">
        <v>0.45</v>
      </c>
      <c r="AY17" s="16" t="s">
        <v>49</v>
      </c>
      <c r="AZ17" s="16">
        <v>11.25</v>
      </c>
      <c r="BA17" s="16" t="s">
        <v>55</v>
      </c>
      <c r="BB17" s="8">
        <v>1.25</v>
      </c>
      <c r="BC17" s="2" t="s">
        <v>55</v>
      </c>
      <c r="BD17" s="25">
        <v>11303.488941793137</v>
      </c>
      <c r="BE17" s="16">
        <v>25118.86431509586</v>
      </c>
      <c r="BF17" s="8">
        <v>4.4000000000000012</v>
      </c>
      <c r="BG17" s="8">
        <v>4.0532125137753443</v>
      </c>
      <c r="BH17" s="16" t="s">
        <v>823</v>
      </c>
      <c r="BI17" s="16"/>
      <c r="BJ17" s="16"/>
      <c r="BK17" s="16"/>
      <c r="BL17" s="25"/>
      <c r="BM17" s="16"/>
      <c r="BN17" s="8"/>
      <c r="BO17" s="8"/>
      <c r="BP17" s="2"/>
      <c r="BQ17" s="2"/>
      <c r="BR17" s="2"/>
      <c r="BS17" s="2"/>
      <c r="BT17" s="2"/>
      <c r="BU17" s="20"/>
      <c r="BV17" s="20"/>
      <c r="BW17" s="2"/>
      <c r="BX17" s="2"/>
      <c r="BY17" s="2"/>
    </row>
    <row r="18" spans="1:77" x14ac:dyDescent="0.3">
      <c r="A18" s="20">
        <v>557</v>
      </c>
      <c r="B18" s="2" t="s">
        <v>195</v>
      </c>
      <c r="C18" s="2">
        <v>2022</v>
      </c>
      <c r="D18" s="2" t="s">
        <v>199</v>
      </c>
      <c r="E18" s="22" t="s">
        <v>798</v>
      </c>
      <c r="F18" s="20" t="s">
        <v>29</v>
      </c>
      <c r="G18" s="2" t="s">
        <v>238</v>
      </c>
      <c r="H18" s="2" t="s">
        <v>178</v>
      </c>
      <c r="I18" s="2" t="s">
        <v>743</v>
      </c>
      <c r="J18" s="2" t="s">
        <v>753</v>
      </c>
      <c r="K18" s="20">
        <v>564</v>
      </c>
      <c r="L18" s="2">
        <v>-0.2</v>
      </c>
      <c r="M18" s="2" t="s">
        <v>55</v>
      </c>
      <c r="N18" s="33">
        <v>0</v>
      </c>
      <c r="O18" s="33">
        <v>0</v>
      </c>
      <c r="P18" s="33">
        <v>0</v>
      </c>
      <c r="Q18" s="33">
        <v>0.99994988378839778</v>
      </c>
      <c r="R18" s="33">
        <v>0</v>
      </c>
      <c r="S18" s="33">
        <v>5.0116211602181963E-5</v>
      </c>
      <c r="T18" s="8">
        <v>1</v>
      </c>
      <c r="U18" s="33">
        <v>0</v>
      </c>
      <c r="V18" s="33">
        <v>-0.99994988378839778</v>
      </c>
      <c r="W18" s="33">
        <v>563.00005011621158</v>
      </c>
      <c r="X18" s="33">
        <v>96485</v>
      </c>
      <c r="Y18" s="16">
        <v>-171.36795017586343</v>
      </c>
      <c r="Z18" s="16">
        <v>11</v>
      </c>
      <c r="AA18" s="16">
        <v>21</v>
      </c>
      <c r="AB18" s="8">
        <v>0.33082706766917291</v>
      </c>
      <c r="AC18" s="16">
        <v>70.744680851063833</v>
      </c>
      <c r="AD18" s="2">
        <v>10</v>
      </c>
      <c r="AE18" s="8">
        <v>8.6001717619175692E-3</v>
      </c>
      <c r="AF18" s="15">
        <v>6.9</v>
      </c>
      <c r="AG18" s="20">
        <v>4.0999999999999996</v>
      </c>
      <c r="AH18" s="2" t="s">
        <v>832</v>
      </c>
      <c r="AI18" s="8">
        <v>1.5636599999999998</v>
      </c>
      <c r="AJ18" s="15">
        <v>27.999999999999996</v>
      </c>
      <c r="AK18" s="8">
        <v>0.15636599999999998</v>
      </c>
      <c r="AL18" s="8">
        <v>0.45869399999999994</v>
      </c>
      <c r="AM18" s="15">
        <v>8.2136986301369852</v>
      </c>
      <c r="AN18" s="8">
        <v>4.5869399999999991E-2</v>
      </c>
      <c r="AO18" s="2" t="s">
        <v>86</v>
      </c>
      <c r="AP18" s="124">
        <v>14.715147999999999</v>
      </c>
      <c r="AQ18" s="70" t="s">
        <v>752</v>
      </c>
      <c r="AR18" s="163">
        <v>37.490533331999998</v>
      </c>
      <c r="AS18" s="163">
        <v>37.393866668000001</v>
      </c>
      <c r="AT18" s="163">
        <v>24.9392</v>
      </c>
      <c r="AU18" s="70" t="s">
        <v>752</v>
      </c>
      <c r="AV18" s="13">
        <v>99.823599999999999</v>
      </c>
      <c r="AW18" s="18">
        <v>46.6</v>
      </c>
      <c r="AX18" s="13">
        <v>0.46600000000000003</v>
      </c>
      <c r="AY18" s="16" t="s">
        <v>240</v>
      </c>
      <c r="AZ18" s="16">
        <v>25</v>
      </c>
      <c r="BA18" s="2" t="s">
        <v>55</v>
      </c>
      <c r="BB18" s="8">
        <v>6.7679999999999998</v>
      </c>
      <c r="BC18" s="2" t="s">
        <v>55</v>
      </c>
      <c r="BD18" s="25">
        <v>396.63032580230799</v>
      </c>
      <c r="BE18" s="16">
        <v>851.13803820237763</v>
      </c>
      <c r="BF18" s="8">
        <v>2.9300000000000006</v>
      </c>
      <c r="BG18" s="8">
        <v>2.5983859166900007</v>
      </c>
      <c r="BH18" s="16" t="s">
        <v>824</v>
      </c>
      <c r="BI18" s="16"/>
      <c r="BJ18" s="16"/>
      <c r="BK18" s="16"/>
      <c r="BL18" s="25"/>
      <c r="BM18" s="16"/>
      <c r="BN18" s="8"/>
      <c r="BO18" s="8"/>
      <c r="BU18" s="20"/>
      <c r="BV18" s="20"/>
    </row>
    <row r="19" spans="1:77" x14ac:dyDescent="0.3">
      <c r="A19" s="20">
        <v>558</v>
      </c>
      <c r="B19" s="2" t="s">
        <v>195</v>
      </c>
      <c r="C19" s="2">
        <v>2022</v>
      </c>
      <c r="D19" s="2" t="s">
        <v>199</v>
      </c>
      <c r="E19" s="10" t="s">
        <v>798</v>
      </c>
      <c r="F19" s="20" t="s">
        <v>29</v>
      </c>
      <c r="G19" s="2" t="s">
        <v>239</v>
      </c>
      <c r="H19" s="2" t="s">
        <v>178</v>
      </c>
      <c r="I19" s="2" t="s">
        <v>743</v>
      </c>
      <c r="J19" s="2" t="s">
        <v>753</v>
      </c>
      <c r="K19" s="20">
        <v>564</v>
      </c>
      <c r="L19" s="2">
        <v>-0.2</v>
      </c>
      <c r="M19" s="2" t="s">
        <v>55</v>
      </c>
      <c r="N19" s="33">
        <v>0</v>
      </c>
      <c r="O19" s="33">
        <v>0</v>
      </c>
      <c r="P19" s="33">
        <v>0</v>
      </c>
      <c r="Q19" s="33">
        <v>0.99993690824637249</v>
      </c>
      <c r="R19" s="33">
        <v>0</v>
      </c>
      <c r="S19" s="33">
        <v>6.3091753627486543E-5</v>
      </c>
      <c r="T19" s="8">
        <v>1</v>
      </c>
      <c r="U19" s="33">
        <v>0</v>
      </c>
      <c r="V19" s="33">
        <v>-0.99993690824637249</v>
      </c>
      <c r="W19" s="33">
        <v>563.00006309175365</v>
      </c>
      <c r="X19" s="33">
        <v>96485</v>
      </c>
      <c r="Y19" s="16">
        <v>-171.36572252289042</v>
      </c>
      <c r="Z19" s="16">
        <v>11</v>
      </c>
      <c r="AA19" s="16">
        <v>21</v>
      </c>
      <c r="AB19" s="8">
        <v>0.33082706766917291</v>
      </c>
      <c r="AC19" s="16">
        <v>70.744680851063833</v>
      </c>
      <c r="AD19" s="2">
        <v>10</v>
      </c>
      <c r="AE19" s="8">
        <v>8.6001717619175692E-3</v>
      </c>
      <c r="AF19" s="15">
        <v>6.9</v>
      </c>
      <c r="AG19" s="20">
        <v>4</v>
      </c>
      <c r="AH19" s="2" t="s">
        <v>832</v>
      </c>
      <c r="AI19" s="8">
        <v>0.279225</v>
      </c>
      <c r="AJ19" s="15">
        <v>5.0000000000000009</v>
      </c>
      <c r="AK19" s="8">
        <v>2.7922499999999999E-2</v>
      </c>
      <c r="AL19" s="8">
        <v>0.40473000000000003</v>
      </c>
      <c r="AM19" s="15">
        <v>7.2473811442385179</v>
      </c>
      <c r="AN19" s="8">
        <v>4.0473000000000002E-2</v>
      </c>
      <c r="AO19" s="2" t="s">
        <v>86</v>
      </c>
      <c r="AP19" s="124">
        <v>14.763688</v>
      </c>
      <c r="AQ19" s="70" t="s">
        <v>752</v>
      </c>
      <c r="AR19" s="163">
        <v>37.414333332000012</v>
      </c>
      <c r="AS19" s="163">
        <v>37.430866668</v>
      </c>
      <c r="AT19" s="163">
        <v>24.970400000000001</v>
      </c>
      <c r="AU19" s="70" t="s">
        <v>752</v>
      </c>
      <c r="AV19" s="13">
        <v>99.815600000000003</v>
      </c>
      <c r="AW19" s="18">
        <v>53.6</v>
      </c>
      <c r="AX19" s="13">
        <v>0.53600000000000003</v>
      </c>
      <c r="AY19" s="16" t="s">
        <v>240</v>
      </c>
      <c r="AZ19" s="16">
        <v>25</v>
      </c>
      <c r="BA19" s="2" t="s">
        <v>55</v>
      </c>
      <c r="BB19" s="8">
        <v>6.7679999999999998</v>
      </c>
      <c r="BC19" s="2" t="s">
        <v>55</v>
      </c>
      <c r="BD19" s="25">
        <v>134.63711272891354</v>
      </c>
      <c r="BE19" s="16">
        <v>251.18864315095809</v>
      </c>
      <c r="BF19" s="8">
        <v>2.4</v>
      </c>
      <c r="BG19" s="8">
        <v>2.1291647896927701</v>
      </c>
      <c r="BH19" s="16" t="s">
        <v>824</v>
      </c>
      <c r="BI19" s="16"/>
      <c r="BJ19" s="8"/>
      <c r="BK19" s="8"/>
      <c r="BL19" s="25"/>
      <c r="BM19" s="16"/>
      <c r="BN19" s="8"/>
      <c r="BO19" s="8"/>
      <c r="BQ19" s="16"/>
      <c r="BR19" s="13"/>
      <c r="BS19" s="13"/>
      <c r="BT19" s="8"/>
      <c r="BU19" s="18"/>
      <c r="BV19" s="8"/>
      <c r="BW19" s="8"/>
      <c r="BX19" s="16"/>
      <c r="BY19" s="25"/>
    </row>
    <row r="20" spans="1:77" x14ac:dyDescent="0.3">
      <c r="A20" s="20">
        <v>584</v>
      </c>
      <c r="B20" s="2" t="s">
        <v>195</v>
      </c>
      <c r="C20" s="2">
        <v>2022</v>
      </c>
      <c r="D20" s="2" t="s">
        <v>199</v>
      </c>
      <c r="E20" s="22" t="s">
        <v>798</v>
      </c>
      <c r="F20" s="20" t="s">
        <v>29</v>
      </c>
      <c r="G20" s="2" t="s">
        <v>238</v>
      </c>
      <c r="H20" s="2" t="s">
        <v>7</v>
      </c>
      <c r="I20" s="2" t="s">
        <v>743</v>
      </c>
      <c r="J20" s="2" t="s">
        <v>754</v>
      </c>
      <c r="K20" s="20">
        <v>614</v>
      </c>
      <c r="L20" s="2">
        <v>-0.2</v>
      </c>
      <c r="M20" s="2" t="s">
        <v>55</v>
      </c>
      <c r="N20" s="33">
        <v>0</v>
      </c>
      <c r="O20" s="33">
        <v>0</v>
      </c>
      <c r="P20" s="33">
        <v>0</v>
      </c>
      <c r="Q20" s="33">
        <v>0.99994988378839778</v>
      </c>
      <c r="R20" s="33">
        <v>0</v>
      </c>
      <c r="S20" s="33">
        <v>5.0116211602181963E-5</v>
      </c>
      <c r="T20" s="8">
        <v>1</v>
      </c>
      <c r="U20" s="33">
        <v>0</v>
      </c>
      <c r="V20" s="33">
        <v>-0.99994988378839778</v>
      </c>
      <c r="W20" s="33">
        <v>613.00005011621147</v>
      </c>
      <c r="X20" s="33">
        <v>96485</v>
      </c>
      <c r="Y20" s="16">
        <v>-157.39014135322341</v>
      </c>
      <c r="Z20" s="16">
        <v>12</v>
      </c>
      <c r="AA20" s="16">
        <v>23</v>
      </c>
      <c r="AB20" s="8">
        <v>0.32951945080091533</v>
      </c>
      <c r="AC20" s="16">
        <v>71.172638436482089</v>
      </c>
      <c r="AD20" s="2">
        <v>11</v>
      </c>
      <c r="AE20" s="8">
        <v>-0.88605664769316317</v>
      </c>
      <c r="AF20" s="15">
        <v>7.6</v>
      </c>
      <c r="AG20" s="20">
        <v>4.0999999999999996</v>
      </c>
      <c r="AH20" s="2" t="s">
        <v>832</v>
      </c>
      <c r="AI20" s="8">
        <v>1.5636599999999998</v>
      </c>
      <c r="AJ20" s="15">
        <v>27.999999999999996</v>
      </c>
      <c r="AK20" s="8">
        <v>0.15636599999999998</v>
      </c>
      <c r="AL20" s="8">
        <v>0.45869399999999994</v>
      </c>
      <c r="AM20" s="15">
        <v>8.2136986301369852</v>
      </c>
      <c r="AN20" s="8">
        <v>4.5869399999999991E-2</v>
      </c>
      <c r="AO20" s="2" t="s">
        <v>86</v>
      </c>
      <c r="AP20" s="124">
        <v>14.715147999999999</v>
      </c>
      <c r="AQ20" s="70" t="s">
        <v>752</v>
      </c>
      <c r="AR20" s="163">
        <v>37.490533331999998</v>
      </c>
      <c r="AS20" s="163">
        <v>37.393866668000001</v>
      </c>
      <c r="AT20" s="163">
        <v>24.9392</v>
      </c>
      <c r="AU20" s="70" t="s">
        <v>752</v>
      </c>
      <c r="AV20" s="13">
        <v>99.823599999999999</v>
      </c>
      <c r="AW20" s="18">
        <v>46.6</v>
      </c>
      <c r="AX20" s="13">
        <v>0.46600000000000003</v>
      </c>
      <c r="AY20" s="16" t="s">
        <v>240</v>
      </c>
      <c r="AZ20" s="16">
        <v>25</v>
      </c>
      <c r="BA20" s="16" t="s">
        <v>55</v>
      </c>
      <c r="BB20" s="8">
        <v>4.9119999999999999</v>
      </c>
      <c r="BC20" s="2" t="s">
        <v>55</v>
      </c>
      <c r="BD20" s="25">
        <v>300.87487073014967</v>
      </c>
      <c r="BE20" s="16">
        <v>645.65422903465594</v>
      </c>
      <c r="BF20" s="8">
        <v>2.8100000000000005</v>
      </c>
      <c r="BG20" s="8">
        <v>2.4783859166900006</v>
      </c>
      <c r="BH20" s="16" t="s">
        <v>824</v>
      </c>
      <c r="BI20" s="16"/>
      <c r="BJ20" s="16"/>
      <c r="BK20" s="16"/>
      <c r="BL20" s="25"/>
      <c r="BM20" s="16"/>
      <c r="BN20" s="8"/>
      <c r="BO20" s="8"/>
      <c r="BU20" s="20"/>
      <c r="BV20" s="20"/>
    </row>
    <row r="21" spans="1:77" x14ac:dyDescent="0.3">
      <c r="A21" s="20">
        <v>585</v>
      </c>
      <c r="B21" s="2" t="s">
        <v>195</v>
      </c>
      <c r="C21" s="2">
        <v>2022</v>
      </c>
      <c r="D21" s="2" t="s">
        <v>199</v>
      </c>
      <c r="E21" s="10" t="s">
        <v>798</v>
      </c>
      <c r="F21" s="20" t="s">
        <v>29</v>
      </c>
      <c r="G21" s="2" t="s">
        <v>239</v>
      </c>
      <c r="H21" s="2" t="s">
        <v>7</v>
      </c>
      <c r="I21" s="2" t="s">
        <v>743</v>
      </c>
      <c r="J21" s="2" t="s">
        <v>754</v>
      </c>
      <c r="K21" s="20">
        <v>614</v>
      </c>
      <c r="L21" s="2">
        <v>-0.2</v>
      </c>
      <c r="M21" s="2" t="s">
        <v>55</v>
      </c>
      <c r="N21" s="33">
        <v>0</v>
      </c>
      <c r="O21" s="33">
        <v>0</v>
      </c>
      <c r="P21" s="33">
        <v>0</v>
      </c>
      <c r="Q21" s="33">
        <v>0.99993690824637249</v>
      </c>
      <c r="R21" s="33">
        <v>0</v>
      </c>
      <c r="S21" s="33">
        <v>6.3091753627486543E-5</v>
      </c>
      <c r="T21" s="8">
        <v>1</v>
      </c>
      <c r="U21" s="33">
        <v>0</v>
      </c>
      <c r="V21" s="33">
        <v>-0.99993690824637249</v>
      </c>
      <c r="W21" s="33">
        <v>613.00006309175365</v>
      </c>
      <c r="X21" s="33">
        <v>96485</v>
      </c>
      <c r="Y21" s="16">
        <v>-157.38809569699885</v>
      </c>
      <c r="Z21" s="16">
        <v>12</v>
      </c>
      <c r="AA21" s="16">
        <v>23</v>
      </c>
      <c r="AB21" s="8">
        <v>0.32951945080091533</v>
      </c>
      <c r="AC21" s="16">
        <v>71.172638436482089</v>
      </c>
      <c r="AD21" s="2">
        <v>11</v>
      </c>
      <c r="AE21" s="8">
        <v>-0.88605664769316317</v>
      </c>
      <c r="AF21" s="15">
        <v>7.6</v>
      </c>
      <c r="AG21" s="20">
        <v>4</v>
      </c>
      <c r="AH21" s="2" t="s">
        <v>832</v>
      </c>
      <c r="AI21" s="8">
        <v>0.279225</v>
      </c>
      <c r="AJ21" s="15">
        <v>5.0000000000000009</v>
      </c>
      <c r="AK21" s="8">
        <v>2.7922499999999999E-2</v>
      </c>
      <c r="AL21" s="8">
        <v>0.40473000000000003</v>
      </c>
      <c r="AM21" s="15">
        <v>7.2473811442385179</v>
      </c>
      <c r="AN21" s="8">
        <v>4.0473000000000002E-2</v>
      </c>
      <c r="AO21" s="2" t="s">
        <v>86</v>
      </c>
      <c r="AP21" s="124">
        <v>14.763688</v>
      </c>
      <c r="AQ21" s="70" t="s">
        <v>752</v>
      </c>
      <c r="AR21" s="163">
        <v>37.414333332000012</v>
      </c>
      <c r="AS21" s="163">
        <v>37.430866668</v>
      </c>
      <c r="AT21" s="163">
        <v>24.970400000000001</v>
      </c>
      <c r="AU21" s="70" t="s">
        <v>752</v>
      </c>
      <c r="AV21" s="13">
        <v>99.815600000000003</v>
      </c>
      <c r="AW21" s="18">
        <v>53.6</v>
      </c>
      <c r="AX21" s="13">
        <v>0.53600000000000003</v>
      </c>
      <c r="AY21" s="16" t="s">
        <v>240</v>
      </c>
      <c r="AZ21" s="16">
        <v>25</v>
      </c>
      <c r="BA21" s="16" t="s">
        <v>55</v>
      </c>
      <c r="BB21" s="8">
        <v>4.9119999999999999</v>
      </c>
      <c r="BC21" s="2" t="s">
        <v>55</v>
      </c>
      <c r="BD21" s="25">
        <v>140.98236436559247</v>
      </c>
      <c r="BE21" s="16">
        <v>263.02679918953817</v>
      </c>
      <c r="BF21" s="8">
        <v>2.42</v>
      </c>
      <c r="BG21" s="8">
        <v>2.1491647896927701</v>
      </c>
      <c r="BH21" s="16" t="s">
        <v>824</v>
      </c>
      <c r="BI21" s="16"/>
      <c r="BJ21" s="8"/>
      <c r="BK21" s="8"/>
      <c r="BL21" s="25"/>
      <c r="BM21" s="16"/>
      <c r="BN21" s="8"/>
      <c r="BO21" s="8"/>
      <c r="BQ21" s="16"/>
      <c r="BR21" s="13"/>
      <c r="BS21" s="13"/>
      <c r="BT21" s="8"/>
      <c r="BU21" s="18"/>
      <c r="BV21" s="8"/>
      <c r="BW21" s="8"/>
      <c r="BX21" s="16"/>
      <c r="BY21" s="25"/>
    </row>
    <row r="22" spans="1:77" x14ac:dyDescent="0.3">
      <c r="A22" s="20">
        <v>599</v>
      </c>
      <c r="B22" s="2" t="s">
        <v>195</v>
      </c>
      <c r="C22" s="2">
        <v>2022</v>
      </c>
      <c r="D22" s="2" t="s">
        <v>199</v>
      </c>
      <c r="E22" s="10" t="s">
        <v>798</v>
      </c>
      <c r="F22" s="20" t="s">
        <v>29</v>
      </c>
      <c r="G22" s="2" t="s">
        <v>237</v>
      </c>
      <c r="H22" s="2" t="s">
        <v>179</v>
      </c>
      <c r="I22" s="2" t="s">
        <v>743</v>
      </c>
      <c r="J22" s="2" t="s">
        <v>583</v>
      </c>
      <c r="K22" s="20">
        <v>664</v>
      </c>
      <c r="L22" s="2">
        <v>-0.2</v>
      </c>
      <c r="M22" s="2" t="s">
        <v>55</v>
      </c>
      <c r="N22" s="33">
        <v>0</v>
      </c>
      <c r="O22" s="33">
        <v>0</v>
      </c>
      <c r="P22" s="33">
        <v>0</v>
      </c>
      <c r="Q22" s="33">
        <v>0.99984153579563773</v>
      </c>
      <c r="R22" s="33">
        <v>0</v>
      </c>
      <c r="S22" s="33">
        <v>1.5846420436223696E-4</v>
      </c>
      <c r="T22" s="8">
        <v>1</v>
      </c>
      <c r="U22" s="33">
        <v>0</v>
      </c>
      <c r="V22" s="33">
        <v>-0.99984153579563773</v>
      </c>
      <c r="W22" s="33">
        <v>663.00015846420433</v>
      </c>
      <c r="X22" s="33">
        <v>96485</v>
      </c>
      <c r="Y22" s="16">
        <v>-145.50480772841405</v>
      </c>
      <c r="Z22" s="16">
        <v>13</v>
      </c>
      <c r="AA22" s="16">
        <v>25</v>
      </c>
      <c r="AB22" s="8">
        <v>0.32842105263157895</v>
      </c>
      <c r="AC22" s="16">
        <v>71.536144578313255</v>
      </c>
      <c r="AD22" s="2">
        <v>12</v>
      </c>
      <c r="AE22" s="8">
        <v>-1.7896814801737682</v>
      </c>
      <c r="AF22" s="15">
        <v>8.3000000000000007</v>
      </c>
      <c r="AG22" s="20">
        <v>3.6</v>
      </c>
      <c r="AH22" s="2" t="s">
        <v>832</v>
      </c>
      <c r="AI22" s="8">
        <v>0.37974599999999997</v>
      </c>
      <c r="AJ22" s="15">
        <v>6.8</v>
      </c>
      <c r="AK22" s="8">
        <v>3.7974599999999997E-2</v>
      </c>
      <c r="AL22" s="8">
        <v>0.107928</v>
      </c>
      <c r="AM22" s="15">
        <v>1.932634971796938</v>
      </c>
      <c r="AN22" s="8">
        <v>1.07928E-2</v>
      </c>
      <c r="AO22" s="2" t="s">
        <v>86</v>
      </c>
      <c r="AP22" s="124">
        <v>14.768748</v>
      </c>
      <c r="AQ22" s="70" t="s">
        <v>752</v>
      </c>
      <c r="AR22" s="163">
        <v>37.396533331999997</v>
      </c>
      <c r="AS22" s="163">
        <v>37.430266667999987</v>
      </c>
      <c r="AT22" s="163">
        <v>24.989000000000001</v>
      </c>
      <c r="AU22" s="70" t="s">
        <v>752</v>
      </c>
      <c r="AV22" s="13">
        <v>99.815799999999996</v>
      </c>
      <c r="AW22" s="18">
        <v>44.9</v>
      </c>
      <c r="AX22" s="13">
        <v>0.44900000000000001</v>
      </c>
      <c r="AY22" s="16" t="s">
        <v>240</v>
      </c>
      <c r="AZ22" s="25">
        <v>25</v>
      </c>
      <c r="BA22" s="16" t="s">
        <v>55</v>
      </c>
      <c r="BB22" s="8">
        <v>1.7264000000000002</v>
      </c>
      <c r="BC22" s="2" t="s">
        <v>55</v>
      </c>
      <c r="BD22" s="25">
        <v>539.81673114321882</v>
      </c>
      <c r="BE22" s="16">
        <v>1202.2644346174138</v>
      </c>
      <c r="BF22" s="8">
        <v>3.0800000000000005</v>
      </c>
      <c r="BG22" s="8">
        <v>2.7322463410033233</v>
      </c>
      <c r="BH22" s="16" t="s">
        <v>825</v>
      </c>
      <c r="BI22" s="16"/>
      <c r="BJ22" s="8"/>
      <c r="BK22" s="8"/>
      <c r="BL22" s="25"/>
      <c r="BM22" s="16"/>
      <c r="BN22" s="16"/>
      <c r="BO22" s="8"/>
      <c r="BQ22" s="8"/>
      <c r="BR22" s="18"/>
      <c r="BS22" s="8"/>
      <c r="BT22" s="8"/>
      <c r="BU22" s="16"/>
      <c r="BV22" s="25"/>
    </row>
    <row r="23" spans="1:77" x14ac:dyDescent="0.3">
      <c r="A23" s="20">
        <v>600</v>
      </c>
      <c r="B23" s="2" t="s">
        <v>195</v>
      </c>
      <c r="C23" s="2">
        <v>2022</v>
      </c>
      <c r="D23" s="2" t="s">
        <v>199</v>
      </c>
      <c r="E23" s="22" t="s">
        <v>798</v>
      </c>
      <c r="F23" s="20" t="s">
        <v>29</v>
      </c>
      <c r="G23" s="2" t="s">
        <v>238</v>
      </c>
      <c r="H23" s="2" t="s">
        <v>179</v>
      </c>
      <c r="I23" s="2" t="s">
        <v>743</v>
      </c>
      <c r="J23" s="2" t="s">
        <v>583</v>
      </c>
      <c r="K23" s="20">
        <v>664</v>
      </c>
      <c r="L23" s="2">
        <v>-0.2</v>
      </c>
      <c r="M23" s="2" t="s">
        <v>55</v>
      </c>
      <c r="N23" s="33">
        <v>0</v>
      </c>
      <c r="O23" s="33">
        <v>0</v>
      </c>
      <c r="P23" s="33">
        <v>0</v>
      </c>
      <c r="Q23" s="33">
        <v>0.99994988378839778</v>
      </c>
      <c r="R23" s="33">
        <v>0</v>
      </c>
      <c r="S23" s="33">
        <v>5.0116211602181963E-5</v>
      </c>
      <c r="T23" s="8">
        <v>1</v>
      </c>
      <c r="U23" s="33">
        <v>0</v>
      </c>
      <c r="V23" s="33">
        <v>-0.99994988378839778</v>
      </c>
      <c r="W23" s="33">
        <v>663.00005011621158</v>
      </c>
      <c r="X23" s="33">
        <v>96485</v>
      </c>
      <c r="Y23" s="16">
        <v>-145.52059916196444</v>
      </c>
      <c r="Z23" s="16">
        <v>13</v>
      </c>
      <c r="AA23" s="16">
        <v>25</v>
      </c>
      <c r="AB23" s="8">
        <v>0.32842105263157895</v>
      </c>
      <c r="AC23" s="16">
        <v>71.536144578313255</v>
      </c>
      <c r="AD23" s="2">
        <v>12</v>
      </c>
      <c r="AE23" s="8">
        <v>-1.7896814801737682</v>
      </c>
      <c r="AF23" s="15">
        <v>8.3000000000000007</v>
      </c>
      <c r="AG23" s="20">
        <v>4.0999999999999996</v>
      </c>
      <c r="AH23" s="2" t="s">
        <v>832</v>
      </c>
      <c r="AI23" s="8">
        <v>1.5636599999999998</v>
      </c>
      <c r="AJ23" s="15">
        <v>27.999999999999996</v>
      </c>
      <c r="AK23" s="8">
        <v>0.15636599999999998</v>
      </c>
      <c r="AL23" s="8">
        <v>0.45869399999999994</v>
      </c>
      <c r="AM23" s="15">
        <v>8.2136986301369852</v>
      </c>
      <c r="AN23" s="8">
        <v>4.5869399999999991E-2</v>
      </c>
      <c r="AO23" s="2" t="s">
        <v>86</v>
      </c>
      <c r="AP23" s="124">
        <v>14.715147999999999</v>
      </c>
      <c r="AQ23" s="70" t="s">
        <v>752</v>
      </c>
      <c r="AR23" s="163">
        <v>37.490533331999998</v>
      </c>
      <c r="AS23" s="163">
        <v>37.393866668000001</v>
      </c>
      <c r="AT23" s="163">
        <v>24.9392</v>
      </c>
      <c r="AU23" s="70" t="s">
        <v>752</v>
      </c>
      <c r="AV23" s="13">
        <v>99.823599999999999</v>
      </c>
      <c r="AW23" s="18">
        <v>46.6</v>
      </c>
      <c r="AX23" s="13">
        <v>0.46600000000000003</v>
      </c>
      <c r="AY23" s="16" t="s">
        <v>240</v>
      </c>
      <c r="AZ23" s="16">
        <v>25</v>
      </c>
      <c r="BA23" s="16" t="s">
        <v>55</v>
      </c>
      <c r="BB23" s="8">
        <v>1.7264000000000002</v>
      </c>
      <c r="BC23" s="2" t="s">
        <v>55</v>
      </c>
      <c r="BD23" s="25">
        <v>208.15455394234891</v>
      </c>
      <c r="BE23" s="16">
        <v>446.68359215096331</v>
      </c>
      <c r="BF23" s="8">
        <v>2.6500000000000004</v>
      </c>
      <c r="BG23" s="8">
        <v>2.3183859166900005</v>
      </c>
      <c r="BH23" s="16" t="s">
        <v>826</v>
      </c>
      <c r="BI23" s="16"/>
      <c r="BJ23" s="16"/>
      <c r="BK23" s="16"/>
      <c r="BL23" s="25"/>
      <c r="BM23" s="16"/>
      <c r="BN23" s="16"/>
      <c r="BO23" s="8"/>
      <c r="BQ23" s="13"/>
      <c r="BR23" s="17"/>
      <c r="BS23" s="17"/>
      <c r="BT23" s="13"/>
      <c r="BU23" s="13"/>
    </row>
    <row r="24" spans="1:77" x14ac:dyDescent="0.3">
      <c r="A24" s="20">
        <v>601</v>
      </c>
      <c r="B24" s="2" t="s">
        <v>195</v>
      </c>
      <c r="C24" s="2">
        <v>2022</v>
      </c>
      <c r="D24" s="2" t="s">
        <v>199</v>
      </c>
      <c r="E24" s="10" t="s">
        <v>798</v>
      </c>
      <c r="F24" s="20" t="s">
        <v>29</v>
      </c>
      <c r="G24" s="2" t="s">
        <v>239</v>
      </c>
      <c r="H24" s="2" t="s">
        <v>179</v>
      </c>
      <c r="I24" s="2" t="s">
        <v>743</v>
      </c>
      <c r="J24" s="2" t="s">
        <v>583</v>
      </c>
      <c r="K24" s="20">
        <v>664</v>
      </c>
      <c r="L24" s="2">
        <v>-0.2</v>
      </c>
      <c r="M24" s="2" t="s">
        <v>55</v>
      </c>
      <c r="N24" s="33">
        <v>0</v>
      </c>
      <c r="O24" s="33">
        <v>0</v>
      </c>
      <c r="P24" s="33">
        <v>0</v>
      </c>
      <c r="Q24" s="33">
        <v>0.99993690824637249</v>
      </c>
      <c r="R24" s="33">
        <v>0</v>
      </c>
      <c r="S24" s="33">
        <v>6.3091753627486543E-5</v>
      </c>
      <c r="T24" s="8">
        <v>1</v>
      </c>
      <c r="U24" s="33">
        <v>0</v>
      </c>
      <c r="V24" s="33">
        <v>-0.99993690824637249</v>
      </c>
      <c r="W24" s="33">
        <v>663.00006309175365</v>
      </c>
      <c r="X24" s="33">
        <v>96485</v>
      </c>
      <c r="Y24" s="16">
        <v>-145.51870801074023</v>
      </c>
      <c r="Z24" s="16">
        <v>13</v>
      </c>
      <c r="AA24" s="16">
        <v>25</v>
      </c>
      <c r="AB24" s="8">
        <v>0.32842105263157895</v>
      </c>
      <c r="AC24" s="16">
        <v>71.536144578313255</v>
      </c>
      <c r="AD24" s="2">
        <v>12</v>
      </c>
      <c r="AE24" s="8">
        <v>-1.7896814801737682</v>
      </c>
      <c r="AF24" s="15">
        <v>8.3000000000000007</v>
      </c>
      <c r="AG24" s="20">
        <v>4</v>
      </c>
      <c r="AH24" s="2" t="s">
        <v>832</v>
      </c>
      <c r="AI24" s="8">
        <v>0.279225</v>
      </c>
      <c r="AJ24" s="15">
        <v>5.0000000000000009</v>
      </c>
      <c r="AK24" s="8">
        <v>2.7922499999999999E-2</v>
      </c>
      <c r="AL24" s="8">
        <v>0.40473000000000003</v>
      </c>
      <c r="AM24" s="15">
        <v>7.2473811442385179</v>
      </c>
      <c r="AN24" s="8">
        <v>4.0473000000000002E-2</v>
      </c>
      <c r="AO24" s="2" t="s">
        <v>86</v>
      </c>
      <c r="AP24" s="124">
        <v>14.763688</v>
      </c>
      <c r="AQ24" s="70" t="s">
        <v>752</v>
      </c>
      <c r="AR24" s="163">
        <v>37.414333332000012</v>
      </c>
      <c r="AS24" s="163">
        <v>37.430866668</v>
      </c>
      <c r="AT24" s="163">
        <v>24.970400000000001</v>
      </c>
      <c r="AU24" s="70" t="s">
        <v>752</v>
      </c>
      <c r="AV24" s="13">
        <v>99.815600000000003</v>
      </c>
      <c r="AW24" s="18">
        <v>53.6</v>
      </c>
      <c r="AX24" s="13">
        <v>0.53600000000000003</v>
      </c>
      <c r="AY24" s="16" t="s">
        <v>240</v>
      </c>
      <c r="AZ24" s="16">
        <v>25</v>
      </c>
      <c r="BA24" s="16" t="s">
        <v>55</v>
      </c>
      <c r="BB24" s="8">
        <v>1.7264000000000002</v>
      </c>
      <c r="BC24" s="2" t="s">
        <v>55</v>
      </c>
      <c r="BD24" s="25">
        <v>122.79050618835272</v>
      </c>
      <c r="BE24" s="16">
        <v>229.08676527677744</v>
      </c>
      <c r="BF24" s="8">
        <v>2.3600000000000003</v>
      </c>
      <c r="BG24" s="8">
        <v>2.0891647896927705</v>
      </c>
      <c r="BH24" s="16" t="s">
        <v>826</v>
      </c>
      <c r="BI24" s="16"/>
      <c r="BJ24" s="8"/>
      <c r="BK24" s="8"/>
      <c r="BL24" s="25"/>
      <c r="BM24" s="16"/>
      <c r="BN24" s="16"/>
      <c r="BO24" s="8"/>
      <c r="BP24" s="16"/>
      <c r="BQ24" s="8"/>
      <c r="BR24" s="18"/>
      <c r="BS24" s="8"/>
      <c r="BT24" s="8"/>
      <c r="BU24" s="16"/>
      <c r="BV24" s="25"/>
    </row>
    <row r="25" spans="1:77" x14ac:dyDescent="0.3">
      <c r="A25" s="20">
        <v>771</v>
      </c>
      <c r="B25" s="2" t="s">
        <v>181</v>
      </c>
      <c r="C25" s="2">
        <v>2020</v>
      </c>
      <c r="D25" s="2" t="s">
        <v>203</v>
      </c>
      <c r="E25" s="10" t="s">
        <v>787</v>
      </c>
      <c r="F25" s="20" t="s">
        <v>29</v>
      </c>
      <c r="G25" s="2" t="s">
        <v>61</v>
      </c>
      <c r="H25" s="2" t="s">
        <v>187</v>
      </c>
      <c r="I25" s="2" t="s">
        <v>744</v>
      </c>
      <c r="J25" s="2" t="s">
        <v>755</v>
      </c>
      <c r="K25" s="20">
        <v>450</v>
      </c>
      <c r="L25" s="2">
        <v>0.1</v>
      </c>
      <c r="M25" s="2" t="s">
        <v>55</v>
      </c>
      <c r="N25" s="33">
        <v>0</v>
      </c>
      <c r="O25" s="33">
        <v>0</v>
      </c>
      <c r="P25" s="33">
        <v>0</v>
      </c>
      <c r="Q25" s="33">
        <v>0.99999994988127916</v>
      </c>
      <c r="R25" s="33">
        <v>0</v>
      </c>
      <c r="S25" s="33">
        <v>5.0118720850840682E-8</v>
      </c>
      <c r="T25" s="8">
        <v>1</v>
      </c>
      <c r="U25" s="33">
        <v>0</v>
      </c>
      <c r="V25" s="33">
        <v>-0.99999994988127916</v>
      </c>
      <c r="W25" s="33">
        <v>449.00000005011873</v>
      </c>
      <c r="X25" s="33">
        <v>96485</v>
      </c>
      <c r="Y25" s="16">
        <v>-214.88863063145942</v>
      </c>
      <c r="Z25" s="16">
        <v>7</v>
      </c>
      <c r="AA25" s="16">
        <v>15</v>
      </c>
      <c r="AB25" s="8">
        <v>0.29473684210526313</v>
      </c>
      <c r="AC25" s="16">
        <v>63.333333333333329</v>
      </c>
      <c r="AD25" s="2">
        <v>7</v>
      </c>
      <c r="AE25" s="8">
        <v>2.9063350418050908</v>
      </c>
      <c r="AF25" s="15">
        <v>4.3</v>
      </c>
      <c r="AG25" s="20">
        <v>7.4</v>
      </c>
      <c r="AH25" s="2" t="s">
        <v>183</v>
      </c>
      <c r="AI25" s="2" t="s">
        <v>661</v>
      </c>
      <c r="AJ25" s="2" t="s">
        <v>661</v>
      </c>
      <c r="AK25" s="2" t="s">
        <v>661</v>
      </c>
      <c r="AL25" s="2" t="s">
        <v>661</v>
      </c>
      <c r="AM25" s="2" t="s">
        <v>661</v>
      </c>
      <c r="AN25" s="2" t="s">
        <v>661</v>
      </c>
      <c r="AO25" s="2" t="s">
        <v>661</v>
      </c>
      <c r="AP25" s="24">
        <v>29.6</v>
      </c>
      <c r="AQ25" s="15" t="s">
        <v>661</v>
      </c>
      <c r="AR25" s="25">
        <v>39.799999999999997</v>
      </c>
      <c r="AS25" s="25">
        <v>7.7</v>
      </c>
      <c r="AT25" s="25">
        <v>52.5</v>
      </c>
      <c r="AU25" s="16" t="s">
        <v>661</v>
      </c>
      <c r="AV25" s="2">
        <v>100</v>
      </c>
      <c r="AW25" s="18">
        <v>2.23</v>
      </c>
      <c r="AX25" s="13">
        <v>2.23E-2</v>
      </c>
      <c r="AY25" s="16" t="s">
        <v>184</v>
      </c>
      <c r="AZ25" s="16">
        <v>100</v>
      </c>
      <c r="BA25" s="16" t="s">
        <v>55</v>
      </c>
      <c r="BB25" s="8">
        <v>5</v>
      </c>
      <c r="BC25" s="16" t="s">
        <v>55</v>
      </c>
      <c r="BD25" s="25">
        <v>1.08</v>
      </c>
      <c r="BE25" s="16">
        <v>48.430493273542602</v>
      </c>
      <c r="BF25" s="8">
        <v>1.685118892438789</v>
      </c>
      <c r="BG25" s="8">
        <v>3.342375548694973E-2</v>
      </c>
      <c r="BH25" s="16" t="s">
        <v>345</v>
      </c>
      <c r="BI25" s="16"/>
      <c r="BJ25" s="16"/>
      <c r="BK25" s="16"/>
      <c r="BL25" s="20"/>
      <c r="BM25" s="15"/>
      <c r="BN25" s="15"/>
      <c r="BO25" s="8"/>
      <c r="BP25" s="13"/>
      <c r="BQ25" s="13"/>
      <c r="BR25" s="13"/>
      <c r="BS25" s="13"/>
      <c r="BT25" s="13"/>
      <c r="BU25" s="17"/>
      <c r="BV25" s="17"/>
      <c r="BW25" s="13"/>
      <c r="BX25" s="13"/>
    </row>
    <row r="26" spans="1:77" x14ac:dyDescent="0.3">
      <c r="A26" s="20">
        <v>783</v>
      </c>
      <c r="B26" s="2" t="s">
        <v>224</v>
      </c>
      <c r="C26" s="2">
        <v>2013</v>
      </c>
      <c r="D26" s="2" t="s">
        <v>223</v>
      </c>
      <c r="E26" s="10" t="s">
        <v>222</v>
      </c>
      <c r="F26" s="20" t="s">
        <v>29</v>
      </c>
      <c r="G26" s="2" t="s">
        <v>90</v>
      </c>
      <c r="H26" s="2" t="s">
        <v>5</v>
      </c>
      <c r="I26" s="2" t="s">
        <v>744</v>
      </c>
      <c r="J26" s="2" t="s">
        <v>393</v>
      </c>
      <c r="K26" s="18">
        <v>500</v>
      </c>
      <c r="L26" s="2">
        <v>0.1</v>
      </c>
      <c r="M26" s="2" t="s">
        <v>55</v>
      </c>
      <c r="N26" s="33">
        <v>0</v>
      </c>
      <c r="O26" s="33">
        <v>0</v>
      </c>
      <c r="P26" s="33">
        <v>0</v>
      </c>
      <c r="Q26" s="33">
        <v>0.99999788933609435</v>
      </c>
      <c r="R26" s="33">
        <v>0</v>
      </c>
      <c r="S26" s="33">
        <v>2.1106639056048072E-6</v>
      </c>
      <c r="T26" s="8">
        <v>1</v>
      </c>
      <c r="U26" s="33">
        <v>0</v>
      </c>
      <c r="V26" s="33">
        <v>-0.99999788933609435</v>
      </c>
      <c r="W26" s="33">
        <v>499.00000211066384</v>
      </c>
      <c r="X26" s="33">
        <v>96485</v>
      </c>
      <c r="Y26" s="16">
        <v>-193.35630449796173</v>
      </c>
      <c r="Z26" s="16">
        <v>8</v>
      </c>
      <c r="AA26" s="16">
        <v>17</v>
      </c>
      <c r="AB26" s="8">
        <v>0.29721362229102166</v>
      </c>
      <c r="AC26" s="16">
        <v>64.600000000000009</v>
      </c>
      <c r="AD26" s="2">
        <v>8</v>
      </c>
      <c r="AE26" s="8">
        <v>2.0166155475571776</v>
      </c>
      <c r="AF26" s="15">
        <v>5</v>
      </c>
      <c r="AG26" s="124">
        <v>5.7755799999999997</v>
      </c>
      <c r="AH26" s="70" t="s">
        <v>752</v>
      </c>
      <c r="AI26" s="2" t="s">
        <v>661</v>
      </c>
      <c r="AJ26" s="2" t="s">
        <v>661</v>
      </c>
      <c r="AK26" s="2" t="s">
        <v>661</v>
      </c>
      <c r="AL26" s="2" t="s">
        <v>661</v>
      </c>
      <c r="AM26" s="2" t="s">
        <v>661</v>
      </c>
      <c r="AN26" s="2" t="s">
        <v>661</v>
      </c>
      <c r="AO26" s="2" t="s">
        <v>661</v>
      </c>
      <c r="AP26" s="24">
        <v>3.83</v>
      </c>
      <c r="AQ26" s="16" t="s">
        <v>661</v>
      </c>
      <c r="AR26" s="25">
        <v>42</v>
      </c>
      <c r="AS26" s="25">
        <v>37</v>
      </c>
      <c r="AT26" s="25">
        <v>22</v>
      </c>
      <c r="AU26" s="2" t="s">
        <v>661</v>
      </c>
      <c r="AV26" s="2">
        <v>101</v>
      </c>
      <c r="AW26" s="18">
        <v>16</v>
      </c>
      <c r="AX26" s="13">
        <v>0.16</v>
      </c>
      <c r="AY26" s="16" t="s">
        <v>839</v>
      </c>
      <c r="AZ26" s="16">
        <v>100</v>
      </c>
      <c r="BA26" s="16" t="s">
        <v>55</v>
      </c>
      <c r="BB26" s="8">
        <v>5</v>
      </c>
      <c r="BC26" s="2">
        <v>100</v>
      </c>
      <c r="BD26" s="25">
        <v>16.100000000000001</v>
      </c>
      <c r="BE26" s="16">
        <v>100.625</v>
      </c>
      <c r="BF26" s="8">
        <v>2.002705893375925</v>
      </c>
      <c r="BG26" s="8">
        <v>1.2068258760318498</v>
      </c>
      <c r="BH26" s="16" t="s">
        <v>837</v>
      </c>
      <c r="BI26" s="16"/>
      <c r="BJ26" s="16"/>
      <c r="BK26" s="16"/>
      <c r="BL26" s="18"/>
      <c r="BM26" s="16"/>
      <c r="BN26" s="16"/>
      <c r="BO26" s="8"/>
      <c r="BP26" s="13"/>
      <c r="BQ26" s="13"/>
      <c r="BR26" s="13"/>
      <c r="BS26" s="17"/>
      <c r="BT26" s="17"/>
      <c r="BU26" s="13"/>
      <c r="BV26" s="13"/>
    </row>
    <row r="27" spans="1:77" s="130" customFormat="1" x14ac:dyDescent="0.3">
      <c r="A27" s="20">
        <v>883</v>
      </c>
      <c r="B27" s="2" t="s">
        <v>195</v>
      </c>
      <c r="C27" s="2">
        <v>2018</v>
      </c>
      <c r="D27" s="2" t="s">
        <v>199</v>
      </c>
      <c r="E27" s="10" t="s">
        <v>795</v>
      </c>
      <c r="F27" s="20" t="s">
        <v>29</v>
      </c>
      <c r="G27" s="2" t="s">
        <v>47</v>
      </c>
      <c r="H27" s="2" t="s">
        <v>5</v>
      </c>
      <c r="I27" s="2" t="s">
        <v>744</v>
      </c>
      <c r="J27" s="2" t="s">
        <v>393</v>
      </c>
      <c r="K27" s="18">
        <v>500</v>
      </c>
      <c r="L27" s="2">
        <v>0.1</v>
      </c>
      <c r="M27" s="2" t="s">
        <v>55</v>
      </c>
      <c r="N27" s="33">
        <v>0</v>
      </c>
      <c r="O27" s="33">
        <v>0</v>
      </c>
      <c r="P27" s="33">
        <v>0</v>
      </c>
      <c r="Q27" s="33">
        <v>0.99996019086777477</v>
      </c>
      <c r="R27" s="33">
        <v>0</v>
      </c>
      <c r="S27" s="33">
        <v>3.9809132225250393E-5</v>
      </c>
      <c r="T27" s="8">
        <v>1</v>
      </c>
      <c r="U27" s="33">
        <v>0</v>
      </c>
      <c r="V27" s="33">
        <v>-0.99996019086777477</v>
      </c>
      <c r="W27" s="33">
        <v>499.00003980913226</v>
      </c>
      <c r="X27" s="33">
        <v>96485</v>
      </c>
      <c r="Y27" s="16">
        <v>-193.34900063892044</v>
      </c>
      <c r="Z27" s="16">
        <v>8</v>
      </c>
      <c r="AA27" s="16">
        <v>17</v>
      </c>
      <c r="AB27" s="8">
        <v>0.29721362229102166</v>
      </c>
      <c r="AC27" s="16">
        <v>64.600000000000009</v>
      </c>
      <c r="AD27" s="2">
        <v>8</v>
      </c>
      <c r="AE27" s="8">
        <v>2.0166155475571776</v>
      </c>
      <c r="AF27" s="15">
        <v>5</v>
      </c>
      <c r="AG27" s="20">
        <v>4.5</v>
      </c>
      <c r="AH27" s="2" t="s">
        <v>658</v>
      </c>
      <c r="AI27" s="8">
        <v>5.8637250000000002E-2</v>
      </c>
      <c r="AJ27" s="16">
        <v>1.05</v>
      </c>
      <c r="AK27" s="8">
        <v>5.8637250000000002E-3</v>
      </c>
      <c r="AL27" s="15">
        <v>0.18454320000000002</v>
      </c>
      <c r="AM27" s="16">
        <v>6.84</v>
      </c>
      <c r="AN27" s="8">
        <v>1.8454320000000003E-2</v>
      </c>
      <c r="AO27" s="2" t="s">
        <v>48</v>
      </c>
      <c r="AP27" s="24">
        <v>21.496500000000001</v>
      </c>
      <c r="AQ27" s="70" t="s">
        <v>752</v>
      </c>
      <c r="AR27" s="163">
        <v>41.737499999999997</v>
      </c>
      <c r="AS27" s="163">
        <v>35.036999999999999</v>
      </c>
      <c r="AT27" s="163">
        <v>21.971</v>
      </c>
      <c r="AU27" s="70" t="s">
        <v>752</v>
      </c>
      <c r="AV27" s="2">
        <v>98.745499999999993</v>
      </c>
      <c r="AW27" s="18">
        <v>45</v>
      </c>
      <c r="AX27" s="13">
        <v>0.45</v>
      </c>
      <c r="AY27" s="16" t="s">
        <v>49</v>
      </c>
      <c r="AZ27" s="16">
        <v>11.25</v>
      </c>
      <c r="BA27" s="16" t="s">
        <v>55</v>
      </c>
      <c r="BB27" s="8">
        <v>1.25</v>
      </c>
      <c r="BC27" s="2" t="s">
        <v>55</v>
      </c>
      <c r="BD27" s="25">
        <v>14230</v>
      </c>
      <c r="BE27" s="16">
        <v>31622.222222222223</v>
      </c>
      <c r="BF27" s="8">
        <v>4.4999923863089411</v>
      </c>
      <c r="BG27" s="8">
        <v>4.1532049000842841</v>
      </c>
      <c r="BH27" s="16" t="s">
        <v>845</v>
      </c>
      <c r="BI27" s="16"/>
      <c r="BJ27" s="8"/>
      <c r="BK27" s="8"/>
      <c r="BL27" s="25"/>
      <c r="BM27" s="16"/>
      <c r="BN27" s="16"/>
      <c r="BO27" s="8"/>
      <c r="BP27" s="2"/>
      <c r="BQ27" s="2"/>
      <c r="BR27" s="2"/>
      <c r="BS27" s="2"/>
      <c r="BT27" s="2"/>
      <c r="BU27" s="20"/>
      <c r="BV27" s="20"/>
      <c r="BW27" s="2"/>
      <c r="BX27" s="2"/>
      <c r="BY27" s="2"/>
    </row>
    <row r="28" spans="1:77" x14ac:dyDescent="0.3">
      <c r="A28" s="20">
        <v>980</v>
      </c>
      <c r="B28" s="2" t="s">
        <v>189</v>
      </c>
      <c r="C28" s="2">
        <v>2021</v>
      </c>
      <c r="D28" s="2" t="s">
        <v>510</v>
      </c>
      <c r="E28" s="41" t="s">
        <v>804</v>
      </c>
      <c r="F28" s="20" t="s">
        <v>29</v>
      </c>
      <c r="G28" s="2" t="s">
        <v>470</v>
      </c>
      <c r="H28" s="2" t="s">
        <v>5</v>
      </c>
      <c r="I28" s="2" t="s">
        <v>744</v>
      </c>
      <c r="J28" s="2" t="s">
        <v>393</v>
      </c>
      <c r="K28" s="18">
        <v>500</v>
      </c>
      <c r="L28" s="2">
        <v>0.1</v>
      </c>
      <c r="M28" s="2" t="s">
        <v>55</v>
      </c>
      <c r="N28" s="33">
        <v>0</v>
      </c>
      <c r="O28" s="33">
        <v>0</v>
      </c>
      <c r="P28" s="33">
        <v>0</v>
      </c>
      <c r="Q28" s="33">
        <v>0.99990880723294362</v>
      </c>
      <c r="R28" s="33">
        <v>0</v>
      </c>
      <c r="S28" s="33">
        <v>9.11927670563883E-5</v>
      </c>
      <c r="T28" s="8">
        <v>1</v>
      </c>
      <c r="U28" s="33">
        <v>0</v>
      </c>
      <c r="V28" s="33">
        <v>-0.99990880723294362</v>
      </c>
      <c r="W28" s="33">
        <v>499.00009119276706</v>
      </c>
      <c r="X28" s="33">
        <v>96485</v>
      </c>
      <c r="Y28" s="16">
        <v>-193.33904536021652</v>
      </c>
      <c r="Z28" s="16">
        <v>8</v>
      </c>
      <c r="AA28" s="16">
        <v>17</v>
      </c>
      <c r="AB28" s="8">
        <v>0.29721362229102166</v>
      </c>
      <c r="AC28" s="16">
        <v>64.600000000000009</v>
      </c>
      <c r="AD28" s="2">
        <v>8</v>
      </c>
      <c r="AE28" s="8">
        <v>2.0166155475571776</v>
      </c>
      <c r="AF28" s="15">
        <v>5</v>
      </c>
      <c r="AG28" s="18">
        <v>4.1399999999999997</v>
      </c>
      <c r="AH28" s="2" t="s">
        <v>190</v>
      </c>
      <c r="AI28" s="16">
        <v>103.59247499999999</v>
      </c>
      <c r="AJ28" s="2">
        <v>1855</v>
      </c>
      <c r="AK28" s="8">
        <v>10.359247499999999</v>
      </c>
      <c r="AL28" s="16">
        <v>17.402099999999997</v>
      </c>
      <c r="AM28" s="2">
        <v>645</v>
      </c>
      <c r="AN28" s="8">
        <v>1.7402099999999998</v>
      </c>
      <c r="AO28" s="15" t="s">
        <v>93</v>
      </c>
      <c r="AP28" s="24">
        <v>16.5</v>
      </c>
      <c r="AQ28" s="15" t="s">
        <v>661</v>
      </c>
      <c r="AR28" s="25">
        <v>61.4</v>
      </c>
      <c r="AS28" s="25">
        <v>11.7</v>
      </c>
      <c r="AT28" s="25">
        <v>26.9</v>
      </c>
      <c r="AU28" s="2" t="s">
        <v>661</v>
      </c>
      <c r="AV28" s="15">
        <v>100</v>
      </c>
      <c r="AW28" s="18">
        <v>5.2</v>
      </c>
      <c r="AX28" s="13">
        <v>5.2000000000000005E-2</v>
      </c>
      <c r="AY28" s="16" t="s">
        <v>511</v>
      </c>
      <c r="AZ28" s="16">
        <v>100</v>
      </c>
      <c r="BA28" s="16" t="s">
        <v>55</v>
      </c>
      <c r="BB28" s="8">
        <v>5</v>
      </c>
      <c r="BC28" s="2">
        <v>500</v>
      </c>
      <c r="BD28" s="25">
        <v>232.8</v>
      </c>
      <c r="BE28" s="16">
        <v>4476.9230769230771</v>
      </c>
      <c r="BF28" s="8">
        <v>3.6509796323430517</v>
      </c>
      <c r="BG28" s="8">
        <v>2.3669829759778507</v>
      </c>
      <c r="BH28" s="2" t="s">
        <v>782</v>
      </c>
      <c r="BI28" s="2">
        <v>232.8</v>
      </c>
      <c r="BJ28" s="2" t="s">
        <v>349</v>
      </c>
      <c r="BK28" s="2">
        <v>1</v>
      </c>
      <c r="BL28" s="24">
        <v>232.8</v>
      </c>
      <c r="BM28" s="16">
        <v>10.39</v>
      </c>
      <c r="BN28" s="16">
        <v>2418.7920000000004</v>
      </c>
      <c r="BO28" s="8">
        <v>232.8</v>
      </c>
      <c r="BQ28" s="8"/>
      <c r="BR28" s="13"/>
      <c r="BS28" s="15"/>
      <c r="BT28" s="16"/>
      <c r="BU28" s="18"/>
      <c r="BV28" s="8"/>
      <c r="BW28" s="8"/>
      <c r="BX28" s="16"/>
      <c r="BY28" s="24"/>
    </row>
    <row r="29" spans="1:77" x14ac:dyDescent="0.3">
      <c r="A29" s="20">
        <v>1098</v>
      </c>
      <c r="B29" s="2" t="s">
        <v>719</v>
      </c>
      <c r="C29" s="2">
        <v>2019</v>
      </c>
      <c r="D29" s="2" t="s">
        <v>199</v>
      </c>
      <c r="E29" s="10" t="s">
        <v>807</v>
      </c>
      <c r="F29" s="20" t="s">
        <v>29</v>
      </c>
      <c r="G29" s="2" t="s">
        <v>133</v>
      </c>
      <c r="H29" s="2" t="s">
        <v>751</v>
      </c>
      <c r="I29" s="2" t="s">
        <v>746</v>
      </c>
      <c r="J29" s="2" t="s">
        <v>548</v>
      </c>
      <c r="K29" s="20">
        <v>532.5</v>
      </c>
      <c r="L29" s="2">
        <v>0.1</v>
      </c>
      <c r="M29" s="2" t="s">
        <v>55</v>
      </c>
      <c r="N29" s="33">
        <v>0</v>
      </c>
      <c r="O29" s="33">
        <v>0</v>
      </c>
      <c r="P29" s="33">
        <v>0</v>
      </c>
      <c r="Q29" s="33">
        <v>0.99998741090436938</v>
      </c>
      <c r="R29" s="33">
        <v>0</v>
      </c>
      <c r="S29" s="33">
        <v>1.258909563061765E-5</v>
      </c>
      <c r="T29" s="8">
        <v>1</v>
      </c>
      <c r="U29" s="33">
        <v>0</v>
      </c>
      <c r="V29" s="33">
        <v>-0.99998741090436938</v>
      </c>
      <c r="W29" s="33">
        <v>531.5000125890956</v>
      </c>
      <c r="X29" s="33">
        <v>96485</v>
      </c>
      <c r="Y29" s="16">
        <v>-181.53110640789393</v>
      </c>
      <c r="Z29" s="16">
        <v>8</v>
      </c>
      <c r="AA29" s="16">
        <v>16</v>
      </c>
      <c r="AB29" s="8">
        <v>0.31578947368421051</v>
      </c>
      <c r="AC29" s="16">
        <v>57.089201877934272</v>
      </c>
      <c r="AD29" s="2">
        <v>8</v>
      </c>
      <c r="AE29" s="8">
        <v>1.1664301138432827</v>
      </c>
      <c r="AF29" s="2">
        <v>5.3</v>
      </c>
      <c r="AG29" s="20">
        <v>5</v>
      </c>
      <c r="AH29" s="2" t="s">
        <v>661</v>
      </c>
      <c r="AI29" s="16">
        <v>12.834313357129439</v>
      </c>
      <c r="AJ29" s="16">
        <v>229.82027678627341</v>
      </c>
      <c r="AK29" s="8">
        <v>1.2834313357129439</v>
      </c>
      <c r="AL29" s="16">
        <v>0.36516673205178501</v>
      </c>
      <c r="AM29" s="16">
        <v>13.534719497842291</v>
      </c>
      <c r="AN29" s="8">
        <v>3.6516673205178499E-2</v>
      </c>
      <c r="AO29" s="2" t="s">
        <v>661</v>
      </c>
      <c r="AP29" s="24">
        <v>16.899999999999999</v>
      </c>
      <c r="AQ29" s="15" t="s">
        <v>661</v>
      </c>
      <c r="AR29" s="25">
        <v>51</v>
      </c>
      <c r="AS29" s="25">
        <v>29</v>
      </c>
      <c r="AT29" s="25">
        <v>20</v>
      </c>
      <c r="AU29" s="16" t="s">
        <v>661</v>
      </c>
      <c r="AV29" s="2">
        <v>100</v>
      </c>
      <c r="AW29" s="18">
        <v>0.99</v>
      </c>
      <c r="AX29" s="13">
        <v>9.8999999999999991E-3</v>
      </c>
      <c r="AY29" s="16" t="s">
        <v>395</v>
      </c>
      <c r="AZ29" s="16">
        <v>20</v>
      </c>
      <c r="BA29" s="16" t="s">
        <v>55</v>
      </c>
      <c r="BB29" s="8">
        <v>10</v>
      </c>
      <c r="BC29" s="16">
        <v>600</v>
      </c>
      <c r="BD29" s="25">
        <v>681.30000000000007</v>
      </c>
      <c r="BE29" s="16">
        <v>68818.181818181838</v>
      </c>
      <c r="BF29" s="8">
        <v>4.8377031943418478</v>
      </c>
      <c r="BG29" s="8">
        <v>2.8333383889393975</v>
      </c>
      <c r="BH29" s="16" t="s">
        <v>870</v>
      </c>
      <c r="BI29" s="16"/>
      <c r="BJ29" s="16"/>
      <c r="BK29" s="16"/>
      <c r="BL29" s="25"/>
      <c r="BM29" s="16"/>
      <c r="BN29" s="16"/>
      <c r="BO29" s="8"/>
      <c r="BP29" s="13"/>
      <c r="BQ29" s="13"/>
      <c r="BR29" s="13"/>
      <c r="BS29" s="13"/>
      <c r="BT29" s="13"/>
      <c r="BU29" s="17"/>
      <c r="BV29" s="17"/>
      <c r="BW29" s="13"/>
      <c r="BX29" s="13"/>
    </row>
    <row r="30" spans="1:77" s="130" customFormat="1" x14ac:dyDescent="0.3">
      <c r="A30" s="20">
        <v>1196</v>
      </c>
      <c r="B30" s="2" t="s">
        <v>195</v>
      </c>
      <c r="C30" s="2">
        <v>2018</v>
      </c>
      <c r="D30" s="2" t="s">
        <v>199</v>
      </c>
      <c r="E30" s="22" t="s">
        <v>795</v>
      </c>
      <c r="F30" s="20" t="s">
        <v>29</v>
      </c>
      <c r="G30" s="2" t="s">
        <v>47</v>
      </c>
      <c r="H30" s="2" t="s">
        <v>301</v>
      </c>
      <c r="I30" s="2" t="s">
        <v>741</v>
      </c>
      <c r="J30" s="2" t="s">
        <v>302</v>
      </c>
      <c r="K30" s="20">
        <v>499</v>
      </c>
      <c r="L30" s="2">
        <v>6.2</v>
      </c>
      <c r="M30" s="2" t="s">
        <v>55</v>
      </c>
      <c r="N30" s="33">
        <v>0</v>
      </c>
      <c r="O30" s="33">
        <v>0</v>
      </c>
      <c r="P30" s="33">
        <v>0</v>
      </c>
      <c r="Q30" s="33">
        <v>1.9562303872579508E-2</v>
      </c>
      <c r="R30" s="33">
        <v>0</v>
      </c>
      <c r="S30" s="33">
        <v>0.9804376961274206</v>
      </c>
      <c r="T30" s="8">
        <v>1</v>
      </c>
      <c r="U30" s="33">
        <v>0</v>
      </c>
      <c r="V30" s="33">
        <v>-1.9562303872579508E-2</v>
      </c>
      <c r="W30" s="33">
        <v>498.98043769612752</v>
      </c>
      <c r="X30" s="33">
        <v>96485</v>
      </c>
      <c r="Y30" s="16">
        <v>-3.7826510751815832</v>
      </c>
      <c r="Z30" s="16">
        <v>10</v>
      </c>
      <c r="AA30" s="16">
        <v>19</v>
      </c>
      <c r="AB30" s="8">
        <v>0.33240997229916897</v>
      </c>
      <c r="AC30" s="16">
        <v>72.344689378757508</v>
      </c>
      <c r="AD30" s="2">
        <v>9</v>
      </c>
      <c r="AE30" s="8">
        <v>0.90308998699194354</v>
      </c>
      <c r="AF30" s="15">
        <v>6.3</v>
      </c>
      <c r="AG30" s="20">
        <v>4.5</v>
      </c>
      <c r="AH30" s="2" t="s">
        <v>658</v>
      </c>
      <c r="AI30" s="8">
        <v>5.8637250000000002E-2</v>
      </c>
      <c r="AJ30" s="16">
        <v>1.05</v>
      </c>
      <c r="AK30" s="8">
        <v>5.8637250000000002E-3</v>
      </c>
      <c r="AL30" s="15">
        <v>0.18454320000000002</v>
      </c>
      <c r="AM30" s="16">
        <v>6.84</v>
      </c>
      <c r="AN30" s="8">
        <v>1.8454320000000003E-2</v>
      </c>
      <c r="AO30" s="2" t="s">
        <v>48</v>
      </c>
      <c r="AP30" s="24">
        <v>21.496500000000001</v>
      </c>
      <c r="AQ30" s="70" t="s">
        <v>752</v>
      </c>
      <c r="AR30" s="163">
        <v>41.737499999999997</v>
      </c>
      <c r="AS30" s="163">
        <v>35.036999999999999</v>
      </c>
      <c r="AT30" s="163">
        <v>21.971</v>
      </c>
      <c r="AU30" s="70" t="s">
        <v>752</v>
      </c>
      <c r="AV30" s="2">
        <v>98.745499999999993</v>
      </c>
      <c r="AW30" s="18">
        <v>45</v>
      </c>
      <c r="AX30" s="13">
        <v>0.45</v>
      </c>
      <c r="AY30" s="16" t="s">
        <v>49</v>
      </c>
      <c r="AZ30" s="16">
        <v>11.25</v>
      </c>
      <c r="BA30" s="16" t="s">
        <v>55</v>
      </c>
      <c r="BB30" s="8">
        <v>1.25</v>
      </c>
      <c r="BC30" s="2" t="s">
        <v>55</v>
      </c>
      <c r="BD30" s="25">
        <v>45000</v>
      </c>
      <c r="BE30" s="16">
        <v>100000</v>
      </c>
      <c r="BF30" s="8">
        <v>5</v>
      </c>
      <c r="BG30" s="8">
        <v>4.653212513775344</v>
      </c>
      <c r="BH30" s="16" t="s">
        <v>823</v>
      </c>
      <c r="BI30" s="16"/>
      <c r="BJ30" s="16"/>
      <c r="BK30" s="16"/>
      <c r="BL30" s="25"/>
      <c r="BM30" s="16"/>
      <c r="BN30" s="16"/>
      <c r="BO30" s="8"/>
      <c r="BP30" s="2"/>
      <c r="BQ30" s="2"/>
      <c r="BR30" s="2"/>
      <c r="BS30" s="2"/>
      <c r="BT30" s="2"/>
      <c r="BU30" s="20"/>
      <c r="BV30" s="20"/>
      <c r="BW30" s="2"/>
      <c r="BX30" s="2"/>
      <c r="BY30" s="2"/>
    </row>
    <row r="31" spans="1:77" x14ac:dyDescent="0.3">
      <c r="A31" s="20">
        <v>1200</v>
      </c>
      <c r="B31" s="2" t="s">
        <v>690</v>
      </c>
      <c r="C31" s="2">
        <v>2023</v>
      </c>
      <c r="D31" s="2" t="s">
        <v>199</v>
      </c>
      <c r="E31" s="10" t="s">
        <v>803</v>
      </c>
      <c r="F31" s="20" t="s">
        <v>29</v>
      </c>
      <c r="G31" s="2" t="s">
        <v>691</v>
      </c>
      <c r="H31" s="2" t="s">
        <v>301</v>
      </c>
      <c r="I31" s="2" t="s">
        <v>741</v>
      </c>
      <c r="J31" s="2" t="s">
        <v>302</v>
      </c>
      <c r="K31" s="20">
        <v>499</v>
      </c>
      <c r="L31" s="2">
        <v>6.2</v>
      </c>
      <c r="M31" s="2" t="s">
        <v>55</v>
      </c>
      <c r="N31" s="33">
        <v>0</v>
      </c>
      <c r="O31" s="33">
        <v>0</v>
      </c>
      <c r="P31" s="33">
        <v>0</v>
      </c>
      <c r="Q31" s="33">
        <v>0.33386057541687802</v>
      </c>
      <c r="R31" s="33">
        <v>0</v>
      </c>
      <c r="S31" s="33">
        <v>0.66613942458312203</v>
      </c>
      <c r="T31" s="8">
        <v>1</v>
      </c>
      <c r="U31" s="33">
        <v>0</v>
      </c>
      <c r="V31" s="33">
        <v>-0.33386057541687802</v>
      </c>
      <c r="W31" s="33">
        <v>498.66613942458309</v>
      </c>
      <c r="X31" s="33">
        <v>96485</v>
      </c>
      <c r="Y31" s="16">
        <v>-64.597403096725031</v>
      </c>
      <c r="Z31" s="16">
        <v>8</v>
      </c>
      <c r="AA31" s="16">
        <v>17</v>
      </c>
      <c r="AB31" s="8">
        <v>0.29721362229102166</v>
      </c>
      <c r="AC31" s="16">
        <v>64.729458917835672</v>
      </c>
      <c r="AD31" s="2">
        <v>8</v>
      </c>
      <c r="AE31" s="8">
        <v>0.90525604874845123</v>
      </c>
      <c r="AF31" s="2">
        <v>4.8</v>
      </c>
      <c r="AG31" s="20">
        <v>5.9</v>
      </c>
      <c r="AH31" s="2" t="s">
        <v>701</v>
      </c>
      <c r="AI31" s="15">
        <v>10.052100000000001</v>
      </c>
      <c r="AJ31" s="16">
        <v>180</v>
      </c>
      <c r="AK31" s="8">
        <v>1.0052100000000002</v>
      </c>
      <c r="AL31" s="15">
        <v>1.3491</v>
      </c>
      <c r="AM31" s="16">
        <v>50</v>
      </c>
      <c r="AN31" s="8">
        <v>0.13491</v>
      </c>
      <c r="AO31" s="15" t="s">
        <v>705</v>
      </c>
      <c r="AP31" s="24">
        <v>20</v>
      </c>
      <c r="AQ31" s="15" t="s">
        <v>702</v>
      </c>
      <c r="AR31" s="25">
        <v>4.2</v>
      </c>
      <c r="AS31" s="25">
        <v>53</v>
      </c>
      <c r="AT31" s="25">
        <v>43</v>
      </c>
      <c r="AU31" s="2" t="s">
        <v>703</v>
      </c>
      <c r="AV31" s="2">
        <v>100.2</v>
      </c>
      <c r="AW31" s="18">
        <v>3.1</v>
      </c>
      <c r="AX31" s="13">
        <v>3.1E-2</v>
      </c>
      <c r="AY31" s="16" t="s">
        <v>704</v>
      </c>
      <c r="AZ31" s="16">
        <v>10</v>
      </c>
      <c r="BA31" s="16" t="s">
        <v>55</v>
      </c>
      <c r="BB31" s="8" t="s">
        <v>55</v>
      </c>
      <c r="BC31" s="15" t="s">
        <v>55</v>
      </c>
      <c r="BD31" s="25">
        <v>549.54087385762534</v>
      </c>
      <c r="BE31" s="16">
        <v>17727.124963149206</v>
      </c>
      <c r="BF31" s="8">
        <v>4.248638306165728</v>
      </c>
      <c r="BG31" s="8">
        <v>2.74</v>
      </c>
      <c r="BH31" s="16" t="s">
        <v>846</v>
      </c>
      <c r="BI31" s="16"/>
      <c r="BJ31" s="16"/>
      <c r="BK31" s="16"/>
      <c r="BL31" s="24"/>
      <c r="BM31" s="16"/>
      <c r="BN31" s="16"/>
      <c r="BO31" s="8"/>
      <c r="BP31" s="15"/>
      <c r="BQ31" s="8"/>
      <c r="BR31" s="13"/>
      <c r="BS31" s="16"/>
      <c r="BT31" s="16"/>
      <c r="BU31" s="16"/>
      <c r="BV31" s="16"/>
      <c r="BW31" s="18"/>
    </row>
    <row r="32" spans="1:77" x14ac:dyDescent="0.3">
      <c r="AP32" s="24"/>
      <c r="AR32" s="25"/>
      <c r="AS32" s="25"/>
      <c r="AT32" s="25"/>
      <c r="BD32" s="25"/>
    </row>
    <row r="33" spans="1:88" x14ac:dyDescent="0.3">
      <c r="A33" s="167"/>
      <c r="B33" s="167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AD33" s="20"/>
      <c r="AP33" s="24"/>
      <c r="AR33" s="25"/>
      <c r="AS33" s="25"/>
      <c r="AT33" s="25"/>
      <c r="AY33" s="20"/>
      <c r="BF33" s="20"/>
    </row>
    <row r="34" spans="1:88" x14ac:dyDescent="0.3">
      <c r="A34" s="168" t="s">
        <v>631</v>
      </c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AD34" s="20"/>
      <c r="AP34" s="24"/>
      <c r="AR34" s="25"/>
      <c r="AS34" s="25"/>
      <c r="AT34" s="25"/>
      <c r="AY34" s="20"/>
      <c r="BF34" s="20"/>
    </row>
    <row r="35" spans="1:88" s="130" customFormat="1" x14ac:dyDescent="0.3">
      <c r="A35" s="20">
        <v>30</v>
      </c>
      <c r="B35" s="2" t="s">
        <v>294</v>
      </c>
      <c r="C35" s="2">
        <v>2017</v>
      </c>
      <c r="D35" s="2" t="s">
        <v>203</v>
      </c>
      <c r="E35" s="22" t="s">
        <v>789</v>
      </c>
      <c r="F35" s="20" t="s">
        <v>29</v>
      </c>
      <c r="G35" s="2">
        <v>6</v>
      </c>
      <c r="H35" s="2" t="s">
        <v>316</v>
      </c>
      <c r="I35" s="2" t="s">
        <v>749</v>
      </c>
      <c r="J35" s="2" t="s">
        <v>521</v>
      </c>
      <c r="K35" s="20">
        <v>512</v>
      </c>
      <c r="L35" s="2">
        <v>9.3000000000000007</v>
      </c>
      <c r="M35" s="2">
        <v>10.7</v>
      </c>
      <c r="N35" s="33">
        <v>0.99992057323445127</v>
      </c>
      <c r="O35" s="33">
        <v>0</v>
      </c>
      <c r="P35" s="33">
        <v>0</v>
      </c>
      <c r="Q35" s="33">
        <v>2.5116869204948977E-10</v>
      </c>
      <c r="R35" s="33">
        <v>0</v>
      </c>
      <c r="S35" s="33">
        <v>7.9426514380181185E-5</v>
      </c>
      <c r="T35" s="8">
        <v>1</v>
      </c>
      <c r="U35" s="33">
        <v>0.99992057323445127</v>
      </c>
      <c r="V35" s="33">
        <v>-2.5116869204948977E-10</v>
      </c>
      <c r="W35" s="33">
        <v>512.99992057298334</v>
      </c>
      <c r="X35" s="33">
        <v>96485</v>
      </c>
      <c r="Y35" s="16">
        <v>188.06501251800177</v>
      </c>
      <c r="Z35" s="16">
        <v>13</v>
      </c>
      <c r="AA35" s="16">
        <v>13</v>
      </c>
      <c r="AB35" s="8">
        <v>0.63157894736842102</v>
      </c>
      <c r="AC35" s="16">
        <v>48.2421875</v>
      </c>
      <c r="AD35" s="2">
        <v>6</v>
      </c>
      <c r="AE35" s="8">
        <v>3.1189257528257768</v>
      </c>
      <c r="AF35" s="2">
        <v>4.5999999999999996</v>
      </c>
      <c r="AG35" s="20">
        <v>5.2</v>
      </c>
      <c r="AH35" s="2" t="s">
        <v>831</v>
      </c>
      <c r="AI35" s="2" t="s">
        <v>661</v>
      </c>
      <c r="AJ35" s="2" t="s">
        <v>661</v>
      </c>
      <c r="AK35" s="2" t="s">
        <v>661</v>
      </c>
      <c r="AL35" s="2" t="s">
        <v>661</v>
      </c>
      <c r="AM35" s="2" t="s">
        <v>661</v>
      </c>
      <c r="AN35" s="2" t="s">
        <v>661</v>
      </c>
      <c r="AO35" s="2" t="s">
        <v>661</v>
      </c>
      <c r="AP35" s="24">
        <v>16</v>
      </c>
      <c r="AQ35" s="16" t="s">
        <v>712</v>
      </c>
      <c r="AR35" s="25">
        <v>3.6</v>
      </c>
      <c r="AS35" s="25">
        <v>73</v>
      </c>
      <c r="AT35" s="25">
        <v>24</v>
      </c>
      <c r="AU35" s="16" t="s">
        <v>661</v>
      </c>
      <c r="AV35" s="15">
        <v>100.6</v>
      </c>
      <c r="AW35" s="18">
        <v>9.8000000000000004E-2</v>
      </c>
      <c r="AX35" s="13">
        <v>9.7999999999999997E-4</v>
      </c>
      <c r="AY35" s="16" t="s">
        <v>295</v>
      </c>
      <c r="AZ35" s="16">
        <v>100</v>
      </c>
      <c r="BA35" s="16" t="s">
        <v>55</v>
      </c>
      <c r="BB35" s="8">
        <v>0.45056000000000002</v>
      </c>
      <c r="BC35" s="16">
        <v>10.752000000000001</v>
      </c>
      <c r="BD35" s="25">
        <v>840</v>
      </c>
      <c r="BE35" s="16">
        <v>857142.85714285716</v>
      </c>
      <c r="BF35" s="8">
        <v>5.9330532103693869</v>
      </c>
      <c r="BG35" s="8">
        <v>2.9242792860618816</v>
      </c>
      <c r="BH35" s="16" t="s">
        <v>352</v>
      </c>
      <c r="BI35" s="16"/>
      <c r="BJ35" s="15"/>
      <c r="BK35" s="16"/>
      <c r="BL35" s="25"/>
      <c r="BM35" s="16"/>
      <c r="BN35" s="16"/>
      <c r="BO35" s="8"/>
      <c r="BP35" s="13"/>
      <c r="BQ35" s="16"/>
      <c r="BR35" s="13"/>
      <c r="BS35" s="15"/>
      <c r="BT35" s="16"/>
      <c r="BU35" s="18"/>
      <c r="BV35" s="16"/>
      <c r="BW35" s="16"/>
      <c r="BX35" s="16"/>
      <c r="BY35" s="24"/>
    </row>
    <row r="36" spans="1:88" x14ac:dyDescent="0.3">
      <c r="A36" s="20">
        <v>1254</v>
      </c>
      <c r="B36" s="2" t="s">
        <v>358</v>
      </c>
      <c r="C36" s="2">
        <v>2017</v>
      </c>
      <c r="D36" s="2" t="s">
        <v>203</v>
      </c>
      <c r="E36" s="10" t="s">
        <v>359</v>
      </c>
      <c r="F36" s="20" t="s">
        <v>29</v>
      </c>
      <c r="G36" s="2" t="s">
        <v>360</v>
      </c>
      <c r="H36" s="2" t="s">
        <v>533</v>
      </c>
      <c r="I36" s="2" t="s">
        <v>740</v>
      </c>
      <c r="J36" s="2" t="s">
        <v>534</v>
      </c>
      <c r="K36" s="20">
        <v>702</v>
      </c>
      <c r="L36" s="2">
        <v>0.9</v>
      </c>
      <c r="M36" s="2" t="s">
        <v>55</v>
      </c>
      <c r="N36" s="33">
        <v>0</v>
      </c>
      <c r="O36" s="33">
        <v>0</v>
      </c>
      <c r="P36" s="33">
        <v>0</v>
      </c>
      <c r="Q36" s="33">
        <v>0.99994988378839778</v>
      </c>
      <c r="R36" s="33">
        <v>0</v>
      </c>
      <c r="S36" s="33">
        <v>5.0116211602181963E-5</v>
      </c>
      <c r="T36" s="8">
        <v>1</v>
      </c>
      <c r="U36" s="33">
        <v>0</v>
      </c>
      <c r="V36" s="33">
        <v>-0.99994988378839778</v>
      </c>
      <c r="W36" s="33">
        <v>701.00005011621158</v>
      </c>
      <c r="X36" s="33">
        <v>96485</v>
      </c>
      <c r="Y36" s="16">
        <v>-137.63217922927268</v>
      </c>
      <c r="Z36" s="2">
        <v>12</v>
      </c>
      <c r="AA36" s="2">
        <v>26</v>
      </c>
      <c r="AB36" s="8">
        <v>0.291497975708502</v>
      </c>
      <c r="AC36" s="16">
        <v>70.370370370370367</v>
      </c>
      <c r="AD36" s="2">
        <v>12</v>
      </c>
      <c r="AE36" s="8">
        <v>-1.4135252214286034</v>
      </c>
      <c r="AF36" s="2">
        <v>8</v>
      </c>
      <c r="AG36" s="20">
        <v>5.2</v>
      </c>
      <c r="AH36" s="2" t="s">
        <v>363</v>
      </c>
      <c r="AI36" s="2" t="s">
        <v>363</v>
      </c>
      <c r="AJ36" s="2" t="s">
        <v>363</v>
      </c>
      <c r="AK36" s="2" t="s">
        <v>363</v>
      </c>
      <c r="AL36" s="2" t="s">
        <v>363</v>
      </c>
      <c r="AM36" s="2" t="s">
        <v>363</v>
      </c>
      <c r="AN36" s="2" t="s">
        <v>363</v>
      </c>
      <c r="AO36" s="2" t="s">
        <v>363</v>
      </c>
      <c r="AP36" s="24">
        <v>9.6</v>
      </c>
      <c r="AQ36" s="15" t="s">
        <v>363</v>
      </c>
      <c r="AR36" s="25">
        <v>63</v>
      </c>
      <c r="AS36" s="25">
        <v>32</v>
      </c>
      <c r="AT36" s="25">
        <v>5</v>
      </c>
      <c r="AU36" s="16" t="s">
        <v>363</v>
      </c>
      <c r="AV36" s="2">
        <v>100</v>
      </c>
      <c r="AW36" s="18">
        <v>1</v>
      </c>
      <c r="AX36" s="13">
        <v>0.01</v>
      </c>
      <c r="AY36" s="16" t="s">
        <v>364</v>
      </c>
      <c r="AZ36" s="16">
        <v>100</v>
      </c>
      <c r="BA36" s="16" t="s">
        <v>55</v>
      </c>
      <c r="BB36" s="8">
        <v>500</v>
      </c>
      <c r="BC36" s="16">
        <v>50000</v>
      </c>
      <c r="BD36" s="25">
        <v>19.952623149688804</v>
      </c>
      <c r="BE36" s="16">
        <v>1995.2623149688804</v>
      </c>
      <c r="BF36" s="8">
        <v>3.3000000000000003</v>
      </c>
      <c r="BG36" s="8">
        <v>1.3000000000000003</v>
      </c>
      <c r="BH36" s="16" t="s">
        <v>367</v>
      </c>
      <c r="BI36" s="16"/>
      <c r="BJ36" s="16"/>
      <c r="BK36" s="16"/>
      <c r="BL36" s="18"/>
      <c r="BM36" s="16"/>
      <c r="BN36" s="16"/>
      <c r="BO36" s="8"/>
      <c r="BP36" s="15"/>
      <c r="BQ36" s="8"/>
      <c r="BR36" s="13"/>
      <c r="BS36" s="16"/>
      <c r="BT36" s="16"/>
      <c r="BU36" s="16"/>
      <c r="BV36" s="16"/>
      <c r="BW36" s="18"/>
      <c r="BZ36" s="65"/>
      <c r="CA36" s="65"/>
      <c r="CB36" s="66"/>
      <c r="CC36" s="101"/>
      <c r="CD36" s="67"/>
      <c r="CE36" s="67"/>
      <c r="CF36" s="68"/>
      <c r="CG36" s="80"/>
      <c r="CH36" s="102"/>
      <c r="CI36" s="103"/>
      <c r="CJ36" s="104"/>
    </row>
    <row r="37" spans="1:88" x14ac:dyDescent="0.3">
      <c r="A37" s="20">
        <v>1255</v>
      </c>
      <c r="B37" s="2" t="s">
        <v>358</v>
      </c>
      <c r="C37" s="2">
        <v>2017</v>
      </c>
      <c r="D37" s="2" t="s">
        <v>203</v>
      </c>
      <c r="E37" s="10" t="s">
        <v>359</v>
      </c>
      <c r="F37" s="20" t="s">
        <v>29</v>
      </c>
      <c r="G37" s="2" t="s">
        <v>88</v>
      </c>
      <c r="H37" s="2" t="s">
        <v>533</v>
      </c>
      <c r="I37" s="2" t="s">
        <v>740</v>
      </c>
      <c r="J37" s="2" t="s">
        <v>534</v>
      </c>
      <c r="K37" s="20">
        <v>702</v>
      </c>
      <c r="L37" s="2">
        <v>0.9</v>
      </c>
      <c r="M37" s="2" t="s">
        <v>55</v>
      </c>
      <c r="N37" s="33">
        <v>0</v>
      </c>
      <c r="O37" s="33">
        <v>0</v>
      </c>
      <c r="P37" s="33">
        <v>0</v>
      </c>
      <c r="Q37" s="33">
        <v>0.99999800474166611</v>
      </c>
      <c r="R37" s="33">
        <v>0</v>
      </c>
      <c r="S37" s="33">
        <v>1.9952583339051196E-6</v>
      </c>
      <c r="T37" s="8">
        <v>1</v>
      </c>
      <c r="U37" s="33">
        <v>0</v>
      </c>
      <c r="V37" s="33">
        <v>-0.99999800474166611</v>
      </c>
      <c r="W37" s="33">
        <v>701.00000199525834</v>
      </c>
      <c r="X37" s="33">
        <v>96485</v>
      </c>
      <c r="Y37" s="16">
        <v>-137.63881200124774</v>
      </c>
      <c r="Z37" s="2">
        <v>12</v>
      </c>
      <c r="AA37" s="2">
        <v>26</v>
      </c>
      <c r="AB37" s="8">
        <v>0.291497975708502</v>
      </c>
      <c r="AC37" s="16">
        <v>70.370370370370367</v>
      </c>
      <c r="AD37" s="2">
        <v>12</v>
      </c>
      <c r="AE37" s="8">
        <v>-1.4135252214286034</v>
      </c>
      <c r="AF37" s="2">
        <v>8</v>
      </c>
      <c r="AG37" s="20">
        <v>6.6</v>
      </c>
      <c r="AH37" s="2" t="s">
        <v>363</v>
      </c>
      <c r="AI37" s="2" t="s">
        <v>363</v>
      </c>
      <c r="AJ37" s="2" t="s">
        <v>363</v>
      </c>
      <c r="AK37" s="2" t="s">
        <v>363</v>
      </c>
      <c r="AL37" s="2" t="s">
        <v>363</v>
      </c>
      <c r="AM37" s="2" t="s">
        <v>363</v>
      </c>
      <c r="AN37" s="2" t="s">
        <v>363</v>
      </c>
      <c r="AO37" s="2" t="s">
        <v>363</v>
      </c>
      <c r="AP37" s="24">
        <v>33.5</v>
      </c>
      <c r="AQ37" s="15" t="s">
        <v>363</v>
      </c>
      <c r="AR37" s="25">
        <v>25</v>
      </c>
      <c r="AS37" s="25">
        <v>38</v>
      </c>
      <c r="AT37" s="25">
        <v>37</v>
      </c>
      <c r="AU37" s="16" t="s">
        <v>363</v>
      </c>
      <c r="AV37" s="2">
        <v>100</v>
      </c>
      <c r="AW37" s="18">
        <v>1.1000000000000001</v>
      </c>
      <c r="AX37" s="13">
        <v>1.1000000000000001E-2</v>
      </c>
      <c r="AY37" s="16" t="s">
        <v>364</v>
      </c>
      <c r="AZ37" s="16">
        <v>100</v>
      </c>
      <c r="BA37" s="16" t="s">
        <v>55</v>
      </c>
      <c r="BB37" s="8">
        <v>500</v>
      </c>
      <c r="BC37" s="16">
        <v>50000</v>
      </c>
      <c r="BD37" s="25">
        <v>30.902954325135919</v>
      </c>
      <c r="BE37" s="16">
        <v>2809.359484103265</v>
      </c>
      <c r="BF37" s="8">
        <v>3.4486073148417753</v>
      </c>
      <c r="BG37" s="8">
        <v>1.4900000000000002</v>
      </c>
      <c r="BH37" s="16" t="s">
        <v>367</v>
      </c>
      <c r="BI37" s="16"/>
      <c r="BJ37" s="16"/>
      <c r="BK37" s="16"/>
      <c r="BL37" s="18"/>
      <c r="BM37" s="16"/>
      <c r="BN37" s="16"/>
      <c r="BO37" s="8"/>
      <c r="BP37" s="15"/>
      <c r="BQ37" s="8"/>
      <c r="BR37" s="13"/>
      <c r="BS37" s="16"/>
      <c r="BT37" s="16"/>
      <c r="BU37" s="16"/>
      <c r="BV37" s="16"/>
      <c r="BW37" s="18"/>
      <c r="BZ37" s="65"/>
      <c r="CA37" s="65"/>
      <c r="CB37" s="66"/>
      <c r="CC37" s="101"/>
      <c r="CD37" s="67"/>
      <c r="CE37" s="67"/>
      <c r="CF37" s="68"/>
      <c r="CG37" s="80"/>
      <c r="CH37" s="102"/>
      <c r="CI37" s="103"/>
      <c r="CJ37" s="104"/>
    </row>
    <row r="38" spans="1:88" x14ac:dyDescent="0.3">
      <c r="A38" s="20">
        <v>1256</v>
      </c>
      <c r="B38" s="2" t="s">
        <v>358</v>
      </c>
      <c r="C38" s="2">
        <v>2017</v>
      </c>
      <c r="D38" s="2" t="s">
        <v>203</v>
      </c>
      <c r="E38" s="10" t="s">
        <v>359</v>
      </c>
      <c r="F38" s="20" t="s">
        <v>29</v>
      </c>
      <c r="G38" s="2" t="s">
        <v>365</v>
      </c>
      <c r="H38" s="2" t="s">
        <v>533</v>
      </c>
      <c r="I38" s="2" t="s">
        <v>740</v>
      </c>
      <c r="J38" s="2" t="s">
        <v>534</v>
      </c>
      <c r="K38" s="20">
        <v>702</v>
      </c>
      <c r="L38" s="2">
        <v>0.9</v>
      </c>
      <c r="M38" s="2" t="s">
        <v>55</v>
      </c>
      <c r="N38" s="33">
        <v>0</v>
      </c>
      <c r="O38" s="33">
        <v>0</v>
      </c>
      <c r="P38" s="33">
        <v>0</v>
      </c>
      <c r="Q38" s="33">
        <v>0.9999992056723962</v>
      </c>
      <c r="R38" s="33">
        <v>0</v>
      </c>
      <c r="S38" s="33">
        <v>7.9432760376743793E-7</v>
      </c>
      <c r="T38" s="8">
        <v>1</v>
      </c>
      <c r="U38" s="33">
        <v>0</v>
      </c>
      <c r="V38" s="33">
        <v>-0.9999992056723962</v>
      </c>
      <c r="W38" s="33">
        <v>701.00000079432755</v>
      </c>
      <c r="X38" s="33">
        <v>96485</v>
      </c>
      <c r="Y38" s="16">
        <v>-137.63897753205524</v>
      </c>
      <c r="Z38" s="2">
        <v>12</v>
      </c>
      <c r="AA38" s="2">
        <v>26</v>
      </c>
      <c r="AB38" s="8">
        <v>0.291497975708502</v>
      </c>
      <c r="AC38" s="16">
        <v>70.370370370370367</v>
      </c>
      <c r="AD38" s="2">
        <v>12</v>
      </c>
      <c r="AE38" s="8">
        <v>-1.4135252214286034</v>
      </c>
      <c r="AF38" s="2">
        <v>8</v>
      </c>
      <c r="AG38" s="20">
        <v>7</v>
      </c>
      <c r="AH38" s="2" t="s">
        <v>363</v>
      </c>
      <c r="AI38" s="2" t="s">
        <v>363</v>
      </c>
      <c r="AJ38" s="2" t="s">
        <v>363</v>
      </c>
      <c r="AK38" s="2" t="s">
        <v>363</v>
      </c>
      <c r="AL38" s="2" t="s">
        <v>363</v>
      </c>
      <c r="AM38" s="2" t="s">
        <v>363</v>
      </c>
      <c r="AN38" s="2" t="s">
        <v>363</v>
      </c>
      <c r="AO38" s="2" t="s">
        <v>363</v>
      </c>
      <c r="AP38" s="24">
        <v>23.3</v>
      </c>
      <c r="AQ38" s="15" t="s">
        <v>363</v>
      </c>
      <c r="AR38" s="25">
        <v>28</v>
      </c>
      <c r="AS38" s="25">
        <v>48</v>
      </c>
      <c r="AT38" s="25">
        <v>22</v>
      </c>
      <c r="AU38" s="16" t="s">
        <v>363</v>
      </c>
      <c r="AV38" s="2">
        <v>98</v>
      </c>
      <c r="AW38" s="18">
        <v>1.1000000000000001</v>
      </c>
      <c r="AX38" s="13">
        <v>1.1000000000000001E-2</v>
      </c>
      <c r="AY38" s="16" t="s">
        <v>364</v>
      </c>
      <c r="AZ38" s="16">
        <v>100</v>
      </c>
      <c r="BA38" s="16" t="s">
        <v>55</v>
      </c>
      <c r="BB38" s="8">
        <v>500</v>
      </c>
      <c r="BC38" s="16">
        <v>50000</v>
      </c>
      <c r="BD38" s="25">
        <v>114.81536214968835</v>
      </c>
      <c r="BE38" s="16">
        <v>10437.760195426214</v>
      </c>
      <c r="BF38" s="8">
        <v>4.0186073148417751</v>
      </c>
      <c r="BG38" s="8">
        <v>2.0600000000000005</v>
      </c>
      <c r="BH38" s="16" t="s">
        <v>367</v>
      </c>
      <c r="BI38" s="16"/>
      <c r="BJ38" s="16"/>
      <c r="BK38" s="16"/>
      <c r="BL38" s="18"/>
      <c r="BM38" s="16"/>
      <c r="BN38" s="16"/>
      <c r="BO38" s="8"/>
      <c r="BP38" s="15"/>
      <c r="BQ38" s="8"/>
      <c r="BR38" s="13"/>
      <c r="BS38" s="16"/>
      <c r="BT38" s="16"/>
      <c r="BU38" s="16"/>
      <c r="BV38" s="16"/>
      <c r="BW38" s="18"/>
      <c r="BZ38" s="65"/>
      <c r="CA38" s="65"/>
      <c r="CB38" s="66"/>
      <c r="CC38" s="101"/>
      <c r="CD38" s="67"/>
      <c r="CE38" s="67"/>
      <c r="CF38" s="68"/>
      <c r="CG38" s="80"/>
      <c r="CH38" s="102"/>
      <c r="CI38" s="103"/>
      <c r="CJ38" s="104"/>
    </row>
    <row r="39" spans="1:88" x14ac:dyDescent="0.3">
      <c r="A39" s="20">
        <v>1257</v>
      </c>
      <c r="B39" s="2" t="s">
        <v>358</v>
      </c>
      <c r="C39" s="2">
        <v>2017</v>
      </c>
      <c r="D39" s="2" t="s">
        <v>203</v>
      </c>
      <c r="E39" s="10" t="s">
        <v>359</v>
      </c>
      <c r="F39" s="20" t="s">
        <v>29</v>
      </c>
      <c r="G39" s="2" t="s">
        <v>89</v>
      </c>
      <c r="H39" s="2" t="s">
        <v>533</v>
      </c>
      <c r="I39" s="2" t="s">
        <v>740</v>
      </c>
      <c r="J39" s="2" t="s">
        <v>534</v>
      </c>
      <c r="K39" s="20">
        <v>702</v>
      </c>
      <c r="L39" s="2">
        <v>0.9</v>
      </c>
      <c r="M39" s="2" t="s">
        <v>55</v>
      </c>
      <c r="N39" s="33">
        <v>0</v>
      </c>
      <c r="O39" s="33">
        <v>0</v>
      </c>
      <c r="P39" s="33">
        <v>0</v>
      </c>
      <c r="Q39" s="33">
        <v>0.99874265748864466</v>
      </c>
      <c r="R39" s="33">
        <v>0</v>
      </c>
      <c r="S39" s="33">
        <v>1.2573425113552919E-3</v>
      </c>
      <c r="T39" s="8">
        <v>1</v>
      </c>
      <c r="U39" s="33">
        <v>0</v>
      </c>
      <c r="V39" s="33">
        <v>-0.99874265748864466</v>
      </c>
      <c r="W39" s="33">
        <v>701.00125734251139</v>
      </c>
      <c r="X39" s="33">
        <v>96485</v>
      </c>
      <c r="Y39" s="16">
        <v>-137.4657809789181</v>
      </c>
      <c r="Z39" s="2">
        <v>12</v>
      </c>
      <c r="AA39" s="2">
        <v>26</v>
      </c>
      <c r="AB39" s="8">
        <v>0.291497975708502</v>
      </c>
      <c r="AC39" s="16">
        <v>70.370370370370367</v>
      </c>
      <c r="AD39" s="2">
        <v>12</v>
      </c>
      <c r="AE39" s="8">
        <v>-1.4135252214286034</v>
      </c>
      <c r="AF39" s="2">
        <v>8</v>
      </c>
      <c r="AG39" s="20">
        <v>3.8</v>
      </c>
      <c r="AH39" s="2" t="s">
        <v>363</v>
      </c>
      <c r="AI39" s="2" t="s">
        <v>363</v>
      </c>
      <c r="AJ39" s="2" t="s">
        <v>363</v>
      </c>
      <c r="AK39" s="2" t="s">
        <v>363</v>
      </c>
      <c r="AL39" s="2" t="s">
        <v>363</v>
      </c>
      <c r="AM39" s="2" t="s">
        <v>363</v>
      </c>
      <c r="AN39" s="2" t="s">
        <v>363</v>
      </c>
      <c r="AO39" s="2" t="s">
        <v>363</v>
      </c>
      <c r="AP39" s="24">
        <v>23.89</v>
      </c>
      <c r="AQ39" s="15" t="s">
        <v>363</v>
      </c>
      <c r="AR39" s="25">
        <v>53</v>
      </c>
      <c r="AS39" s="25">
        <v>41</v>
      </c>
      <c r="AT39" s="25">
        <v>6</v>
      </c>
      <c r="AU39" s="16" t="s">
        <v>363</v>
      </c>
      <c r="AV39" s="2">
        <v>100</v>
      </c>
      <c r="AW39" s="18">
        <v>3.6</v>
      </c>
      <c r="AX39" s="13">
        <v>3.6000000000000004E-2</v>
      </c>
      <c r="AY39" s="16" t="s">
        <v>364</v>
      </c>
      <c r="AZ39" s="16">
        <v>100</v>
      </c>
      <c r="BA39" s="16" t="s">
        <v>55</v>
      </c>
      <c r="BB39" s="8">
        <v>500</v>
      </c>
      <c r="BC39" s="16">
        <v>50000</v>
      </c>
      <c r="BD39" s="25">
        <v>66.069344800759623</v>
      </c>
      <c r="BE39" s="16">
        <v>1835.2595777988781</v>
      </c>
      <c r="BF39" s="8">
        <v>3.263697499232713</v>
      </c>
      <c r="BG39" s="8">
        <v>1.82</v>
      </c>
      <c r="BH39" s="16" t="s">
        <v>367</v>
      </c>
      <c r="BI39" s="16"/>
      <c r="BJ39" s="16"/>
      <c r="BK39" s="16"/>
      <c r="BL39" s="18"/>
      <c r="BM39" s="16"/>
      <c r="BN39" s="16"/>
      <c r="BO39" s="8"/>
      <c r="BP39" s="15"/>
      <c r="BQ39" s="8"/>
      <c r="BR39" s="13"/>
      <c r="BS39" s="16"/>
      <c r="BT39" s="16"/>
      <c r="BU39" s="16"/>
      <c r="BV39" s="16"/>
      <c r="BW39" s="18"/>
      <c r="BZ39" s="65"/>
      <c r="CA39" s="65"/>
      <c r="CB39" s="66"/>
      <c r="CC39" s="101"/>
      <c r="CD39" s="67"/>
      <c r="CE39" s="67"/>
      <c r="CF39" s="68"/>
      <c r="CG39" s="80"/>
      <c r="CH39" s="102"/>
      <c r="CI39" s="103"/>
      <c r="CJ39" s="104"/>
    </row>
    <row r="40" spans="1:88" x14ac:dyDescent="0.3">
      <c r="A40" s="20">
        <v>1258</v>
      </c>
      <c r="B40" s="2" t="s">
        <v>358</v>
      </c>
      <c r="C40" s="2">
        <v>2017</v>
      </c>
      <c r="D40" s="2" t="s">
        <v>203</v>
      </c>
      <c r="E40" s="10" t="s">
        <v>359</v>
      </c>
      <c r="F40" s="20" t="s">
        <v>29</v>
      </c>
      <c r="G40" s="2" t="s">
        <v>361</v>
      </c>
      <c r="H40" s="2" t="s">
        <v>533</v>
      </c>
      <c r="I40" s="2" t="s">
        <v>740</v>
      </c>
      <c r="J40" s="2" t="s">
        <v>534</v>
      </c>
      <c r="K40" s="20">
        <v>702</v>
      </c>
      <c r="L40" s="2">
        <v>0.9</v>
      </c>
      <c r="M40" s="2" t="s">
        <v>55</v>
      </c>
      <c r="N40" s="33">
        <v>0</v>
      </c>
      <c r="O40" s="33">
        <v>0</v>
      </c>
      <c r="P40" s="33">
        <v>0</v>
      </c>
      <c r="Q40" s="33">
        <v>0.99968387220237043</v>
      </c>
      <c r="R40" s="33">
        <v>0</v>
      </c>
      <c r="S40" s="33">
        <v>3.1612779762961706E-4</v>
      </c>
      <c r="T40" s="8">
        <v>1</v>
      </c>
      <c r="U40" s="33">
        <v>0</v>
      </c>
      <c r="V40" s="33">
        <v>-0.99968387220237043</v>
      </c>
      <c r="W40" s="33">
        <v>701.00031612779765</v>
      </c>
      <c r="X40" s="33">
        <v>96485</v>
      </c>
      <c r="Y40" s="16">
        <v>-137.59551342607574</v>
      </c>
      <c r="Z40" s="2">
        <v>12</v>
      </c>
      <c r="AA40" s="2">
        <v>26</v>
      </c>
      <c r="AB40" s="8">
        <v>0.291497975708502</v>
      </c>
      <c r="AC40" s="16">
        <v>70.370370370370367</v>
      </c>
      <c r="AD40" s="2">
        <v>12</v>
      </c>
      <c r="AE40" s="8">
        <v>-1.4135252214286034</v>
      </c>
      <c r="AF40" s="2">
        <v>8</v>
      </c>
      <c r="AG40" s="20">
        <v>4.4000000000000004</v>
      </c>
      <c r="AH40" s="2" t="s">
        <v>363</v>
      </c>
      <c r="AI40" s="2" t="s">
        <v>363</v>
      </c>
      <c r="AJ40" s="2" t="s">
        <v>363</v>
      </c>
      <c r="AK40" s="2" t="s">
        <v>363</v>
      </c>
      <c r="AL40" s="2" t="s">
        <v>363</v>
      </c>
      <c r="AM40" s="2" t="s">
        <v>363</v>
      </c>
      <c r="AN40" s="2" t="s">
        <v>363</v>
      </c>
      <c r="AO40" s="2" t="s">
        <v>363</v>
      </c>
      <c r="AP40" s="24">
        <v>11.3</v>
      </c>
      <c r="AQ40" s="15" t="s">
        <v>363</v>
      </c>
      <c r="AR40" s="25">
        <v>58</v>
      </c>
      <c r="AS40" s="25">
        <v>20</v>
      </c>
      <c r="AT40" s="25">
        <v>22</v>
      </c>
      <c r="AU40" s="16" t="s">
        <v>363</v>
      </c>
      <c r="AV40" s="2">
        <v>100</v>
      </c>
      <c r="AW40" s="18">
        <v>10.199999999999999</v>
      </c>
      <c r="AX40" s="13">
        <v>0.10199999999999999</v>
      </c>
      <c r="AY40" s="16" t="s">
        <v>364</v>
      </c>
      <c r="AZ40" s="16">
        <v>100</v>
      </c>
      <c r="BA40" s="16" t="s">
        <v>55</v>
      </c>
      <c r="BB40" s="8">
        <v>500</v>
      </c>
      <c r="BC40" s="16">
        <v>50000</v>
      </c>
      <c r="BD40" s="25">
        <v>66.069344800759623</v>
      </c>
      <c r="BE40" s="16">
        <v>647.7386745172513</v>
      </c>
      <c r="BF40" s="8">
        <v>2.8113998282380828</v>
      </c>
      <c r="BG40" s="8">
        <v>1.82</v>
      </c>
      <c r="BH40" s="16" t="s">
        <v>367</v>
      </c>
      <c r="BI40" s="16"/>
      <c r="BJ40" s="16"/>
      <c r="BK40" s="16"/>
      <c r="BL40" s="18"/>
      <c r="BM40" s="16"/>
      <c r="BN40" s="16"/>
      <c r="BO40" s="8"/>
      <c r="BP40" s="15"/>
      <c r="BQ40" s="8"/>
      <c r="BR40" s="13"/>
      <c r="BS40" s="16"/>
      <c r="BT40" s="16"/>
      <c r="BU40" s="16"/>
      <c r="BV40" s="16"/>
      <c r="BW40" s="18"/>
      <c r="BZ40" s="65"/>
      <c r="CA40" s="65"/>
      <c r="CB40" s="66"/>
      <c r="CC40" s="101"/>
      <c r="CD40" s="67"/>
      <c r="CE40" s="67"/>
      <c r="CF40" s="68"/>
      <c r="CG40" s="80"/>
      <c r="CH40" s="102"/>
      <c r="CI40" s="103"/>
      <c r="CJ40" s="104"/>
    </row>
    <row r="41" spans="1:88" x14ac:dyDescent="0.3">
      <c r="A41" s="20">
        <v>1259</v>
      </c>
      <c r="B41" s="2" t="s">
        <v>358</v>
      </c>
      <c r="C41" s="2">
        <v>2017</v>
      </c>
      <c r="D41" s="2" t="s">
        <v>203</v>
      </c>
      <c r="E41" s="10" t="s">
        <v>359</v>
      </c>
      <c r="F41" s="20" t="s">
        <v>29</v>
      </c>
      <c r="G41" s="2" t="s">
        <v>274</v>
      </c>
      <c r="H41" s="2" t="s">
        <v>533</v>
      </c>
      <c r="I41" s="2" t="s">
        <v>740</v>
      </c>
      <c r="J41" s="2" t="s">
        <v>534</v>
      </c>
      <c r="K41" s="20">
        <v>702</v>
      </c>
      <c r="L41" s="2">
        <v>0.9</v>
      </c>
      <c r="M41" s="2" t="s">
        <v>55</v>
      </c>
      <c r="N41" s="33">
        <v>0</v>
      </c>
      <c r="O41" s="33">
        <v>0</v>
      </c>
      <c r="P41" s="33">
        <v>0</v>
      </c>
      <c r="Q41" s="33">
        <v>0.99999369046636566</v>
      </c>
      <c r="R41" s="33">
        <v>0</v>
      </c>
      <c r="S41" s="33">
        <v>6.3095336343360639E-6</v>
      </c>
      <c r="T41" s="8">
        <v>1</v>
      </c>
      <c r="U41" s="33">
        <v>0</v>
      </c>
      <c r="V41" s="33">
        <v>-0.99999369046636566</v>
      </c>
      <c r="W41" s="33">
        <v>701.00000630953366</v>
      </c>
      <c r="X41" s="33">
        <v>96485</v>
      </c>
      <c r="Y41" s="16">
        <v>-137.63821734124724</v>
      </c>
      <c r="Z41" s="2">
        <v>12</v>
      </c>
      <c r="AA41" s="2">
        <v>26</v>
      </c>
      <c r="AB41" s="8">
        <v>0.291497975708502</v>
      </c>
      <c r="AC41" s="16">
        <v>70.370370370370367</v>
      </c>
      <c r="AD41" s="2">
        <v>12</v>
      </c>
      <c r="AE41" s="8">
        <v>-1.4135252214286034</v>
      </c>
      <c r="AF41" s="2">
        <v>8</v>
      </c>
      <c r="AG41" s="20">
        <v>6.1</v>
      </c>
      <c r="AH41" s="2" t="s">
        <v>363</v>
      </c>
      <c r="AI41" s="2" t="s">
        <v>363</v>
      </c>
      <c r="AJ41" s="2" t="s">
        <v>363</v>
      </c>
      <c r="AK41" s="2" t="s">
        <v>363</v>
      </c>
      <c r="AL41" s="2" t="s">
        <v>363</v>
      </c>
      <c r="AM41" s="2" t="s">
        <v>363</v>
      </c>
      <c r="AN41" s="2" t="s">
        <v>363</v>
      </c>
      <c r="AO41" s="2" t="s">
        <v>363</v>
      </c>
      <c r="AP41" s="24">
        <v>24.2</v>
      </c>
      <c r="AQ41" s="15" t="s">
        <v>363</v>
      </c>
      <c r="AR41" s="25">
        <v>10</v>
      </c>
      <c r="AS41" s="25">
        <v>61</v>
      </c>
      <c r="AT41" s="25">
        <v>27</v>
      </c>
      <c r="AU41" s="16" t="s">
        <v>363</v>
      </c>
      <c r="AV41" s="2">
        <v>98</v>
      </c>
      <c r="AW41" s="18">
        <v>2.63</v>
      </c>
      <c r="AX41" s="13">
        <v>2.63E-2</v>
      </c>
      <c r="AY41" s="16" t="s">
        <v>364</v>
      </c>
      <c r="AZ41" s="16">
        <v>100</v>
      </c>
      <c r="BA41" s="16" t="s">
        <v>55</v>
      </c>
      <c r="BB41" s="8">
        <v>500</v>
      </c>
      <c r="BC41" s="16">
        <v>50000</v>
      </c>
      <c r="BD41" s="25">
        <v>39.810717055349755</v>
      </c>
      <c r="BE41" s="16">
        <v>1513.7154773897246</v>
      </c>
      <c r="BF41" s="8">
        <v>3.1800442515102425</v>
      </c>
      <c r="BG41" s="8">
        <v>1.6000000000000003</v>
      </c>
      <c r="BH41" s="16" t="s">
        <v>367</v>
      </c>
      <c r="BI41" s="16"/>
      <c r="BJ41" s="16"/>
      <c r="BK41" s="16"/>
      <c r="BL41" s="18"/>
      <c r="BM41" s="16"/>
      <c r="BN41" s="16"/>
      <c r="BO41" s="8"/>
      <c r="BP41" s="15"/>
      <c r="BQ41" s="8"/>
      <c r="BR41" s="13"/>
      <c r="BS41" s="16"/>
      <c r="BT41" s="16"/>
      <c r="BU41" s="16"/>
      <c r="BV41" s="16"/>
      <c r="BW41" s="18"/>
      <c r="BZ41" s="65"/>
      <c r="CA41" s="65"/>
      <c r="CB41" s="66"/>
      <c r="CC41" s="101"/>
      <c r="CD41" s="67"/>
      <c r="CE41" s="67"/>
      <c r="CF41" s="68"/>
      <c r="CG41" s="80"/>
      <c r="CH41" s="102"/>
      <c r="CI41" s="103"/>
      <c r="CJ41" s="104"/>
    </row>
    <row r="42" spans="1:88" x14ac:dyDescent="0.3">
      <c r="A42" s="20">
        <v>1260</v>
      </c>
      <c r="B42" s="2" t="s">
        <v>358</v>
      </c>
      <c r="C42" s="2">
        <v>2017</v>
      </c>
      <c r="D42" s="2" t="s">
        <v>203</v>
      </c>
      <c r="E42" s="10" t="s">
        <v>359</v>
      </c>
      <c r="F42" s="20" t="s">
        <v>29</v>
      </c>
      <c r="G42" s="2" t="s">
        <v>362</v>
      </c>
      <c r="H42" s="2" t="s">
        <v>533</v>
      </c>
      <c r="I42" s="2" t="s">
        <v>740</v>
      </c>
      <c r="J42" s="2" t="s">
        <v>534</v>
      </c>
      <c r="K42" s="20">
        <v>702</v>
      </c>
      <c r="L42" s="2">
        <v>0.9</v>
      </c>
      <c r="M42" s="2" t="s">
        <v>55</v>
      </c>
      <c r="N42" s="33">
        <v>0</v>
      </c>
      <c r="O42" s="33">
        <v>0</v>
      </c>
      <c r="P42" s="33">
        <v>0</v>
      </c>
      <c r="Q42" s="33">
        <v>0.99974887443673854</v>
      </c>
      <c r="R42" s="33">
        <v>0</v>
      </c>
      <c r="S42" s="33">
        <v>2.5112556326146155E-4</v>
      </c>
      <c r="T42" s="8">
        <v>1</v>
      </c>
      <c r="U42" s="33">
        <v>0</v>
      </c>
      <c r="V42" s="33">
        <v>-0.99974887443673854</v>
      </c>
      <c r="W42" s="33">
        <v>701.0002511255633</v>
      </c>
      <c r="X42" s="33">
        <v>96485</v>
      </c>
      <c r="Y42" s="16">
        <v>-137.60447302999702</v>
      </c>
      <c r="Z42" s="2">
        <v>12</v>
      </c>
      <c r="AA42" s="2">
        <v>26</v>
      </c>
      <c r="AB42" s="8">
        <v>0.291497975708502</v>
      </c>
      <c r="AC42" s="16">
        <v>70.370370370370367</v>
      </c>
      <c r="AD42" s="2">
        <v>12</v>
      </c>
      <c r="AE42" s="8">
        <v>-1.4135252214286034</v>
      </c>
      <c r="AF42" s="2">
        <v>8</v>
      </c>
      <c r="AG42" s="20">
        <v>4.5</v>
      </c>
      <c r="AH42" s="2" t="s">
        <v>363</v>
      </c>
      <c r="AI42" s="2" t="s">
        <v>363</v>
      </c>
      <c r="AJ42" s="2" t="s">
        <v>363</v>
      </c>
      <c r="AK42" s="2" t="s">
        <v>363</v>
      </c>
      <c r="AL42" s="2" t="s">
        <v>363</v>
      </c>
      <c r="AM42" s="2" t="s">
        <v>363</v>
      </c>
      <c r="AN42" s="2" t="s">
        <v>363</v>
      </c>
      <c r="AO42" s="2" t="s">
        <v>363</v>
      </c>
      <c r="AP42" s="24">
        <v>21.496500000000001</v>
      </c>
      <c r="AQ42" s="70" t="s">
        <v>752</v>
      </c>
      <c r="AR42" s="163">
        <v>41.737499999999997</v>
      </c>
      <c r="AS42" s="163">
        <v>35.036999999999999</v>
      </c>
      <c r="AT42" s="163">
        <v>21.971</v>
      </c>
      <c r="AU42" s="70" t="s">
        <v>752</v>
      </c>
      <c r="AV42" s="2">
        <v>98.745499999999993</v>
      </c>
      <c r="AW42" s="18">
        <v>45.7</v>
      </c>
      <c r="AX42" s="13">
        <v>0.45700000000000002</v>
      </c>
      <c r="AY42" s="16" t="s">
        <v>364</v>
      </c>
      <c r="AZ42" s="16">
        <v>100</v>
      </c>
      <c r="BA42" s="16" t="s">
        <v>55</v>
      </c>
      <c r="BB42" s="8">
        <v>500</v>
      </c>
      <c r="BC42" s="16">
        <v>50000</v>
      </c>
      <c r="BD42" s="25">
        <v>95.499258602143655</v>
      </c>
      <c r="BE42" s="16">
        <v>208.96993129571916</v>
      </c>
      <c r="BF42" s="8">
        <v>2.32008379993015</v>
      </c>
      <c r="BG42" s="8">
        <v>1.9800000000000002</v>
      </c>
      <c r="BH42" s="16" t="s">
        <v>367</v>
      </c>
      <c r="BI42" s="16"/>
      <c r="BJ42" s="16"/>
      <c r="BK42" s="16"/>
      <c r="BL42" s="18"/>
      <c r="BM42" s="16"/>
      <c r="BN42" s="16"/>
      <c r="BO42" s="8"/>
      <c r="BP42" s="15"/>
      <c r="BQ42" s="8"/>
      <c r="BR42" s="13"/>
      <c r="BS42" s="16"/>
      <c r="BT42" s="16"/>
      <c r="BU42" s="16"/>
      <c r="BV42" s="16"/>
      <c r="BW42" s="18"/>
      <c r="BZ42" s="65"/>
      <c r="CA42" s="65"/>
      <c r="CB42" s="66"/>
      <c r="CC42" s="101"/>
      <c r="CD42" s="67"/>
      <c r="CE42" s="67"/>
      <c r="CF42" s="68"/>
      <c r="CG42" s="80"/>
      <c r="CH42" s="102"/>
      <c r="CI42" s="103"/>
      <c r="CJ42" s="104"/>
    </row>
    <row r="43" spans="1:88" x14ac:dyDescent="0.3">
      <c r="A43" s="20">
        <v>1261</v>
      </c>
      <c r="B43" s="2" t="s">
        <v>358</v>
      </c>
      <c r="C43" s="2">
        <v>2017</v>
      </c>
      <c r="D43" s="2" t="s">
        <v>203</v>
      </c>
      <c r="E43" s="10" t="s">
        <v>359</v>
      </c>
      <c r="F43" s="20" t="s">
        <v>29</v>
      </c>
      <c r="G43" s="2" t="s">
        <v>360</v>
      </c>
      <c r="H43" s="2" t="s">
        <v>537</v>
      </c>
      <c r="I43" s="2" t="s">
        <v>740</v>
      </c>
      <c r="J43" s="2" t="s">
        <v>538</v>
      </c>
      <c r="K43" s="20">
        <v>802</v>
      </c>
      <c r="L43" s="2">
        <v>0.9</v>
      </c>
      <c r="M43" s="2" t="s">
        <v>55</v>
      </c>
      <c r="N43" s="33">
        <v>0</v>
      </c>
      <c r="O43" s="33">
        <v>0</v>
      </c>
      <c r="P43" s="33">
        <v>0</v>
      </c>
      <c r="Q43" s="33">
        <v>0.99994988378839778</v>
      </c>
      <c r="R43" s="33">
        <v>0</v>
      </c>
      <c r="S43" s="33">
        <v>5.0116211602181963E-5</v>
      </c>
      <c r="T43" s="8">
        <v>1</v>
      </c>
      <c r="U43" s="33">
        <v>0</v>
      </c>
      <c r="V43" s="33">
        <v>-0.99994988378839778</v>
      </c>
      <c r="W43" s="33">
        <v>801.00005011621158</v>
      </c>
      <c r="X43" s="33">
        <v>96485</v>
      </c>
      <c r="Y43" s="16">
        <v>-120.44963608095395</v>
      </c>
      <c r="Z43" s="2">
        <v>12</v>
      </c>
      <c r="AA43" s="2">
        <v>26</v>
      </c>
      <c r="AB43" s="8">
        <v>0.291497975708502</v>
      </c>
      <c r="AC43" s="16">
        <v>61.596009975062351</v>
      </c>
      <c r="AD43" s="2">
        <v>12</v>
      </c>
      <c r="AE43" s="8">
        <v>-3.2265792767093902</v>
      </c>
      <c r="AF43" s="2">
        <v>9.4</v>
      </c>
      <c r="AG43" s="20">
        <v>5.2</v>
      </c>
      <c r="AH43" s="2" t="s">
        <v>363</v>
      </c>
      <c r="AI43" s="2" t="s">
        <v>363</v>
      </c>
      <c r="AJ43" s="2" t="s">
        <v>363</v>
      </c>
      <c r="AK43" s="2" t="s">
        <v>363</v>
      </c>
      <c r="AL43" s="2" t="s">
        <v>363</v>
      </c>
      <c r="AM43" s="2" t="s">
        <v>363</v>
      </c>
      <c r="AN43" s="2" t="s">
        <v>363</v>
      </c>
      <c r="AO43" s="2" t="s">
        <v>363</v>
      </c>
      <c r="AP43" s="24">
        <v>9.6</v>
      </c>
      <c r="AQ43" s="15" t="s">
        <v>363</v>
      </c>
      <c r="AR43" s="25">
        <v>63</v>
      </c>
      <c r="AS43" s="25">
        <v>32</v>
      </c>
      <c r="AT43" s="25">
        <v>5</v>
      </c>
      <c r="AU43" s="16" t="s">
        <v>363</v>
      </c>
      <c r="AV43" s="2">
        <v>100</v>
      </c>
      <c r="AW43" s="18">
        <v>1</v>
      </c>
      <c r="AX43" s="13">
        <v>0.01</v>
      </c>
      <c r="AY43" s="16" t="s">
        <v>364</v>
      </c>
      <c r="AZ43" s="16">
        <v>100</v>
      </c>
      <c r="BA43" s="16" t="s">
        <v>55</v>
      </c>
      <c r="BB43" s="8">
        <v>500</v>
      </c>
      <c r="BC43" s="16">
        <v>50000</v>
      </c>
      <c r="BD43" s="25">
        <v>33.884415613920268</v>
      </c>
      <c r="BE43" s="16">
        <v>3388.4415613920269</v>
      </c>
      <c r="BF43" s="8">
        <v>3.5300000000000002</v>
      </c>
      <c r="BG43" s="8">
        <v>1.5300000000000002</v>
      </c>
      <c r="BH43" s="16" t="s">
        <v>367</v>
      </c>
      <c r="BI43" s="16"/>
      <c r="BJ43" s="16"/>
      <c r="BK43" s="16"/>
      <c r="BL43" s="18"/>
      <c r="BM43" s="16"/>
      <c r="BN43" s="16"/>
      <c r="BO43" s="8"/>
      <c r="BP43" s="15"/>
      <c r="BQ43" s="8"/>
      <c r="BR43" s="13"/>
      <c r="BS43" s="16"/>
      <c r="BT43" s="16"/>
      <c r="BU43" s="16"/>
      <c r="BV43" s="16"/>
      <c r="BW43" s="18"/>
      <c r="BZ43" s="65"/>
      <c r="CA43" s="65"/>
      <c r="CB43" s="66"/>
      <c r="CC43" s="101"/>
      <c r="CD43" s="67"/>
      <c r="CE43" s="67"/>
      <c r="CF43" s="68"/>
      <c r="CG43" s="80"/>
      <c r="CH43" s="102"/>
      <c r="CI43" s="103"/>
      <c r="CJ43" s="104"/>
    </row>
    <row r="44" spans="1:88" x14ac:dyDescent="0.3">
      <c r="A44" s="20">
        <v>1262</v>
      </c>
      <c r="B44" s="2" t="s">
        <v>358</v>
      </c>
      <c r="C44" s="2">
        <v>2017</v>
      </c>
      <c r="D44" s="2" t="s">
        <v>203</v>
      </c>
      <c r="E44" s="10" t="s">
        <v>359</v>
      </c>
      <c r="F44" s="20" t="s">
        <v>29</v>
      </c>
      <c r="G44" s="2" t="s">
        <v>88</v>
      </c>
      <c r="H44" s="2" t="s">
        <v>537</v>
      </c>
      <c r="I44" s="2" t="s">
        <v>740</v>
      </c>
      <c r="J44" s="2" t="s">
        <v>538</v>
      </c>
      <c r="K44" s="20">
        <v>802</v>
      </c>
      <c r="L44" s="2">
        <v>0.9</v>
      </c>
      <c r="M44" s="2" t="s">
        <v>55</v>
      </c>
      <c r="N44" s="33">
        <v>0</v>
      </c>
      <c r="O44" s="33">
        <v>0</v>
      </c>
      <c r="P44" s="33">
        <v>0</v>
      </c>
      <c r="Q44" s="33">
        <v>0.99999800474166611</v>
      </c>
      <c r="R44" s="33">
        <v>0</v>
      </c>
      <c r="S44" s="33">
        <v>1.9952583339051196E-6</v>
      </c>
      <c r="T44" s="8">
        <v>1</v>
      </c>
      <c r="U44" s="33">
        <v>0</v>
      </c>
      <c r="V44" s="33">
        <v>-0.99999800474166611</v>
      </c>
      <c r="W44" s="33">
        <v>801.00000199525846</v>
      </c>
      <c r="X44" s="33">
        <v>96485</v>
      </c>
      <c r="Y44" s="16">
        <v>-120.45543975925085</v>
      </c>
      <c r="Z44" s="2">
        <v>12</v>
      </c>
      <c r="AA44" s="2">
        <v>26</v>
      </c>
      <c r="AB44" s="8">
        <v>0.291497975708502</v>
      </c>
      <c r="AC44" s="16">
        <v>61.596009975062351</v>
      </c>
      <c r="AD44" s="2">
        <v>12</v>
      </c>
      <c r="AE44" s="8">
        <v>-3.2265792767093902</v>
      </c>
      <c r="AF44" s="2">
        <v>9.4</v>
      </c>
      <c r="AG44" s="20">
        <v>6.6</v>
      </c>
      <c r="AH44" s="2" t="s">
        <v>363</v>
      </c>
      <c r="AI44" s="2" t="s">
        <v>363</v>
      </c>
      <c r="AJ44" s="2" t="s">
        <v>363</v>
      </c>
      <c r="AK44" s="2" t="s">
        <v>363</v>
      </c>
      <c r="AL44" s="2" t="s">
        <v>363</v>
      </c>
      <c r="AM44" s="2" t="s">
        <v>363</v>
      </c>
      <c r="AN44" s="2" t="s">
        <v>363</v>
      </c>
      <c r="AO44" s="2" t="s">
        <v>363</v>
      </c>
      <c r="AP44" s="24">
        <v>33.5</v>
      </c>
      <c r="AQ44" s="15" t="s">
        <v>363</v>
      </c>
      <c r="AR44" s="25">
        <v>25</v>
      </c>
      <c r="AS44" s="25">
        <v>38</v>
      </c>
      <c r="AT44" s="25">
        <v>37</v>
      </c>
      <c r="AU44" s="16" t="s">
        <v>363</v>
      </c>
      <c r="AV44" s="2">
        <v>100</v>
      </c>
      <c r="AW44" s="18">
        <v>1.1000000000000001</v>
      </c>
      <c r="AX44" s="13">
        <v>1.1000000000000001E-2</v>
      </c>
      <c r="AY44" s="16" t="s">
        <v>364</v>
      </c>
      <c r="AZ44" s="16">
        <v>100</v>
      </c>
      <c r="BA44" s="16" t="s">
        <v>55</v>
      </c>
      <c r="BB44" s="8">
        <v>500</v>
      </c>
      <c r="BC44" s="16">
        <v>50000</v>
      </c>
      <c r="BD44" s="25">
        <v>389.04514499428063</v>
      </c>
      <c r="BE44" s="16">
        <v>35367.740454025508</v>
      </c>
      <c r="BF44" s="8">
        <v>4.5486073148417754</v>
      </c>
      <c r="BG44" s="8">
        <v>2.59</v>
      </c>
      <c r="BH44" s="16" t="s">
        <v>367</v>
      </c>
      <c r="BI44" s="16"/>
      <c r="BJ44" s="16"/>
      <c r="BK44" s="16"/>
      <c r="BL44" s="18"/>
      <c r="BM44" s="16"/>
      <c r="BN44" s="16"/>
      <c r="BO44" s="8"/>
      <c r="BP44" s="15"/>
      <c r="BQ44" s="8"/>
      <c r="BR44" s="13"/>
      <c r="BS44" s="16"/>
      <c r="BT44" s="16"/>
      <c r="BU44" s="16"/>
      <c r="BV44" s="16"/>
      <c r="BW44" s="18"/>
      <c r="BZ44" s="65"/>
      <c r="CA44" s="65"/>
      <c r="CB44" s="66"/>
      <c r="CC44" s="101"/>
      <c r="CD44" s="67"/>
      <c r="CE44" s="67"/>
      <c r="CF44" s="68"/>
      <c r="CG44" s="80"/>
      <c r="CH44" s="102"/>
      <c r="CI44" s="103"/>
      <c r="CJ44" s="104"/>
    </row>
    <row r="45" spans="1:88" x14ac:dyDescent="0.3">
      <c r="A45" s="20">
        <v>1263</v>
      </c>
      <c r="B45" s="2" t="s">
        <v>358</v>
      </c>
      <c r="C45" s="2">
        <v>2017</v>
      </c>
      <c r="D45" s="2" t="s">
        <v>203</v>
      </c>
      <c r="E45" s="10" t="s">
        <v>359</v>
      </c>
      <c r="F45" s="20" t="s">
        <v>29</v>
      </c>
      <c r="G45" s="2" t="s">
        <v>365</v>
      </c>
      <c r="H45" s="2" t="s">
        <v>537</v>
      </c>
      <c r="I45" s="2" t="s">
        <v>740</v>
      </c>
      <c r="J45" s="2" t="s">
        <v>538</v>
      </c>
      <c r="K45" s="20">
        <v>802</v>
      </c>
      <c r="L45" s="2">
        <v>0.9</v>
      </c>
      <c r="M45" s="2" t="s">
        <v>55</v>
      </c>
      <c r="N45" s="33">
        <v>0</v>
      </c>
      <c r="O45" s="33">
        <v>0</v>
      </c>
      <c r="P45" s="33">
        <v>0</v>
      </c>
      <c r="Q45" s="33">
        <v>0.9999992056723962</v>
      </c>
      <c r="R45" s="33">
        <v>0</v>
      </c>
      <c r="S45" s="33">
        <v>7.9432760376743793E-7</v>
      </c>
      <c r="T45" s="8">
        <v>1</v>
      </c>
      <c r="U45" s="33">
        <v>0</v>
      </c>
      <c r="V45" s="33">
        <v>-0.9999992056723962</v>
      </c>
      <c r="W45" s="33">
        <v>801.00000079432755</v>
      </c>
      <c r="X45" s="33">
        <v>96485</v>
      </c>
      <c r="Y45" s="16">
        <v>-120.45558459877648</v>
      </c>
      <c r="Z45" s="2">
        <v>12</v>
      </c>
      <c r="AA45" s="2">
        <v>26</v>
      </c>
      <c r="AB45" s="8">
        <v>0.291497975708502</v>
      </c>
      <c r="AC45" s="16">
        <v>61.596009975062351</v>
      </c>
      <c r="AD45" s="2">
        <v>12</v>
      </c>
      <c r="AE45" s="8">
        <v>-3.2265792767093902</v>
      </c>
      <c r="AF45" s="2">
        <v>9.4</v>
      </c>
      <c r="AG45" s="20">
        <v>7</v>
      </c>
      <c r="AH45" s="2" t="s">
        <v>363</v>
      </c>
      <c r="AI45" s="2" t="s">
        <v>363</v>
      </c>
      <c r="AJ45" s="2" t="s">
        <v>363</v>
      </c>
      <c r="AK45" s="2" t="s">
        <v>363</v>
      </c>
      <c r="AL45" s="2" t="s">
        <v>363</v>
      </c>
      <c r="AM45" s="2" t="s">
        <v>363</v>
      </c>
      <c r="AN45" s="2" t="s">
        <v>363</v>
      </c>
      <c r="AO45" s="2" t="s">
        <v>363</v>
      </c>
      <c r="AP45" s="24">
        <v>23.3</v>
      </c>
      <c r="AQ45" s="15" t="s">
        <v>363</v>
      </c>
      <c r="AR45" s="25">
        <v>28</v>
      </c>
      <c r="AS45" s="25">
        <v>48</v>
      </c>
      <c r="AT45" s="25">
        <v>22</v>
      </c>
      <c r="AU45" s="16" t="s">
        <v>363</v>
      </c>
      <c r="AV45" s="2">
        <v>98</v>
      </c>
      <c r="AW45" s="18">
        <v>1.1000000000000001</v>
      </c>
      <c r="AX45" s="13">
        <v>1.1000000000000001E-2</v>
      </c>
      <c r="AY45" s="16" t="s">
        <v>364</v>
      </c>
      <c r="AZ45" s="16">
        <v>100</v>
      </c>
      <c r="BA45" s="16" t="s">
        <v>55</v>
      </c>
      <c r="BB45" s="8">
        <v>500</v>
      </c>
      <c r="BC45" s="16">
        <v>50000</v>
      </c>
      <c r="BD45" s="25">
        <v>338.84415613920248</v>
      </c>
      <c r="BE45" s="16">
        <v>30804.014194472951</v>
      </c>
      <c r="BF45" s="8">
        <v>4.4886073148417749</v>
      </c>
      <c r="BG45" s="8">
        <v>2.5299999999999998</v>
      </c>
      <c r="BH45" s="16" t="s">
        <v>367</v>
      </c>
      <c r="BI45" s="16"/>
      <c r="BJ45" s="16"/>
      <c r="BK45" s="16"/>
      <c r="BL45" s="18"/>
      <c r="BM45" s="16"/>
      <c r="BN45" s="16"/>
      <c r="BO45" s="8"/>
      <c r="BP45" s="15"/>
      <c r="BQ45" s="8"/>
      <c r="BR45" s="13"/>
      <c r="BS45" s="16"/>
      <c r="BT45" s="16"/>
      <c r="BU45" s="16"/>
      <c r="BV45" s="16"/>
      <c r="BW45" s="18"/>
      <c r="BZ45" s="65"/>
      <c r="CA45" s="65"/>
      <c r="CB45" s="66"/>
      <c r="CC45" s="101"/>
      <c r="CD45" s="67"/>
      <c r="CE45" s="67"/>
      <c r="CF45" s="68"/>
      <c r="CG45" s="80"/>
      <c r="CH45" s="102"/>
      <c r="CI45" s="103"/>
      <c r="CJ45" s="104"/>
    </row>
    <row r="46" spans="1:88" x14ac:dyDescent="0.3">
      <c r="A46" s="20">
        <v>1264</v>
      </c>
      <c r="B46" s="2" t="s">
        <v>358</v>
      </c>
      <c r="C46" s="2">
        <v>2017</v>
      </c>
      <c r="D46" s="2" t="s">
        <v>203</v>
      </c>
      <c r="E46" s="10" t="s">
        <v>359</v>
      </c>
      <c r="F46" s="20" t="s">
        <v>29</v>
      </c>
      <c r="G46" s="2" t="s">
        <v>89</v>
      </c>
      <c r="H46" s="2" t="s">
        <v>537</v>
      </c>
      <c r="I46" s="2" t="s">
        <v>740</v>
      </c>
      <c r="J46" s="2" t="s">
        <v>538</v>
      </c>
      <c r="K46" s="20">
        <v>802</v>
      </c>
      <c r="L46" s="2">
        <v>0.9</v>
      </c>
      <c r="M46" s="2" t="s">
        <v>55</v>
      </c>
      <c r="N46" s="33">
        <v>0</v>
      </c>
      <c r="O46" s="33">
        <v>0</v>
      </c>
      <c r="P46" s="33">
        <v>0</v>
      </c>
      <c r="Q46" s="33">
        <v>0.99874265748864466</v>
      </c>
      <c r="R46" s="33">
        <v>0</v>
      </c>
      <c r="S46" s="33">
        <v>1.2573425113552919E-3</v>
      </c>
      <c r="T46" s="8">
        <v>1</v>
      </c>
      <c r="U46" s="33">
        <v>0</v>
      </c>
      <c r="V46" s="33">
        <v>-0.99874265748864466</v>
      </c>
      <c r="W46" s="33">
        <v>801.00125734251139</v>
      </c>
      <c r="X46" s="33">
        <v>96485</v>
      </c>
      <c r="Y46" s="16">
        <v>-120.30403750862826</v>
      </c>
      <c r="Z46" s="2">
        <v>12</v>
      </c>
      <c r="AA46" s="2">
        <v>26</v>
      </c>
      <c r="AB46" s="8">
        <v>0.291497975708502</v>
      </c>
      <c r="AC46" s="16">
        <v>61.596009975062351</v>
      </c>
      <c r="AD46" s="2">
        <v>12</v>
      </c>
      <c r="AE46" s="8">
        <v>-3.2265792767093902</v>
      </c>
      <c r="AF46" s="2">
        <v>9.4</v>
      </c>
      <c r="AG46" s="20">
        <v>3.8</v>
      </c>
      <c r="AH46" s="2" t="s">
        <v>363</v>
      </c>
      <c r="AI46" s="2" t="s">
        <v>363</v>
      </c>
      <c r="AJ46" s="2" t="s">
        <v>363</v>
      </c>
      <c r="AK46" s="2" t="s">
        <v>363</v>
      </c>
      <c r="AL46" s="2" t="s">
        <v>363</v>
      </c>
      <c r="AM46" s="2" t="s">
        <v>363</v>
      </c>
      <c r="AN46" s="2" t="s">
        <v>363</v>
      </c>
      <c r="AO46" s="2" t="s">
        <v>363</v>
      </c>
      <c r="AP46" s="24">
        <v>23.89</v>
      </c>
      <c r="AQ46" s="15" t="s">
        <v>363</v>
      </c>
      <c r="AR46" s="25">
        <v>53</v>
      </c>
      <c r="AS46" s="25">
        <v>41</v>
      </c>
      <c r="AT46" s="25">
        <v>6</v>
      </c>
      <c r="AU46" s="16" t="s">
        <v>363</v>
      </c>
      <c r="AV46" s="2">
        <v>100</v>
      </c>
      <c r="AW46" s="18">
        <v>3.6</v>
      </c>
      <c r="AX46" s="13">
        <v>3.6000000000000004E-2</v>
      </c>
      <c r="AY46" s="16" t="s">
        <v>364</v>
      </c>
      <c r="AZ46" s="16">
        <v>100</v>
      </c>
      <c r="BA46" s="16" t="s">
        <v>55</v>
      </c>
      <c r="BB46" s="8">
        <v>500</v>
      </c>
      <c r="BC46" s="16">
        <v>50000</v>
      </c>
      <c r="BD46" s="25">
        <v>30.902954325135919</v>
      </c>
      <c r="BE46" s="16">
        <v>858.41539792044205</v>
      </c>
      <c r="BF46" s="8">
        <v>2.9336974992327129</v>
      </c>
      <c r="BG46" s="8">
        <v>1.4900000000000002</v>
      </c>
      <c r="BH46" s="16" t="s">
        <v>367</v>
      </c>
      <c r="BI46" s="16"/>
      <c r="BJ46" s="16"/>
      <c r="BK46" s="16"/>
      <c r="BL46" s="18"/>
      <c r="BM46" s="16"/>
      <c r="BN46" s="16"/>
      <c r="BO46" s="8"/>
      <c r="BP46" s="15"/>
      <c r="BQ46" s="8"/>
      <c r="BR46" s="13"/>
      <c r="BS46" s="16"/>
      <c r="BT46" s="16"/>
      <c r="BU46" s="16"/>
      <c r="BV46" s="16"/>
      <c r="BW46" s="18"/>
      <c r="BZ46" s="65"/>
      <c r="CA46" s="65"/>
      <c r="CB46" s="66"/>
      <c r="CC46" s="101"/>
      <c r="CD46" s="67"/>
      <c r="CE46" s="67"/>
      <c r="CF46" s="68"/>
      <c r="CG46" s="80"/>
      <c r="CH46" s="102"/>
      <c r="CI46" s="103"/>
      <c r="CJ46" s="104"/>
    </row>
    <row r="47" spans="1:88" x14ac:dyDescent="0.3">
      <c r="A47" s="20">
        <v>1265</v>
      </c>
      <c r="B47" s="2" t="s">
        <v>358</v>
      </c>
      <c r="C47" s="2">
        <v>2017</v>
      </c>
      <c r="D47" s="2" t="s">
        <v>203</v>
      </c>
      <c r="E47" s="10" t="s">
        <v>359</v>
      </c>
      <c r="F47" s="20" t="s">
        <v>29</v>
      </c>
      <c r="G47" s="2" t="s">
        <v>361</v>
      </c>
      <c r="H47" s="2" t="s">
        <v>537</v>
      </c>
      <c r="I47" s="2" t="s">
        <v>740</v>
      </c>
      <c r="J47" s="2" t="s">
        <v>538</v>
      </c>
      <c r="K47" s="20">
        <v>802</v>
      </c>
      <c r="L47" s="2">
        <v>0.9</v>
      </c>
      <c r="M47" s="2" t="s">
        <v>55</v>
      </c>
      <c r="N47" s="33">
        <v>0</v>
      </c>
      <c r="O47" s="33">
        <v>0</v>
      </c>
      <c r="P47" s="33">
        <v>0</v>
      </c>
      <c r="Q47" s="33">
        <v>0.99968387220237043</v>
      </c>
      <c r="R47" s="33">
        <v>0</v>
      </c>
      <c r="S47" s="33">
        <v>3.1612779762961706E-4</v>
      </c>
      <c r="T47" s="8">
        <v>1</v>
      </c>
      <c r="U47" s="33">
        <v>0</v>
      </c>
      <c r="V47" s="33">
        <v>-0.99968387220237043</v>
      </c>
      <c r="W47" s="33">
        <v>801.00031612779765</v>
      </c>
      <c r="X47" s="33">
        <v>96485</v>
      </c>
      <c r="Y47" s="16">
        <v>-120.41755348577993</v>
      </c>
      <c r="Z47" s="2">
        <v>12</v>
      </c>
      <c r="AA47" s="2">
        <v>26</v>
      </c>
      <c r="AB47" s="8">
        <v>0.291497975708502</v>
      </c>
      <c r="AC47" s="16">
        <v>61.596009975062351</v>
      </c>
      <c r="AD47" s="2">
        <v>12</v>
      </c>
      <c r="AE47" s="8">
        <v>-3.2265792767093902</v>
      </c>
      <c r="AF47" s="2">
        <v>9.4</v>
      </c>
      <c r="AG47" s="20">
        <v>4.4000000000000004</v>
      </c>
      <c r="AH47" s="2" t="s">
        <v>363</v>
      </c>
      <c r="AI47" s="2" t="s">
        <v>363</v>
      </c>
      <c r="AJ47" s="2" t="s">
        <v>363</v>
      </c>
      <c r="AK47" s="2" t="s">
        <v>363</v>
      </c>
      <c r="AL47" s="2" t="s">
        <v>363</v>
      </c>
      <c r="AM47" s="2" t="s">
        <v>363</v>
      </c>
      <c r="AN47" s="2" t="s">
        <v>363</v>
      </c>
      <c r="AO47" s="2" t="s">
        <v>363</v>
      </c>
      <c r="AP47" s="24">
        <v>11.3</v>
      </c>
      <c r="AQ47" s="15" t="s">
        <v>363</v>
      </c>
      <c r="AR47" s="25">
        <v>58</v>
      </c>
      <c r="AS47" s="25">
        <v>20</v>
      </c>
      <c r="AT47" s="25">
        <v>22</v>
      </c>
      <c r="AU47" s="16" t="s">
        <v>363</v>
      </c>
      <c r="AV47" s="2">
        <v>100</v>
      </c>
      <c r="AW47" s="18">
        <v>10.199999999999999</v>
      </c>
      <c r="AX47" s="13">
        <v>0.10199999999999999</v>
      </c>
      <c r="AY47" s="16" t="s">
        <v>364</v>
      </c>
      <c r="AZ47" s="16">
        <v>100</v>
      </c>
      <c r="BA47" s="16" t="s">
        <v>55</v>
      </c>
      <c r="BB47" s="8">
        <v>500</v>
      </c>
      <c r="BC47" s="16">
        <v>50000</v>
      </c>
      <c r="BD47" s="25">
        <v>234.42288153199232</v>
      </c>
      <c r="BE47" s="16">
        <v>2298.2635444312973</v>
      </c>
      <c r="BF47" s="8">
        <v>3.3613998282380826</v>
      </c>
      <c r="BG47" s="8">
        <v>2.37</v>
      </c>
      <c r="BH47" s="16" t="s">
        <v>367</v>
      </c>
      <c r="BI47" s="16"/>
      <c r="BJ47" s="16"/>
      <c r="BK47" s="16"/>
      <c r="BL47" s="18"/>
      <c r="BM47" s="16"/>
      <c r="BN47" s="16"/>
      <c r="BO47" s="8"/>
      <c r="BP47" s="15"/>
      <c r="BQ47" s="8"/>
      <c r="BR47" s="13"/>
      <c r="BS47" s="16"/>
      <c r="BT47" s="16"/>
      <c r="BU47" s="16"/>
      <c r="BV47" s="16"/>
      <c r="BW47" s="18"/>
      <c r="BZ47" s="65"/>
      <c r="CA47" s="65"/>
      <c r="CB47" s="66"/>
      <c r="CC47" s="101"/>
      <c r="CD47" s="67"/>
      <c r="CE47" s="67"/>
      <c r="CF47" s="68"/>
      <c r="CG47" s="80"/>
      <c r="CH47" s="102"/>
      <c r="CI47" s="103"/>
      <c r="CJ47" s="104"/>
    </row>
    <row r="48" spans="1:88" x14ac:dyDescent="0.3">
      <c r="A48" s="20">
        <v>1266</v>
      </c>
      <c r="B48" s="2" t="s">
        <v>358</v>
      </c>
      <c r="C48" s="2">
        <v>2017</v>
      </c>
      <c r="D48" s="2" t="s">
        <v>203</v>
      </c>
      <c r="E48" s="10" t="s">
        <v>359</v>
      </c>
      <c r="F48" s="20" t="s">
        <v>29</v>
      </c>
      <c r="G48" s="2" t="s">
        <v>274</v>
      </c>
      <c r="H48" s="2" t="s">
        <v>537</v>
      </c>
      <c r="I48" s="2" t="s">
        <v>740</v>
      </c>
      <c r="J48" s="2" t="s">
        <v>538</v>
      </c>
      <c r="K48" s="20">
        <v>802</v>
      </c>
      <c r="L48" s="2">
        <v>0.9</v>
      </c>
      <c r="M48" s="2" t="s">
        <v>55</v>
      </c>
      <c r="N48" s="33">
        <v>0</v>
      </c>
      <c r="O48" s="33">
        <v>0</v>
      </c>
      <c r="P48" s="33">
        <v>0</v>
      </c>
      <c r="Q48" s="33">
        <v>0.99999369046636566</v>
      </c>
      <c r="R48" s="33">
        <v>0</v>
      </c>
      <c r="S48" s="33">
        <v>6.3095336343360639E-6</v>
      </c>
      <c r="T48" s="8">
        <v>1</v>
      </c>
      <c r="U48" s="33">
        <v>0</v>
      </c>
      <c r="V48" s="33">
        <v>-0.99999369046636566</v>
      </c>
      <c r="W48" s="33">
        <v>801.00000630953366</v>
      </c>
      <c r="X48" s="33">
        <v>96485</v>
      </c>
      <c r="Y48" s="16">
        <v>-120.45491943150176</v>
      </c>
      <c r="Z48" s="2">
        <v>12</v>
      </c>
      <c r="AA48" s="2">
        <v>26</v>
      </c>
      <c r="AB48" s="8">
        <v>0.291497975708502</v>
      </c>
      <c r="AC48" s="16">
        <v>61.596009975062351</v>
      </c>
      <c r="AD48" s="2">
        <v>12</v>
      </c>
      <c r="AE48" s="8">
        <v>-3.2265792767093902</v>
      </c>
      <c r="AF48" s="2">
        <v>9.4</v>
      </c>
      <c r="AG48" s="20">
        <v>6.1</v>
      </c>
      <c r="AH48" s="2" t="s">
        <v>363</v>
      </c>
      <c r="AI48" s="2" t="s">
        <v>363</v>
      </c>
      <c r="AJ48" s="2" t="s">
        <v>363</v>
      </c>
      <c r="AK48" s="2" t="s">
        <v>363</v>
      </c>
      <c r="AL48" s="2" t="s">
        <v>363</v>
      </c>
      <c r="AM48" s="2" t="s">
        <v>363</v>
      </c>
      <c r="AN48" s="2" t="s">
        <v>363</v>
      </c>
      <c r="AO48" s="2" t="s">
        <v>363</v>
      </c>
      <c r="AP48" s="24">
        <v>24.2</v>
      </c>
      <c r="AQ48" s="15" t="s">
        <v>363</v>
      </c>
      <c r="AR48" s="25">
        <v>10</v>
      </c>
      <c r="AS48" s="25">
        <v>61</v>
      </c>
      <c r="AT48" s="25">
        <v>27</v>
      </c>
      <c r="AU48" s="16" t="s">
        <v>363</v>
      </c>
      <c r="AV48" s="2">
        <v>98</v>
      </c>
      <c r="AW48" s="18">
        <v>2.63</v>
      </c>
      <c r="AX48" s="13">
        <v>2.63E-2</v>
      </c>
      <c r="AY48" s="16" t="s">
        <v>364</v>
      </c>
      <c r="AZ48" s="16">
        <v>100</v>
      </c>
      <c r="BA48" s="16" t="s">
        <v>55</v>
      </c>
      <c r="BB48" s="8">
        <v>500</v>
      </c>
      <c r="BC48" s="16">
        <v>50000</v>
      </c>
      <c r="BD48" s="25">
        <v>141.25375446227542</v>
      </c>
      <c r="BE48" s="16">
        <v>5370.8651886796742</v>
      </c>
      <c r="BF48" s="8">
        <v>3.7300442515102423</v>
      </c>
      <c r="BG48" s="8">
        <v>2.15</v>
      </c>
      <c r="BH48" s="16" t="s">
        <v>367</v>
      </c>
      <c r="BI48" s="16"/>
      <c r="BJ48" s="16"/>
      <c r="BK48" s="16"/>
      <c r="BL48" s="18"/>
      <c r="BM48" s="16"/>
      <c r="BN48" s="16"/>
      <c r="BO48" s="8"/>
      <c r="BP48" s="15"/>
      <c r="BQ48" s="8"/>
      <c r="BR48" s="13"/>
      <c r="BS48" s="16"/>
      <c r="BT48" s="16"/>
      <c r="BU48" s="16"/>
      <c r="BV48" s="16"/>
      <c r="BW48" s="18"/>
      <c r="BZ48" s="65"/>
      <c r="CA48" s="65"/>
      <c r="CB48" s="66"/>
      <c r="CC48" s="101"/>
      <c r="CD48" s="67"/>
      <c r="CE48" s="67"/>
      <c r="CF48" s="68"/>
      <c r="CG48" s="80"/>
      <c r="CH48" s="102"/>
      <c r="CI48" s="103"/>
      <c r="CJ48" s="104"/>
    </row>
    <row r="49" spans="1:88" x14ac:dyDescent="0.3">
      <c r="A49" s="20">
        <v>1267</v>
      </c>
      <c r="B49" s="2" t="s">
        <v>358</v>
      </c>
      <c r="C49" s="2">
        <v>2017</v>
      </c>
      <c r="D49" s="2" t="s">
        <v>203</v>
      </c>
      <c r="E49" s="10" t="s">
        <v>359</v>
      </c>
      <c r="F49" s="20" t="s">
        <v>29</v>
      </c>
      <c r="G49" s="2" t="s">
        <v>362</v>
      </c>
      <c r="H49" s="2" t="s">
        <v>537</v>
      </c>
      <c r="I49" s="2" t="s">
        <v>740</v>
      </c>
      <c r="J49" s="2" t="s">
        <v>538</v>
      </c>
      <c r="K49" s="20">
        <v>802</v>
      </c>
      <c r="L49" s="2">
        <v>0.9</v>
      </c>
      <c r="M49" s="2" t="s">
        <v>55</v>
      </c>
      <c r="N49" s="33">
        <v>0</v>
      </c>
      <c r="O49" s="33">
        <v>0</v>
      </c>
      <c r="P49" s="33">
        <v>0</v>
      </c>
      <c r="Q49" s="33">
        <v>0.99974887443673854</v>
      </c>
      <c r="R49" s="33">
        <v>0</v>
      </c>
      <c r="S49" s="33">
        <v>2.5112556326146155E-4</v>
      </c>
      <c r="T49" s="8">
        <v>1</v>
      </c>
      <c r="U49" s="33">
        <v>0</v>
      </c>
      <c r="V49" s="33">
        <v>-0.99974887443673854</v>
      </c>
      <c r="W49" s="33">
        <v>801.0002511255633</v>
      </c>
      <c r="X49" s="33">
        <v>96485</v>
      </c>
      <c r="Y49" s="16">
        <v>-120.42539314373785</v>
      </c>
      <c r="Z49" s="2">
        <v>12</v>
      </c>
      <c r="AA49" s="2">
        <v>26</v>
      </c>
      <c r="AB49" s="8">
        <v>0.291497975708502</v>
      </c>
      <c r="AC49" s="16">
        <v>61.596009975062351</v>
      </c>
      <c r="AD49" s="2">
        <v>12</v>
      </c>
      <c r="AE49" s="8">
        <v>-3.2265792767093902</v>
      </c>
      <c r="AF49" s="2">
        <v>9.4</v>
      </c>
      <c r="AG49" s="20">
        <v>4.5</v>
      </c>
      <c r="AH49" s="2" t="s">
        <v>363</v>
      </c>
      <c r="AI49" s="2" t="s">
        <v>363</v>
      </c>
      <c r="AJ49" s="2" t="s">
        <v>363</v>
      </c>
      <c r="AK49" s="2" t="s">
        <v>363</v>
      </c>
      <c r="AL49" s="2" t="s">
        <v>363</v>
      </c>
      <c r="AM49" s="2" t="s">
        <v>363</v>
      </c>
      <c r="AN49" s="2" t="s">
        <v>363</v>
      </c>
      <c r="AO49" s="2" t="s">
        <v>363</v>
      </c>
      <c r="AP49" s="24">
        <v>21.496500000000001</v>
      </c>
      <c r="AQ49" s="70" t="s">
        <v>752</v>
      </c>
      <c r="AR49" s="163">
        <v>41.737499999999997</v>
      </c>
      <c r="AS49" s="163">
        <v>35.036999999999999</v>
      </c>
      <c r="AT49" s="163">
        <v>21.971</v>
      </c>
      <c r="AU49" s="70" t="s">
        <v>752</v>
      </c>
      <c r="AV49" s="2">
        <v>98.745499999999993</v>
      </c>
      <c r="AW49" s="18">
        <v>45.7</v>
      </c>
      <c r="AX49" s="13">
        <v>0.45700000000000002</v>
      </c>
      <c r="AY49" s="16" t="s">
        <v>364</v>
      </c>
      <c r="AZ49" s="16">
        <v>100</v>
      </c>
      <c r="BA49" s="16" t="s">
        <v>55</v>
      </c>
      <c r="BB49" s="8">
        <v>500</v>
      </c>
      <c r="BC49" s="16">
        <v>50000</v>
      </c>
      <c r="BD49" s="25">
        <v>104.71285480508998</v>
      </c>
      <c r="BE49" s="16">
        <v>229.13097331529534</v>
      </c>
      <c r="BF49" s="8">
        <v>2.3600837999301501</v>
      </c>
      <c r="BG49" s="8">
        <v>2.02</v>
      </c>
      <c r="BH49" s="16" t="s">
        <v>367</v>
      </c>
      <c r="BI49" s="16"/>
      <c r="BJ49" s="16"/>
      <c r="BK49" s="16"/>
      <c r="BL49" s="18"/>
      <c r="BM49" s="16"/>
      <c r="BN49" s="16"/>
      <c r="BO49" s="8"/>
      <c r="BP49" s="15"/>
      <c r="BQ49" s="8"/>
      <c r="BR49" s="13"/>
      <c r="BS49" s="16"/>
      <c r="BT49" s="16"/>
      <c r="BU49" s="16"/>
      <c r="BV49" s="16"/>
      <c r="BW49" s="18"/>
      <c r="BZ49" s="65"/>
      <c r="CA49" s="65"/>
      <c r="CB49" s="66"/>
      <c r="CC49" s="101"/>
      <c r="CD49" s="67"/>
      <c r="CE49" s="67"/>
      <c r="CF49" s="68"/>
      <c r="CG49" s="80"/>
      <c r="CH49" s="102"/>
      <c r="CI49" s="103"/>
      <c r="CJ49" s="104"/>
    </row>
    <row r="50" spans="1:88" x14ac:dyDescent="0.3">
      <c r="A50" s="20">
        <v>1268</v>
      </c>
      <c r="B50" s="2" t="s">
        <v>358</v>
      </c>
      <c r="C50" s="2">
        <v>2017</v>
      </c>
      <c r="D50" s="2" t="s">
        <v>203</v>
      </c>
      <c r="E50" s="10" t="s">
        <v>359</v>
      </c>
      <c r="F50" s="20" t="s">
        <v>29</v>
      </c>
      <c r="G50" s="2" t="s">
        <v>360</v>
      </c>
      <c r="H50" s="2" t="s">
        <v>535</v>
      </c>
      <c r="I50" s="2" t="s">
        <v>740</v>
      </c>
      <c r="J50" s="2" t="s">
        <v>536</v>
      </c>
      <c r="K50" s="20">
        <v>902</v>
      </c>
      <c r="L50" s="2">
        <v>0.9</v>
      </c>
      <c r="M50" s="2" t="s">
        <v>55</v>
      </c>
      <c r="N50" s="33">
        <v>0</v>
      </c>
      <c r="O50" s="33">
        <v>0</v>
      </c>
      <c r="P50" s="33">
        <v>0</v>
      </c>
      <c r="Q50" s="33">
        <v>0.99994988378839778</v>
      </c>
      <c r="R50" s="33">
        <v>0</v>
      </c>
      <c r="S50" s="33">
        <v>5.0116211602181963E-5</v>
      </c>
      <c r="T50" s="8">
        <v>1</v>
      </c>
      <c r="U50" s="33">
        <v>0</v>
      </c>
      <c r="V50" s="33">
        <v>-0.99994988378839778</v>
      </c>
      <c r="W50" s="33">
        <v>901.00005011621147</v>
      </c>
      <c r="X50" s="33">
        <v>96485</v>
      </c>
      <c r="Y50" s="16">
        <v>-107.0811977478575</v>
      </c>
      <c r="Z50" s="2">
        <v>12</v>
      </c>
      <c r="AA50" s="2">
        <v>26</v>
      </c>
      <c r="AB50" s="8">
        <v>0.291497975708502</v>
      </c>
      <c r="AC50" s="16">
        <v>54.767184035476724</v>
      </c>
      <c r="AD50" s="2">
        <v>12</v>
      </c>
      <c r="AE50" s="8">
        <v>-5.0477889418913309</v>
      </c>
      <c r="AF50" s="2">
        <v>10.7</v>
      </c>
      <c r="AG50" s="20">
        <v>5.2</v>
      </c>
      <c r="AH50" s="2" t="s">
        <v>363</v>
      </c>
      <c r="AI50" s="2" t="s">
        <v>363</v>
      </c>
      <c r="AJ50" s="2" t="s">
        <v>363</v>
      </c>
      <c r="AK50" s="2" t="s">
        <v>363</v>
      </c>
      <c r="AL50" s="2" t="s">
        <v>363</v>
      </c>
      <c r="AM50" s="2" t="s">
        <v>363</v>
      </c>
      <c r="AN50" s="2" t="s">
        <v>363</v>
      </c>
      <c r="AO50" s="2" t="s">
        <v>363</v>
      </c>
      <c r="AP50" s="24">
        <v>9.6</v>
      </c>
      <c r="AQ50" s="15" t="s">
        <v>363</v>
      </c>
      <c r="AR50" s="25">
        <v>63</v>
      </c>
      <c r="AS50" s="25">
        <v>32</v>
      </c>
      <c r="AT50" s="25">
        <v>5</v>
      </c>
      <c r="AU50" s="16" t="s">
        <v>363</v>
      </c>
      <c r="AV50" s="2">
        <v>100</v>
      </c>
      <c r="AW50" s="18">
        <v>1</v>
      </c>
      <c r="AX50" s="13">
        <v>0.01</v>
      </c>
      <c r="AY50" s="16" t="s">
        <v>364</v>
      </c>
      <c r="AZ50" s="16">
        <v>100</v>
      </c>
      <c r="BA50" s="16" t="s">
        <v>55</v>
      </c>
      <c r="BB50" s="8">
        <v>500</v>
      </c>
      <c r="BC50" s="16">
        <v>50000</v>
      </c>
      <c r="BD50" s="25">
        <v>125.89254117941677</v>
      </c>
      <c r="BE50" s="16">
        <v>12589.254117941677</v>
      </c>
      <c r="BF50" s="8">
        <v>4.1000000000000005</v>
      </c>
      <c r="BG50" s="8">
        <v>2.1</v>
      </c>
      <c r="BH50" s="16" t="s">
        <v>367</v>
      </c>
      <c r="BI50" s="16"/>
      <c r="BJ50" s="16"/>
      <c r="BK50" s="16"/>
      <c r="BL50" s="18"/>
      <c r="BM50" s="16"/>
      <c r="BN50" s="16"/>
      <c r="BO50" s="8"/>
      <c r="BP50" s="15"/>
      <c r="BQ50" s="8"/>
      <c r="BR50" s="13"/>
      <c r="BS50" s="16"/>
      <c r="BT50" s="16"/>
      <c r="BU50" s="16"/>
      <c r="BV50" s="16"/>
      <c r="BW50" s="18"/>
      <c r="BZ50" s="65"/>
      <c r="CA50" s="65"/>
      <c r="CB50" s="66"/>
      <c r="CC50" s="101"/>
      <c r="CD50" s="67"/>
      <c r="CE50" s="67"/>
      <c r="CF50" s="68"/>
      <c r="CG50" s="80"/>
      <c r="CH50" s="102"/>
      <c r="CI50" s="103"/>
      <c r="CJ50" s="104"/>
    </row>
    <row r="51" spans="1:88" x14ac:dyDescent="0.3">
      <c r="A51" s="20">
        <v>1269</v>
      </c>
      <c r="B51" s="2" t="s">
        <v>358</v>
      </c>
      <c r="C51" s="2">
        <v>2017</v>
      </c>
      <c r="D51" s="2" t="s">
        <v>203</v>
      </c>
      <c r="E51" s="10" t="s">
        <v>359</v>
      </c>
      <c r="F51" s="20" t="s">
        <v>29</v>
      </c>
      <c r="G51" s="2" t="s">
        <v>88</v>
      </c>
      <c r="H51" s="2" t="s">
        <v>535</v>
      </c>
      <c r="I51" s="2" t="s">
        <v>740</v>
      </c>
      <c r="J51" s="2" t="s">
        <v>536</v>
      </c>
      <c r="K51" s="20">
        <v>902</v>
      </c>
      <c r="L51" s="2">
        <v>0.9</v>
      </c>
      <c r="M51" s="2" t="s">
        <v>55</v>
      </c>
      <c r="N51" s="33">
        <v>0</v>
      </c>
      <c r="O51" s="33">
        <v>0</v>
      </c>
      <c r="P51" s="33">
        <v>0</v>
      </c>
      <c r="Q51" s="33">
        <v>0.99999800474166611</v>
      </c>
      <c r="R51" s="33">
        <v>0</v>
      </c>
      <c r="S51" s="33">
        <v>1.9952583339051196E-6</v>
      </c>
      <c r="T51" s="8">
        <v>1</v>
      </c>
      <c r="U51" s="33">
        <v>0</v>
      </c>
      <c r="V51" s="33">
        <v>-0.99999800474166611</v>
      </c>
      <c r="W51" s="33">
        <v>901.00000199525834</v>
      </c>
      <c r="X51" s="33">
        <v>96485</v>
      </c>
      <c r="Y51" s="16">
        <v>-107.08635657473332</v>
      </c>
      <c r="Z51" s="2">
        <v>12</v>
      </c>
      <c r="AA51" s="2">
        <v>26</v>
      </c>
      <c r="AB51" s="8">
        <v>0.291497975708502</v>
      </c>
      <c r="AC51" s="16">
        <v>54.767184035476724</v>
      </c>
      <c r="AD51" s="2">
        <v>12</v>
      </c>
      <c r="AE51" s="8">
        <v>-5.0477889418913309</v>
      </c>
      <c r="AF51" s="2">
        <v>10.7</v>
      </c>
      <c r="AG51" s="20">
        <v>6.6</v>
      </c>
      <c r="AH51" s="2" t="s">
        <v>363</v>
      </c>
      <c r="AI51" s="2" t="s">
        <v>363</v>
      </c>
      <c r="AJ51" s="2" t="s">
        <v>363</v>
      </c>
      <c r="AK51" s="2" t="s">
        <v>363</v>
      </c>
      <c r="AL51" s="2" t="s">
        <v>363</v>
      </c>
      <c r="AM51" s="2" t="s">
        <v>363</v>
      </c>
      <c r="AN51" s="2" t="s">
        <v>363</v>
      </c>
      <c r="AO51" s="2" t="s">
        <v>363</v>
      </c>
      <c r="AP51" s="24">
        <v>33.5</v>
      </c>
      <c r="AQ51" s="15" t="s">
        <v>363</v>
      </c>
      <c r="AR51" s="25">
        <v>25</v>
      </c>
      <c r="AS51" s="25">
        <v>38</v>
      </c>
      <c r="AT51" s="25">
        <v>37</v>
      </c>
      <c r="AU51" s="16" t="s">
        <v>363</v>
      </c>
      <c r="AV51" s="2">
        <v>100</v>
      </c>
      <c r="AW51" s="18">
        <v>1.1000000000000001</v>
      </c>
      <c r="AX51" s="13">
        <v>1.1000000000000001E-2</v>
      </c>
      <c r="AY51" s="16" t="s">
        <v>364</v>
      </c>
      <c r="AZ51" s="16">
        <v>100</v>
      </c>
      <c r="BA51" s="16" t="s">
        <v>55</v>
      </c>
      <c r="BB51" s="8">
        <v>500</v>
      </c>
      <c r="BC51" s="16">
        <v>50000</v>
      </c>
      <c r="BD51" s="25">
        <v>162.18100973589304</v>
      </c>
      <c r="BE51" s="16">
        <v>14743.728157808457</v>
      </c>
      <c r="BF51" s="8">
        <v>4.1686073148417746</v>
      </c>
      <c r="BG51" s="8">
        <v>2.21</v>
      </c>
      <c r="BH51" s="16" t="s">
        <v>367</v>
      </c>
      <c r="BI51" s="16"/>
      <c r="BJ51" s="16"/>
      <c r="BK51" s="16"/>
      <c r="BL51" s="18"/>
      <c r="BM51" s="16"/>
      <c r="BN51" s="16"/>
      <c r="BO51" s="8"/>
      <c r="BP51" s="15"/>
      <c r="BQ51" s="8"/>
      <c r="BR51" s="13"/>
      <c r="BS51" s="16"/>
      <c r="BT51" s="16"/>
      <c r="BU51" s="16"/>
      <c r="BV51" s="16"/>
      <c r="BW51" s="18"/>
      <c r="BZ51" s="65"/>
      <c r="CA51" s="65"/>
      <c r="CB51" s="66"/>
      <c r="CC51" s="101"/>
      <c r="CD51" s="67"/>
      <c r="CE51" s="67"/>
      <c r="CF51" s="68"/>
      <c r="CG51" s="80"/>
      <c r="CH51" s="102"/>
      <c r="CI51" s="103"/>
      <c r="CJ51" s="104"/>
    </row>
    <row r="52" spans="1:88" x14ac:dyDescent="0.3">
      <c r="A52" s="20">
        <v>1270</v>
      </c>
      <c r="B52" s="2" t="s">
        <v>358</v>
      </c>
      <c r="C52" s="2">
        <v>2017</v>
      </c>
      <c r="D52" s="2" t="s">
        <v>203</v>
      </c>
      <c r="E52" s="10" t="s">
        <v>359</v>
      </c>
      <c r="F52" s="20" t="s">
        <v>29</v>
      </c>
      <c r="G52" s="2" t="s">
        <v>365</v>
      </c>
      <c r="H52" s="2" t="s">
        <v>535</v>
      </c>
      <c r="I52" s="2" t="s">
        <v>740</v>
      </c>
      <c r="J52" s="2" t="s">
        <v>536</v>
      </c>
      <c r="K52" s="20">
        <v>902</v>
      </c>
      <c r="L52" s="2">
        <v>0.9</v>
      </c>
      <c r="M52" s="2" t="s">
        <v>55</v>
      </c>
      <c r="N52" s="33">
        <v>0</v>
      </c>
      <c r="O52" s="33">
        <v>0</v>
      </c>
      <c r="P52" s="33">
        <v>0</v>
      </c>
      <c r="Q52" s="33">
        <v>0.9999992056723962</v>
      </c>
      <c r="R52" s="33">
        <v>0</v>
      </c>
      <c r="S52" s="33">
        <v>7.9432760376743793E-7</v>
      </c>
      <c r="T52" s="8">
        <v>1</v>
      </c>
      <c r="U52" s="33">
        <v>0</v>
      </c>
      <c r="V52" s="33">
        <v>-0.9999992056723962</v>
      </c>
      <c r="W52" s="33">
        <v>901.00000079432766</v>
      </c>
      <c r="X52" s="33">
        <v>96485</v>
      </c>
      <c r="Y52" s="16">
        <v>-107.0864853210204</v>
      </c>
      <c r="Z52" s="2">
        <v>12</v>
      </c>
      <c r="AA52" s="2">
        <v>26</v>
      </c>
      <c r="AB52" s="8">
        <v>0.291497975708502</v>
      </c>
      <c r="AC52" s="16">
        <v>54.767184035476724</v>
      </c>
      <c r="AD52" s="2">
        <v>12</v>
      </c>
      <c r="AE52" s="8">
        <v>-5.0477889418913309</v>
      </c>
      <c r="AF52" s="2">
        <v>10.7</v>
      </c>
      <c r="AG52" s="20">
        <v>7</v>
      </c>
      <c r="AH52" s="2" t="s">
        <v>363</v>
      </c>
      <c r="AI52" s="2" t="s">
        <v>363</v>
      </c>
      <c r="AJ52" s="2" t="s">
        <v>363</v>
      </c>
      <c r="AK52" s="2" t="s">
        <v>363</v>
      </c>
      <c r="AL52" s="2" t="s">
        <v>363</v>
      </c>
      <c r="AM52" s="2" t="s">
        <v>363</v>
      </c>
      <c r="AN52" s="2" t="s">
        <v>363</v>
      </c>
      <c r="AO52" s="2" t="s">
        <v>363</v>
      </c>
      <c r="AP52" s="24">
        <v>23.3</v>
      </c>
      <c r="AQ52" s="15" t="s">
        <v>363</v>
      </c>
      <c r="AR52" s="25">
        <v>28</v>
      </c>
      <c r="AS52" s="25">
        <v>48</v>
      </c>
      <c r="AT52" s="25">
        <v>22</v>
      </c>
      <c r="AU52" s="16" t="s">
        <v>363</v>
      </c>
      <c r="AV52" s="2">
        <v>98</v>
      </c>
      <c r="AW52" s="18">
        <v>1.1000000000000001</v>
      </c>
      <c r="AX52" s="13">
        <v>1.1000000000000001E-2</v>
      </c>
      <c r="AY52" s="16" t="s">
        <v>364</v>
      </c>
      <c r="AZ52" s="16">
        <v>100</v>
      </c>
      <c r="BA52" s="16" t="s">
        <v>55</v>
      </c>
      <c r="BB52" s="8">
        <v>500</v>
      </c>
      <c r="BC52" s="16">
        <v>50000</v>
      </c>
      <c r="BD52" s="25">
        <v>660.69344800759643</v>
      </c>
      <c r="BE52" s="16">
        <v>60063.040727963307</v>
      </c>
      <c r="BF52" s="8">
        <v>4.7786073148417749</v>
      </c>
      <c r="BG52" s="8">
        <v>2.8200000000000003</v>
      </c>
      <c r="BH52" s="16" t="s">
        <v>367</v>
      </c>
      <c r="BI52" s="16"/>
      <c r="BJ52" s="16"/>
      <c r="BK52" s="16"/>
      <c r="BL52" s="18"/>
      <c r="BM52" s="16"/>
      <c r="BN52" s="16"/>
      <c r="BO52" s="8"/>
      <c r="BP52" s="15"/>
      <c r="BQ52" s="8"/>
      <c r="BR52" s="13"/>
      <c r="BS52" s="16"/>
      <c r="BT52" s="16"/>
      <c r="BU52" s="16"/>
      <c r="BV52" s="16"/>
      <c r="BW52" s="18"/>
      <c r="BZ52" s="65"/>
      <c r="CA52" s="65"/>
      <c r="CB52" s="66"/>
      <c r="CC52" s="101"/>
      <c r="CD52" s="67"/>
      <c r="CE52" s="67"/>
      <c r="CF52" s="68"/>
      <c r="CG52" s="80"/>
      <c r="CH52" s="102"/>
      <c r="CI52" s="103"/>
      <c r="CJ52" s="104"/>
    </row>
    <row r="53" spans="1:88" x14ac:dyDescent="0.3">
      <c r="A53" s="20">
        <v>1271</v>
      </c>
      <c r="B53" s="2" t="s">
        <v>358</v>
      </c>
      <c r="C53" s="2">
        <v>2017</v>
      </c>
      <c r="D53" s="2" t="s">
        <v>203</v>
      </c>
      <c r="E53" s="10" t="s">
        <v>359</v>
      </c>
      <c r="F53" s="20" t="s">
        <v>29</v>
      </c>
      <c r="G53" s="2" t="s">
        <v>89</v>
      </c>
      <c r="H53" s="2" t="s">
        <v>535</v>
      </c>
      <c r="I53" s="2" t="s">
        <v>740</v>
      </c>
      <c r="J53" s="2" t="s">
        <v>536</v>
      </c>
      <c r="K53" s="20">
        <v>902</v>
      </c>
      <c r="L53" s="2">
        <v>0.9</v>
      </c>
      <c r="M53" s="2" t="s">
        <v>55</v>
      </c>
      <c r="N53" s="33">
        <v>0</v>
      </c>
      <c r="O53" s="33">
        <v>0</v>
      </c>
      <c r="P53" s="33">
        <v>0</v>
      </c>
      <c r="Q53" s="33">
        <v>0.99874265748864466</v>
      </c>
      <c r="R53" s="33">
        <v>0</v>
      </c>
      <c r="S53" s="33">
        <v>1.2573425113552919E-3</v>
      </c>
      <c r="T53" s="8">
        <v>1</v>
      </c>
      <c r="U53" s="33">
        <v>0</v>
      </c>
      <c r="V53" s="33">
        <v>-0.99874265748864466</v>
      </c>
      <c r="W53" s="33">
        <v>901.00125734251128</v>
      </c>
      <c r="X53" s="33">
        <v>96485</v>
      </c>
      <c r="Y53" s="16">
        <v>-106.95177672894155</v>
      </c>
      <c r="Z53" s="2">
        <v>12</v>
      </c>
      <c r="AA53" s="2">
        <v>26</v>
      </c>
      <c r="AB53" s="8">
        <v>0.291497975708502</v>
      </c>
      <c r="AC53" s="16">
        <v>54.767184035476724</v>
      </c>
      <c r="AD53" s="2">
        <v>12</v>
      </c>
      <c r="AE53" s="8">
        <v>-5.0477889418913309</v>
      </c>
      <c r="AF53" s="2">
        <v>10.7</v>
      </c>
      <c r="AG53" s="20">
        <v>3.8</v>
      </c>
      <c r="AH53" s="2" t="s">
        <v>363</v>
      </c>
      <c r="AI53" s="2" t="s">
        <v>363</v>
      </c>
      <c r="AJ53" s="2" t="s">
        <v>363</v>
      </c>
      <c r="AK53" s="2" t="s">
        <v>363</v>
      </c>
      <c r="AL53" s="2" t="s">
        <v>363</v>
      </c>
      <c r="AM53" s="2" t="s">
        <v>363</v>
      </c>
      <c r="AN53" s="2" t="s">
        <v>363</v>
      </c>
      <c r="AO53" s="2" t="s">
        <v>363</v>
      </c>
      <c r="AP53" s="24">
        <v>23.89</v>
      </c>
      <c r="AQ53" s="15" t="s">
        <v>363</v>
      </c>
      <c r="AR53" s="25">
        <v>53</v>
      </c>
      <c r="AS53" s="25">
        <v>41</v>
      </c>
      <c r="AT53" s="25">
        <v>6</v>
      </c>
      <c r="AU53" s="16" t="s">
        <v>363</v>
      </c>
      <c r="AV53" s="2">
        <v>100</v>
      </c>
      <c r="AW53" s="18">
        <v>3.6</v>
      </c>
      <c r="AX53" s="13">
        <v>3.6000000000000004E-2</v>
      </c>
      <c r="AY53" s="16" t="s">
        <v>364</v>
      </c>
      <c r="AZ53" s="16">
        <v>100</v>
      </c>
      <c r="BA53" s="16" t="s">
        <v>55</v>
      </c>
      <c r="BB53" s="8">
        <v>500</v>
      </c>
      <c r="BC53" s="16">
        <v>50000</v>
      </c>
      <c r="BD53" s="25">
        <v>20.4173794466953</v>
      </c>
      <c r="BE53" s="16">
        <v>567.14942907486932</v>
      </c>
      <c r="BF53" s="8">
        <v>2.7536974992327128</v>
      </c>
      <c r="BG53" s="8">
        <v>1.31</v>
      </c>
      <c r="BH53" s="16" t="s">
        <v>367</v>
      </c>
      <c r="BI53" s="16"/>
      <c r="BJ53" s="16"/>
      <c r="BK53" s="16"/>
      <c r="BL53" s="18"/>
      <c r="BM53" s="16"/>
      <c r="BN53" s="16"/>
      <c r="BO53" s="8"/>
      <c r="BP53" s="15"/>
      <c r="BQ53" s="8"/>
      <c r="BR53" s="13"/>
      <c r="BS53" s="16"/>
      <c r="BT53" s="16"/>
      <c r="BU53" s="16"/>
      <c r="BV53" s="16"/>
      <c r="BW53" s="18"/>
      <c r="BZ53" s="65"/>
      <c r="CA53" s="65"/>
      <c r="CB53" s="66"/>
      <c r="CC53" s="101"/>
      <c r="CD53" s="67"/>
      <c r="CE53" s="67"/>
      <c r="CF53" s="68"/>
      <c r="CG53" s="80"/>
      <c r="CH53" s="102"/>
      <c r="CI53" s="103"/>
      <c r="CJ53" s="104"/>
    </row>
    <row r="54" spans="1:88" x14ac:dyDescent="0.3">
      <c r="A54" s="20">
        <v>1272</v>
      </c>
      <c r="B54" s="2" t="s">
        <v>358</v>
      </c>
      <c r="C54" s="2">
        <v>2017</v>
      </c>
      <c r="D54" s="2" t="s">
        <v>203</v>
      </c>
      <c r="E54" s="10" t="s">
        <v>359</v>
      </c>
      <c r="F54" s="20" t="s">
        <v>29</v>
      </c>
      <c r="G54" s="2" t="s">
        <v>361</v>
      </c>
      <c r="H54" s="2" t="s">
        <v>535</v>
      </c>
      <c r="I54" s="2" t="s">
        <v>740</v>
      </c>
      <c r="J54" s="2" t="s">
        <v>536</v>
      </c>
      <c r="K54" s="20">
        <v>902</v>
      </c>
      <c r="L54" s="2">
        <v>0.9</v>
      </c>
      <c r="M54" s="2" t="s">
        <v>55</v>
      </c>
      <c r="N54" s="33">
        <v>0</v>
      </c>
      <c r="O54" s="33">
        <v>0</v>
      </c>
      <c r="P54" s="33">
        <v>0</v>
      </c>
      <c r="Q54" s="33">
        <v>0.99968387220237043</v>
      </c>
      <c r="R54" s="33">
        <v>0</v>
      </c>
      <c r="S54" s="33">
        <v>3.1612779762961706E-4</v>
      </c>
      <c r="T54" s="8">
        <v>1</v>
      </c>
      <c r="U54" s="33">
        <v>0</v>
      </c>
      <c r="V54" s="33">
        <v>-0.99968387220237043</v>
      </c>
      <c r="W54" s="33">
        <v>901.00031612779765</v>
      </c>
      <c r="X54" s="33">
        <v>96485</v>
      </c>
      <c r="Y54" s="16">
        <v>-107.05267987471453</v>
      </c>
      <c r="Z54" s="2">
        <v>12</v>
      </c>
      <c r="AA54" s="2">
        <v>26</v>
      </c>
      <c r="AB54" s="8">
        <v>0.291497975708502</v>
      </c>
      <c r="AC54" s="16">
        <v>54.767184035476724</v>
      </c>
      <c r="AD54" s="2">
        <v>12</v>
      </c>
      <c r="AE54" s="8">
        <v>-5.0477889418913309</v>
      </c>
      <c r="AF54" s="2">
        <v>10.7</v>
      </c>
      <c r="AG54" s="20">
        <v>4.4000000000000004</v>
      </c>
      <c r="AH54" s="2" t="s">
        <v>363</v>
      </c>
      <c r="AI54" s="2" t="s">
        <v>363</v>
      </c>
      <c r="AJ54" s="2" t="s">
        <v>363</v>
      </c>
      <c r="AK54" s="2" t="s">
        <v>363</v>
      </c>
      <c r="AL54" s="2" t="s">
        <v>363</v>
      </c>
      <c r="AM54" s="2" t="s">
        <v>363</v>
      </c>
      <c r="AN54" s="2" t="s">
        <v>363</v>
      </c>
      <c r="AO54" s="2" t="s">
        <v>363</v>
      </c>
      <c r="AP54" s="24">
        <v>11.3</v>
      </c>
      <c r="AQ54" s="15" t="s">
        <v>363</v>
      </c>
      <c r="AR54" s="25">
        <v>58</v>
      </c>
      <c r="AS54" s="25">
        <v>20</v>
      </c>
      <c r="AT54" s="25">
        <v>22</v>
      </c>
      <c r="AU54" s="16" t="s">
        <v>363</v>
      </c>
      <c r="AV54" s="2">
        <v>100</v>
      </c>
      <c r="AW54" s="18">
        <v>10.199999999999999</v>
      </c>
      <c r="AX54" s="13">
        <v>0.10199999999999999</v>
      </c>
      <c r="AY54" s="16" t="s">
        <v>364</v>
      </c>
      <c r="AZ54" s="16">
        <v>100</v>
      </c>
      <c r="BA54" s="16" t="s">
        <v>55</v>
      </c>
      <c r="BB54" s="8">
        <v>500</v>
      </c>
      <c r="BC54" s="16">
        <v>50000</v>
      </c>
      <c r="BD54" s="25">
        <v>154.8816618912482</v>
      </c>
      <c r="BE54" s="16">
        <v>1518.4476656004726</v>
      </c>
      <c r="BF54" s="8">
        <v>3.1813998282380829</v>
      </c>
      <c r="BG54" s="8">
        <v>2.1900000000000004</v>
      </c>
      <c r="BH54" s="16" t="s">
        <v>367</v>
      </c>
      <c r="BI54" s="16"/>
      <c r="BJ54" s="16"/>
      <c r="BK54" s="16"/>
      <c r="BL54" s="18"/>
      <c r="BM54" s="16"/>
      <c r="BN54" s="16"/>
      <c r="BO54" s="8"/>
      <c r="BP54" s="15"/>
      <c r="BQ54" s="8"/>
      <c r="BR54" s="13"/>
      <c r="BS54" s="16"/>
      <c r="BT54" s="16"/>
      <c r="BU54" s="16"/>
      <c r="BV54" s="16"/>
      <c r="BW54" s="18"/>
      <c r="BZ54" s="65"/>
      <c r="CA54" s="65"/>
      <c r="CB54" s="66"/>
      <c r="CC54" s="101"/>
      <c r="CD54" s="67"/>
      <c r="CE54" s="67"/>
      <c r="CF54" s="68"/>
      <c r="CG54" s="80"/>
      <c r="CH54" s="102"/>
      <c r="CI54" s="103"/>
      <c r="CJ54" s="104"/>
    </row>
    <row r="55" spans="1:88" x14ac:dyDescent="0.3">
      <c r="A55" s="20">
        <v>1273</v>
      </c>
      <c r="B55" s="2" t="s">
        <v>358</v>
      </c>
      <c r="C55" s="2">
        <v>2017</v>
      </c>
      <c r="D55" s="2" t="s">
        <v>203</v>
      </c>
      <c r="E55" s="10" t="s">
        <v>359</v>
      </c>
      <c r="F55" s="20" t="s">
        <v>29</v>
      </c>
      <c r="G55" s="2" t="s">
        <v>274</v>
      </c>
      <c r="H55" s="2" t="s">
        <v>535</v>
      </c>
      <c r="I55" s="2" t="s">
        <v>740</v>
      </c>
      <c r="J55" s="2" t="s">
        <v>536</v>
      </c>
      <c r="K55" s="20">
        <v>902</v>
      </c>
      <c r="L55" s="2">
        <v>0.9</v>
      </c>
      <c r="M55" s="2" t="s">
        <v>55</v>
      </c>
      <c r="N55" s="33">
        <v>0</v>
      </c>
      <c r="O55" s="33">
        <v>0</v>
      </c>
      <c r="P55" s="33">
        <v>0</v>
      </c>
      <c r="Q55" s="33">
        <v>0.99999369046636566</v>
      </c>
      <c r="R55" s="33">
        <v>0</v>
      </c>
      <c r="S55" s="33">
        <v>6.3095336343360639E-6</v>
      </c>
      <c r="T55" s="8">
        <v>1</v>
      </c>
      <c r="U55" s="33">
        <v>0</v>
      </c>
      <c r="V55" s="33">
        <v>-0.99999369046636566</v>
      </c>
      <c r="W55" s="33">
        <v>901.00000630953355</v>
      </c>
      <c r="X55" s="33">
        <v>96485</v>
      </c>
      <c r="Y55" s="16">
        <v>-107.08589406102691</v>
      </c>
      <c r="Z55" s="2">
        <v>12</v>
      </c>
      <c r="AA55" s="2">
        <v>26</v>
      </c>
      <c r="AB55" s="8">
        <v>0.291497975708502</v>
      </c>
      <c r="AC55" s="16">
        <v>54.767184035476724</v>
      </c>
      <c r="AD55" s="2">
        <v>12</v>
      </c>
      <c r="AE55" s="8">
        <v>-5.0477889418913309</v>
      </c>
      <c r="AF55" s="2">
        <v>10.7</v>
      </c>
      <c r="AG55" s="20">
        <v>6.1</v>
      </c>
      <c r="AH55" s="2" t="s">
        <v>363</v>
      </c>
      <c r="AI55" s="2" t="s">
        <v>363</v>
      </c>
      <c r="AJ55" s="2" t="s">
        <v>363</v>
      </c>
      <c r="AK55" s="2" t="s">
        <v>363</v>
      </c>
      <c r="AL55" s="2" t="s">
        <v>363</v>
      </c>
      <c r="AM55" s="2" t="s">
        <v>363</v>
      </c>
      <c r="AN55" s="2" t="s">
        <v>363</v>
      </c>
      <c r="AO55" s="2" t="s">
        <v>363</v>
      </c>
      <c r="AP55" s="24">
        <v>24.2</v>
      </c>
      <c r="AQ55" s="15" t="s">
        <v>363</v>
      </c>
      <c r="AR55" s="25">
        <v>10</v>
      </c>
      <c r="AS55" s="25">
        <v>61</v>
      </c>
      <c r="AT55" s="25">
        <v>27</v>
      </c>
      <c r="AU55" s="16" t="s">
        <v>363</v>
      </c>
      <c r="AV55" s="2">
        <v>98</v>
      </c>
      <c r="AW55" s="18">
        <v>2.63</v>
      </c>
      <c r="AX55" s="13">
        <v>2.63E-2</v>
      </c>
      <c r="AY55" s="16" t="s">
        <v>364</v>
      </c>
      <c r="AZ55" s="16">
        <v>100</v>
      </c>
      <c r="BA55" s="16" t="s">
        <v>55</v>
      </c>
      <c r="BB55" s="8">
        <v>500</v>
      </c>
      <c r="BC55" s="16">
        <v>50000</v>
      </c>
      <c r="BD55" s="25">
        <v>64.565422903465588</v>
      </c>
      <c r="BE55" s="16">
        <v>2454.959045759148</v>
      </c>
      <c r="BF55" s="8">
        <v>3.3900442515102425</v>
      </c>
      <c r="BG55" s="8">
        <v>1.8100000000000003</v>
      </c>
      <c r="BH55" s="16" t="s">
        <v>367</v>
      </c>
      <c r="BI55" s="16"/>
      <c r="BJ55" s="16"/>
      <c r="BK55" s="16"/>
      <c r="BL55" s="18"/>
      <c r="BM55" s="16"/>
      <c r="BN55" s="16"/>
      <c r="BO55" s="8"/>
      <c r="BP55" s="15"/>
      <c r="BQ55" s="8"/>
      <c r="BR55" s="13"/>
      <c r="BS55" s="16"/>
      <c r="BT55" s="16"/>
      <c r="BU55" s="16"/>
      <c r="BV55" s="16"/>
      <c r="BW55" s="18"/>
      <c r="BZ55" s="65"/>
      <c r="CA55" s="65"/>
      <c r="CB55" s="66"/>
      <c r="CC55" s="101"/>
      <c r="CD55" s="67"/>
      <c r="CE55" s="67"/>
      <c r="CF55" s="68"/>
      <c r="CG55" s="80"/>
      <c r="CH55" s="102"/>
      <c r="CI55" s="103"/>
      <c r="CJ55" s="104"/>
    </row>
    <row r="56" spans="1:88" x14ac:dyDescent="0.3">
      <c r="A56" s="20">
        <v>1274</v>
      </c>
      <c r="B56" s="2" t="s">
        <v>358</v>
      </c>
      <c r="C56" s="2">
        <v>2017</v>
      </c>
      <c r="D56" s="2" t="s">
        <v>203</v>
      </c>
      <c r="E56" s="10" t="s">
        <v>359</v>
      </c>
      <c r="F56" s="20" t="s">
        <v>29</v>
      </c>
      <c r="G56" s="2" t="s">
        <v>362</v>
      </c>
      <c r="H56" s="2" t="s">
        <v>535</v>
      </c>
      <c r="I56" s="2" t="s">
        <v>740</v>
      </c>
      <c r="J56" s="2" t="s">
        <v>536</v>
      </c>
      <c r="K56" s="20">
        <v>902</v>
      </c>
      <c r="L56" s="2">
        <v>0.9</v>
      </c>
      <c r="M56" s="2" t="s">
        <v>55</v>
      </c>
      <c r="N56" s="33">
        <v>0</v>
      </c>
      <c r="O56" s="33">
        <v>0</v>
      </c>
      <c r="P56" s="33">
        <v>0</v>
      </c>
      <c r="Q56" s="33">
        <v>0.99974887443673854</v>
      </c>
      <c r="R56" s="33">
        <v>0</v>
      </c>
      <c r="S56" s="33">
        <v>2.5112556326146155E-4</v>
      </c>
      <c r="T56" s="8">
        <v>1</v>
      </c>
      <c r="U56" s="33">
        <v>0</v>
      </c>
      <c r="V56" s="33">
        <v>-0.99974887443673854</v>
      </c>
      <c r="W56" s="33">
        <v>901.00025112556318</v>
      </c>
      <c r="X56" s="33">
        <v>96485</v>
      </c>
      <c r="Y56" s="16">
        <v>-107.0596484623909</v>
      </c>
      <c r="Z56" s="2">
        <v>12</v>
      </c>
      <c r="AA56" s="2">
        <v>26</v>
      </c>
      <c r="AB56" s="8">
        <v>0.291497975708502</v>
      </c>
      <c r="AC56" s="16">
        <v>54.767184035476724</v>
      </c>
      <c r="AD56" s="2">
        <v>12</v>
      </c>
      <c r="AE56" s="8">
        <v>-5.0477889418913309</v>
      </c>
      <c r="AF56" s="2">
        <v>10.7</v>
      </c>
      <c r="AG56" s="20">
        <v>4.5</v>
      </c>
      <c r="AH56" s="2" t="s">
        <v>363</v>
      </c>
      <c r="AI56" s="2" t="s">
        <v>363</v>
      </c>
      <c r="AJ56" s="2" t="s">
        <v>363</v>
      </c>
      <c r="AK56" s="2" t="s">
        <v>363</v>
      </c>
      <c r="AL56" s="2" t="s">
        <v>363</v>
      </c>
      <c r="AM56" s="2" t="s">
        <v>363</v>
      </c>
      <c r="AN56" s="2" t="s">
        <v>363</v>
      </c>
      <c r="AO56" s="2" t="s">
        <v>363</v>
      </c>
      <c r="AP56" s="24">
        <v>21.496500000000001</v>
      </c>
      <c r="AQ56" s="70" t="s">
        <v>752</v>
      </c>
      <c r="AR56" s="163">
        <v>41.737499999999997</v>
      </c>
      <c r="AS56" s="163">
        <v>35.036999999999999</v>
      </c>
      <c r="AT56" s="163">
        <v>21.971</v>
      </c>
      <c r="AU56" s="70" t="s">
        <v>752</v>
      </c>
      <c r="AV56" s="2">
        <v>98.745499999999993</v>
      </c>
      <c r="AW56" s="18">
        <v>45.7</v>
      </c>
      <c r="AX56" s="13">
        <v>0.45700000000000002</v>
      </c>
      <c r="AY56" s="16" t="s">
        <v>364</v>
      </c>
      <c r="AZ56" s="16">
        <v>100</v>
      </c>
      <c r="BA56" s="16" t="s">
        <v>55</v>
      </c>
      <c r="BB56" s="8">
        <v>500</v>
      </c>
      <c r="BC56" s="16">
        <v>50000</v>
      </c>
      <c r="BD56" s="20">
        <v>100</v>
      </c>
      <c r="BE56" s="16">
        <v>218.81838074398249</v>
      </c>
      <c r="BF56" s="8">
        <v>2.3400837999301496</v>
      </c>
      <c r="BG56" s="8">
        <v>2</v>
      </c>
      <c r="BH56" s="16" t="s">
        <v>367</v>
      </c>
      <c r="BI56" s="16"/>
      <c r="BJ56" s="16"/>
      <c r="BK56" s="16"/>
      <c r="BL56" s="18"/>
      <c r="BM56" s="16"/>
      <c r="BN56" s="16"/>
      <c r="BO56" s="8"/>
      <c r="BP56" s="15"/>
      <c r="BQ56" s="8"/>
      <c r="BR56" s="13"/>
      <c r="BS56" s="16"/>
      <c r="BT56" s="16"/>
      <c r="BU56" s="16"/>
      <c r="BV56" s="16"/>
      <c r="BW56" s="18"/>
      <c r="BZ56" s="65"/>
      <c r="CA56" s="65"/>
      <c r="CB56" s="66"/>
      <c r="CC56" s="101"/>
      <c r="CD56" s="67"/>
      <c r="CE56" s="67"/>
      <c r="CF56" s="68"/>
      <c r="CG56" s="80"/>
      <c r="CH56" s="102"/>
      <c r="CI56" s="103"/>
      <c r="CJ56" s="104"/>
    </row>
    <row r="86" spans="4:71" x14ac:dyDescent="0.3">
      <c r="D86" s="29"/>
      <c r="E86" s="20"/>
      <c r="J86" s="20"/>
      <c r="M86" s="33"/>
      <c r="N86" s="33"/>
      <c r="O86" s="33"/>
      <c r="P86" s="33"/>
      <c r="Q86" s="33"/>
      <c r="R86" s="33"/>
      <c r="S86" s="8"/>
      <c r="T86" s="33"/>
      <c r="U86" s="33"/>
      <c r="V86" s="33"/>
      <c r="W86" s="16"/>
      <c r="X86" s="16"/>
      <c r="Y86" s="8"/>
      <c r="Z86" s="16"/>
      <c r="AB86" s="8"/>
      <c r="AC86" s="15"/>
      <c r="AD86" s="20"/>
      <c r="AF86" s="15"/>
      <c r="AG86" s="25"/>
      <c r="AI86" s="15"/>
      <c r="AJ86" s="16"/>
      <c r="AM86" s="16"/>
      <c r="AN86" s="16"/>
      <c r="AS86" s="25"/>
      <c r="AT86" s="25"/>
      <c r="AU86" s="16"/>
      <c r="AV86" s="16"/>
      <c r="AY86" s="20"/>
      <c r="AZ86" s="8"/>
      <c r="BA86" s="13"/>
      <c r="BB86" s="16"/>
      <c r="BC86" s="16"/>
      <c r="BD86" s="25"/>
      <c r="BE86" s="16"/>
      <c r="BF86" s="25"/>
      <c r="BG86" s="15"/>
      <c r="BH86" s="15"/>
      <c r="BI86" s="15"/>
      <c r="BJ86" s="8"/>
      <c r="BK86" s="13"/>
      <c r="BL86" s="13"/>
      <c r="BM86" s="13"/>
      <c r="BN86" s="13"/>
      <c r="BO86" s="13"/>
      <c r="BP86" s="17"/>
      <c r="BQ86" s="17"/>
      <c r="BR86" s="13"/>
      <c r="BS86" s="13"/>
    </row>
  </sheetData>
  <sheetProtection algorithmName="SHA-512" hashValue="bLTJMRIe060yMFRnQWdzwYgbfFmJuMoGSumrHrsovArZ3ZtzhxAdRO0jNEwXDNgpC8Td8jXSmZI0l/EAvZ21aw==" saltValue="zJButNfyLJGVoW2Xe6gYfg==" spinCount="100000" sheet="1" objects="1" scenarios="1" selectLockedCells="1" selectUnlockedCells="1"/>
  <mergeCells count="3">
    <mergeCell ref="A8:L8"/>
    <mergeCell ref="A34:L34"/>
    <mergeCell ref="A3:L3"/>
  </mergeCells>
  <conditionalFormatting sqref="BN86">
    <cfRule type="cellIs" dxfId="939" priority="1098" operator="greaterThan">
      <formula>1</formula>
    </cfRule>
  </conditionalFormatting>
  <conditionalFormatting sqref="BN86">
    <cfRule type="cellIs" dxfId="938" priority="1097" operator="greaterThan">
      <formula>1</formula>
    </cfRule>
  </conditionalFormatting>
  <conditionalFormatting sqref="U86">
    <cfRule type="cellIs" dxfId="937" priority="1095" operator="equal">
      <formula>1</formula>
    </cfRule>
    <cfRule type="cellIs" dxfId="936" priority="1096" operator="equal">
      <formula>1</formula>
    </cfRule>
  </conditionalFormatting>
  <conditionalFormatting sqref="S86">
    <cfRule type="cellIs" dxfId="935" priority="1089" operator="equal">
      <formula>1</formula>
    </cfRule>
    <cfRule type="cellIs" dxfId="934" priority="1090" operator="equal">
      <formula>1</formula>
    </cfRule>
  </conditionalFormatting>
  <conditionalFormatting sqref="M86:R86">
    <cfRule type="colorScale" priority="10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86 U86">
    <cfRule type="cellIs" dxfId="933" priority="1053" operator="equal">
      <formula>1</formula>
    </cfRule>
    <cfRule type="cellIs" dxfId="932" priority="1054" operator="equal">
      <formula>1</formula>
    </cfRule>
  </conditionalFormatting>
  <conditionalFormatting sqref="AV86">
    <cfRule type="cellIs" dxfId="931" priority="1051" operator="between">
      <formula>95</formula>
      <formula>105</formula>
    </cfRule>
  </conditionalFormatting>
  <conditionalFormatting sqref="BA16">
    <cfRule type="cellIs" dxfId="930" priority="617" operator="between">
      <formula>95</formula>
      <formula>105</formula>
    </cfRule>
  </conditionalFormatting>
  <conditionalFormatting sqref="AW16">
    <cfRule type="cellIs" dxfId="929" priority="616" operator="between">
      <formula>95</formula>
      <formula>105</formula>
    </cfRule>
  </conditionalFormatting>
  <conditionalFormatting sqref="V9:Y9">
    <cfRule type="cellIs" dxfId="928" priority="683" operator="equal">
      <formula>1</formula>
    </cfRule>
    <cfRule type="cellIs" dxfId="927" priority="684" operator="equal">
      <formula>1</formula>
    </cfRule>
  </conditionalFormatting>
  <conditionalFormatting sqref="BS9">
    <cfRule type="cellIs" dxfId="926" priority="682" operator="greaterThan">
      <formula>1</formula>
    </cfRule>
  </conditionalFormatting>
  <conditionalFormatting sqref="T9">
    <cfRule type="cellIs" dxfId="925" priority="680" operator="equal">
      <formula>1</formula>
    </cfRule>
    <cfRule type="cellIs" dxfId="924" priority="681" operator="equal">
      <formula>1</formula>
    </cfRule>
  </conditionalFormatting>
  <conditionalFormatting sqref="BA9">
    <cfRule type="cellIs" dxfId="923" priority="679" operator="between">
      <formula>95</formula>
      <formula>105</formula>
    </cfRule>
  </conditionalFormatting>
  <conditionalFormatting sqref="AW9">
    <cfRule type="cellIs" dxfId="922" priority="678" operator="between">
      <formula>95</formula>
      <formula>105</formula>
    </cfRule>
  </conditionalFormatting>
  <conditionalFormatting sqref="S9">
    <cfRule type="colorScale" priority="6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9">
    <cfRule type="colorScale" priority="67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9">
    <cfRule type="colorScale" priority="67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9 R9">
    <cfRule type="colorScale" priority="67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9:O9 Q9:S9">
    <cfRule type="colorScale" priority="67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9">
    <cfRule type="colorScale" priority="67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9">
    <cfRule type="colorScale" priority="6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9:S9">
    <cfRule type="colorScale" priority="6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W10:AW12 BA10:BA12">
    <cfRule type="cellIs" dxfId="921" priority="666" operator="between">
      <formula>95</formula>
      <formula>105</formula>
    </cfRule>
  </conditionalFormatting>
  <conditionalFormatting sqref="V10:Y12 T10:T12">
    <cfRule type="cellIs" dxfId="920" priority="664" operator="equal">
      <formula>1</formula>
    </cfRule>
    <cfRule type="cellIs" dxfId="919" priority="665" operator="equal">
      <formula>1</formula>
    </cfRule>
  </conditionalFormatting>
  <conditionalFormatting sqref="T10:T12">
    <cfRule type="cellIs" dxfId="918" priority="662" operator="equal">
      <formula>1</formula>
    </cfRule>
    <cfRule type="cellIs" dxfId="917" priority="663" operator="equal">
      <formula>1</formula>
    </cfRule>
  </conditionalFormatting>
  <conditionalFormatting sqref="N10:N12 P10:P12 R10:R12">
    <cfRule type="colorScale" priority="6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0:S12">
    <cfRule type="colorScale" priority="6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0:Q12">
    <cfRule type="colorScale" priority="6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0:O12">
    <cfRule type="colorScale" priority="6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0:S12">
    <cfRule type="colorScale" priority="6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W13:AW15">
    <cfRule type="cellIs" dxfId="916" priority="651" operator="between">
      <formula>95</formula>
      <formula>105</formula>
    </cfRule>
  </conditionalFormatting>
  <conditionalFormatting sqref="AW13:AW15">
    <cfRule type="cellIs" dxfId="915" priority="650" operator="between">
      <formula>95</formula>
      <formula>105</formula>
    </cfRule>
  </conditionalFormatting>
  <conditionalFormatting sqref="BA13:BA15">
    <cfRule type="cellIs" dxfId="914" priority="653" operator="between">
      <formula>95</formula>
      <formula>105</formula>
    </cfRule>
  </conditionalFormatting>
  <conditionalFormatting sqref="BA13:BA15">
    <cfRule type="cellIs" dxfId="913" priority="652" operator="between">
      <formula>95</formula>
      <formula>105</formula>
    </cfRule>
  </conditionalFormatting>
  <conditionalFormatting sqref="V13:Y15 T13:T15">
    <cfRule type="cellIs" dxfId="912" priority="648" operator="equal">
      <formula>1</formula>
    </cfRule>
    <cfRule type="cellIs" dxfId="911" priority="649" operator="equal">
      <formula>1</formula>
    </cfRule>
  </conditionalFormatting>
  <conditionalFormatting sqref="T13:T15">
    <cfRule type="cellIs" dxfId="910" priority="646" operator="equal">
      <formula>1</formula>
    </cfRule>
    <cfRule type="cellIs" dxfId="909" priority="647" operator="equal">
      <formula>1</formula>
    </cfRule>
  </conditionalFormatting>
  <conditionalFormatting sqref="T13:T15">
    <cfRule type="cellIs" dxfId="908" priority="644" operator="equal">
      <formula>1</formula>
    </cfRule>
    <cfRule type="cellIs" dxfId="907" priority="645" operator="equal">
      <formula>1</formula>
    </cfRule>
  </conditionalFormatting>
  <conditionalFormatting sqref="T13:T15">
    <cfRule type="cellIs" dxfId="906" priority="642" operator="equal">
      <formula>1</formula>
    </cfRule>
    <cfRule type="cellIs" dxfId="905" priority="643" operator="equal">
      <formula>1</formula>
    </cfRule>
  </conditionalFormatting>
  <conditionalFormatting sqref="N13:N15 P13:P15 R13:R15">
    <cfRule type="colorScale" priority="6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3:S15">
    <cfRule type="colorScale" priority="6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3:Q15">
    <cfRule type="colorScale" priority="6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3:O15">
    <cfRule type="colorScale" priority="6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3:S15">
    <cfRule type="colorScale" priority="6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S16">
    <cfRule type="cellIs" dxfId="904" priority="633" operator="greaterThan">
      <formula>1</formula>
    </cfRule>
  </conditionalFormatting>
  <conditionalFormatting sqref="T16 V16:Y16">
    <cfRule type="cellIs" dxfId="903" priority="631" operator="equal">
      <formula>1</formula>
    </cfRule>
    <cfRule type="cellIs" dxfId="902" priority="632" operator="equal">
      <formula>1</formula>
    </cfRule>
  </conditionalFormatting>
  <conditionalFormatting sqref="T16">
    <cfRule type="cellIs" dxfId="901" priority="629" operator="equal">
      <formula>1</formula>
    </cfRule>
    <cfRule type="cellIs" dxfId="900" priority="630" operator="equal">
      <formula>1</formula>
    </cfRule>
  </conditionalFormatting>
  <conditionalFormatting sqref="T16">
    <cfRule type="cellIs" dxfId="899" priority="627" operator="equal">
      <formula>1</formula>
    </cfRule>
    <cfRule type="cellIs" dxfId="898" priority="628" operator="equal">
      <formula>1</formula>
    </cfRule>
  </conditionalFormatting>
  <conditionalFormatting sqref="T16">
    <cfRule type="cellIs" dxfId="897" priority="625" operator="equal">
      <formula>1</formula>
    </cfRule>
    <cfRule type="cellIs" dxfId="896" priority="626" operator="equal">
      <formula>1</formula>
    </cfRule>
  </conditionalFormatting>
  <conditionalFormatting sqref="T16">
    <cfRule type="cellIs" dxfId="895" priority="623" operator="equal">
      <formula>1</formula>
    </cfRule>
    <cfRule type="cellIs" dxfId="894" priority="624" operator="equal">
      <formula>1</formula>
    </cfRule>
  </conditionalFormatting>
  <conditionalFormatting sqref="N16 P16 R16">
    <cfRule type="colorScale" priority="6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6">
    <cfRule type="colorScale" priority="6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6">
    <cfRule type="colorScale" priority="6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6">
    <cfRule type="colorScale" priority="6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6:S16">
    <cfRule type="colorScale" priority="6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S17">
    <cfRule type="cellIs" dxfId="893" priority="612" operator="greaterThan">
      <formula>1</formula>
    </cfRule>
  </conditionalFormatting>
  <conditionalFormatting sqref="T17 V17:Y17">
    <cfRule type="cellIs" dxfId="892" priority="610" operator="equal">
      <formula>1</formula>
    </cfRule>
    <cfRule type="cellIs" dxfId="891" priority="611" operator="equal">
      <formula>1</formula>
    </cfRule>
  </conditionalFormatting>
  <conditionalFormatting sqref="T17">
    <cfRule type="cellIs" dxfId="890" priority="608" operator="equal">
      <formula>1</formula>
    </cfRule>
    <cfRule type="cellIs" dxfId="889" priority="609" operator="equal">
      <formula>1</formula>
    </cfRule>
  </conditionalFormatting>
  <conditionalFormatting sqref="T17">
    <cfRule type="cellIs" dxfId="888" priority="606" operator="equal">
      <formula>1</formula>
    </cfRule>
    <cfRule type="cellIs" dxfId="887" priority="607" operator="equal">
      <formula>1</formula>
    </cfRule>
  </conditionalFormatting>
  <conditionalFormatting sqref="T17">
    <cfRule type="cellIs" dxfId="886" priority="604" operator="equal">
      <formula>1</formula>
    </cfRule>
    <cfRule type="cellIs" dxfId="885" priority="605" operator="equal">
      <formula>1</formula>
    </cfRule>
  </conditionalFormatting>
  <conditionalFormatting sqref="T17">
    <cfRule type="cellIs" dxfId="884" priority="602" operator="equal">
      <formula>1</formula>
    </cfRule>
    <cfRule type="cellIs" dxfId="883" priority="603" operator="equal">
      <formula>1</formula>
    </cfRule>
  </conditionalFormatting>
  <conditionalFormatting sqref="T17">
    <cfRule type="cellIs" dxfId="882" priority="600" operator="equal">
      <formula>1</formula>
    </cfRule>
    <cfRule type="cellIs" dxfId="881" priority="601" operator="equal">
      <formula>1</formula>
    </cfRule>
  </conditionalFormatting>
  <conditionalFormatting sqref="N17 P17 R17">
    <cfRule type="colorScale" priority="59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7">
    <cfRule type="colorScale" priority="59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7">
    <cfRule type="colorScale" priority="59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7">
    <cfRule type="colorScale" priority="59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7:S17">
    <cfRule type="colorScale" priority="5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A17">
    <cfRule type="cellIs" dxfId="880" priority="594" operator="between">
      <formula>95</formula>
      <formula>105</formula>
    </cfRule>
  </conditionalFormatting>
  <conditionalFormatting sqref="AW17">
    <cfRule type="cellIs" dxfId="879" priority="593" operator="between">
      <formula>95</formula>
      <formula>105</formula>
    </cfRule>
  </conditionalFormatting>
  <conditionalFormatting sqref="BS18:BS19">
    <cfRule type="cellIs" dxfId="878" priority="589" operator="greaterThan">
      <formula>1</formula>
    </cfRule>
  </conditionalFormatting>
  <conditionalFormatting sqref="T18:T19 V18:Y19">
    <cfRule type="cellIs" dxfId="877" priority="587" operator="equal">
      <formula>1</formula>
    </cfRule>
    <cfRule type="cellIs" dxfId="876" priority="588" operator="equal">
      <formula>1</formula>
    </cfRule>
  </conditionalFormatting>
  <conditionalFormatting sqref="T18:T19">
    <cfRule type="cellIs" dxfId="875" priority="585" operator="equal">
      <formula>1</formula>
    </cfRule>
    <cfRule type="cellIs" dxfId="874" priority="586" operator="equal">
      <formula>1</formula>
    </cfRule>
  </conditionalFormatting>
  <conditionalFormatting sqref="T18:T19">
    <cfRule type="cellIs" dxfId="873" priority="583" operator="equal">
      <formula>1</formula>
    </cfRule>
    <cfRule type="cellIs" dxfId="872" priority="584" operator="equal">
      <formula>1</formula>
    </cfRule>
  </conditionalFormatting>
  <conditionalFormatting sqref="BA18:BA19">
    <cfRule type="cellIs" dxfId="871" priority="582" operator="between">
      <formula>95</formula>
      <formula>105</formula>
    </cfRule>
  </conditionalFormatting>
  <conditionalFormatting sqref="BA18:BA19">
    <cfRule type="cellIs" dxfId="870" priority="581" operator="between">
      <formula>95</formula>
      <formula>105</formula>
    </cfRule>
  </conditionalFormatting>
  <conditionalFormatting sqref="BA18:BA19">
    <cfRule type="cellIs" dxfId="869" priority="580" operator="between">
      <formula>95</formula>
      <formula>105</formula>
    </cfRule>
  </conditionalFormatting>
  <conditionalFormatting sqref="T18:T19">
    <cfRule type="cellIs" dxfId="868" priority="578" operator="equal">
      <formula>1</formula>
    </cfRule>
    <cfRule type="cellIs" dxfId="867" priority="579" operator="equal">
      <formula>1</formula>
    </cfRule>
  </conditionalFormatting>
  <conditionalFormatting sqref="T18:T19">
    <cfRule type="cellIs" dxfId="866" priority="576" operator="equal">
      <formula>1</formula>
    </cfRule>
    <cfRule type="cellIs" dxfId="865" priority="577" operator="equal">
      <formula>1</formula>
    </cfRule>
  </conditionalFormatting>
  <conditionalFormatting sqref="T19">
    <cfRule type="cellIs" dxfId="864" priority="567" operator="equal">
      <formula>1</formula>
    </cfRule>
    <cfRule type="cellIs" dxfId="863" priority="568" operator="equal">
      <formula>1</formula>
    </cfRule>
  </conditionalFormatting>
  <conditionalFormatting sqref="T18">
    <cfRule type="cellIs" dxfId="862" priority="574" operator="equal">
      <formula>1</formula>
    </cfRule>
    <cfRule type="cellIs" dxfId="861" priority="575" operator="equal">
      <formula>1</formula>
    </cfRule>
  </conditionalFormatting>
  <conditionalFormatting sqref="N18 P18 R18">
    <cfRule type="colorScale" priority="57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8">
    <cfRule type="colorScale" priority="5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8">
    <cfRule type="colorScale" priority="57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8">
    <cfRule type="colorScale" priority="5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8:S18">
    <cfRule type="colorScale" priority="56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9 N19 R19">
    <cfRule type="colorScale" priority="56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9">
    <cfRule type="colorScale" priority="5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9">
    <cfRule type="colorScale" priority="56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9">
    <cfRule type="colorScale" priority="56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9:S19">
    <cfRule type="colorScale" priority="5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W18:AW19">
    <cfRule type="cellIs" dxfId="860" priority="561" operator="between">
      <formula>95</formula>
      <formula>105</formula>
    </cfRule>
  </conditionalFormatting>
  <conditionalFormatting sqref="AW18:AW19">
    <cfRule type="cellIs" dxfId="859" priority="560" operator="between">
      <formula>95</formula>
      <formula>105</formula>
    </cfRule>
  </conditionalFormatting>
  <conditionalFormatting sqref="AW18:AW19">
    <cfRule type="cellIs" dxfId="858" priority="559" operator="between">
      <formula>95</formula>
      <formula>105</formula>
    </cfRule>
  </conditionalFormatting>
  <conditionalFormatting sqref="BS20:BS21">
    <cfRule type="cellIs" dxfId="857" priority="555" operator="greaterThan">
      <formula>1</formula>
    </cfRule>
  </conditionalFormatting>
  <conditionalFormatting sqref="V20:Y21 T20:T21">
    <cfRule type="cellIs" dxfId="856" priority="553" operator="equal">
      <formula>1</formula>
    </cfRule>
    <cfRule type="cellIs" dxfId="855" priority="554" operator="equal">
      <formula>1</formula>
    </cfRule>
  </conditionalFormatting>
  <conditionalFormatting sqref="T20:T21">
    <cfRule type="cellIs" dxfId="854" priority="551" operator="equal">
      <formula>1</formula>
    </cfRule>
    <cfRule type="cellIs" dxfId="853" priority="552" operator="equal">
      <formula>1</formula>
    </cfRule>
  </conditionalFormatting>
  <conditionalFormatting sqref="T20:T21">
    <cfRule type="cellIs" dxfId="852" priority="549" operator="equal">
      <formula>1</formula>
    </cfRule>
    <cfRule type="cellIs" dxfId="851" priority="550" operator="equal">
      <formula>1</formula>
    </cfRule>
  </conditionalFormatting>
  <conditionalFormatting sqref="BA20:BA21">
    <cfRule type="cellIs" dxfId="850" priority="548" operator="between">
      <formula>95</formula>
      <formula>105</formula>
    </cfRule>
  </conditionalFormatting>
  <conditionalFormatting sqref="BA20:BA21">
    <cfRule type="cellIs" dxfId="849" priority="547" operator="between">
      <formula>95</formula>
      <formula>105</formula>
    </cfRule>
  </conditionalFormatting>
  <conditionalFormatting sqref="BA20:BA21">
    <cfRule type="cellIs" dxfId="848" priority="546" operator="between">
      <formula>95</formula>
      <formula>105</formula>
    </cfRule>
  </conditionalFormatting>
  <conditionalFormatting sqref="T20:T21">
    <cfRule type="cellIs" dxfId="847" priority="544" operator="equal">
      <formula>1</formula>
    </cfRule>
    <cfRule type="cellIs" dxfId="846" priority="545" operator="equal">
      <formula>1</formula>
    </cfRule>
  </conditionalFormatting>
  <conditionalFormatting sqref="T20:T21">
    <cfRule type="cellIs" dxfId="845" priority="540" operator="equal">
      <formula>1</formula>
    </cfRule>
    <cfRule type="cellIs" dxfId="844" priority="541" operator="equal">
      <formula>1</formula>
    </cfRule>
  </conditionalFormatting>
  <conditionalFormatting sqref="T20:T21">
    <cfRule type="cellIs" dxfId="843" priority="542" operator="equal">
      <formula>1</formula>
    </cfRule>
    <cfRule type="cellIs" dxfId="842" priority="543" operator="equal">
      <formula>1</formula>
    </cfRule>
  </conditionalFormatting>
  <conditionalFormatting sqref="T20">
    <cfRule type="cellIs" dxfId="841" priority="538" operator="equal">
      <formula>1</formula>
    </cfRule>
    <cfRule type="cellIs" dxfId="840" priority="539" operator="equal">
      <formula>1</formula>
    </cfRule>
  </conditionalFormatting>
  <conditionalFormatting sqref="T21">
    <cfRule type="cellIs" dxfId="839" priority="536" operator="equal">
      <formula>1</formula>
    </cfRule>
    <cfRule type="cellIs" dxfId="838" priority="537" operator="equal">
      <formula>1</formula>
    </cfRule>
  </conditionalFormatting>
  <conditionalFormatting sqref="AW20:AW21">
    <cfRule type="cellIs" dxfId="837" priority="535" operator="between">
      <formula>95</formula>
      <formula>105</formula>
    </cfRule>
  </conditionalFormatting>
  <conditionalFormatting sqref="AW20:AW21">
    <cfRule type="cellIs" dxfId="836" priority="534" operator="between">
      <formula>95</formula>
      <formula>105</formula>
    </cfRule>
  </conditionalFormatting>
  <conditionalFormatting sqref="AW20:AW21">
    <cfRule type="cellIs" dxfId="835" priority="533" operator="between">
      <formula>95</formula>
      <formula>105</formula>
    </cfRule>
  </conditionalFormatting>
  <conditionalFormatting sqref="N20:N21 P20:P21 R20:R21">
    <cfRule type="colorScale" priority="5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0:S21">
    <cfRule type="colorScale" priority="5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20:Q21">
    <cfRule type="colorScale" priority="5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20:O21">
    <cfRule type="colorScale" priority="5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20:S21">
    <cfRule type="colorScale" priority="5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20:S21">
    <cfRule type="colorScale" priority="5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S22:BS24">
    <cfRule type="cellIs" dxfId="834" priority="523" operator="greaterThan">
      <formula>1</formula>
    </cfRule>
  </conditionalFormatting>
  <conditionalFormatting sqref="V22:Y24 T22:T24">
    <cfRule type="cellIs" dxfId="833" priority="521" operator="equal">
      <formula>1</formula>
    </cfRule>
    <cfRule type="cellIs" dxfId="832" priority="522" operator="equal">
      <formula>1</formula>
    </cfRule>
  </conditionalFormatting>
  <conditionalFormatting sqref="T22:T24">
    <cfRule type="cellIs" dxfId="831" priority="519" operator="equal">
      <formula>1</formula>
    </cfRule>
    <cfRule type="cellIs" dxfId="830" priority="520" operator="equal">
      <formula>1</formula>
    </cfRule>
  </conditionalFormatting>
  <conditionalFormatting sqref="T22:T24">
    <cfRule type="cellIs" dxfId="829" priority="517" operator="equal">
      <formula>1</formula>
    </cfRule>
    <cfRule type="cellIs" dxfId="828" priority="518" operator="equal">
      <formula>1</formula>
    </cfRule>
  </conditionalFormatting>
  <conditionalFormatting sqref="BA22:BA24">
    <cfRule type="cellIs" dxfId="827" priority="516" operator="between">
      <formula>95</formula>
      <formula>105</formula>
    </cfRule>
  </conditionalFormatting>
  <conditionalFormatting sqref="BA22:BA24">
    <cfRule type="cellIs" dxfId="826" priority="515" operator="between">
      <formula>95</formula>
      <formula>105</formula>
    </cfRule>
  </conditionalFormatting>
  <conditionalFormatting sqref="BA22:BA24">
    <cfRule type="cellIs" dxfId="825" priority="514" operator="between">
      <formula>95</formula>
      <formula>105</formula>
    </cfRule>
  </conditionalFormatting>
  <conditionalFormatting sqref="T22:T24">
    <cfRule type="cellIs" dxfId="824" priority="512" operator="equal">
      <formula>1</formula>
    </cfRule>
    <cfRule type="cellIs" dxfId="823" priority="513" operator="equal">
      <formula>1</formula>
    </cfRule>
  </conditionalFormatting>
  <conditionalFormatting sqref="T22:T24">
    <cfRule type="cellIs" dxfId="822" priority="508" operator="equal">
      <formula>1</formula>
    </cfRule>
    <cfRule type="cellIs" dxfId="821" priority="509" operator="equal">
      <formula>1</formula>
    </cfRule>
  </conditionalFormatting>
  <conditionalFormatting sqref="T22:T24">
    <cfRule type="cellIs" dxfId="820" priority="510" operator="equal">
      <formula>1</formula>
    </cfRule>
    <cfRule type="cellIs" dxfId="819" priority="511" operator="equal">
      <formula>1</formula>
    </cfRule>
  </conditionalFormatting>
  <conditionalFormatting sqref="BQ22:BQ24">
    <cfRule type="cellIs" dxfId="818" priority="507" operator="greaterThan">
      <formula>1</formula>
    </cfRule>
  </conditionalFormatting>
  <conditionalFormatting sqref="BQ22:BQ24">
    <cfRule type="cellIs" dxfId="817" priority="506" operator="greaterThan">
      <formula>1</formula>
    </cfRule>
  </conditionalFormatting>
  <conditionalFormatting sqref="T22:T24">
    <cfRule type="cellIs" dxfId="816" priority="504" operator="equal">
      <formula>1</formula>
    </cfRule>
    <cfRule type="cellIs" dxfId="815" priority="505" operator="equal">
      <formula>1</formula>
    </cfRule>
  </conditionalFormatting>
  <conditionalFormatting sqref="N22:N24 P22:P24 R22:R24">
    <cfRule type="colorScale" priority="49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2:S24">
    <cfRule type="colorScale" priority="5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22:Q24">
    <cfRule type="colorScale" priority="50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22:O24">
    <cfRule type="colorScale" priority="50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22:S24">
    <cfRule type="colorScale" priority="50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22:S24">
    <cfRule type="colorScale" priority="49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W22:AW24">
    <cfRule type="cellIs" dxfId="814" priority="497" operator="between">
      <formula>95</formula>
      <formula>105</formula>
    </cfRule>
  </conditionalFormatting>
  <conditionalFormatting sqref="AW22:AW24">
    <cfRule type="cellIs" dxfId="813" priority="496" operator="between">
      <formula>95</formula>
      <formula>105</formula>
    </cfRule>
  </conditionalFormatting>
  <conditionalFormatting sqref="AW22:AW24">
    <cfRule type="cellIs" dxfId="812" priority="495" operator="between">
      <formula>95</formula>
      <formula>105</formula>
    </cfRule>
  </conditionalFormatting>
  <conditionalFormatting sqref="V25:Y25">
    <cfRule type="cellIs" dxfId="811" priority="490" operator="equal">
      <formula>1</formula>
    </cfRule>
    <cfRule type="cellIs" dxfId="810" priority="491" operator="equal">
      <formula>1</formula>
    </cfRule>
  </conditionalFormatting>
  <conditionalFormatting sqref="T25">
    <cfRule type="cellIs" dxfId="809" priority="488" operator="equal">
      <formula>1</formula>
    </cfRule>
    <cfRule type="cellIs" dxfId="808" priority="489" operator="equal">
      <formula>1</formula>
    </cfRule>
  </conditionalFormatting>
  <conditionalFormatting sqref="P25 N25 R25">
    <cfRule type="colorScale" priority="48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5">
    <cfRule type="colorScale" priority="4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25">
    <cfRule type="colorScale" priority="4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25">
    <cfRule type="colorScale" priority="48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25:S25">
    <cfRule type="colorScale" priority="48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A25">
    <cfRule type="cellIs" dxfId="807" priority="482" operator="between">
      <formula>95</formula>
      <formula>105</formula>
    </cfRule>
  </conditionalFormatting>
  <conditionalFormatting sqref="BA25">
    <cfRule type="cellIs" dxfId="806" priority="481" operator="between">
      <formula>95</formula>
      <formula>105</formula>
    </cfRule>
  </conditionalFormatting>
  <conditionalFormatting sqref="BA25">
    <cfRule type="cellIs" dxfId="805" priority="480" operator="between">
      <formula>95</formula>
      <formula>105</formula>
    </cfRule>
  </conditionalFormatting>
  <conditionalFormatting sqref="AW25">
    <cfRule type="cellIs" dxfId="804" priority="479" operator="between">
      <formula>95</formula>
      <formula>105</formula>
    </cfRule>
  </conditionalFormatting>
  <conditionalFormatting sqref="AW25">
    <cfRule type="cellIs" dxfId="803" priority="478" operator="between">
      <formula>95</formula>
      <formula>105</formula>
    </cfRule>
  </conditionalFormatting>
  <conditionalFormatting sqref="AW25">
    <cfRule type="cellIs" dxfId="802" priority="477" operator="between">
      <formula>95</formula>
      <formula>105</formula>
    </cfRule>
  </conditionalFormatting>
  <conditionalFormatting sqref="V26:Y26">
    <cfRule type="cellIs" dxfId="801" priority="472" operator="equal">
      <formula>1</formula>
    </cfRule>
    <cfRule type="cellIs" dxfId="800" priority="473" operator="equal">
      <formula>1</formula>
    </cfRule>
  </conditionalFormatting>
  <conditionalFormatting sqref="Q26">
    <cfRule type="colorScale" priority="4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26">
    <cfRule type="cellIs" dxfId="799" priority="470" operator="equal">
      <formula>1</formula>
    </cfRule>
    <cfRule type="cellIs" dxfId="798" priority="471" operator="equal">
      <formula>1</formula>
    </cfRule>
  </conditionalFormatting>
  <conditionalFormatting sqref="P26 R26 N26">
    <cfRule type="colorScale" priority="46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6">
    <cfRule type="colorScale" priority="46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26">
    <cfRule type="colorScale" priority="46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26:S26">
    <cfRule type="colorScale" priority="4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A26">
    <cfRule type="cellIs" dxfId="797" priority="464" operator="between">
      <formula>95</formula>
      <formula>105</formula>
    </cfRule>
  </conditionalFormatting>
  <conditionalFormatting sqref="AW26">
    <cfRule type="cellIs" dxfId="796" priority="463" operator="between">
      <formula>95</formula>
      <formula>105</formula>
    </cfRule>
  </conditionalFormatting>
  <conditionalFormatting sqref="BS27:BT27">
    <cfRule type="cellIs" dxfId="795" priority="459" operator="greaterThan">
      <formula>1</formula>
    </cfRule>
  </conditionalFormatting>
  <conditionalFormatting sqref="BS27">
    <cfRule type="cellIs" dxfId="794" priority="458" operator="greaterThan">
      <formula>1</formula>
    </cfRule>
  </conditionalFormatting>
  <conditionalFormatting sqref="V27:Y27">
    <cfRule type="cellIs" dxfId="793" priority="456" operator="equal">
      <formula>1</formula>
    </cfRule>
    <cfRule type="cellIs" dxfId="792" priority="457" operator="equal">
      <formula>1</formula>
    </cfRule>
  </conditionalFormatting>
  <conditionalFormatting sqref="BT27">
    <cfRule type="cellIs" dxfId="791" priority="455" operator="greaterThan">
      <formula>1</formula>
    </cfRule>
  </conditionalFormatting>
  <conditionalFormatting sqref="T27">
    <cfRule type="cellIs" dxfId="790" priority="453" operator="equal">
      <formula>1</formula>
    </cfRule>
    <cfRule type="cellIs" dxfId="789" priority="454" operator="equal">
      <formula>1</formula>
    </cfRule>
  </conditionalFormatting>
  <conditionalFormatting sqref="P27 R27 N27">
    <cfRule type="colorScale" priority="4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7">
    <cfRule type="colorScale" priority="4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27">
    <cfRule type="colorScale" priority="4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27">
    <cfRule type="colorScale" priority="4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27:S27">
    <cfRule type="colorScale" priority="4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A27">
    <cfRule type="cellIs" dxfId="788" priority="447" operator="between">
      <formula>95</formula>
      <formula>105</formula>
    </cfRule>
  </conditionalFormatting>
  <conditionalFormatting sqref="AW27">
    <cfRule type="cellIs" dxfId="787" priority="446" operator="between">
      <formula>95</formula>
      <formula>105</formula>
    </cfRule>
  </conditionalFormatting>
  <conditionalFormatting sqref="BS4">
    <cfRule type="cellIs" dxfId="786" priority="442" operator="greaterThan">
      <formula>1</formula>
    </cfRule>
  </conditionalFormatting>
  <conditionalFormatting sqref="V4:Y4">
    <cfRule type="cellIs" dxfId="785" priority="440" operator="equal">
      <formula>1</formula>
    </cfRule>
    <cfRule type="cellIs" dxfId="784" priority="441" operator="equal">
      <formula>1</formula>
    </cfRule>
  </conditionalFormatting>
  <conditionalFormatting sqref="BA4">
    <cfRule type="cellIs" dxfId="783" priority="439" operator="between">
      <formula>95</formula>
      <formula>105</formula>
    </cfRule>
  </conditionalFormatting>
  <conditionalFormatting sqref="BS4">
    <cfRule type="cellIs" dxfId="782" priority="438" operator="greaterThan">
      <formula>1</formula>
    </cfRule>
  </conditionalFormatting>
  <conditionalFormatting sqref="T4">
    <cfRule type="cellIs" dxfId="781" priority="436" operator="equal">
      <formula>1</formula>
    </cfRule>
    <cfRule type="cellIs" dxfId="780" priority="437" operator="equal">
      <formula>1</formula>
    </cfRule>
  </conditionalFormatting>
  <conditionalFormatting sqref="P4 R4 N4">
    <cfRule type="colorScale" priority="4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4">
    <cfRule type="colorScale" priority="4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4">
    <cfRule type="colorScale" priority="4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4">
    <cfRule type="colorScale" priority="4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:S4">
    <cfRule type="colorScale" priority="4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X4">
    <cfRule type="cellIs" dxfId="779" priority="430" operator="between">
      <formula>BJ4</formula>
      <formula>BK4</formula>
    </cfRule>
  </conditionalFormatting>
  <conditionalFormatting sqref="AW4">
    <cfRule type="cellIs" dxfId="778" priority="429" operator="between">
      <formula>95</formula>
      <formula>105</formula>
    </cfRule>
  </conditionalFormatting>
  <conditionalFormatting sqref="BS5">
    <cfRule type="cellIs" dxfId="777" priority="425" operator="greaterThan">
      <formula>1</formula>
    </cfRule>
  </conditionalFormatting>
  <conditionalFormatting sqref="BS5">
    <cfRule type="cellIs" dxfId="776" priority="424" operator="greaterThan">
      <formula>1</formula>
    </cfRule>
  </conditionalFormatting>
  <conditionalFormatting sqref="V5:Y5">
    <cfRule type="cellIs" dxfId="775" priority="422" operator="equal">
      <formula>1</formula>
    </cfRule>
    <cfRule type="cellIs" dxfId="774" priority="423" operator="equal">
      <formula>1</formula>
    </cfRule>
  </conditionalFormatting>
  <conditionalFormatting sqref="BA5">
    <cfRule type="cellIs" dxfId="773" priority="421" operator="between">
      <formula>95</formula>
      <formula>105</formula>
    </cfRule>
  </conditionalFormatting>
  <conditionalFormatting sqref="T5">
    <cfRule type="cellIs" dxfId="772" priority="419" operator="equal">
      <formula>1</formula>
    </cfRule>
    <cfRule type="cellIs" dxfId="771" priority="420" operator="equal">
      <formula>1</formula>
    </cfRule>
  </conditionalFormatting>
  <conditionalFormatting sqref="R5 P5 N5">
    <cfRule type="colorScale" priority="4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5">
    <cfRule type="colorScale" priority="4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5">
    <cfRule type="colorScale" priority="4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5">
    <cfRule type="colorScale" priority="4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:S5">
    <cfRule type="colorScale" priority="4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X5">
    <cfRule type="cellIs" dxfId="770" priority="413" operator="between">
      <formula>BJ5</formula>
      <formula>BK5</formula>
    </cfRule>
  </conditionalFormatting>
  <conditionalFormatting sqref="AW5">
    <cfRule type="cellIs" dxfId="769" priority="412" operator="between">
      <formula>95</formula>
      <formula>105</formula>
    </cfRule>
  </conditionalFormatting>
  <conditionalFormatting sqref="BS28">
    <cfRule type="cellIs" dxfId="768" priority="408" operator="greaterThan">
      <formula>1</formula>
    </cfRule>
  </conditionalFormatting>
  <conditionalFormatting sqref="V28:Y28">
    <cfRule type="cellIs" dxfId="767" priority="406" operator="equal">
      <formula>1</formula>
    </cfRule>
    <cfRule type="cellIs" dxfId="766" priority="407" operator="equal">
      <formula>1</formula>
    </cfRule>
  </conditionalFormatting>
  <conditionalFormatting sqref="BA28">
    <cfRule type="cellIs" dxfId="765" priority="405" operator="between">
      <formula>95</formula>
      <formula>105</formula>
    </cfRule>
  </conditionalFormatting>
  <conditionalFormatting sqref="T28">
    <cfRule type="cellIs" dxfId="764" priority="402" operator="equal">
      <formula>1</formula>
    </cfRule>
    <cfRule type="cellIs" dxfId="763" priority="403" operator="equal">
      <formula>1</formula>
    </cfRule>
  </conditionalFormatting>
  <conditionalFormatting sqref="P28 R28 N28">
    <cfRule type="colorScale" priority="40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8">
    <cfRule type="colorScale" priority="4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28">
    <cfRule type="colorScale" priority="39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28">
    <cfRule type="colorScale" priority="39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28:S28">
    <cfRule type="colorScale" priority="39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W28">
    <cfRule type="cellIs" dxfId="762" priority="396" operator="between">
      <formula>95</formula>
      <formula>105</formula>
    </cfRule>
  </conditionalFormatting>
  <conditionalFormatting sqref="T29 V29:Y29">
    <cfRule type="cellIs" dxfId="761" priority="391" operator="equal">
      <formula>1</formula>
    </cfRule>
    <cfRule type="cellIs" dxfId="760" priority="392" operator="equal">
      <formula>1</formula>
    </cfRule>
  </conditionalFormatting>
  <conditionalFormatting sqref="T29">
    <cfRule type="cellIs" dxfId="759" priority="389" operator="equal">
      <formula>1</formula>
    </cfRule>
    <cfRule type="cellIs" dxfId="758" priority="390" operator="equal">
      <formula>1</formula>
    </cfRule>
  </conditionalFormatting>
  <conditionalFormatting sqref="S29">
    <cfRule type="colorScale" priority="38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29">
    <cfRule type="colorScale" priority="3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29">
    <cfRule type="colorScale" priority="3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29:S29">
    <cfRule type="colorScale" priority="38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29 P29 R29">
    <cfRule type="colorScale" priority="38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A29">
    <cfRule type="cellIs" dxfId="757" priority="383" operator="between">
      <formula>95</formula>
      <formula>105</formula>
    </cfRule>
  </conditionalFormatting>
  <conditionalFormatting sqref="BA29">
    <cfRule type="cellIs" dxfId="756" priority="382" operator="between">
      <formula>95</formula>
      <formula>105</formula>
    </cfRule>
  </conditionalFormatting>
  <conditionalFormatting sqref="BA29">
    <cfRule type="cellIs" dxfId="755" priority="381" operator="between">
      <formula>95</formula>
      <formula>105</formula>
    </cfRule>
  </conditionalFormatting>
  <conditionalFormatting sqref="AW29">
    <cfRule type="cellIs" dxfId="754" priority="380" operator="between">
      <formula>95</formula>
      <formula>105</formula>
    </cfRule>
  </conditionalFormatting>
  <conditionalFormatting sqref="AW29">
    <cfRule type="cellIs" dxfId="753" priority="379" operator="between">
      <formula>95</formula>
      <formula>105</formula>
    </cfRule>
  </conditionalFormatting>
  <conditionalFormatting sqref="AW29">
    <cfRule type="cellIs" dxfId="752" priority="378" operator="between">
      <formula>95</formula>
      <formula>105</formula>
    </cfRule>
  </conditionalFormatting>
  <conditionalFormatting sqref="BS35">
    <cfRule type="cellIs" dxfId="751" priority="374" operator="greaterThan">
      <formula>1</formula>
    </cfRule>
  </conditionalFormatting>
  <conditionalFormatting sqref="BS35">
    <cfRule type="cellIs" dxfId="750" priority="373" operator="greaterThan">
      <formula>1</formula>
    </cfRule>
  </conditionalFormatting>
  <conditionalFormatting sqref="P35:S35 N35">
    <cfRule type="colorScale" priority="3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35:Y35">
    <cfRule type="cellIs" dxfId="749" priority="370" operator="equal">
      <formula>1</formula>
    </cfRule>
    <cfRule type="cellIs" dxfId="748" priority="371" operator="equal">
      <formula>1</formula>
    </cfRule>
  </conditionalFormatting>
  <conditionalFormatting sqref="T35">
    <cfRule type="cellIs" dxfId="747" priority="368" operator="equal">
      <formula>1</formula>
    </cfRule>
    <cfRule type="cellIs" dxfId="746" priority="369" operator="equal">
      <formula>1</formula>
    </cfRule>
  </conditionalFormatting>
  <conditionalFormatting sqref="T35">
    <cfRule type="cellIs" dxfId="745" priority="366" operator="equal">
      <formula>1</formula>
    </cfRule>
    <cfRule type="cellIs" dxfId="744" priority="367" operator="equal">
      <formula>1</formula>
    </cfRule>
  </conditionalFormatting>
  <conditionalFormatting sqref="O35">
    <cfRule type="colorScale" priority="3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35:S35">
    <cfRule type="colorScale" priority="36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A35">
    <cfRule type="cellIs" dxfId="743" priority="363" operator="between">
      <formula>95</formula>
      <formula>105</formula>
    </cfRule>
  </conditionalFormatting>
  <conditionalFormatting sqref="AW35">
    <cfRule type="cellIs" dxfId="742" priority="362" operator="between">
      <formula>95</formula>
      <formula>105</formula>
    </cfRule>
  </conditionalFormatting>
  <conditionalFormatting sqref="V30:Y30">
    <cfRule type="cellIs" dxfId="741" priority="357" operator="equal">
      <formula>1</formula>
    </cfRule>
    <cfRule type="cellIs" dxfId="740" priority="358" operator="equal">
      <formula>1</formula>
    </cfRule>
  </conditionalFormatting>
  <conditionalFormatting sqref="T30">
    <cfRule type="cellIs" dxfId="739" priority="355" operator="equal">
      <formula>1</formula>
    </cfRule>
    <cfRule type="cellIs" dxfId="738" priority="356" operator="equal">
      <formula>1</formula>
    </cfRule>
  </conditionalFormatting>
  <conditionalFormatting sqref="T30">
    <cfRule type="cellIs" dxfId="737" priority="353" operator="equal">
      <formula>1</formula>
    </cfRule>
    <cfRule type="cellIs" dxfId="736" priority="354" operator="equal">
      <formula>1</formula>
    </cfRule>
  </conditionalFormatting>
  <conditionalFormatting sqref="N30 P30 R30">
    <cfRule type="colorScale" priority="3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30">
    <cfRule type="colorScale" priority="3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30">
    <cfRule type="colorScale" priority="3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30">
    <cfRule type="colorScale" priority="3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30:S30">
    <cfRule type="colorScale" priority="3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A30">
    <cfRule type="cellIs" dxfId="735" priority="347" operator="between">
      <formula>95</formula>
      <formula>105</formula>
    </cfRule>
  </conditionalFormatting>
  <conditionalFormatting sqref="AW30">
    <cfRule type="cellIs" dxfId="734" priority="346" operator="between">
      <formula>95</formula>
      <formula>105</formula>
    </cfRule>
  </conditionalFormatting>
  <conditionalFormatting sqref="V31:Y31">
    <cfRule type="cellIs" dxfId="733" priority="341" operator="equal">
      <formula>1</formula>
    </cfRule>
    <cfRule type="cellIs" dxfId="732" priority="342" operator="equal">
      <formula>1</formula>
    </cfRule>
  </conditionalFormatting>
  <conditionalFormatting sqref="AW31 BA31">
    <cfRule type="cellIs" dxfId="731" priority="340" operator="between">
      <formula>95</formula>
      <formula>105</formula>
    </cfRule>
  </conditionalFormatting>
  <conditionalFormatting sqref="T31">
    <cfRule type="cellIs" dxfId="730" priority="338" operator="equal">
      <formula>1</formula>
    </cfRule>
    <cfRule type="cellIs" dxfId="729" priority="339" operator="equal">
      <formula>1</formula>
    </cfRule>
  </conditionalFormatting>
  <conditionalFormatting sqref="T31">
    <cfRule type="cellIs" dxfId="728" priority="336" operator="equal">
      <formula>1</formula>
    </cfRule>
    <cfRule type="cellIs" dxfId="727" priority="337" operator="equal">
      <formula>1</formula>
    </cfRule>
  </conditionalFormatting>
  <conditionalFormatting sqref="N31 P31 R31">
    <cfRule type="colorScale" priority="3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31">
    <cfRule type="colorScale" priority="3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31">
    <cfRule type="colorScale" priority="3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31">
    <cfRule type="colorScale" priority="3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31:S31">
    <cfRule type="colorScale" priority="3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36:Y56">
    <cfRule type="cellIs" dxfId="726" priority="106" operator="equal">
      <formula>1</formula>
    </cfRule>
    <cfRule type="cellIs" dxfId="725" priority="107" operator="equal">
      <formula>1</formula>
    </cfRule>
  </conditionalFormatting>
  <conditionalFormatting sqref="S36">
    <cfRule type="colorScale" priority="1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36">
    <cfRule type="colorScale" priority="10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36">
    <cfRule type="colorScale" priority="10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36 R36">
    <cfRule type="colorScale" priority="1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36:O36 Q36:S36">
    <cfRule type="colorScale" priority="10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36">
    <cfRule type="colorScale" priority="10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36">
    <cfRule type="colorScale" priority="10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36:S36">
    <cfRule type="colorScale" priority="1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36:T56">
    <cfRule type="cellIs" dxfId="724" priority="98" operator="equal">
      <formula>1</formula>
    </cfRule>
    <cfRule type="cellIs" dxfId="723" priority="99" operator="equal">
      <formula>1</formula>
    </cfRule>
  </conditionalFormatting>
  <conditionalFormatting sqref="T36:T56">
    <cfRule type="cellIs" dxfId="722" priority="96" operator="equal">
      <formula>1</formula>
    </cfRule>
    <cfRule type="cellIs" dxfId="721" priority="97" operator="equal">
      <formula>1</formula>
    </cfRule>
  </conditionalFormatting>
  <conditionalFormatting sqref="S37:S43">
    <cfRule type="colorScale" priority="9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37:Q43">
    <cfRule type="colorScale" priority="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37:O43">
    <cfRule type="colorScale" priority="9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37:R43 N37:N43">
    <cfRule type="colorScale" priority="9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37:O43 Q37:S43">
    <cfRule type="colorScale" priority="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37:P43">
    <cfRule type="colorScale" priority="8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37:P43">
    <cfRule type="colorScale" priority="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37:S43">
    <cfRule type="colorScale" priority="8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44">
    <cfRule type="colorScale" priority="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44">
    <cfRule type="colorScale" priority="8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44">
    <cfRule type="colorScale" priority="8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4:O44 Q44:S44">
    <cfRule type="colorScale" priority="8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44">
    <cfRule type="colorScale" priority="8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44">
    <cfRule type="colorScale" priority="8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4:S44">
    <cfRule type="colorScale" priority="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45">
    <cfRule type="colorScale" priority="7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45">
    <cfRule type="colorScale" priority="7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45">
    <cfRule type="colorScale" priority="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5 R45">
    <cfRule type="colorScale" priority="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5:O45 Q45:S45">
    <cfRule type="colorScale" priority="7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45">
    <cfRule type="colorScale" priority="7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45">
    <cfRule type="colorScale" priority="7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5:S45">
    <cfRule type="colorScale" priority="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46">
    <cfRule type="colorScale" priority="6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46">
    <cfRule type="colorScale" priority="6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46">
    <cfRule type="colorScale" priority="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6:O46 Q46:S46">
    <cfRule type="colorScale" priority="7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46">
    <cfRule type="colorScale" priority="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46">
    <cfRule type="colorScale" priority="6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6:S46">
    <cfRule type="colorScale" priority="6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47"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47"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47">
    <cfRule type="colorScale" priority="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7:O47 Q47:S47">
    <cfRule type="colorScale" priority="6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47">
    <cfRule type="colorScale" priority="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47"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7:S47"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48"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48"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48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8:O48 Q48:S48"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48">
    <cfRule type="colorScale" priority="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48">
    <cfRule type="colorScale" priority="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8:S48">
    <cfRule type="colorScale" priority="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49">
    <cfRule type="colorScale" priority="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49">
    <cfRule type="colorScale" priority="4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49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9:O49 Q49:S49"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49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49"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9:S49"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50"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50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50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0:O50 Q50:S50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50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50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0:S50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51:S56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51:Q56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51:O56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51:R56 N51:N56"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1:O56 Q51:S56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51:P56"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51:P56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1:S56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W49">
    <cfRule type="cellIs" dxfId="720" priority="9" operator="between">
      <formula>95</formula>
      <formula>105</formula>
    </cfRule>
  </conditionalFormatting>
  <conditionalFormatting sqref="AW49">
    <cfRule type="cellIs" dxfId="719" priority="8" operator="between">
      <formula>95</formula>
      <formula>105</formula>
    </cfRule>
  </conditionalFormatting>
  <conditionalFormatting sqref="BA56">
    <cfRule type="cellIs" dxfId="718" priority="7" operator="between">
      <formula>95</formula>
      <formula>105</formula>
    </cfRule>
  </conditionalFormatting>
  <conditionalFormatting sqref="BA56">
    <cfRule type="cellIs" dxfId="717" priority="6" operator="between">
      <formula>95</formula>
      <formula>105</formula>
    </cfRule>
  </conditionalFormatting>
  <conditionalFormatting sqref="AW56">
    <cfRule type="cellIs" dxfId="716" priority="5" operator="between">
      <formula>95</formula>
      <formula>105</formula>
    </cfRule>
  </conditionalFormatting>
  <conditionalFormatting sqref="AW56">
    <cfRule type="cellIs" dxfId="715" priority="4" operator="between">
      <formula>95</formula>
      <formula>105</formula>
    </cfRule>
  </conditionalFormatting>
  <conditionalFormatting sqref="BA36:BA41 BA43:BA48 BA50:BA55">
    <cfRule type="cellIs" dxfId="714" priority="23" operator="between">
      <formula>95</formula>
      <formula>105</formula>
    </cfRule>
  </conditionalFormatting>
  <conditionalFormatting sqref="BA36:BA41">
    <cfRule type="cellIs" dxfId="713" priority="22" operator="between">
      <formula>95</formula>
      <formula>105</formula>
    </cfRule>
  </conditionalFormatting>
  <conditionalFormatting sqref="BA43:BA48">
    <cfRule type="cellIs" dxfId="712" priority="21" operator="between">
      <formula>95</formula>
      <formula>105</formula>
    </cfRule>
  </conditionalFormatting>
  <conditionalFormatting sqref="BA50:BA55">
    <cfRule type="cellIs" dxfId="711" priority="20" operator="between">
      <formula>95</formula>
      <formula>105</formula>
    </cfRule>
  </conditionalFormatting>
  <conditionalFormatting sqref="AW36:AW41 AW43:AW48 AW50:AW55">
    <cfRule type="cellIs" dxfId="710" priority="19" operator="between">
      <formula>95</formula>
      <formula>105</formula>
    </cfRule>
  </conditionalFormatting>
  <conditionalFormatting sqref="AW36:AW41">
    <cfRule type="cellIs" dxfId="709" priority="18" operator="between">
      <formula>95</formula>
      <formula>105</formula>
    </cfRule>
  </conditionalFormatting>
  <conditionalFormatting sqref="AW43:AW48">
    <cfRule type="cellIs" dxfId="708" priority="17" operator="between">
      <formula>95</formula>
      <formula>105</formula>
    </cfRule>
  </conditionalFormatting>
  <conditionalFormatting sqref="AW50:AW55">
    <cfRule type="cellIs" dxfId="707" priority="16" operator="between">
      <formula>95</formula>
      <formula>105</formula>
    </cfRule>
  </conditionalFormatting>
  <conditionalFormatting sqref="BA42">
    <cfRule type="cellIs" dxfId="706" priority="15" operator="between">
      <formula>95</formula>
      <formula>105</formula>
    </cfRule>
  </conditionalFormatting>
  <conditionalFormatting sqref="BA42">
    <cfRule type="cellIs" dxfId="705" priority="14" operator="between">
      <formula>95</formula>
      <formula>105</formula>
    </cfRule>
  </conditionalFormatting>
  <conditionalFormatting sqref="AW42">
    <cfRule type="cellIs" dxfId="704" priority="13" operator="between">
      <formula>95</formula>
      <formula>105</formula>
    </cfRule>
  </conditionalFormatting>
  <conditionalFormatting sqref="AW42">
    <cfRule type="cellIs" dxfId="703" priority="12" operator="between">
      <formula>95</formula>
      <formula>105</formula>
    </cfRule>
  </conditionalFormatting>
  <conditionalFormatting sqref="BA49">
    <cfRule type="cellIs" dxfId="702" priority="11" operator="between">
      <formula>95</formula>
      <formula>105</formula>
    </cfRule>
  </conditionalFormatting>
  <conditionalFormatting sqref="BA49">
    <cfRule type="cellIs" dxfId="701" priority="10" operator="between">
      <formula>95</formula>
      <formula>105</formula>
    </cfRule>
  </conditionalFormatting>
  <conditionalFormatting sqref="N44 R44">
    <cfRule type="colorScale" priority="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7 R47"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48 N48">
    <cfRule type="colorScale" priority="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50 N50"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C36:CC56">
    <cfRule type="cellIs" dxfId="700" priority="3" operator="greaterThan">
      <formula>1</formula>
    </cfRule>
  </conditionalFormatting>
  <conditionalFormatting sqref="CG36:CG56">
    <cfRule type="cellIs" dxfId="699" priority="2" operator="greaterThan">
      <formula>1</formula>
    </cfRule>
  </conditionalFormatting>
  <conditionalFormatting sqref="CJ36:CJ56">
    <cfRule type="cellIs" dxfId="698" priority="1" operator="greaterThan">
      <formula>1</formula>
    </cfRule>
  </conditionalFormatting>
  <conditionalFormatting sqref="N46 R46">
    <cfRule type="colorScale" priority="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9 R49"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D102" r:id="rId1" display="https://doi.org/10.1016/j.chemosphere.2022.134167" xr:uid="{0D27FADE-E1EA-4B15-9708-B9B665E512F0}"/>
    <hyperlink ref="E9" r:id="rId2" display="https://doi.org/10.1021/es3048043" xr:uid="{29EDEC69-48D3-4D6C-98CB-AE395C8118B1}"/>
    <hyperlink ref="E17" r:id="rId3" display="https://doi.org/10.1016/j.chemosphere.2018.05.012" xr:uid="{758E058C-1715-4C48-88EE-98AF5FFE05E3}"/>
    <hyperlink ref="E18" r:id="rId4" display="https://doi.org/10.1016/j.chemosphere.2022.134167" xr:uid="{7E75E046-4F6A-47C0-80B9-1CA270458CD6}"/>
    <hyperlink ref="E20" r:id="rId5" display="https://doi.org/10.1016/j.chemosphere.2022.134167" xr:uid="{282ECFBD-DC40-4F4C-A0D0-E9191A391041}"/>
    <hyperlink ref="E23" r:id="rId6" display="https://doi.org/10.1016/j.chemosphere.2022.134167" xr:uid="{9B762218-A697-4B1E-834B-208C69315DCC}"/>
    <hyperlink ref="E4" r:id="rId7" tooltip="DOI URL" display="https://doi.org/10.1021/acs.est.0c07202" xr:uid="{4DC2EDFC-190A-4BAF-BC4B-99E7E38A99FA}"/>
    <hyperlink ref="E5" r:id="rId8" tooltip="DOI URL" display="https://doi.org/10.1021/acs.est.0c07202" xr:uid="{9BE0C8BD-4A9E-4B79-838E-857A5BD09899}"/>
    <hyperlink ref="E28" r:id="rId9" tooltip="DOI URL" display="https://doi.org/10.1021/acs.est.0c07202" xr:uid="{873B8614-C607-4B6B-8A61-98E03DBFBA50}"/>
    <hyperlink ref="E35" r:id="rId10" display="https://doi.org/10.1021/acs.est.7b03452" xr:uid="{0D7437B3-6388-41E6-B007-812A5BEA1DA3}"/>
    <hyperlink ref="E30" r:id="rId11" display="https://doi.org/10.1016/j.chemosphere.2018.05.012" xr:uid="{29BC3C42-D7A4-48BD-8FC1-A88E34B63A66}"/>
  </hyperlinks>
  <pageMargins left="0.7" right="0.7" top="0.75" bottom="0.75" header="0.3" footer="0.3"/>
  <pageSetup orientation="portrait" r:id="rId1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404" operator="between" id="{006B5C6A-EF32-4E6E-A0B7-CFA519E1235D}">
            <xm:f>'All data'!BB119</xm:f>
            <xm:f>'All data'!BC119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BX28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B0E87-C3A7-4910-BCB1-C775CBE58CAC}">
  <dimension ref="A1:BQ1851"/>
  <sheetViews>
    <sheetView zoomScale="60" zoomScaleNormal="60" workbookViewId="0">
      <pane ySplit="1" topLeftCell="A2" activePane="bottomLeft" state="frozen"/>
      <selection activeCell="G1" sqref="G1"/>
      <selection pane="bottomLeft"/>
    </sheetView>
  </sheetViews>
  <sheetFormatPr defaultRowHeight="14.4" x14ac:dyDescent="0.3"/>
  <cols>
    <col min="1" max="1" width="13" style="69" customWidth="1"/>
    <col min="2" max="2" width="18.5546875" style="23" customWidth="1"/>
    <col min="3" max="3" width="15" style="23" bestFit="1" customWidth="1"/>
    <col min="4" max="4" width="41.109375" style="23" customWidth="1"/>
    <col min="5" max="5" width="42.109375" style="76" bestFit="1" customWidth="1"/>
    <col min="6" max="6" width="12.6640625" style="36" bestFit="1" customWidth="1"/>
    <col min="7" max="7" width="37.88671875" style="23" bestFit="1" customWidth="1"/>
    <col min="8" max="8" width="16.5546875" style="11" bestFit="1" customWidth="1"/>
    <col min="9" max="9" width="13.33203125" style="11" bestFit="1" customWidth="1"/>
    <col min="10" max="10" width="18.88671875" style="11" bestFit="1" customWidth="1"/>
    <col min="11" max="11" width="10.5546875" style="36" bestFit="1" customWidth="1"/>
    <col min="12" max="12" width="7.33203125" style="11" bestFit="1" customWidth="1"/>
    <col min="13" max="13" width="7.77734375" style="11" bestFit="1" customWidth="1"/>
    <col min="14" max="19" width="10.109375" style="23" bestFit="1" customWidth="1"/>
    <col min="20" max="20" width="6.77734375" style="23" bestFit="1" customWidth="1"/>
    <col min="21" max="21" width="20.6640625" style="23" bestFit="1" customWidth="1"/>
    <col min="22" max="22" width="20.21875" style="23" bestFit="1" customWidth="1"/>
    <col min="23" max="23" width="17.88671875" style="23" bestFit="1" customWidth="1"/>
    <col min="24" max="24" width="11.21875" style="23" customWidth="1"/>
    <col min="25" max="25" width="23.77734375" style="23" bestFit="1" customWidth="1"/>
    <col min="26" max="26" width="13" style="23" bestFit="1" customWidth="1"/>
    <col min="27" max="27" width="12.88671875" style="23" bestFit="1" customWidth="1"/>
    <col min="28" max="28" width="6.33203125" style="23" bestFit="1" customWidth="1"/>
    <col min="29" max="29" width="5.6640625" style="23" bestFit="1" customWidth="1"/>
    <col min="30" max="30" width="6.77734375" style="36" bestFit="1" customWidth="1"/>
    <col min="31" max="31" width="6.109375" style="23" bestFit="1" customWidth="1"/>
    <col min="32" max="32" width="6.77734375" style="36" bestFit="1" customWidth="1"/>
    <col min="33" max="33" width="13.33203125" style="40" bestFit="1" customWidth="1"/>
    <col min="34" max="34" width="22.33203125" style="11" customWidth="1"/>
    <col min="35" max="41" width="14.33203125" style="23" bestFit="1" customWidth="1"/>
    <col min="42" max="42" width="12.6640625" style="38" bestFit="1" customWidth="1"/>
    <col min="43" max="43" width="21" style="38" bestFit="1" customWidth="1"/>
    <col min="44" max="46" width="13" style="38" bestFit="1" customWidth="1"/>
    <col min="47" max="47" width="15.6640625" style="38" bestFit="1" customWidth="1"/>
    <col min="48" max="48" width="13" style="4" bestFit="1" customWidth="1"/>
    <col min="49" max="49" width="8.88671875" style="40" bestFit="1" customWidth="1"/>
    <col min="50" max="50" width="7.33203125" style="11" bestFit="1" customWidth="1"/>
    <col min="51" max="51" width="44.88671875" style="23" bestFit="1" customWidth="1"/>
    <col min="52" max="52" width="9.88671875" style="11" bestFit="1" customWidth="1"/>
    <col min="53" max="53" width="10.21875" style="11" bestFit="1" customWidth="1"/>
    <col min="54" max="54" width="10.77734375" style="11" bestFit="1" customWidth="1"/>
    <col min="55" max="55" width="11.21875" style="11" bestFit="1" customWidth="1"/>
    <col min="56" max="56" width="10.21875" style="40" bestFit="1" customWidth="1"/>
    <col min="57" max="57" width="11.6640625" style="32" bestFit="1" customWidth="1"/>
    <col min="58" max="58" width="11" style="32" bestFit="1" customWidth="1"/>
    <col min="59" max="59" width="9.44140625" style="32" bestFit="1" customWidth="1"/>
    <col min="60" max="60" width="89.33203125" style="23" bestFit="1" customWidth="1"/>
    <col min="61" max="61" width="11.88671875" style="131" bestFit="1" customWidth="1"/>
    <col min="62" max="62" width="22.6640625" style="130" bestFit="1" customWidth="1"/>
    <col min="63" max="63" width="5.44140625" style="131" bestFit="1" customWidth="1"/>
    <col min="64" max="64" width="24.88671875" style="131" bestFit="1" customWidth="1"/>
    <col min="65" max="65" width="8.88671875" style="69" bestFit="1" customWidth="1"/>
    <col min="66" max="66" width="8.44140625" style="69" bestFit="1" customWidth="1"/>
    <col min="67" max="67" width="7.77734375" style="131" bestFit="1" customWidth="1"/>
    <col min="68" max="69" width="8.88671875" style="23"/>
    <col min="70" max="16384" width="8.88671875" style="11"/>
  </cols>
  <sheetData>
    <row r="1" spans="1:67" s="128" customFormat="1" x14ac:dyDescent="0.3">
      <c r="A1" s="42" t="s">
        <v>662</v>
      </c>
      <c r="B1" s="42" t="s">
        <v>193</v>
      </c>
      <c r="C1" s="42" t="s">
        <v>776</v>
      </c>
      <c r="D1" s="42" t="s">
        <v>876</v>
      </c>
      <c r="E1" s="127" t="s">
        <v>198</v>
      </c>
      <c r="F1" s="42" t="s">
        <v>16</v>
      </c>
      <c r="G1" s="42" t="s">
        <v>777</v>
      </c>
      <c r="H1" s="42" t="s">
        <v>13</v>
      </c>
      <c r="I1" s="42" t="s">
        <v>13</v>
      </c>
      <c r="J1" s="42" t="s">
        <v>304</v>
      </c>
      <c r="K1" s="42" t="s">
        <v>271</v>
      </c>
      <c r="L1" s="42" t="s">
        <v>334</v>
      </c>
      <c r="M1" s="42" t="s">
        <v>335</v>
      </c>
      <c r="N1" s="42" t="s">
        <v>331</v>
      </c>
      <c r="O1" s="42" t="s">
        <v>336</v>
      </c>
      <c r="P1" s="42" t="s">
        <v>385</v>
      </c>
      <c r="Q1" s="42" t="s">
        <v>332</v>
      </c>
      <c r="R1" s="42" t="s">
        <v>384</v>
      </c>
      <c r="S1" s="42" t="s">
        <v>382</v>
      </c>
      <c r="T1" s="42" t="s">
        <v>333</v>
      </c>
      <c r="U1" s="42" t="s">
        <v>553</v>
      </c>
      <c r="V1" s="42" t="s">
        <v>554</v>
      </c>
      <c r="W1" s="42" t="s">
        <v>601</v>
      </c>
      <c r="X1" s="42" t="s">
        <v>626</v>
      </c>
      <c r="Y1" s="42" t="s">
        <v>881</v>
      </c>
      <c r="Z1" s="42" t="s">
        <v>278</v>
      </c>
      <c r="AA1" s="42" t="s">
        <v>276</v>
      </c>
      <c r="AB1" s="42" t="s">
        <v>279</v>
      </c>
      <c r="AC1" s="42" t="s">
        <v>277</v>
      </c>
      <c r="AD1" s="42" t="s">
        <v>779</v>
      </c>
      <c r="AE1" s="42" t="s">
        <v>12</v>
      </c>
      <c r="AF1" s="42" t="s">
        <v>12</v>
      </c>
      <c r="AG1" s="42" t="s">
        <v>17</v>
      </c>
      <c r="AH1" s="42" t="s">
        <v>17</v>
      </c>
      <c r="AI1" s="42" t="s">
        <v>18</v>
      </c>
      <c r="AJ1" s="42" t="s">
        <v>18</v>
      </c>
      <c r="AK1" s="42" t="s">
        <v>18</v>
      </c>
      <c r="AL1" s="42" t="s">
        <v>19</v>
      </c>
      <c r="AM1" s="42" t="s">
        <v>19</v>
      </c>
      <c r="AN1" s="42" t="s">
        <v>19</v>
      </c>
      <c r="AO1" s="42" t="s">
        <v>816</v>
      </c>
      <c r="AP1" s="42" t="s">
        <v>327</v>
      </c>
      <c r="AQ1" s="42" t="s">
        <v>327</v>
      </c>
      <c r="AR1" s="42" t="s">
        <v>665</v>
      </c>
      <c r="AS1" s="42" t="s">
        <v>20</v>
      </c>
      <c r="AT1" s="42" t="s">
        <v>21</v>
      </c>
      <c r="AU1" s="42" t="s">
        <v>660</v>
      </c>
      <c r="AV1" s="42" t="s">
        <v>667</v>
      </c>
      <c r="AW1" s="42" t="s">
        <v>22</v>
      </c>
      <c r="AX1" s="42" t="s">
        <v>23</v>
      </c>
      <c r="AY1" s="42" t="s">
        <v>818</v>
      </c>
      <c r="AZ1" s="42" t="s">
        <v>339</v>
      </c>
      <c r="BA1" s="42" t="s">
        <v>340</v>
      </c>
      <c r="BB1" s="42" t="s">
        <v>338</v>
      </c>
      <c r="BC1" s="42" t="s">
        <v>341</v>
      </c>
      <c r="BD1" s="42" t="s">
        <v>24</v>
      </c>
      <c r="BE1" s="42" t="s">
        <v>512</v>
      </c>
      <c r="BF1" s="42" t="s">
        <v>587</v>
      </c>
      <c r="BG1" s="42" t="s">
        <v>323</v>
      </c>
      <c r="BH1" s="42" t="s">
        <v>780</v>
      </c>
      <c r="BI1" s="42" t="s">
        <v>783</v>
      </c>
      <c r="BJ1" s="42" t="s">
        <v>783</v>
      </c>
      <c r="BK1" s="42" t="s">
        <v>191</v>
      </c>
      <c r="BL1" s="42" t="s">
        <v>784</v>
      </c>
      <c r="BM1" s="42" t="s">
        <v>251</v>
      </c>
      <c r="BN1" s="42" t="s">
        <v>252</v>
      </c>
      <c r="BO1" s="42" t="s">
        <v>24</v>
      </c>
    </row>
    <row r="2" spans="1:67" s="128" customFormat="1" x14ac:dyDescent="0.3">
      <c r="A2" s="42" t="s">
        <v>663</v>
      </c>
      <c r="B2" s="42" t="s">
        <v>194</v>
      </c>
      <c r="C2" s="42" t="s">
        <v>196</v>
      </c>
      <c r="D2" s="42" t="s">
        <v>197</v>
      </c>
      <c r="E2" s="127" t="s">
        <v>877</v>
      </c>
      <c r="F2" s="42" t="s">
        <v>878</v>
      </c>
      <c r="G2" s="42" t="s">
        <v>778</v>
      </c>
      <c r="H2" s="42" t="s">
        <v>25</v>
      </c>
      <c r="I2" s="42" t="s">
        <v>325</v>
      </c>
      <c r="J2" s="42" t="s">
        <v>305</v>
      </c>
      <c r="K2" s="42" t="s">
        <v>306</v>
      </c>
      <c r="L2" s="42" t="s">
        <v>307</v>
      </c>
      <c r="M2" s="42" t="s">
        <v>307</v>
      </c>
      <c r="N2" s="42" t="s">
        <v>307</v>
      </c>
      <c r="O2" s="42" t="s">
        <v>307</v>
      </c>
      <c r="P2" s="42" t="s">
        <v>307</v>
      </c>
      <c r="Q2" s="42" t="s">
        <v>307</v>
      </c>
      <c r="R2" s="42" t="s">
        <v>307</v>
      </c>
      <c r="S2" s="42" t="s">
        <v>307</v>
      </c>
      <c r="T2" s="42" t="s">
        <v>307</v>
      </c>
      <c r="U2" s="42" t="s">
        <v>879</v>
      </c>
      <c r="V2" s="42" t="s">
        <v>879</v>
      </c>
      <c r="W2" s="42" t="s">
        <v>306</v>
      </c>
      <c r="X2" s="42" t="s">
        <v>627</v>
      </c>
      <c r="Y2" s="42" t="s">
        <v>880</v>
      </c>
      <c r="Z2" s="42" t="s">
        <v>308</v>
      </c>
      <c r="AA2" s="42" t="s">
        <v>308</v>
      </c>
      <c r="AB2" s="42" t="s">
        <v>307</v>
      </c>
      <c r="AC2" s="42" t="s">
        <v>309</v>
      </c>
      <c r="AD2" s="42" t="s">
        <v>308</v>
      </c>
      <c r="AE2" s="42" t="s">
        <v>90</v>
      </c>
      <c r="AF2" s="42" t="s">
        <v>14</v>
      </c>
      <c r="AG2" s="42" t="s">
        <v>817</v>
      </c>
      <c r="AH2" s="42" t="s">
        <v>659</v>
      </c>
      <c r="AI2" s="42" t="s">
        <v>26</v>
      </c>
      <c r="AJ2" s="42" t="s">
        <v>27</v>
      </c>
      <c r="AK2" s="42" t="s">
        <v>15</v>
      </c>
      <c r="AL2" s="42" t="s">
        <v>26</v>
      </c>
      <c r="AM2" s="42" t="s">
        <v>27</v>
      </c>
      <c r="AN2" s="42" t="s">
        <v>15</v>
      </c>
      <c r="AO2" s="42" t="s">
        <v>659</v>
      </c>
      <c r="AP2" s="42" t="s">
        <v>328</v>
      </c>
      <c r="AQ2" s="42" t="s">
        <v>659</v>
      </c>
      <c r="AR2" s="42" t="s">
        <v>666</v>
      </c>
      <c r="AS2" s="42" t="s">
        <v>666</v>
      </c>
      <c r="AT2" s="42" t="s">
        <v>666</v>
      </c>
      <c r="AU2" s="42" t="s">
        <v>659</v>
      </c>
      <c r="AV2" s="42" t="s">
        <v>666</v>
      </c>
      <c r="AW2" s="42" t="s">
        <v>15</v>
      </c>
      <c r="AX2" s="42"/>
      <c r="AY2" s="42" t="s">
        <v>275</v>
      </c>
      <c r="AZ2" s="42" t="s">
        <v>185</v>
      </c>
      <c r="BA2" s="42" t="s">
        <v>185</v>
      </c>
      <c r="BB2" s="42" t="s">
        <v>192</v>
      </c>
      <c r="BC2" s="42" t="s">
        <v>192</v>
      </c>
      <c r="BD2" s="42" t="s">
        <v>28</v>
      </c>
      <c r="BE2" s="42" t="s">
        <v>513</v>
      </c>
      <c r="BF2" s="42" t="s">
        <v>307</v>
      </c>
      <c r="BG2" s="42" t="s">
        <v>307</v>
      </c>
      <c r="BH2" s="42" t="s">
        <v>781</v>
      </c>
      <c r="BI2" s="42" t="s">
        <v>890</v>
      </c>
      <c r="BJ2" s="42" t="s">
        <v>785</v>
      </c>
      <c r="BK2" s="42" t="s">
        <v>307</v>
      </c>
      <c r="BL2" s="42" t="s">
        <v>891</v>
      </c>
      <c r="BM2" s="42" t="s">
        <v>273</v>
      </c>
      <c r="BN2" s="42" t="s">
        <v>347</v>
      </c>
      <c r="BO2" s="42" t="s">
        <v>348</v>
      </c>
    </row>
    <row r="3" spans="1:67" s="14" customFormat="1" x14ac:dyDescent="0.3">
      <c r="A3" s="20">
        <v>1</v>
      </c>
      <c r="B3" s="2" t="s">
        <v>775</v>
      </c>
      <c r="C3" s="2">
        <v>2021</v>
      </c>
      <c r="D3" s="2" t="s">
        <v>203</v>
      </c>
      <c r="E3" s="10" t="s">
        <v>786</v>
      </c>
      <c r="F3" s="20" t="s">
        <v>29</v>
      </c>
      <c r="G3" s="2" t="s">
        <v>116</v>
      </c>
      <c r="H3" s="2" t="str">
        <f>'PFAS Properties'!$B$15</f>
        <v>6:2 FtSaB</v>
      </c>
      <c r="I3" s="2" t="str">
        <f>'PFAS Properties'!$C$15</f>
        <v>Betaine</v>
      </c>
      <c r="J3" s="2" t="str">
        <f>'PFAS Properties'!$D$15</f>
        <v>C15H19F13N2O4S</v>
      </c>
      <c r="K3" s="25">
        <f>'PFAS Properties'!$P$15</f>
        <v>570.08529999999996</v>
      </c>
      <c r="L3" s="2">
        <f>'PFAS Properties'!$X$15</f>
        <v>2.2999999999999998</v>
      </c>
      <c r="M3" s="2">
        <f>'PFAS Properties'!$Y$15</f>
        <v>11.1</v>
      </c>
      <c r="N3" s="33">
        <f t="shared" ref="N3:N36" si="0">1/(1+(10^(AG3-L3))+(10^((2*AG3)-L3-M3)))</f>
        <v>5.6217972004873185E-6</v>
      </c>
      <c r="O3" s="33">
        <f t="shared" ref="O3:O31" si="1">1/(1+(10^(L3-AG3))+(10^(AG3-M3)))</f>
        <v>0.99971262090410684</v>
      </c>
      <c r="P3" s="33">
        <f t="shared" ref="P3:P31" si="2">1/(1+(10^(M3-AG3))+(10^((L3+M3)-(2*AG3))))</f>
        <v>2.8175729869257875E-4</v>
      </c>
      <c r="Q3" s="33">
        <v>0</v>
      </c>
      <c r="R3" s="33">
        <v>0</v>
      </c>
      <c r="S3" s="33">
        <v>0</v>
      </c>
      <c r="T3" s="8">
        <f t="shared" ref="T3:T14" si="3">SUM(N3:S3)</f>
        <v>1</v>
      </c>
      <c r="U3" s="33">
        <f t="shared" ref="U3:U65" si="4">((1*N3)+(1*O3)+(1*P3))</f>
        <v>1</v>
      </c>
      <c r="V3" s="33">
        <f t="shared" ref="V3:V65" si="5">-((1*O3)+(2*P3)+(1*Q3)+(2*R3))</f>
        <v>-1.000276135501492</v>
      </c>
      <c r="W3" s="33">
        <f t="shared" ref="W3:W65" si="6">(N3*(K3+1))+(O3*K3)+(P3*(K3-1))+(Q3*(K3-1))+(R3*(K3-2))+(S3*K3)</f>
        <v>570.08502386449845</v>
      </c>
      <c r="X3" s="33">
        <v>96485</v>
      </c>
      <c r="Y3" s="16">
        <f t="shared" ref="Y3:Y65" si="7">((V3+U3)/W3)*X3</f>
        <v>-4.673501801686579E-2</v>
      </c>
      <c r="Z3" s="16">
        <v>15</v>
      </c>
      <c r="AA3" s="16">
        <v>13</v>
      </c>
      <c r="AB3" s="8">
        <f t="shared" ref="AB3:AB65" si="8">(Z3/AA3)*(12/19)</f>
        <v>0.72874493927125494</v>
      </c>
      <c r="AC3" s="16">
        <f t="shared" ref="AC3:AC65" si="9">((AA3*19)/K3)*100</f>
        <v>43.326849508310431</v>
      </c>
      <c r="AD3" s="20">
        <f>'PFAS Properties'!$W$15</f>
        <v>6</v>
      </c>
      <c r="AE3" s="8">
        <f>'PFAS Properties'!$S$15</f>
        <v>3.3010299956639813</v>
      </c>
      <c r="AF3" s="2">
        <f>'PFAS Properties'!$V$15</f>
        <v>4.8</v>
      </c>
      <c r="AG3" s="24">
        <v>7.55</v>
      </c>
      <c r="AH3" s="15" t="s">
        <v>830</v>
      </c>
      <c r="AI3" s="2" t="s">
        <v>661</v>
      </c>
      <c r="AJ3" s="2" t="s">
        <v>661</v>
      </c>
      <c r="AK3" s="2" t="s">
        <v>661</v>
      </c>
      <c r="AL3" s="2" t="s">
        <v>661</v>
      </c>
      <c r="AM3" s="2" t="s">
        <v>661</v>
      </c>
      <c r="AN3" s="2" t="s">
        <v>661</v>
      </c>
      <c r="AO3" s="2" t="s">
        <v>661</v>
      </c>
      <c r="AP3" s="15">
        <v>2.52</v>
      </c>
      <c r="AQ3" s="16" t="s">
        <v>689</v>
      </c>
      <c r="AR3" s="16">
        <v>45.3</v>
      </c>
      <c r="AS3" s="16">
        <v>30</v>
      </c>
      <c r="AT3" s="16">
        <v>24.7</v>
      </c>
      <c r="AU3" s="16" t="s">
        <v>664</v>
      </c>
      <c r="AV3" s="16">
        <f t="shared" ref="AV3:AV65" si="10">SUM(AR3:AT3)</f>
        <v>100</v>
      </c>
      <c r="AW3" s="18">
        <v>3.4</v>
      </c>
      <c r="AX3" s="13">
        <f>AW3/100</f>
        <v>3.4000000000000002E-2</v>
      </c>
      <c r="AY3" s="8" t="s">
        <v>342</v>
      </c>
      <c r="AZ3" s="16">
        <f>1/0.01</f>
        <v>100</v>
      </c>
      <c r="BA3" s="16" t="s">
        <v>55</v>
      </c>
      <c r="BB3" s="15">
        <f>5*K3/1000</f>
        <v>2.8504264999999998</v>
      </c>
      <c r="BC3" s="16">
        <f>5000*K3/1000</f>
        <v>2850.4265</v>
      </c>
      <c r="BD3" s="24">
        <f>37.2*AX3</f>
        <v>1.2648000000000001</v>
      </c>
      <c r="BE3" s="15">
        <f t="shared" ref="BE3:BE65" si="11">BD3/AX3</f>
        <v>37.200000000000003</v>
      </c>
      <c r="BF3" s="15">
        <f t="shared" ref="BF3:BF65" si="12">LOG(BE3)</f>
        <v>1.5705429398818975</v>
      </c>
      <c r="BG3" s="8">
        <f t="shared" ref="BG3:BG65" si="13">LOG(BD3)</f>
        <v>0.10202185692415268</v>
      </c>
      <c r="BH3" s="13" t="s">
        <v>343</v>
      </c>
      <c r="BI3" s="47"/>
      <c r="BJ3" s="48"/>
      <c r="BK3" s="49"/>
      <c r="BL3" s="49"/>
      <c r="BM3" s="50"/>
      <c r="BN3" s="47"/>
      <c r="BO3" s="52"/>
    </row>
    <row r="4" spans="1:67" s="14" customFormat="1" x14ac:dyDescent="0.3">
      <c r="A4" s="20">
        <v>2</v>
      </c>
      <c r="B4" s="2" t="s">
        <v>775</v>
      </c>
      <c r="C4" s="2">
        <v>2021</v>
      </c>
      <c r="D4" s="2" t="s">
        <v>203</v>
      </c>
      <c r="E4" s="10" t="s">
        <v>786</v>
      </c>
      <c r="F4" s="20" t="s">
        <v>29</v>
      </c>
      <c r="G4" s="2" t="s">
        <v>117</v>
      </c>
      <c r="H4" s="2" t="str">
        <f>'PFAS Properties'!$B$15</f>
        <v>6:2 FtSaB</v>
      </c>
      <c r="I4" s="2" t="str">
        <f>'PFAS Properties'!$C$15</f>
        <v>Betaine</v>
      </c>
      <c r="J4" s="2" t="str">
        <f>'PFAS Properties'!$D$15</f>
        <v>C15H19F13N2O4S</v>
      </c>
      <c r="K4" s="25">
        <f>'PFAS Properties'!$P$15</f>
        <v>570.08529999999996</v>
      </c>
      <c r="L4" s="2">
        <f>'PFAS Properties'!$X$15</f>
        <v>2.2999999999999998</v>
      </c>
      <c r="M4" s="2">
        <f>'PFAS Properties'!$Y$15</f>
        <v>11.1</v>
      </c>
      <c r="N4" s="33">
        <f t="shared" si="0"/>
        <v>1.2286844070637492E-6</v>
      </c>
      <c r="O4" s="33">
        <f t="shared" si="1"/>
        <v>0.99871218079641155</v>
      </c>
      <c r="P4" s="33">
        <f t="shared" si="2"/>
        <v>1.2865905191814517E-3</v>
      </c>
      <c r="Q4" s="33">
        <v>0</v>
      </c>
      <c r="R4" s="33">
        <v>0</v>
      </c>
      <c r="S4" s="33">
        <v>0</v>
      </c>
      <c r="T4" s="8">
        <f t="shared" si="3"/>
        <v>1</v>
      </c>
      <c r="U4" s="33">
        <f t="shared" si="4"/>
        <v>1</v>
      </c>
      <c r="V4" s="33">
        <f t="shared" si="5"/>
        <v>-1.0012853618347743</v>
      </c>
      <c r="W4" s="33">
        <f t="shared" si="6"/>
        <v>570.08401463816517</v>
      </c>
      <c r="X4" s="33">
        <v>96485</v>
      </c>
      <c r="Y4" s="16">
        <f t="shared" si="7"/>
        <v>-0.21754361364950323</v>
      </c>
      <c r="Z4" s="16">
        <v>15</v>
      </c>
      <c r="AA4" s="16">
        <v>13</v>
      </c>
      <c r="AB4" s="8">
        <f t="shared" si="8"/>
        <v>0.72874493927125494</v>
      </c>
      <c r="AC4" s="16">
        <f t="shared" si="9"/>
        <v>43.326849508310431</v>
      </c>
      <c r="AD4" s="20">
        <f>'PFAS Properties'!$W$15</f>
        <v>6</v>
      </c>
      <c r="AE4" s="8">
        <f>'PFAS Properties'!$S$15</f>
        <v>3.3010299956639813</v>
      </c>
      <c r="AF4" s="2">
        <f>'PFAS Properties'!$V$15</f>
        <v>4.8</v>
      </c>
      <c r="AG4" s="24">
        <v>8.2100000000000009</v>
      </c>
      <c r="AH4" s="15" t="s">
        <v>830</v>
      </c>
      <c r="AI4" s="2" t="s">
        <v>661</v>
      </c>
      <c r="AJ4" s="2" t="s">
        <v>661</v>
      </c>
      <c r="AK4" s="2" t="s">
        <v>661</v>
      </c>
      <c r="AL4" s="2" t="s">
        <v>661</v>
      </c>
      <c r="AM4" s="2" t="s">
        <v>661</v>
      </c>
      <c r="AN4" s="2" t="s">
        <v>661</v>
      </c>
      <c r="AO4" s="2" t="s">
        <v>661</v>
      </c>
      <c r="AP4" s="15">
        <v>11.4</v>
      </c>
      <c r="AQ4" s="16" t="s">
        <v>689</v>
      </c>
      <c r="AR4" s="16">
        <v>28.7</v>
      </c>
      <c r="AS4" s="16">
        <v>40</v>
      </c>
      <c r="AT4" s="16">
        <v>31.3</v>
      </c>
      <c r="AU4" s="16" t="s">
        <v>664</v>
      </c>
      <c r="AV4" s="16">
        <f t="shared" si="10"/>
        <v>100</v>
      </c>
      <c r="AW4" s="18">
        <v>1.7</v>
      </c>
      <c r="AX4" s="13">
        <f t="shared" ref="AX4:AX66" si="14">AW4/100</f>
        <v>1.7000000000000001E-2</v>
      </c>
      <c r="AY4" s="8" t="s">
        <v>342</v>
      </c>
      <c r="AZ4" s="16">
        <f>1/0.01</f>
        <v>100</v>
      </c>
      <c r="BA4" s="16" t="s">
        <v>55</v>
      </c>
      <c r="BB4" s="15">
        <f>5*K4/1000</f>
        <v>2.8504264999999998</v>
      </c>
      <c r="BC4" s="16">
        <f>5000*K4/1000</f>
        <v>2850.4265</v>
      </c>
      <c r="BD4" s="24">
        <f>565.4*AX4</f>
        <v>9.6118000000000006</v>
      </c>
      <c r="BE4" s="15">
        <f t="shared" si="11"/>
        <v>565.4</v>
      </c>
      <c r="BF4" s="15">
        <f t="shared" si="12"/>
        <v>2.7523558041535008</v>
      </c>
      <c r="BG4" s="8">
        <f t="shared" si="13"/>
        <v>0.98280472553177478</v>
      </c>
      <c r="BH4" s="13" t="s">
        <v>343</v>
      </c>
      <c r="BI4" s="51"/>
      <c r="BJ4" s="48"/>
      <c r="BK4" s="49"/>
      <c r="BL4" s="51"/>
      <c r="BM4" s="50"/>
      <c r="BN4" s="47"/>
      <c r="BO4" s="52"/>
    </row>
    <row r="5" spans="1:67" s="14" customFormat="1" x14ac:dyDescent="0.3">
      <c r="A5" s="20">
        <v>3</v>
      </c>
      <c r="B5" s="2" t="s">
        <v>775</v>
      </c>
      <c r="C5" s="2">
        <v>2021</v>
      </c>
      <c r="D5" s="2" t="s">
        <v>203</v>
      </c>
      <c r="E5" s="22" t="s">
        <v>786</v>
      </c>
      <c r="F5" s="20" t="s">
        <v>29</v>
      </c>
      <c r="G5" s="2" t="s">
        <v>118</v>
      </c>
      <c r="H5" s="2" t="str">
        <f>'PFAS Properties'!$B$15</f>
        <v>6:2 FtSaB</v>
      </c>
      <c r="I5" s="2" t="str">
        <f>'PFAS Properties'!$C$15</f>
        <v>Betaine</v>
      </c>
      <c r="J5" s="2" t="str">
        <f>'PFAS Properties'!$D$15</f>
        <v>C15H19F13N2O4S</v>
      </c>
      <c r="K5" s="25">
        <f>'PFAS Properties'!$P$15</f>
        <v>570.08529999999996</v>
      </c>
      <c r="L5" s="2">
        <f>'PFAS Properties'!$X$15</f>
        <v>2.2999999999999998</v>
      </c>
      <c r="M5" s="2">
        <f>'PFAS Properties'!$Y$15</f>
        <v>11.1</v>
      </c>
      <c r="N5" s="33">
        <f t="shared" si="0"/>
        <v>5.3698711084181432E-5</v>
      </c>
      <c r="O5" s="33">
        <f t="shared" si="1"/>
        <v>0.99991679165230163</v>
      </c>
      <c r="P5" s="33">
        <f t="shared" si="2"/>
        <v>2.9509636614229246E-5</v>
      </c>
      <c r="Q5" s="33">
        <v>0</v>
      </c>
      <c r="R5" s="33">
        <v>0</v>
      </c>
      <c r="S5" s="33">
        <v>0</v>
      </c>
      <c r="T5" s="8">
        <f t="shared" si="3"/>
        <v>1</v>
      </c>
      <c r="U5" s="33">
        <f t="shared" si="4"/>
        <v>1</v>
      </c>
      <c r="V5" s="33">
        <f t="shared" si="5"/>
        <v>-0.99997581092553012</v>
      </c>
      <c r="W5" s="33">
        <f t="shared" si="6"/>
        <v>570.08532418907441</v>
      </c>
      <c r="X5" s="33">
        <v>96485</v>
      </c>
      <c r="Y5" s="16">
        <f t="shared" si="7"/>
        <v>4.0939184911424906E-3</v>
      </c>
      <c r="Z5" s="16">
        <v>15</v>
      </c>
      <c r="AA5" s="16">
        <v>13</v>
      </c>
      <c r="AB5" s="8">
        <f t="shared" si="8"/>
        <v>0.72874493927125494</v>
      </c>
      <c r="AC5" s="16">
        <f t="shared" si="9"/>
        <v>43.326849508310431</v>
      </c>
      <c r="AD5" s="20">
        <f>'PFAS Properties'!$W$15</f>
        <v>6</v>
      </c>
      <c r="AE5" s="8">
        <f>'PFAS Properties'!$S$15</f>
        <v>3.3010299956639813</v>
      </c>
      <c r="AF5" s="2">
        <f>'PFAS Properties'!$V$15</f>
        <v>4.8</v>
      </c>
      <c r="AG5" s="24">
        <v>6.57</v>
      </c>
      <c r="AH5" s="15" t="s">
        <v>830</v>
      </c>
      <c r="AI5" s="2" t="s">
        <v>661</v>
      </c>
      <c r="AJ5" s="2" t="s">
        <v>661</v>
      </c>
      <c r="AK5" s="2" t="s">
        <v>661</v>
      </c>
      <c r="AL5" s="2" t="s">
        <v>661</v>
      </c>
      <c r="AM5" s="2" t="s">
        <v>661</v>
      </c>
      <c r="AN5" s="2" t="s">
        <v>661</v>
      </c>
      <c r="AO5" s="2" t="s">
        <v>661</v>
      </c>
      <c r="AP5" s="15">
        <v>9.93</v>
      </c>
      <c r="AQ5" s="16" t="s">
        <v>689</v>
      </c>
      <c r="AR5" s="16">
        <v>20</v>
      </c>
      <c r="AS5" s="16">
        <v>50</v>
      </c>
      <c r="AT5" s="16">
        <v>30</v>
      </c>
      <c r="AU5" s="16" t="s">
        <v>664</v>
      </c>
      <c r="AV5" s="16">
        <f t="shared" si="10"/>
        <v>100</v>
      </c>
      <c r="AW5" s="18">
        <v>2.9</v>
      </c>
      <c r="AX5" s="13">
        <f t="shared" si="14"/>
        <v>2.8999999999999998E-2</v>
      </c>
      <c r="AY5" s="8" t="s">
        <v>342</v>
      </c>
      <c r="AZ5" s="16">
        <f>1/0.01</f>
        <v>100</v>
      </c>
      <c r="BA5" s="16" t="s">
        <v>55</v>
      </c>
      <c r="BB5" s="15">
        <f>5*K5/1000</f>
        <v>2.8504264999999998</v>
      </c>
      <c r="BC5" s="16">
        <f>5000*K5/1000</f>
        <v>2850.4265</v>
      </c>
      <c r="BD5" s="24">
        <f>147.6*AX5</f>
        <v>4.2803999999999993</v>
      </c>
      <c r="BE5" s="15">
        <f t="shared" si="11"/>
        <v>147.6</v>
      </c>
      <c r="BF5" s="15">
        <f t="shared" si="12"/>
        <v>2.1690863574870227</v>
      </c>
      <c r="BG5" s="8">
        <f t="shared" si="13"/>
        <v>0.6314843553859788</v>
      </c>
      <c r="BH5" s="13" t="s">
        <v>343</v>
      </c>
      <c r="BI5" s="49"/>
      <c r="BJ5" s="48"/>
      <c r="BK5" s="49"/>
      <c r="BL5" s="49"/>
      <c r="BM5" s="50"/>
      <c r="BN5" s="47"/>
      <c r="BO5" s="52"/>
    </row>
    <row r="6" spans="1:67" s="14" customFormat="1" x14ac:dyDescent="0.3">
      <c r="A6" s="20">
        <v>4</v>
      </c>
      <c r="B6" s="2" t="s">
        <v>775</v>
      </c>
      <c r="C6" s="2">
        <v>2021</v>
      </c>
      <c r="D6" s="2" t="s">
        <v>203</v>
      </c>
      <c r="E6" s="10" t="s">
        <v>786</v>
      </c>
      <c r="F6" s="20" t="s">
        <v>29</v>
      </c>
      <c r="G6" s="2" t="s">
        <v>119</v>
      </c>
      <c r="H6" s="2" t="str">
        <f>'PFAS Properties'!$B$15</f>
        <v>6:2 FtSaB</v>
      </c>
      <c r="I6" s="2" t="str">
        <f>'PFAS Properties'!$C$15</f>
        <v>Betaine</v>
      </c>
      <c r="J6" s="2" t="str">
        <f>'PFAS Properties'!$D$15</f>
        <v>C15H19F13N2O4S</v>
      </c>
      <c r="K6" s="25">
        <f>'PFAS Properties'!$P$15</f>
        <v>570.08529999999996</v>
      </c>
      <c r="L6" s="2">
        <f>'PFAS Properties'!$X$15</f>
        <v>2.2999999999999998</v>
      </c>
      <c r="M6" s="2">
        <f>'PFAS Properties'!$Y$15</f>
        <v>11.1</v>
      </c>
      <c r="N6" s="33">
        <f t="shared" si="0"/>
        <v>6.2700107763533248E-3</v>
      </c>
      <c r="O6" s="33">
        <f t="shared" si="1"/>
        <v>0.99372973961002165</v>
      </c>
      <c r="P6" s="33">
        <f t="shared" si="2"/>
        <v>2.4961362495139597E-7</v>
      </c>
      <c r="Q6" s="33">
        <v>0</v>
      </c>
      <c r="R6" s="33">
        <v>0</v>
      </c>
      <c r="S6" s="33">
        <v>0</v>
      </c>
      <c r="T6" s="8">
        <f t="shared" si="3"/>
        <v>1</v>
      </c>
      <c r="U6" s="33">
        <f t="shared" si="4"/>
        <v>1</v>
      </c>
      <c r="V6" s="33">
        <f t="shared" si="5"/>
        <v>-0.99373023883727152</v>
      </c>
      <c r="W6" s="33">
        <f t="shared" si="6"/>
        <v>570.09156976116265</v>
      </c>
      <c r="X6" s="33">
        <v>96485</v>
      </c>
      <c r="Y6" s="16">
        <f t="shared" si="7"/>
        <v>1.0611241033423695</v>
      </c>
      <c r="Z6" s="16">
        <v>15</v>
      </c>
      <c r="AA6" s="16">
        <v>13</v>
      </c>
      <c r="AB6" s="8">
        <f t="shared" si="8"/>
        <v>0.72874493927125494</v>
      </c>
      <c r="AC6" s="16">
        <f t="shared" si="9"/>
        <v>43.326849508310431</v>
      </c>
      <c r="AD6" s="20">
        <f>'PFAS Properties'!$W$15</f>
        <v>6</v>
      </c>
      <c r="AE6" s="8">
        <f>'PFAS Properties'!$S$15</f>
        <v>3.3010299956639813</v>
      </c>
      <c r="AF6" s="2">
        <f>'PFAS Properties'!$V$15</f>
        <v>4.8</v>
      </c>
      <c r="AG6" s="24">
        <v>4.5</v>
      </c>
      <c r="AH6" s="15" t="s">
        <v>830</v>
      </c>
      <c r="AI6" s="2" t="s">
        <v>661</v>
      </c>
      <c r="AJ6" s="2" t="s">
        <v>661</v>
      </c>
      <c r="AK6" s="2" t="s">
        <v>661</v>
      </c>
      <c r="AL6" s="2" t="s">
        <v>661</v>
      </c>
      <c r="AM6" s="2" t="s">
        <v>661</v>
      </c>
      <c r="AN6" s="2" t="s">
        <v>661</v>
      </c>
      <c r="AO6" s="2" t="s">
        <v>661</v>
      </c>
      <c r="AP6" s="71">
        <v>11.497016666666671</v>
      </c>
      <c r="AQ6" s="70" t="s">
        <v>752</v>
      </c>
      <c r="AR6" s="16">
        <v>51.2</v>
      </c>
      <c r="AS6" s="16">
        <v>36.200000000000003</v>
      </c>
      <c r="AT6" s="16">
        <v>12.6</v>
      </c>
      <c r="AU6" s="16" t="s">
        <v>664</v>
      </c>
      <c r="AV6" s="16">
        <f t="shared" si="10"/>
        <v>100</v>
      </c>
      <c r="AW6" s="18">
        <v>7.3</v>
      </c>
      <c r="AX6" s="13">
        <f t="shared" si="14"/>
        <v>7.2999999999999995E-2</v>
      </c>
      <c r="AY6" s="8" t="s">
        <v>342</v>
      </c>
      <c r="AZ6" s="16">
        <f>1/0.01</f>
        <v>100</v>
      </c>
      <c r="BA6" s="16" t="s">
        <v>55</v>
      </c>
      <c r="BB6" s="15">
        <f>5*K6/1000</f>
        <v>2.8504264999999998</v>
      </c>
      <c r="BC6" s="16">
        <f>5000*K6/1000</f>
        <v>2850.4265</v>
      </c>
      <c r="BD6" s="24">
        <f>111.8*AX6</f>
        <v>8.1613999999999987</v>
      </c>
      <c r="BE6" s="15">
        <f t="shared" si="11"/>
        <v>111.79999999999998</v>
      </c>
      <c r="BF6" s="15">
        <f t="shared" si="12"/>
        <v>2.0484418035504044</v>
      </c>
      <c r="BG6" s="8">
        <f t="shared" si="13"/>
        <v>0.91176466367086029</v>
      </c>
      <c r="BH6" s="13" t="s">
        <v>343</v>
      </c>
      <c r="BI6" s="49"/>
      <c r="BJ6" s="48"/>
      <c r="BK6" s="49"/>
      <c r="BL6" s="49"/>
      <c r="BM6" s="50"/>
      <c r="BN6" s="47"/>
      <c r="BO6" s="52"/>
    </row>
    <row r="7" spans="1:67" s="14" customFormat="1" x14ac:dyDescent="0.3">
      <c r="A7" s="20">
        <v>5</v>
      </c>
      <c r="B7" s="2" t="s">
        <v>775</v>
      </c>
      <c r="C7" s="2">
        <v>2021</v>
      </c>
      <c r="D7" s="2" t="s">
        <v>203</v>
      </c>
      <c r="E7" s="10" t="s">
        <v>786</v>
      </c>
      <c r="F7" s="20" t="s">
        <v>29</v>
      </c>
      <c r="G7" s="2" t="s">
        <v>120</v>
      </c>
      <c r="H7" s="2" t="str">
        <f>'PFAS Properties'!$B$15</f>
        <v>6:2 FtSaB</v>
      </c>
      <c r="I7" s="2" t="str">
        <f>'PFAS Properties'!$C$15</f>
        <v>Betaine</v>
      </c>
      <c r="J7" s="2" t="str">
        <f>'PFAS Properties'!$D$15</f>
        <v>C15H19F13N2O4S</v>
      </c>
      <c r="K7" s="25">
        <f>'PFAS Properties'!$P$15</f>
        <v>570.08529999999996</v>
      </c>
      <c r="L7" s="2">
        <f>'PFAS Properties'!$X$15</f>
        <v>2.2999999999999998</v>
      </c>
      <c r="M7" s="2">
        <f>'PFAS Properties'!$Y$15</f>
        <v>11.1</v>
      </c>
      <c r="N7" s="33">
        <f t="shared" si="0"/>
        <v>1.410543516291809E-3</v>
      </c>
      <c r="O7" s="33">
        <f t="shared" si="1"/>
        <v>0.99858833604916675</v>
      </c>
      <c r="P7" s="33">
        <f t="shared" si="2"/>
        <v>1.1204345412978557E-6</v>
      </c>
      <c r="Q7" s="33">
        <v>0</v>
      </c>
      <c r="R7" s="33">
        <v>0</v>
      </c>
      <c r="S7" s="33">
        <v>0</v>
      </c>
      <c r="T7" s="8">
        <f t="shared" si="3"/>
        <v>0.99999999999999978</v>
      </c>
      <c r="U7" s="33">
        <f t="shared" si="4"/>
        <v>0.99999999999999978</v>
      </c>
      <c r="V7" s="33">
        <f t="shared" si="5"/>
        <v>-0.99859057691824937</v>
      </c>
      <c r="W7" s="33">
        <f t="shared" si="6"/>
        <v>570.08670942308163</v>
      </c>
      <c r="X7" s="33">
        <v>96485</v>
      </c>
      <c r="Y7" s="16">
        <f t="shared" si="7"/>
        <v>0.23853947793363861</v>
      </c>
      <c r="Z7" s="16">
        <v>15</v>
      </c>
      <c r="AA7" s="16">
        <v>13</v>
      </c>
      <c r="AB7" s="8">
        <f t="shared" si="8"/>
        <v>0.72874493927125494</v>
      </c>
      <c r="AC7" s="16">
        <f t="shared" si="9"/>
        <v>43.326849508310431</v>
      </c>
      <c r="AD7" s="20">
        <f>'PFAS Properties'!$W$15</f>
        <v>6</v>
      </c>
      <c r="AE7" s="8">
        <f>'PFAS Properties'!$S$15</f>
        <v>3.3010299956639813</v>
      </c>
      <c r="AF7" s="2">
        <f>'PFAS Properties'!$V$15</f>
        <v>4.8</v>
      </c>
      <c r="AG7" s="24">
        <v>5.15</v>
      </c>
      <c r="AH7" s="2" t="s">
        <v>830</v>
      </c>
      <c r="AI7" s="2" t="s">
        <v>661</v>
      </c>
      <c r="AJ7" s="2" t="s">
        <v>661</v>
      </c>
      <c r="AK7" s="2" t="s">
        <v>661</v>
      </c>
      <c r="AL7" s="2" t="s">
        <v>661</v>
      </c>
      <c r="AM7" s="2" t="s">
        <v>661</v>
      </c>
      <c r="AN7" s="2" t="s">
        <v>661</v>
      </c>
      <c r="AO7" s="2" t="s">
        <v>661</v>
      </c>
      <c r="AP7" s="15">
        <v>0.57999999999999996</v>
      </c>
      <c r="AQ7" s="16" t="s">
        <v>689</v>
      </c>
      <c r="AR7" s="16">
        <v>59.2</v>
      </c>
      <c r="AS7" s="16">
        <v>32.200000000000003</v>
      </c>
      <c r="AT7" s="16">
        <v>8.6</v>
      </c>
      <c r="AU7" s="16" t="s">
        <v>664</v>
      </c>
      <c r="AV7" s="16">
        <f t="shared" si="10"/>
        <v>100</v>
      </c>
      <c r="AW7" s="18">
        <v>1.8</v>
      </c>
      <c r="AX7" s="13">
        <f t="shared" si="14"/>
        <v>1.8000000000000002E-2</v>
      </c>
      <c r="AY7" s="13" t="s">
        <v>342</v>
      </c>
      <c r="AZ7" s="16">
        <f>1/0.01</f>
        <v>100</v>
      </c>
      <c r="BA7" s="16" t="s">
        <v>55</v>
      </c>
      <c r="BB7" s="15">
        <f>5*K7/1000</f>
        <v>2.8504264999999998</v>
      </c>
      <c r="BC7" s="16">
        <f>5000*K7/1000</f>
        <v>2850.4265</v>
      </c>
      <c r="BD7" s="24">
        <f>305.6*AX7</f>
        <v>5.5008000000000008</v>
      </c>
      <c r="BE7" s="15">
        <f t="shared" si="11"/>
        <v>305.60000000000002</v>
      </c>
      <c r="BF7" s="15">
        <f t="shared" si="12"/>
        <v>2.4851533499036522</v>
      </c>
      <c r="BG7" s="8">
        <f t="shared" si="13"/>
        <v>0.74042585500695846</v>
      </c>
      <c r="BH7" s="13" t="s">
        <v>343</v>
      </c>
      <c r="BI7" s="49"/>
      <c r="BJ7" s="48"/>
      <c r="BK7" s="49"/>
      <c r="BL7" s="51"/>
      <c r="BM7" s="50"/>
      <c r="BN7" s="47"/>
      <c r="BO7" s="52"/>
    </row>
    <row r="8" spans="1:67" s="14" customFormat="1" x14ac:dyDescent="0.3">
      <c r="A8" s="20">
        <v>6</v>
      </c>
      <c r="B8" s="2" t="s">
        <v>242</v>
      </c>
      <c r="C8" s="2">
        <v>2018</v>
      </c>
      <c r="D8" s="2" t="s">
        <v>243</v>
      </c>
      <c r="E8" s="10" t="s">
        <v>788</v>
      </c>
      <c r="F8" s="20" t="s">
        <v>29</v>
      </c>
      <c r="G8" s="2" t="s">
        <v>129</v>
      </c>
      <c r="H8" s="2" t="str">
        <f>'PFAS Properties'!$B$15</f>
        <v>6:2 FtSaB</v>
      </c>
      <c r="I8" s="2" t="str">
        <f>'PFAS Properties'!$C$15</f>
        <v>Betaine</v>
      </c>
      <c r="J8" s="2" t="str">
        <f>'PFAS Properties'!$D$15</f>
        <v>C15H19F13N2O4S</v>
      </c>
      <c r="K8" s="25">
        <f>'PFAS Properties'!$P$15</f>
        <v>570.08529999999996</v>
      </c>
      <c r="L8" s="2">
        <f>'PFAS Properties'!$X$15</f>
        <v>2.2999999999999998</v>
      </c>
      <c r="M8" s="2">
        <f>'PFAS Properties'!$Y$15</f>
        <v>11.1</v>
      </c>
      <c r="N8" s="33">
        <f t="shared" si="0"/>
        <v>6.7749275242754011E-4</v>
      </c>
      <c r="O8" s="33">
        <f t="shared" si="1"/>
        <v>0.99932017107643722</v>
      </c>
      <c r="P8" s="33">
        <f t="shared" si="2"/>
        <v>2.3361711351300638E-6</v>
      </c>
      <c r="Q8" s="33">
        <v>0</v>
      </c>
      <c r="R8" s="33">
        <v>0</v>
      </c>
      <c r="S8" s="33">
        <v>0</v>
      </c>
      <c r="T8" s="8">
        <f t="shared" si="3"/>
        <v>0.99999999999999989</v>
      </c>
      <c r="U8" s="33">
        <f t="shared" si="4"/>
        <v>0.99999999999999989</v>
      </c>
      <c r="V8" s="33">
        <f t="shared" si="5"/>
        <v>-0.99932484341870753</v>
      </c>
      <c r="W8" s="33">
        <f t="shared" si="6"/>
        <v>570.08597515658118</v>
      </c>
      <c r="X8" s="33">
        <v>96485</v>
      </c>
      <c r="Y8" s="16">
        <f t="shared" si="7"/>
        <v>0.11426782202123274</v>
      </c>
      <c r="Z8" s="16">
        <v>15</v>
      </c>
      <c r="AA8" s="16">
        <v>13</v>
      </c>
      <c r="AB8" s="8">
        <f t="shared" si="8"/>
        <v>0.72874493927125494</v>
      </c>
      <c r="AC8" s="16">
        <f t="shared" si="9"/>
        <v>43.326849508310431</v>
      </c>
      <c r="AD8" s="20">
        <f>'PFAS Properties'!$W$15</f>
        <v>6</v>
      </c>
      <c r="AE8" s="8">
        <f>'PFAS Properties'!$S$15</f>
        <v>3.3010299956639813</v>
      </c>
      <c r="AF8" s="2">
        <f>'PFAS Properties'!$V$15</f>
        <v>4.8</v>
      </c>
      <c r="AG8" s="124">
        <v>5.4687999999999999</v>
      </c>
      <c r="AH8" s="70" t="s">
        <v>752</v>
      </c>
      <c r="AI8" s="2" t="s">
        <v>661</v>
      </c>
      <c r="AJ8" s="15" t="s">
        <v>661</v>
      </c>
      <c r="AK8" s="8" t="s">
        <v>661</v>
      </c>
      <c r="AL8" s="2" t="s">
        <v>661</v>
      </c>
      <c r="AM8" s="15" t="s">
        <v>661</v>
      </c>
      <c r="AN8" s="8" t="s">
        <v>661</v>
      </c>
      <c r="AO8" s="15" t="s">
        <v>661</v>
      </c>
      <c r="AP8" s="71">
        <v>21.5806</v>
      </c>
      <c r="AQ8" s="70" t="s">
        <v>752</v>
      </c>
      <c r="AR8" s="71">
        <v>41.737499999999997</v>
      </c>
      <c r="AS8" s="71">
        <v>35.036999999999999</v>
      </c>
      <c r="AT8" s="71">
        <v>21.887</v>
      </c>
      <c r="AU8" s="70" t="s">
        <v>752</v>
      </c>
      <c r="AV8" s="16">
        <f t="shared" si="10"/>
        <v>98.66149999999999</v>
      </c>
      <c r="AW8" s="18">
        <v>46.9</v>
      </c>
      <c r="AX8" s="13">
        <f t="shared" si="14"/>
        <v>0.46899999999999997</v>
      </c>
      <c r="AY8" s="13" t="s">
        <v>344</v>
      </c>
      <c r="AZ8" s="15">
        <f>0.01/0.05</f>
        <v>0.19999999999999998</v>
      </c>
      <c r="BA8" s="16" t="s">
        <v>55</v>
      </c>
      <c r="BB8" s="15">
        <v>2</v>
      </c>
      <c r="BC8" s="16">
        <v>3500</v>
      </c>
      <c r="BD8" s="25">
        <f>10^1.48</f>
        <v>30.199517204020164</v>
      </c>
      <c r="BE8" s="16">
        <f t="shared" si="11"/>
        <v>64.39129467808138</v>
      </c>
      <c r="BF8" s="16">
        <f t="shared" si="12"/>
        <v>1.8088271572849168</v>
      </c>
      <c r="BG8" s="8">
        <f t="shared" si="13"/>
        <v>1.48</v>
      </c>
      <c r="BH8" s="13" t="s">
        <v>346</v>
      </c>
      <c r="BI8" s="47"/>
      <c r="BJ8" s="48"/>
      <c r="BK8" s="49"/>
      <c r="BL8" s="51"/>
      <c r="BM8" s="50"/>
      <c r="BN8" s="47"/>
      <c r="BO8" s="52"/>
    </row>
    <row r="9" spans="1:67" s="14" customFormat="1" x14ac:dyDescent="0.3">
      <c r="A9" s="20">
        <v>7</v>
      </c>
      <c r="B9" s="2" t="s">
        <v>181</v>
      </c>
      <c r="C9" s="2">
        <v>2020</v>
      </c>
      <c r="D9" s="2" t="s">
        <v>203</v>
      </c>
      <c r="E9" s="10" t="s">
        <v>787</v>
      </c>
      <c r="F9" s="20" t="s">
        <v>29</v>
      </c>
      <c r="G9" s="2" t="s">
        <v>62</v>
      </c>
      <c r="H9" s="2" t="str">
        <f>'PFAS Properties'!$B$15</f>
        <v>6:2 FtSaB</v>
      </c>
      <c r="I9" s="2" t="str">
        <f>'PFAS Properties'!$C$15</f>
        <v>Betaine</v>
      </c>
      <c r="J9" s="2" t="str">
        <f>'PFAS Properties'!$D$15</f>
        <v>C15H19F13N2O4S</v>
      </c>
      <c r="K9" s="25">
        <f>'PFAS Properties'!$P$15</f>
        <v>570.08529999999996</v>
      </c>
      <c r="L9" s="2">
        <f>'PFAS Properties'!$X$15</f>
        <v>2.2999999999999998</v>
      </c>
      <c r="M9" s="2">
        <f>'PFAS Properties'!$Y$15</f>
        <v>11.1</v>
      </c>
      <c r="N9" s="33">
        <f t="shared" si="0"/>
        <v>6.307949159143065E-6</v>
      </c>
      <c r="O9" s="33">
        <f t="shared" si="1"/>
        <v>0.99974256807166673</v>
      </c>
      <c r="P9" s="33">
        <f t="shared" si="2"/>
        <v>2.5112397917417638E-4</v>
      </c>
      <c r="Q9" s="33">
        <v>0</v>
      </c>
      <c r="R9" s="33">
        <v>0</v>
      </c>
      <c r="S9" s="33">
        <v>0</v>
      </c>
      <c r="T9" s="8">
        <f t="shared" si="3"/>
        <v>1</v>
      </c>
      <c r="U9" s="33">
        <f t="shared" si="4"/>
        <v>1</v>
      </c>
      <c r="V9" s="33">
        <f t="shared" si="5"/>
        <v>-1.000244816030015</v>
      </c>
      <c r="W9" s="33">
        <f t="shared" si="6"/>
        <v>570.08505518396998</v>
      </c>
      <c r="X9" s="33">
        <v>96485</v>
      </c>
      <c r="Y9" s="16">
        <f t="shared" si="7"/>
        <v>-4.1434299042231892E-2</v>
      </c>
      <c r="Z9" s="16">
        <v>15</v>
      </c>
      <c r="AA9" s="16">
        <v>13</v>
      </c>
      <c r="AB9" s="8">
        <f t="shared" si="8"/>
        <v>0.72874493927125494</v>
      </c>
      <c r="AC9" s="16">
        <f t="shared" si="9"/>
        <v>43.326849508310431</v>
      </c>
      <c r="AD9" s="20">
        <f>'PFAS Properties'!$W$15</f>
        <v>6</v>
      </c>
      <c r="AE9" s="8">
        <f>'PFAS Properties'!$S$15</f>
        <v>3.3010299956639813</v>
      </c>
      <c r="AF9" s="2">
        <f>'PFAS Properties'!$V$15</f>
        <v>4.8</v>
      </c>
      <c r="AG9" s="24">
        <v>7.5</v>
      </c>
      <c r="AH9" s="2" t="s">
        <v>183</v>
      </c>
      <c r="AI9" s="2" t="s">
        <v>661</v>
      </c>
      <c r="AJ9" s="2" t="s">
        <v>661</v>
      </c>
      <c r="AK9" s="2" t="s">
        <v>661</v>
      </c>
      <c r="AL9" s="2" t="s">
        <v>661</v>
      </c>
      <c r="AM9" s="2" t="s">
        <v>661</v>
      </c>
      <c r="AN9" s="2" t="s">
        <v>661</v>
      </c>
      <c r="AO9" s="2" t="s">
        <v>661</v>
      </c>
      <c r="AP9" s="15">
        <v>41.4</v>
      </c>
      <c r="AQ9" s="2" t="s">
        <v>661</v>
      </c>
      <c r="AR9" s="16">
        <v>16.899999999999999</v>
      </c>
      <c r="AS9" s="16">
        <v>17.5</v>
      </c>
      <c r="AT9" s="16">
        <v>65.599999999999994</v>
      </c>
      <c r="AU9" s="2" t="s">
        <v>661</v>
      </c>
      <c r="AV9" s="16">
        <f t="shared" si="10"/>
        <v>100</v>
      </c>
      <c r="AW9" s="18">
        <v>0.7</v>
      </c>
      <c r="AX9" s="13">
        <f t="shared" si="14"/>
        <v>6.9999999999999993E-3</v>
      </c>
      <c r="AY9" s="13" t="s">
        <v>184</v>
      </c>
      <c r="AZ9" s="16">
        <v>100</v>
      </c>
      <c r="BA9" s="16" t="s">
        <v>55</v>
      </c>
      <c r="BB9" s="15">
        <v>5</v>
      </c>
      <c r="BC9" s="16" t="s">
        <v>55</v>
      </c>
      <c r="BD9" s="18">
        <v>0.15</v>
      </c>
      <c r="BE9" s="16">
        <f t="shared" si="11"/>
        <v>21.428571428571431</v>
      </c>
      <c r="BF9" s="16">
        <f t="shared" si="12"/>
        <v>1.3309932190414244</v>
      </c>
      <c r="BG9" s="8">
        <f t="shared" si="13"/>
        <v>-0.82390874094431876</v>
      </c>
      <c r="BH9" s="13" t="s">
        <v>345</v>
      </c>
      <c r="BI9" s="13"/>
      <c r="BJ9" s="13"/>
      <c r="BK9" s="15"/>
      <c r="BL9" s="13"/>
      <c r="BM9" s="17"/>
      <c r="BN9" s="17"/>
      <c r="BO9" s="2"/>
    </row>
    <row r="10" spans="1:67" s="14" customFormat="1" x14ac:dyDescent="0.3">
      <c r="A10" s="20">
        <v>8</v>
      </c>
      <c r="B10" s="2" t="s">
        <v>181</v>
      </c>
      <c r="C10" s="2">
        <v>2020</v>
      </c>
      <c r="D10" s="2" t="s">
        <v>203</v>
      </c>
      <c r="E10" s="10" t="s">
        <v>787</v>
      </c>
      <c r="F10" s="20" t="s">
        <v>29</v>
      </c>
      <c r="G10" s="2" t="s">
        <v>57</v>
      </c>
      <c r="H10" s="2" t="str">
        <f>'PFAS Properties'!$B$15</f>
        <v>6:2 FtSaB</v>
      </c>
      <c r="I10" s="2" t="str">
        <f>'PFAS Properties'!$C$15</f>
        <v>Betaine</v>
      </c>
      <c r="J10" s="2" t="str">
        <f>'PFAS Properties'!$D$15</f>
        <v>C15H19F13N2O4S</v>
      </c>
      <c r="K10" s="25">
        <f>'PFAS Properties'!$P$15</f>
        <v>570.08529999999996</v>
      </c>
      <c r="L10" s="2">
        <f>'PFAS Properties'!$X$15</f>
        <v>2.2999999999999998</v>
      </c>
      <c r="M10" s="2">
        <f>'PFAS Properties'!$Y$15</f>
        <v>11.1</v>
      </c>
      <c r="N10" s="33">
        <f t="shared" si="0"/>
        <v>3.1620191919767058E-5</v>
      </c>
      <c r="O10" s="33">
        <f t="shared" si="1"/>
        <v>0.99991826518116211</v>
      </c>
      <c r="P10" s="33">
        <f t="shared" si="2"/>
        <v>5.0114626917952808E-5</v>
      </c>
      <c r="Q10" s="33">
        <v>0</v>
      </c>
      <c r="R10" s="33">
        <v>0</v>
      </c>
      <c r="S10" s="33">
        <v>0</v>
      </c>
      <c r="T10" s="8">
        <f t="shared" si="3"/>
        <v>0.99999999999999978</v>
      </c>
      <c r="U10" s="33">
        <f t="shared" si="4"/>
        <v>0.99999999999999978</v>
      </c>
      <c r="V10" s="33">
        <f t="shared" si="5"/>
        <v>-1.0000184944349981</v>
      </c>
      <c r="W10" s="33">
        <f t="shared" si="6"/>
        <v>570.08528150556492</v>
      </c>
      <c r="X10" s="33">
        <v>96485</v>
      </c>
      <c r="Y10" s="16">
        <f t="shared" si="7"/>
        <v>-3.1301203849769046E-3</v>
      </c>
      <c r="Z10" s="16">
        <v>15</v>
      </c>
      <c r="AA10" s="16">
        <v>13</v>
      </c>
      <c r="AB10" s="8">
        <f t="shared" si="8"/>
        <v>0.72874493927125494</v>
      </c>
      <c r="AC10" s="16">
        <f t="shared" si="9"/>
        <v>43.326849508310431</v>
      </c>
      <c r="AD10" s="20">
        <f>'PFAS Properties'!$W$15</f>
        <v>6</v>
      </c>
      <c r="AE10" s="8">
        <f>'PFAS Properties'!$S$15</f>
        <v>3.3010299956639813</v>
      </c>
      <c r="AF10" s="2">
        <f>'PFAS Properties'!$V$15</f>
        <v>4.8</v>
      </c>
      <c r="AG10" s="24">
        <v>6.8</v>
      </c>
      <c r="AH10" s="2" t="s">
        <v>183</v>
      </c>
      <c r="AI10" s="2" t="s">
        <v>661</v>
      </c>
      <c r="AJ10" s="2" t="s">
        <v>661</v>
      </c>
      <c r="AK10" s="2" t="s">
        <v>661</v>
      </c>
      <c r="AL10" s="2" t="s">
        <v>661</v>
      </c>
      <c r="AM10" s="2" t="s">
        <v>661</v>
      </c>
      <c r="AN10" s="2" t="s">
        <v>661</v>
      </c>
      <c r="AO10" s="2" t="s">
        <v>661</v>
      </c>
      <c r="AP10" s="15">
        <v>7.1</v>
      </c>
      <c r="AQ10" s="2" t="s">
        <v>661</v>
      </c>
      <c r="AR10" s="16">
        <v>48.9</v>
      </c>
      <c r="AS10" s="16">
        <v>27</v>
      </c>
      <c r="AT10" s="16">
        <v>24.2</v>
      </c>
      <c r="AU10" s="2" t="s">
        <v>661</v>
      </c>
      <c r="AV10" s="16">
        <f t="shared" si="10"/>
        <v>100.10000000000001</v>
      </c>
      <c r="AW10" s="18">
        <v>0.37</v>
      </c>
      <c r="AX10" s="13">
        <f t="shared" si="14"/>
        <v>3.7000000000000002E-3</v>
      </c>
      <c r="AY10" s="13" t="s">
        <v>184</v>
      </c>
      <c r="AZ10" s="16">
        <v>100</v>
      </c>
      <c r="BA10" s="16" t="s">
        <v>55</v>
      </c>
      <c r="BB10" s="15">
        <v>5</v>
      </c>
      <c r="BC10" s="16" t="s">
        <v>55</v>
      </c>
      <c r="BD10" s="18">
        <v>0.37</v>
      </c>
      <c r="BE10" s="16">
        <f t="shared" si="11"/>
        <v>100</v>
      </c>
      <c r="BF10" s="16">
        <f t="shared" si="12"/>
        <v>2</v>
      </c>
      <c r="BG10" s="8">
        <f t="shared" si="13"/>
        <v>-0.43179827593300502</v>
      </c>
      <c r="BH10" s="13" t="s">
        <v>345</v>
      </c>
      <c r="BI10" s="13"/>
      <c r="BJ10" s="13"/>
      <c r="BK10" s="15"/>
      <c r="BL10" s="13"/>
      <c r="BM10" s="17"/>
      <c r="BN10" s="17"/>
      <c r="BO10" s="2"/>
    </row>
    <row r="11" spans="1:67" s="14" customFormat="1" x14ac:dyDescent="0.3">
      <c r="A11" s="20">
        <v>9</v>
      </c>
      <c r="B11" s="2" t="s">
        <v>181</v>
      </c>
      <c r="C11" s="2">
        <v>2020</v>
      </c>
      <c r="D11" s="2" t="s">
        <v>203</v>
      </c>
      <c r="E11" s="10" t="s">
        <v>787</v>
      </c>
      <c r="F11" s="20" t="s">
        <v>29</v>
      </c>
      <c r="G11" s="2" t="s">
        <v>58</v>
      </c>
      <c r="H11" s="2" t="str">
        <f>'PFAS Properties'!$B$15</f>
        <v>6:2 FtSaB</v>
      </c>
      <c r="I11" s="2" t="str">
        <f>'PFAS Properties'!$C$15</f>
        <v>Betaine</v>
      </c>
      <c r="J11" s="2" t="str">
        <f>'PFAS Properties'!$D$15</f>
        <v>C15H19F13N2O4S</v>
      </c>
      <c r="K11" s="25">
        <f>'PFAS Properties'!$P$15</f>
        <v>570.08529999999996</v>
      </c>
      <c r="L11" s="2">
        <f>'PFAS Properties'!$X$15</f>
        <v>2.2999999999999998</v>
      </c>
      <c r="M11" s="2">
        <f>'PFAS Properties'!$Y$15</f>
        <v>11.1</v>
      </c>
      <c r="N11" s="33">
        <f t="shared" si="0"/>
        <v>1.2587510976823252E-4</v>
      </c>
      <c r="O11" s="33">
        <f t="shared" si="1"/>
        <v>0.99986153737925509</v>
      </c>
      <c r="P11" s="33">
        <f t="shared" si="2"/>
        <v>1.2587510976823284E-5</v>
      </c>
      <c r="Q11" s="33">
        <v>0</v>
      </c>
      <c r="R11" s="33">
        <v>0</v>
      </c>
      <c r="S11" s="33">
        <v>0</v>
      </c>
      <c r="T11" s="8">
        <f t="shared" si="3"/>
        <v>1.0000000000000002</v>
      </c>
      <c r="U11" s="33">
        <f t="shared" si="4"/>
        <v>1.0000000000000002</v>
      </c>
      <c r="V11" s="33">
        <f t="shared" si="5"/>
        <v>-0.99988671240120874</v>
      </c>
      <c r="W11" s="33">
        <f t="shared" si="6"/>
        <v>570.08541328759884</v>
      </c>
      <c r="X11" s="33">
        <v>96485</v>
      </c>
      <c r="Y11" s="16">
        <f t="shared" si="7"/>
        <v>1.9173537358833453E-2</v>
      </c>
      <c r="Z11" s="16">
        <v>15</v>
      </c>
      <c r="AA11" s="16">
        <v>13</v>
      </c>
      <c r="AB11" s="8">
        <f t="shared" si="8"/>
        <v>0.72874493927125494</v>
      </c>
      <c r="AC11" s="16">
        <f t="shared" si="9"/>
        <v>43.326849508310431</v>
      </c>
      <c r="AD11" s="20">
        <f>'PFAS Properties'!$W$15</f>
        <v>6</v>
      </c>
      <c r="AE11" s="8">
        <f>'PFAS Properties'!$S$15</f>
        <v>3.3010299956639813</v>
      </c>
      <c r="AF11" s="2">
        <f>'PFAS Properties'!$V$15</f>
        <v>4.8</v>
      </c>
      <c r="AG11" s="24">
        <v>6.2</v>
      </c>
      <c r="AH11" s="2" t="s">
        <v>183</v>
      </c>
      <c r="AI11" s="2" t="s">
        <v>661</v>
      </c>
      <c r="AJ11" s="2" t="s">
        <v>661</v>
      </c>
      <c r="AK11" s="2" t="s">
        <v>661</v>
      </c>
      <c r="AL11" s="2" t="s">
        <v>661</v>
      </c>
      <c r="AM11" s="2" t="s">
        <v>661</v>
      </c>
      <c r="AN11" s="2" t="s">
        <v>661</v>
      </c>
      <c r="AO11" s="2" t="s">
        <v>661</v>
      </c>
      <c r="AP11" s="15">
        <v>8</v>
      </c>
      <c r="AQ11" s="2" t="s">
        <v>661</v>
      </c>
      <c r="AR11" s="16">
        <v>51.44</v>
      </c>
      <c r="AS11" s="16">
        <v>10.17</v>
      </c>
      <c r="AT11" s="16">
        <v>38.380000000000003</v>
      </c>
      <c r="AU11" s="2" t="s">
        <v>661</v>
      </c>
      <c r="AV11" s="16">
        <f t="shared" si="10"/>
        <v>99.990000000000009</v>
      </c>
      <c r="AW11" s="18">
        <v>0.08</v>
      </c>
      <c r="AX11" s="13">
        <f t="shared" si="14"/>
        <v>8.0000000000000004E-4</v>
      </c>
      <c r="AY11" s="8" t="s">
        <v>184</v>
      </c>
      <c r="AZ11" s="16">
        <v>100</v>
      </c>
      <c r="BA11" s="16" t="s">
        <v>55</v>
      </c>
      <c r="BB11" s="15">
        <v>5</v>
      </c>
      <c r="BC11" s="16" t="s">
        <v>55</v>
      </c>
      <c r="BD11" s="24">
        <v>1.42</v>
      </c>
      <c r="BE11" s="16">
        <f t="shared" si="11"/>
        <v>1774.9999999999998</v>
      </c>
      <c r="BF11" s="16">
        <f t="shared" si="12"/>
        <v>3.249198357391113</v>
      </c>
      <c r="BG11" s="8">
        <f t="shared" si="13"/>
        <v>0.15228834438305647</v>
      </c>
      <c r="BH11" s="13" t="s">
        <v>345</v>
      </c>
      <c r="BI11" s="13"/>
      <c r="BJ11" s="13"/>
      <c r="BK11" s="15"/>
      <c r="BL11" s="13"/>
      <c r="BM11" s="17"/>
      <c r="BN11" s="17"/>
      <c r="BO11" s="2"/>
    </row>
    <row r="12" spans="1:67" s="14" customFormat="1" x14ac:dyDescent="0.3">
      <c r="A12" s="20">
        <v>10</v>
      </c>
      <c r="B12" s="2" t="s">
        <v>181</v>
      </c>
      <c r="C12" s="2">
        <v>2020</v>
      </c>
      <c r="D12" s="2" t="s">
        <v>203</v>
      </c>
      <c r="E12" s="22" t="s">
        <v>787</v>
      </c>
      <c r="F12" s="20" t="s">
        <v>29</v>
      </c>
      <c r="G12" s="2" t="s">
        <v>59</v>
      </c>
      <c r="H12" s="2" t="str">
        <f>'PFAS Properties'!$B$15</f>
        <v>6:2 FtSaB</v>
      </c>
      <c r="I12" s="2" t="str">
        <f>'PFAS Properties'!$C$15</f>
        <v>Betaine</v>
      </c>
      <c r="J12" s="2" t="str">
        <f>'PFAS Properties'!$D$15</f>
        <v>C15H19F13N2O4S</v>
      </c>
      <c r="K12" s="25">
        <f>'PFAS Properties'!$P$15</f>
        <v>570.08529999999996</v>
      </c>
      <c r="L12" s="2">
        <f>'PFAS Properties'!$X$15</f>
        <v>2.2999999999999998</v>
      </c>
      <c r="M12" s="2">
        <f>'PFAS Properties'!$Y$15</f>
        <v>11.1</v>
      </c>
      <c r="N12" s="33">
        <f t="shared" si="0"/>
        <v>3.9794716067914713E-6</v>
      </c>
      <c r="O12" s="33">
        <f t="shared" si="1"/>
        <v>0.999598073367714</v>
      </c>
      <c r="P12" s="33">
        <f t="shared" si="2"/>
        <v>3.9794716067914794E-4</v>
      </c>
      <c r="Q12" s="33">
        <v>0</v>
      </c>
      <c r="R12" s="33">
        <v>0</v>
      </c>
      <c r="S12" s="33">
        <v>0</v>
      </c>
      <c r="T12" s="8">
        <f t="shared" si="3"/>
        <v>1</v>
      </c>
      <c r="U12" s="33">
        <f t="shared" si="4"/>
        <v>1</v>
      </c>
      <c r="V12" s="33">
        <f t="shared" si="5"/>
        <v>-1.0003939676890723</v>
      </c>
      <c r="W12" s="33">
        <f t="shared" si="6"/>
        <v>570.08490603231076</v>
      </c>
      <c r="X12" s="33">
        <v>96485</v>
      </c>
      <c r="Y12" s="16">
        <f t="shared" si="7"/>
        <v>-6.6677738838407177E-2</v>
      </c>
      <c r="Z12" s="16">
        <v>15</v>
      </c>
      <c r="AA12" s="16">
        <v>13</v>
      </c>
      <c r="AB12" s="8">
        <f t="shared" si="8"/>
        <v>0.72874493927125494</v>
      </c>
      <c r="AC12" s="16">
        <f t="shared" si="9"/>
        <v>43.326849508310431</v>
      </c>
      <c r="AD12" s="20">
        <f>'PFAS Properties'!$W$15</f>
        <v>6</v>
      </c>
      <c r="AE12" s="8">
        <f>'PFAS Properties'!$S$15</f>
        <v>3.3010299956639813</v>
      </c>
      <c r="AF12" s="2">
        <f>'PFAS Properties'!$V$15</f>
        <v>4.8</v>
      </c>
      <c r="AG12" s="24">
        <v>7.7</v>
      </c>
      <c r="AH12" s="2" t="s">
        <v>183</v>
      </c>
      <c r="AI12" s="2" t="s">
        <v>661</v>
      </c>
      <c r="AJ12" s="2" t="s">
        <v>661</v>
      </c>
      <c r="AK12" s="2" t="s">
        <v>661</v>
      </c>
      <c r="AL12" s="2" t="s">
        <v>661</v>
      </c>
      <c r="AM12" s="2" t="s">
        <v>661</v>
      </c>
      <c r="AN12" s="2" t="s">
        <v>661</v>
      </c>
      <c r="AO12" s="2" t="s">
        <v>661</v>
      </c>
      <c r="AP12" s="15">
        <v>4.8</v>
      </c>
      <c r="AQ12" s="2" t="s">
        <v>661</v>
      </c>
      <c r="AR12" s="16">
        <v>46</v>
      </c>
      <c r="AS12" s="16">
        <v>37</v>
      </c>
      <c r="AT12" s="16">
        <v>17</v>
      </c>
      <c r="AU12" s="2" t="s">
        <v>661</v>
      </c>
      <c r="AV12" s="16">
        <f t="shared" si="10"/>
        <v>100</v>
      </c>
      <c r="AW12" s="18">
        <v>0.25</v>
      </c>
      <c r="AX12" s="13">
        <f t="shared" si="14"/>
        <v>2.5000000000000001E-3</v>
      </c>
      <c r="AY12" s="13" t="s">
        <v>184</v>
      </c>
      <c r="AZ12" s="16">
        <v>100</v>
      </c>
      <c r="BA12" s="16" t="s">
        <v>55</v>
      </c>
      <c r="BB12" s="15">
        <v>5</v>
      </c>
      <c r="BC12" s="16" t="s">
        <v>55</v>
      </c>
      <c r="BD12" s="25">
        <v>265</v>
      </c>
      <c r="BE12" s="16">
        <f t="shared" si="11"/>
        <v>106000</v>
      </c>
      <c r="BF12" s="16">
        <f t="shared" si="12"/>
        <v>5.0253058652647704</v>
      </c>
      <c r="BG12" s="8">
        <f t="shared" si="13"/>
        <v>2.4232458739368079</v>
      </c>
      <c r="BH12" s="13" t="s">
        <v>526</v>
      </c>
      <c r="BI12" s="13"/>
      <c r="BJ12" s="13"/>
      <c r="BK12" s="15"/>
      <c r="BL12" s="13"/>
      <c r="BM12" s="17"/>
      <c r="BN12" s="17"/>
      <c r="BO12" s="2"/>
    </row>
    <row r="13" spans="1:67" s="14" customFormat="1" x14ac:dyDescent="0.3">
      <c r="A13" s="20">
        <v>11</v>
      </c>
      <c r="B13" s="2" t="s">
        <v>181</v>
      </c>
      <c r="C13" s="2">
        <v>2020</v>
      </c>
      <c r="D13" s="2" t="s">
        <v>203</v>
      </c>
      <c r="E13" s="10" t="s">
        <v>787</v>
      </c>
      <c r="F13" s="20" t="s">
        <v>29</v>
      </c>
      <c r="G13" s="2" t="s">
        <v>61</v>
      </c>
      <c r="H13" s="2" t="str">
        <f>'PFAS Properties'!$B$15</f>
        <v>6:2 FtSaB</v>
      </c>
      <c r="I13" s="2" t="str">
        <f>'PFAS Properties'!$C$15</f>
        <v>Betaine</v>
      </c>
      <c r="J13" s="2" t="str">
        <f>'PFAS Properties'!$D$15</f>
        <v>C15H19F13N2O4S</v>
      </c>
      <c r="K13" s="25">
        <f>'PFAS Properties'!$P$15</f>
        <v>570.08529999999996</v>
      </c>
      <c r="L13" s="2">
        <f>'PFAS Properties'!$X$15</f>
        <v>2.2999999999999998</v>
      </c>
      <c r="M13" s="2">
        <f>'PFAS Properties'!$Y$15</f>
        <v>11.1</v>
      </c>
      <c r="N13" s="33">
        <f t="shared" si="0"/>
        <v>7.9416347001524248E-6</v>
      </c>
      <c r="O13" s="33">
        <f t="shared" si="1"/>
        <v>0.99979257352082673</v>
      </c>
      <c r="P13" s="33">
        <f t="shared" si="2"/>
        <v>1.9948484447318617E-4</v>
      </c>
      <c r="Q13" s="33">
        <v>0</v>
      </c>
      <c r="R13" s="33">
        <v>0</v>
      </c>
      <c r="S13" s="33">
        <v>0</v>
      </c>
      <c r="T13" s="8">
        <f t="shared" si="3"/>
        <v>1.0000000000000002</v>
      </c>
      <c r="U13" s="33">
        <f t="shared" si="4"/>
        <v>1.0000000000000002</v>
      </c>
      <c r="V13" s="33">
        <f t="shared" si="5"/>
        <v>-1.0001915432097732</v>
      </c>
      <c r="W13" s="33">
        <f t="shared" si="6"/>
        <v>570.08510845679029</v>
      </c>
      <c r="X13" s="33">
        <v>96485</v>
      </c>
      <c r="Y13" s="16">
        <f t="shared" si="7"/>
        <v>-3.2418048324354722E-2</v>
      </c>
      <c r="Z13" s="16">
        <v>15</v>
      </c>
      <c r="AA13" s="16">
        <v>13</v>
      </c>
      <c r="AB13" s="8">
        <f t="shared" si="8"/>
        <v>0.72874493927125494</v>
      </c>
      <c r="AC13" s="16">
        <f t="shared" si="9"/>
        <v>43.326849508310431</v>
      </c>
      <c r="AD13" s="20">
        <f>'PFAS Properties'!$W$15</f>
        <v>6</v>
      </c>
      <c r="AE13" s="8">
        <f>'PFAS Properties'!$S$15</f>
        <v>3.3010299956639813</v>
      </c>
      <c r="AF13" s="2">
        <f>'PFAS Properties'!$V$15</f>
        <v>4.8</v>
      </c>
      <c r="AG13" s="24">
        <v>7.4</v>
      </c>
      <c r="AH13" s="2" t="s">
        <v>183</v>
      </c>
      <c r="AI13" s="2" t="s">
        <v>661</v>
      </c>
      <c r="AJ13" s="2" t="s">
        <v>661</v>
      </c>
      <c r="AK13" s="2" t="s">
        <v>661</v>
      </c>
      <c r="AL13" s="2" t="s">
        <v>661</v>
      </c>
      <c r="AM13" s="2" t="s">
        <v>661</v>
      </c>
      <c r="AN13" s="2" t="s">
        <v>661</v>
      </c>
      <c r="AO13" s="2" t="s">
        <v>661</v>
      </c>
      <c r="AP13" s="15">
        <v>29.6</v>
      </c>
      <c r="AQ13" s="2" t="s">
        <v>661</v>
      </c>
      <c r="AR13" s="16">
        <v>39.799999999999997</v>
      </c>
      <c r="AS13" s="16">
        <v>7.7</v>
      </c>
      <c r="AT13" s="16">
        <v>52.5</v>
      </c>
      <c r="AU13" s="2" t="s">
        <v>661</v>
      </c>
      <c r="AV13" s="16">
        <f t="shared" si="10"/>
        <v>100</v>
      </c>
      <c r="AW13" s="18">
        <v>2.23</v>
      </c>
      <c r="AX13" s="13">
        <f t="shared" si="14"/>
        <v>2.23E-2</v>
      </c>
      <c r="AY13" s="8" t="s">
        <v>184</v>
      </c>
      <c r="AZ13" s="16">
        <v>100</v>
      </c>
      <c r="BA13" s="16" t="s">
        <v>55</v>
      </c>
      <c r="BB13" s="15">
        <v>5</v>
      </c>
      <c r="BC13" s="16" t="s">
        <v>55</v>
      </c>
      <c r="BD13" s="24">
        <v>0.44</v>
      </c>
      <c r="BE13" s="16">
        <f t="shared" si="11"/>
        <v>19.730941704035875</v>
      </c>
      <c r="BF13" s="16">
        <f t="shared" si="12"/>
        <v>1.2951478134380268</v>
      </c>
      <c r="BG13" s="8">
        <f t="shared" si="13"/>
        <v>-0.35654732351381258</v>
      </c>
      <c r="BH13" s="13" t="s">
        <v>345</v>
      </c>
      <c r="BI13" s="13"/>
      <c r="BJ13" s="13"/>
      <c r="BK13" s="15"/>
      <c r="BL13" s="13"/>
      <c r="BM13" s="17"/>
      <c r="BN13" s="17"/>
      <c r="BO13" s="2"/>
    </row>
    <row r="14" spans="1:67" s="14" customFormat="1" x14ac:dyDescent="0.3">
      <c r="A14" s="20">
        <v>12</v>
      </c>
      <c r="B14" s="2" t="s">
        <v>181</v>
      </c>
      <c r="C14" s="2">
        <v>2020</v>
      </c>
      <c r="D14" s="2" t="s">
        <v>203</v>
      </c>
      <c r="E14" s="10" t="s">
        <v>787</v>
      </c>
      <c r="F14" s="20" t="s">
        <v>29</v>
      </c>
      <c r="G14" s="2" t="s">
        <v>60</v>
      </c>
      <c r="H14" s="2" t="str">
        <f>'PFAS Properties'!$B$15</f>
        <v>6:2 FtSaB</v>
      </c>
      <c r="I14" s="2" t="str">
        <f>'PFAS Properties'!$C$15</f>
        <v>Betaine</v>
      </c>
      <c r="J14" s="2" t="str">
        <f>'PFAS Properties'!$D$15</f>
        <v>C15H19F13N2O4S</v>
      </c>
      <c r="K14" s="25">
        <f>'PFAS Properties'!$P$15</f>
        <v>570.08529999999996</v>
      </c>
      <c r="L14" s="2">
        <f>'PFAS Properties'!$X$15</f>
        <v>2.2999999999999998</v>
      </c>
      <c r="M14" s="2">
        <f>'PFAS Properties'!$Y$15</f>
        <v>11.1</v>
      </c>
      <c r="N14" s="33">
        <f t="shared" si="0"/>
        <v>3.9794716067914713E-6</v>
      </c>
      <c r="O14" s="33">
        <f t="shared" si="1"/>
        <v>0.999598073367714</v>
      </c>
      <c r="P14" s="33">
        <f t="shared" si="2"/>
        <v>3.9794716067914794E-4</v>
      </c>
      <c r="Q14" s="33">
        <v>0</v>
      </c>
      <c r="R14" s="33">
        <v>0</v>
      </c>
      <c r="S14" s="33">
        <v>0</v>
      </c>
      <c r="T14" s="8">
        <f t="shared" si="3"/>
        <v>1</v>
      </c>
      <c r="U14" s="33">
        <f t="shared" si="4"/>
        <v>1</v>
      </c>
      <c r="V14" s="33">
        <f t="shared" si="5"/>
        <v>-1.0003939676890723</v>
      </c>
      <c r="W14" s="33">
        <f t="shared" si="6"/>
        <v>570.08490603231076</v>
      </c>
      <c r="X14" s="33">
        <v>96485</v>
      </c>
      <c r="Y14" s="16">
        <f t="shared" si="7"/>
        <v>-6.6677738838407177E-2</v>
      </c>
      <c r="Z14" s="16">
        <v>15</v>
      </c>
      <c r="AA14" s="16">
        <v>13</v>
      </c>
      <c r="AB14" s="8">
        <f t="shared" si="8"/>
        <v>0.72874493927125494</v>
      </c>
      <c r="AC14" s="16">
        <f t="shared" si="9"/>
        <v>43.326849508310431</v>
      </c>
      <c r="AD14" s="20">
        <f>'PFAS Properties'!$W$15</f>
        <v>6</v>
      </c>
      <c r="AE14" s="8">
        <f>'PFAS Properties'!$S$15</f>
        <v>3.3010299956639813</v>
      </c>
      <c r="AF14" s="2">
        <f>'PFAS Properties'!$V$15</f>
        <v>4.8</v>
      </c>
      <c r="AG14" s="24">
        <v>7.7</v>
      </c>
      <c r="AH14" s="2" t="s">
        <v>183</v>
      </c>
      <c r="AI14" s="2" t="s">
        <v>661</v>
      </c>
      <c r="AJ14" s="2" t="s">
        <v>661</v>
      </c>
      <c r="AK14" s="2" t="s">
        <v>661</v>
      </c>
      <c r="AL14" s="2" t="s">
        <v>661</v>
      </c>
      <c r="AM14" s="2" t="s">
        <v>661</v>
      </c>
      <c r="AN14" s="2" t="s">
        <v>661</v>
      </c>
      <c r="AO14" s="2" t="s">
        <v>661</v>
      </c>
      <c r="AP14" s="15">
        <v>21.63</v>
      </c>
      <c r="AQ14" s="2" t="s">
        <v>661</v>
      </c>
      <c r="AR14" s="16">
        <v>70</v>
      </c>
      <c r="AS14" s="16">
        <v>11</v>
      </c>
      <c r="AT14" s="16">
        <v>19</v>
      </c>
      <c r="AU14" s="2" t="s">
        <v>661</v>
      </c>
      <c r="AV14" s="16">
        <f t="shared" si="10"/>
        <v>100</v>
      </c>
      <c r="AW14" s="18">
        <v>4.9000000000000004</v>
      </c>
      <c r="AX14" s="13">
        <f t="shared" si="14"/>
        <v>4.9000000000000002E-2</v>
      </c>
      <c r="AY14" s="8" t="s">
        <v>184</v>
      </c>
      <c r="AZ14" s="16">
        <v>100</v>
      </c>
      <c r="BA14" s="16" t="s">
        <v>55</v>
      </c>
      <c r="BB14" s="15">
        <v>5</v>
      </c>
      <c r="BC14" s="16" t="s">
        <v>55</v>
      </c>
      <c r="BD14" s="24">
        <v>1.22</v>
      </c>
      <c r="BE14" s="16">
        <f t="shared" si="11"/>
        <v>24.897959183673468</v>
      </c>
      <c r="BF14" s="16">
        <f t="shared" si="12"/>
        <v>1.3961637506462345</v>
      </c>
      <c r="BG14" s="8">
        <f t="shared" si="13"/>
        <v>8.6359830674748214E-2</v>
      </c>
      <c r="BH14" s="13" t="s">
        <v>345</v>
      </c>
      <c r="BI14" s="13"/>
      <c r="BJ14" s="13"/>
      <c r="BK14" s="15"/>
      <c r="BL14" s="13"/>
      <c r="BM14" s="17"/>
      <c r="BN14" s="17"/>
      <c r="BO14" s="2"/>
    </row>
    <row r="15" spans="1:67" s="14" customFormat="1" x14ac:dyDescent="0.3">
      <c r="A15" s="20">
        <v>13</v>
      </c>
      <c r="B15" s="2" t="s">
        <v>181</v>
      </c>
      <c r="C15" s="2">
        <v>2020</v>
      </c>
      <c r="D15" s="2" t="s">
        <v>203</v>
      </c>
      <c r="E15" s="10" t="s">
        <v>787</v>
      </c>
      <c r="F15" s="20" t="s">
        <v>29</v>
      </c>
      <c r="G15" s="2" t="s">
        <v>77</v>
      </c>
      <c r="H15" s="2" t="str">
        <f>'PFAS Properties'!$B$15</f>
        <v>6:2 FtSaB</v>
      </c>
      <c r="I15" s="2" t="str">
        <f>'PFAS Properties'!$C$15</f>
        <v>Betaine</v>
      </c>
      <c r="J15" s="2" t="str">
        <f>'PFAS Properties'!$D$15</f>
        <v>C15H19F13N2O4S</v>
      </c>
      <c r="K15" s="25">
        <f>'PFAS Properties'!$P$15</f>
        <v>570.08529999999996</v>
      </c>
      <c r="L15" s="2">
        <f>'PFAS Properties'!$X$15</f>
        <v>2.2999999999999998</v>
      </c>
      <c r="M15" s="2">
        <f>'PFAS Properties'!$Y$15</f>
        <v>11.1</v>
      </c>
      <c r="N15" s="33">
        <f t="shared" si="0"/>
        <v>3.9794716067914713E-6</v>
      </c>
      <c r="O15" s="33">
        <f t="shared" si="1"/>
        <v>0.999598073367714</v>
      </c>
      <c r="P15" s="33">
        <f t="shared" si="2"/>
        <v>3.9794716067914794E-4</v>
      </c>
      <c r="Q15" s="33">
        <v>0</v>
      </c>
      <c r="R15" s="33">
        <v>0</v>
      </c>
      <c r="S15" s="33">
        <v>0</v>
      </c>
      <c r="T15" s="8">
        <f t="shared" ref="T15:T45" si="15">SUM(N15:S15)</f>
        <v>1</v>
      </c>
      <c r="U15" s="33">
        <f t="shared" si="4"/>
        <v>1</v>
      </c>
      <c r="V15" s="33">
        <f t="shared" si="5"/>
        <v>-1.0003939676890723</v>
      </c>
      <c r="W15" s="33">
        <f t="shared" si="6"/>
        <v>570.08490603231076</v>
      </c>
      <c r="X15" s="33">
        <v>96485</v>
      </c>
      <c r="Y15" s="16">
        <f t="shared" si="7"/>
        <v>-6.6677738838407177E-2</v>
      </c>
      <c r="Z15" s="16">
        <v>15</v>
      </c>
      <c r="AA15" s="16">
        <v>13</v>
      </c>
      <c r="AB15" s="8">
        <f t="shared" si="8"/>
        <v>0.72874493927125494</v>
      </c>
      <c r="AC15" s="16">
        <f t="shared" si="9"/>
        <v>43.326849508310431</v>
      </c>
      <c r="AD15" s="20">
        <f>'PFAS Properties'!$W$15</f>
        <v>6</v>
      </c>
      <c r="AE15" s="8">
        <f>'PFAS Properties'!$S$15</f>
        <v>3.3010299956639813</v>
      </c>
      <c r="AF15" s="2">
        <f>'PFAS Properties'!$V$15</f>
        <v>4.8</v>
      </c>
      <c r="AG15" s="24">
        <v>7.7</v>
      </c>
      <c r="AH15" s="2" t="s">
        <v>183</v>
      </c>
      <c r="AI15" s="2" t="s">
        <v>661</v>
      </c>
      <c r="AJ15" s="2" t="s">
        <v>661</v>
      </c>
      <c r="AK15" s="2" t="s">
        <v>661</v>
      </c>
      <c r="AL15" s="2" t="s">
        <v>661</v>
      </c>
      <c r="AM15" s="2" t="s">
        <v>661</v>
      </c>
      <c r="AN15" s="2" t="s">
        <v>661</v>
      </c>
      <c r="AO15" s="2" t="s">
        <v>661</v>
      </c>
      <c r="AP15" s="15">
        <v>7.8</v>
      </c>
      <c r="AQ15" s="2" t="s">
        <v>661</v>
      </c>
      <c r="AR15" s="16">
        <v>48.9</v>
      </c>
      <c r="AS15" s="16">
        <v>32.6</v>
      </c>
      <c r="AT15" s="16">
        <v>18.5</v>
      </c>
      <c r="AU15" s="2" t="s">
        <v>661</v>
      </c>
      <c r="AV15" s="16">
        <f t="shared" si="10"/>
        <v>100</v>
      </c>
      <c r="AW15" s="18">
        <v>0.13</v>
      </c>
      <c r="AX15" s="13">
        <f t="shared" si="14"/>
        <v>1.2999999999999999E-3</v>
      </c>
      <c r="AY15" s="8" t="s">
        <v>184</v>
      </c>
      <c r="AZ15" s="16">
        <v>100</v>
      </c>
      <c r="BA15" s="16" t="s">
        <v>55</v>
      </c>
      <c r="BB15" s="15">
        <v>5</v>
      </c>
      <c r="BC15" s="16" t="s">
        <v>55</v>
      </c>
      <c r="BD15" s="24">
        <v>1.4</v>
      </c>
      <c r="BE15" s="16">
        <f t="shared" si="11"/>
        <v>1076.9230769230769</v>
      </c>
      <c r="BF15" s="16">
        <f t="shared" si="12"/>
        <v>3.0321846833714012</v>
      </c>
      <c r="BG15" s="8">
        <f t="shared" si="13"/>
        <v>0.14612803567823801</v>
      </c>
      <c r="BH15" s="13" t="s">
        <v>345</v>
      </c>
      <c r="BI15" s="13"/>
      <c r="BJ15" s="13"/>
      <c r="BK15" s="15"/>
      <c r="BL15" s="13"/>
      <c r="BM15" s="17"/>
      <c r="BN15" s="17"/>
      <c r="BO15" s="2"/>
    </row>
    <row r="16" spans="1:67" s="14" customFormat="1" x14ac:dyDescent="0.3">
      <c r="A16" s="20">
        <v>14</v>
      </c>
      <c r="B16" s="2" t="s">
        <v>181</v>
      </c>
      <c r="C16" s="2">
        <v>2020</v>
      </c>
      <c r="D16" s="2" t="s">
        <v>203</v>
      </c>
      <c r="E16" s="10" t="s">
        <v>787</v>
      </c>
      <c r="F16" s="20" t="s">
        <v>29</v>
      </c>
      <c r="G16" s="2" t="s">
        <v>182</v>
      </c>
      <c r="H16" s="2" t="str">
        <f>'PFAS Properties'!$B$15</f>
        <v>6:2 FtSaB</v>
      </c>
      <c r="I16" s="2" t="str">
        <f>'PFAS Properties'!$C$15</f>
        <v>Betaine</v>
      </c>
      <c r="J16" s="2" t="str">
        <f>'PFAS Properties'!$D$15</f>
        <v>C15H19F13N2O4S</v>
      </c>
      <c r="K16" s="25">
        <f>'PFAS Properties'!$P$15</f>
        <v>570.08529999999996</v>
      </c>
      <c r="L16" s="2">
        <f>'PFAS Properties'!$X$15</f>
        <v>2.2999999999999998</v>
      </c>
      <c r="M16" s="2">
        <f>'PFAS Properties'!$Y$15</f>
        <v>11.1</v>
      </c>
      <c r="N16" s="33">
        <f t="shared" si="0"/>
        <v>6.307949159143065E-6</v>
      </c>
      <c r="O16" s="33">
        <f t="shared" si="1"/>
        <v>0.99974256807166673</v>
      </c>
      <c r="P16" s="33">
        <f t="shared" si="2"/>
        <v>2.5112397917417638E-4</v>
      </c>
      <c r="Q16" s="33">
        <v>0</v>
      </c>
      <c r="R16" s="33">
        <v>0</v>
      </c>
      <c r="S16" s="33">
        <v>0</v>
      </c>
      <c r="T16" s="8">
        <f t="shared" si="15"/>
        <v>1</v>
      </c>
      <c r="U16" s="33">
        <f t="shared" si="4"/>
        <v>1</v>
      </c>
      <c r="V16" s="33">
        <f t="shared" si="5"/>
        <v>-1.000244816030015</v>
      </c>
      <c r="W16" s="33">
        <f t="shared" si="6"/>
        <v>570.08505518396998</v>
      </c>
      <c r="X16" s="33">
        <v>96485</v>
      </c>
      <c r="Y16" s="16">
        <f t="shared" si="7"/>
        <v>-4.1434299042231892E-2</v>
      </c>
      <c r="Z16" s="16">
        <v>15</v>
      </c>
      <c r="AA16" s="16">
        <v>13</v>
      </c>
      <c r="AB16" s="8">
        <f t="shared" si="8"/>
        <v>0.72874493927125494</v>
      </c>
      <c r="AC16" s="16">
        <f t="shared" si="9"/>
        <v>43.326849508310431</v>
      </c>
      <c r="AD16" s="20">
        <f>'PFAS Properties'!$W$15</f>
        <v>6</v>
      </c>
      <c r="AE16" s="8">
        <f>'PFAS Properties'!$S$15</f>
        <v>3.3010299956639813</v>
      </c>
      <c r="AF16" s="2">
        <f>'PFAS Properties'!$V$15</f>
        <v>4.8</v>
      </c>
      <c r="AG16" s="24">
        <v>7.5</v>
      </c>
      <c r="AH16" s="2" t="s">
        <v>183</v>
      </c>
      <c r="AI16" s="2" t="s">
        <v>661</v>
      </c>
      <c r="AJ16" s="2" t="s">
        <v>661</v>
      </c>
      <c r="AK16" s="2" t="s">
        <v>661</v>
      </c>
      <c r="AL16" s="2" t="s">
        <v>661</v>
      </c>
      <c r="AM16" s="2" t="s">
        <v>661</v>
      </c>
      <c r="AN16" s="2" t="s">
        <v>661</v>
      </c>
      <c r="AO16" s="2" t="s">
        <v>661</v>
      </c>
      <c r="AP16" s="15">
        <v>2.2799999999999998</v>
      </c>
      <c r="AQ16" s="2" t="s">
        <v>661</v>
      </c>
      <c r="AR16" s="16">
        <v>93</v>
      </c>
      <c r="AS16" s="16">
        <v>1</v>
      </c>
      <c r="AT16" s="16">
        <v>5</v>
      </c>
      <c r="AU16" s="2" t="s">
        <v>661</v>
      </c>
      <c r="AV16" s="16">
        <f t="shared" si="10"/>
        <v>99</v>
      </c>
      <c r="AW16" s="18">
        <v>0.4</v>
      </c>
      <c r="AX16" s="13">
        <f t="shared" si="14"/>
        <v>4.0000000000000001E-3</v>
      </c>
      <c r="AY16" s="8" t="s">
        <v>184</v>
      </c>
      <c r="AZ16" s="16">
        <v>100</v>
      </c>
      <c r="BA16" s="16" t="s">
        <v>55</v>
      </c>
      <c r="BB16" s="15">
        <v>5</v>
      </c>
      <c r="BC16" s="16" t="s">
        <v>55</v>
      </c>
      <c r="BD16" s="24">
        <v>1.52</v>
      </c>
      <c r="BE16" s="16">
        <f t="shared" si="11"/>
        <v>380</v>
      </c>
      <c r="BF16" s="16">
        <f t="shared" si="12"/>
        <v>2.5797835966168101</v>
      </c>
      <c r="BG16" s="8">
        <f t="shared" si="13"/>
        <v>0.18184358794477254</v>
      </c>
      <c r="BH16" s="13" t="s">
        <v>345</v>
      </c>
      <c r="BI16" s="13"/>
      <c r="BJ16" s="13"/>
      <c r="BK16" s="15"/>
      <c r="BL16" s="13"/>
      <c r="BM16" s="17"/>
      <c r="BN16" s="17"/>
      <c r="BO16" s="2"/>
    </row>
    <row r="17" spans="1:67" s="14" customFormat="1" x14ac:dyDescent="0.3">
      <c r="A17" s="20">
        <v>15</v>
      </c>
      <c r="B17" s="2" t="s">
        <v>181</v>
      </c>
      <c r="C17" s="2">
        <v>2020</v>
      </c>
      <c r="D17" s="2" t="s">
        <v>203</v>
      </c>
      <c r="E17" s="10" t="s">
        <v>787</v>
      </c>
      <c r="F17" s="20" t="s">
        <v>29</v>
      </c>
      <c r="G17" s="2" t="s">
        <v>78</v>
      </c>
      <c r="H17" s="2" t="str">
        <f>'PFAS Properties'!$B$15</f>
        <v>6:2 FtSaB</v>
      </c>
      <c r="I17" s="2" t="str">
        <f>'PFAS Properties'!$C$15</f>
        <v>Betaine</v>
      </c>
      <c r="J17" s="2" t="str">
        <f>'PFAS Properties'!$D$15</f>
        <v>C15H19F13N2O4S</v>
      </c>
      <c r="K17" s="25">
        <f>'PFAS Properties'!$P$15</f>
        <v>570.08529999999996</v>
      </c>
      <c r="L17" s="2">
        <f>'PFAS Properties'!$X$15</f>
        <v>2.2999999999999998</v>
      </c>
      <c r="M17" s="2">
        <f>'PFAS Properties'!$Y$15</f>
        <v>11.1</v>
      </c>
      <c r="N17" s="33">
        <f t="shared" si="0"/>
        <v>1.5847096055459E-5</v>
      </c>
      <c r="O17" s="33">
        <f t="shared" si="1"/>
        <v>0.99988416448749573</v>
      </c>
      <c r="P17" s="33">
        <f t="shared" si="2"/>
        <v>9.9988416448749568E-5</v>
      </c>
      <c r="Q17" s="33">
        <v>0</v>
      </c>
      <c r="R17" s="33">
        <v>0</v>
      </c>
      <c r="S17" s="33">
        <v>0</v>
      </c>
      <c r="T17" s="8">
        <f t="shared" si="15"/>
        <v>1</v>
      </c>
      <c r="U17" s="33">
        <f t="shared" si="4"/>
        <v>1</v>
      </c>
      <c r="V17" s="33">
        <f t="shared" si="5"/>
        <v>-1.0000841413203931</v>
      </c>
      <c r="W17" s="33">
        <f t="shared" si="6"/>
        <v>570.08521585867948</v>
      </c>
      <c r="X17" s="33">
        <v>96485</v>
      </c>
      <c r="Y17" s="16">
        <f t="shared" si="7"/>
        <v>-1.4240634684595049E-2</v>
      </c>
      <c r="Z17" s="16">
        <v>15</v>
      </c>
      <c r="AA17" s="16">
        <v>13</v>
      </c>
      <c r="AB17" s="8">
        <f t="shared" si="8"/>
        <v>0.72874493927125494</v>
      </c>
      <c r="AC17" s="16">
        <f t="shared" si="9"/>
        <v>43.326849508310431</v>
      </c>
      <c r="AD17" s="20">
        <f>'PFAS Properties'!$W$15</f>
        <v>6</v>
      </c>
      <c r="AE17" s="8">
        <f>'PFAS Properties'!$S$15</f>
        <v>3.3010299956639813</v>
      </c>
      <c r="AF17" s="2">
        <f>'PFAS Properties'!$V$15</f>
        <v>4.8</v>
      </c>
      <c r="AG17" s="24">
        <v>7.1</v>
      </c>
      <c r="AH17" s="2" t="s">
        <v>183</v>
      </c>
      <c r="AI17" s="2" t="s">
        <v>661</v>
      </c>
      <c r="AJ17" s="2" t="s">
        <v>661</v>
      </c>
      <c r="AK17" s="2" t="s">
        <v>661</v>
      </c>
      <c r="AL17" s="2" t="s">
        <v>661</v>
      </c>
      <c r="AM17" s="2" t="s">
        <v>661</v>
      </c>
      <c r="AN17" s="2" t="s">
        <v>661</v>
      </c>
      <c r="AO17" s="2" t="s">
        <v>661</v>
      </c>
      <c r="AP17" s="15">
        <v>17.420000000000002</v>
      </c>
      <c r="AQ17" s="2" t="s">
        <v>661</v>
      </c>
      <c r="AR17" s="16">
        <v>48.86</v>
      </c>
      <c r="AS17" s="16">
        <v>16.05</v>
      </c>
      <c r="AT17" s="16">
        <v>35.090000000000003</v>
      </c>
      <c r="AU17" s="2" t="s">
        <v>661</v>
      </c>
      <c r="AV17" s="16">
        <f t="shared" si="10"/>
        <v>100</v>
      </c>
      <c r="AW17" s="18">
        <v>1.19</v>
      </c>
      <c r="AX17" s="13">
        <f t="shared" si="14"/>
        <v>1.1899999999999999E-2</v>
      </c>
      <c r="AY17" s="8" t="s">
        <v>184</v>
      </c>
      <c r="AZ17" s="16">
        <v>100</v>
      </c>
      <c r="BA17" s="16" t="s">
        <v>55</v>
      </c>
      <c r="BB17" s="15">
        <v>5</v>
      </c>
      <c r="BC17" s="16" t="s">
        <v>55</v>
      </c>
      <c r="BD17" s="24">
        <v>1.35</v>
      </c>
      <c r="BE17" s="16">
        <f t="shared" si="11"/>
        <v>113.44537815126051</v>
      </c>
      <c r="BF17" s="16">
        <f t="shared" si="12"/>
        <v>2.0547868071024755</v>
      </c>
      <c r="BG17" s="8">
        <f t="shared" si="13"/>
        <v>0.13033376849500614</v>
      </c>
      <c r="BH17" s="13" t="s">
        <v>345</v>
      </c>
      <c r="BI17" s="13"/>
      <c r="BJ17" s="13"/>
      <c r="BK17" s="15"/>
      <c r="BL17" s="13"/>
      <c r="BM17" s="17"/>
      <c r="BN17" s="17"/>
      <c r="BO17" s="2"/>
    </row>
    <row r="18" spans="1:67" s="14" customFormat="1" x14ac:dyDescent="0.3">
      <c r="A18" s="20">
        <v>16</v>
      </c>
      <c r="B18" s="2" t="s">
        <v>181</v>
      </c>
      <c r="C18" s="2">
        <v>2020</v>
      </c>
      <c r="D18" s="2" t="s">
        <v>203</v>
      </c>
      <c r="E18" s="10" t="s">
        <v>787</v>
      </c>
      <c r="F18" s="20" t="s">
        <v>29</v>
      </c>
      <c r="G18" s="2" t="s">
        <v>98</v>
      </c>
      <c r="H18" s="2" t="str">
        <f>'PFAS Properties'!$B$15</f>
        <v>6:2 FtSaB</v>
      </c>
      <c r="I18" s="2" t="str">
        <f>'PFAS Properties'!$C$15</f>
        <v>Betaine</v>
      </c>
      <c r="J18" s="2" t="str">
        <f>'PFAS Properties'!$D$15</f>
        <v>C15H19F13N2O4S</v>
      </c>
      <c r="K18" s="25">
        <f>'PFAS Properties'!$P$15</f>
        <v>570.08529999999996</v>
      </c>
      <c r="L18" s="2">
        <f>'PFAS Properties'!$X$15</f>
        <v>2.2999999999999998</v>
      </c>
      <c r="M18" s="2">
        <f>'PFAS Properties'!$Y$15</f>
        <v>11.1</v>
      </c>
      <c r="N18" s="33">
        <f t="shared" si="0"/>
        <v>7.9424929790307874E-5</v>
      </c>
      <c r="O18" s="33">
        <f t="shared" si="1"/>
        <v>0.99990062442986338</v>
      </c>
      <c r="P18" s="33">
        <f t="shared" si="2"/>
        <v>1.9950640346387579E-5</v>
      </c>
      <c r="Q18" s="33">
        <v>0</v>
      </c>
      <c r="R18" s="33">
        <v>0</v>
      </c>
      <c r="S18" s="33">
        <v>0</v>
      </c>
      <c r="T18" s="8">
        <f t="shared" si="15"/>
        <v>1</v>
      </c>
      <c r="U18" s="33">
        <f t="shared" si="4"/>
        <v>1</v>
      </c>
      <c r="V18" s="33">
        <f t="shared" si="5"/>
        <v>-0.99994052571055614</v>
      </c>
      <c r="W18" s="33">
        <f t="shared" si="6"/>
        <v>570.08535947428948</v>
      </c>
      <c r="X18" s="33">
        <v>96485</v>
      </c>
      <c r="Y18" s="16">
        <f t="shared" si="7"/>
        <v>1.0065820357643794E-2</v>
      </c>
      <c r="Z18" s="16">
        <v>15</v>
      </c>
      <c r="AA18" s="16">
        <v>13</v>
      </c>
      <c r="AB18" s="8">
        <f t="shared" si="8"/>
        <v>0.72874493927125494</v>
      </c>
      <c r="AC18" s="16">
        <f t="shared" si="9"/>
        <v>43.326849508310431</v>
      </c>
      <c r="AD18" s="20">
        <f>'PFAS Properties'!$W$15</f>
        <v>6</v>
      </c>
      <c r="AE18" s="8">
        <f>'PFAS Properties'!$S$15</f>
        <v>3.3010299956639813</v>
      </c>
      <c r="AF18" s="2">
        <f>'PFAS Properties'!$V$15</f>
        <v>4.8</v>
      </c>
      <c r="AG18" s="24">
        <v>6.4</v>
      </c>
      <c r="AH18" s="2" t="s">
        <v>183</v>
      </c>
      <c r="AI18" s="2" t="s">
        <v>661</v>
      </c>
      <c r="AJ18" s="15" t="s">
        <v>661</v>
      </c>
      <c r="AK18" s="8" t="s">
        <v>661</v>
      </c>
      <c r="AL18" s="2" t="s">
        <v>661</v>
      </c>
      <c r="AM18" s="15" t="s">
        <v>661</v>
      </c>
      <c r="AN18" s="8" t="s">
        <v>661</v>
      </c>
      <c r="AO18" s="15" t="s">
        <v>661</v>
      </c>
      <c r="AP18" s="15">
        <v>16.54</v>
      </c>
      <c r="AQ18" s="13" t="s">
        <v>661</v>
      </c>
      <c r="AR18" s="16">
        <v>29.38</v>
      </c>
      <c r="AS18" s="16">
        <v>13.9</v>
      </c>
      <c r="AT18" s="16">
        <v>56.71</v>
      </c>
      <c r="AU18" s="15" t="s">
        <v>661</v>
      </c>
      <c r="AV18" s="16">
        <f t="shared" si="10"/>
        <v>99.990000000000009</v>
      </c>
      <c r="AW18" s="18">
        <v>0.17</v>
      </c>
      <c r="AX18" s="13">
        <f t="shared" si="14"/>
        <v>1.7000000000000001E-3</v>
      </c>
      <c r="AY18" s="8" t="s">
        <v>184</v>
      </c>
      <c r="AZ18" s="16">
        <v>100</v>
      </c>
      <c r="BA18" s="16" t="s">
        <v>55</v>
      </c>
      <c r="BB18" s="15">
        <v>5</v>
      </c>
      <c r="BC18" s="16" t="s">
        <v>55</v>
      </c>
      <c r="BD18" s="18">
        <v>0.64</v>
      </c>
      <c r="BE18" s="16">
        <f t="shared" si="11"/>
        <v>376.47058823529409</v>
      </c>
      <c r="BF18" s="16">
        <f t="shared" si="12"/>
        <v>2.5757310526056134</v>
      </c>
      <c r="BG18" s="8">
        <f t="shared" si="13"/>
        <v>-0.19382002601611281</v>
      </c>
      <c r="BH18" s="13" t="s">
        <v>345</v>
      </c>
      <c r="BI18" s="13"/>
      <c r="BJ18" s="13"/>
      <c r="BK18" s="15"/>
      <c r="BL18" s="13"/>
      <c r="BM18" s="17"/>
      <c r="BN18" s="17"/>
      <c r="BO18" s="2"/>
    </row>
    <row r="19" spans="1:67" s="14" customFormat="1" x14ac:dyDescent="0.3">
      <c r="A19" s="20">
        <v>17</v>
      </c>
      <c r="B19" s="2" t="s">
        <v>294</v>
      </c>
      <c r="C19" s="2">
        <v>2017</v>
      </c>
      <c r="D19" s="2" t="s">
        <v>203</v>
      </c>
      <c r="E19" s="10" t="s">
        <v>789</v>
      </c>
      <c r="F19" s="20" t="s">
        <v>29</v>
      </c>
      <c r="G19" s="2">
        <v>1</v>
      </c>
      <c r="H19" s="2" t="str">
        <f>'PFAS Properties'!$B$15</f>
        <v>6:2 FtSaB</v>
      </c>
      <c r="I19" s="2" t="str">
        <f>'PFAS Properties'!$C$15</f>
        <v>Betaine</v>
      </c>
      <c r="J19" s="2" t="str">
        <f>'PFAS Properties'!$D$15</f>
        <v>C15H19F13N2O4S</v>
      </c>
      <c r="K19" s="25">
        <f>'PFAS Properties'!$P$15</f>
        <v>570.08529999999996</v>
      </c>
      <c r="L19" s="2">
        <f>'PFAS Properties'!$X$15</f>
        <v>2.2999999999999998</v>
      </c>
      <c r="M19" s="2">
        <f>'PFAS Properties'!$Y$15</f>
        <v>11.1</v>
      </c>
      <c r="N19" s="33">
        <f t="shared" si="0"/>
        <v>1.5823837009219599E-3</v>
      </c>
      <c r="O19" s="33">
        <f t="shared" si="1"/>
        <v>0.99841661788246017</v>
      </c>
      <c r="P19" s="33">
        <f t="shared" si="2"/>
        <v>9.9841661788246018E-7</v>
      </c>
      <c r="Q19" s="33">
        <v>0</v>
      </c>
      <c r="R19" s="33">
        <v>0</v>
      </c>
      <c r="S19" s="33">
        <v>0</v>
      </c>
      <c r="T19" s="8">
        <f t="shared" si="15"/>
        <v>1</v>
      </c>
      <c r="U19" s="33">
        <f t="shared" si="4"/>
        <v>1</v>
      </c>
      <c r="V19" s="33">
        <f t="shared" si="5"/>
        <v>-0.99841861471569593</v>
      </c>
      <c r="W19" s="33">
        <f t="shared" si="6"/>
        <v>570.08688138528419</v>
      </c>
      <c r="X19" s="33">
        <v>96485</v>
      </c>
      <c r="Y19" s="16">
        <f t="shared" si="7"/>
        <v>0.26764334373967036</v>
      </c>
      <c r="Z19" s="16">
        <v>15</v>
      </c>
      <c r="AA19" s="16">
        <v>13</v>
      </c>
      <c r="AB19" s="8">
        <f t="shared" si="8"/>
        <v>0.72874493927125494</v>
      </c>
      <c r="AC19" s="16">
        <f t="shared" si="9"/>
        <v>43.326849508310431</v>
      </c>
      <c r="AD19" s="20">
        <f>'PFAS Properties'!$W$15</f>
        <v>6</v>
      </c>
      <c r="AE19" s="8">
        <f>'PFAS Properties'!$S$15</f>
        <v>3.3010299956639813</v>
      </c>
      <c r="AF19" s="2">
        <f>'PFAS Properties'!$V$15</f>
        <v>4.8</v>
      </c>
      <c r="AG19" s="24">
        <v>5.0999999999999996</v>
      </c>
      <c r="AH19" s="2" t="s">
        <v>831</v>
      </c>
      <c r="AI19" s="2" t="s">
        <v>661</v>
      </c>
      <c r="AJ19" s="2" t="s">
        <v>661</v>
      </c>
      <c r="AK19" s="2" t="s">
        <v>661</v>
      </c>
      <c r="AL19" s="2" t="s">
        <v>661</v>
      </c>
      <c r="AM19" s="2" t="s">
        <v>661</v>
      </c>
      <c r="AN19" s="2" t="s">
        <v>661</v>
      </c>
      <c r="AO19" s="2" t="s">
        <v>661</v>
      </c>
      <c r="AP19" s="16">
        <v>14</v>
      </c>
      <c r="AQ19" s="16" t="s">
        <v>712</v>
      </c>
      <c r="AR19" s="16">
        <v>6.3</v>
      </c>
      <c r="AS19" s="16">
        <v>71</v>
      </c>
      <c r="AT19" s="16">
        <v>22</v>
      </c>
      <c r="AU19" s="2" t="s">
        <v>661</v>
      </c>
      <c r="AV19" s="16">
        <f t="shared" si="10"/>
        <v>99.3</v>
      </c>
      <c r="AW19" s="18">
        <v>1.5</v>
      </c>
      <c r="AX19" s="13">
        <f t="shared" si="14"/>
        <v>1.4999999999999999E-2</v>
      </c>
      <c r="AY19" s="8" t="s">
        <v>295</v>
      </c>
      <c r="AZ19" s="16">
        <f t="shared" ref="AZ19:AZ36" si="16">1/0.01</f>
        <v>100</v>
      </c>
      <c r="BA19" s="16" t="s">
        <v>55</v>
      </c>
      <c r="BB19" s="15">
        <f t="shared" ref="BB19:BB24" si="17">(1.8*K19)/1000</f>
        <v>1.0261535399999999</v>
      </c>
      <c r="BC19" s="16">
        <f>(240000*K19)/1000</f>
        <v>136820.47200000001</v>
      </c>
      <c r="BD19" s="25">
        <v>31</v>
      </c>
      <c r="BE19" s="16">
        <f t="shared" si="11"/>
        <v>2066.666666666667</v>
      </c>
      <c r="BF19" s="16">
        <f t="shared" si="12"/>
        <v>3.3152704347785913</v>
      </c>
      <c r="BG19" s="8">
        <f t="shared" si="13"/>
        <v>1.4913616938342726</v>
      </c>
      <c r="BH19" s="13" t="s">
        <v>352</v>
      </c>
      <c r="BI19" s="51"/>
      <c r="BJ19" s="48"/>
      <c r="BK19" s="49"/>
      <c r="BL19" s="49"/>
      <c r="BM19" s="50"/>
      <c r="BN19" s="47"/>
      <c r="BO19" s="52"/>
    </row>
    <row r="20" spans="1:67" s="14" customFormat="1" x14ac:dyDescent="0.3">
      <c r="A20" s="20">
        <v>18</v>
      </c>
      <c r="B20" s="2" t="s">
        <v>294</v>
      </c>
      <c r="C20" s="2">
        <v>2017</v>
      </c>
      <c r="D20" s="2" t="s">
        <v>203</v>
      </c>
      <c r="E20" s="22" t="s">
        <v>789</v>
      </c>
      <c r="F20" s="20" t="s">
        <v>29</v>
      </c>
      <c r="G20" s="2">
        <v>2</v>
      </c>
      <c r="H20" s="2" t="str">
        <f>'PFAS Properties'!$B$15</f>
        <v>6:2 FtSaB</v>
      </c>
      <c r="I20" s="2" t="str">
        <f>'PFAS Properties'!$C$15</f>
        <v>Betaine</v>
      </c>
      <c r="J20" s="2" t="str">
        <f>'PFAS Properties'!$D$15</f>
        <v>C15H19F13N2O4S</v>
      </c>
      <c r="K20" s="25">
        <f>'PFAS Properties'!$P$15</f>
        <v>570.08529999999996</v>
      </c>
      <c r="L20" s="2">
        <f>'PFAS Properties'!$X$15</f>
        <v>2.2999999999999998</v>
      </c>
      <c r="M20" s="2">
        <f>'PFAS Properties'!$Y$15</f>
        <v>11.1</v>
      </c>
      <c r="N20" s="33">
        <f t="shared" si="0"/>
        <v>6.3055790544878248E-4</v>
      </c>
      <c r="O20" s="33">
        <f t="shared" si="1"/>
        <v>0.99936693179831504</v>
      </c>
      <c r="P20" s="33">
        <f t="shared" si="2"/>
        <v>2.5102962360835482E-6</v>
      </c>
      <c r="Q20" s="33">
        <v>0</v>
      </c>
      <c r="R20" s="33">
        <v>0</v>
      </c>
      <c r="S20" s="33">
        <v>0</v>
      </c>
      <c r="T20" s="8">
        <f t="shared" si="15"/>
        <v>0.99999999999999989</v>
      </c>
      <c r="U20" s="33">
        <f t="shared" si="4"/>
        <v>0.99999999999999989</v>
      </c>
      <c r="V20" s="33">
        <f t="shared" si="5"/>
        <v>-0.99937195239078724</v>
      </c>
      <c r="W20" s="33">
        <f t="shared" si="6"/>
        <v>570.08592804760917</v>
      </c>
      <c r="X20" s="33">
        <v>96485</v>
      </c>
      <c r="Y20" s="16">
        <f t="shared" si="7"/>
        <v>0.10629480678888371</v>
      </c>
      <c r="Z20" s="16">
        <v>15</v>
      </c>
      <c r="AA20" s="16">
        <v>13</v>
      </c>
      <c r="AB20" s="8">
        <f t="shared" si="8"/>
        <v>0.72874493927125494</v>
      </c>
      <c r="AC20" s="16">
        <f t="shared" si="9"/>
        <v>43.326849508310431</v>
      </c>
      <c r="AD20" s="20">
        <f>'PFAS Properties'!$W$15</f>
        <v>6</v>
      </c>
      <c r="AE20" s="8">
        <f>'PFAS Properties'!$S$15</f>
        <v>3.3010299956639813</v>
      </c>
      <c r="AF20" s="2">
        <f>'PFAS Properties'!$V$15</f>
        <v>4.8</v>
      </c>
      <c r="AG20" s="24">
        <v>5.5</v>
      </c>
      <c r="AH20" s="2" t="s">
        <v>831</v>
      </c>
      <c r="AI20" s="2" t="s">
        <v>661</v>
      </c>
      <c r="AJ20" s="2" t="s">
        <v>661</v>
      </c>
      <c r="AK20" s="2" t="s">
        <v>661</v>
      </c>
      <c r="AL20" s="2" t="s">
        <v>661</v>
      </c>
      <c r="AM20" s="2" t="s">
        <v>661</v>
      </c>
      <c r="AN20" s="2" t="s">
        <v>661</v>
      </c>
      <c r="AO20" s="2" t="s">
        <v>661</v>
      </c>
      <c r="AP20" s="16">
        <v>22</v>
      </c>
      <c r="AQ20" s="16" t="s">
        <v>712</v>
      </c>
      <c r="AR20" s="16">
        <v>10</v>
      </c>
      <c r="AS20" s="16">
        <v>64</v>
      </c>
      <c r="AT20" s="16">
        <v>26</v>
      </c>
      <c r="AU20" s="2" t="s">
        <v>661</v>
      </c>
      <c r="AV20" s="16">
        <f t="shared" si="10"/>
        <v>100</v>
      </c>
      <c r="AW20" s="18">
        <v>0.12</v>
      </c>
      <c r="AX20" s="13">
        <f t="shared" si="14"/>
        <v>1.1999999999999999E-3</v>
      </c>
      <c r="AY20" s="8" t="s">
        <v>295</v>
      </c>
      <c r="AZ20" s="16">
        <f t="shared" si="16"/>
        <v>100</v>
      </c>
      <c r="BA20" s="16" t="s">
        <v>55</v>
      </c>
      <c r="BB20" s="15">
        <f t="shared" si="17"/>
        <v>1.0261535399999999</v>
      </c>
      <c r="BC20" s="16">
        <f>(440*K20)/1000</f>
        <v>250.83753199999998</v>
      </c>
      <c r="BD20" s="25">
        <v>150</v>
      </c>
      <c r="BE20" s="16">
        <f t="shared" si="11"/>
        <v>125000.00000000001</v>
      </c>
      <c r="BF20" s="16">
        <f t="shared" si="12"/>
        <v>5.0969100130080562</v>
      </c>
      <c r="BG20" s="8">
        <f t="shared" si="13"/>
        <v>2.1760912590556813</v>
      </c>
      <c r="BH20" s="13" t="s">
        <v>352</v>
      </c>
      <c r="BI20" s="51"/>
      <c r="BJ20" s="48"/>
      <c r="BK20" s="49"/>
      <c r="BL20" s="51"/>
      <c r="BM20" s="50"/>
      <c r="BN20" s="47"/>
      <c r="BO20" s="52"/>
    </row>
    <row r="21" spans="1:67" s="14" customFormat="1" x14ac:dyDescent="0.3">
      <c r="A21" s="20">
        <v>19</v>
      </c>
      <c r="B21" s="2" t="s">
        <v>294</v>
      </c>
      <c r="C21" s="2">
        <v>2017</v>
      </c>
      <c r="D21" s="2" t="s">
        <v>203</v>
      </c>
      <c r="E21" s="22" t="s">
        <v>789</v>
      </c>
      <c r="F21" s="20" t="s">
        <v>29</v>
      </c>
      <c r="G21" s="2">
        <v>3</v>
      </c>
      <c r="H21" s="2" t="str">
        <f>'PFAS Properties'!$B$15</f>
        <v>6:2 FtSaB</v>
      </c>
      <c r="I21" s="2" t="str">
        <f>'PFAS Properties'!$C$15</f>
        <v>Betaine</v>
      </c>
      <c r="J21" s="2" t="str">
        <f>'PFAS Properties'!$D$15</f>
        <v>C15H19F13N2O4S</v>
      </c>
      <c r="K21" s="25">
        <f>'PFAS Properties'!$P$15</f>
        <v>570.08529999999996</v>
      </c>
      <c r="L21" s="2">
        <f>'PFAS Properties'!$X$15</f>
        <v>2.2999999999999998</v>
      </c>
      <c r="M21" s="2">
        <f>'PFAS Properties'!$Y$15</f>
        <v>11.1</v>
      </c>
      <c r="N21" s="33">
        <f t="shared" si="0"/>
        <v>1.5823837009219599E-3</v>
      </c>
      <c r="O21" s="33">
        <f t="shared" si="1"/>
        <v>0.99841661788246017</v>
      </c>
      <c r="P21" s="33">
        <f t="shared" si="2"/>
        <v>9.9841661788246018E-7</v>
      </c>
      <c r="Q21" s="33">
        <v>0</v>
      </c>
      <c r="R21" s="33">
        <v>0</v>
      </c>
      <c r="S21" s="33">
        <v>0</v>
      </c>
      <c r="T21" s="8">
        <f t="shared" si="15"/>
        <v>1</v>
      </c>
      <c r="U21" s="33">
        <f t="shared" si="4"/>
        <v>1</v>
      </c>
      <c r="V21" s="33">
        <f t="shared" si="5"/>
        <v>-0.99841861471569593</v>
      </c>
      <c r="W21" s="33">
        <f t="shared" si="6"/>
        <v>570.08688138528419</v>
      </c>
      <c r="X21" s="33">
        <v>96485</v>
      </c>
      <c r="Y21" s="16">
        <f t="shared" si="7"/>
        <v>0.26764334373967036</v>
      </c>
      <c r="Z21" s="16">
        <v>15</v>
      </c>
      <c r="AA21" s="16">
        <v>13</v>
      </c>
      <c r="AB21" s="8">
        <f t="shared" si="8"/>
        <v>0.72874493927125494</v>
      </c>
      <c r="AC21" s="16">
        <f t="shared" si="9"/>
        <v>43.326849508310431</v>
      </c>
      <c r="AD21" s="20">
        <f>'PFAS Properties'!$W$15</f>
        <v>6</v>
      </c>
      <c r="AE21" s="8">
        <f>'PFAS Properties'!$S$15</f>
        <v>3.3010299956639813</v>
      </c>
      <c r="AF21" s="2">
        <f>'PFAS Properties'!$V$15</f>
        <v>4.8</v>
      </c>
      <c r="AG21" s="24">
        <v>5.0999999999999996</v>
      </c>
      <c r="AH21" s="2" t="s">
        <v>831</v>
      </c>
      <c r="AI21" s="2" t="s">
        <v>661</v>
      </c>
      <c r="AJ21" s="2" t="s">
        <v>661</v>
      </c>
      <c r="AK21" s="2" t="s">
        <v>661</v>
      </c>
      <c r="AL21" s="2" t="s">
        <v>661</v>
      </c>
      <c r="AM21" s="2" t="s">
        <v>661</v>
      </c>
      <c r="AN21" s="2" t="s">
        <v>661</v>
      </c>
      <c r="AO21" s="2" t="s">
        <v>661</v>
      </c>
      <c r="AP21" s="16">
        <v>17</v>
      </c>
      <c r="AQ21" s="16" t="s">
        <v>712</v>
      </c>
      <c r="AR21" s="16">
        <v>14</v>
      </c>
      <c r="AS21" s="16">
        <v>39</v>
      </c>
      <c r="AT21" s="16">
        <v>48</v>
      </c>
      <c r="AU21" s="2" t="s">
        <v>661</v>
      </c>
      <c r="AV21" s="16">
        <f t="shared" si="10"/>
        <v>101</v>
      </c>
      <c r="AW21" s="18">
        <v>2.2999999999999998</v>
      </c>
      <c r="AX21" s="13">
        <f t="shared" si="14"/>
        <v>2.3E-2</v>
      </c>
      <c r="AY21" s="8" t="s">
        <v>295</v>
      </c>
      <c r="AZ21" s="16">
        <f t="shared" si="16"/>
        <v>100</v>
      </c>
      <c r="BA21" s="16" t="s">
        <v>55</v>
      </c>
      <c r="BB21" s="15">
        <f t="shared" si="17"/>
        <v>1.0261535399999999</v>
      </c>
      <c r="BC21" s="16">
        <f>(440*K21)/1000</f>
        <v>250.83753199999998</v>
      </c>
      <c r="BD21" s="25">
        <v>23</v>
      </c>
      <c r="BE21" s="16">
        <f t="shared" si="11"/>
        <v>1000</v>
      </c>
      <c r="BF21" s="16">
        <f t="shared" si="12"/>
        <v>3</v>
      </c>
      <c r="BG21" s="8">
        <f t="shared" si="13"/>
        <v>1.3617278360175928</v>
      </c>
      <c r="BH21" s="13" t="s">
        <v>352</v>
      </c>
      <c r="BI21" s="49"/>
      <c r="BJ21" s="48"/>
      <c r="BK21" s="49"/>
      <c r="BL21" s="49"/>
      <c r="BM21" s="50"/>
      <c r="BN21" s="47"/>
      <c r="BO21" s="52"/>
    </row>
    <row r="22" spans="1:67" s="14" customFormat="1" x14ac:dyDescent="0.3">
      <c r="A22" s="20">
        <v>20</v>
      </c>
      <c r="B22" s="2" t="s">
        <v>294</v>
      </c>
      <c r="C22" s="2">
        <v>2017</v>
      </c>
      <c r="D22" s="2" t="s">
        <v>203</v>
      </c>
      <c r="E22" s="22" t="s">
        <v>789</v>
      </c>
      <c r="F22" s="20" t="s">
        <v>29</v>
      </c>
      <c r="G22" s="2">
        <v>4</v>
      </c>
      <c r="H22" s="2" t="str">
        <f>'PFAS Properties'!$B$15</f>
        <v>6:2 FtSaB</v>
      </c>
      <c r="I22" s="2" t="str">
        <f>'PFAS Properties'!$C$15</f>
        <v>Betaine</v>
      </c>
      <c r="J22" s="2" t="str">
        <f>'PFAS Properties'!$D$15</f>
        <v>C15H19F13N2O4S</v>
      </c>
      <c r="K22" s="25">
        <f>'PFAS Properties'!$P$15</f>
        <v>570.08529999999996</v>
      </c>
      <c r="L22" s="2">
        <f>'PFAS Properties'!$X$15</f>
        <v>2.2999999999999998</v>
      </c>
      <c r="M22" s="2">
        <f>'PFAS Properties'!$Y$15</f>
        <v>11.1</v>
      </c>
      <c r="N22" s="33">
        <f t="shared" si="0"/>
        <v>1.9912875921420541E-3</v>
      </c>
      <c r="O22" s="33">
        <f t="shared" si="1"/>
        <v>0.99800791966198887</v>
      </c>
      <c r="P22" s="33">
        <f t="shared" si="2"/>
        <v>7.9274586906595983E-7</v>
      </c>
      <c r="Q22" s="33">
        <v>0</v>
      </c>
      <c r="R22" s="33">
        <v>0</v>
      </c>
      <c r="S22" s="33">
        <v>0</v>
      </c>
      <c r="T22" s="8">
        <f t="shared" si="15"/>
        <v>1</v>
      </c>
      <c r="U22" s="33">
        <f t="shared" si="4"/>
        <v>1</v>
      </c>
      <c r="V22" s="33">
        <f t="shared" si="5"/>
        <v>-0.99800950515372699</v>
      </c>
      <c r="W22" s="33">
        <f t="shared" si="6"/>
        <v>570.08729049484612</v>
      </c>
      <c r="X22" s="33">
        <v>96485</v>
      </c>
      <c r="Y22" s="16">
        <f t="shared" si="7"/>
        <v>0.33688331321321957</v>
      </c>
      <c r="Z22" s="16">
        <v>15</v>
      </c>
      <c r="AA22" s="16">
        <v>13</v>
      </c>
      <c r="AB22" s="8">
        <f t="shared" si="8"/>
        <v>0.72874493927125494</v>
      </c>
      <c r="AC22" s="16">
        <f t="shared" si="9"/>
        <v>43.326849508310431</v>
      </c>
      <c r="AD22" s="20">
        <f>'PFAS Properties'!$W$15</f>
        <v>6</v>
      </c>
      <c r="AE22" s="8">
        <f>'PFAS Properties'!$S$15</f>
        <v>3.3010299956639813</v>
      </c>
      <c r="AF22" s="2">
        <f>'PFAS Properties'!$V$15</f>
        <v>4.8</v>
      </c>
      <c r="AG22" s="24">
        <v>5</v>
      </c>
      <c r="AH22" s="2" t="s">
        <v>831</v>
      </c>
      <c r="AI22" s="2" t="s">
        <v>661</v>
      </c>
      <c r="AJ22" s="2" t="s">
        <v>661</v>
      </c>
      <c r="AK22" s="2" t="s">
        <v>661</v>
      </c>
      <c r="AL22" s="2" t="s">
        <v>661</v>
      </c>
      <c r="AM22" s="2" t="s">
        <v>661</v>
      </c>
      <c r="AN22" s="2" t="s">
        <v>661</v>
      </c>
      <c r="AO22" s="2" t="s">
        <v>661</v>
      </c>
      <c r="AP22" s="16">
        <v>36</v>
      </c>
      <c r="AQ22" s="16" t="s">
        <v>712</v>
      </c>
      <c r="AR22" s="16">
        <v>37</v>
      </c>
      <c r="AS22" s="16">
        <v>45</v>
      </c>
      <c r="AT22" s="16">
        <v>18</v>
      </c>
      <c r="AU22" s="2" t="s">
        <v>661</v>
      </c>
      <c r="AV22" s="16">
        <f t="shared" si="10"/>
        <v>100</v>
      </c>
      <c r="AW22" s="18">
        <v>7.7</v>
      </c>
      <c r="AX22" s="13">
        <f t="shared" si="14"/>
        <v>7.6999999999999999E-2</v>
      </c>
      <c r="AY22" s="8" t="s">
        <v>295</v>
      </c>
      <c r="AZ22" s="16">
        <f t="shared" si="16"/>
        <v>100</v>
      </c>
      <c r="BA22" s="16" t="s">
        <v>55</v>
      </c>
      <c r="BB22" s="15">
        <f t="shared" si="17"/>
        <v>1.0261535399999999</v>
      </c>
      <c r="BC22" s="16">
        <f>(440*K22)/1000</f>
        <v>250.83753199999998</v>
      </c>
      <c r="BD22" s="25">
        <v>60</v>
      </c>
      <c r="BE22" s="16">
        <f t="shared" si="11"/>
        <v>779.22077922077926</v>
      </c>
      <c r="BF22" s="16">
        <f t="shared" si="12"/>
        <v>2.8916605252111616</v>
      </c>
      <c r="BG22" s="8">
        <f t="shared" si="13"/>
        <v>1.7781512503836436</v>
      </c>
      <c r="BH22" s="13" t="s">
        <v>352</v>
      </c>
      <c r="BI22" s="49"/>
      <c r="BJ22" s="48"/>
      <c r="BK22" s="49"/>
      <c r="BL22" s="49"/>
      <c r="BM22" s="50"/>
      <c r="BN22" s="47"/>
      <c r="BO22" s="52"/>
    </row>
    <row r="23" spans="1:67" s="14" customFormat="1" x14ac:dyDescent="0.3">
      <c r="A23" s="20">
        <v>21</v>
      </c>
      <c r="B23" s="2" t="s">
        <v>294</v>
      </c>
      <c r="C23" s="2">
        <v>2017</v>
      </c>
      <c r="D23" s="2" t="s">
        <v>203</v>
      </c>
      <c r="E23" s="22" t="s">
        <v>789</v>
      </c>
      <c r="F23" s="20" t="s">
        <v>29</v>
      </c>
      <c r="G23" s="2">
        <v>5</v>
      </c>
      <c r="H23" s="2" t="str">
        <f>'PFAS Properties'!$B$15</f>
        <v>6:2 FtSaB</v>
      </c>
      <c r="I23" s="2" t="str">
        <f>'PFAS Properties'!$C$15</f>
        <v>Betaine</v>
      </c>
      <c r="J23" s="2" t="str">
        <f>'PFAS Properties'!$D$15</f>
        <v>C15H19F13N2O4S</v>
      </c>
      <c r="K23" s="25">
        <f>'PFAS Properties'!$P$15</f>
        <v>570.08529999999996</v>
      </c>
      <c r="L23" s="2">
        <f>'PFAS Properties'!$X$15</f>
        <v>2.2999999999999998</v>
      </c>
      <c r="M23" s="2">
        <f>'PFAS Properties'!$Y$15</f>
        <v>11.1</v>
      </c>
      <c r="N23" s="33">
        <f t="shared" si="0"/>
        <v>1.9912875921420541E-3</v>
      </c>
      <c r="O23" s="33">
        <f t="shared" si="1"/>
        <v>0.99800791966198887</v>
      </c>
      <c r="P23" s="33">
        <f t="shared" si="2"/>
        <v>7.9274586906595983E-7</v>
      </c>
      <c r="Q23" s="33">
        <v>0</v>
      </c>
      <c r="R23" s="33">
        <v>0</v>
      </c>
      <c r="S23" s="33">
        <v>0</v>
      </c>
      <c r="T23" s="8">
        <f t="shared" si="15"/>
        <v>1</v>
      </c>
      <c r="U23" s="33">
        <f t="shared" si="4"/>
        <v>1</v>
      </c>
      <c r="V23" s="33">
        <f t="shared" si="5"/>
        <v>-0.99800950515372699</v>
      </c>
      <c r="W23" s="33">
        <f t="shared" si="6"/>
        <v>570.08729049484612</v>
      </c>
      <c r="X23" s="33">
        <v>96485</v>
      </c>
      <c r="Y23" s="16">
        <f t="shared" si="7"/>
        <v>0.33688331321321957</v>
      </c>
      <c r="Z23" s="16">
        <v>15</v>
      </c>
      <c r="AA23" s="16">
        <v>13</v>
      </c>
      <c r="AB23" s="8">
        <f t="shared" si="8"/>
        <v>0.72874493927125494</v>
      </c>
      <c r="AC23" s="16">
        <f t="shared" si="9"/>
        <v>43.326849508310431</v>
      </c>
      <c r="AD23" s="20">
        <f>'PFAS Properties'!$W$15</f>
        <v>6</v>
      </c>
      <c r="AE23" s="8">
        <f>'PFAS Properties'!$S$15</f>
        <v>3.3010299956639813</v>
      </c>
      <c r="AF23" s="2">
        <f>'PFAS Properties'!$V$15</f>
        <v>4.8</v>
      </c>
      <c r="AG23" s="24">
        <v>5</v>
      </c>
      <c r="AH23" s="2" t="s">
        <v>831</v>
      </c>
      <c r="AI23" s="2" t="s">
        <v>661</v>
      </c>
      <c r="AJ23" s="2" t="s">
        <v>661</v>
      </c>
      <c r="AK23" s="2" t="s">
        <v>661</v>
      </c>
      <c r="AL23" s="2" t="s">
        <v>661</v>
      </c>
      <c r="AM23" s="2" t="s">
        <v>661</v>
      </c>
      <c r="AN23" s="2" t="s">
        <v>661</v>
      </c>
      <c r="AO23" s="2" t="s">
        <v>661</v>
      </c>
      <c r="AP23" s="16">
        <v>16</v>
      </c>
      <c r="AQ23" s="16" t="s">
        <v>712</v>
      </c>
      <c r="AR23" s="16">
        <v>4.8</v>
      </c>
      <c r="AS23" s="16">
        <v>72</v>
      </c>
      <c r="AT23" s="16">
        <v>23</v>
      </c>
      <c r="AU23" s="2" t="s">
        <v>661</v>
      </c>
      <c r="AV23" s="16">
        <f t="shared" si="10"/>
        <v>99.8</v>
      </c>
      <c r="AW23" s="18">
        <v>1</v>
      </c>
      <c r="AX23" s="13">
        <f t="shared" si="14"/>
        <v>0.01</v>
      </c>
      <c r="AY23" s="8" t="s">
        <v>295</v>
      </c>
      <c r="AZ23" s="16">
        <f t="shared" si="16"/>
        <v>100</v>
      </c>
      <c r="BA23" s="16" t="s">
        <v>55</v>
      </c>
      <c r="BB23" s="15">
        <f t="shared" si="17"/>
        <v>1.0261535399999999</v>
      </c>
      <c r="BC23" s="16">
        <f>(440*K23)/1000</f>
        <v>250.83753199999998</v>
      </c>
      <c r="BD23" s="25">
        <v>74</v>
      </c>
      <c r="BE23" s="16">
        <f t="shared" si="11"/>
        <v>7400</v>
      </c>
      <c r="BF23" s="16">
        <f t="shared" si="12"/>
        <v>3.8692317197309762</v>
      </c>
      <c r="BG23" s="8">
        <f t="shared" si="13"/>
        <v>1.8692317197309762</v>
      </c>
      <c r="BH23" s="13" t="s">
        <v>352</v>
      </c>
      <c r="BI23" s="51"/>
      <c r="BJ23" s="48"/>
      <c r="BK23" s="49"/>
      <c r="BL23" s="51"/>
      <c r="BM23" s="50"/>
      <c r="BN23" s="47"/>
      <c r="BO23" s="52"/>
    </row>
    <row r="24" spans="1:67" s="14" customFormat="1" x14ac:dyDescent="0.3">
      <c r="A24" s="20">
        <v>22</v>
      </c>
      <c r="B24" s="2" t="s">
        <v>294</v>
      </c>
      <c r="C24" s="2">
        <v>2017</v>
      </c>
      <c r="D24" s="2" t="s">
        <v>203</v>
      </c>
      <c r="E24" s="22" t="s">
        <v>789</v>
      </c>
      <c r="F24" s="20" t="s">
        <v>29</v>
      </c>
      <c r="G24" s="2">
        <v>6</v>
      </c>
      <c r="H24" s="2" t="str">
        <f>'PFAS Properties'!$B$15</f>
        <v>6:2 FtSaB</v>
      </c>
      <c r="I24" s="2" t="str">
        <f>'PFAS Properties'!$C$15</f>
        <v>Betaine</v>
      </c>
      <c r="J24" s="2" t="str">
        <f>'PFAS Properties'!$D$15</f>
        <v>C15H19F13N2O4S</v>
      </c>
      <c r="K24" s="25">
        <f>'PFAS Properties'!$P$15</f>
        <v>570.08529999999996</v>
      </c>
      <c r="L24" s="2">
        <f>'PFAS Properties'!$X$15</f>
        <v>2.2999999999999998</v>
      </c>
      <c r="M24" s="2">
        <f>'PFAS Properties'!$Y$15</f>
        <v>11.1</v>
      </c>
      <c r="N24" s="33">
        <f t="shared" si="0"/>
        <v>1.2573409304470879E-3</v>
      </c>
      <c r="O24" s="33">
        <f t="shared" si="1"/>
        <v>0.99874140172862269</v>
      </c>
      <c r="P24" s="33">
        <f t="shared" si="2"/>
        <v>1.257340930447089E-6</v>
      </c>
      <c r="Q24" s="33">
        <v>0</v>
      </c>
      <c r="R24" s="33">
        <v>0</v>
      </c>
      <c r="S24" s="33">
        <v>0</v>
      </c>
      <c r="T24" s="8">
        <f t="shared" si="15"/>
        <v>1.0000000000000002</v>
      </c>
      <c r="U24" s="33">
        <f t="shared" si="4"/>
        <v>1.0000000000000002</v>
      </c>
      <c r="V24" s="33">
        <f t="shared" si="5"/>
        <v>-0.99874391641048355</v>
      </c>
      <c r="W24" s="33">
        <f t="shared" si="6"/>
        <v>570.08655608358958</v>
      </c>
      <c r="X24" s="33">
        <v>96485</v>
      </c>
      <c r="Y24" s="16">
        <f t="shared" si="7"/>
        <v>0.21258741122943875</v>
      </c>
      <c r="Z24" s="16">
        <v>15</v>
      </c>
      <c r="AA24" s="16">
        <v>13</v>
      </c>
      <c r="AB24" s="8">
        <f t="shared" si="8"/>
        <v>0.72874493927125494</v>
      </c>
      <c r="AC24" s="16">
        <f t="shared" si="9"/>
        <v>43.326849508310431</v>
      </c>
      <c r="AD24" s="20">
        <f>'PFAS Properties'!$W$15</f>
        <v>6</v>
      </c>
      <c r="AE24" s="8">
        <f>'PFAS Properties'!$S$15</f>
        <v>3.3010299956639813</v>
      </c>
      <c r="AF24" s="2">
        <f>'PFAS Properties'!$V$15</f>
        <v>4.8</v>
      </c>
      <c r="AG24" s="24">
        <v>5.2</v>
      </c>
      <c r="AH24" s="2" t="s">
        <v>831</v>
      </c>
      <c r="AI24" s="2" t="s">
        <v>661</v>
      </c>
      <c r="AJ24" s="2" t="s">
        <v>661</v>
      </c>
      <c r="AK24" s="2" t="s">
        <v>661</v>
      </c>
      <c r="AL24" s="2" t="s">
        <v>661</v>
      </c>
      <c r="AM24" s="2" t="s">
        <v>661</v>
      </c>
      <c r="AN24" s="2" t="s">
        <v>661</v>
      </c>
      <c r="AO24" s="2" t="s">
        <v>661</v>
      </c>
      <c r="AP24" s="16">
        <v>16</v>
      </c>
      <c r="AQ24" s="16" t="s">
        <v>712</v>
      </c>
      <c r="AR24" s="16">
        <v>3.6</v>
      </c>
      <c r="AS24" s="16">
        <v>73</v>
      </c>
      <c r="AT24" s="16">
        <v>24</v>
      </c>
      <c r="AU24" s="15" t="s">
        <v>661</v>
      </c>
      <c r="AV24" s="16">
        <f t="shared" si="10"/>
        <v>100.6</v>
      </c>
      <c r="AW24" s="18">
        <v>9.8000000000000004E-2</v>
      </c>
      <c r="AX24" s="13">
        <f t="shared" si="14"/>
        <v>9.7999999999999997E-4</v>
      </c>
      <c r="AY24" s="8" t="s">
        <v>295</v>
      </c>
      <c r="AZ24" s="16">
        <f t="shared" si="16"/>
        <v>100</v>
      </c>
      <c r="BA24" s="16" t="s">
        <v>55</v>
      </c>
      <c r="BB24" s="15">
        <f t="shared" si="17"/>
        <v>1.0261535399999999</v>
      </c>
      <c r="BC24" s="16">
        <f>(440*K24)/1000</f>
        <v>250.83753199999998</v>
      </c>
      <c r="BD24" s="25">
        <v>90</v>
      </c>
      <c r="BE24" s="16">
        <f t="shared" si="11"/>
        <v>91836.734693877559</v>
      </c>
      <c r="BF24" s="16">
        <f t="shared" si="12"/>
        <v>4.9630164337468301</v>
      </c>
      <c r="BG24" s="8">
        <f t="shared" si="13"/>
        <v>1.954242509439325</v>
      </c>
      <c r="BH24" s="13" t="s">
        <v>352</v>
      </c>
      <c r="BI24" s="51"/>
      <c r="BJ24" s="48"/>
      <c r="BK24" s="49"/>
      <c r="BL24" s="51"/>
      <c r="BM24" s="50"/>
      <c r="BN24" s="47"/>
      <c r="BO24" s="52"/>
    </row>
    <row r="25" spans="1:67" s="14" customFormat="1" x14ac:dyDescent="0.3">
      <c r="A25" s="20">
        <v>23</v>
      </c>
      <c r="B25" s="2" t="s">
        <v>294</v>
      </c>
      <c r="C25" s="2">
        <v>2017</v>
      </c>
      <c r="D25" s="2" t="s">
        <v>203</v>
      </c>
      <c r="E25" s="22" t="s">
        <v>789</v>
      </c>
      <c r="F25" s="20" t="s">
        <v>29</v>
      </c>
      <c r="G25" s="2">
        <v>1</v>
      </c>
      <c r="H25" s="2" t="str">
        <f>'PFAS Properties'!$B$16</f>
        <v>8:2 FtSaB</v>
      </c>
      <c r="I25" s="2" t="str">
        <f>'PFAS Properties'!$C$16</f>
        <v>Betaine</v>
      </c>
      <c r="J25" s="2" t="str">
        <f>'PFAS Properties'!$D$16</f>
        <v>C17H19F17N2O4S</v>
      </c>
      <c r="K25" s="25">
        <f>'PFAS Properties'!$P$16</f>
        <v>670.07889999999998</v>
      </c>
      <c r="L25" s="2">
        <f>'PFAS Properties'!$X$16</f>
        <v>2.2999999999999998</v>
      </c>
      <c r="M25" s="2">
        <f>'PFAS Properties'!$Y$16</f>
        <v>11.1</v>
      </c>
      <c r="N25" s="33">
        <f t="shared" si="0"/>
        <v>1.5823837009219599E-3</v>
      </c>
      <c r="O25" s="33">
        <f t="shared" si="1"/>
        <v>0.99841661788246017</v>
      </c>
      <c r="P25" s="33">
        <f t="shared" si="2"/>
        <v>9.9841661788246018E-7</v>
      </c>
      <c r="Q25" s="33">
        <v>0</v>
      </c>
      <c r="R25" s="33">
        <v>0</v>
      </c>
      <c r="S25" s="33">
        <v>0</v>
      </c>
      <c r="T25" s="8">
        <f t="shared" si="15"/>
        <v>1</v>
      </c>
      <c r="U25" s="33">
        <f t="shared" si="4"/>
        <v>1</v>
      </c>
      <c r="V25" s="33">
        <f t="shared" si="5"/>
        <v>-0.99841861471569593</v>
      </c>
      <c r="W25" s="33">
        <f t="shared" si="6"/>
        <v>670.08048138528432</v>
      </c>
      <c r="X25" s="33">
        <v>96485</v>
      </c>
      <c r="Y25" s="16">
        <f t="shared" si="7"/>
        <v>0.22770393019155494</v>
      </c>
      <c r="Z25" s="16">
        <v>17</v>
      </c>
      <c r="AA25" s="16">
        <v>17</v>
      </c>
      <c r="AB25" s="8">
        <f t="shared" si="8"/>
        <v>0.63157894736842102</v>
      </c>
      <c r="AC25" s="16">
        <f t="shared" si="9"/>
        <v>48.203278748219056</v>
      </c>
      <c r="AD25" s="20">
        <f>'PFAS Properties'!$W$16</f>
        <v>8</v>
      </c>
      <c r="AE25" s="8">
        <f>'PFAS Properties'!$S$16</f>
        <v>1.4999618655961902</v>
      </c>
      <c r="AF25" s="2">
        <f>'PFAS Properties'!$V$16</f>
        <v>6.2</v>
      </c>
      <c r="AG25" s="24">
        <v>5.0999999999999996</v>
      </c>
      <c r="AH25" s="2" t="s">
        <v>831</v>
      </c>
      <c r="AI25" s="2" t="s">
        <v>661</v>
      </c>
      <c r="AJ25" s="2" t="s">
        <v>661</v>
      </c>
      <c r="AK25" s="2" t="s">
        <v>661</v>
      </c>
      <c r="AL25" s="2" t="s">
        <v>661</v>
      </c>
      <c r="AM25" s="2" t="s">
        <v>661</v>
      </c>
      <c r="AN25" s="2" t="s">
        <v>661</v>
      </c>
      <c r="AO25" s="2" t="s">
        <v>661</v>
      </c>
      <c r="AP25" s="16">
        <v>14</v>
      </c>
      <c r="AQ25" s="16" t="s">
        <v>712</v>
      </c>
      <c r="AR25" s="16">
        <v>6.3</v>
      </c>
      <c r="AS25" s="16">
        <v>71</v>
      </c>
      <c r="AT25" s="16">
        <v>22</v>
      </c>
      <c r="AU25" s="2" t="s">
        <v>661</v>
      </c>
      <c r="AV25" s="16">
        <f t="shared" si="10"/>
        <v>99.3</v>
      </c>
      <c r="AW25" s="18">
        <v>1.5</v>
      </c>
      <c r="AX25" s="13">
        <f t="shared" si="14"/>
        <v>1.4999999999999999E-2</v>
      </c>
      <c r="AY25" s="8" t="s">
        <v>295</v>
      </c>
      <c r="AZ25" s="16">
        <f t="shared" si="16"/>
        <v>100</v>
      </c>
      <c r="BA25" s="16" t="s">
        <v>55</v>
      </c>
      <c r="BB25" s="15">
        <f>(0.48*K25)/1000</f>
        <v>0.32163787199999994</v>
      </c>
      <c r="BC25" s="16">
        <f>(73000*K25)/1000</f>
        <v>48915.759699999995</v>
      </c>
      <c r="BD25" s="25">
        <v>120</v>
      </c>
      <c r="BE25" s="16">
        <f t="shared" si="11"/>
        <v>8000</v>
      </c>
      <c r="BF25" s="16">
        <f t="shared" si="12"/>
        <v>3.9030899869919438</v>
      </c>
      <c r="BG25" s="8">
        <f t="shared" si="13"/>
        <v>2.0791812460476247</v>
      </c>
      <c r="BH25" s="13" t="s">
        <v>352</v>
      </c>
      <c r="BI25" s="51"/>
      <c r="BJ25" s="48"/>
      <c r="BK25" s="49"/>
      <c r="BL25" s="51"/>
      <c r="BM25" s="50"/>
      <c r="BN25" s="51"/>
      <c r="BO25" s="52"/>
    </row>
    <row r="26" spans="1:67" s="14" customFormat="1" x14ac:dyDescent="0.3">
      <c r="A26" s="20">
        <v>24</v>
      </c>
      <c r="B26" s="2" t="s">
        <v>294</v>
      </c>
      <c r="C26" s="2">
        <v>2017</v>
      </c>
      <c r="D26" s="2" t="s">
        <v>203</v>
      </c>
      <c r="E26" s="22" t="s">
        <v>789</v>
      </c>
      <c r="F26" s="20" t="s">
        <v>29</v>
      </c>
      <c r="G26" s="2">
        <v>2</v>
      </c>
      <c r="H26" s="2" t="str">
        <f>'PFAS Properties'!$B$16</f>
        <v>8:2 FtSaB</v>
      </c>
      <c r="I26" s="2" t="str">
        <f>'PFAS Properties'!$C$16</f>
        <v>Betaine</v>
      </c>
      <c r="J26" s="2" t="str">
        <f>'PFAS Properties'!$D$16</f>
        <v>C17H19F17N2O4S</v>
      </c>
      <c r="K26" s="25">
        <f>'PFAS Properties'!$P$16</f>
        <v>670.07889999999998</v>
      </c>
      <c r="L26" s="2">
        <f>'PFAS Properties'!$X$16</f>
        <v>2.2999999999999998</v>
      </c>
      <c r="M26" s="2">
        <f>'PFAS Properties'!$Y$16</f>
        <v>11.1</v>
      </c>
      <c r="N26" s="33">
        <f t="shared" si="0"/>
        <v>6.3055790544878248E-4</v>
      </c>
      <c r="O26" s="33">
        <f t="shared" si="1"/>
        <v>0.99936693179831504</v>
      </c>
      <c r="P26" s="33">
        <f t="shared" si="2"/>
        <v>2.5102962360835482E-6</v>
      </c>
      <c r="Q26" s="33">
        <v>0</v>
      </c>
      <c r="R26" s="33">
        <v>0</v>
      </c>
      <c r="S26" s="33">
        <v>0</v>
      </c>
      <c r="T26" s="8">
        <f t="shared" si="15"/>
        <v>0.99999999999999989</v>
      </c>
      <c r="U26" s="33">
        <f t="shared" si="4"/>
        <v>0.99999999999999989</v>
      </c>
      <c r="V26" s="33">
        <f t="shared" si="5"/>
        <v>-0.99937195239078724</v>
      </c>
      <c r="W26" s="33">
        <f t="shared" si="6"/>
        <v>670.07952804760919</v>
      </c>
      <c r="X26" s="33">
        <v>96485</v>
      </c>
      <c r="Y26" s="16">
        <f t="shared" si="7"/>
        <v>9.0432808403268575E-2</v>
      </c>
      <c r="Z26" s="16">
        <v>17</v>
      </c>
      <c r="AA26" s="16">
        <v>17</v>
      </c>
      <c r="AB26" s="8">
        <f t="shared" si="8"/>
        <v>0.63157894736842102</v>
      </c>
      <c r="AC26" s="16">
        <f t="shared" si="9"/>
        <v>48.203278748219056</v>
      </c>
      <c r="AD26" s="20">
        <f>'PFAS Properties'!$W$16</f>
        <v>8</v>
      </c>
      <c r="AE26" s="8">
        <f>'PFAS Properties'!$S$16</f>
        <v>1.4999618655961902</v>
      </c>
      <c r="AF26" s="2">
        <f>'PFAS Properties'!$V$16</f>
        <v>6.2</v>
      </c>
      <c r="AG26" s="24">
        <v>5.5</v>
      </c>
      <c r="AH26" s="2" t="s">
        <v>831</v>
      </c>
      <c r="AI26" s="2" t="s">
        <v>661</v>
      </c>
      <c r="AJ26" s="2" t="s">
        <v>661</v>
      </c>
      <c r="AK26" s="2" t="s">
        <v>661</v>
      </c>
      <c r="AL26" s="2" t="s">
        <v>661</v>
      </c>
      <c r="AM26" s="2" t="s">
        <v>661</v>
      </c>
      <c r="AN26" s="2" t="s">
        <v>661</v>
      </c>
      <c r="AO26" s="2" t="s">
        <v>661</v>
      </c>
      <c r="AP26" s="16">
        <v>22</v>
      </c>
      <c r="AQ26" s="16" t="s">
        <v>712</v>
      </c>
      <c r="AR26" s="16">
        <v>10</v>
      </c>
      <c r="AS26" s="16">
        <v>64</v>
      </c>
      <c r="AT26" s="16">
        <v>26</v>
      </c>
      <c r="AU26" s="2" t="s">
        <v>661</v>
      </c>
      <c r="AV26" s="16">
        <f t="shared" si="10"/>
        <v>100</v>
      </c>
      <c r="AW26" s="18">
        <v>0.12</v>
      </c>
      <c r="AX26" s="13">
        <f t="shared" si="14"/>
        <v>1.1999999999999999E-3</v>
      </c>
      <c r="AY26" s="8" t="s">
        <v>295</v>
      </c>
      <c r="AZ26" s="16">
        <f t="shared" si="16"/>
        <v>100</v>
      </c>
      <c r="BA26" s="16" t="s">
        <v>55</v>
      </c>
      <c r="BB26" s="15">
        <f>(0.48*K26)/1000</f>
        <v>0.32163787199999994</v>
      </c>
      <c r="BC26" s="16">
        <f>(130*K26)/1000</f>
        <v>87.110257000000004</v>
      </c>
      <c r="BD26" s="25">
        <v>170</v>
      </c>
      <c r="BE26" s="16">
        <f t="shared" si="11"/>
        <v>141666.66666666669</v>
      </c>
      <c r="BF26" s="16">
        <f t="shared" si="12"/>
        <v>5.151267675330649</v>
      </c>
      <c r="BG26" s="8">
        <f t="shared" si="13"/>
        <v>2.2304489213782741</v>
      </c>
      <c r="BH26" s="13" t="s">
        <v>353</v>
      </c>
      <c r="BI26" s="51"/>
      <c r="BJ26" s="48"/>
      <c r="BK26" s="49"/>
      <c r="BL26" s="51"/>
      <c r="BM26" s="50"/>
      <c r="BN26" s="51"/>
      <c r="BO26" s="52"/>
    </row>
    <row r="27" spans="1:67" s="14" customFormat="1" x14ac:dyDescent="0.3">
      <c r="A27" s="20">
        <v>25</v>
      </c>
      <c r="B27" s="2" t="s">
        <v>294</v>
      </c>
      <c r="C27" s="2">
        <v>2017</v>
      </c>
      <c r="D27" s="2" t="s">
        <v>203</v>
      </c>
      <c r="E27" s="22" t="s">
        <v>789</v>
      </c>
      <c r="F27" s="20" t="s">
        <v>29</v>
      </c>
      <c r="G27" s="2">
        <v>3</v>
      </c>
      <c r="H27" s="2" t="str">
        <f>'PFAS Properties'!$B$16</f>
        <v>8:2 FtSaB</v>
      </c>
      <c r="I27" s="2" t="str">
        <f>'PFAS Properties'!$C$16</f>
        <v>Betaine</v>
      </c>
      <c r="J27" s="2" t="str">
        <f>'PFAS Properties'!$D$16</f>
        <v>C17H19F17N2O4S</v>
      </c>
      <c r="K27" s="25">
        <f>'PFAS Properties'!$P$16</f>
        <v>670.07889999999998</v>
      </c>
      <c r="L27" s="2">
        <f>'PFAS Properties'!$X$16</f>
        <v>2.2999999999999998</v>
      </c>
      <c r="M27" s="2">
        <f>'PFAS Properties'!$Y$16</f>
        <v>11.1</v>
      </c>
      <c r="N27" s="33">
        <f t="shared" si="0"/>
        <v>1.5823837009219599E-3</v>
      </c>
      <c r="O27" s="33">
        <f t="shared" si="1"/>
        <v>0.99841661788246017</v>
      </c>
      <c r="P27" s="33">
        <f t="shared" si="2"/>
        <v>9.9841661788246018E-7</v>
      </c>
      <c r="Q27" s="33">
        <v>0</v>
      </c>
      <c r="R27" s="33">
        <v>0</v>
      </c>
      <c r="S27" s="33">
        <v>0</v>
      </c>
      <c r="T27" s="8">
        <f t="shared" si="15"/>
        <v>1</v>
      </c>
      <c r="U27" s="33">
        <f t="shared" si="4"/>
        <v>1</v>
      </c>
      <c r="V27" s="33">
        <f t="shared" si="5"/>
        <v>-0.99841861471569593</v>
      </c>
      <c r="W27" s="33">
        <f t="shared" si="6"/>
        <v>670.08048138528432</v>
      </c>
      <c r="X27" s="33">
        <v>96485</v>
      </c>
      <c r="Y27" s="16">
        <f t="shared" si="7"/>
        <v>0.22770393019155494</v>
      </c>
      <c r="Z27" s="16">
        <v>17</v>
      </c>
      <c r="AA27" s="16">
        <v>17</v>
      </c>
      <c r="AB27" s="8">
        <f t="shared" si="8"/>
        <v>0.63157894736842102</v>
      </c>
      <c r="AC27" s="16">
        <f t="shared" si="9"/>
        <v>48.203278748219056</v>
      </c>
      <c r="AD27" s="20">
        <f>'PFAS Properties'!$W$16</f>
        <v>8</v>
      </c>
      <c r="AE27" s="8">
        <f>'PFAS Properties'!$S$16</f>
        <v>1.4999618655961902</v>
      </c>
      <c r="AF27" s="2">
        <f>'PFAS Properties'!$V$16</f>
        <v>6.2</v>
      </c>
      <c r="AG27" s="24">
        <v>5.0999999999999996</v>
      </c>
      <c r="AH27" s="2" t="s">
        <v>831</v>
      </c>
      <c r="AI27" s="2" t="s">
        <v>661</v>
      </c>
      <c r="AJ27" s="2" t="s">
        <v>661</v>
      </c>
      <c r="AK27" s="2" t="s">
        <v>661</v>
      </c>
      <c r="AL27" s="2" t="s">
        <v>661</v>
      </c>
      <c r="AM27" s="2" t="s">
        <v>661</v>
      </c>
      <c r="AN27" s="2" t="s">
        <v>661</v>
      </c>
      <c r="AO27" s="2" t="s">
        <v>661</v>
      </c>
      <c r="AP27" s="16">
        <v>17</v>
      </c>
      <c r="AQ27" s="16" t="s">
        <v>712</v>
      </c>
      <c r="AR27" s="16">
        <v>14</v>
      </c>
      <c r="AS27" s="16">
        <v>39</v>
      </c>
      <c r="AT27" s="16">
        <v>48</v>
      </c>
      <c r="AU27" s="2" t="s">
        <v>661</v>
      </c>
      <c r="AV27" s="16">
        <f t="shared" si="10"/>
        <v>101</v>
      </c>
      <c r="AW27" s="18">
        <v>2.2999999999999998</v>
      </c>
      <c r="AX27" s="13">
        <f t="shared" si="14"/>
        <v>2.3E-2</v>
      </c>
      <c r="AY27" s="8" t="s">
        <v>295</v>
      </c>
      <c r="AZ27" s="16">
        <f t="shared" si="16"/>
        <v>100</v>
      </c>
      <c r="BA27" s="16" t="s">
        <v>55</v>
      </c>
      <c r="BB27" s="15">
        <f>(0.48*K27)/1000</f>
        <v>0.32163787199999994</v>
      </c>
      <c r="BC27" s="16">
        <f>(130*K27)/1000</f>
        <v>87.110257000000004</v>
      </c>
      <c r="BD27" s="25">
        <v>34</v>
      </c>
      <c r="BE27" s="16">
        <f t="shared" si="11"/>
        <v>1478.2608695652175</v>
      </c>
      <c r="BF27" s="16">
        <f t="shared" si="12"/>
        <v>3.1697510810246623</v>
      </c>
      <c r="BG27" s="8">
        <f t="shared" si="13"/>
        <v>1.5314789170422551</v>
      </c>
      <c r="BH27" s="13" t="s">
        <v>352</v>
      </c>
      <c r="BI27" s="51"/>
      <c r="BJ27" s="48"/>
      <c r="BK27" s="49"/>
      <c r="BL27" s="51"/>
      <c r="BM27" s="50"/>
      <c r="BN27" s="51"/>
      <c r="BO27" s="52"/>
    </row>
    <row r="28" spans="1:67" s="14" customFormat="1" x14ac:dyDescent="0.3">
      <c r="A28" s="20">
        <v>26</v>
      </c>
      <c r="B28" s="2" t="s">
        <v>294</v>
      </c>
      <c r="C28" s="2">
        <v>2017</v>
      </c>
      <c r="D28" s="2" t="s">
        <v>203</v>
      </c>
      <c r="E28" s="22" t="s">
        <v>789</v>
      </c>
      <c r="F28" s="20" t="s">
        <v>29</v>
      </c>
      <c r="G28" s="2">
        <v>4</v>
      </c>
      <c r="H28" s="2" t="str">
        <f>'PFAS Properties'!$B$16</f>
        <v>8:2 FtSaB</v>
      </c>
      <c r="I28" s="2" t="str">
        <f>'PFAS Properties'!$C$16</f>
        <v>Betaine</v>
      </c>
      <c r="J28" s="2" t="str">
        <f>'PFAS Properties'!$D$16</f>
        <v>C17H19F17N2O4S</v>
      </c>
      <c r="K28" s="25">
        <f>'PFAS Properties'!$P$16</f>
        <v>670.07889999999998</v>
      </c>
      <c r="L28" s="2">
        <f>'PFAS Properties'!$X$16</f>
        <v>2.2999999999999998</v>
      </c>
      <c r="M28" s="2">
        <f>'PFAS Properties'!$Y$16</f>
        <v>11.1</v>
      </c>
      <c r="N28" s="33">
        <f t="shared" si="0"/>
        <v>1.9912875921420541E-3</v>
      </c>
      <c r="O28" s="33">
        <f t="shared" si="1"/>
        <v>0.99800791966198887</v>
      </c>
      <c r="P28" s="33">
        <f t="shared" si="2"/>
        <v>7.9274586906595983E-7</v>
      </c>
      <c r="Q28" s="33">
        <v>0</v>
      </c>
      <c r="R28" s="33">
        <v>0</v>
      </c>
      <c r="S28" s="33">
        <v>0</v>
      </c>
      <c r="T28" s="8">
        <f t="shared" si="15"/>
        <v>1</v>
      </c>
      <c r="U28" s="33">
        <f t="shared" si="4"/>
        <v>1</v>
      </c>
      <c r="V28" s="33">
        <f t="shared" si="5"/>
        <v>-0.99800950515372699</v>
      </c>
      <c r="W28" s="33">
        <f t="shared" si="6"/>
        <v>670.08089049484624</v>
      </c>
      <c r="X28" s="33">
        <v>96485</v>
      </c>
      <c r="Y28" s="16">
        <f t="shared" si="7"/>
        <v>0.28661150909828559</v>
      </c>
      <c r="Z28" s="16">
        <v>17</v>
      </c>
      <c r="AA28" s="16">
        <v>17</v>
      </c>
      <c r="AB28" s="8">
        <f t="shared" si="8"/>
        <v>0.63157894736842102</v>
      </c>
      <c r="AC28" s="16">
        <f t="shared" si="9"/>
        <v>48.203278748219056</v>
      </c>
      <c r="AD28" s="20">
        <f>'PFAS Properties'!$W$16</f>
        <v>8</v>
      </c>
      <c r="AE28" s="8">
        <f>'PFAS Properties'!$S$16</f>
        <v>1.4999618655961902</v>
      </c>
      <c r="AF28" s="2">
        <f>'PFAS Properties'!$V$16</f>
        <v>6.2</v>
      </c>
      <c r="AG28" s="24">
        <v>5</v>
      </c>
      <c r="AH28" s="2" t="s">
        <v>831</v>
      </c>
      <c r="AI28" s="2" t="s">
        <v>661</v>
      </c>
      <c r="AJ28" s="2" t="s">
        <v>661</v>
      </c>
      <c r="AK28" s="2" t="s">
        <v>661</v>
      </c>
      <c r="AL28" s="2" t="s">
        <v>661</v>
      </c>
      <c r="AM28" s="2" t="s">
        <v>661</v>
      </c>
      <c r="AN28" s="2" t="s">
        <v>661</v>
      </c>
      <c r="AO28" s="2" t="s">
        <v>661</v>
      </c>
      <c r="AP28" s="16">
        <v>36</v>
      </c>
      <c r="AQ28" s="16" t="s">
        <v>712</v>
      </c>
      <c r="AR28" s="16">
        <v>37</v>
      </c>
      <c r="AS28" s="16">
        <v>45</v>
      </c>
      <c r="AT28" s="16">
        <v>18</v>
      </c>
      <c r="AU28" s="2" t="s">
        <v>661</v>
      </c>
      <c r="AV28" s="16">
        <f t="shared" si="10"/>
        <v>100</v>
      </c>
      <c r="AW28" s="18">
        <v>7.7</v>
      </c>
      <c r="AX28" s="13">
        <f t="shared" si="14"/>
        <v>7.6999999999999999E-2</v>
      </c>
      <c r="AY28" s="8" t="s">
        <v>295</v>
      </c>
      <c r="AZ28" s="16">
        <f t="shared" si="16"/>
        <v>100</v>
      </c>
      <c r="BA28" s="16" t="s">
        <v>55</v>
      </c>
      <c r="BB28" s="15">
        <f>(0.48*K28)/1000</f>
        <v>0.32163787199999994</v>
      </c>
      <c r="BC28" s="16">
        <f>(130*K28)/1000</f>
        <v>87.110257000000004</v>
      </c>
      <c r="BD28" s="25">
        <v>61</v>
      </c>
      <c r="BE28" s="16">
        <f t="shared" si="11"/>
        <v>792.20779220779218</v>
      </c>
      <c r="BF28" s="16">
        <f t="shared" si="12"/>
        <v>2.8988391098382853</v>
      </c>
      <c r="BG28" s="8">
        <f t="shared" si="13"/>
        <v>1.7853298350107671</v>
      </c>
      <c r="BH28" s="13" t="s">
        <v>352</v>
      </c>
      <c r="BI28" s="51"/>
      <c r="BJ28" s="48"/>
      <c r="BK28" s="49"/>
      <c r="BL28" s="49"/>
      <c r="BM28" s="50"/>
      <c r="BN28" s="51"/>
      <c r="BO28" s="52"/>
    </row>
    <row r="29" spans="1:67" s="14" customFormat="1" x14ac:dyDescent="0.3">
      <c r="A29" s="20">
        <v>27</v>
      </c>
      <c r="B29" s="2" t="s">
        <v>294</v>
      </c>
      <c r="C29" s="2">
        <v>2017</v>
      </c>
      <c r="D29" s="2" t="s">
        <v>203</v>
      </c>
      <c r="E29" s="22" t="s">
        <v>789</v>
      </c>
      <c r="F29" s="20" t="s">
        <v>29</v>
      </c>
      <c r="G29" s="2">
        <v>6</v>
      </c>
      <c r="H29" s="2" t="str">
        <f>'PFAS Properties'!$B$16</f>
        <v>8:2 FtSaB</v>
      </c>
      <c r="I29" s="2" t="str">
        <f>'PFAS Properties'!$C$16</f>
        <v>Betaine</v>
      </c>
      <c r="J29" s="2" t="str">
        <f>'PFAS Properties'!$D$16</f>
        <v>C17H19F17N2O4S</v>
      </c>
      <c r="K29" s="25">
        <f>'PFAS Properties'!$P$16</f>
        <v>670.07889999999998</v>
      </c>
      <c r="L29" s="2">
        <f>'PFAS Properties'!$X$16</f>
        <v>2.2999999999999998</v>
      </c>
      <c r="M29" s="2">
        <f>'PFAS Properties'!$Y$16</f>
        <v>11.1</v>
      </c>
      <c r="N29" s="33">
        <f t="shared" si="0"/>
        <v>1.2573409304470879E-3</v>
      </c>
      <c r="O29" s="33">
        <f t="shared" si="1"/>
        <v>0.99874140172862269</v>
      </c>
      <c r="P29" s="33">
        <f t="shared" si="2"/>
        <v>1.257340930447089E-6</v>
      </c>
      <c r="Q29" s="33">
        <v>0</v>
      </c>
      <c r="R29" s="33">
        <v>0</v>
      </c>
      <c r="S29" s="33">
        <v>0</v>
      </c>
      <c r="T29" s="8">
        <f t="shared" si="15"/>
        <v>1.0000000000000002</v>
      </c>
      <c r="U29" s="33">
        <f t="shared" si="4"/>
        <v>1.0000000000000002</v>
      </c>
      <c r="V29" s="33">
        <f t="shared" si="5"/>
        <v>-0.99874391641048355</v>
      </c>
      <c r="W29" s="33">
        <f t="shared" si="6"/>
        <v>670.0801560835896</v>
      </c>
      <c r="X29" s="33">
        <v>96485</v>
      </c>
      <c r="Y29" s="16">
        <f t="shared" si="7"/>
        <v>0.18086377284003349</v>
      </c>
      <c r="Z29" s="16">
        <v>17</v>
      </c>
      <c r="AA29" s="16">
        <v>17</v>
      </c>
      <c r="AB29" s="8">
        <f t="shared" si="8"/>
        <v>0.63157894736842102</v>
      </c>
      <c r="AC29" s="16">
        <f t="shared" si="9"/>
        <v>48.203278748219056</v>
      </c>
      <c r="AD29" s="20">
        <f>'PFAS Properties'!$W$16</f>
        <v>8</v>
      </c>
      <c r="AE29" s="8">
        <f>'PFAS Properties'!$S$16</f>
        <v>1.4999618655961902</v>
      </c>
      <c r="AF29" s="2">
        <f>'PFAS Properties'!$V$16</f>
        <v>6.2</v>
      </c>
      <c r="AG29" s="24">
        <v>5.2</v>
      </c>
      <c r="AH29" s="2" t="s">
        <v>831</v>
      </c>
      <c r="AI29" s="2" t="s">
        <v>661</v>
      </c>
      <c r="AJ29" s="2" t="s">
        <v>661</v>
      </c>
      <c r="AK29" s="2" t="s">
        <v>661</v>
      </c>
      <c r="AL29" s="2" t="s">
        <v>661</v>
      </c>
      <c r="AM29" s="2" t="s">
        <v>661</v>
      </c>
      <c r="AN29" s="2" t="s">
        <v>661</v>
      </c>
      <c r="AO29" s="2" t="s">
        <v>661</v>
      </c>
      <c r="AP29" s="16">
        <v>16</v>
      </c>
      <c r="AQ29" s="16" t="s">
        <v>712</v>
      </c>
      <c r="AR29" s="16">
        <v>3.6</v>
      </c>
      <c r="AS29" s="16">
        <v>73</v>
      </c>
      <c r="AT29" s="16">
        <v>24</v>
      </c>
      <c r="AU29" s="15" t="s">
        <v>661</v>
      </c>
      <c r="AV29" s="16">
        <f t="shared" si="10"/>
        <v>100.6</v>
      </c>
      <c r="AW29" s="18">
        <v>9.8000000000000004E-2</v>
      </c>
      <c r="AX29" s="13">
        <f t="shared" si="14"/>
        <v>9.7999999999999997E-4</v>
      </c>
      <c r="AY29" s="8" t="s">
        <v>295</v>
      </c>
      <c r="AZ29" s="16">
        <f t="shared" si="16"/>
        <v>100</v>
      </c>
      <c r="BA29" s="16" t="s">
        <v>55</v>
      </c>
      <c r="BB29" s="15">
        <f>(0.48*K29)/1000</f>
        <v>0.32163787199999994</v>
      </c>
      <c r="BC29" s="16">
        <f>(130*K29)/1000</f>
        <v>87.110257000000004</v>
      </c>
      <c r="BD29" s="25">
        <v>400</v>
      </c>
      <c r="BE29" s="16">
        <f t="shared" si="11"/>
        <v>408163.26530612248</v>
      </c>
      <c r="BF29" s="16">
        <f t="shared" si="12"/>
        <v>5.6108339156354674</v>
      </c>
      <c r="BG29" s="8">
        <f t="shared" si="13"/>
        <v>2.6020599913279625</v>
      </c>
      <c r="BH29" s="13" t="s">
        <v>352</v>
      </c>
      <c r="BI29" s="51"/>
      <c r="BJ29" s="48"/>
      <c r="BK29" s="49"/>
      <c r="BL29" s="51"/>
      <c r="BM29" s="50"/>
      <c r="BN29" s="51"/>
      <c r="BO29" s="52"/>
    </row>
    <row r="30" spans="1:67" s="14" customFormat="1" x14ac:dyDescent="0.3">
      <c r="A30" s="20">
        <v>28</v>
      </c>
      <c r="B30" s="2" t="s">
        <v>294</v>
      </c>
      <c r="C30" s="2">
        <v>2017</v>
      </c>
      <c r="D30" s="2" t="s">
        <v>203</v>
      </c>
      <c r="E30" s="22" t="s">
        <v>789</v>
      </c>
      <c r="F30" s="20" t="s">
        <v>29</v>
      </c>
      <c r="G30" s="2">
        <v>1</v>
      </c>
      <c r="H30" s="2" t="str">
        <f>'PFAS Properties'!$B$17</f>
        <v>10:2 FtSaB</v>
      </c>
      <c r="I30" s="2" t="str">
        <f>'PFAS Properties'!$C$17</f>
        <v>Betaine</v>
      </c>
      <c r="J30" s="2" t="str">
        <f>'PFAS Properties'!$D$17</f>
        <v>C19H19F21N2O4S</v>
      </c>
      <c r="K30" s="25">
        <f>'PFAS Properties'!$P$17</f>
        <v>770.07249999999999</v>
      </c>
      <c r="L30" s="2">
        <f>'PFAS Properties'!$X$17</f>
        <v>2.2999999999999998</v>
      </c>
      <c r="M30" s="2">
        <f>'PFAS Properties'!$Y$17</f>
        <v>11.1</v>
      </c>
      <c r="N30" s="33">
        <f t="shared" si="0"/>
        <v>1.5823837009219599E-3</v>
      </c>
      <c r="O30" s="33">
        <f t="shared" si="1"/>
        <v>0.99841661788246017</v>
      </c>
      <c r="P30" s="33">
        <f t="shared" si="2"/>
        <v>9.9841661788246018E-7</v>
      </c>
      <c r="Q30" s="33">
        <v>0</v>
      </c>
      <c r="R30" s="33">
        <v>0</v>
      </c>
      <c r="S30" s="33">
        <v>0</v>
      </c>
      <c r="T30" s="8">
        <f t="shared" si="15"/>
        <v>1</v>
      </c>
      <c r="U30" s="33">
        <f t="shared" si="4"/>
        <v>1</v>
      </c>
      <c r="V30" s="33">
        <f t="shared" si="5"/>
        <v>-0.99841861471569593</v>
      </c>
      <c r="W30" s="33">
        <f t="shared" si="6"/>
        <v>770.07408138528433</v>
      </c>
      <c r="X30" s="33">
        <v>96485</v>
      </c>
      <c r="Y30" s="16">
        <f t="shared" si="7"/>
        <v>0.1981367284581278</v>
      </c>
      <c r="Z30" s="16">
        <v>19</v>
      </c>
      <c r="AA30" s="16">
        <v>21</v>
      </c>
      <c r="AB30" s="8">
        <f t="shared" si="8"/>
        <v>0.5714285714285714</v>
      </c>
      <c r="AC30" s="16">
        <f t="shared" si="9"/>
        <v>51.813303292871772</v>
      </c>
      <c r="AD30" s="20">
        <f>'PFAS Properties'!$W$17</f>
        <v>10</v>
      </c>
      <c r="AE30" s="8">
        <f>'PFAS Properties'!$S$17</f>
        <v>-0.30980391997148632</v>
      </c>
      <c r="AF30" s="2">
        <f>'PFAS Properties'!$V$17</f>
        <v>7.5</v>
      </c>
      <c r="AG30" s="24">
        <v>5.0999999999999996</v>
      </c>
      <c r="AH30" s="2" t="s">
        <v>831</v>
      </c>
      <c r="AI30" s="2" t="s">
        <v>661</v>
      </c>
      <c r="AJ30" s="2" t="s">
        <v>661</v>
      </c>
      <c r="AK30" s="2" t="s">
        <v>661</v>
      </c>
      <c r="AL30" s="2" t="s">
        <v>661</v>
      </c>
      <c r="AM30" s="2" t="s">
        <v>661</v>
      </c>
      <c r="AN30" s="2" t="s">
        <v>661</v>
      </c>
      <c r="AO30" s="2" t="s">
        <v>661</v>
      </c>
      <c r="AP30" s="16">
        <v>14</v>
      </c>
      <c r="AQ30" s="16" t="s">
        <v>712</v>
      </c>
      <c r="AR30" s="16">
        <v>6.3</v>
      </c>
      <c r="AS30" s="16">
        <v>71</v>
      </c>
      <c r="AT30" s="16">
        <v>22</v>
      </c>
      <c r="AU30" s="2" t="s">
        <v>661</v>
      </c>
      <c r="AV30" s="16">
        <f t="shared" si="10"/>
        <v>99.3</v>
      </c>
      <c r="AW30" s="18">
        <v>1.5</v>
      </c>
      <c r="AX30" s="13">
        <f t="shared" si="14"/>
        <v>1.4999999999999999E-2</v>
      </c>
      <c r="AY30" s="8" t="s">
        <v>295</v>
      </c>
      <c r="AZ30" s="16">
        <f t="shared" si="16"/>
        <v>100</v>
      </c>
      <c r="BA30" s="16" t="s">
        <v>55</v>
      </c>
      <c r="BB30" s="15">
        <f>(0.19*K30)/1000</f>
        <v>0.14631377499999998</v>
      </c>
      <c r="BC30" s="16">
        <f>(26000*K30)/1000</f>
        <v>20021.884999999998</v>
      </c>
      <c r="BD30" s="25">
        <v>240</v>
      </c>
      <c r="BE30" s="16">
        <f t="shared" si="11"/>
        <v>16000</v>
      </c>
      <c r="BF30" s="16">
        <f t="shared" si="12"/>
        <v>4.204119982655925</v>
      </c>
      <c r="BG30" s="8">
        <f t="shared" si="13"/>
        <v>2.3802112417116059</v>
      </c>
      <c r="BH30" s="13" t="s">
        <v>353</v>
      </c>
      <c r="BI30" s="51"/>
      <c r="BJ30" s="48"/>
      <c r="BK30" s="49"/>
      <c r="BL30" s="49"/>
      <c r="BM30" s="50"/>
      <c r="BN30" s="51"/>
      <c r="BO30" s="52"/>
    </row>
    <row r="31" spans="1:67" s="14" customFormat="1" x14ac:dyDescent="0.3">
      <c r="A31" s="20">
        <v>29</v>
      </c>
      <c r="B31" s="2" t="s">
        <v>294</v>
      </c>
      <c r="C31" s="2">
        <v>2017</v>
      </c>
      <c r="D31" s="2" t="s">
        <v>203</v>
      </c>
      <c r="E31" s="22" t="s">
        <v>789</v>
      </c>
      <c r="F31" s="20" t="s">
        <v>29</v>
      </c>
      <c r="G31" s="2">
        <v>2</v>
      </c>
      <c r="H31" s="2" t="str">
        <f>'PFAS Properties'!$B$17</f>
        <v>10:2 FtSaB</v>
      </c>
      <c r="I31" s="2" t="str">
        <f>'PFAS Properties'!$C$17</f>
        <v>Betaine</v>
      </c>
      <c r="J31" s="2" t="str">
        <f>'PFAS Properties'!$D$17</f>
        <v>C19H19F21N2O4S</v>
      </c>
      <c r="K31" s="25">
        <f>'PFAS Properties'!$P$17</f>
        <v>770.07249999999999</v>
      </c>
      <c r="L31" s="2">
        <f>'PFAS Properties'!$X$17</f>
        <v>2.2999999999999998</v>
      </c>
      <c r="M31" s="2">
        <f>'PFAS Properties'!$Y$17</f>
        <v>11.1</v>
      </c>
      <c r="N31" s="33">
        <f t="shared" si="0"/>
        <v>6.3055790544878248E-4</v>
      </c>
      <c r="O31" s="33">
        <f t="shared" si="1"/>
        <v>0.99936693179831504</v>
      </c>
      <c r="P31" s="33">
        <f t="shared" si="2"/>
        <v>2.5102962360835482E-6</v>
      </c>
      <c r="Q31" s="33">
        <v>0</v>
      </c>
      <c r="R31" s="33">
        <v>0</v>
      </c>
      <c r="S31" s="33">
        <v>0</v>
      </c>
      <c r="T31" s="8">
        <f>SUM(N31:S31)</f>
        <v>0.99999999999999989</v>
      </c>
      <c r="U31" s="33">
        <f t="shared" si="4"/>
        <v>0.99999999999999989</v>
      </c>
      <c r="V31" s="33">
        <f t="shared" si="5"/>
        <v>-0.99937195239078724</v>
      </c>
      <c r="W31" s="33">
        <f t="shared" si="6"/>
        <v>770.07312804760909</v>
      </c>
      <c r="X31" s="33">
        <v>96485</v>
      </c>
      <c r="Y31" s="16">
        <f t="shared" si="7"/>
        <v>7.8690154698055778E-2</v>
      </c>
      <c r="Z31" s="16">
        <v>19</v>
      </c>
      <c r="AA31" s="16">
        <v>21</v>
      </c>
      <c r="AB31" s="8">
        <f t="shared" si="8"/>
        <v>0.5714285714285714</v>
      </c>
      <c r="AC31" s="16">
        <f t="shared" si="9"/>
        <v>51.813303292871772</v>
      </c>
      <c r="AD31" s="20">
        <f>'PFAS Properties'!$W$17</f>
        <v>10</v>
      </c>
      <c r="AE31" s="8">
        <f>'PFAS Properties'!$S$17</f>
        <v>-0.30980391997148632</v>
      </c>
      <c r="AF31" s="2">
        <f>'PFAS Properties'!$V$17</f>
        <v>7.5</v>
      </c>
      <c r="AG31" s="24">
        <v>5.5</v>
      </c>
      <c r="AH31" s="2" t="s">
        <v>831</v>
      </c>
      <c r="AI31" s="2" t="s">
        <v>661</v>
      </c>
      <c r="AJ31" s="2" t="s">
        <v>661</v>
      </c>
      <c r="AK31" s="2" t="s">
        <v>661</v>
      </c>
      <c r="AL31" s="2" t="s">
        <v>661</v>
      </c>
      <c r="AM31" s="2" t="s">
        <v>661</v>
      </c>
      <c r="AN31" s="2" t="s">
        <v>661</v>
      </c>
      <c r="AO31" s="2" t="s">
        <v>661</v>
      </c>
      <c r="AP31" s="16">
        <v>22</v>
      </c>
      <c r="AQ31" s="16" t="s">
        <v>712</v>
      </c>
      <c r="AR31" s="16">
        <v>10</v>
      </c>
      <c r="AS31" s="16">
        <v>64</v>
      </c>
      <c r="AT31" s="16">
        <v>26</v>
      </c>
      <c r="AU31" s="2" t="s">
        <v>661</v>
      </c>
      <c r="AV31" s="16">
        <f t="shared" si="10"/>
        <v>100</v>
      </c>
      <c r="AW31" s="18">
        <v>0.12</v>
      </c>
      <c r="AX31" s="13">
        <f t="shared" si="14"/>
        <v>1.1999999999999999E-3</v>
      </c>
      <c r="AY31" s="8" t="s">
        <v>295</v>
      </c>
      <c r="AZ31" s="16">
        <f t="shared" si="16"/>
        <v>100</v>
      </c>
      <c r="BA31" s="16" t="s">
        <v>55</v>
      </c>
      <c r="BB31" s="15">
        <f>(0.19*K31)/1000</f>
        <v>0.14631377499999998</v>
      </c>
      <c r="BC31" s="16">
        <f>(48*K31)/1000</f>
        <v>36.963479999999997</v>
      </c>
      <c r="BD31" s="25">
        <v>93</v>
      </c>
      <c r="BE31" s="16">
        <f t="shared" si="11"/>
        <v>77500</v>
      </c>
      <c r="BF31" s="16">
        <f t="shared" si="12"/>
        <v>4.8893017025063106</v>
      </c>
      <c r="BG31" s="8">
        <f t="shared" si="13"/>
        <v>1.968482948553935</v>
      </c>
      <c r="BH31" s="13" t="s">
        <v>353</v>
      </c>
      <c r="BI31" s="51"/>
      <c r="BJ31" s="48"/>
      <c r="BK31" s="49"/>
      <c r="BL31" s="51"/>
      <c r="BM31" s="50"/>
      <c r="BN31" s="51"/>
      <c r="BO31" s="52"/>
    </row>
    <row r="32" spans="1:67" s="14" customFormat="1" x14ac:dyDescent="0.3">
      <c r="A32" s="20">
        <v>31</v>
      </c>
      <c r="B32" s="2" t="s">
        <v>775</v>
      </c>
      <c r="C32" s="2">
        <v>2021</v>
      </c>
      <c r="D32" s="2" t="s">
        <v>203</v>
      </c>
      <c r="E32" s="22" t="s">
        <v>786</v>
      </c>
      <c r="F32" s="20" t="s">
        <v>29</v>
      </c>
      <c r="G32" s="2" t="s">
        <v>116</v>
      </c>
      <c r="H32" s="2" t="str">
        <f>'PFAS Properties'!$B$19</f>
        <v>PFOSB</v>
      </c>
      <c r="I32" s="2" t="str">
        <f>'PFAS Properties'!$C$19</f>
        <v>Betaine</v>
      </c>
      <c r="J32" s="2" t="str">
        <f>'PFAS Properties'!$D$19</f>
        <v>C15H15F17N2O4S</v>
      </c>
      <c r="K32" s="25">
        <f>'PFAS Properties'!$P$19</f>
        <v>642.04769999999996</v>
      </c>
      <c r="L32" s="2">
        <f>'PFAS Properties'!$X$19</f>
        <v>2.2999999999999998</v>
      </c>
      <c r="M32" s="2">
        <f>'PFAS Properties'!$Y$19</f>
        <v>6.8</v>
      </c>
      <c r="N32" s="33">
        <f t="shared" si="0"/>
        <v>8.4901972195357403E-7</v>
      </c>
      <c r="O32" s="33">
        <f>1/(1+(10^(L32-AG32))+(10^(AG32-M32)))</f>
        <v>0.15097942902670158</v>
      </c>
      <c r="P32" s="33">
        <f>1/(1+(10^(M32-AG32))+(10^((L32+M32)-(2*AG32))))</f>
        <v>0.84901972195357645</v>
      </c>
      <c r="Q32" s="33">
        <v>0</v>
      </c>
      <c r="R32" s="33">
        <v>0</v>
      </c>
      <c r="S32" s="33">
        <v>0</v>
      </c>
      <c r="T32" s="8">
        <f t="shared" si="15"/>
        <v>1</v>
      </c>
      <c r="U32" s="33">
        <f t="shared" si="4"/>
        <v>1</v>
      </c>
      <c r="V32" s="33">
        <f t="shared" si="5"/>
        <v>-1.8490188729338546</v>
      </c>
      <c r="W32" s="33">
        <f t="shared" si="6"/>
        <v>641.19868112706615</v>
      </c>
      <c r="X32" s="33">
        <v>96485</v>
      </c>
      <c r="Y32" s="16">
        <f t="shared" si="7"/>
        <v>-127.75694705271761</v>
      </c>
      <c r="Z32" s="16">
        <v>15</v>
      </c>
      <c r="AA32" s="16">
        <v>17</v>
      </c>
      <c r="AB32" s="8">
        <f t="shared" si="8"/>
        <v>0.55727554179566563</v>
      </c>
      <c r="AC32" s="16">
        <f t="shared" si="9"/>
        <v>50.307788658070109</v>
      </c>
      <c r="AD32" s="20">
        <f>'PFAS Properties'!$W$19</f>
        <v>6</v>
      </c>
      <c r="AE32" s="8">
        <f>'PFAS Properties'!$S$19</f>
        <v>1.2615007731982801</v>
      </c>
      <c r="AF32" s="2">
        <f>'PFAS Properties'!$V$19</f>
        <v>4.5999999999999996</v>
      </c>
      <c r="AG32" s="24">
        <v>7.55</v>
      </c>
      <c r="AH32" s="15" t="s">
        <v>830</v>
      </c>
      <c r="AI32" s="2" t="s">
        <v>661</v>
      </c>
      <c r="AJ32" s="2" t="s">
        <v>661</v>
      </c>
      <c r="AK32" s="2" t="s">
        <v>661</v>
      </c>
      <c r="AL32" s="2" t="s">
        <v>661</v>
      </c>
      <c r="AM32" s="2" t="s">
        <v>661</v>
      </c>
      <c r="AN32" s="2" t="s">
        <v>661</v>
      </c>
      <c r="AO32" s="2" t="s">
        <v>661</v>
      </c>
      <c r="AP32" s="15">
        <v>2.52</v>
      </c>
      <c r="AQ32" s="16" t="s">
        <v>689</v>
      </c>
      <c r="AR32" s="16">
        <v>45.3</v>
      </c>
      <c r="AS32" s="16">
        <v>30</v>
      </c>
      <c r="AT32" s="16">
        <v>24.7</v>
      </c>
      <c r="AU32" s="16" t="s">
        <v>664</v>
      </c>
      <c r="AV32" s="16">
        <f t="shared" si="10"/>
        <v>100</v>
      </c>
      <c r="AW32" s="18">
        <v>3.4</v>
      </c>
      <c r="AX32" s="13">
        <f t="shared" si="14"/>
        <v>3.4000000000000002E-2</v>
      </c>
      <c r="AY32" s="8" t="s">
        <v>342</v>
      </c>
      <c r="AZ32" s="16">
        <f t="shared" si="16"/>
        <v>100</v>
      </c>
      <c r="BA32" s="16" t="s">
        <v>55</v>
      </c>
      <c r="BB32" s="15">
        <f>5*K32/1000</f>
        <v>3.2102385</v>
      </c>
      <c r="BC32" s="16">
        <f>5000*K32/1000</f>
        <v>3210.2384999999999</v>
      </c>
      <c r="BD32" s="18">
        <f>17.5*AX32</f>
        <v>0.59500000000000008</v>
      </c>
      <c r="BE32" s="15">
        <f t="shared" si="11"/>
        <v>17.5</v>
      </c>
      <c r="BF32" s="15">
        <f t="shared" si="12"/>
        <v>1.2430380486862944</v>
      </c>
      <c r="BG32" s="8">
        <f t="shared" si="13"/>
        <v>-0.22548303427145036</v>
      </c>
      <c r="BH32" s="13" t="s">
        <v>343</v>
      </c>
      <c r="BI32" s="51"/>
      <c r="BJ32" s="48"/>
      <c r="BK32" s="47"/>
      <c r="BL32" s="51"/>
      <c r="BM32" s="50"/>
      <c r="BN32" s="47"/>
      <c r="BO32" s="52"/>
    </row>
    <row r="33" spans="1:67" s="14" customFormat="1" x14ac:dyDescent="0.3">
      <c r="A33" s="20">
        <v>32</v>
      </c>
      <c r="B33" s="2" t="s">
        <v>775</v>
      </c>
      <c r="C33" s="2">
        <v>2021</v>
      </c>
      <c r="D33" s="2" t="s">
        <v>203</v>
      </c>
      <c r="E33" s="10" t="s">
        <v>786</v>
      </c>
      <c r="F33" s="20" t="s">
        <v>29</v>
      </c>
      <c r="G33" s="2" t="s">
        <v>117</v>
      </c>
      <c r="H33" s="2" t="str">
        <f>'PFAS Properties'!$B$19</f>
        <v>PFOSB</v>
      </c>
      <c r="I33" s="2" t="str">
        <f>'PFAS Properties'!$C$19</f>
        <v>Betaine</v>
      </c>
      <c r="J33" s="2" t="str">
        <f>'PFAS Properties'!$D$19</f>
        <v>C15H15F17N2O4S</v>
      </c>
      <c r="K33" s="25">
        <f>'PFAS Properties'!$P$19</f>
        <v>642.04769999999996</v>
      </c>
      <c r="L33" s="2">
        <f>'PFAS Properties'!$X$19</f>
        <v>2.2999999999999998</v>
      </c>
      <c r="M33" s="2">
        <f>'PFAS Properties'!$Y$19</f>
        <v>6.8</v>
      </c>
      <c r="N33" s="33">
        <f t="shared" si="0"/>
        <v>4.607065072794039E-8</v>
      </c>
      <c r="O33" s="33">
        <f>1/(1+(10^(L33-AG33))+(10^(AG33-M33)))</f>
        <v>3.7447630811207798E-2</v>
      </c>
      <c r="P33" s="33">
        <f>1/(1+(10^(M33-AG33))+(10^((L33+M33)-(2*AG33))))</f>
        <v>0.96255232311814132</v>
      </c>
      <c r="Q33" s="33">
        <v>0</v>
      </c>
      <c r="R33" s="33">
        <v>0</v>
      </c>
      <c r="S33" s="33">
        <v>0</v>
      </c>
      <c r="T33" s="8">
        <f t="shared" si="15"/>
        <v>0.99999999999999989</v>
      </c>
      <c r="U33" s="33">
        <f t="shared" si="4"/>
        <v>0.99999999999999989</v>
      </c>
      <c r="V33" s="33">
        <f t="shared" si="5"/>
        <v>-1.9625522770474904</v>
      </c>
      <c r="W33" s="33">
        <f t="shared" si="6"/>
        <v>641.08514772295234</v>
      </c>
      <c r="X33" s="33">
        <v>96485</v>
      </c>
      <c r="Y33" s="16">
        <f t="shared" si="7"/>
        <v>-144.86664802763778</v>
      </c>
      <c r="Z33" s="16">
        <v>15</v>
      </c>
      <c r="AA33" s="16">
        <v>17</v>
      </c>
      <c r="AB33" s="8">
        <f t="shared" si="8"/>
        <v>0.55727554179566563</v>
      </c>
      <c r="AC33" s="16">
        <f t="shared" si="9"/>
        <v>50.307788658070109</v>
      </c>
      <c r="AD33" s="20">
        <f>'PFAS Properties'!$W$19</f>
        <v>6</v>
      </c>
      <c r="AE33" s="8">
        <f>'PFAS Properties'!$S$19</f>
        <v>1.2615007731982801</v>
      </c>
      <c r="AF33" s="2">
        <f>'PFAS Properties'!$V$19</f>
        <v>4.5999999999999996</v>
      </c>
      <c r="AG33" s="24">
        <v>8.2100000000000009</v>
      </c>
      <c r="AH33" s="15" t="s">
        <v>830</v>
      </c>
      <c r="AI33" s="2" t="s">
        <v>661</v>
      </c>
      <c r="AJ33" s="2" t="s">
        <v>661</v>
      </c>
      <c r="AK33" s="2" t="s">
        <v>661</v>
      </c>
      <c r="AL33" s="2" t="s">
        <v>661</v>
      </c>
      <c r="AM33" s="2" t="s">
        <v>661</v>
      </c>
      <c r="AN33" s="2" t="s">
        <v>661</v>
      </c>
      <c r="AO33" s="2" t="s">
        <v>661</v>
      </c>
      <c r="AP33" s="15">
        <v>11.4</v>
      </c>
      <c r="AQ33" s="16" t="s">
        <v>689</v>
      </c>
      <c r="AR33" s="16">
        <v>28.7</v>
      </c>
      <c r="AS33" s="16">
        <v>40</v>
      </c>
      <c r="AT33" s="16">
        <v>31.3</v>
      </c>
      <c r="AU33" s="16" t="s">
        <v>664</v>
      </c>
      <c r="AV33" s="16">
        <f t="shared" si="10"/>
        <v>100</v>
      </c>
      <c r="AW33" s="18">
        <v>1.7</v>
      </c>
      <c r="AX33" s="13">
        <f t="shared" si="14"/>
        <v>1.7000000000000001E-2</v>
      </c>
      <c r="AY33" s="8" t="s">
        <v>342</v>
      </c>
      <c r="AZ33" s="16">
        <f t="shared" si="16"/>
        <v>100</v>
      </c>
      <c r="BA33" s="16" t="s">
        <v>55</v>
      </c>
      <c r="BB33" s="15">
        <f>5*K33/1000</f>
        <v>3.2102385</v>
      </c>
      <c r="BC33" s="16">
        <f>5000*K33/1000</f>
        <v>3210.2384999999999</v>
      </c>
      <c r="BD33" s="24">
        <f>225.9*AX33</f>
        <v>3.8403000000000005</v>
      </c>
      <c r="BE33" s="15">
        <f t="shared" si="11"/>
        <v>225.9</v>
      </c>
      <c r="BF33" s="15">
        <f t="shared" si="12"/>
        <v>2.3539162309203632</v>
      </c>
      <c r="BG33" s="8">
        <f t="shared" si="13"/>
        <v>0.58436515229863695</v>
      </c>
      <c r="BH33" s="13" t="s">
        <v>343</v>
      </c>
      <c r="BI33" s="51"/>
      <c r="BJ33" s="48"/>
      <c r="BK33" s="47"/>
      <c r="BL33" s="51"/>
      <c r="BM33" s="50"/>
      <c r="BN33" s="47"/>
      <c r="BO33" s="52"/>
    </row>
    <row r="34" spans="1:67" s="14" customFormat="1" x14ac:dyDescent="0.3">
      <c r="A34" s="20">
        <v>33</v>
      </c>
      <c r="B34" s="2" t="s">
        <v>775</v>
      </c>
      <c r="C34" s="2">
        <v>2021</v>
      </c>
      <c r="D34" s="2" t="s">
        <v>203</v>
      </c>
      <c r="E34" s="10" t="s">
        <v>786</v>
      </c>
      <c r="F34" s="20" t="s">
        <v>29</v>
      </c>
      <c r="G34" s="2" t="s">
        <v>118</v>
      </c>
      <c r="H34" s="2" t="str">
        <f>'PFAS Properties'!$B$19</f>
        <v>PFOSB</v>
      </c>
      <c r="I34" s="2" t="str">
        <f>'PFAS Properties'!$C$19</f>
        <v>Betaine</v>
      </c>
      <c r="J34" s="2" t="str">
        <f>'PFAS Properties'!$D$19</f>
        <v>C15H15F17N2O4S</v>
      </c>
      <c r="K34" s="25">
        <f>'PFAS Properties'!$P$19</f>
        <v>642.04769999999996</v>
      </c>
      <c r="L34" s="2">
        <f>'PFAS Properties'!$X$19</f>
        <v>2.2999999999999998</v>
      </c>
      <c r="M34" s="2">
        <f>'PFAS Properties'!$Y$19</f>
        <v>6.8</v>
      </c>
      <c r="N34" s="33">
        <f t="shared" si="0"/>
        <v>3.3799023800085573E-5</v>
      </c>
      <c r="O34" s="33">
        <f>1/(1+(10^(L34-AG34))+(10^(AG34-M34)))</f>
        <v>0.62936727449901508</v>
      </c>
      <c r="P34" s="33">
        <f>1/(1+(10^(M34-AG34))+(10^((L34+M34)-(2*AG34))))</f>
        <v>0.37059892647718473</v>
      </c>
      <c r="Q34" s="33">
        <v>0</v>
      </c>
      <c r="R34" s="33">
        <v>0</v>
      </c>
      <c r="S34" s="33">
        <v>0</v>
      </c>
      <c r="T34" s="8">
        <f t="shared" si="15"/>
        <v>0.99999999999999989</v>
      </c>
      <c r="U34" s="33">
        <f t="shared" si="4"/>
        <v>0.99999999999999989</v>
      </c>
      <c r="V34" s="33">
        <f t="shared" si="5"/>
        <v>-1.3705651274533845</v>
      </c>
      <c r="W34" s="33">
        <f t="shared" si="6"/>
        <v>641.6771348725465</v>
      </c>
      <c r="X34" s="33">
        <v>96485</v>
      </c>
      <c r="Y34" s="16">
        <f t="shared" si="7"/>
        <v>-55.719573566294322</v>
      </c>
      <c r="Z34" s="16">
        <v>15</v>
      </c>
      <c r="AA34" s="16">
        <v>17</v>
      </c>
      <c r="AB34" s="8">
        <f t="shared" si="8"/>
        <v>0.55727554179566563</v>
      </c>
      <c r="AC34" s="16">
        <f t="shared" si="9"/>
        <v>50.307788658070109</v>
      </c>
      <c r="AD34" s="20">
        <f>'PFAS Properties'!$W$19</f>
        <v>6</v>
      </c>
      <c r="AE34" s="8">
        <f>'PFAS Properties'!$S$19</f>
        <v>1.2615007731982801</v>
      </c>
      <c r="AF34" s="2">
        <f>'PFAS Properties'!$V$19</f>
        <v>4.5999999999999996</v>
      </c>
      <c r="AG34" s="24">
        <v>6.57</v>
      </c>
      <c r="AH34" s="15" t="s">
        <v>830</v>
      </c>
      <c r="AI34" s="2" t="s">
        <v>661</v>
      </c>
      <c r="AJ34" s="2" t="s">
        <v>661</v>
      </c>
      <c r="AK34" s="2" t="s">
        <v>661</v>
      </c>
      <c r="AL34" s="2" t="s">
        <v>661</v>
      </c>
      <c r="AM34" s="2" t="s">
        <v>661</v>
      </c>
      <c r="AN34" s="2" t="s">
        <v>661</v>
      </c>
      <c r="AO34" s="2" t="s">
        <v>661</v>
      </c>
      <c r="AP34" s="15">
        <v>9.93</v>
      </c>
      <c r="AQ34" s="16" t="s">
        <v>689</v>
      </c>
      <c r="AR34" s="16">
        <v>20</v>
      </c>
      <c r="AS34" s="16">
        <v>50</v>
      </c>
      <c r="AT34" s="16">
        <v>30</v>
      </c>
      <c r="AU34" s="16" t="s">
        <v>664</v>
      </c>
      <c r="AV34" s="16">
        <f t="shared" si="10"/>
        <v>100</v>
      </c>
      <c r="AW34" s="18">
        <v>2.9</v>
      </c>
      <c r="AX34" s="13">
        <f t="shared" si="14"/>
        <v>2.8999999999999998E-2</v>
      </c>
      <c r="AY34" s="8" t="s">
        <v>342</v>
      </c>
      <c r="AZ34" s="16">
        <f t="shared" si="16"/>
        <v>100</v>
      </c>
      <c r="BA34" s="16" t="s">
        <v>55</v>
      </c>
      <c r="BB34" s="15">
        <f>5*K34/1000</f>
        <v>3.2102385</v>
      </c>
      <c r="BC34" s="16">
        <f>5000*K34/1000</f>
        <v>3210.2384999999999</v>
      </c>
      <c r="BD34" s="25">
        <f>2972.6*AX34</f>
        <v>86.205399999999997</v>
      </c>
      <c r="BE34" s="15">
        <f t="shared" si="11"/>
        <v>2972.6</v>
      </c>
      <c r="BF34" s="15">
        <f t="shared" si="12"/>
        <v>3.4731364734564774</v>
      </c>
      <c r="BG34" s="8">
        <f t="shared" si="13"/>
        <v>1.9355344713554334</v>
      </c>
      <c r="BH34" s="13" t="s">
        <v>343</v>
      </c>
      <c r="BI34" s="49"/>
      <c r="BJ34" s="48"/>
      <c r="BK34" s="47"/>
      <c r="BL34" s="49"/>
      <c r="BM34" s="50"/>
      <c r="BN34" s="47"/>
      <c r="BO34" s="52"/>
    </row>
    <row r="35" spans="1:67" s="14" customFormat="1" x14ac:dyDescent="0.3">
      <c r="A35" s="20">
        <v>34</v>
      </c>
      <c r="B35" s="2" t="s">
        <v>775</v>
      </c>
      <c r="C35" s="2">
        <v>2021</v>
      </c>
      <c r="D35" s="2" t="s">
        <v>203</v>
      </c>
      <c r="E35" s="10" t="s">
        <v>786</v>
      </c>
      <c r="F35" s="20" t="s">
        <v>29</v>
      </c>
      <c r="G35" s="2" t="s">
        <v>119</v>
      </c>
      <c r="H35" s="2" t="str">
        <f>'PFAS Properties'!$B$19</f>
        <v>PFOSB</v>
      </c>
      <c r="I35" s="2" t="str">
        <f>'PFAS Properties'!$C$19</f>
        <v>Betaine</v>
      </c>
      <c r="J35" s="2" t="str">
        <f>'PFAS Properties'!$D$19</f>
        <v>C15H15F17N2O4S</v>
      </c>
      <c r="K35" s="25">
        <f>'PFAS Properties'!$P$19</f>
        <v>642.04769999999996</v>
      </c>
      <c r="L35" s="2">
        <f>'PFAS Properties'!$X$19</f>
        <v>2.2999999999999998</v>
      </c>
      <c r="M35" s="2">
        <f>'PFAS Properties'!$Y$19</f>
        <v>6.8</v>
      </c>
      <c r="N35" s="33">
        <f t="shared" si="0"/>
        <v>6.2389396280713178E-3</v>
      </c>
      <c r="O35" s="33">
        <f>1/(1+(10^(L35-AG35))+(10^(AG35-M35)))</f>
        <v>0.98880529447061138</v>
      </c>
      <c r="P35" s="33">
        <f>1/(1+(10^(M35-AG35))+(10^((L35+M35)-(2*AG35))))</f>
        <v>4.9557659013172595E-3</v>
      </c>
      <c r="Q35" s="33">
        <v>0</v>
      </c>
      <c r="R35" s="33">
        <v>0</v>
      </c>
      <c r="S35" s="33">
        <v>0</v>
      </c>
      <c r="T35" s="8">
        <f t="shared" si="15"/>
        <v>1</v>
      </c>
      <c r="U35" s="33">
        <f t="shared" si="4"/>
        <v>1</v>
      </c>
      <c r="V35" s="33">
        <f t="shared" si="5"/>
        <v>-0.99871682627324587</v>
      </c>
      <c r="W35" s="33">
        <f t="shared" si="6"/>
        <v>642.04898317372658</v>
      </c>
      <c r="X35" s="33">
        <v>96485</v>
      </c>
      <c r="Y35" s="16">
        <f t="shared" si="7"/>
        <v>0.1928311083274033</v>
      </c>
      <c r="Z35" s="16">
        <v>15</v>
      </c>
      <c r="AA35" s="16">
        <v>17</v>
      </c>
      <c r="AB35" s="8">
        <f t="shared" si="8"/>
        <v>0.55727554179566563</v>
      </c>
      <c r="AC35" s="16">
        <f t="shared" si="9"/>
        <v>50.307788658070109</v>
      </c>
      <c r="AD35" s="20">
        <f>'PFAS Properties'!$W$19</f>
        <v>6</v>
      </c>
      <c r="AE35" s="8">
        <f>'PFAS Properties'!$S$19</f>
        <v>1.2615007731982801</v>
      </c>
      <c r="AF35" s="2">
        <f>'PFAS Properties'!$V$19</f>
        <v>4.5999999999999996</v>
      </c>
      <c r="AG35" s="24">
        <v>4.5</v>
      </c>
      <c r="AH35" s="15" t="s">
        <v>830</v>
      </c>
      <c r="AI35" s="2" t="s">
        <v>661</v>
      </c>
      <c r="AJ35" s="2" t="s">
        <v>661</v>
      </c>
      <c r="AK35" s="2" t="s">
        <v>661</v>
      </c>
      <c r="AL35" s="2" t="s">
        <v>661</v>
      </c>
      <c r="AM35" s="2" t="s">
        <v>661</v>
      </c>
      <c r="AN35" s="2" t="s">
        <v>661</v>
      </c>
      <c r="AO35" s="2" t="s">
        <v>661</v>
      </c>
      <c r="AP35" s="71">
        <v>11.497016666666671</v>
      </c>
      <c r="AQ35" s="70" t="s">
        <v>752</v>
      </c>
      <c r="AR35" s="16">
        <v>51.2</v>
      </c>
      <c r="AS35" s="16">
        <v>36.200000000000003</v>
      </c>
      <c r="AT35" s="16">
        <v>12.6</v>
      </c>
      <c r="AU35" s="16" t="s">
        <v>664</v>
      </c>
      <c r="AV35" s="16">
        <f t="shared" si="10"/>
        <v>100</v>
      </c>
      <c r="AW35" s="18">
        <v>7.3</v>
      </c>
      <c r="AX35" s="13">
        <f t="shared" si="14"/>
        <v>7.2999999999999995E-2</v>
      </c>
      <c r="AY35" s="8" t="s">
        <v>342</v>
      </c>
      <c r="AZ35" s="16">
        <f t="shared" si="16"/>
        <v>100</v>
      </c>
      <c r="BA35" s="16" t="s">
        <v>55</v>
      </c>
      <c r="BB35" s="15">
        <f>5*K35/1000</f>
        <v>3.2102385</v>
      </c>
      <c r="BC35" s="16">
        <f>5000*K35/1000</f>
        <v>3210.2384999999999</v>
      </c>
      <c r="BD35" s="25">
        <f>1069.3*AX35</f>
        <v>78.058899999999994</v>
      </c>
      <c r="BE35" s="15">
        <f t="shared" si="11"/>
        <v>1069.3</v>
      </c>
      <c r="BF35" s="15">
        <f t="shared" si="12"/>
        <v>3.0290995668235428</v>
      </c>
      <c r="BG35" s="8">
        <f t="shared" si="13"/>
        <v>1.8924224269439986</v>
      </c>
      <c r="BH35" s="13" t="s">
        <v>343</v>
      </c>
      <c r="BI35" s="49"/>
      <c r="BJ35" s="48"/>
      <c r="BK35" s="47"/>
      <c r="BL35" s="49"/>
      <c r="BM35" s="50"/>
      <c r="BN35" s="47"/>
      <c r="BO35" s="52"/>
    </row>
    <row r="36" spans="1:67" s="14" customFormat="1" x14ac:dyDescent="0.3">
      <c r="A36" s="20">
        <v>35</v>
      </c>
      <c r="B36" s="2" t="s">
        <v>775</v>
      </c>
      <c r="C36" s="2">
        <v>2021</v>
      </c>
      <c r="D36" s="2" t="s">
        <v>203</v>
      </c>
      <c r="E36" s="10" t="s">
        <v>786</v>
      </c>
      <c r="F36" s="20" t="s">
        <v>29</v>
      </c>
      <c r="G36" s="2" t="s">
        <v>120</v>
      </c>
      <c r="H36" s="2" t="str">
        <f>'PFAS Properties'!$B$19</f>
        <v>PFOSB</v>
      </c>
      <c r="I36" s="2" t="str">
        <f>'PFAS Properties'!$C$19</f>
        <v>Betaine</v>
      </c>
      <c r="J36" s="2" t="str">
        <f>'PFAS Properties'!$D$19</f>
        <v>C15H15F17N2O4S</v>
      </c>
      <c r="K36" s="25">
        <f>'PFAS Properties'!$P$19</f>
        <v>642.04769999999996</v>
      </c>
      <c r="L36" s="2">
        <f>'PFAS Properties'!$X$19</f>
        <v>2.2999999999999998</v>
      </c>
      <c r="M36" s="2">
        <f>'PFAS Properties'!$Y$19</f>
        <v>6.8</v>
      </c>
      <c r="N36" s="33">
        <f t="shared" si="0"/>
        <v>1.3797010070559295E-3</v>
      </c>
      <c r="O36" s="33">
        <f>1/(1+(10^(L36-AG36))+(10^(AG36-M36)))</f>
        <v>0.97675351165579716</v>
      </c>
      <c r="P36" s="33">
        <f>1/(1+(10^(M36-AG36))+(10^((L36+M36)-(2*AG36))))</f>
        <v>2.1866787337146917E-2</v>
      </c>
      <c r="Q36" s="33">
        <v>0</v>
      </c>
      <c r="R36" s="33">
        <v>0</v>
      </c>
      <c r="S36" s="33">
        <v>0</v>
      </c>
      <c r="T36" s="8">
        <f t="shared" si="15"/>
        <v>1</v>
      </c>
      <c r="U36" s="33">
        <f t="shared" si="4"/>
        <v>1</v>
      </c>
      <c r="V36" s="33">
        <f t="shared" si="5"/>
        <v>-1.020487086330091</v>
      </c>
      <c r="W36" s="33">
        <f t="shared" si="6"/>
        <v>642.02721291366981</v>
      </c>
      <c r="X36" s="33">
        <v>96485</v>
      </c>
      <c r="Y36" s="16">
        <f t="shared" si="7"/>
        <v>-3.0788360443292091</v>
      </c>
      <c r="Z36" s="16">
        <v>15</v>
      </c>
      <c r="AA36" s="16">
        <v>17</v>
      </c>
      <c r="AB36" s="8">
        <f t="shared" si="8"/>
        <v>0.55727554179566563</v>
      </c>
      <c r="AC36" s="16">
        <f t="shared" si="9"/>
        <v>50.307788658070109</v>
      </c>
      <c r="AD36" s="20">
        <f>'PFAS Properties'!$W$19</f>
        <v>6</v>
      </c>
      <c r="AE36" s="8">
        <f>'PFAS Properties'!$S$19</f>
        <v>1.2615007731982801</v>
      </c>
      <c r="AF36" s="2">
        <f>'PFAS Properties'!$V$19</f>
        <v>4.5999999999999996</v>
      </c>
      <c r="AG36" s="24">
        <v>5.15</v>
      </c>
      <c r="AH36" s="2" t="s">
        <v>830</v>
      </c>
      <c r="AI36" s="2" t="s">
        <v>661</v>
      </c>
      <c r="AJ36" s="2" t="s">
        <v>661</v>
      </c>
      <c r="AK36" s="2" t="s">
        <v>661</v>
      </c>
      <c r="AL36" s="2" t="s">
        <v>661</v>
      </c>
      <c r="AM36" s="2" t="s">
        <v>661</v>
      </c>
      <c r="AN36" s="2" t="s">
        <v>661</v>
      </c>
      <c r="AO36" s="2" t="s">
        <v>661</v>
      </c>
      <c r="AP36" s="15">
        <v>0.57999999999999996</v>
      </c>
      <c r="AQ36" s="16" t="s">
        <v>689</v>
      </c>
      <c r="AR36" s="16">
        <v>59.2</v>
      </c>
      <c r="AS36" s="16">
        <v>32.200000000000003</v>
      </c>
      <c r="AT36" s="16">
        <v>8.6</v>
      </c>
      <c r="AU36" s="16" t="s">
        <v>664</v>
      </c>
      <c r="AV36" s="16">
        <f t="shared" si="10"/>
        <v>100</v>
      </c>
      <c r="AW36" s="18">
        <v>1.8</v>
      </c>
      <c r="AX36" s="13">
        <f t="shared" si="14"/>
        <v>1.8000000000000002E-2</v>
      </c>
      <c r="AY36" s="13" t="s">
        <v>342</v>
      </c>
      <c r="AZ36" s="16">
        <f t="shared" si="16"/>
        <v>100</v>
      </c>
      <c r="BA36" s="16" t="s">
        <v>55</v>
      </c>
      <c r="BB36" s="15">
        <f>5*K36/1000</f>
        <v>3.2102385</v>
      </c>
      <c r="BC36" s="16">
        <f>5000*K36/1000</f>
        <v>3210.2384999999999</v>
      </c>
      <c r="BD36" s="24">
        <f>171.2*AX36</f>
        <v>3.0816000000000003</v>
      </c>
      <c r="BE36" s="15">
        <f t="shared" si="11"/>
        <v>171.2</v>
      </c>
      <c r="BF36" s="15">
        <f t="shared" si="12"/>
        <v>2.2335037603411343</v>
      </c>
      <c r="BG36" s="8">
        <f t="shared" si="13"/>
        <v>0.48877626544444053</v>
      </c>
      <c r="BH36" s="13" t="s">
        <v>343</v>
      </c>
      <c r="BI36" s="49"/>
      <c r="BJ36" s="48"/>
      <c r="BK36" s="47"/>
      <c r="BL36" s="51"/>
      <c r="BM36" s="50"/>
      <c r="BN36" s="47"/>
      <c r="BO36" s="52"/>
    </row>
    <row r="37" spans="1:67" s="14" customFormat="1" x14ac:dyDescent="0.3">
      <c r="A37" s="20">
        <v>36</v>
      </c>
      <c r="B37" s="2" t="s">
        <v>242</v>
      </c>
      <c r="C37" s="2">
        <v>2018</v>
      </c>
      <c r="D37" s="2" t="s">
        <v>243</v>
      </c>
      <c r="E37" s="10" t="s">
        <v>788</v>
      </c>
      <c r="F37" s="20" t="s">
        <v>29</v>
      </c>
      <c r="G37" s="2" t="s">
        <v>129</v>
      </c>
      <c r="H37" s="2" t="str">
        <f>'PFAS Properties'!$B$20</f>
        <v>PFOAAmS</v>
      </c>
      <c r="I37" s="2" t="str">
        <f>'PFAS Properties'!$C$20</f>
        <v>Betaine</v>
      </c>
      <c r="J37" s="2" t="str">
        <f>'PFAS Properties'!$D$20</f>
        <v>C14H16F15N2O+</v>
      </c>
      <c r="K37" s="25">
        <f>'PFAS Properties'!$P$20</f>
        <v>513.1019</v>
      </c>
      <c r="L37" s="2">
        <f>'PFAS Properties'!$X$20</f>
        <v>7.7</v>
      </c>
      <c r="M37" s="2" t="str">
        <f>'PFAS Properties'!$Y$20</f>
        <v>-</v>
      </c>
      <c r="N37" s="33">
        <f t="shared" ref="N37:N47" si="18">(1/(1+(10^(AG37-L37))))</f>
        <v>0.99416209263371969</v>
      </c>
      <c r="O37" s="33">
        <f t="shared" ref="O37:O47" si="19">(10^(AG37-L37))/(1+(10^(AG37-L37)))</f>
        <v>5.8379073662803002E-3</v>
      </c>
      <c r="P37" s="33">
        <v>0</v>
      </c>
      <c r="Q37" s="33">
        <v>0</v>
      </c>
      <c r="R37" s="33">
        <v>0</v>
      </c>
      <c r="S37" s="33">
        <v>0</v>
      </c>
      <c r="T37" s="8">
        <f t="shared" si="15"/>
        <v>1</v>
      </c>
      <c r="U37" s="33">
        <f t="shared" si="4"/>
        <v>1</v>
      </c>
      <c r="V37" s="33">
        <f t="shared" si="5"/>
        <v>-5.8379073662803002E-3</v>
      </c>
      <c r="W37" s="33">
        <f t="shared" si="6"/>
        <v>514.0960620926337</v>
      </c>
      <c r="X37" s="33">
        <v>96485</v>
      </c>
      <c r="Y37" s="16">
        <f t="shared" si="7"/>
        <v>186.58328001446654</v>
      </c>
      <c r="Z37" s="2">
        <v>14</v>
      </c>
      <c r="AA37" s="2">
        <v>15</v>
      </c>
      <c r="AB37" s="8">
        <f t="shared" si="8"/>
        <v>0.58947368421052626</v>
      </c>
      <c r="AC37" s="16">
        <f t="shared" si="9"/>
        <v>55.544522442813019</v>
      </c>
      <c r="AD37" s="20">
        <f>'PFAS Properties'!$W$20</f>
        <v>7</v>
      </c>
      <c r="AE37" s="8">
        <f>'PFAS Properties'!$S$20</f>
        <v>2.4449811120879446</v>
      </c>
      <c r="AF37" s="2">
        <f>'PFAS Properties'!$V$20</f>
        <v>5.0999999999999996</v>
      </c>
      <c r="AG37" s="124">
        <v>5.4687999999999999</v>
      </c>
      <c r="AH37" s="70" t="s">
        <v>752</v>
      </c>
      <c r="AI37" s="2" t="s">
        <v>661</v>
      </c>
      <c r="AJ37" s="15" t="s">
        <v>661</v>
      </c>
      <c r="AK37" s="8" t="s">
        <v>661</v>
      </c>
      <c r="AL37" s="2" t="s">
        <v>661</v>
      </c>
      <c r="AM37" s="15" t="s">
        <v>661</v>
      </c>
      <c r="AN37" s="8" t="s">
        <v>661</v>
      </c>
      <c r="AO37" s="15" t="s">
        <v>661</v>
      </c>
      <c r="AP37" s="71">
        <v>21.5806</v>
      </c>
      <c r="AQ37" s="64" t="s">
        <v>752</v>
      </c>
      <c r="AR37" s="71">
        <v>41.737499999999997</v>
      </c>
      <c r="AS37" s="71">
        <v>35.036999999999999</v>
      </c>
      <c r="AT37" s="71">
        <v>21.887</v>
      </c>
      <c r="AU37" s="70" t="s">
        <v>752</v>
      </c>
      <c r="AV37" s="16">
        <f t="shared" si="10"/>
        <v>98.66149999999999</v>
      </c>
      <c r="AW37" s="18">
        <v>46.9</v>
      </c>
      <c r="AX37" s="13">
        <f t="shared" si="14"/>
        <v>0.46899999999999997</v>
      </c>
      <c r="AY37" s="13" t="s">
        <v>344</v>
      </c>
      <c r="AZ37" s="15">
        <f>0.01/0.05</f>
        <v>0.19999999999999998</v>
      </c>
      <c r="BA37" s="16" t="s">
        <v>55</v>
      </c>
      <c r="BB37" s="15">
        <v>2</v>
      </c>
      <c r="BC37" s="16">
        <v>3500</v>
      </c>
      <c r="BD37" s="25">
        <f>10^2.66</f>
        <v>457.0881896148756</v>
      </c>
      <c r="BE37" s="16">
        <f t="shared" si="11"/>
        <v>974.60168361380727</v>
      </c>
      <c r="BF37" s="16">
        <f t="shared" si="12"/>
        <v>2.9888271572849172</v>
      </c>
      <c r="BG37" s="8">
        <f t="shared" si="13"/>
        <v>2.6600000000000006</v>
      </c>
      <c r="BH37" s="13" t="s">
        <v>346</v>
      </c>
      <c r="BI37" s="47"/>
      <c r="BJ37" s="48"/>
      <c r="BK37" s="47"/>
      <c r="BL37" s="51"/>
      <c r="BM37" s="50"/>
      <c r="BN37" s="47"/>
      <c r="BO37" s="52"/>
    </row>
    <row r="38" spans="1:67" s="14" customFormat="1" x14ac:dyDescent="0.3">
      <c r="A38" s="20">
        <v>37</v>
      </c>
      <c r="B38" s="2" t="s">
        <v>775</v>
      </c>
      <c r="C38" s="2">
        <v>2021</v>
      </c>
      <c r="D38" s="2" t="s">
        <v>203</v>
      </c>
      <c r="E38" s="10" t="s">
        <v>786</v>
      </c>
      <c r="F38" s="20" t="s">
        <v>29</v>
      </c>
      <c r="G38" s="2" t="s">
        <v>116</v>
      </c>
      <c r="H38" s="2" t="str">
        <f>'PFAS Properties'!$B$20</f>
        <v>PFOAAmS</v>
      </c>
      <c r="I38" s="2" t="str">
        <f>'PFAS Properties'!$C$20</f>
        <v>Betaine</v>
      </c>
      <c r="J38" s="2" t="str">
        <f>'PFAS Properties'!$D$20</f>
        <v>C14H16F15N2O+</v>
      </c>
      <c r="K38" s="25">
        <f>'PFAS Properties'!$P$20</f>
        <v>513.1019</v>
      </c>
      <c r="L38" s="2">
        <f>'PFAS Properties'!$X$20</f>
        <v>7.7</v>
      </c>
      <c r="M38" s="2" t="str">
        <f>'PFAS Properties'!$Y$20</f>
        <v>-</v>
      </c>
      <c r="N38" s="33">
        <f t="shared" si="18"/>
        <v>0.58549867867180971</v>
      </c>
      <c r="O38" s="33">
        <f t="shared" si="19"/>
        <v>0.41450132132819034</v>
      </c>
      <c r="P38" s="33">
        <v>0</v>
      </c>
      <c r="Q38" s="33">
        <v>0</v>
      </c>
      <c r="R38" s="33">
        <v>0</v>
      </c>
      <c r="S38" s="33">
        <v>0</v>
      </c>
      <c r="T38" s="8">
        <f t="shared" si="15"/>
        <v>1</v>
      </c>
      <c r="U38" s="33">
        <f t="shared" si="4"/>
        <v>1</v>
      </c>
      <c r="V38" s="33">
        <f t="shared" si="5"/>
        <v>-0.41450132132819034</v>
      </c>
      <c r="W38" s="33">
        <f t="shared" si="6"/>
        <v>513.6873986786718</v>
      </c>
      <c r="X38" s="33">
        <v>96485</v>
      </c>
      <c r="Y38" s="16">
        <f t="shared" si="7"/>
        <v>109.97318633270007</v>
      </c>
      <c r="Z38" s="2">
        <v>14</v>
      </c>
      <c r="AA38" s="2">
        <v>15</v>
      </c>
      <c r="AB38" s="8">
        <f t="shared" si="8"/>
        <v>0.58947368421052626</v>
      </c>
      <c r="AC38" s="16">
        <f t="shared" si="9"/>
        <v>55.544522442813019</v>
      </c>
      <c r="AD38" s="20">
        <f>'PFAS Properties'!$W$20</f>
        <v>7</v>
      </c>
      <c r="AE38" s="8">
        <f>'PFAS Properties'!$S$20</f>
        <v>2.4449811120879446</v>
      </c>
      <c r="AF38" s="2">
        <f>'PFAS Properties'!$V$20</f>
        <v>5.0999999999999996</v>
      </c>
      <c r="AG38" s="24">
        <v>7.55</v>
      </c>
      <c r="AH38" s="15" t="s">
        <v>830</v>
      </c>
      <c r="AI38" s="2" t="s">
        <v>661</v>
      </c>
      <c r="AJ38" s="2" t="s">
        <v>661</v>
      </c>
      <c r="AK38" s="2" t="s">
        <v>661</v>
      </c>
      <c r="AL38" s="2" t="s">
        <v>661</v>
      </c>
      <c r="AM38" s="2" t="s">
        <v>661</v>
      </c>
      <c r="AN38" s="2" t="s">
        <v>661</v>
      </c>
      <c r="AO38" s="2" t="s">
        <v>661</v>
      </c>
      <c r="AP38" s="15">
        <v>2.52</v>
      </c>
      <c r="AQ38" s="16" t="s">
        <v>689</v>
      </c>
      <c r="AR38" s="16">
        <v>45.3</v>
      </c>
      <c r="AS38" s="16">
        <v>30</v>
      </c>
      <c r="AT38" s="16">
        <v>24.7</v>
      </c>
      <c r="AU38" s="16" t="s">
        <v>664</v>
      </c>
      <c r="AV38" s="16">
        <f t="shared" si="10"/>
        <v>100</v>
      </c>
      <c r="AW38" s="18">
        <v>3.4</v>
      </c>
      <c r="AX38" s="13">
        <f t="shared" si="14"/>
        <v>3.4000000000000002E-2</v>
      </c>
      <c r="AY38" s="8" t="s">
        <v>342</v>
      </c>
      <c r="AZ38" s="16">
        <f>1/0.01</f>
        <v>100</v>
      </c>
      <c r="BA38" s="16" t="s">
        <v>55</v>
      </c>
      <c r="BB38" s="15">
        <f>5*K38/1000</f>
        <v>2.5655095000000001</v>
      </c>
      <c r="BC38" s="16">
        <f>5000*K38/1000</f>
        <v>2565.5095000000001</v>
      </c>
      <c r="BD38" s="25">
        <f>353.2*AX38</f>
        <v>12.008800000000001</v>
      </c>
      <c r="BE38" s="15">
        <f t="shared" si="11"/>
        <v>353.2</v>
      </c>
      <c r="BF38" s="15">
        <f t="shared" si="12"/>
        <v>2.5480206949055311</v>
      </c>
      <c r="BG38" s="8">
        <f t="shared" si="13"/>
        <v>1.0794996119477862</v>
      </c>
      <c r="BH38" s="13" t="s">
        <v>343</v>
      </c>
      <c r="BI38" s="51"/>
      <c r="BJ38" s="48"/>
      <c r="BK38" s="49"/>
      <c r="BL38" s="51"/>
      <c r="BM38" s="50"/>
      <c r="BN38" s="47"/>
      <c r="BO38" s="52"/>
    </row>
    <row r="39" spans="1:67" s="14" customFormat="1" x14ac:dyDescent="0.3">
      <c r="A39" s="20">
        <v>38</v>
      </c>
      <c r="B39" s="2" t="s">
        <v>775</v>
      </c>
      <c r="C39" s="2">
        <v>2021</v>
      </c>
      <c r="D39" s="2" t="s">
        <v>203</v>
      </c>
      <c r="E39" s="10" t="s">
        <v>786</v>
      </c>
      <c r="F39" s="20" t="s">
        <v>29</v>
      </c>
      <c r="G39" s="2" t="s">
        <v>117</v>
      </c>
      <c r="H39" s="2" t="str">
        <f>'PFAS Properties'!$B$20</f>
        <v>PFOAAmS</v>
      </c>
      <c r="I39" s="2" t="str">
        <f>'PFAS Properties'!$C$20</f>
        <v>Betaine</v>
      </c>
      <c r="J39" s="2" t="str">
        <f>'PFAS Properties'!$D$20</f>
        <v>C14H16F15N2O+</v>
      </c>
      <c r="K39" s="25">
        <f>'PFAS Properties'!$P$20</f>
        <v>513.1019</v>
      </c>
      <c r="L39" s="2">
        <f>'PFAS Properties'!$X$20</f>
        <v>7.7</v>
      </c>
      <c r="M39" s="2" t="str">
        <f>'PFAS Properties'!$Y$20</f>
        <v>-</v>
      </c>
      <c r="N39" s="33">
        <f t="shared" si="18"/>
        <v>0.23607530085516112</v>
      </c>
      <c r="O39" s="33">
        <f t="shared" si="19"/>
        <v>0.76392469914483896</v>
      </c>
      <c r="P39" s="33">
        <v>0</v>
      </c>
      <c r="Q39" s="33">
        <v>0</v>
      </c>
      <c r="R39" s="33">
        <v>0</v>
      </c>
      <c r="S39" s="33">
        <v>0</v>
      </c>
      <c r="T39" s="8">
        <f t="shared" si="15"/>
        <v>1</v>
      </c>
      <c r="U39" s="33">
        <f t="shared" si="4"/>
        <v>1</v>
      </c>
      <c r="V39" s="33">
        <f t="shared" si="5"/>
        <v>-0.76392469914483896</v>
      </c>
      <c r="W39" s="33">
        <f t="shared" si="6"/>
        <v>513.33797530085519</v>
      </c>
      <c r="X39" s="33">
        <v>96485</v>
      </c>
      <c r="Y39" s="16">
        <f t="shared" si="7"/>
        <v>44.37179109856568</v>
      </c>
      <c r="Z39" s="2">
        <v>14</v>
      </c>
      <c r="AA39" s="2">
        <v>15</v>
      </c>
      <c r="AB39" s="8">
        <f t="shared" si="8"/>
        <v>0.58947368421052626</v>
      </c>
      <c r="AC39" s="16">
        <f t="shared" si="9"/>
        <v>55.544522442813019</v>
      </c>
      <c r="AD39" s="20">
        <f>'PFAS Properties'!$W$20</f>
        <v>7</v>
      </c>
      <c r="AE39" s="8">
        <f>'PFAS Properties'!$S$20</f>
        <v>2.4449811120879446</v>
      </c>
      <c r="AF39" s="2">
        <f>'PFAS Properties'!$V$20</f>
        <v>5.0999999999999996</v>
      </c>
      <c r="AG39" s="24">
        <v>8.2100000000000009</v>
      </c>
      <c r="AH39" s="15" t="s">
        <v>830</v>
      </c>
      <c r="AI39" s="2" t="s">
        <v>661</v>
      </c>
      <c r="AJ39" s="2" t="s">
        <v>661</v>
      </c>
      <c r="AK39" s="2" t="s">
        <v>661</v>
      </c>
      <c r="AL39" s="2" t="s">
        <v>661</v>
      </c>
      <c r="AM39" s="2" t="s">
        <v>661</v>
      </c>
      <c r="AN39" s="2" t="s">
        <v>661</v>
      </c>
      <c r="AO39" s="2" t="s">
        <v>661</v>
      </c>
      <c r="AP39" s="15">
        <v>11.4</v>
      </c>
      <c r="AQ39" s="16" t="s">
        <v>689</v>
      </c>
      <c r="AR39" s="16">
        <v>28.7</v>
      </c>
      <c r="AS39" s="16">
        <v>40</v>
      </c>
      <c r="AT39" s="16">
        <v>31.3</v>
      </c>
      <c r="AU39" s="16" t="s">
        <v>664</v>
      </c>
      <c r="AV39" s="16">
        <f t="shared" si="10"/>
        <v>100</v>
      </c>
      <c r="AW39" s="18">
        <v>1.7</v>
      </c>
      <c r="AX39" s="13">
        <f t="shared" si="14"/>
        <v>1.7000000000000001E-2</v>
      </c>
      <c r="AY39" s="8" t="s">
        <v>342</v>
      </c>
      <c r="AZ39" s="16">
        <f>1/0.01</f>
        <v>100</v>
      </c>
      <c r="BA39" s="16" t="s">
        <v>55</v>
      </c>
      <c r="BB39" s="15">
        <f>5*K39/1000</f>
        <v>2.5655095000000001</v>
      </c>
      <c r="BC39" s="16">
        <f>5000*K39/1000</f>
        <v>2565.5095000000001</v>
      </c>
      <c r="BD39" s="25">
        <f>1915.3*AX39</f>
        <v>32.560099999999998</v>
      </c>
      <c r="BE39" s="15">
        <f t="shared" si="11"/>
        <v>1915.2999999999997</v>
      </c>
      <c r="BF39" s="15">
        <f t="shared" si="12"/>
        <v>3.2822368086651026</v>
      </c>
      <c r="BG39" s="8">
        <f t="shared" si="13"/>
        <v>1.5126857300433767</v>
      </c>
      <c r="BH39" s="13" t="s">
        <v>343</v>
      </c>
      <c r="BI39" s="51"/>
      <c r="BJ39" s="48"/>
      <c r="BK39" s="49"/>
      <c r="BL39" s="51"/>
      <c r="BM39" s="50"/>
      <c r="BN39" s="47"/>
      <c r="BO39" s="52"/>
    </row>
    <row r="40" spans="1:67" s="14" customFormat="1" x14ac:dyDescent="0.3">
      <c r="A40" s="20">
        <v>39</v>
      </c>
      <c r="B40" s="2" t="s">
        <v>775</v>
      </c>
      <c r="C40" s="2">
        <v>2021</v>
      </c>
      <c r="D40" s="2" t="s">
        <v>203</v>
      </c>
      <c r="E40" s="10" t="s">
        <v>786</v>
      </c>
      <c r="F40" s="20" t="s">
        <v>29</v>
      </c>
      <c r="G40" s="2" t="s">
        <v>118</v>
      </c>
      <c r="H40" s="2" t="str">
        <f>'PFAS Properties'!$B$20</f>
        <v>PFOAAmS</v>
      </c>
      <c r="I40" s="2" t="str">
        <f>'PFAS Properties'!$C$20</f>
        <v>Betaine</v>
      </c>
      <c r="J40" s="2" t="str">
        <f>'PFAS Properties'!$D$20</f>
        <v>C14H16F15N2O+</v>
      </c>
      <c r="K40" s="25">
        <f>'PFAS Properties'!$P$20</f>
        <v>513.1019</v>
      </c>
      <c r="L40" s="2">
        <f>'PFAS Properties'!$X$20</f>
        <v>7.7</v>
      </c>
      <c r="M40" s="2" t="str">
        <f>'PFAS Properties'!$Y$20</f>
        <v>-</v>
      </c>
      <c r="N40" s="33">
        <f t="shared" si="18"/>
        <v>0.93098511963181751</v>
      </c>
      <c r="O40" s="33">
        <f t="shared" si="19"/>
        <v>6.9014880368182624E-2</v>
      </c>
      <c r="P40" s="33">
        <v>0</v>
      </c>
      <c r="Q40" s="33">
        <v>0</v>
      </c>
      <c r="R40" s="33">
        <v>0</v>
      </c>
      <c r="S40" s="33">
        <v>0</v>
      </c>
      <c r="T40" s="8">
        <f t="shared" si="15"/>
        <v>1.0000000000000002</v>
      </c>
      <c r="U40" s="33">
        <f t="shared" si="4"/>
        <v>1.0000000000000002</v>
      </c>
      <c r="V40" s="33">
        <f t="shared" si="5"/>
        <v>-6.9014880368182624E-2</v>
      </c>
      <c r="W40" s="33">
        <f t="shared" si="6"/>
        <v>514.03288511963194</v>
      </c>
      <c r="X40" s="33">
        <v>96485</v>
      </c>
      <c r="Y40" s="16">
        <f t="shared" si="7"/>
        <v>174.74776783351226</v>
      </c>
      <c r="Z40" s="2">
        <v>14</v>
      </c>
      <c r="AA40" s="2">
        <v>15</v>
      </c>
      <c r="AB40" s="8">
        <f t="shared" si="8"/>
        <v>0.58947368421052626</v>
      </c>
      <c r="AC40" s="16">
        <f t="shared" si="9"/>
        <v>55.544522442813019</v>
      </c>
      <c r="AD40" s="20">
        <f>'PFAS Properties'!$W$20</f>
        <v>7</v>
      </c>
      <c r="AE40" s="8">
        <f>'PFAS Properties'!$S$20</f>
        <v>2.4449811120879446</v>
      </c>
      <c r="AF40" s="2">
        <f>'PFAS Properties'!$V$20</f>
        <v>5.0999999999999996</v>
      </c>
      <c r="AG40" s="24">
        <v>6.57</v>
      </c>
      <c r="AH40" s="15" t="s">
        <v>830</v>
      </c>
      <c r="AI40" s="2" t="s">
        <v>661</v>
      </c>
      <c r="AJ40" s="2" t="s">
        <v>661</v>
      </c>
      <c r="AK40" s="2" t="s">
        <v>661</v>
      </c>
      <c r="AL40" s="2" t="s">
        <v>661</v>
      </c>
      <c r="AM40" s="2" t="s">
        <v>661</v>
      </c>
      <c r="AN40" s="2" t="s">
        <v>661</v>
      </c>
      <c r="AO40" s="2" t="s">
        <v>661</v>
      </c>
      <c r="AP40" s="15">
        <v>9.93</v>
      </c>
      <c r="AQ40" s="16" t="s">
        <v>689</v>
      </c>
      <c r="AR40" s="16">
        <v>20</v>
      </c>
      <c r="AS40" s="16">
        <v>50</v>
      </c>
      <c r="AT40" s="16">
        <v>30</v>
      </c>
      <c r="AU40" s="16" t="s">
        <v>664</v>
      </c>
      <c r="AV40" s="16">
        <f t="shared" si="10"/>
        <v>100</v>
      </c>
      <c r="AW40" s="18">
        <v>2.9</v>
      </c>
      <c r="AX40" s="13">
        <f t="shared" si="14"/>
        <v>2.8999999999999998E-2</v>
      </c>
      <c r="AY40" s="8" t="s">
        <v>342</v>
      </c>
      <c r="AZ40" s="16">
        <f>1/0.01</f>
        <v>100</v>
      </c>
      <c r="BA40" s="16" t="s">
        <v>55</v>
      </c>
      <c r="BB40" s="15">
        <f>5*K40/1000</f>
        <v>2.5655095000000001</v>
      </c>
      <c r="BC40" s="16">
        <f>5000*K40/1000</f>
        <v>2565.5095000000001</v>
      </c>
      <c r="BD40" s="25">
        <f>2782.8*AX40</f>
        <v>80.7012</v>
      </c>
      <c r="BE40" s="15">
        <f t="shared" si="11"/>
        <v>2782.8</v>
      </c>
      <c r="BF40" s="15">
        <f t="shared" si="12"/>
        <v>3.4444819946856122</v>
      </c>
      <c r="BG40" s="8">
        <f t="shared" si="13"/>
        <v>1.9068799925845683</v>
      </c>
      <c r="BH40" s="13" t="s">
        <v>343</v>
      </c>
      <c r="BI40" s="49"/>
      <c r="BJ40" s="48"/>
      <c r="BK40" s="49"/>
      <c r="BL40" s="49"/>
      <c r="BM40" s="50"/>
      <c r="BN40" s="47"/>
      <c r="BO40" s="52"/>
    </row>
    <row r="41" spans="1:67" s="14" customFormat="1" x14ac:dyDescent="0.3">
      <c r="A41" s="20">
        <v>40</v>
      </c>
      <c r="B41" s="2" t="s">
        <v>775</v>
      </c>
      <c r="C41" s="2">
        <v>2021</v>
      </c>
      <c r="D41" s="2" t="s">
        <v>203</v>
      </c>
      <c r="E41" s="10" t="s">
        <v>786</v>
      </c>
      <c r="F41" s="20" t="s">
        <v>29</v>
      </c>
      <c r="G41" s="2" t="s">
        <v>119</v>
      </c>
      <c r="H41" s="2" t="str">
        <f>'PFAS Properties'!$B$20</f>
        <v>PFOAAmS</v>
      </c>
      <c r="I41" s="2" t="str">
        <f>'PFAS Properties'!$C$20</f>
        <v>Betaine</v>
      </c>
      <c r="J41" s="2" t="str">
        <f>'PFAS Properties'!$D$20</f>
        <v>C14H16F15N2O+</v>
      </c>
      <c r="K41" s="25">
        <f>'PFAS Properties'!$P$20</f>
        <v>513.1019</v>
      </c>
      <c r="L41" s="2">
        <f>'PFAS Properties'!$X$20</f>
        <v>7.7</v>
      </c>
      <c r="M41" s="2" t="str">
        <f>'PFAS Properties'!$Y$20</f>
        <v>-</v>
      </c>
      <c r="N41" s="33">
        <f t="shared" si="18"/>
        <v>0.99936944051165999</v>
      </c>
      <c r="O41" s="33">
        <f t="shared" si="19"/>
        <v>6.3055948833989266E-4</v>
      </c>
      <c r="P41" s="33">
        <v>0</v>
      </c>
      <c r="Q41" s="33">
        <v>0</v>
      </c>
      <c r="R41" s="33">
        <v>0</v>
      </c>
      <c r="S41" s="33">
        <v>0</v>
      </c>
      <c r="T41" s="8">
        <f t="shared" si="15"/>
        <v>0.99999999999999989</v>
      </c>
      <c r="U41" s="33">
        <f t="shared" si="4"/>
        <v>0.99999999999999989</v>
      </c>
      <c r="V41" s="33">
        <f t="shared" si="5"/>
        <v>-6.3055948833989266E-4</v>
      </c>
      <c r="W41" s="33">
        <f t="shared" si="6"/>
        <v>514.1012694405116</v>
      </c>
      <c r="X41" s="33">
        <v>96485</v>
      </c>
      <c r="Y41" s="16">
        <f t="shared" si="7"/>
        <v>187.55868969688487</v>
      </c>
      <c r="Z41" s="2">
        <v>14</v>
      </c>
      <c r="AA41" s="2">
        <v>15</v>
      </c>
      <c r="AB41" s="8">
        <f t="shared" si="8"/>
        <v>0.58947368421052626</v>
      </c>
      <c r="AC41" s="16">
        <f t="shared" si="9"/>
        <v>55.544522442813019</v>
      </c>
      <c r="AD41" s="20">
        <f>'PFAS Properties'!$W$20</f>
        <v>7</v>
      </c>
      <c r="AE41" s="8">
        <f>'PFAS Properties'!$S$20</f>
        <v>2.4449811120879446</v>
      </c>
      <c r="AF41" s="2">
        <f>'PFAS Properties'!$V$20</f>
        <v>5.0999999999999996</v>
      </c>
      <c r="AG41" s="24">
        <v>4.5</v>
      </c>
      <c r="AH41" s="15" t="s">
        <v>830</v>
      </c>
      <c r="AI41" s="2" t="s">
        <v>661</v>
      </c>
      <c r="AJ41" s="2" t="s">
        <v>661</v>
      </c>
      <c r="AK41" s="2" t="s">
        <v>661</v>
      </c>
      <c r="AL41" s="2" t="s">
        <v>661</v>
      </c>
      <c r="AM41" s="2" t="s">
        <v>661</v>
      </c>
      <c r="AN41" s="2" t="s">
        <v>661</v>
      </c>
      <c r="AO41" s="2" t="s">
        <v>661</v>
      </c>
      <c r="AP41" s="71">
        <v>11.497016666666671</v>
      </c>
      <c r="AQ41" s="70" t="s">
        <v>752</v>
      </c>
      <c r="AR41" s="16">
        <v>51.2</v>
      </c>
      <c r="AS41" s="16">
        <v>36.200000000000003</v>
      </c>
      <c r="AT41" s="16">
        <v>12.6</v>
      </c>
      <c r="AU41" s="16" t="s">
        <v>664</v>
      </c>
      <c r="AV41" s="16">
        <f t="shared" si="10"/>
        <v>100</v>
      </c>
      <c r="AW41" s="18">
        <v>7.3</v>
      </c>
      <c r="AX41" s="13">
        <f t="shared" si="14"/>
        <v>7.2999999999999995E-2</v>
      </c>
      <c r="AY41" s="8" t="s">
        <v>342</v>
      </c>
      <c r="AZ41" s="16">
        <f>1/0.01</f>
        <v>100</v>
      </c>
      <c r="BA41" s="16" t="s">
        <v>55</v>
      </c>
      <c r="BB41" s="15">
        <f>5*K41/1000</f>
        <v>2.5655095000000001</v>
      </c>
      <c r="BC41" s="16">
        <f>5000*K41/1000</f>
        <v>2565.5095000000001</v>
      </c>
      <c r="BD41" s="25">
        <f>551.9*AX41</f>
        <v>40.288699999999999</v>
      </c>
      <c r="BE41" s="15">
        <f t="shared" si="11"/>
        <v>551.9</v>
      </c>
      <c r="BF41" s="15">
        <f t="shared" si="12"/>
        <v>2.7418603940652635</v>
      </c>
      <c r="BG41" s="8">
        <f t="shared" si="13"/>
        <v>1.6051832541857194</v>
      </c>
      <c r="BH41" s="13" t="s">
        <v>343</v>
      </c>
      <c r="BI41" s="49"/>
      <c r="BJ41" s="48"/>
      <c r="BK41" s="49"/>
      <c r="BL41" s="49"/>
      <c r="BM41" s="50"/>
      <c r="BN41" s="47"/>
      <c r="BO41" s="52"/>
    </row>
    <row r="42" spans="1:67" s="14" customFormat="1" x14ac:dyDescent="0.3">
      <c r="A42" s="20">
        <v>41</v>
      </c>
      <c r="B42" s="2" t="s">
        <v>775</v>
      </c>
      <c r="C42" s="2">
        <v>2021</v>
      </c>
      <c r="D42" s="2" t="s">
        <v>203</v>
      </c>
      <c r="E42" s="10" t="s">
        <v>786</v>
      </c>
      <c r="F42" s="20" t="s">
        <v>29</v>
      </c>
      <c r="G42" s="2" t="s">
        <v>120</v>
      </c>
      <c r="H42" s="2" t="str">
        <f>'PFAS Properties'!$B$20</f>
        <v>PFOAAmS</v>
      </c>
      <c r="I42" s="2" t="str">
        <f>'PFAS Properties'!$C$20</f>
        <v>Betaine</v>
      </c>
      <c r="J42" s="2" t="str">
        <f>'PFAS Properties'!$D$20</f>
        <v>C14H16F15N2O+</v>
      </c>
      <c r="K42" s="25">
        <f>'PFAS Properties'!$P$20</f>
        <v>513.1019</v>
      </c>
      <c r="L42" s="2">
        <f>'PFAS Properties'!$X$20</f>
        <v>7.7</v>
      </c>
      <c r="M42" s="2" t="str">
        <f>'PFAS Properties'!$Y$20</f>
        <v>-</v>
      </c>
      <c r="N42" s="33">
        <f t="shared" si="18"/>
        <v>0.99718953802678978</v>
      </c>
      <c r="O42" s="33">
        <f t="shared" si="19"/>
        <v>2.8104619732101889E-3</v>
      </c>
      <c r="P42" s="33">
        <v>0</v>
      </c>
      <c r="Q42" s="33">
        <v>0</v>
      </c>
      <c r="R42" s="33">
        <v>0</v>
      </c>
      <c r="S42" s="33">
        <v>0</v>
      </c>
      <c r="T42" s="8">
        <f t="shared" si="15"/>
        <v>1</v>
      </c>
      <c r="U42" s="33">
        <f t="shared" si="4"/>
        <v>1</v>
      </c>
      <c r="V42" s="33">
        <f t="shared" si="5"/>
        <v>-2.8104619732101889E-3</v>
      </c>
      <c r="W42" s="33">
        <f t="shared" si="6"/>
        <v>514.09908953802676</v>
      </c>
      <c r="X42" s="33">
        <v>96485</v>
      </c>
      <c r="Y42" s="16">
        <f t="shared" si="7"/>
        <v>187.15036562887764</v>
      </c>
      <c r="Z42" s="2">
        <v>14</v>
      </c>
      <c r="AA42" s="2">
        <v>15</v>
      </c>
      <c r="AB42" s="8">
        <f t="shared" si="8"/>
        <v>0.58947368421052626</v>
      </c>
      <c r="AC42" s="16">
        <f t="shared" si="9"/>
        <v>55.544522442813019</v>
      </c>
      <c r="AD42" s="20">
        <f>'PFAS Properties'!$W$20</f>
        <v>7</v>
      </c>
      <c r="AE42" s="8">
        <f>'PFAS Properties'!$S$20</f>
        <v>2.4449811120879446</v>
      </c>
      <c r="AF42" s="2">
        <f>'PFAS Properties'!$V$20</f>
        <v>5.0999999999999996</v>
      </c>
      <c r="AG42" s="24">
        <v>5.15</v>
      </c>
      <c r="AH42" s="2" t="s">
        <v>830</v>
      </c>
      <c r="AI42" s="2" t="s">
        <v>661</v>
      </c>
      <c r="AJ42" s="2" t="s">
        <v>661</v>
      </c>
      <c r="AK42" s="2" t="s">
        <v>661</v>
      </c>
      <c r="AL42" s="2" t="s">
        <v>661</v>
      </c>
      <c r="AM42" s="2" t="s">
        <v>661</v>
      </c>
      <c r="AN42" s="2" t="s">
        <v>661</v>
      </c>
      <c r="AO42" s="2" t="s">
        <v>661</v>
      </c>
      <c r="AP42" s="15">
        <v>0.57999999999999996</v>
      </c>
      <c r="AQ42" s="16" t="s">
        <v>689</v>
      </c>
      <c r="AR42" s="16">
        <v>59.2</v>
      </c>
      <c r="AS42" s="16">
        <v>32.200000000000003</v>
      </c>
      <c r="AT42" s="16">
        <v>8.6</v>
      </c>
      <c r="AU42" s="16" t="s">
        <v>664</v>
      </c>
      <c r="AV42" s="16">
        <f t="shared" si="10"/>
        <v>100</v>
      </c>
      <c r="AW42" s="18">
        <v>1.8</v>
      </c>
      <c r="AX42" s="13">
        <f t="shared" si="14"/>
        <v>1.8000000000000002E-2</v>
      </c>
      <c r="AY42" s="13" t="s">
        <v>342</v>
      </c>
      <c r="AZ42" s="16">
        <f>1/0.01</f>
        <v>100</v>
      </c>
      <c r="BA42" s="16" t="s">
        <v>55</v>
      </c>
      <c r="BB42" s="15">
        <f>5*K42/1000</f>
        <v>2.5655095000000001</v>
      </c>
      <c r="BC42" s="16">
        <f>5000*K42/1000</f>
        <v>2565.5095000000001</v>
      </c>
      <c r="BD42" s="25">
        <f>1555.5*AX42</f>
        <v>27.999000000000002</v>
      </c>
      <c r="BE42" s="15">
        <f t="shared" si="11"/>
        <v>1555.5</v>
      </c>
      <c r="BF42" s="15">
        <f t="shared" si="12"/>
        <v>3.1918700154447222</v>
      </c>
      <c r="BG42" s="8">
        <f t="shared" si="13"/>
        <v>1.4471425205480284</v>
      </c>
      <c r="BH42" s="13" t="s">
        <v>343</v>
      </c>
      <c r="BI42" s="49"/>
      <c r="BJ42" s="48"/>
      <c r="BK42" s="49"/>
      <c r="BL42" s="51"/>
      <c r="BM42" s="50"/>
      <c r="BN42" s="47"/>
      <c r="BO42" s="52"/>
    </row>
    <row r="43" spans="1:67" s="14" customFormat="1" x14ac:dyDescent="0.3">
      <c r="A43" s="20">
        <v>42</v>
      </c>
      <c r="B43" s="2" t="s">
        <v>230</v>
      </c>
      <c r="C43" s="2">
        <v>2019</v>
      </c>
      <c r="D43" s="2" t="s">
        <v>203</v>
      </c>
      <c r="E43" s="10" t="s">
        <v>231</v>
      </c>
      <c r="F43" s="20" t="s">
        <v>29</v>
      </c>
      <c r="G43" s="2" t="s">
        <v>110</v>
      </c>
      <c r="H43" s="2" t="str">
        <f>'PFAS Properties'!$B$20</f>
        <v>PFOAAmS</v>
      </c>
      <c r="I43" s="2" t="str">
        <f>'PFAS Properties'!$C$20</f>
        <v>Betaine</v>
      </c>
      <c r="J43" s="2" t="str">
        <f>'PFAS Properties'!$D$20</f>
        <v>C14H16F15N2O+</v>
      </c>
      <c r="K43" s="25">
        <f>'PFAS Properties'!$P$20</f>
        <v>513.1019</v>
      </c>
      <c r="L43" s="2">
        <f>'PFAS Properties'!$X$20</f>
        <v>7.7</v>
      </c>
      <c r="M43" s="2" t="str">
        <f>'PFAS Properties'!$Y$20</f>
        <v>-</v>
      </c>
      <c r="N43" s="33">
        <f t="shared" si="18"/>
        <v>0.20076000891310153</v>
      </c>
      <c r="O43" s="33">
        <f t="shared" si="19"/>
        <v>0.79923999108689847</v>
      </c>
      <c r="P43" s="33">
        <v>0</v>
      </c>
      <c r="Q43" s="33">
        <v>0</v>
      </c>
      <c r="R43" s="33">
        <v>0</v>
      </c>
      <c r="S43" s="33">
        <v>0</v>
      </c>
      <c r="T43" s="8">
        <f t="shared" si="15"/>
        <v>1</v>
      </c>
      <c r="U43" s="33">
        <f t="shared" si="4"/>
        <v>1</v>
      </c>
      <c r="V43" s="33">
        <f t="shared" si="5"/>
        <v>-0.79923999108689847</v>
      </c>
      <c r="W43" s="33">
        <f t="shared" si="6"/>
        <v>513.30266000891311</v>
      </c>
      <c r="X43" s="33">
        <v>96485</v>
      </c>
      <c r="Y43" s="16">
        <f t="shared" si="7"/>
        <v>37.736662926399504</v>
      </c>
      <c r="Z43" s="2">
        <v>14</v>
      </c>
      <c r="AA43" s="2">
        <v>15</v>
      </c>
      <c r="AB43" s="8">
        <f t="shared" si="8"/>
        <v>0.58947368421052626</v>
      </c>
      <c r="AC43" s="16">
        <f t="shared" si="9"/>
        <v>55.544522442813019</v>
      </c>
      <c r="AD43" s="20">
        <f>'PFAS Properties'!$W$20</f>
        <v>7</v>
      </c>
      <c r="AE43" s="8">
        <f>'PFAS Properties'!$S$20</f>
        <v>2.4449811120879446</v>
      </c>
      <c r="AF43" s="2">
        <f>'PFAS Properties'!$V$20</f>
        <v>5.0999999999999996</v>
      </c>
      <c r="AG43" s="24">
        <v>8.3000000000000007</v>
      </c>
      <c r="AH43" s="2" t="s">
        <v>355</v>
      </c>
      <c r="AI43" s="2" t="s">
        <v>661</v>
      </c>
      <c r="AJ43" s="2" t="s">
        <v>661</v>
      </c>
      <c r="AK43" s="2" t="s">
        <v>661</v>
      </c>
      <c r="AL43" s="2" t="s">
        <v>661</v>
      </c>
      <c r="AM43" s="2" t="s">
        <v>661</v>
      </c>
      <c r="AN43" s="2" t="s">
        <v>661</v>
      </c>
      <c r="AO43" s="2" t="s">
        <v>661</v>
      </c>
      <c r="AP43" s="16">
        <v>24.8</v>
      </c>
      <c r="AQ43" s="2" t="s">
        <v>661</v>
      </c>
      <c r="AR43" s="71">
        <v>30.683900000000001</v>
      </c>
      <c r="AS43" s="71">
        <v>38.891100000000002</v>
      </c>
      <c r="AT43" s="71">
        <v>30.567799999999998</v>
      </c>
      <c r="AU43" s="70" t="s">
        <v>752</v>
      </c>
      <c r="AV43" s="16">
        <f t="shared" si="10"/>
        <v>100.14279999999999</v>
      </c>
      <c r="AW43" s="18">
        <v>0.1</v>
      </c>
      <c r="AX43" s="13">
        <f t="shared" si="14"/>
        <v>1E-3</v>
      </c>
      <c r="AY43" s="8" t="s">
        <v>111</v>
      </c>
      <c r="AZ43" s="15">
        <v>0.2</v>
      </c>
      <c r="BA43" s="16">
        <v>15</v>
      </c>
      <c r="BB43" s="12" t="s">
        <v>55</v>
      </c>
      <c r="BC43" s="12" t="s">
        <v>55</v>
      </c>
      <c r="BD43" s="24">
        <f>BO43</f>
        <v>7.2705808490156238</v>
      </c>
      <c r="BE43" s="16">
        <f t="shared" si="11"/>
        <v>7270.5808490156232</v>
      </c>
      <c r="BF43" s="16">
        <f t="shared" si="12"/>
        <v>3.861569108169284</v>
      </c>
      <c r="BG43" s="8">
        <f t="shared" si="13"/>
        <v>0.861569108169284</v>
      </c>
      <c r="BH43" s="13" t="s">
        <v>782</v>
      </c>
      <c r="BI43" s="16">
        <f>10^2.9</f>
        <v>794.32823472428208</v>
      </c>
      <c r="BJ43" s="16" t="s">
        <v>330</v>
      </c>
      <c r="BK43" s="8">
        <v>0.24</v>
      </c>
      <c r="BL43" s="16">
        <f>BI43*(K43/1000)/(K43^BK43)</f>
        <v>91.149597106711511</v>
      </c>
      <c r="BM43" s="25">
        <f>'PFAS Properties'!$U$20</f>
        <v>27.860000000000003</v>
      </c>
      <c r="BN43" s="16">
        <f>(BL43*(BM43^BK43))</f>
        <v>202.55838245357529</v>
      </c>
      <c r="BO43" s="24">
        <f>BN43/BM43</f>
        <v>7.2705808490156238</v>
      </c>
    </row>
    <row r="44" spans="1:67" s="14" customFormat="1" x14ac:dyDescent="0.3">
      <c r="A44" s="20">
        <v>43</v>
      </c>
      <c r="B44" s="2" t="s">
        <v>230</v>
      </c>
      <c r="C44" s="2">
        <v>2019</v>
      </c>
      <c r="D44" s="2" t="s">
        <v>203</v>
      </c>
      <c r="E44" s="10" t="s">
        <v>231</v>
      </c>
      <c r="F44" s="20" t="s">
        <v>29</v>
      </c>
      <c r="G44" s="2" t="s">
        <v>112</v>
      </c>
      <c r="H44" s="2" t="str">
        <f>'PFAS Properties'!$B$20</f>
        <v>PFOAAmS</v>
      </c>
      <c r="I44" s="2" t="str">
        <f>'PFAS Properties'!$C$20</f>
        <v>Betaine</v>
      </c>
      <c r="J44" s="2" t="str">
        <f>'PFAS Properties'!$D$20</f>
        <v>C14H16F15N2O+</v>
      </c>
      <c r="K44" s="25">
        <f>'PFAS Properties'!$P$20</f>
        <v>513.1019</v>
      </c>
      <c r="L44" s="2">
        <f>'PFAS Properties'!$X$20</f>
        <v>7.7</v>
      </c>
      <c r="M44" s="2" t="str">
        <f>'PFAS Properties'!$Y$20</f>
        <v>-</v>
      </c>
      <c r="N44" s="33">
        <f t="shared" si="18"/>
        <v>0.24025307335204252</v>
      </c>
      <c r="O44" s="33">
        <f t="shared" si="19"/>
        <v>0.75974692664795762</v>
      </c>
      <c r="P44" s="33">
        <v>0</v>
      </c>
      <c r="Q44" s="33">
        <v>0</v>
      </c>
      <c r="R44" s="33">
        <v>0</v>
      </c>
      <c r="S44" s="33">
        <v>0</v>
      </c>
      <c r="T44" s="8">
        <f t="shared" si="15"/>
        <v>1.0000000000000002</v>
      </c>
      <c r="U44" s="33">
        <f t="shared" si="4"/>
        <v>1.0000000000000002</v>
      </c>
      <c r="V44" s="33">
        <f t="shared" si="5"/>
        <v>-0.75974692664795762</v>
      </c>
      <c r="W44" s="33">
        <f t="shared" si="6"/>
        <v>513.34215307335216</v>
      </c>
      <c r="X44" s="33">
        <v>96485</v>
      </c>
      <c r="Y44" s="16">
        <f t="shared" si="7"/>
        <v>45.156661387710919</v>
      </c>
      <c r="Z44" s="2">
        <v>14</v>
      </c>
      <c r="AA44" s="2">
        <v>15</v>
      </c>
      <c r="AB44" s="8">
        <f t="shared" si="8"/>
        <v>0.58947368421052626</v>
      </c>
      <c r="AC44" s="16">
        <f t="shared" si="9"/>
        <v>55.544522442813019</v>
      </c>
      <c r="AD44" s="20">
        <f>'PFAS Properties'!$W$20</f>
        <v>7</v>
      </c>
      <c r="AE44" s="8">
        <f>'PFAS Properties'!$S$20</f>
        <v>2.4449811120879446</v>
      </c>
      <c r="AF44" s="2">
        <f>'PFAS Properties'!$V$20</f>
        <v>5.0999999999999996</v>
      </c>
      <c r="AG44" s="24">
        <v>8.1999999999999993</v>
      </c>
      <c r="AH44" s="2" t="s">
        <v>355</v>
      </c>
      <c r="AI44" s="2" t="s">
        <v>661</v>
      </c>
      <c r="AJ44" s="2" t="s">
        <v>661</v>
      </c>
      <c r="AK44" s="2" t="s">
        <v>661</v>
      </c>
      <c r="AL44" s="2" t="s">
        <v>661</v>
      </c>
      <c r="AM44" s="2" t="s">
        <v>661</v>
      </c>
      <c r="AN44" s="2" t="s">
        <v>661</v>
      </c>
      <c r="AO44" s="2" t="s">
        <v>661</v>
      </c>
      <c r="AP44" s="16">
        <v>41.3</v>
      </c>
      <c r="AQ44" s="2" t="s">
        <v>661</v>
      </c>
      <c r="AR44" s="71">
        <v>34.417400000000001</v>
      </c>
      <c r="AS44" s="71">
        <v>33.425600000000003</v>
      </c>
      <c r="AT44" s="71">
        <v>31.142800000000001</v>
      </c>
      <c r="AU44" s="70" t="s">
        <v>752</v>
      </c>
      <c r="AV44" s="16">
        <f t="shared" si="10"/>
        <v>98.985800000000012</v>
      </c>
      <c r="AW44" s="18">
        <v>0.1</v>
      </c>
      <c r="AX44" s="13">
        <f t="shared" si="14"/>
        <v>1E-3</v>
      </c>
      <c r="AY44" s="8" t="s">
        <v>111</v>
      </c>
      <c r="AZ44" s="15">
        <v>0.2</v>
      </c>
      <c r="BA44" s="16">
        <v>15</v>
      </c>
      <c r="BB44" s="12" t="s">
        <v>55</v>
      </c>
      <c r="BC44" s="12" t="s">
        <v>55</v>
      </c>
      <c r="BD44" s="25">
        <f>BO44</f>
        <v>33.389693528550119</v>
      </c>
      <c r="BE44" s="16">
        <f t="shared" si="11"/>
        <v>33389.693528550117</v>
      </c>
      <c r="BF44" s="16">
        <f t="shared" si="12"/>
        <v>4.5236124328468126</v>
      </c>
      <c r="BG44" s="8">
        <f t="shared" si="13"/>
        <v>1.5236124328468124</v>
      </c>
      <c r="BH44" s="13" t="s">
        <v>782</v>
      </c>
      <c r="BI44" s="16">
        <f>10^3.6</f>
        <v>3981.0717055349769</v>
      </c>
      <c r="BJ44" s="16" t="s">
        <v>330</v>
      </c>
      <c r="BK44" s="8">
        <v>0.27</v>
      </c>
      <c r="BL44" s="16">
        <f>BI44*(K44/1000)/(K44^BK44)</f>
        <v>378.8337340049855</v>
      </c>
      <c r="BM44" s="25">
        <f>'PFAS Properties'!$U$20</f>
        <v>27.860000000000003</v>
      </c>
      <c r="BN44" s="16">
        <f>(BL44*(BM44^BK44))</f>
        <v>930.23686170540634</v>
      </c>
      <c r="BO44" s="25">
        <f>BN44/BM44</f>
        <v>33.389693528550119</v>
      </c>
    </row>
    <row r="45" spans="1:67" s="14" customFormat="1" x14ac:dyDescent="0.3">
      <c r="A45" s="20">
        <v>44</v>
      </c>
      <c r="B45" s="2" t="s">
        <v>230</v>
      </c>
      <c r="C45" s="2">
        <v>2019</v>
      </c>
      <c r="D45" s="2" t="s">
        <v>203</v>
      </c>
      <c r="E45" s="10" t="s">
        <v>231</v>
      </c>
      <c r="F45" s="20" t="s">
        <v>29</v>
      </c>
      <c r="G45" s="2" t="s">
        <v>113</v>
      </c>
      <c r="H45" s="2" t="str">
        <f>'PFAS Properties'!$B$20</f>
        <v>PFOAAmS</v>
      </c>
      <c r="I45" s="2" t="str">
        <f>'PFAS Properties'!$C$20</f>
        <v>Betaine</v>
      </c>
      <c r="J45" s="2" t="str">
        <f>'PFAS Properties'!$D$20</f>
        <v>C14H16F15N2O+</v>
      </c>
      <c r="K45" s="25">
        <f>'PFAS Properties'!$P$20</f>
        <v>513.1019</v>
      </c>
      <c r="L45" s="2">
        <f>'PFAS Properties'!$X$20</f>
        <v>7.7</v>
      </c>
      <c r="M45" s="2" t="str">
        <f>'PFAS Properties'!$Y$20</f>
        <v>-</v>
      </c>
      <c r="N45" s="33">
        <f t="shared" si="18"/>
        <v>0.1663375308165618</v>
      </c>
      <c r="O45" s="33">
        <f t="shared" si="19"/>
        <v>0.83366246918343823</v>
      </c>
      <c r="P45" s="33">
        <v>0</v>
      </c>
      <c r="Q45" s="33">
        <v>0</v>
      </c>
      <c r="R45" s="33">
        <v>0</v>
      </c>
      <c r="S45" s="33">
        <v>0</v>
      </c>
      <c r="T45" s="8">
        <f t="shared" si="15"/>
        <v>1</v>
      </c>
      <c r="U45" s="33">
        <f t="shared" si="4"/>
        <v>1</v>
      </c>
      <c r="V45" s="33">
        <f t="shared" si="5"/>
        <v>-0.83366246918343823</v>
      </c>
      <c r="W45" s="33">
        <f t="shared" si="6"/>
        <v>513.26823753081658</v>
      </c>
      <c r="X45" s="33">
        <v>96485</v>
      </c>
      <c r="Y45" s="16">
        <f t="shared" si="7"/>
        <v>31.268400199559157</v>
      </c>
      <c r="Z45" s="2">
        <v>14</v>
      </c>
      <c r="AA45" s="2">
        <v>15</v>
      </c>
      <c r="AB45" s="8">
        <f t="shared" si="8"/>
        <v>0.58947368421052626</v>
      </c>
      <c r="AC45" s="16">
        <f t="shared" si="9"/>
        <v>55.544522442813019</v>
      </c>
      <c r="AD45" s="20">
        <f>'PFAS Properties'!$W$20</f>
        <v>7</v>
      </c>
      <c r="AE45" s="8">
        <f>'PFAS Properties'!$S$20</f>
        <v>2.4449811120879446</v>
      </c>
      <c r="AF45" s="2">
        <f>'PFAS Properties'!$V$20</f>
        <v>5.0999999999999996</v>
      </c>
      <c r="AG45" s="24">
        <v>8.4</v>
      </c>
      <c r="AH45" s="2" t="s">
        <v>355</v>
      </c>
      <c r="AI45" s="2" t="s">
        <v>661</v>
      </c>
      <c r="AJ45" s="2" t="s">
        <v>661</v>
      </c>
      <c r="AK45" s="2" t="s">
        <v>661</v>
      </c>
      <c r="AL45" s="2" t="s">
        <v>661</v>
      </c>
      <c r="AM45" s="2" t="s">
        <v>661</v>
      </c>
      <c r="AN45" s="2" t="s">
        <v>661</v>
      </c>
      <c r="AO45" s="2" t="s">
        <v>661</v>
      </c>
      <c r="AP45" s="16">
        <v>22.5</v>
      </c>
      <c r="AQ45" s="2" t="s">
        <v>661</v>
      </c>
      <c r="AR45" s="71">
        <v>31.346399999999999</v>
      </c>
      <c r="AS45" s="71">
        <v>39.162100000000002</v>
      </c>
      <c r="AT45" s="71">
        <v>29.6173</v>
      </c>
      <c r="AU45" s="70" t="s">
        <v>752</v>
      </c>
      <c r="AV45" s="16">
        <f t="shared" si="10"/>
        <v>100.1258</v>
      </c>
      <c r="AW45" s="18">
        <v>0.9</v>
      </c>
      <c r="AX45" s="13">
        <f t="shared" si="14"/>
        <v>9.0000000000000011E-3</v>
      </c>
      <c r="AY45" s="8" t="s">
        <v>111</v>
      </c>
      <c r="AZ45" s="15">
        <v>0.2</v>
      </c>
      <c r="BA45" s="16">
        <v>15</v>
      </c>
      <c r="BB45" s="12" t="s">
        <v>55</v>
      </c>
      <c r="BC45" s="12" t="s">
        <v>55</v>
      </c>
      <c r="BD45" s="25">
        <f>BO45</f>
        <v>15.831635542528499</v>
      </c>
      <c r="BE45" s="16">
        <f t="shared" si="11"/>
        <v>1759.0706158364997</v>
      </c>
      <c r="BF45" s="16">
        <f t="shared" si="12"/>
        <v>3.2452832740524311</v>
      </c>
      <c r="BG45" s="8">
        <f t="shared" si="13"/>
        <v>1.1995257834917559</v>
      </c>
      <c r="BH45" s="13" t="s">
        <v>782</v>
      </c>
      <c r="BI45" s="16">
        <f>10^3.2</f>
        <v>1584.8931924611156</v>
      </c>
      <c r="BJ45" s="16" t="s">
        <v>330</v>
      </c>
      <c r="BK45" s="8">
        <v>0.21</v>
      </c>
      <c r="BL45" s="16">
        <f>BI45*(K45/1000)/(K45^BK45)</f>
        <v>219.31122566309</v>
      </c>
      <c r="BM45" s="25">
        <f>'PFAS Properties'!$U$20</f>
        <v>27.860000000000003</v>
      </c>
      <c r="BN45" s="16">
        <f>(BL45*(BM45^BK45))</f>
        <v>441.06936621484402</v>
      </c>
      <c r="BO45" s="25">
        <f>BN45/BM45</f>
        <v>15.831635542528499</v>
      </c>
    </row>
    <row r="46" spans="1:67" s="14" customFormat="1" x14ac:dyDescent="0.3">
      <c r="A46" s="20">
        <v>45</v>
      </c>
      <c r="B46" s="2" t="s">
        <v>230</v>
      </c>
      <c r="C46" s="2">
        <v>2019</v>
      </c>
      <c r="D46" s="2" t="s">
        <v>203</v>
      </c>
      <c r="E46" s="10" t="s">
        <v>231</v>
      </c>
      <c r="F46" s="20" t="s">
        <v>29</v>
      </c>
      <c r="G46" s="2" t="s">
        <v>114</v>
      </c>
      <c r="H46" s="2" t="str">
        <f>'PFAS Properties'!$B$20</f>
        <v>PFOAAmS</v>
      </c>
      <c r="I46" s="2" t="str">
        <f>'PFAS Properties'!$C$20</f>
        <v>Betaine</v>
      </c>
      <c r="J46" s="2" t="str">
        <f>'PFAS Properties'!$D$20</f>
        <v>C14H16F15N2O+</v>
      </c>
      <c r="K46" s="25">
        <f>'PFAS Properties'!$P$20</f>
        <v>513.1019</v>
      </c>
      <c r="L46" s="2">
        <f>'PFAS Properties'!$X$20</f>
        <v>7.7</v>
      </c>
      <c r="M46" s="2" t="str">
        <f>'PFAS Properties'!$Y$20</f>
        <v>-</v>
      </c>
      <c r="N46" s="33">
        <f t="shared" si="18"/>
        <v>0.24025307335204252</v>
      </c>
      <c r="O46" s="33">
        <f t="shared" si="19"/>
        <v>0.75974692664795762</v>
      </c>
      <c r="P46" s="33">
        <v>0</v>
      </c>
      <c r="Q46" s="33">
        <v>0</v>
      </c>
      <c r="R46" s="33">
        <v>0</v>
      </c>
      <c r="S46" s="33">
        <v>0</v>
      </c>
      <c r="T46" s="8">
        <f t="shared" ref="T46:T68" si="20">SUM(N46:S46)</f>
        <v>1.0000000000000002</v>
      </c>
      <c r="U46" s="33">
        <f t="shared" si="4"/>
        <v>1.0000000000000002</v>
      </c>
      <c r="V46" s="33">
        <f t="shared" si="5"/>
        <v>-0.75974692664795762</v>
      </c>
      <c r="W46" s="33">
        <f t="shared" si="6"/>
        <v>513.34215307335216</v>
      </c>
      <c r="X46" s="33">
        <v>96485</v>
      </c>
      <c r="Y46" s="16">
        <f t="shared" si="7"/>
        <v>45.156661387710919</v>
      </c>
      <c r="Z46" s="2">
        <v>14</v>
      </c>
      <c r="AA46" s="2">
        <v>15</v>
      </c>
      <c r="AB46" s="8">
        <f t="shared" si="8"/>
        <v>0.58947368421052626</v>
      </c>
      <c r="AC46" s="16">
        <f t="shared" si="9"/>
        <v>55.544522442813019</v>
      </c>
      <c r="AD46" s="20">
        <f>'PFAS Properties'!$W$20</f>
        <v>7</v>
      </c>
      <c r="AE46" s="8">
        <f>'PFAS Properties'!$S$20</f>
        <v>2.4449811120879446</v>
      </c>
      <c r="AF46" s="2">
        <f>'PFAS Properties'!$V$20</f>
        <v>5.0999999999999996</v>
      </c>
      <c r="AG46" s="24">
        <v>8.1999999999999993</v>
      </c>
      <c r="AH46" s="2" t="s">
        <v>355</v>
      </c>
      <c r="AI46" s="2" t="s">
        <v>661</v>
      </c>
      <c r="AJ46" s="2" t="s">
        <v>661</v>
      </c>
      <c r="AK46" s="2" t="s">
        <v>661</v>
      </c>
      <c r="AL46" s="2" t="s">
        <v>661</v>
      </c>
      <c r="AM46" s="2" t="s">
        <v>661</v>
      </c>
      <c r="AN46" s="2" t="s">
        <v>661</v>
      </c>
      <c r="AO46" s="2" t="s">
        <v>661</v>
      </c>
      <c r="AP46" s="16">
        <v>38.200000000000003</v>
      </c>
      <c r="AQ46" s="2" t="s">
        <v>661</v>
      </c>
      <c r="AR46" s="71">
        <v>33.491900000000001</v>
      </c>
      <c r="AS46" s="71">
        <v>33.659599999999998</v>
      </c>
      <c r="AT46" s="71">
        <v>31.685300000000002</v>
      </c>
      <c r="AU46" s="70" t="s">
        <v>752</v>
      </c>
      <c r="AV46" s="16">
        <f t="shared" si="10"/>
        <v>98.836799999999997</v>
      </c>
      <c r="AW46" s="18">
        <v>1.2</v>
      </c>
      <c r="AX46" s="13">
        <f t="shared" si="14"/>
        <v>1.2E-2</v>
      </c>
      <c r="AY46" s="8" t="s">
        <v>111</v>
      </c>
      <c r="AZ46" s="15">
        <v>0.2</v>
      </c>
      <c r="BA46" s="16">
        <v>15</v>
      </c>
      <c r="BB46" s="12" t="s">
        <v>55</v>
      </c>
      <c r="BC46" s="12" t="s">
        <v>55</v>
      </c>
      <c r="BD46" s="25">
        <f>BO46</f>
        <v>28.782830916403558</v>
      </c>
      <c r="BE46" s="16">
        <f t="shared" si="11"/>
        <v>2398.5692430336298</v>
      </c>
      <c r="BF46" s="16">
        <f t="shared" si="12"/>
        <v>3.3799522604018106</v>
      </c>
      <c r="BG46" s="8">
        <f t="shared" si="13"/>
        <v>1.4591335064494353</v>
      </c>
      <c r="BH46" s="13" t="s">
        <v>782</v>
      </c>
      <c r="BI46" s="16">
        <f>10^3.7</f>
        <v>5011.8723362727324</v>
      </c>
      <c r="BJ46" s="16" t="s">
        <v>330</v>
      </c>
      <c r="BK46" s="8">
        <v>0.4</v>
      </c>
      <c r="BL46" s="16">
        <f>BI46*(K46/1000)/(K46^BK46)</f>
        <v>211.89571465726797</v>
      </c>
      <c r="BM46" s="25">
        <f>'PFAS Properties'!$U$20</f>
        <v>27.860000000000003</v>
      </c>
      <c r="BN46" s="16">
        <f>(BL46*(BM46^BK46))</f>
        <v>801.88966933100323</v>
      </c>
      <c r="BO46" s="25">
        <f>BN46/BM46</f>
        <v>28.782830916403558</v>
      </c>
    </row>
    <row r="47" spans="1:67" s="14" customFormat="1" x14ac:dyDescent="0.3">
      <c r="A47" s="20">
        <v>46</v>
      </c>
      <c r="B47" s="2" t="s">
        <v>230</v>
      </c>
      <c r="C47" s="2">
        <v>2019</v>
      </c>
      <c r="D47" s="2" t="s">
        <v>203</v>
      </c>
      <c r="E47" s="10" t="s">
        <v>231</v>
      </c>
      <c r="F47" s="20" t="s">
        <v>29</v>
      </c>
      <c r="G47" s="2" t="s">
        <v>115</v>
      </c>
      <c r="H47" s="2" t="str">
        <f>'PFAS Properties'!$B$20</f>
        <v>PFOAAmS</v>
      </c>
      <c r="I47" s="2" t="str">
        <f>'PFAS Properties'!$C$20</f>
        <v>Betaine</v>
      </c>
      <c r="J47" s="2" t="str">
        <f>'PFAS Properties'!$D$20</f>
        <v>C14H16F15N2O+</v>
      </c>
      <c r="K47" s="25">
        <f>'PFAS Properties'!$P$20</f>
        <v>513.1019</v>
      </c>
      <c r="L47" s="2">
        <f>'PFAS Properties'!$X$20</f>
        <v>7.7</v>
      </c>
      <c r="M47" s="2" t="str">
        <f>'PFAS Properties'!$Y$20</f>
        <v>-</v>
      </c>
      <c r="N47" s="33">
        <f t="shared" si="18"/>
        <v>0.24025307335204252</v>
      </c>
      <c r="O47" s="33">
        <f t="shared" si="19"/>
        <v>0.75974692664795762</v>
      </c>
      <c r="P47" s="33">
        <v>0</v>
      </c>
      <c r="Q47" s="33">
        <v>0</v>
      </c>
      <c r="R47" s="33">
        <v>0</v>
      </c>
      <c r="S47" s="33">
        <v>0</v>
      </c>
      <c r="T47" s="8">
        <f t="shared" si="20"/>
        <v>1.0000000000000002</v>
      </c>
      <c r="U47" s="33">
        <f t="shared" si="4"/>
        <v>1.0000000000000002</v>
      </c>
      <c r="V47" s="33">
        <f t="shared" si="5"/>
        <v>-0.75974692664795762</v>
      </c>
      <c r="W47" s="33">
        <f t="shared" si="6"/>
        <v>513.34215307335216</v>
      </c>
      <c r="X47" s="33">
        <v>96485</v>
      </c>
      <c r="Y47" s="16">
        <f t="shared" si="7"/>
        <v>45.156661387710919</v>
      </c>
      <c r="Z47" s="2">
        <v>14</v>
      </c>
      <c r="AA47" s="2">
        <v>15</v>
      </c>
      <c r="AB47" s="8">
        <f t="shared" si="8"/>
        <v>0.58947368421052626</v>
      </c>
      <c r="AC47" s="16">
        <f t="shared" si="9"/>
        <v>55.544522442813019</v>
      </c>
      <c r="AD47" s="20">
        <f>'PFAS Properties'!$W$20</f>
        <v>7</v>
      </c>
      <c r="AE47" s="8">
        <f>'PFAS Properties'!$S$20</f>
        <v>2.4449811120879446</v>
      </c>
      <c r="AF47" s="2">
        <f>'PFAS Properties'!$V$20</f>
        <v>5.0999999999999996</v>
      </c>
      <c r="AG47" s="24">
        <v>8.1999999999999993</v>
      </c>
      <c r="AH47" s="2" t="s">
        <v>355</v>
      </c>
      <c r="AI47" s="2" t="s">
        <v>661</v>
      </c>
      <c r="AJ47" s="2" t="s">
        <v>661</v>
      </c>
      <c r="AK47" s="2" t="s">
        <v>661</v>
      </c>
      <c r="AL47" s="2" t="s">
        <v>661</v>
      </c>
      <c r="AM47" s="2" t="s">
        <v>661</v>
      </c>
      <c r="AN47" s="2" t="s">
        <v>661</v>
      </c>
      <c r="AO47" s="2" t="s">
        <v>661</v>
      </c>
      <c r="AP47" s="16">
        <v>41</v>
      </c>
      <c r="AQ47" s="2" t="s">
        <v>661</v>
      </c>
      <c r="AR47" s="71">
        <v>34.556900000000013</v>
      </c>
      <c r="AS47" s="71">
        <v>33.706099999999999</v>
      </c>
      <c r="AT47" s="71">
        <v>30.8308</v>
      </c>
      <c r="AU47" s="70" t="s">
        <v>752</v>
      </c>
      <c r="AV47" s="16">
        <f t="shared" si="10"/>
        <v>99.093800000000002</v>
      </c>
      <c r="AW47" s="18">
        <v>5.3</v>
      </c>
      <c r="AX47" s="13">
        <f t="shared" si="14"/>
        <v>5.2999999999999999E-2</v>
      </c>
      <c r="AY47" s="8" t="s">
        <v>111</v>
      </c>
      <c r="AZ47" s="15">
        <v>0.2</v>
      </c>
      <c r="BA47" s="16">
        <v>15</v>
      </c>
      <c r="BB47" s="12" t="s">
        <v>55</v>
      </c>
      <c r="BC47" s="12" t="s">
        <v>55</v>
      </c>
      <c r="BD47" s="25">
        <f>BO47</f>
        <v>106.18129911255488</v>
      </c>
      <c r="BE47" s="16">
        <f t="shared" si="11"/>
        <v>2003.4207379727336</v>
      </c>
      <c r="BF47" s="16">
        <f t="shared" si="12"/>
        <v>3.3017721649658722</v>
      </c>
      <c r="BG47" s="8">
        <f t="shared" si="13"/>
        <v>2.0260480345666609</v>
      </c>
      <c r="BH47" s="13" t="s">
        <v>782</v>
      </c>
      <c r="BI47" s="16">
        <f>10^3.9</f>
        <v>7943.2823472428154</v>
      </c>
      <c r="BJ47" s="16" t="s">
        <v>330</v>
      </c>
      <c r="BK47" s="8">
        <v>0.11</v>
      </c>
      <c r="BL47" s="16">
        <f>BI47*(K47/1000)/(K47^BK47)</f>
        <v>2051.5458351943957</v>
      </c>
      <c r="BM47" s="25">
        <f>'PFAS Properties'!$U$20</f>
        <v>27.860000000000003</v>
      </c>
      <c r="BN47" s="16">
        <f>(BL47*(BM47^BK47))</f>
        <v>2958.2109932757794</v>
      </c>
      <c r="BO47" s="25">
        <f>BN47/BM47</f>
        <v>106.18129911255488</v>
      </c>
    </row>
    <row r="48" spans="1:67" s="14" customFormat="1" x14ac:dyDescent="0.3">
      <c r="A48" s="20">
        <v>47</v>
      </c>
      <c r="B48" s="2" t="s">
        <v>242</v>
      </c>
      <c r="C48" s="2">
        <v>2018</v>
      </c>
      <c r="D48" s="2" t="s">
        <v>243</v>
      </c>
      <c r="E48" s="10" t="s">
        <v>788</v>
      </c>
      <c r="F48" s="20" t="s">
        <v>29</v>
      </c>
      <c r="G48" s="2" t="s">
        <v>129</v>
      </c>
      <c r="H48" s="2" t="str">
        <f>'PFAS Properties'!$B$21</f>
        <v>PFOAB</v>
      </c>
      <c r="I48" s="2" t="str">
        <f>'PFAS Properties'!$C$21</f>
        <v>Betaine</v>
      </c>
      <c r="J48" s="2" t="str">
        <f>'PFAS Properties'!$D$21</f>
        <v>C15H15F15N2O3</v>
      </c>
      <c r="K48" s="25">
        <f>'PFAS Properties'!$P$21</f>
        <v>556.08389999999997</v>
      </c>
      <c r="L48" s="2">
        <f>'PFAS Properties'!$X$21</f>
        <v>2.2999999999999998</v>
      </c>
      <c r="M48" s="2">
        <f>'PFAS Properties'!$Y$21</f>
        <v>7.8</v>
      </c>
      <c r="N48" s="33">
        <f t="shared" ref="N48:N68" si="21">1/(1+(10^(AG48-L48))+(10^((2*AG48)-L48-M48)))</f>
        <v>6.7435099292343498E-4</v>
      </c>
      <c r="O48" s="33">
        <f t="shared" ref="O48:O68" si="22">1/(1+(10^(L48-AG48))+(10^(AG48-M48)))</f>
        <v>0.99468599066067098</v>
      </c>
      <c r="P48" s="33">
        <f t="shared" ref="P48:P58" si="23">1/(1+(10^(M48-AG48))+(10^((L48+M48)-(2*AG48))))</f>
        <v>4.6396583464056755E-3</v>
      </c>
      <c r="Q48" s="33">
        <v>0</v>
      </c>
      <c r="R48" s="33">
        <v>0</v>
      </c>
      <c r="S48" s="33">
        <v>0</v>
      </c>
      <c r="T48" s="8">
        <f t="shared" si="20"/>
        <v>1.0000000000000002</v>
      </c>
      <c r="U48" s="33">
        <f t="shared" si="4"/>
        <v>1.0000000000000002</v>
      </c>
      <c r="V48" s="33">
        <f t="shared" si="5"/>
        <v>-1.0039653073534824</v>
      </c>
      <c r="W48" s="33">
        <f t="shared" si="6"/>
        <v>556.07993469264659</v>
      </c>
      <c r="X48" s="33">
        <v>96485</v>
      </c>
      <c r="Y48" s="16">
        <f t="shared" si="7"/>
        <v>-0.6880174164388726</v>
      </c>
      <c r="Z48" s="16">
        <v>14</v>
      </c>
      <c r="AA48" s="16">
        <v>15</v>
      </c>
      <c r="AB48" s="8">
        <f t="shared" si="8"/>
        <v>0.58947368421052626</v>
      </c>
      <c r="AC48" s="16">
        <f t="shared" si="9"/>
        <v>51.251259027639541</v>
      </c>
      <c r="AD48" s="20">
        <f>'PFAS Properties'!$W$21</f>
        <v>7</v>
      </c>
      <c r="AE48" s="8">
        <f>'PFAS Properties'!$S$21</f>
        <v>2.7971289877965524</v>
      </c>
      <c r="AF48" s="2">
        <f>'PFAS Properties'!$V$21</f>
        <v>5.3</v>
      </c>
      <c r="AG48" s="124">
        <v>5.4687999999999999</v>
      </c>
      <c r="AH48" s="70" t="s">
        <v>752</v>
      </c>
      <c r="AI48" s="2" t="s">
        <v>661</v>
      </c>
      <c r="AJ48" s="15" t="s">
        <v>661</v>
      </c>
      <c r="AK48" s="8" t="s">
        <v>661</v>
      </c>
      <c r="AL48" s="2" t="s">
        <v>661</v>
      </c>
      <c r="AM48" s="15" t="s">
        <v>661</v>
      </c>
      <c r="AN48" s="8" t="s">
        <v>661</v>
      </c>
      <c r="AO48" s="15" t="s">
        <v>661</v>
      </c>
      <c r="AP48" s="71">
        <v>21.5806</v>
      </c>
      <c r="AQ48" s="70" t="s">
        <v>752</v>
      </c>
      <c r="AR48" s="71">
        <v>41.737499999999997</v>
      </c>
      <c r="AS48" s="71">
        <v>35.036999999999999</v>
      </c>
      <c r="AT48" s="71">
        <v>21.887</v>
      </c>
      <c r="AU48" s="70" t="s">
        <v>752</v>
      </c>
      <c r="AV48" s="16">
        <f t="shared" si="10"/>
        <v>98.66149999999999</v>
      </c>
      <c r="AW48" s="18">
        <v>46.9</v>
      </c>
      <c r="AX48" s="13">
        <f t="shared" si="14"/>
        <v>0.46899999999999997</v>
      </c>
      <c r="AY48" s="13" t="s">
        <v>344</v>
      </c>
      <c r="AZ48" s="15">
        <f>0.01/0.05</f>
        <v>0.19999999999999998</v>
      </c>
      <c r="BA48" s="16" t="s">
        <v>55</v>
      </c>
      <c r="BB48" s="15">
        <v>2</v>
      </c>
      <c r="BC48" s="16">
        <v>3500</v>
      </c>
      <c r="BD48" s="25">
        <f>10^1.7</f>
        <v>50.118723362727238</v>
      </c>
      <c r="BE48" s="16">
        <f t="shared" si="11"/>
        <v>106.86294960069775</v>
      </c>
      <c r="BF48" s="8">
        <f t="shared" si="12"/>
        <v>2.0288271572849168</v>
      </c>
      <c r="BG48" s="8">
        <f t="shared" si="13"/>
        <v>1.7000000000000002</v>
      </c>
      <c r="BH48" s="13" t="s">
        <v>346</v>
      </c>
      <c r="BI48" s="47"/>
      <c r="BJ48" s="48"/>
      <c r="BK48" s="49"/>
      <c r="BL48" s="51"/>
      <c r="BM48" s="50"/>
      <c r="BN48" s="47"/>
      <c r="BO48" s="52"/>
    </row>
    <row r="49" spans="1:67" s="14" customFormat="1" x14ac:dyDescent="0.3">
      <c r="A49" s="20">
        <v>48</v>
      </c>
      <c r="B49" s="2" t="s">
        <v>775</v>
      </c>
      <c r="C49" s="2">
        <v>2021</v>
      </c>
      <c r="D49" s="2" t="s">
        <v>203</v>
      </c>
      <c r="E49" s="10" t="s">
        <v>786</v>
      </c>
      <c r="F49" s="20" t="s">
        <v>29</v>
      </c>
      <c r="G49" s="2" t="s">
        <v>116</v>
      </c>
      <c r="H49" s="2" t="str">
        <f>'PFAS Properties'!$B$21</f>
        <v>PFOAB</v>
      </c>
      <c r="I49" s="2" t="str">
        <f>'PFAS Properties'!$C$21</f>
        <v>Betaine</v>
      </c>
      <c r="J49" s="2" t="str">
        <f>'PFAS Properties'!$D$21</f>
        <v>C15H15F15N2O3</v>
      </c>
      <c r="K49" s="25">
        <f>'PFAS Properties'!$P$21</f>
        <v>556.08389999999997</v>
      </c>
      <c r="L49" s="2">
        <f>'PFAS Properties'!$X$21</f>
        <v>2.2999999999999998</v>
      </c>
      <c r="M49" s="2">
        <f>'PFAS Properties'!$Y$21</f>
        <v>7.8</v>
      </c>
      <c r="N49" s="33">
        <f t="shared" si="21"/>
        <v>3.5993370466973346E-6</v>
      </c>
      <c r="O49" s="33">
        <f t="shared" si="22"/>
        <v>0.64006269599321897</v>
      </c>
      <c r="P49" s="33">
        <f t="shared" si="23"/>
        <v>0.35993370466973423</v>
      </c>
      <c r="Q49" s="33">
        <v>0</v>
      </c>
      <c r="R49" s="33">
        <v>0</v>
      </c>
      <c r="S49" s="33">
        <v>0</v>
      </c>
      <c r="T49" s="8">
        <f t="shared" si="20"/>
        <v>1</v>
      </c>
      <c r="U49" s="33">
        <f t="shared" si="4"/>
        <v>1</v>
      </c>
      <c r="V49" s="33">
        <f t="shared" si="5"/>
        <v>-1.3599301053326873</v>
      </c>
      <c r="W49" s="33">
        <f t="shared" si="6"/>
        <v>555.72396989466722</v>
      </c>
      <c r="X49" s="33">
        <v>96485</v>
      </c>
      <c r="Y49" s="16">
        <f t="shared" si="7"/>
        <v>-62.491197238813911</v>
      </c>
      <c r="Z49" s="16">
        <v>14</v>
      </c>
      <c r="AA49" s="16">
        <v>15</v>
      </c>
      <c r="AB49" s="8">
        <f t="shared" si="8"/>
        <v>0.58947368421052626</v>
      </c>
      <c r="AC49" s="16">
        <f t="shared" si="9"/>
        <v>51.251259027639541</v>
      </c>
      <c r="AD49" s="20">
        <f>'PFAS Properties'!$W$21</f>
        <v>7</v>
      </c>
      <c r="AE49" s="8">
        <f>'PFAS Properties'!$S$21</f>
        <v>2.7971289877965524</v>
      </c>
      <c r="AF49" s="2">
        <f>'PFAS Properties'!$V$21</f>
        <v>5.3</v>
      </c>
      <c r="AG49" s="24">
        <v>7.55</v>
      </c>
      <c r="AH49" s="15" t="s">
        <v>830</v>
      </c>
      <c r="AI49" s="2" t="s">
        <v>661</v>
      </c>
      <c r="AJ49" s="2" t="s">
        <v>661</v>
      </c>
      <c r="AK49" s="2" t="s">
        <v>661</v>
      </c>
      <c r="AL49" s="2" t="s">
        <v>661</v>
      </c>
      <c r="AM49" s="2" t="s">
        <v>661</v>
      </c>
      <c r="AN49" s="2" t="s">
        <v>661</v>
      </c>
      <c r="AO49" s="2" t="s">
        <v>661</v>
      </c>
      <c r="AP49" s="15">
        <v>2.52</v>
      </c>
      <c r="AQ49" s="16" t="s">
        <v>689</v>
      </c>
      <c r="AR49" s="16">
        <v>45.3</v>
      </c>
      <c r="AS49" s="16">
        <v>30</v>
      </c>
      <c r="AT49" s="16">
        <v>24.7</v>
      </c>
      <c r="AU49" s="16" t="s">
        <v>664</v>
      </c>
      <c r="AV49" s="16">
        <f t="shared" si="10"/>
        <v>100</v>
      </c>
      <c r="AW49" s="18">
        <v>3.4</v>
      </c>
      <c r="AX49" s="13">
        <f t="shared" si="14"/>
        <v>3.4000000000000002E-2</v>
      </c>
      <c r="AY49" s="8" t="s">
        <v>342</v>
      </c>
      <c r="AZ49" s="16">
        <f>1/0.01</f>
        <v>100</v>
      </c>
      <c r="BA49" s="16" t="s">
        <v>55</v>
      </c>
      <c r="BB49" s="15">
        <f>5*K49/1000</f>
        <v>2.7804194999999998</v>
      </c>
      <c r="BC49" s="16">
        <f>5000*K49/1000</f>
        <v>2780.4195</v>
      </c>
      <c r="BD49" s="18">
        <f>25.7*AX49</f>
        <v>0.87380000000000002</v>
      </c>
      <c r="BE49" s="16">
        <f t="shared" si="11"/>
        <v>25.7</v>
      </c>
      <c r="BF49" s="8">
        <f t="shared" si="12"/>
        <v>1.4099331233312946</v>
      </c>
      <c r="BG49" s="8">
        <f t="shared" si="13"/>
        <v>-5.8587959626450331E-2</v>
      </c>
      <c r="BH49" s="13" t="s">
        <v>343</v>
      </c>
      <c r="BI49" s="51"/>
      <c r="BJ49" s="48"/>
      <c r="BK49" s="49"/>
      <c r="BL49" s="51"/>
      <c r="BM49" s="50"/>
      <c r="BN49" s="47"/>
      <c r="BO49" s="52"/>
    </row>
    <row r="50" spans="1:67" s="14" customFormat="1" x14ac:dyDescent="0.3">
      <c r="A50" s="20">
        <v>49</v>
      </c>
      <c r="B50" s="2" t="s">
        <v>775</v>
      </c>
      <c r="C50" s="2">
        <v>2021</v>
      </c>
      <c r="D50" s="2" t="s">
        <v>203</v>
      </c>
      <c r="E50" s="10" t="s">
        <v>786</v>
      </c>
      <c r="F50" s="20" t="s">
        <v>29</v>
      </c>
      <c r="G50" s="2" t="s">
        <v>117</v>
      </c>
      <c r="H50" s="2" t="str">
        <f>'PFAS Properties'!$B$21</f>
        <v>PFOAB</v>
      </c>
      <c r="I50" s="2" t="str">
        <f>'PFAS Properties'!$C$21</f>
        <v>Betaine</v>
      </c>
      <c r="J50" s="2" t="str">
        <f>'PFAS Properties'!$D$21</f>
        <v>C15H15F15N2O3</v>
      </c>
      <c r="K50" s="25">
        <f>'PFAS Properties'!$P$21</f>
        <v>556.08389999999997</v>
      </c>
      <c r="L50" s="2">
        <f>'PFAS Properties'!$X$21</f>
        <v>2.2999999999999998</v>
      </c>
      <c r="M50" s="2">
        <f>'PFAS Properties'!$Y$21</f>
        <v>7.8</v>
      </c>
      <c r="N50" s="33">
        <f t="shared" si="21"/>
        <v>3.445747815494851E-7</v>
      </c>
      <c r="O50" s="33">
        <f t="shared" si="22"/>
        <v>0.28008089754400023</v>
      </c>
      <c r="P50" s="33">
        <f t="shared" si="23"/>
        <v>0.71991875788121829</v>
      </c>
      <c r="Q50" s="33">
        <v>0</v>
      </c>
      <c r="R50" s="33">
        <v>0</v>
      </c>
      <c r="S50" s="33">
        <v>0</v>
      </c>
      <c r="T50" s="8">
        <f t="shared" si="20"/>
        <v>1</v>
      </c>
      <c r="U50" s="33">
        <f t="shared" si="4"/>
        <v>1</v>
      </c>
      <c r="V50" s="33">
        <f t="shared" si="5"/>
        <v>-1.7199184133064369</v>
      </c>
      <c r="W50" s="33">
        <f t="shared" si="6"/>
        <v>555.36398158669363</v>
      </c>
      <c r="X50" s="33">
        <v>96485</v>
      </c>
      <c r="Y50" s="16">
        <f t="shared" si="7"/>
        <v>-125.07352008932629</v>
      </c>
      <c r="Z50" s="16">
        <v>14</v>
      </c>
      <c r="AA50" s="16">
        <v>15</v>
      </c>
      <c r="AB50" s="8">
        <f t="shared" si="8"/>
        <v>0.58947368421052626</v>
      </c>
      <c r="AC50" s="16">
        <f t="shared" si="9"/>
        <v>51.251259027639541</v>
      </c>
      <c r="AD50" s="20">
        <f>'PFAS Properties'!$W$21</f>
        <v>7</v>
      </c>
      <c r="AE50" s="8">
        <f>'PFAS Properties'!$S$21</f>
        <v>2.7971289877965524</v>
      </c>
      <c r="AF50" s="2">
        <f>'PFAS Properties'!$V$21</f>
        <v>5.3</v>
      </c>
      <c r="AG50" s="24">
        <v>8.2100000000000009</v>
      </c>
      <c r="AH50" s="15" t="s">
        <v>830</v>
      </c>
      <c r="AI50" s="2" t="s">
        <v>661</v>
      </c>
      <c r="AJ50" s="2" t="s">
        <v>661</v>
      </c>
      <c r="AK50" s="2" t="s">
        <v>661</v>
      </c>
      <c r="AL50" s="2" t="s">
        <v>661</v>
      </c>
      <c r="AM50" s="2" t="s">
        <v>661</v>
      </c>
      <c r="AN50" s="2" t="s">
        <v>661</v>
      </c>
      <c r="AO50" s="2" t="s">
        <v>661</v>
      </c>
      <c r="AP50" s="15">
        <v>11.4</v>
      </c>
      <c r="AQ50" s="16" t="s">
        <v>689</v>
      </c>
      <c r="AR50" s="16">
        <v>28.7</v>
      </c>
      <c r="AS50" s="16">
        <v>40</v>
      </c>
      <c r="AT50" s="16">
        <v>31.3</v>
      </c>
      <c r="AU50" s="16" t="s">
        <v>664</v>
      </c>
      <c r="AV50" s="16">
        <f t="shared" si="10"/>
        <v>100</v>
      </c>
      <c r="AW50" s="18">
        <v>1.7</v>
      </c>
      <c r="AX50" s="13">
        <f t="shared" si="14"/>
        <v>1.7000000000000001E-2</v>
      </c>
      <c r="AY50" s="8" t="s">
        <v>342</v>
      </c>
      <c r="AZ50" s="16">
        <f>1/0.01</f>
        <v>100</v>
      </c>
      <c r="BA50" s="16" t="s">
        <v>55</v>
      </c>
      <c r="BB50" s="15">
        <f>5*K50/1000</f>
        <v>2.7804194999999998</v>
      </c>
      <c r="BC50" s="16">
        <f>5000*K50/1000</f>
        <v>2780.4195</v>
      </c>
      <c r="BD50" s="24">
        <f>270.2*AX50</f>
        <v>4.5933999999999999</v>
      </c>
      <c r="BE50" s="16">
        <f t="shared" si="11"/>
        <v>270.2</v>
      </c>
      <c r="BF50" s="8">
        <f t="shared" si="12"/>
        <v>2.4316853446860116</v>
      </c>
      <c r="BG50" s="8">
        <f t="shared" si="13"/>
        <v>0.66213426606428571</v>
      </c>
      <c r="BH50" s="13" t="s">
        <v>343</v>
      </c>
      <c r="BI50" s="51"/>
      <c r="BJ50" s="48"/>
      <c r="BK50" s="49"/>
      <c r="BL50" s="51"/>
      <c r="BM50" s="50"/>
      <c r="BN50" s="47"/>
      <c r="BO50" s="52"/>
    </row>
    <row r="51" spans="1:67" s="14" customFormat="1" x14ac:dyDescent="0.3">
      <c r="A51" s="20">
        <v>50</v>
      </c>
      <c r="B51" s="2" t="s">
        <v>775</v>
      </c>
      <c r="C51" s="2">
        <v>2021</v>
      </c>
      <c r="D51" s="2" t="s">
        <v>203</v>
      </c>
      <c r="E51" s="10" t="s">
        <v>786</v>
      </c>
      <c r="F51" s="20" t="s">
        <v>29</v>
      </c>
      <c r="G51" s="2" t="s">
        <v>118</v>
      </c>
      <c r="H51" s="2" t="str">
        <f>'PFAS Properties'!$B$21</f>
        <v>PFOAB</v>
      </c>
      <c r="I51" s="2" t="str">
        <f>'PFAS Properties'!$C$21</f>
        <v>Betaine</v>
      </c>
      <c r="J51" s="2" t="str">
        <f>'PFAS Properties'!$D$21</f>
        <v>C15H15F15N2O3</v>
      </c>
      <c r="K51" s="25">
        <f>'PFAS Properties'!$P$21</f>
        <v>556.08389999999997</v>
      </c>
      <c r="L51" s="2">
        <f>'PFAS Properties'!$X$21</f>
        <v>2.2999999999999998</v>
      </c>
      <c r="M51" s="2">
        <f>'PFAS Properties'!$Y$21</f>
        <v>7.8</v>
      </c>
      <c r="N51" s="33">
        <f t="shared" si="21"/>
        <v>5.0714183599219327E-5</v>
      </c>
      <c r="O51" s="33">
        <f t="shared" si="22"/>
        <v>0.94434228926465436</v>
      </c>
      <c r="P51" s="33">
        <f t="shared" si="23"/>
        <v>5.5606996551746432E-2</v>
      </c>
      <c r="Q51" s="33">
        <v>0</v>
      </c>
      <c r="R51" s="33">
        <v>0</v>
      </c>
      <c r="S51" s="33">
        <v>0</v>
      </c>
      <c r="T51" s="8">
        <f t="shared" si="20"/>
        <v>1</v>
      </c>
      <c r="U51" s="33">
        <f t="shared" si="4"/>
        <v>1</v>
      </c>
      <c r="V51" s="33">
        <f t="shared" si="5"/>
        <v>-1.0555562823681472</v>
      </c>
      <c r="W51" s="33">
        <f t="shared" si="6"/>
        <v>556.02834371763186</v>
      </c>
      <c r="X51" s="33">
        <v>96485</v>
      </c>
      <c r="Y51" s="16">
        <f t="shared" si="7"/>
        <v>-9.6404220483638419</v>
      </c>
      <c r="Z51" s="16">
        <v>14</v>
      </c>
      <c r="AA51" s="16">
        <v>15</v>
      </c>
      <c r="AB51" s="8">
        <f t="shared" si="8"/>
        <v>0.58947368421052626</v>
      </c>
      <c r="AC51" s="16">
        <f t="shared" si="9"/>
        <v>51.251259027639541</v>
      </c>
      <c r="AD51" s="20">
        <f>'PFAS Properties'!$W$21</f>
        <v>7</v>
      </c>
      <c r="AE51" s="8">
        <f>'PFAS Properties'!$S$21</f>
        <v>2.7971289877965524</v>
      </c>
      <c r="AF51" s="2">
        <f>'PFAS Properties'!$V$21</f>
        <v>5.3</v>
      </c>
      <c r="AG51" s="24">
        <v>6.57</v>
      </c>
      <c r="AH51" s="15" t="s">
        <v>830</v>
      </c>
      <c r="AI51" s="2" t="s">
        <v>661</v>
      </c>
      <c r="AJ51" s="2" t="s">
        <v>661</v>
      </c>
      <c r="AK51" s="2" t="s">
        <v>661</v>
      </c>
      <c r="AL51" s="2" t="s">
        <v>661</v>
      </c>
      <c r="AM51" s="2" t="s">
        <v>661</v>
      </c>
      <c r="AN51" s="2" t="s">
        <v>661</v>
      </c>
      <c r="AO51" s="2" t="s">
        <v>661</v>
      </c>
      <c r="AP51" s="15">
        <v>9.93</v>
      </c>
      <c r="AQ51" s="16" t="s">
        <v>689</v>
      </c>
      <c r="AR51" s="16">
        <v>20</v>
      </c>
      <c r="AS51" s="16">
        <v>50</v>
      </c>
      <c r="AT51" s="16">
        <v>30</v>
      </c>
      <c r="AU51" s="16" t="s">
        <v>664</v>
      </c>
      <c r="AV51" s="16">
        <f t="shared" si="10"/>
        <v>100</v>
      </c>
      <c r="AW51" s="18">
        <v>2.9</v>
      </c>
      <c r="AX51" s="13">
        <f t="shared" si="14"/>
        <v>2.8999999999999998E-2</v>
      </c>
      <c r="AY51" s="8" t="s">
        <v>342</v>
      </c>
      <c r="AZ51" s="16">
        <f>1/0.01</f>
        <v>100</v>
      </c>
      <c r="BA51" s="16" t="s">
        <v>55</v>
      </c>
      <c r="BB51" s="15">
        <f>5*K51/1000</f>
        <v>2.7804194999999998</v>
      </c>
      <c r="BC51" s="16">
        <f>5000*K51/1000</f>
        <v>2780.4195</v>
      </c>
      <c r="BD51" s="24">
        <f>165*AX51</f>
        <v>4.7849999999999993</v>
      </c>
      <c r="BE51" s="16">
        <f t="shared" si="11"/>
        <v>164.99999999999997</v>
      </c>
      <c r="BF51" s="8">
        <f t="shared" si="12"/>
        <v>2.2174839442139063</v>
      </c>
      <c r="BG51" s="8">
        <f t="shared" si="13"/>
        <v>0.67988194211286235</v>
      </c>
      <c r="BH51" s="13" t="s">
        <v>343</v>
      </c>
      <c r="BI51" s="49"/>
      <c r="BJ51" s="48"/>
      <c r="BK51" s="49"/>
      <c r="BL51" s="49"/>
      <c r="BM51" s="50"/>
      <c r="BN51" s="47"/>
      <c r="BO51" s="52"/>
    </row>
    <row r="52" spans="1:67" s="14" customFormat="1" x14ac:dyDescent="0.3">
      <c r="A52" s="20">
        <v>51</v>
      </c>
      <c r="B52" s="2" t="s">
        <v>775</v>
      </c>
      <c r="C52" s="2">
        <v>2021</v>
      </c>
      <c r="D52" s="2" t="s">
        <v>203</v>
      </c>
      <c r="E52" s="10" t="s">
        <v>786</v>
      </c>
      <c r="F52" s="20" t="s">
        <v>29</v>
      </c>
      <c r="G52" s="2" t="s">
        <v>119</v>
      </c>
      <c r="H52" s="2" t="str">
        <f>'PFAS Properties'!$B$21</f>
        <v>PFOAB</v>
      </c>
      <c r="I52" s="2" t="str">
        <f>'PFAS Properties'!$C$21</f>
        <v>Betaine</v>
      </c>
      <c r="J52" s="2" t="str">
        <f>'PFAS Properties'!$D$21</f>
        <v>C15H15F15N2O3</v>
      </c>
      <c r="K52" s="25">
        <f>'PFAS Properties'!$P$21</f>
        <v>556.08389999999997</v>
      </c>
      <c r="L52" s="2">
        <f>'PFAS Properties'!$X$21</f>
        <v>2.2999999999999998</v>
      </c>
      <c r="M52" s="2">
        <f>'PFAS Properties'!$Y$21</f>
        <v>7.8</v>
      </c>
      <c r="N52" s="33">
        <f t="shared" si="21"/>
        <v>6.266891148988399E-3</v>
      </c>
      <c r="O52" s="33">
        <f t="shared" si="22"/>
        <v>0.99323531199265291</v>
      </c>
      <c r="P52" s="33">
        <f t="shared" si="23"/>
        <v>4.9779685835851827E-4</v>
      </c>
      <c r="Q52" s="33">
        <v>0</v>
      </c>
      <c r="R52" s="33">
        <v>0</v>
      </c>
      <c r="S52" s="33">
        <v>0</v>
      </c>
      <c r="T52" s="8">
        <f t="shared" si="20"/>
        <v>0.99999999999999978</v>
      </c>
      <c r="U52" s="33">
        <f t="shared" si="4"/>
        <v>0.99999999999999978</v>
      </c>
      <c r="V52" s="33">
        <f t="shared" si="5"/>
        <v>-0.99423090570937001</v>
      </c>
      <c r="W52" s="33">
        <f t="shared" si="6"/>
        <v>556.08966909429046</v>
      </c>
      <c r="X52" s="33">
        <v>96485</v>
      </c>
      <c r="Y52" s="16">
        <f t="shared" si="7"/>
        <v>1.000973572370091</v>
      </c>
      <c r="Z52" s="16">
        <v>14</v>
      </c>
      <c r="AA52" s="16">
        <v>15</v>
      </c>
      <c r="AB52" s="8">
        <f t="shared" si="8"/>
        <v>0.58947368421052626</v>
      </c>
      <c r="AC52" s="16">
        <f t="shared" si="9"/>
        <v>51.251259027639541</v>
      </c>
      <c r="AD52" s="20">
        <f>'PFAS Properties'!$W$21</f>
        <v>7</v>
      </c>
      <c r="AE52" s="8">
        <f>'PFAS Properties'!$S$21</f>
        <v>2.7971289877965524</v>
      </c>
      <c r="AF52" s="2">
        <f>'PFAS Properties'!$V$21</f>
        <v>5.3</v>
      </c>
      <c r="AG52" s="24">
        <v>4.5</v>
      </c>
      <c r="AH52" s="15" t="s">
        <v>830</v>
      </c>
      <c r="AI52" s="2" t="s">
        <v>661</v>
      </c>
      <c r="AJ52" s="2" t="s">
        <v>661</v>
      </c>
      <c r="AK52" s="2" t="s">
        <v>661</v>
      </c>
      <c r="AL52" s="2" t="s">
        <v>661</v>
      </c>
      <c r="AM52" s="2" t="s">
        <v>661</v>
      </c>
      <c r="AN52" s="2" t="s">
        <v>661</v>
      </c>
      <c r="AO52" s="2" t="s">
        <v>661</v>
      </c>
      <c r="AP52" s="71">
        <v>11.497016666666671</v>
      </c>
      <c r="AQ52" s="70" t="s">
        <v>752</v>
      </c>
      <c r="AR52" s="16">
        <v>51.2</v>
      </c>
      <c r="AS52" s="16">
        <v>36.200000000000003</v>
      </c>
      <c r="AT52" s="16">
        <v>12.6</v>
      </c>
      <c r="AU52" s="16" t="s">
        <v>664</v>
      </c>
      <c r="AV52" s="16">
        <f t="shared" si="10"/>
        <v>100</v>
      </c>
      <c r="AW52" s="18">
        <v>7.3</v>
      </c>
      <c r="AX52" s="13">
        <f t="shared" si="14"/>
        <v>7.2999999999999995E-2</v>
      </c>
      <c r="AY52" s="8" t="s">
        <v>342</v>
      </c>
      <c r="AZ52" s="16">
        <f>1/0.01</f>
        <v>100</v>
      </c>
      <c r="BA52" s="16" t="s">
        <v>55</v>
      </c>
      <c r="BB52" s="15">
        <f>5*K52/1000</f>
        <v>2.7804194999999998</v>
      </c>
      <c r="BC52" s="16">
        <f>5000*K52/1000</f>
        <v>2780.4195</v>
      </c>
      <c r="BD52" s="24">
        <f>96.2*AX52</f>
        <v>7.0225999999999997</v>
      </c>
      <c r="BE52" s="16">
        <f t="shared" si="11"/>
        <v>96.2</v>
      </c>
      <c r="BF52" s="8">
        <f t="shared" si="12"/>
        <v>1.983175072037813</v>
      </c>
      <c r="BG52" s="8">
        <f t="shared" si="13"/>
        <v>0.84649793215826885</v>
      </c>
      <c r="BH52" s="13" t="s">
        <v>343</v>
      </c>
      <c r="BI52" s="49"/>
      <c r="BJ52" s="48"/>
      <c r="BK52" s="49"/>
      <c r="BL52" s="49"/>
      <c r="BM52" s="50"/>
      <c r="BN52" s="47"/>
      <c r="BO52" s="52"/>
    </row>
    <row r="53" spans="1:67" s="14" customFormat="1" x14ac:dyDescent="0.3">
      <c r="A53" s="20">
        <v>52</v>
      </c>
      <c r="B53" s="2" t="s">
        <v>775</v>
      </c>
      <c r="C53" s="2">
        <v>2021</v>
      </c>
      <c r="D53" s="2" t="s">
        <v>203</v>
      </c>
      <c r="E53" s="10" t="s">
        <v>786</v>
      </c>
      <c r="F53" s="20" t="s">
        <v>29</v>
      </c>
      <c r="G53" s="2" t="s">
        <v>120</v>
      </c>
      <c r="H53" s="2" t="str">
        <f>'PFAS Properties'!$B$21</f>
        <v>PFOAB</v>
      </c>
      <c r="I53" s="2" t="str">
        <f>'PFAS Properties'!$C$21</f>
        <v>Betaine</v>
      </c>
      <c r="J53" s="2" t="str">
        <f>'PFAS Properties'!$D$21</f>
        <v>C15H15F15N2O3</v>
      </c>
      <c r="K53" s="25">
        <f>'PFAS Properties'!$P$21</f>
        <v>556.08389999999997</v>
      </c>
      <c r="L53" s="2">
        <f>'PFAS Properties'!$X$21</f>
        <v>2.2999999999999998</v>
      </c>
      <c r="M53" s="2">
        <f>'PFAS Properties'!$Y$21</f>
        <v>7.8</v>
      </c>
      <c r="N53" s="33">
        <f t="shared" si="21"/>
        <v>1.4073987676516508E-3</v>
      </c>
      <c r="O53" s="33">
        <f t="shared" si="22"/>
        <v>0.99636202450641898</v>
      </c>
      <c r="P53" s="33">
        <f t="shared" si="23"/>
        <v>2.2305767259292674E-3</v>
      </c>
      <c r="Q53" s="33">
        <v>0</v>
      </c>
      <c r="R53" s="33">
        <v>0</v>
      </c>
      <c r="S53" s="33">
        <v>0</v>
      </c>
      <c r="T53" s="8">
        <f t="shared" si="20"/>
        <v>0.99999999999999989</v>
      </c>
      <c r="U53" s="33">
        <f t="shared" si="4"/>
        <v>0.99999999999999989</v>
      </c>
      <c r="V53" s="33">
        <f t="shared" si="5"/>
        <v>-1.0008231779582775</v>
      </c>
      <c r="W53" s="33">
        <f t="shared" si="6"/>
        <v>556.08307682204168</v>
      </c>
      <c r="X53" s="33">
        <v>96485</v>
      </c>
      <c r="Y53" s="16">
        <f t="shared" si="7"/>
        <v>-0.142828164738107</v>
      </c>
      <c r="Z53" s="16">
        <v>14</v>
      </c>
      <c r="AA53" s="16">
        <v>15</v>
      </c>
      <c r="AB53" s="8">
        <f t="shared" si="8"/>
        <v>0.58947368421052626</v>
      </c>
      <c r="AC53" s="16">
        <f t="shared" si="9"/>
        <v>51.251259027639541</v>
      </c>
      <c r="AD53" s="20">
        <f>'PFAS Properties'!$W$21</f>
        <v>7</v>
      </c>
      <c r="AE53" s="8">
        <f>'PFAS Properties'!$S$21</f>
        <v>2.7971289877965524</v>
      </c>
      <c r="AF53" s="2">
        <f>'PFAS Properties'!$V$21</f>
        <v>5.3</v>
      </c>
      <c r="AG53" s="24">
        <v>5.15</v>
      </c>
      <c r="AH53" s="2" t="s">
        <v>830</v>
      </c>
      <c r="AI53" s="2" t="s">
        <v>661</v>
      </c>
      <c r="AJ53" s="2" t="s">
        <v>661</v>
      </c>
      <c r="AK53" s="2" t="s">
        <v>661</v>
      </c>
      <c r="AL53" s="2" t="s">
        <v>661</v>
      </c>
      <c r="AM53" s="2" t="s">
        <v>661</v>
      </c>
      <c r="AN53" s="2" t="s">
        <v>661</v>
      </c>
      <c r="AO53" s="2" t="s">
        <v>661</v>
      </c>
      <c r="AP53" s="15">
        <v>0.57999999999999996</v>
      </c>
      <c r="AQ53" s="16" t="s">
        <v>689</v>
      </c>
      <c r="AR53" s="16">
        <v>59.2</v>
      </c>
      <c r="AS53" s="16">
        <v>32.200000000000003</v>
      </c>
      <c r="AT53" s="16">
        <v>8.6</v>
      </c>
      <c r="AU53" s="16" t="s">
        <v>664</v>
      </c>
      <c r="AV53" s="16">
        <f t="shared" si="10"/>
        <v>100</v>
      </c>
      <c r="AW53" s="18">
        <v>1.8</v>
      </c>
      <c r="AX53" s="13">
        <f t="shared" si="14"/>
        <v>1.8000000000000002E-2</v>
      </c>
      <c r="AY53" s="13" t="s">
        <v>342</v>
      </c>
      <c r="AZ53" s="16">
        <f>1/0.01</f>
        <v>100</v>
      </c>
      <c r="BA53" s="16" t="s">
        <v>55</v>
      </c>
      <c r="BB53" s="15">
        <f>5*K53/1000</f>
        <v>2.7804194999999998</v>
      </c>
      <c r="BC53" s="16">
        <f>5000*K53/1000</f>
        <v>2780.4195</v>
      </c>
      <c r="BD53" s="24">
        <f>106.2*AX53</f>
        <v>1.9116000000000002</v>
      </c>
      <c r="BE53" s="16">
        <f t="shared" si="11"/>
        <v>106.2</v>
      </c>
      <c r="BF53" s="8">
        <f t="shared" si="12"/>
        <v>2.0261245167454502</v>
      </c>
      <c r="BG53" s="8">
        <f t="shared" si="13"/>
        <v>0.28139702184875637</v>
      </c>
      <c r="BH53" s="13" t="s">
        <v>343</v>
      </c>
      <c r="BI53" s="49"/>
      <c r="BJ53" s="48"/>
      <c r="BK53" s="49"/>
      <c r="BL53" s="51"/>
      <c r="BM53" s="50"/>
      <c r="BN53" s="47"/>
      <c r="BO53" s="52"/>
    </row>
    <row r="54" spans="1:67" s="14" customFormat="1" x14ac:dyDescent="0.3">
      <c r="A54" s="20">
        <v>53</v>
      </c>
      <c r="B54" s="2" t="s">
        <v>230</v>
      </c>
      <c r="C54" s="2">
        <v>2019</v>
      </c>
      <c r="D54" s="2" t="s">
        <v>203</v>
      </c>
      <c r="E54" s="10" t="s">
        <v>231</v>
      </c>
      <c r="F54" s="20" t="s">
        <v>29</v>
      </c>
      <c r="G54" s="2" t="s">
        <v>110</v>
      </c>
      <c r="H54" s="2" t="str">
        <f>'PFAS Properties'!$B$21</f>
        <v>PFOAB</v>
      </c>
      <c r="I54" s="2" t="str">
        <f>'PFAS Properties'!$C$21</f>
        <v>Betaine</v>
      </c>
      <c r="J54" s="2" t="str">
        <f>'PFAS Properties'!$D$21</f>
        <v>C15H15F15N2O3</v>
      </c>
      <c r="K54" s="25">
        <f>'PFAS Properties'!$P$21</f>
        <v>556.08389999999997</v>
      </c>
      <c r="L54" s="2">
        <f>'PFAS Properties'!$X$21</f>
        <v>2.2999999999999998</v>
      </c>
      <c r="M54" s="2">
        <f>'PFAS Properties'!$Y$21</f>
        <v>7.8</v>
      </c>
      <c r="N54" s="33">
        <f t="shared" si="21"/>
        <v>2.4025301563051595E-7</v>
      </c>
      <c r="O54" s="33">
        <f t="shared" si="22"/>
        <v>0.24025301563051635</v>
      </c>
      <c r="P54" s="33">
        <f t="shared" si="23"/>
        <v>0.75974674411646803</v>
      </c>
      <c r="Q54" s="33">
        <v>0</v>
      </c>
      <c r="R54" s="33">
        <v>0</v>
      </c>
      <c r="S54" s="33">
        <v>0</v>
      </c>
      <c r="T54" s="8">
        <f t="shared" si="20"/>
        <v>1</v>
      </c>
      <c r="U54" s="33">
        <f t="shared" si="4"/>
        <v>1</v>
      </c>
      <c r="V54" s="33">
        <f t="shared" si="5"/>
        <v>-1.7597465038634523</v>
      </c>
      <c r="W54" s="33">
        <f t="shared" si="6"/>
        <v>555.32415349613655</v>
      </c>
      <c r="X54" s="33">
        <v>96485</v>
      </c>
      <c r="Y54" s="16">
        <f t="shared" si="7"/>
        <v>-132.00243670974268</v>
      </c>
      <c r="Z54" s="16">
        <v>14</v>
      </c>
      <c r="AA54" s="16">
        <v>15</v>
      </c>
      <c r="AB54" s="8">
        <f t="shared" si="8"/>
        <v>0.58947368421052626</v>
      </c>
      <c r="AC54" s="16">
        <f t="shared" si="9"/>
        <v>51.251259027639541</v>
      </c>
      <c r="AD54" s="20">
        <f>'PFAS Properties'!$W$21</f>
        <v>7</v>
      </c>
      <c r="AE54" s="8">
        <f>'PFAS Properties'!$S$21</f>
        <v>2.7971289877965524</v>
      </c>
      <c r="AF54" s="2">
        <f>'PFAS Properties'!$V$21</f>
        <v>5.3</v>
      </c>
      <c r="AG54" s="24">
        <v>8.3000000000000007</v>
      </c>
      <c r="AH54" s="2" t="s">
        <v>355</v>
      </c>
      <c r="AI54" s="2" t="s">
        <v>661</v>
      </c>
      <c r="AJ54" s="2" t="s">
        <v>661</v>
      </c>
      <c r="AK54" s="2" t="s">
        <v>661</v>
      </c>
      <c r="AL54" s="2" t="s">
        <v>661</v>
      </c>
      <c r="AM54" s="2" t="s">
        <v>661</v>
      </c>
      <c r="AN54" s="2" t="s">
        <v>661</v>
      </c>
      <c r="AO54" s="2" t="s">
        <v>661</v>
      </c>
      <c r="AP54" s="16">
        <v>24.8</v>
      </c>
      <c r="AQ54" s="2" t="s">
        <v>661</v>
      </c>
      <c r="AR54" s="71">
        <v>30.683900000000001</v>
      </c>
      <c r="AS54" s="71">
        <v>38.891100000000002</v>
      </c>
      <c r="AT54" s="71">
        <v>30.567799999999998</v>
      </c>
      <c r="AU54" s="70" t="s">
        <v>752</v>
      </c>
      <c r="AV54" s="16">
        <f t="shared" si="10"/>
        <v>100.14279999999999</v>
      </c>
      <c r="AW54" s="18">
        <v>0.1</v>
      </c>
      <c r="AX54" s="13">
        <f t="shared" si="14"/>
        <v>1E-3</v>
      </c>
      <c r="AY54" s="8" t="s">
        <v>111</v>
      </c>
      <c r="AZ54" s="15">
        <v>0.2</v>
      </c>
      <c r="BA54" s="15">
        <v>15</v>
      </c>
      <c r="BB54" s="12" t="s">
        <v>55</v>
      </c>
      <c r="BC54" s="12" t="s">
        <v>55</v>
      </c>
      <c r="BD54" s="24">
        <f>BO54</f>
        <v>1.1950038198728716</v>
      </c>
      <c r="BE54" s="16">
        <f t="shared" si="11"/>
        <v>1195.0038198728716</v>
      </c>
      <c r="BF54" s="8">
        <f t="shared" si="12"/>
        <v>3.0773692935243728</v>
      </c>
      <c r="BG54" s="8">
        <f t="shared" si="13"/>
        <v>7.736929352437262E-2</v>
      </c>
      <c r="BH54" s="13" t="s">
        <v>782</v>
      </c>
      <c r="BI54" s="16">
        <f>10^2.3</f>
        <v>199.52623149688802</v>
      </c>
      <c r="BJ54" s="16" t="s">
        <v>322</v>
      </c>
      <c r="BK54" s="8">
        <v>0.18</v>
      </c>
      <c r="BL54" s="16">
        <f>BI54*(K54/1000)/(K54^BK54)</f>
        <v>35.564365386620011</v>
      </c>
      <c r="BM54" s="25">
        <f>'PFAS Properties'!$U$21</f>
        <v>62.68</v>
      </c>
      <c r="BN54" s="16">
        <f>(BL54*(BM54^BK54))</f>
        <v>74.902839429631598</v>
      </c>
      <c r="BO54" s="24">
        <f>BN54/BM54</f>
        <v>1.1950038198728716</v>
      </c>
    </row>
    <row r="55" spans="1:67" s="14" customFormat="1" x14ac:dyDescent="0.3">
      <c r="A55" s="20">
        <v>54</v>
      </c>
      <c r="B55" s="2" t="s">
        <v>230</v>
      </c>
      <c r="C55" s="2">
        <v>2019</v>
      </c>
      <c r="D55" s="2" t="s">
        <v>203</v>
      </c>
      <c r="E55" s="10" t="s">
        <v>231</v>
      </c>
      <c r="F55" s="20" t="s">
        <v>29</v>
      </c>
      <c r="G55" s="2" t="s">
        <v>112</v>
      </c>
      <c r="H55" s="2" t="str">
        <f>'PFAS Properties'!$B$21</f>
        <v>PFOAB</v>
      </c>
      <c r="I55" s="2" t="str">
        <f>'PFAS Properties'!$C$21</f>
        <v>Betaine</v>
      </c>
      <c r="J55" s="2" t="str">
        <f>'PFAS Properties'!$D$21</f>
        <v>C15H15F15N2O3</v>
      </c>
      <c r="K55" s="25">
        <f>'PFAS Properties'!$P$21</f>
        <v>556.08389999999997</v>
      </c>
      <c r="L55" s="2">
        <f>'PFAS Properties'!$X$21</f>
        <v>2.2999999999999998</v>
      </c>
      <c r="M55" s="2">
        <f>'PFAS Properties'!$Y$21</f>
        <v>7.8</v>
      </c>
      <c r="N55" s="33">
        <f t="shared" si="21"/>
        <v>3.5847541913797248E-7</v>
      </c>
      <c r="O55" s="33">
        <f t="shared" si="22"/>
        <v>0.28474714687591224</v>
      </c>
      <c r="P55" s="33">
        <f t="shared" si="23"/>
        <v>0.71525249464866858</v>
      </c>
      <c r="Q55" s="33">
        <v>0</v>
      </c>
      <c r="R55" s="33">
        <v>0</v>
      </c>
      <c r="S55" s="33">
        <v>0</v>
      </c>
      <c r="T55" s="8">
        <f t="shared" si="20"/>
        <v>1</v>
      </c>
      <c r="U55" s="33">
        <f t="shared" si="4"/>
        <v>1</v>
      </c>
      <c r="V55" s="33">
        <f t="shared" si="5"/>
        <v>-1.7152521361732493</v>
      </c>
      <c r="W55" s="33">
        <f t="shared" si="6"/>
        <v>555.36864786382671</v>
      </c>
      <c r="X55" s="33">
        <v>96485</v>
      </c>
      <c r="Y55" s="16">
        <f t="shared" si="7"/>
        <v>-124.26179011746645</v>
      </c>
      <c r="Z55" s="16">
        <v>14</v>
      </c>
      <c r="AA55" s="16">
        <v>15</v>
      </c>
      <c r="AB55" s="8">
        <f t="shared" si="8"/>
        <v>0.58947368421052626</v>
      </c>
      <c r="AC55" s="16">
        <f t="shared" si="9"/>
        <v>51.251259027639541</v>
      </c>
      <c r="AD55" s="20">
        <f>'PFAS Properties'!$W$21</f>
        <v>7</v>
      </c>
      <c r="AE55" s="8">
        <f>'PFAS Properties'!$S$21</f>
        <v>2.7971289877965524</v>
      </c>
      <c r="AF55" s="2">
        <f>'PFAS Properties'!$V$21</f>
        <v>5.3</v>
      </c>
      <c r="AG55" s="24">
        <v>8.1999999999999993</v>
      </c>
      <c r="AH55" s="2" t="s">
        <v>355</v>
      </c>
      <c r="AI55" s="2" t="s">
        <v>661</v>
      </c>
      <c r="AJ55" s="2" t="s">
        <v>661</v>
      </c>
      <c r="AK55" s="2" t="s">
        <v>661</v>
      </c>
      <c r="AL55" s="2" t="s">
        <v>661</v>
      </c>
      <c r="AM55" s="2" t="s">
        <v>661</v>
      </c>
      <c r="AN55" s="2" t="s">
        <v>661</v>
      </c>
      <c r="AO55" s="2" t="s">
        <v>661</v>
      </c>
      <c r="AP55" s="16">
        <v>41.3</v>
      </c>
      <c r="AQ55" s="2" t="s">
        <v>661</v>
      </c>
      <c r="AR55" s="71">
        <v>34.417400000000001</v>
      </c>
      <c r="AS55" s="71">
        <v>33.425600000000003</v>
      </c>
      <c r="AT55" s="71">
        <v>31.142800000000001</v>
      </c>
      <c r="AU55" s="70" t="s">
        <v>752</v>
      </c>
      <c r="AV55" s="16">
        <f t="shared" si="10"/>
        <v>98.985800000000012</v>
      </c>
      <c r="AW55" s="18">
        <v>0.1</v>
      </c>
      <c r="AX55" s="13">
        <f t="shared" si="14"/>
        <v>1E-3</v>
      </c>
      <c r="AY55" s="8" t="s">
        <v>111</v>
      </c>
      <c r="AZ55" s="15">
        <v>0.2</v>
      </c>
      <c r="BA55" s="15">
        <v>15</v>
      </c>
      <c r="BB55" s="12" t="s">
        <v>55</v>
      </c>
      <c r="BC55" s="12" t="s">
        <v>55</v>
      </c>
      <c r="BD55" s="24">
        <f>BO55</f>
        <v>4.3596220469965017</v>
      </c>
      <c r="BE55" s="16">
        <f t="shared" si="11"/>
        <v>4359.6220469965019</v>
      </c>
      <c r="BF55" s="8">
        <f t="shared" si="12"/>
        <v>3.6394488401817204</v>
      </c>
      <c r="BG55" s="8">
        <f t="shared" si="13"/>
        <v>0.63944884018172055</v>
      </c>
      <c r="BH55" s="13" t="s">
        <v>782</v>
      </c>
      <c r="BI55" s="16">
        <f>10^2.9</f>
        <v>794.32823472428208</v>
      </c>
      <c r="BJ55" s="16" t="s">
        <v>322</v>
      </c>
      <c r="BK55" s="8">
        <v>0.22</v>
      </c>
      <c r="BL55" s="16">
        <f>BI55*(K55/1000)/(K55^BK55)</f>
        <v>109.95359935731885</v>
      </c>
      <c r="BM55" s="25">
        <f>'PFAS Properties'!$U$21</f>
        <v>62.68</v>
      </c>
      <c r="BN55" s="16">
        <f>(BL55*(BM55^BK55))</f>
        <v>273.26110990574074</v>
      </c>
      <c r="BO55" s="24">
        <f>BN55/BM55</f>
        <v>4.3596220469965017</v>
      </c>
    </row>
    <row r="56" spans="1:67" s="14" customFormat="1" x14ac:dyDescent="0.3">
      <c r="A56" s="20">
        <v>55</v>
      </c>
      <c r="B56" s="2" t="s">
        <v>230</v>
      </c>
      <c r="C56" s="2">
        <v>2019</v>
      </c>
      <c r="D56" s="2" t="s">
        <v>203</v>
      </c>
      <c r="E56" s="10" t="s">
        <v>231</v>
      </c>
      <c r="F56" s="20" t="s">
        <v>29</v>
      </c>
      <c r="G56" s="2" t="s">
        <v>113</v>
      </c>
      <c r="H56" s="2" t="str">
        <f>'PFAS Properties'!$B$21</f>
        <v>PFOAB</v>
      </c>
      <c r="I56" s="2" t="str">
        <f>'PFAS Properties'!$C$21</f>
        <v>Betaine</v>
      </c>
      <c r="J56" s="2" t="str">
        <f>'PFAS Properties'!$D$21</f>
        <v>C15H15F15N2O3</v>
      </c>
      <c r="K56" s="25">
        <f>'PFAS Properties'!$P$21</f>
        <v>556.08389999999997</v>
      </c>
      <c r="L56" s="2">
        <f>'PFAS Properties'!$X$21</f>
        <v>2.2999999999999998</v>
      </c>
      <c r="M56" s="2">
        <f>'PFAS Properties'!$Y$21</f>
        <v>7.8</v>
      </c>
      <c r="N56" s="33">
        <f t="shared" si="21"/>
        <v>1.5946931805270739E-7</v>
      </c>
      <c r="O56" s="33">
        <f t="shared" si="22"/>
        <v>0.20075997689803979</v>
      </c>
      <c r="P56" s="33">
        <f t="shared" si="23"/>
        <v>0.79923986363264199</v>
      </c>
      <c r="Q56" s="33">
        <v>0</v>
      </c>
      <c r="R56" s="33">
        <v>0</v>
      </c>
      <c r="S56" s="33">
        <v>0</v>
      </c>
      <c r="T56" s="8">
        <f t="shared" si="20"/>
        <v>0.99999999999999978</v>
      </c>
      <c r="U56" s="33">
        <f t="shared" si="4"/>
        <v>0.99999999999999978</v>
      </c>
      <c r="V56" s="33">
        <f t="shared" si="5"/>
        <v>-1.7992397041633237</v>
      </c>
      <c r="W56" s="33">
        <f t="shared" si="6"/>
        <v>555.2846602958366</v>
      </c>
      <c r="X56" s="33">
        <v>96485</v>
      </c>
      <c r="Y56" s="16">
        <f t="shared" si="7"/>
        <v>-138.87407373204633</v>
      </c>
      <c r="Z56" s="16">
        <v>14</v>
      </c>
      <c r="AA56" s="16">
        <v>15</v>
      </c>
      <c r="AB56" s="8">
        <f t="shared" si="8"/>
        <v>0.58947368421052626</v>
      </c>
      <c r="AC56" s="16">
        <f t="shared" si="9"/>
        <v>51.251259027639541</v>
      </c>
      <c r="AD56" s="20">
        <f>'PFAS Properties'!$W$21</f>
        <v>7</v>
      </c>
      <c r="AE56" s="8">
        <f>'PFAS Properties'!$S$21</f>
        <v>2.7971289877965524</v>
      </c>
      <c r="AF56" s="2">
        <f>'PFAS Properties'!$V$21</f>
        <v>5.3</v>
      </c>
      <c r="AG56" s="24">
        <v>8.4</v>
      </c>
      <c r="AH56" s="2" t="s">
        <v>355</v>
      </c>
      <c r="AI56" s="2" t="s">
        <v>661</v>
      </c>
      <c r="AJ56" s="2" t="s">
        <v>661</v>
      </c>
      <c r="AK56" s="2" t="s">
        <v>661</v>
      </c>
      <c r="AL56" s="2" t="s">
        <v>661</v>
      </c>
      <c r="AM56" s="2" t="s">
        <v>661</v>
      </c>
      <c r="AN56" s="2" t="s">
        <v>661</v>
      </c>
      <c r="AO56" s="2" t="s">
        <v>661</v>
      </c>
      <c r="AP56" s="16">
        <v>22.5</v>
      </c>
      <c r="AQ56" s="2" t="s">
        <v>661</v>
      </c>
      <c r="AR56" s="71">
        <v>31.346399999999999</v>
      </c>
      <c r="AS56" s="71">
        <v>39.162100000000002</v>
      </c>
      <c r="AT56" s="71">
        <v>29.6173</v>
      </c>
      <c r="AU56" s="70" t="s">
        <v>752</v>
      </c>
      <c r="AV56" s="16">
        <f t="shared" si="10"/>
        <v>100.1258</v>
      </c>
      <c r="AW56" s="18">
        <v>0.9</v>
      </c>
      <c r="AX56" s="13">
        <f t="shared" si="14"/>
        <v>9.0000000000000011E-3</v>
      </c>
      <c r="AY56" s="8" t="s">
        <v>111</v>
      </c>
      <c r="AZ56" s="15">
        <v>0.2</v>
      </c>
      <c r="BA56" s="15">
        <v>15</v>
      </c>
      <c r="BB56" s="12" t="s">
        <v>55</v>
      </c>
      <c r="BC56" s="12" t="s">
        <v>55</v>
      </c>
      <c r="BD56" s="24">
        <f>BO56</f>
        <v>4.9209423080959338</v>
      </c>
      <c r="BE56" s="16">
        <f t="shared" si="11"/>
        <v>546.77136756621485</v>
      </c>
      <c r="BF56" s="8">
        <f t="shared" si="12"/>
        <v>2.7378057640640798</v>
      </c>
      <c r="BG56" s="8">
        <f t="shared" si="13"/>
        <v>0.6920482735034047</v>
      </c>
      <c r="BH56" s="13" t="s">
        <v>782</v>
      </c>
      <c r="BI56" s="16">
        <f>10^3</f>
        <v>1000</v>
      </c>
      <c r="BJ56" s="16" t="s">
        <v>322</v>
      </c>
      <c r="BK56" s="8">
        <v>0.27</v>
      </c>
      <c r="BL56" s="16">
        <f>BI56*(K56/1000)/(K56^BK56)</f>
        <v>100.91423553294175</v>
      </c>
      <c r="BM56" s="25">
        <f>'PFAS Properties'!$U$21</f>
        <v>62.68</v>
      </c>
      <c r="BN56" s="16">
        <f>(BL56*(BM56^BK56))</f>
        <v>308.44466387145314</v>
      </c>
      <c r="BO56" s="24">
        <f>BN56/BM56</f>
        <v>4.9209423080959338</v>
      </c>
    </row>
    <row r="57" spans="1:67" s="14" customFormat="1" x14ac:dyDescent="0.3">
      <c r="A57" s="20">
        <v>56</v>
      </c>
      <c r="B57" s="2" t="s">
        <v>230</v>
      </c>
      <c r="C57" s="2">
        <v>2019</v>
      </c>
      <c r="D57" s="2" t="s">
        <v>203</v>
      </c>
      <c r="E57" s="10" t="s">
        <v>231</v>
      </c>
      <c r="F57" s="20" t="s">
        <v>29</v>
      </c>
      <c r="G57" s="2" t="s">
        <v>114</v>
      </c>
      <c r="H57" s="2" t="str">
        <f>'PFAS Properties'!$B$21</f>
        <v>PFOAB</v>
      </c>
      <c r="I57" s="2" t="str">
        <f>'PFAS Properties'!$C$21</f>
        <v>Betaine</v>
      </c>
      <c r="J57" s="2" t="str">
        <f>'PFAS Properties'!$D$21</f>
        <v>C15H15F15N2O3</v>
      </c>
      <c r="K57" s="25">
        <f>'PFAS Properties'!$P$21</f>
        <v>556.08389999999997</v>
      </c>
      <c r="L57" s="2">
        <f>'PFAS Properties'!$X$21</f>
        <v>2.2999999999999998</v>
      </c>
      <c r="M57" s="2">
        <f>'PFAS Properties'!$Y$21</f>
        <v>7.8</v>
      </c>
      <c r="N57" s="33">
        <f t="shared" si="21"/>
        <v>3.5847541913797248E-7</v>
      </c>
      <c r="O57" s="33">
        <f t="shared" si="22"/>
        <v>0.28474714687591224</v>
      </c>
      <c r="P57" s="33">
        <f t="shared" si="23"/>
        <v>0.71525249464866858</v>
      </c>
      <c r="Q57" s="33">
        <v>0</v>
      </c>
      <c r="R57" s="33">
        <v>0</v>
      </c>
      <c r="S57" s="33">
        <v>0</v>
      </c>
      <c r="T57" s="8">
        <f t="shared" si="20"/>
        <v>1</v>
      </c>
      <c r="U57" s="33">
        <f t="shared" si="4"/>
        <v>1</v>
      </c>
      <c r="V57" s="33">
        <f t="shared" si="5"/>
        <v>-1.7152521361732493</v>
      </c>
      <c r="W57" s="33">
        <f t="shared" si="6"/>
        <v>555.36864786382671</v>
      </c>
      <c r="X57" s="33">
        <v>96485</v>
      </c>
      <c r="Y57" s="16">
        <f t="shared" si="7"/>
        <v>-124.26179011746645</v>
      </c>
      <c r="Z57" s="16">
        <v>14</v>
      </c>
      <c r="AA57" s="16">
        <v>15</v>
      </c>
      <c r="AB57" s="8">
        <f t="shared" si="8"/>
        <v>0.58947368421052626</v>
      </c>
      <c r="AC57" s="16">
        <f t="shared" si="9"/>
        <v>51.251259027639541</v>
      </c>
      <c r="AD57" s="20">
        <f>'PFAS Properties'!$W$21</f>
        <v>7</v>
      </c>
      <c r="AE57" s="8">
        <f>'PFAS Properties'!$S$21</f>
        <v>2.7971289877965524</v>
      </c>
      <c r="AF57" s="2">
        <f>'PFAS Properties'!$V$21</f>
        <v>5.3</v>
      </c>
      <c r="AG57" s="24">
        <v>8.1999999999999993</v>
      </c>
      <c r="AH57" s="2" t="s">
        <v>355</v>
      </c>
      <c r="AI57" s="2" t="s">
        <v>661</v>
      </c>
      <c r="AJ57" s="2" t="s">
        <v>661</v>
      </c>
      <c r="AK57" s="2" t="s">
        <v>661</v>
      </c>
      <c r="AL57" s="2" t="s">
        <v>661</v>
      </c>
      <c r="AM57" s="2" t="s">
        <v>661</v>
      </c>
      <c r="AN57" s="2" t="s">
        <v>661</v>
      </c>
      <c r="AO57" s="2" t="s">
        <v>661</v>
      </c>
      <c r="AP57" s="16">
        <v>38.200000000000003</v>
      </c>
      <c r="AQ57" s="2" t="s">
        <v>661</v>
      </c>
      <c r="AR57" s="71">
        <v>33.491900000000001</v>
      </c>
      <c r="AS57" s="71">
        <v>33.659599999999998</v>
      </c>
      <c r="AT57" s="71">
        <v>31.685300000000002</v>
      </c>
      <c r="AU57" s="70" t="s">
        <v>752</v>
      </c>
      <c r="AV57" s="16">
        <f t="shared" si="10"/>
        <v>98.836799999999997</v>
      </c>
      <c r="AW57" s="18">
        <v>1.2</v>
      </c>
      <c r="AX57" s="13">
        <f t="shared" si="14"/>
        <v>1.2E-2</v>
      </c>
      <c r="AY57" s="8" t="s">
        <v>111</v>
      </c>
      <c r="AZ57" s="15">
        <v>0.2</v>
      </c>
      <c r="BA57" s="15">
        <v>15</v>
      </c>
      <c r="BB57" s="12" t="s">
        <v>55</v>
      </c>
      <c r="BC57" s="12" t="s">
        <v>55</v>
      </c>
      <c r="BD57" s="24">
        <f>BO57</f>
        <v>1.4120386148219302</v>
      </c>
      <c r="BE57" s="16">
        <f t="shared" si="11"/>
        <v>117.66988456849418</v>
      </c>
      <c r="BF57" s="8">
        <f t="shared" si="12"/>
        <v>2.070665327420834</v>
      </c>
      <c r="BG57" s="8">
        <f t="shared" si="13"/>
        <v>0.14984657346845892</v>
      </c>
      <c r="BH57" s="13" t="s">
        <v>782</v>
      </c>
      <c r="BI57" s="16">
        <f>10^2.6</f>
        <v>398.10717055349761</v>
      </c>
      <c r="BJ57" s="16" t="s">
        <v>322</v>
      </c>
      <c r="BK57" s="8">
        <v>0.42</v>
      </c>
      <c r="BL57" s="16">
        <f>BI57*(K57/1000)/(K57^BK57)</f>
        <v>15.566156282030592</v>
      </c>
      <c r="BM57" s="25">
        <f>'PFAS Properties'!$U$21</f>
        <v>62.68</v>
      </c>
      <c r="BN57" s="16">
        <f>(BL57*(BM57^BK57))</f>
        <v>88.506580377038588</v>
      </c>
      <c r="BO57" s="24">
        <f>BN57/BM57</f>
        <v>1.4120386148219302</v>
      </c>
    </row>
    <row r="58" spans="1:67" s="14" customFormat="1" x14ac:dyDescent="0.3">
      <c r="A58" s="20">
        <v>57</v>
      </c>
      <c r="B58" s="2" t="s">
        <v>230</v>
      </c>
      <c r="C58" s="2">
        <v>2019</v>
      </c>
      <c r="D58" s="2" t="s">
        <v>203</v>
      </c>
      <c r="E58" s="10" t="s">
        <v>231</v>
      </c>
      <c r="F58" s="20" t="s">
        <v>29</v>
      </c>
      <c r="G58" s="2" t="s">
        <v>115</v>
      </c>
      <c r="H58" s="2" t="str">
        <f>'PFAS Properties'!$B$21</f>
        <v>PFOAB</v>
      </c>
      <c r="I58" s="2" t="str">
        <f>'PFAS Properties'!$C$21</f>
        <v>Betaine</v>
      </c>
      <c r="J58" s="2" t="str">
        <f>'PFAS Properties'!$D$21</f>
        <v>C15H15F15N2O3</v>
      </c>
      <c r="K58" s="25">
        <f>'PFAS Properties'!$P$21</f>
        <v>556.08389999999997</v>
      </c>
      <c r="L58" s="2">
        <f>'PFAS Properties'!$X$21</f>
        <v>2.2999999999999998</v>
      </c>
      <c r="M58" s="2">
        <f>'PFAS Properties'!$Y$21</f>
        <v>7.8</v>
      </c>
      <c r="N58" s="33">
        <f t="shared" si="21"/>
        <v>3.5847541913797248E-7</v>
      </c>
      <c r="O58" s="33">
        <f t="shared" si="22"/>
        <v>0.28474714687591224</v>
      </c>
      <c r="P58" s="33">
        <f t="shared" si="23"/>
        <v>0.71525249464866858</v>
      </c>
      <c r="Q58" s="33">
        <v>0</v>
      </c>
      <c r="R58" s="33">
        <v>0</v>
      </c>
      <c r="S58" s="33">
        <v>0</v>
      </c>
      <c r="T58" s="8">
        <f t="shared" si="20"/>
        <v>1</v>
      </c>
      <c r="U58" s="33">
        <f t="shared" si="4"/>
        <v>1</v>
      </c>
      <c r="V58" s="33">
        <f t="shared" si="5"/>
        <v>-1.7152521361732493</v>
      </c>
      <c r="W58" s="33">
        <f t="shared" si="6"/>
        <v>555.36864786382671</v>
      </c>
      <c r="X58" s="33">
        <v>96485</v>
      </c>
      <c r="Y58" s="16">
        <f t="shared" si="7"/>
        <v>-124.26179011746645</v>
      </c>
      <c r="Z58" s="16">
        <v>14</v>
      </c>
      <c r="AA58" s="16">
        <v>15</v>
      </c>
      <c r="AB58" s="8">
        <f t="shared" si="8"/>
        <v>0.58947368421052626</v>
      </c>
      <c r="AC58" s="16">
        <f t="shared" si="9"/>
        <v>51.251259027639541</v>
      </c>
      <c r="AD58" s="20">
        <f>'PFAS Properties'!$W$21</f>
        <v>7</v>
      </c>
      <c r="AE58" s="8">
        <f>'PFAS Properties'!$S$21</f>
        <v>2.7971289877965524</v>
      </c>
      <c r="AF58" s="2">
        <f>'PFAS Properties'!$V$21</f>
        <v>5.3</v>
      </c>
      <c r="AG58" s="24">
        <v>8.1999999999999993</v>
      </c>
      <c r="AH58" s="2" t="s">
        <v>355</v>
      </c>
      <c r="AI58" s="2" t="s">
        <v>661</v>
      </c>
      <c r="AJ58" s="2" t="s">
        <v>661</v>
      </c>
      <c r="AK58" s="2" t="s">
        <v>661</v>
      </c>
      <c r="AL58" s="2" t="s">
        <v>661</v>
      </c>
      <c r="AM58" s="2" t="s">
        <v>661</v>
      </c>
      <c r="AN58" s="2" t="s">
        <v>661</v>
      </c>
      <c r="AO58" s="2" t="s">
        <v>661</v>
      </c>
      <c r="AP58" s="16">
        <v>41</v>
      </c>
      <c r="AQ58" s="2" t="s">
        <v>661</v>
      </c>
      <c r="AR58" s="71">
        <v>34.556900000000013</v>
      </c>
      <c r="AS58" s="71">
        <v>33.706099999999999</v>
      </c>
      <c r="AT58" s="71">
        <v>30.8308</v>
      </c>
      <c r="AU58" s="70" t="s">
        <v>752</v>
      </c>
      <c r="AV58" s="16">
        <f t="shared" si="10"/>
        <v>99.093800000000002</v>
      </c>
      <c r="AW58" s="18">
        <v>5.3</v>
      </c>
      <c r="AX58" s="13">
        <f t="shared" si="14"/>
        <v>5.2999999999999999E-2</v>
      </c>
      <c r="AY58" s="8" t="s">
        <v>111</v>
      </c>
      <c r="AZ58" s="15">
        <v>0.2</v>
      </c>
      <c r="BA58" s="15">
        <v>15</v>
      </c>
      <c r="BB58" s="12" t="s">
        <v>55</v>
      </c>
      <c r="BC58" s="12" t="s">
        <v>55</v>
      </c>
      <c r="BD58" s="24">
        <f>BO58</f>
        <v>2.7838620253091007</v>
      </c>
      <c r="BE58" s="16">
        <f t="shared" si="11"/>
        <v>52.525698590737747</v>
      </c>
      <c r="BF58" s="8">
        <f t="shared" si="12"/>
        <v>1.7203718372243002</v>
      </c>
      <c r="BG58" s="8">
        <f t="shared" si="13"/>
        <v>0.44464770682508931</v>
      </c>
      <c r="BH58" s="13" t="s">
        <v>782</v>
      </c>
      <c r="BI58" s="16">
        <f>10^2.8</f>
        <v>630.95734448019323</v>
      </c>
      <c r="BJ58" s="16" t="s">
        <v>322</v>
      </c>
      <c r="BK58" s="8">
        <v>0.32</v>
      </c>
      <c r="BL58" s="16">
        <f>BI58*(K58/1000)/(K58^BK58)</f>
        <v>46.418961336958382</v>
      </c>
      <c r="BM58" s="25">
        <f>'PFAS Properties'!$U$21</f>
        <v>62.68</v>
      </c>
      <c r="BN58" s="16">
        <f>(BL58*(BM58^BK58))</f>
        <v>174.49247174637443</v>
      </c>
      <c r="BO58" s="24">
        <f>BN58/BM58</f>
        <v>2.7838620253091007</v>
      </c>
    </row>
    <row r="59" spans="1:67" s="14" customFormat="1" x14ac:dyDescent="0.3">
      <c r="A59" s="20">
        <v>58</v>
      </c>
      <c r="B59" s="2" t="s">
        <v>181</v>
      </c>
      <c r="C59" s="2">
        <v>2020</v>
      </c>
      <c r="D59" s="2" t="s">
        <v>203</v>
      </c>
      <c r="E59" s="10" t="s">
        <v>787</v>
      </c>
      <c r="F59" s="20" t="s">
        <v>29</v>
      </c>
      <c r="G59" s="2" t="s">
        <v>62</v>
      </c>
      <c r="H59" s="2" t="str">
        <f>'PFAS Properties'!$B$22</f>
        <v>AmPr-FHxSA</v>
      </c>
      <c r="I59" s="2" t="str">
        <f>'PFAS Properties'!$C$22</f>
        <v>Betaine</v>
      </c>
      <c r="J59" s="2" t="str">
        <f>'PFAS Properties'!$D$22</f>
        <v>C11H13F13N2O2S</v>
      </c>
      <c r="K59" s="25">
        <f>'PFAS Properties'!$P$22</f>
        <v>484.0487</v>
      </c>
      <c r="L59" s="2">
        <f>'PFAS Properties'!$X$22</f>
        <v>6.8</v>
      </c>
      <c r="M59" s="2">
        <f>'PFAS Properties'!$Y$22</f>
        <v>9.1999999999999993</v>
      </c>
      <c r="N59" s="33">
        <f t="shared" si="21"/>
        <v>0.16361598295586155</v>
      </c>
      <c r="O59" s="33">
        <f t="shared" si="22"/>
        <v>0.82002241874855242</v>
      </c>
      <c r="P59" s="33">
        <v>0</v>
      </c>
      <c r="Q59" s="33">
        <f t="shared" ref="Q59:Q68" si="24">1/(1+(10^(M59-AG59))+(10^((L59+M59)-(2*AG59))))</f>
        <v>1.6361598295586179E-2</v>
      </c>
      <c r="R59" s="33">
        <v>0</v>
      </c>
      <c r="S59" s="33">
        <v>0</v>
      </c>
      <c r="T59" s="8">
        <f t="shared" si="20"/>
        <v>1.0000000000000002</v>
      </c>
      <c r="U59" s="33">
        <f t="shared" si="4"/>
        <v>0.98363840170441397</v>
      </c>
      <c r="V59" s="33">
        <f t="shared" si="5"/>
        <v>-0.83638401704413856</v>
      </c>
      <c r="W59" s="33">
        <f t="shared" si="6"/>
        <v>484.1959543846603</v>
      </c>
      <c r="X59" s="33">
        <v>96485</v>
      </c>
      <c r="Y59" s="16">
        <f t="shared" si="7"/>
        <v>29.343159882454376</v>
      </c>
      <c r="Z59" s="2">
        <v>11</v>
      </c>
      <c r="AA59" s="2">
        <v>13</v>
      </c>
      <c r="AB59" s="8">
        <f t="shared" si="8"/>
        <v>0.53441295546558698</v>
      </c>
      <c r="AC59" s="16">
        <f t="shared" si="9"/>
        <v>51.027923430018504</v>
      </c>
      <c r="AD59" s="20">
        <f>'PFAS Properties'!$W$22</f>
        <v>6</v>
      </c>
      <c r="AE59" s="8">
        <f>'PFAS Properties'!$S$22</f>
        <v>2.592953571547866</v>
      </c>
      <c r="AF59" s="2">
        <f>'PFAS Properties'!$V$22</f>
        <v>4.3</v>
      </c>
      <c r="AG59" s="24">
        <v>7.5</v>
      </c>
      <c r="AH59" s="2" t="s">
        <v>183</v>
      </c>
      <c r="AI59" s="2" t="s">
        <v>661</v>
      </c>
      <c r="AJ59" s="2" t="s">
        <v>661</v>
      </c>
      <c r="AK59" s="2" t="s">
        <v>661</v>
      </c>
      <c r="AL59" s="2" t="s">
        <v>661</v>
      </c>
      <c r="AM59" s="2" t="s">
        <v>661</v>
      </c>
      <c r="AN59" s="2" t="s">
        <v>661</v>
      </c>
      <c r="AO59" s="2" t="s">
        <v>661</v>
      </c>
      <c r="AP59" s="15">
        <v>41.4</v>
      </c>
      <c r="AQ59" s="2" t="s">
        <v>661</v>
      </c>
      <c r="AR59" s="16">
        <v>16.899999999999999</v>
      </c>
      <c r="AS59" s="16">
        <v>17.5</v>
      </c>
      <c r="AT59" s="16">
        <v>65.599999999999994</v>
      </c>
      <c r="AU59" s="2" t="s">
        <v>661</v>
      </c>
      <c r="AV59" s="16">
        <f t="shared" si="10"/>
        <v>100</v>
      </c>
      <c r="AW59" s="18">
        <v>0.7</v>
      </c>
      <c r="AX59" s="13">
        <f t="shared" si="14"/>
        <v>6.9999999999999993E-3</v>
      </c>
      <c r="AY59" s="13" t="s">
        <v>184</v>
      </c>
      <c r="AZ59" s="16">
        <v>100</v>
      </c>
      <c r="BA59" s="16" t="s">
        <v>55</v>
      </c>
      <c r="BB59" s="16">
        <v>5</v>
      </c>
      <c r="BC59" s="16" t="s">
        <v>55</v>
      </c>
      <c r="BD59" s="24">
        <v>9.32</v>
      </c>
      <c r="BE59" s="16">
        <f t="shared" si="11"/>
        <v>1331.4285714285716</v>
      </c>
      <c r="BF59" s="16">
        <f t="shared" si="12"/>
        <v>3.1243178723397245</v>
      </c>
      <c r="BG59" s="8">
        <f t="shared" si="13"/>
        <v>0.96941591235398139</v>
      </c>
      <c r="BH59" s="13" t="s">
        <v>345</v>
      </c>
      <c r="BI59" s="13"/>
      <c r="BJ59" s="13"/>
      <c r="BK59" s="13"/>
      <c r="BL59" s="13"/>
      <c r="BM59" s="17"/>
      <c r="BN59" s="17"/>
      <c r="BO59" s="2"/>
    </row>
    <row r="60" spans="1:67" s="14" customFormat="1" x14ac:dyDescent="0.3">
      <c r="A60" s="20">
        <v>59</v>
      </c>
      <c r="B60" s="2" t="s">
        <v>181</v>
      </c>
      <c r="C60" s="2">
        <v>2020</v>
      </c>
      <c r="D60" s="2" t="s">
        <v>203</v>
      </c>
      <c r="E60" s="10" t="s">
        <v>787</v>
      </c>
      <c r="F60" s="20" t="s">
        <v>29</v>
      </c>
      <c r="G60" s="2" t="s">
        <v>57</v>
      </c>
      <c r="H60" s="2" t="str">
        <f>'PFAS Properties'!$B$22</f>
        <v>AmPr-FHxSA</v>
      </c>
      <c r="I60" s="2" t="str">
        <f>'PFAS Properties'!$C$22</f>
        <v>Betaine</v>
      </c>
      <c r="J60" s="2" t="str">
        <f>'PFAS Properties'!$D$22</f>
        <v>C11H13F13N2O2S</v>
      </c>
      <c r="K60" s="25">
        <f>'PFAS Properties'!$P$22</f>
        <v>484.0487</v>
      </c>
      <c r="L60" s="2">
        <f>'PFAS Properties'!$X$22</f>
        <v>6.8</v>
      </c>
      <c r="M60" s="2">
        <f>'PFAS Properties'!$Y$22</f>
        <v>9.1999999999999993</v>
      </c>
      <c r="N60" s="33">
        <f t="shared" si="21"/>
        <v>0.4990067092544575</v>
      </c>
      <c r="O60" s="33">
        <f t="shared" si="22"/>
        <v>0.4990067092544575</v>
      </c>
      <c r="P60" s="33">
        <v>0</v>
      </c>
      <c r="Q60" s="33">
        <f t="shared" si="24"/>
        <v>1.9865814910850366E-3</v>
      </c>
      <c r="R60" s="33">
        <v>0</v>
      </c>
      <c r="S60" s="33">
        <v>0</v>
      </c>
      <c r="T60" s="8">
        <f t="shared" si="20"/>
        <v>1</v>
      </c>
      <c r="U60" s="33">
        <f t="shared" si="4"/>
        <v>0.99801341850891501</v>
      </c>
      <c r="V60" s="33">
        <f t="shared" si="5"/>
        <v>-0.50099329074554255</v>
      </c>
      <c r="W60" s="33">
        <f t="shared" si="6"/>
        <v>484.54572012776339</v>
      </c>
      <c r="X60" s="33">
        <v>96485</v>
      </c>
      <c r="Y60" s="16">
        <f t="shared" si="7"/>
        <v>98.968962133448187</v>
      </c>
      <c r="Z60" s="2">
        <v>11</v>
      </c>
      <c r="AA60" s="2">
        <v>13</v>
      </c>
      <c r="AB60" s="8">
        <f t="shared" si="8"/>
        <v>0.53441295546558698</v>
      </c>
      <c r="AC60" s="16">
        <f t="shared" si="9"/>
        <v>51.027923430018504</v>
      </c>
      <c r="AD60" s="20">
        <f>'PFAS Properties'!$W$22</f>
        <v>6</v>
      </c>
      <c r="AE60" s="8">
        <f>'PFAS Properties'!$S$22</f>
        <v>2.592953571547866</v>
      </c>
      <c r="AF60" s="2">
        <f>'PFAS Properties'!$V$22</f>
        <v>4.3</v>
      </c>
      <c r="AG60" s="24">
        <v>6.8</v>
      </c>
      <c r="AH60" s="2" t="s">
        <v>183</v>
      </c>
      <c r="AI60" s="2" t="s">
        <v>661</v>
      </c>
      <c r="AJ60" s="2" t="s">
        <v>661</v>
      </c>
      <c r="AK60" s="2" t="s">
        <v>661</v>
      </c>
      <c r="AL60" s="2" t="s">
        <v>661</v>
      </c>
      <c r="AM60" s="2" t="s">
        <v>661</v>
      </c>
      <c r="AN60" s="2" t="s">
        <v>661</v>
      </c>
      <c r="AO60" s="2" t="s">
        <v>661</v>
      </c>
      <c r="AP60" s="15">
        <v>7.1</v>
      </c>
      <c r="AQ60" s="2" t="s">
        <v>661</v>
      </c>
      <c r="AR60" s="16">
        <v>48.9</v>
      </c>
      <c r="AS60" s="16">
        <v>27</v>
      </c>
      <c r="AT60" s="16">
        <v>24.2</v>
      </c>
      <c r="AU60" s="2" t="s">
        <v>661</v>
      </c>
      <c r="AV60" s="16">
        <f t="shared" si="10"/>
        <v>100.10000000000001</v>
      </c>
      <c r="AW60" s="18">
        <v>0.37</v>
      </c>
      <c r="AX60" s="13">
        <f t="shared" si="14"/>
        <v>3.7000000000000002E-3</v>
      </c>
      <c r="AY60" s="13" t="s">
        <v>184</v>
      </c>
      <c r="AZ60" s="16">
        <v>100</v>
      </c>
      <c r="BA60" s="16" t="s">
        <v>55</v>
      </c>
      <c r="BB60" s="16">
        <v>5</v>
      </c>
      <c r="BC60" s="16" t="s">
        <v>55</v>
      </c>
      <c r="BD60" s="24">
        <v>1.83</v>
      </c>
      <c r="BE60" s="16">
        <f t="shared" si="11"/>
        <v>494.59459459459458</v>
      </c>
      <c r="BF60" s="16">
        <f t="shared" si="12"/>
        <v>2.6942493656634343</v>
      </c>
      <c r="BG60" s="8">
        <f t="shared" si="13"/>
        <v>0.26245108973042947</v>
      </c>
      <c r="BH60" s="13" t="s">
        <v>345</v>
      </c>
      <c r="BI60" s="13"/>
      <c r="BJ60" s="13"/>
      <c r="BK60" s="13"/>
      <c r="BL60" s="13"/>
      <c r="BM60" s="17"/>
      <c r="BN60" s="17"/>
      <c r="BO60" s="2"/>
    </row>
    <row r="61" spans="1:67" s="14" customFormat="1" x14ac:dyDescent="0.3">
      <c r="A61" s="20">
        <v>60</v>
      </c>
      <c r="B61" s="2" t="s">
        <v>181</v>
      </c>
      <c r="C61" s="2">
        <v>2020</v>
      </c>
      <c r="D61" s="2" t="s">
        <v>203</v>
      </c>
      <c r="E61" s="10" t="s">
        <v>787</v>
      </c>
      <c r="F61" s="20" t="s">
        <v>29</v>
      </c>
      <c r="G61" s="2" t="s">
        <v>58</v>
      </c>
      <c r="H61" s="2" t="str">
        <f>'PFAS Properties'!$B$22</f>
        <v>AmPr-FHxSA</v>
      </c>
      <c r="I61" s="2" t="str">
        <f>'PFAS Properties'!$C$22</f>
        <v>Betaine</v>
      </c>
      <c r="J61" s="2" t="str">
        <f>'PFAS Properties'!$D$22</f>
        <v>C11H13F13N2O2S</v>
      </c>
      <c r="K61" s="25">
        <f>'PFAS Properties'!$P$22</f>
        <v>484.0487</v>
      </c>
      <c r="L61" s="2">
        <f>'PFAS Properties'!$X$22</f>
        <v>6.8</v>
      </c>
      <c r="M61" s="2">
        <f>'PFAS Properties'!$Y$22</f>
        <v>9.1999999999999993</v>
      </c>
      <c r="N61" s="33">
        <f t="shared" si="21"/>
        <v>0.7990795678657312</v>
      </c>
      <c r="O61" s="33">
        <f t="shared" si="22"/>
        <v>0.200719712421847</v>
      </c>
      <c r="P61" s="33">
        <v>0</v>
      </c>
      <c r="Q61" s="33">
        <f t="shared" si="24"/>
        <v>2.0071971242184705E-4</v>
      </c>
      <c r="R61" s="33">
        <v>0</v>
      </c>
      <c r="S61" s="33">
        <v>0</v>
      </c>
      <c r="T61" s="8">
        <f t="shared" si="20"/>
        <v>1</v>
      </c>
      <c r="U61" s="33">
        <f t="shared" si="4"/>
        <v>0.99979928028757814</v>
      </c>
      <c r="V61" s="33">
        <f t="shared" si="5"/>
        <v>-0.20092043213426886</v>
      </c>
      <c r="W61" s="33">
        <f t="shared" si="6"/>
        <v>484.84757884815326</v>
      </c>
      <c r="X61" s="33">
        <v>96485</v>
      </c>
      <c r="Y61" s="16">
        <f t="shared" si="7"/>
        <v>158.97743750147148</v>
      </c>
      <c r="Z61" s="2">
        <v>11</v>
      </c>
      <c r="AA61" s="2">
        <v>13</v>
      </c>
      <c r="AB61" s="8">
        <f t="shared" si="8"/>
        <v>0.53441295546558698</v>
      </c>
      <c r="AC61" s="16">
        <f t="shared" si="9"/>
        <v>51.027923430018504</v>
      </c>
      <c r="AD61" s="20">
        <f>'PFAS Properties'!$W$22</f>
        <v>6</v>
      </c>
      <c r="AE61" s="8">
        <f>'PFAS Properties'!$S$22</f>
        <v>2.592953571547866</v>
      </c>
      <c r="AF61" s="2">
        <f>'PFAS Properties'!$V$22</f>
        <v>4.3</v>
      </c>
      <c r="AG61" s="24">
        <v>6.2</v>
      </c>
      <c r="AH61" s="2" t="s">
        <v>183</v>
      </c>
      <c r="AI61" s="2" t="s">
        <v>661</v>
      </c>
      <c r="AJ61" s="2" t="s">
        <v>661</v>
      </c>
      <c r="AK61" s="2" t="s">
        <v>661</v>
      </c>
      <c r="AL61" s="2" t="s">
        <v>661</v>
      </c>
      <c r="AM61" s="2" t="s">
        <v>661</v>
      </c>
      <c r="AN61" s="2" t="s">
        <v>661</v>
      </c>
      <c r="AO61" s="2" t="s">
        <v>661</v>
      </c>
      <c r="AP61" s="15">
        <v>8</v>
      </c>
      <c r="AQ61" s="2" t="s">
        <v>661</v>
      </c>
      <c r="AR61" s="16">
        <v>51.44</v>
      </c>
      <c r="AS61" s="16">
        <v>10.17</v>
      </c>
      <c r="AT61" s="16">
        <v>38.380000000000003</v>
      </c>
      <c r="AU61" s="2" t="s">
        <v>661</v>
      </c>
      <c r="AV61" s="16">
        <f t="shared" si="10"/>
        <v>99.990000000000009</v>
      </c>
      <c r="AW61" s="18">
        <v>0.08</v>
      </c>
      <c r="AX61" s="13">
        <f t="shared" si="14"/>
        <v>8.0000000000000004E-4</v>
      </c>
      <c r="AY61" s="8" t="s">
        <v>184</v>
      </c>
      <c r="AZ61" s="16">
        <v>100</v>
      </c>
      <c r="BA61" s="16" t="s">
        <v>55</v>
      </c>
      <c r="BB61" s="16">
        <v>5</v>
      </c>
      <c r="BC61" s="16" t="s">
        <v>55</v>
      </c>
      <c r="BD61" s="25">
        <v>77.83</v>
      </c>
      <c r="BE61" s="16">
        <f t="shared" si="11"/>
        <v>97287.5</v>
      </c>
      <c r="BF61" s="16">
        <f t="shared" si="12"/>
        <v>4.9880570434568279</v>
      </c>
      <c r="BG61" s="8">
        <f t="shared" si="13"/>
        <v>1.891147030448771</v>
      </c>
      <c r="BH61" s="13" t="s">
        <v>345</v>
      </c>
      <c r="BI61" s="13"/>
      <c r="BJ61" s="13"/>
      <c r="BK61" s="13"/>
      <c r="BL61" s="13"/>
      <c r="BM61" s="17"/>
      <c r="BN61" s="17"/>
      <c r="BO61" s="2"/>
    </row>
    <row r="62" spans="1:67" s="14" customFormat="1" x14ac:dyDescent="0.3">
      <c r="A62" s="20">
        <v>61</v>
      </c>
      <c r="B62" s="2" t="s">
        <v>181</v>
      </c>
      <c r="C62" s="2">
        <v>2020</v>
      </c>
      <c r="D62" s="2" t="s">
        <v>203</v>
      </c>
      <c r="E62" s="10" t="s">
        <v>787</v>
      </c>
      <c r="F62" s="20" t="s">
        <v>29</v>
      </c>
      <c r="G62" s="2" t="s">
        <v>59</v>
      </c>
      <c r="H62" s="2" t="str">
        <f>'PFAS Properties'!$B$22</f>
        <v>AmPr-FHxSA</v>
      </c>
      <c r="I62" s="2" t="str">
        <f>'PFAS Properties'!$C$22</f>
        <v>Betaine</v>
      </c>
      <c r="J62" s="2" t="str">
        <f>'PFAS Properties'!$D$22</f>
        <v>C11H13F13N2O2S</v>
      </c>
      <c r="K62" s="25">
        <f>'PFAS Properties'!$P$22</f>
        <v>484.0487</v>
      </c>
      <c r="L62" s="2">
        <f>'PFAS Properties'!$X$22</f>
        <v>6.8</v>
      </c>
      <c r="M62" s="2">
        <f>'PFAS Properties'!$Y$22</f>
        <v>9.1999999999999993</v>
      </c>
      <c r="N62" s="33">
        <f t="shared" si="21"/>
        <v>0.10876101529329767</v>
      </c>
      <c r="O62" s="33">
        <f t="shared" si="22"/>
        <v>0.86391945284745819</v>
      </c>
      <c r="P62" s="33">
        <v>0</v>
      </c>
      <c r="Q62" s="33">
        <f t="shared" si="24"/>
        <v>2.7319531859244111E-2</v>
      </c>
      <c r="R62" s="33">
        <v>0</v>
      </c>
      <c r="S62" s="33">
        <v>0</v>
      </c>
      <c r="T62" s="8">
        <f t="shared" si="20"/>
        <v>0.99999999999999989</v>
      </c>
      <c r="U62" s="33">
        <f t="shared" si="4"/>
        <v>0.97268046814075582</v>
      </c>
      <c r="V62" s="33">
        <f t="shared" si="5"/>
        <v>-0.89123898470670226</v>
      </c>
      <c r="W62" s="33">
        <f t="shared" si="6"/>
        <v>484.13014148343404</v>
      </c>
      <c r="X62" s="33">
        <v>96485</v>
      </c>
      <c r="Y62" s="16">
        <f t="shared" si="7"/>
        <v>16.230928124113788</v>
      </c>
      <c r="Z62" s="2">
        <v>11</v>
      </c>
      <c r="AA62" s="2">
        <v>13</v>
      </c>
      <c r="AB62" s="8">
        <f t="shared" si="8"/>
        <v>0.53441295546558698</v>
      </c>
      <c r="AC62" s="16">
        <f t="shared" si="9"/>
        <v>51.027923430018504</v>
      </c>
      <c r="AD62" s="20">
        <f>'PFAS Properties'!$W$22</f>
        <v>6</v>
      </c>
      <c r="AE62" s="8">
        <f>'PFAS Properties'!$S$22</f>
        <v>2.592953571547866</v>
      </c>
      <c r="AF62" s="2">
        <f>'PFAS Properties'!$V$22</f>
        <v>4.3</v>
      </c>
      <c r="AG62" s="24">
        <v>7.7</v>
      </c>
      <c r="AH62" s="2" t="s">
        <v>183</v>
      </c>
      <c r="AI62" s="2" t="s">
        <v>661</v>
      </c>
      <c r="AJ62" s="2" t="s">
        <v>661</v>
      </c>
      <c r="AK62" s="2" t="s">
        <v>661</v>
      </c>
      <c r="AL62" s="2" t="s">
        <v>661</v>
      </c>
      <c r="AM62" s="2" t="s">
        <v>661</v>
      </c>
      <c r="AN62" s="2" t="s">
        <v>661</v>
      </c>
      <c r="AO62" s="2" t="s">
        <v>661</v>
      </c>
      <c r="AP62" s="15">
        <v>4.8</v>
      </c>
      <c r="AQ62" s="2" t="s">
        <v>661</v>
      </c>
      <c r="AR62" s="16">
        <v>46</v>
      </c>
      <c r="AS62" s="16">
        <v>37</v>
      </c>
      <c r="AT62" s="16">
        <v>17</v>
      </c>
      <c r="AU62" s="2" t="s">
        <v>661</v>
      </c>
      <c r="AV62" s="16">
        <f t="shared" si="10"/>
        <v>100</v>
      </c>
      <c r="AW62" s="18">
        <v>0.25</v>
      </c>
      <c r="AX62" s="13">
        <f t="shared" si="14"/>
        <v>2.5000000000000001E-3</v>
      </c>
      <c r="AY62" s="13" t="s">
        <v>184</v>
      </c>
      <c r="AZ62" s="16">
        <v>100</v>
      </c>
      <c r="BA62" s="16" t="s">
        <v>55</v>
      </c>
      <c r="BB62" s="16">
        <v>5</v>
      </c>
      <c r="BC62" s="16" t="s">
        <v>55</v>
      </c>
      <c r="BD62" s="25">
        <v>456</v>
      </c>
      <c r="BE62" s="16">
        <f t="shared" si="11"/>
        <v>182400</v>
      </c>
      <c r="BF62" s="16">
        <f t="shared" si="12"/>
        <v>5.2610248339923977</v>
      </c>
      <c r="BG62" s="8">
        <f t="shared" si="13"/>
        <v>2.6589648426644348</v>
      </c>
      <c r="BH62" s="13" t="s">
        <v>345</v>
      </c>
      <c r="BI62" s="13"/>
      <c r="BJ62" s="13"/>
      <c r="BK62" s="13"/>
      <c r="BL62" s="13"/>
      <c r="BM62" s="17"/>
      <c r="BN62" s="17"/>
      <c r="BO62" s="2"/>
    </row>
    <row r="63" spans="1:67" s="14" customFormat="1" x14ac:dyDescent="0.3">
      <c r="A63" s="20">
        <v>62</v>
      </c>
      <c r="B63" s="2" t="s">
        <v>181</v>
      </c>
      <c r="C63" s="2">
        <v>2020</v>
      </c>
      <c r="D63" s="2" t="s">
        <v>203</v>
      </c>
      <c r="E63" s="10" t="s">
        <v>787</v>
      </c>
      <c r="F63" s="20" t="s">
        <v>29</v>
      </c>
      <c r="G63" s="2" t="s">
        <v>61</v>
      </c>
      <c r="H63" s="2" t="str">
        <f>'PFAS Properties'!$B$22</f>
        <v>AmPr-FHxSA</v>
      </c>
      <c r="I63" s="2" t="str">
        <f>'PFAS Properties'!$C$22</f>
        <v>Betaine</v>
      </c>
      <c r="J63" s="2" t="str">
        <f>'PFAS Properties'!$D$22</f>
        <v>C11H13F13N2O2S</v>
      </c>
      <c r="K63" s="25">
        <f>'PFAS Properties'!$P$22</f>
        <v>484.0487</v>
      </c>
      <c r="L63" s="2">
        <f>'PFAS Properties'!$X$22</f>
        <v>6.8</v>
      </c>
      <c r="M63" s="2">
        <f>'PFAS Properties'!$Y$22</f>
        <v>9.1999999999999993</v>
      </c>
      <c r="N63" s="33">
        <f t="shared" si="21"/>
        <v>0.1982487718534916</v>
      </c>
      <c r="O63" s="33">
        <f t="shared" si="22"/>
        <v>0.78924257628299443</v>
      </c>
      <c r="P63" s="33">
        <v>0</v>
      </c>
      <c r="Q63" s="33">
        <f t="shared" si="24"/>
        <v>1.2508651863513911E-2</v>
      </c>
      <c r="R63" s="33">
        <v>0</v>
      </c>
      <c r="S63" s="33">
        <v>0</v>
      </c>
      <c r="T63" s="8">
        <f t="shared" si="20"/>
        <v>0.99999999999999989</v>
      </c>
      <c r="U63" s="33">
        <f t="shared" si="4"/>
        <v>0.98749134813648598</v>
      </c>
      <c r="V63" s="33">
        <f t="shared" si="5"/>
        <v>-0.80175122814650834</v>
      </c>
      <c r="W63" s="33">
        <f t="shared" si="6"/>
        <v>484.23444011998998</v>
      </c>
      <c r="X63" s="33">
        <v>96485</v>
      </c>
      <c r="Y63" s="16">
        <f t="shared" si="7"/>
        <v>37.009212877944535</v>
      </c>
      <c r="Z63" s="2">
        <v>11</v>
      </c>
      <c r="AA63" s="2">
        <v>13</v>
      </c>
      <c r="AB63" s="8">
        <f t="shared" si="8"/>
        <v>0.53441295546558698</v>
      </c>
      <c r="AC63" s="16">
        <f t="shared" si="9"/>
        <v>51.027923430018504</v>
      </c>
      <c r="AD63" s="20">
        <f>'PFAS Properties'!$W$22</f>
        <v>6</v>
      </c>
      <c r="AE63" s="8">
        <f>'PFAS Properties'!$S$22</f>
        <v>2.592953571547866</v>
      </c>
      <c r="AF63" s="2">
        <f>'PFAS Properties'!$V$22</f>
        <v>4.3</v>
      </c>
      <c r="AG63" s="24">
        <v>7.4</v>
      </c>
      <c r="AH63" s="2" t="s">
        <v>183</v>
      </c>
      <c r="AI63" s="2" t="s">
        <v>661</v>
      </c>
      <c r="AJ63" s="2" t="s">
        <v>661</v>
      </c>
      <c r="AK63" s="2" t="s">
        <v>661</v>
      </c>
      <c r="AL63" s="2" t="s">
        <v>661</v>
      </c>
      <c r="AM63" s="2" t="s">
        <v>661</v>
      </c>
      <c r="AN63" s="2" t="s">
        <v>661</v>
      </c>
      <c r="AO63" s="2" t="s">
        <v>661</v>
      </c>
      <c r="AP63" s="15">
        <v>29.6</v>
      </c>
      <c r="AQ63" s="2" t="s">
        <v>661</v>
      </c>
      <c r="AR63" s="16">
        <v>39.799999999999997</v>
      </c>
      <c r="AS63" s="16">
        <v>7.7</v>
      </c>
      <c r="AT63" s="16">
        <v>52.5</v>
      </c>
      <c r="AU63" s="2" t="s">
        <v>661</v>
      </c>
      <c r="AV63" s="16">
        <f t="shared" si="10"/>
        <v>100</v>
      </c>
      <c r="AW63" s="18">
        <v>2.23</v>
      </c>
      <c r="AX63" s="13">
        <f t="shared" si="14"/>
        <v>2.23E-2</v>
      </c>
      <c r="AY63" s="8" t="s">
        <v>184</v>
      </c>
      <c r="AZ63" s="16">
        <v>100</v>
      </c>
      <c r="BA63" s="16" t="s">
        <v>55</v>
      </c>
      <c r="BB63" s="16">
        <v>5</v>
      </c>
      <c r="BC63" s="16" t="s">
        <v>55</v>
      </c>
      <c r="BD63" s="24">
        <v>4.3499999999999996</v>
      </c>
      <c r="BE63" s="16">
        <f t="shared" si="11"/>
        <v>195.06726457399103</v>
      </c>
      <c r="BF63" s="16">
        <f t="shared" si="12"/>
        <v>2.2901843939064768</v>
      </c>
      <c r="BG63" s="8">
        <f t="shared" si="13"/>
        <v>0.63848925695463732</v>
      </c>
      <c r="BH63" s="13" t="s">
        <v>345</v>
      </c>
      <c r="BI63" s="13"/>
      <c r="BJ63" s="13"/>
      <c r="BK63" s="13"/>
      <c r="BL63" s="13"/>
      <c r="BM63" s="17"/>
      <c r="BN63" s="17"/>
      <c r="BO63" s="2"/>
    </row>
    <row r="64" spans="1:67" s="14" customFormat="1" x14ac:dyDescent="0.3">
      <c r="A64" s="20">
        <v>63</v>
      </c>
      <c r="B64" s="2" t="s">
        <v>181</v>
      </c>
      <c r="C64" s="2">
        <v>2020</v>
      </c>
      <c r="D64" s="2" t="s">
        <v>203</v>
      </c>
      <c r="E64" s="10" t="s">
        <v>787</v>
      </c>
      <c r="F64" s="20" t="s">
        <v>29</v>
      </c>
      <c r="G64" s="2" t="s">
        <v>60</v>
      </c>
      <c r="H64" s="2" t="str">
        <f>'PFAS Properties'!$B$22</f>
        <v>AmPr-FHxSA</v>
      </c>
      <c r="I64" s="2" t="str">
        <f>'PFAS Properties'!$C$22</f>
        <v>Betaine</v>
      </c>
      <c r="J64" s="2" t="str">
        <f>'PFAS Properties'!$D$22</f>
        <v>C11H13F13N2O2S</v>
      </c>
      <c r="K64" s="25">
        <f>'PFAS Properties'!$P$22</f>
        <v>484.0487</v>
      </c>
      <c r="L64" s="2">
        <f>'PFAS Properties'!$X$22</f>
        <v>6.8</v>
      </c>
      <c r="M64" s="2">
        <f>'PFAS Properties'!$Y$22</f>
        <v>9.1999999999999993</v>
      </c>
      <c r="N64" s="33">
        <f t="shared" si="21"/>
        <v>0.10876101529329767</v>
      </c>
      <c r="O64" s="33">
        <f t="shared" si="22"/>
        <v>0.86391945284745819</v>
      </c>
      <c r="P64" s="33">
        <v>0</v>
      </c>
      <c r="Q64" s="33">
        <f t="shared" si="24"/>
        <v>2.7319531859244111E-2</v>
      </c>
      <c r="R64" s="33">
        <v>0</v>
      </c>
      <c r="S64" s="33">
        <v>0</v>
      </c>
      <c r="T64" s="8">
        <f t="shared" si="20"/>
        <v>0.99999999999999989</v>
      </c>
      <c r="U64" s="33">
        <f t="shared" si="4"/>
        <v>0.97268046814075582</v>
      </c>
      <c r="V64" s="33">
        <f t="shared" si="5"/>
        <v>-0.89123898470670226</v>
      </c>
      <c r="W64" s="33">
        <f t="shared" si="6"/>
        <v>484.13014148343404</v>
      </c>
      <c r="X64" s="33">
        <v>96485</v>
      </c>
      <c r="Y64" s="16">
        <f t="shared" si="7"/>
        <v>16.230928124113788</v>
      </c>
      <c r="Z64" s="2">
        <v>11</v>
      </c>
      <c r="AA64" s="2">
        <v>13</v>
      </c>
      <c r="AB64" s="8">
        <f t="shared" si="8"/>
        <v>0.53441295546558698</v>
      </c>
      <c r="AC64" s="16">
        <f t="shared" si="9"/>
        <v>51.027923430018504</v>
      </c>
      <c r="AD64" s="20">
        <f>'PFAS Properties'!$W$22</f>
        <v>6</v>
      </c>
      <c r="AE64" s="8">
        <f>'PFAS Properties'!$S$22</f>
        <v>2.592953571547866</v>
      </c>
      <c r="AF64" s="2">
        <f>'PFAS Properties'!$V$22</f>
        <v>4.3</v>
      </c>
      <c r="AG64" s="24">
        <v>7.7</v>
      </c>
      <c r="AH64" s="2" t="s">
        <v>183</v>
      </c>
      <c r="AI64" s="2" t="s">
        <v>661</v>
      </c>
      <c r="AJ64" s="2" t="s">
        <v>661</v>
      </c>
      <c r="AK64" s="2" t="s">
        <v>661</v>
      </c>
      <c r="AL64" s="2" t="s">
        <v>661</v>
      </c>
      <c r="AM64" s="2" t="s">
        <v>661</v>
      </c>
      <c r="AN64" s="2" t="s">
        <v>661</v>
      </c>
      <c r="AO64" s="2" t="s">
        <v>661</v>
      </c>
      <c r="AP64" s="15">
        <v>21.63</v>
      </c>
      <c r="AQ64" s="2" t="s">
        <v>661</v>
      </c>
      <c r="AR64" s="16">
        <v>70</v>
      </c>
      <c r="AS64" s="16">
        <v>11</v>
      </c>
      <c r="AT64" s="16">
        <v>19</v>
      </c>
      <c r="AU64" s="2" t="s">
        <v>661</v>
      </c>
      <c r="AV64" s="16">
        <f t="shared" si="10"/>
        <v>100</v>
      </c>
      <c r="AW64" s="18">
        <v>4.9000000000000004</v>
      </c>
      <c r="AX64" s="13">
        <f t="shared" si="14"/>
        <v>4.9000000000000002E-2</v>
      </c>
      <c r="AY64" s="8" t="s">
        <v>184</v>
      </c>
      <c r="AZ64" s="16">
        <v>100</v>
      </c>
      <c r="BA64" s="16" t="s">
        <v>55</v>
      </c>
      <c r="BB64" s="16">
        <v>5</v>
      </c>
      <c r="BC64" s="16" t="s">
        <v>55</v>
      </c>
      <c r="BD64" s="24">
        <v>8.08</v>
      </c>
      <c r="BE64" s="16">
        <f t="shared" si="11"/>
        <v>164.89795918367346</v>
      </c>
      <c r="BF64" s="16">
        <f t="shared" si="12"/>
        <v>2.2172152807460725</v>
      </c>
      <c r="BG64" s="8">
        <f t="shared" si="13"/>
        <v>0.90741136077458617</v>
      </c>
      <c r="BH64" s="13" t="s">
        <v>345</v>
      </c>
      <c r="BI64" s="13"/>
      <c r="BJ64" s="13"/>
      <c r="BK64" s="13"/>
      <c r="BL64" s="13"/>
      <c r="BM64" s="17"/>
      <c r="BN64" s="17"/>
      <c r="BO64" s="2"/>
    </row>
    <row r="65" spans="1:67" s="14" customFormat="1" x14ac:dyDescent="0.3">
      <c r="A65" s="20">
        <v>64</v>
      </c>
      <c r="B65" s="2" t="s">
        <v>181</v>
      </c>
      <c r="C65" s="2">
        <v>2020</v>
      </c>
      <c r="D65" s="2" t="s">
        <v>203</v>
      </c>
      <c r="E65" s="10" t="s">
        <v>787</v>
      </c>
      <c r="F65" s="20" t="s">
        <v>29</v>
      </c>
      <c r="G65" s="2" t="s">
        <v>77</v>
      </c>
      <c r="H65" s="2" t="str">
        <f>'PFAS Properties'!$B$22</f>
        <v>AmPr-FHxSA</v>
      </c>
      <c r="I65" s="2" t="str">
        <f>'PFAS Properties'!$C$22</f>
        <v>Betaine</v>
      </c>
      <c r="J65" s="2" t="str">
        <f>'PFAS Properties'!$D$22</f>
        <v>C11H13F13N2O2S</v>
      </c>
      <c r="K65" s="25">
        <f>'PFAS Properties'!$P$22</f>
        <v>484.0487</v>
      </c>
      <c r="L65" s="2">
        <f>'PFAS Properties'!$X$22</f>
        <v>6.8</v>
      </c>
      <c r="M65" s="2">
        <f>'PFAS Properties'!$Y$22</f>
        <v>9.1999999999999993</v>
      </c>
      <c r="N65" s="33">
        <f t="shared" si="21"/>
        <v>0.10876101529329767</v>
      </c>
      <c r="O65" s="33">
        <f t="shared" si="22"/>
        <v>0.86391945284745819</v>
      </c>
      <c r="P65" s="33">
        <v>0</v>
      </c>
      <c r="Q65" s="33">
        <f t="shared" si="24"/>
        <v>2.7319531859244111E-2</v>
      </c>
      <c r="R65" s="33">
        <v>0</v>
      </c>
      <c r="S65" s="33">
        <v>0</v>
      </c>
      <c r="T65" s="8">
        <f t="shared" si="20"/>
        <v>0.99999999999999989</v>
      </c>
      <c r="U65" s="33">
        <f t="shared" si="4"/>
        <v>0.97268046814075582</v>
      </c>
      <c r="V65" s="33">
        <f t="shared" si="5"/>
        <v>-0.89123898470670226</v>
      </c>
      <c r="W65" s="33">
        <f t="shared" si="6"/>
        <v>484.13014148343404</v>
      </c>
      <c r="X65" s="33">
        <v>96485</v>
      </c>
      <c r="Y65" s="16">
        <f t="shared" si="7"/>
        <v>16.230928124113788</v>
      </c>
      <c r="Z65" s="2">
        <v>11</v>
      </c>
      <c r="AA65" s="2">
        <v>13</v>
      </c>
      <c r="AB65" s="8">
        <f t="shared" si="8"/>
        <v>0.53441295546558698</v>
      </c>
      <c r="AC65" s="16">
        <f t="shared" si="9"/>
        <v>51.027923430018504</v>
      </c>
      <c r="AD65" s="20">
        <f>'PFAS Properties'!$W$22</f>
        <v>6</v>
      </c>
      <c r="AE65" s="8">
        <f>'PFAS Properties'!$S$22</f>
        <v>2.592953571547866</v>
      </c>
      <c r="AF65" s="2">
        <f>'PFAS Properties'!$V$22</f>
        <v>4.3</v>
      </c>
      <c r="AG65" s="24">
        <v>7.7</v>
      </c>
      <c r="AH65" s="2" t="s">
        <v>183</v>
      </c>
      <c r="AI65" s="2" t="s">
        <v>661</v>
      </c>
      <c r="AJ65" s="2" t="s">
        <v>661</v>
      </c>
      <c r="AK65" s="2" t="s">
        <v>661</v>
      </c>
      <c r="AL65" s="2" t="s">
        <v>661</v>
      </c>
      <c r="AM65" s="2" t="s">
        <v>661</v>
      </c>
      <c r="AN65" s="2" t="s">
        <v>661</v>
      </c>
      <c r="AO65" s="2" t="s">
        <v>661</v>
      </c>
      <c r="AP65" s="15">
        <v>7.8</v>
      </c>
      <c r="AQ65" s="2" t="s">
        <v>661</v>
      </c>
      <c r="AR65" s="16">
        <v>48.9</v>
      </c>
      <c r="AS65" s="16">
        <v>32.6</v>
      </c>
      <c r="AT65" s="16">
        <v>18.5</v>
      </c>
      <c r="AU65" s="2" t="s">
        <v>661</v>
      </c>
      <c r="AV65" s="16">
        <f t="shared" si="10"/>
        <v>100</v>
      </c>
      <c r="AW65" s="18">
        <v>0.13</v>
      </c>
      <c r="AX65" s="13">
        <f t="shared" si="14"/>
        <v>1.2999999999999999E-3</v>
      </c>
      <c r="AY65" s="8" t="s">
        <v>184</v>
      </c>
      <c r="AZ65" s="16">
        <v>100</v>
      </c>
      <c r="BA65" s="16" t="s">
        <v>55</v>
      </c>
      <c r="BB65" s="16">
        <v>5</v>
      </c>
      <c r="BC65" s="16" t="s">
        <v>55</v>
      </c>
      <c r="BD65" s="24">
        <v>4.3499999999999996</v>
      </c>
      <c r="BE65" s="16">
        <f t="shared" si="11"/>
        <v>3346.1538461538462</v>
      </c>
      <c r="BF65" s="16">
        <f t="shared" si="12"/>
        <v>3.5245459046478005</v>
      </c>
      <c r="BG65" s="8">
        <f t="shared" si="13"/>
        <v>0.63848925695463732</v>
      </c>
      <c r="BH65" s="13" t="s">
        <v>345</v>
      </c>
      <c r="BI65" s="13"/>
      <c r="BJ65" s="13"/>
      <c r="BK65" s="13"/>
      <c r="BL65" s="13"/>
      <c r="BM65" s="17"/>
      <c r="BN65" s="17"/>
      <c r="BO65" s="2"/>
    </row>
    <row r="66" spans="1:67" s="14" customFormat="1" x14ac:dyDescent="0.3">
      <c r="A66" s="20">
        <v>65</v>
      </c>
      <c r="B66" s="2" t="s">
        <v>181</v>
      </c>
      <c r="C66" s="2">
        <v>2020</v>
      </c>
      <c r="D66" s="2" t="s">
        <v>203</v>
      </c>
      <c r="E66" s="10" t="s">
        <v>787</v>
      </c>
      <c r="F66" s="20" t="s">
        <v>29</v>
      </c>
      <c r="G66" s="2" t="s">
        <v>182</v>
      </c>
      <c r="H66" s="2" t="str">
        <f>'PFAS Properties'!$B$22</f>
        <v>AmPr-FHxSA</v>
      </c>
      <c r="I66" s="2" t="str">
        <f>'PFAS Properties'!$C$22</f>
        <v>Betaine</v>
      </c>
      <c r="J66" s="2" t="str">
        <f>'PFAS Properties'!$D$22</f>
        <v>C11H13F13N2O2S</v>
      </c>
      <c r="K66" s="25">
        <f>'PFAS Properties'!$P$22</f>
        <v>484.0487</v>
      </c>
      <c r="L66" s="2">
        <f>'PFAS Properties'!$X$22</f>
        <v>6.8</v>
      </c>
      <c r="M66" s="2">
        <f>'PFAS Properties'!$Y$22</f>
        <v>9.1999999999999993</v>
      </c>
      <c r="N66" s="33">
        <f t="shared" si="21"/>
        <v>0.16361598295586155</v>
      </c>
      <c r="O66" s="33">
        <f t="shared" si="22"/>
        <v>0.82002241874855242</v>
      </c>
      <c r="P66" s="33">
        <v>0</v>
      </c>
      <c r="Q66" s="33">
        <f t="shared" si="24"/>
        <v>1.6361598295586179E-2</v>
      </c>
      <c r="R66" s="33">
        <v>0</v>
      </c>
      <c r="S66" s="33">
        <v>0</v>
      </c>
      <c r="T66" s="8">
        <f t="shared" si="20"/>
        <v>1.0000000000000002</v>
      </c>
      <c r="U66" s="33">
        <f t="shared" ref="U66:U128" si="25">((1*N66)+(1*O66)+(1*P66))</f>
        <v>0.98363840170441397</v>
      </c>
      <c r="V66" s="33">
        <f t="shared" ref="V66:V128" si="26">-((1*O66)+(2*P66)+(1*Q66)+(2*R66))</f>
        <v>-0.83638401704413856</v>
      </c>
      <c r="W66" s="33">
        <f t="shared" ref="W66:W128" si="27">(N66*(K66+1))+(O66*K66)+(P66*(K66-1))+(Q66*(K66-1))+(R66*(K66-2))+(S66*K66)</f>
        <v>484.1959543846603</v>
      </c>
      <c r="X66" s="33">
        <v>96485</v>
      </c>
      <c r="Y66" s="16">
        <f t="shared" ref="Y66:Y128" si="28">((V66+U66)/W66)*X66</f>
        <v>29.343159882454376</v>
      </c>
      <c r="Z66" s="2">
        <v>11</v>
      </c>
      <c r="AA66" s="2">
        <v>13</v>
      </c>
      <c r="AB66" s="8">
        <f t="shared" ref="AB66:AB128" si="29">(Z66/AA66)*(12/19)</f>
        <v>0.53441295546558698</v>
      </c>
      <c r="AC66" s="16">
        <f t="shared" ref="AC66:AC128" si="30">((AA66*19)/K66)*100</f>
        <v>51.027923430018504</v>
      </c>
      <c r="AD66" s="20">
        <f>'PFAS Properties'!$W$22</f>
        <v>6</v>
      </c>
      <c r="AE66" s="8">
        <f>'PFAS Properties'!$S$22</f>
        <v>2.592953571547866</v>
      </c>
      <c r="AF66" s="2">
        <f>'PFAS Properties'!$V$22</f>
        <v>4.3</v>
      </c>
      <c r="AG66" s="24">
        <v>7.5</v>
      </c>
      <c r="AH66" s="2" t="s">
        <v>183</v>
      </c>
      <c r="AI66" s="2" t="s">
        <v>661</v>
      </c>
      <c r="AJ66" s="2" t="s">
        <v>661</v>
      </c>
      <c r="AK66" s="2" t="s">
        <v>661</v>
      </c>
      <c r="AL66" s="2" t="s">
        <v>661</v>
      </c>
      <c r="AM66" s="2" t="s">
        <v>661</v>
      </c>
      <c r="AN66" s="2" t="s">
        <v>661</v>
      </c>
      <c r="AO66" s="2" t="s">
        <v>661</v>
      </c>
      <c r="AP66" s="15">
        <v>2.2799999999999998</v>
      </c>
      <c r="AQ66" s="2" t="s">
        <v>661</v>
      </c>
      <c r="AR66" s="16">
        <v>93</v>
      </c>
      <c r="AS66" s="16">
        <v>1</v>
      </c>
      <c r="AT66" s="16">
        <v>5</v>
      </c>
      <c r="AU66" s="2" t="s">
        <v>661</v>
      </c>
      <c r="AV66" s="16">
        <f t="shared" ref="AV66:AV128" si="31">SUM(AR66:AT66)</f>
        <v>99</v>
      </c>
      <c r="AW66" s="18">
        <v>0.4</v>
      </c>
      <c r="AX66" s="13">
        <f t="shared" si="14"/>
        <v>4.0000000000000001E-3</v>
      </c>
      <c r="AY66" s="8" t="s">
        <v>184</v>
      </c>
      <c r="AZ66" s="16">
        <v>100</v>
      </c>
      <c r="BA66" s="16" t="s">
        <v>55</v>
      </c>
      <c r="BB66" s="16">
        <v>5</v>
      </c>
      <c r="BC66" s="16" t="s">
        <v>55</v>
      </c>
      <c r="BD66" s="24">
        <v>4.1900000000000004</v>
      </c>
      <c r="BE66" s="16">
        <f t="shared" ref="BE66:BE128" si="32">BD66/AX66</f>
        <v>1047.5</v>
      </c>
      <c r="BF66" s="16">
        <f t="shared" ref="BF66:BF128" si="33">LOG(BE66)</f>
        <v>3.0201540316383331</v>
      </c>
      <c r="BG66" s="8">
        <f t="shared" ref="BG66:BG128" si="34">LOG(BD66)</f>
        <v>0.62221402296629535</v>
      </c>
      <c r="BH66" s="13" t="s">
        <v>345</v>
      </c>
      <c r="BI66" s="13"/>
      <c r="BJ66" s="13"/>
      <c r="BK66" s="13"/>
      <c r="BL66" s="13"/>
      <c r="BM66" s="17"/>
      <c r="BN66" s="17"/>
      <c r="BO66" s="2"/>
    </row>
    <row r="67" spans="1:67" s="14" customFormat="1" x14ac:dyDescent="0.3">
      <c r="A67" s="20">
        <v>66</v>
      </c>
      <c r="B67" s="2" t="s">
        <v>181</v>
      </c>
      <c r="C67" s="2">
        <v>2020</v>
      </c>
      <c r="D67" s="2" t="s">
        <v>203</v>
      </c>
      <c r="E67" s="10" t="s">
        <v>787</v>
      </c>
      <c r="F67" s="20" t="s">
        <v>29</v>
      </c>
      <c r="G67" s="2" t="s">
        <v>78</v>
      </c>
      <c r="H67" s="2" t="str">
        <f>'PFAS Properties'!$B$22</f>
        <v>AmPr-FHxSA</v>
      </c>
      <c r="I67" s="2" t="str">
        <f>'PFAS Properties'!$C$22</f>
        <v>Betaine</v>
      </c>
      <c r="J67" s="2" t="str">
        <f>'PFAS Properties'!$D$22</f>
        <v>C11H13F13N2O2S</v>
      </c>
      <c r="K67" s="25">
        <f>'PFAS Properties'!$P$22</f>
        <v>484.0487</v>
      </c>
      <c r="L67" s="2">
        <f>'PFAS Properties'!$X$22</f>
        <v>6.8</v>
      </c>
      <c r="M67" s="2">
        <f>'PFAS Properties'!$Y$22</f>
        <v>9.1999999999999993</v>
      </c>
      <c r="N67" s="33">
        <f t="shared" si="21"/>
        <v>0.33210330605741722</v>
      </c>
      <c r="O67" s="33">
        <f t="shared" si="22"/>
        <v>0.6626332112529405</v>
      </c>
      <c r="P67" s="33">
        <v>0</v>
      </c>
      <c r="Q67" s="33">
        <f t="shared" si="24"/>
        <v>5.2634826896422997E-3</v>
      </c>
      <c r="R67" s="33">
        <v>0</v>
      </c>
      <c r="S67" s="33">
        <v>0</v>
      </c>
      <c r="T67" s="8">
        <f t="shared" si="20"/>
        <v>1</v>
      </c>
      <c r="U67" s="33">
        <f t="shared" si="25"/>
        <v>0.99473651731035773</v>
      </c>
      <c r="V67" s="33">
        <f t="shared" si="26"/>
        <v>-0.66789669394258278</v>
      </c>
      <c r="W67" s="33">
        <f t="shared" si="27"/>
        <v>484.37553982336777</v>
      </c>
      <c r="X67" s="33">
        <v>96485</v>
      </c>
      <c r="Y67" s="16">
        <f t="shared" si="28"/>
        <v>65.104733342107565</v>
      </c>
      <c r="Z67" s="2">
        <v>11</v>
      </c>
      <c r="AA67" s="2">
        <v>13</v>
      </c>
      <c r="AB67" s="8">
        <f t="shared" si="29"/>
        <v>0.53441295546558698</v>
      </c>
      <c r="AC67" s="16">
        <f t="shared" si="30"/>
        <v>51.027923430018504</v>
      </c>
      <c r="AD67" s="20">
        <f>'PFAS Properties'!$W$22</f>
        <v>6</v>
      </c>
      <c r="AE67" s="8">
        <f>'PFAS Properties'!$S$22</f>
        <v>2.592953571547866</v>
      </c>
      <c r="AF67" s="2">
        <f>'PFAS Properties'!$V$22</f>
        <v>4.3</v>
      </c>
      <c r="AG67" s="24">
        <v>7.1</v>
      </c>
      <c r="AH67" s="2" t="s">
        <v>183</v>
      </c>
      <c r="AI67" s="2" t="s">
        <v>661</v>
      </c>
      <c r="AJ67" s="2" t="s">
        <v>661</v>
      </c>
      <c r="AK67" s="2" t="s">
        <v>661</v>
      </c>
      <c r="AL67" s="2" t="s">
        <v>661</v>
      </c>
      <c r="AM67" s="2" t="s">
        <v>661</v>
      </c>
      <c r="AN67" s="2" t="s">
        <v>661</v>
      </c>
      <c r="AO67" s="2" t="s">
        <v>661</v>
      </c>
      <c r="AP67" s="15">
        <v>17.420000000000002</v>
      </c>
      <c r="AQ67" s="2" t="s">
        <v>661</v>
      </c>
      <c r="AR67" s="16">
        <v>48.86</v>
      </c>
      <c r="AS67" s="16">
        <v>16.05</v>
      </c>
      <c r="AT67" s="16">
        <v>35.090000000000003</v>
      </c>
      <c r="AU67" s="2" t="s">
        <v>661</v>
      </c>
      <c r="AV67" s="16">
        <f t="shared" si="31"/>
        <v>100</v>
      </c>
      <c r="AW67" s="18">
        <v>1.19</v>
      </c>
      <c r="AX67" s="13">
        <f t="shared" ref="AX67:AX78" si="35">AW67/100</f>
        <v>1.1899999999999999E-2</v>
      </c>
      <c r="AY67" s="8" t="s">
        <v>184</v>
      </c>
      <c r="AZ67" s="16">
        <v>100</v>
      </c>
      <c r="BA67" s="16" t="s">
        <v>55</v>
      </c>
      <c r="BB67" s="16">
        <v>5</v>
      </c>
      <c r="BC67" s="16" t="s">
        <v>55</v>
      </c>
      <c r="BD67" s="24">
        <v>3.37</v>
      </c>
      <c r="BE67" s="16">
        <f t="shared" si="32"/>
        <v>283.19327731092437</v>
      </c>
      <c r="BF67" s="16">
        <f t="shared" si="33"/>
        <v>2.452082939478808</v>
      </c>
      <c r="BG67" s="8">
        <f t="shared" si="34"/>
        <v>0.52762990087133865</v>
      </c>
      <c r="BH67" s="13" t="s">
        <v>345</v>
      </c>
      <c r="BI67" s="13"/>
      <c r="BJ67" s="13"/>
      <c r="BK67" s="13"/>
      <c r="BL67" s="13"/>
      <c r="BM67" s="17"/>
      <c r="BN67" s="17"/>
      <c r="BO67" s="2"/>
    </row>
    <row r="68" spans="1:67" s="14" customFormat="1" x14ac:dyDescent="0.3">
      <c r="A68" s="20">
        <v>67</v>
      </c>
      <c r="B68" s="2" t="s">
        <v>181</v>
      </c>
      <c r="C68" s="2">
        <v>2020</v>
      </c>
      <c r="D68" s="2" t="s">
        <v>203</v>
      </c>
      <c r="E68" s="10" t="s">
        <v>787</v>
      </c>
      <c r="F68" s="20" t="s">
        <v>29</v>
      </c>
      <c r="G68" s="2" t="s">
        <v>98</v>
      </c>
      <c r="H68" s="2" t="str">
        <f>'PFAS Properties'!$B$22</f>
        <v>AmPr-FHxSA</v>
      </c>
      <c r="I68" s="2" t="str">
        <f>'PFAS Properties'!$C$22</f>
        <v>Betaine</v>
      </c>
      <c r="J68" s="2" t="str">
        <f>'PFAS Properties'!$D$22</f>
        <v>C11H13F13N2O2S</v>
      </c>
      <c r="K68" s="25">
        <f>'PFAS Properties'!$P$22</f>
        <v>484.0487</v>
      </c>
      <c r="L68" s="2">
        <f>'PFAS Properties'!$X$22</f>
        <v>6.8</v>
      </c>
      <c r="M68" s="2">
        <f>'PFAS Properties'!$Y$22</f>
        <v>9.1999999999999993</v>
      </c>
      <c r="N68" s="33">
        <f t="shared" si="21"/>
        <v>0.7149301073981581</v>
      </c>
      <c r="O68" s="33">
        <f t="shared" si="22"/>
        <v>0.28461880219978897</v>
      </c>
      <c r="P68" s="33">
        <v>0</v>
      </c>
      <c r="Q68" s="33">
        <f t="shared" si="24"/>
        <v>4.51090402052882E-4</v>
      </c>
      <c r="R68" s="33">
        <v>0</v>
      </c>
      <c r="S68" s="33">
        <v>0</v>
      </c>
      <c r="T68" s="8">
        <f t="shared" si="20"/>
        <v>1</v>
      </c>
      <c r="U68" s="33">
        <f t="shared" si="25"/>
        <v>0.99954890959794707</v>
      </c>
      <c r="V68" s="33">
        <f t="shared" si="26"/>
        <v>-0.28506989260184185</v>
      </c>
      <c r="W68" s="33">
        <f t="shared" si="27"/>
        <v>484.76317901699605</v>
      </c>
      <c r="X68" s="33">
        <v>96485</v>
      </c>
      <c r="Y68" s="16">
        <f t="shared" si="28"/>
        <v>142.20656794655656</v>
      </c>
      <c r="Z68" s="2">
        <v>11</v>
      </c>
      <c r="AA68" s="2">
        <v>13</v>
      </c>
      <c r="AB68" s="8">
        <f t="shared" si="29"/>
        <v>0.53441295546558698</v>
      </c>
      <c r="AC68" s="16">
        <f t="shared" si="30"/>
        <v>51.027923430018504</v>
      </c>
      <c r="AD68" s="20">
        <f>'PFAS Properties'!$W$22</f>
        <v>6</v>
      </c>
      <c r="AE68" s="8">
        <f>'PFAS Properties'!$S$22</f>
        <v>2.592953571547866</v>
      </c>
      <c r="AF68" s="2">
        <f>'PFAS Properties'!$V$22</f>
        <v>4.3</v>
      </c>
      <c r="AG68" s="24">
        <v>6.4</v>
      </c>
      <c r="AH68" s="2" t="s">
        <v>183</v>
      </c>
      <c r="AI68" s="2" t="s">
        <v>661</v>
      </c>
      <c r="AJ68" s="15" t="s">
        <v>661</v>
      </c>
      <c r="AK68" s="8" t="s">
        <v>661</v>
      </c>
      <c r="AL68" s="2" t="s">
        <v>661</v>
      </c>
      <c r="AM68" s="15" t="s">
        <v>661</v>
      </c>
      <c r="AN68" s="8" t="s">
        <v>661</v>
      </c>
      <c r="AO68" s="15" t="s">
        <v>661</v>
      </c>
      <c r="AP68" s="15">
        <v>16.54</v>
      </c>
      <c r="AQ68" s="13" t="s">
        <v>661</v>
      </c>
      <c r="AR68" s="16">
        <v>29.38</v>
      </c>
      <c r="AS68" s="16">
        <v>13.9</v>
      </c>
      <c r="AT68" s="16">
        <v>56.71</v>
      </c>
      <c r="AU68" s="15" t="s">
        <v>661</v>
      </c>
      <c r="AV68" s="16">
        <f t="shared" si="31"/>
        <v>99.990000000000009</v>
      </c>
      <c r="AW68" s="18">
        <v>0.17</v>
      </c>
      <c r="AX68" s="13">
        <f t="shared" si="35"/>
        <v>1.7000000000000001E-3</v>
      </c>
      <c r="AY68" s="8" t="s">
        <v>184</v>
      </c>
      <c r="AZ68" s="16">
        <v>100</v>
      </c>
      <c r="BA68" s="16" t="s">
        <v>55</v>
      </c>
      <c r="BB68" s="16">
        <v>5</v>
      </c>
      <c r="BC68" s="16" t="s">
        <v>55</v>
      </c>
      <c r="BD68" s="25">
        <v>20.79</v>
      </c>
      <c r="BE68" s="16">
        <f t="shared" si="32"/>
        <v>12229.411764705881</v>
      </c>
      <c r="BF68" s="16">
        <f t="shared" si="33"/>
        <v>4.0874055679531951</v>
      </c>
      <c r="BG68" s="8">
        <f t="shared" si="34"/>
        <v>1.3178544893314692</v>
      </c>
      <c r="BH68" s="13" t="s">
        <v>345</v>
      </c>
      <c r="BI68" s="13"/>
      <c r="BJ68" s="13"/>
      <c r="BK68" s="13"/>
      <c r="BL68" s="13"/>
      <c r="BM68" s="17"/>
      <c r="BN68" s="17"/>
      <c r="BO68" s="2"/>
    </row>
    <row r="69" spans="1:67" s="14" customFormat="1" x14ac:dyDescent="0.3">
      <c r="A69" s="20">
        <v>68</v>
      </c>
      <c r="B69" s="2" t="s">
        <v>181</v>
      </c>
      <c r="C69" s="2">
        <v>2020</v>
      </c>
      <c r="D69" s="2" t="s">
        <v>203</v>
      </c>
      <c r="E69" s="10" t="s">
        <v>787</v>
      </c>
      <c r="F69" s="20" t="s">
        <v>29</v>
      </c>
      <c r="G69" s="2" t="s">
        <v>62</v>
      </c>
      <c r="H69" s="2" t="str">
        <f>'PFAS Properties'!$B$23</f>
        <v>TAmPr-FHxSA</v>
      </c>
      <c r="I69" s="2" t="str">
        <f>'PFAS Properties'!$C$23</f>
        <v>Betaine</v>
      </c>
      <c r="J69" s="2" t="str">
        <f>'PFAS Properties'!$D$23</f>
        <v>C12H15F13N2O2S</v>
      </c>
      <c r="K69" s="25">
        <f>'PFAS Properties'!$P$23</f>
        <v>498.0643</v>
      </c>
      <c r="L69" s="2">
        <f>'PFAS Properties'!$X$23</f>
        <v>6.8</v>
      </c>
      <c r="M69" s="2" t="str">
        <f>'PFAS Properties'!$Y$23</f>
        <v>-</v>
      </c>
      <c r="N69" s="33">
        <v>0</v>
      </c>
      <c r="O69" s="33">
        <f t="shared" ref="O69:O78" si="36">(10^(AG69-L69))/(1+(10^(AG69-L69)))</f>
        <v>0.83366246918343823</v>
      </c>
      <c r="P69" s="33">
        <v>0</v>
      </c>
      <c r="Q69" s="33">
        <f t="shared" ref="Q69:Q78" si="37">(1/(1+(10^(AG69-L69))))</f>
        <v>0.1663375308165618</v>
      </c>
      <c r="R69" s="33">
        <v>0</v>
      </c>
      <c r="S69" s="33">
        <v>0</v>
      </c>
      <c r="T69" s="8">
        <f t="shared" ref="T69:T78" si="38">SUM(O69:S69)</f>
        <v>1</v>
      </c>
      <c r="U69" s="33">
        <f t="shared" si="25"/>
        <v>0.83366246918343823</v>
      </c>
      <c r="V69" s="33">
        <f t="shared" si="26"/>
        <v>-1</v>
      </c>
      <c r="W69" s="33">
        <f t="shared" si="27"/>
        <v>497.89796246918343</v>
      </c>
      <c r="X69" s="33">
        <v>96485</v>
      </c>
      <c r="Y69" s="16">
        <f t="shared" si="28"/>
        <v>-32.233666073355934</v>
      </c>
      <c r="Z69" s="2">
        <v>12</v>
      </c>
      <c r="AA69" s="2">
        <v>13</v>
      </c>
      <c r="AB69" s="8">
        <f t="shared" si="29"/>
        <v>0.582995951417004</v>
      </c>
      <c r="AC69" s="16">
        <f t="shared" si="30"/>
        <v>49.591990431757502</v>
      </c>
      <c r="AD69" s="20">
        <f>'PFAS Properties'!$W$23</f>
        <v>6</v>
      </c>
      <c r="AE69" s="8">
        <f>'PFAS Properties'!$S$23</f>
        <v>2.3111178426625059</v>
      </c>
      <c r="AF69" s="2">
        <f>'PFAS Properties'!$V$23</f>
        <v>4.0999999999999996</v>
      </c>
      <c r="AG69" s="24">
        <v>7.5</v>
      </c>
      <c r="AH69" s="2" t="s">
        <v>183</v>
      </c>
      <c r="AI69" s="2" t="s">
        <v>661</v>
      </c>
      <c r="AJ69" s="2" t="s">
        <v>661</v>
      </c>
      <c r="AK69" s="2" t="s">
        <v>661</v>
      </c>
      <c r="AL69" s="2" t="s">
        <v>661</v>
      </c>
      <c r="AM69" s="2" t="s">
        <v>661</v>
      </c>
      <c r="AN69" s="2" t="s">
        <v>661</v>
      </c>
      <c r="AO69" s="2" t="s">
        <v>661</v>
      </c>
      <c r="AP69" s="15">
        <v>41.4</v>
      </c>
      <c r="AQ69" s="2" t="s">
        <v>661</v>
      </c>
      <c r="AR69" s="16">
        <v>16.899999999999999</v>
      </c>
      <c r="AS69" s="16">
        <v>17.5</v>
      </c>
      <c r="AT69" s="16">
        <v>65.599999999999994</v>
      </c>
      <c r="AU69" s="2" t="s">
        <v>661</v>
      </c>
      <c r="AV69" s="16">
        <f t="shared" si="31"/>
        <v>100</v>
      </c>
      <c r="AW69" s="18">
        <v>0.7</v>
      </c>
      <c r="AX69" s="13">
        <f t="shared" si="35"/>
        <v>6.9999999999999993E-3</v>
      </c>
      <c r="AY69" s="13" t="s">
        <v>184</v>
      </c>
      <c r="AZ69" s="16">
        <v>100</v>
      </c>
      <c r="BA69" s="16" t="s">
        <v>55</v>
      </c>
      <c r="BB69" s="16">
        <v>5</v>
      </c>
      <c r="BC69" s="16" t="s">
        <v>55</v>
      </c>
      <c r="BD69" s="24">
        <v>5.32</v>
      </c>
      <c r="BE69" s="16">
        <f t="shared" si="32"/>
        <v>760.00000000000011</v>
      </c>
      <c r="BF69" s="16">
        <f t="shared" si="33"/>
        <v>2.8808135922807914</v>
      </c>
      <c r="BG69" s="8">
        <f t="shared" si="34"/>
        <v>0.72591163229504818</v>
      </c>
      <c r="BH69" s="13" t="s">
        <v>345</v>
      </c>
      <c r="BI69" s="13"/>
      <c r="BJ69" s="13"/>
      <c r="BK69" s="13"/>
      <c r="BL69" s="13"/>
      <c r="BM69" s="17"/>
      <c r="BN69" s="17"/>
      <c r="BO69" s="2"/>
    </row>
    <row r="70" spans="1:67" s="14" customFormat="1" x14ac:dyDescent="0.3">
      <c r="A70" s="20">
        <v>69</v>
      </c>
      <c r="B70" s="2" t="s">
        <v>181</v>
      </c>
      <c r="C70" s="2">
        <v>2020</v>
      </c>
      <c r="D70" s="2" t="s">
        <v>203</v>
      </c>
      <c r="E70" s="10" t="s">
        <v>787</v>
      </c>
      <c r="F70" s="20" t="s">
        <v>29</v>
      </c>
      <c r="G70" s="2" t="s">
        <v>57</v>
      </c>
      <c r="H70" s="2" t="str">
        <f>'PFAS Properties'!$B$23</f>
        <v>TAmPr-FHxSA</v>
      </c>
      <c r="I70" s="2" t="str">
        <f>'PFAS Properties'!$C$23</f>
        <v>Betaine</v>
      </c>
      <c r="J70" s="2" t="str">
        <f>'PFAS Properties'!$D$23</f>
        <v>C12H15F13N2O2S</v>
      </c>
      <c r="K70" s="25">
        <f>'PFAS Properties'!$P$23</f>
        <v>498.0643</v>
      </c>
      <c r="L70" s="2">
        <f>'PFAS Properties'!$X$23</f>
        <v>6.8</v>
      </c>
      <c r="M70" s="2" t="str">
        <f>'PFAS Properties'!$Y$23</f>
        <v>-</v>
      </c>
      <c r="N70" s="33">
        <v>0</v>
      </c>
      <c r="O70" s="33">
        <f t="shared" si="36"/>
        <v>0.5</v>
      </c>
      <c r="P70" s="33">
        <v>0</v>
      </c>
      <c r="Q70" s="33">
        <f t="shared" si="37"/>
        <v>0.5</v>
      </c>
      <c r="R70" s="33">
        <v>0</v>
      </c>
      <c r="S70" s="33">
        <v>0</v>
      </c>
      <c r="T70" s="8">
        <f t="shared" si="38"/>
        <v>1</v>
      </c>
      <c r="U70" s="33">
        <f t="shared" si="25"/>
        <v>0.5</v>
      </c>
      <c r="V70" s="33">
        <f t="shared" si="26"/>
        <v>-1</v>
      </c>
      <c r="W70" s="33">
        <f t="shared" si="27"/>
        <v>497.5643</v>
      </c>
      <c r="X70" s="33">
        <v>96485</v>
      </c>
      <c r="Y70" s="16">
        <f t="shared" si="28"/>
        <v>-96.957317878312395</v>
      </c>
      <c r="Z70" s="2">
        <v>12</v>
      </c>
      <c r="AA70" s="2">
        <v>13</v>
      </c>
      <c r="AB70" s="8">
        <f t="shared" si="29"/>
        <v>0.582995951417004</v>
      </c>
      <c r="AC70" s="16">
        <f t="shared" si="30"/>
        <v>49.591990431757502</v>
      </c>
      <c r="AD70" s="20">
        <f>'PFAS Properties'!$W$23</f>
        <v>6</v>
      </c>
      <c r="AE70" s="8">
        <f>'PFAS Properties'!$S$23</f>
        <v>2.3111178426625059</v>
      </c>
      <c r="AF70" s="2">
        <f>'PFAS Properties'!$V$23</f>
        <v>4.0999999999999996</v>
      </c>
      <c r="AG70" s="24">
        <v>6.8</v>
      </c>
      <c r="AH70" s="2" t="s">
        <v>183</v>
      </c>
      <c r="AI70" s="2" t="s">
        <v>661</v>
      </c>
      <c r="AJ70" s="2" t="s">
        <v>661</v>
      </c>
      <c r="AK70" s="2" t="s">
        <v>661</v>
      </c>
      <c r="AL70" s="2" t="s">
        <v>661</v>
      </c>
      <c r="AM70" s="2" t="s">
        <v>661</v>
      </c>
      <c r="AN70" s="2" t="s">
        <v>661</v>
      </c>
      <c r="AO70" s="2" t="s">
        <v>661</v>
      </c>
      <c r="AP70" s="15">
        <v>7.1</v>
      </c>
      <c r="AQ70" s="2" t="s">
        <v>661</v>
      </c>
      <c r="AR70" s="16">
        <v>48.9</v>
      </c>
      <c r="AS70" s="16">
        <v>27</v>
      </c>
      <c r="AT70" s="16">
        <v>24.2</v>
      </c>
      <c r="AU70" s="2" t="s">
        <v>661</v>
      </c>
      <c r="AV70" s="16">
        <f t="shared" si="31"/>
        <v>100.10000000000001</v>
      </c>
      <c r="AW70" s="18">
        <v>0.37</v>
      </c>
      <c r="AX70" s="13">
        <f t="shared" si="35"/>
        <v>3.7000000000000002E-3</v>
      </c>
      <c r="AY70" s="13" t="s">
        <v>184</v>
      </c>
      <c r="AZ70" s="16">
        <v>100</v>
      </c>
      <c r="BA70" s="16" t="s">
        <v>55</v>
      </c>
      <c r="BB70" s="16">
        <v>5</v>
      </c>
      <c r="BC70" s="16" t="s">
        <v>55</v>
      </c>
      <c r="BD70" s="24">
        <v>1.87</v>
      </c>
      <c r="BE70" s="16">
        <f t="shared" si="32"/>
        <v>505.40540540540542</v>
      </c>
      <c r="BF70" s="16">
        <f t="shared" si="33"/>
        <v>2.703639882469504</v>
      </c>
      <c r="BG70" s="8">
        <f t="shared" si="34"/>
        <v>0.27184160653649897</v>
      </c>
      <c r="BH70" s="13" t="s">
        <v>345</v>
      </c>
      <c r="BI70" s="13"/>
      <c r="BJ70" s="13"/>
      <c r="BK70" s="13"/>
      <c r="BL70" s="13"/>
      <c r="BM70" s="17"/>
      <c r="BN70" s="17"/>
      <c r="BO70" s="2"/>
    </row>
    <row r="71" spans="1:67" s="14" customFormat="1" x14ac:dyDescent="0.3">
      <c r="A71" s="20">
        <v>70</v>
      </c>
      <c r="B71" s="2" t="s">
        <v>181</v>
      </c>
      <c r="C71" s="2">
        <v>2020</v>
      </c>
      <c r="D71" s="2" t="s">
        <v>203</v>
      </c>
      <c r="E71" s="10" t="s">
        <v>787</v>
      </c>
      <c r="F71" s="20" t="s">
        <v>29</v>
      </c>
      <c r="G71" s="2" t="s">
        <v>58</v>
      </c>
      <c r="H71" s="2" t="str">
        <f>'PFAS Properties'!$B$23</f>
        <v>TAmPr-FHxSA</v>
      </c>
      <c r="I71" s="2" t="str">
        <f>'PFAS Properties'!$C$23</f>
        <v>Betaine</v>
      </c>
      <c r="J71" s="2" t="str">
        <f>'PFAS Properties'!$D$23</f>
        <v>C12H15F13N2O2S</v>
      </c>
      <c r="K71" s="25">
        <f>'PFAS Properties'!$P$23</f>
        <v>498.0643</v>
      </c>
      <c r="L71" s="2">
        <f>'PFAS Properties'!$X$23</f>
        <v>6.8</v>
      </c>
      <c r="M71" s="2" t="str">
        <f>'PFAS Properties'!$Y$23</f>
        <v>-</v>
      </c>
      <c r="N71" s="33">
        <v>0</v>
      </c>
      <c r="O71" s="33">
        <f t="shared" si="36"/>
        <v>0.20076000891310183</v>
      </c>
      <c r="P71" s="33">
        <v>0</v>
      </c>
      <c r="Q71" s="33">
        <f t="shared" si="37"/>
        <v>0.79923999108689814</v>
      </c>
      <c r="R71" s="33">
        <v>0</v>
      </c>
      <c r="S71" s="33">
        <v>0</v>
      </c>
      <c r="T71" s="8">
        <f t="shared" si="38"/>
        <v>1</v>
      </c>
      <c r="U71" s="33">
        <f t="shared" si="25"/>
        <v>0.20076000891310183</v>
      </c>
      <c r="V71" s="33">
        <f t="shared" si="26"/>
        <v>-1</v>
      </c>
      <c r="W71" s="33">
        <f t="shared" si="27"/>
        <v>497.26506000891305</v>
      </c>
      <c r="X71" s="33">
        <v>96485</v>
      </c>
      <c r="Y71" s="16">
        <f t="shared" si="28"/>
        <v>-155.07759692313221</v>
      </c>
      <c r="Z71" s="2">
        <v>12</v>
      </c>
      <c r="AA71" s="2">
        <v>13</v>
      </c>
      <c r="AB71" s="8">
        <f t="shared" si="29"/>
        <v>0.582995951417004</v>
      </c>
      <c r="AC71" s="16">
        <f t="shared" si="30"/>
        <v>49.591990431757502</v>
      </c>
      <c r="AD71" s="20">
        <f>'PFAS Properties'!$W$23</f>
        <v>6</v>
      </c>
      <c r="AE71" s="8">
        <f>'PFAS Properties'!$S$23</f>
        <v>2.3111178426625059</v>
      </c>
      <c r="AF71" s="2">
        <f>'PFAS Properties'!$V$23</f>
        <v>4.0999999999999996</v>
      </c>
      <c r="AG71" s="24">
        <v>6.2</v>
      </c>
      <c r="AH71" s="2" t="s">
        <v>183</v>
      </c>
      <c r="AI71" s="2" t="s">
        <v>661</v>
      </c>
      <c r="AJ71" s="2" t="s">
        <v>661</v>
      </c>
      <c r="AK71" s="2" t="s">
        <v>661</v>
      </c>
      <c r="AL71" s="2" t="s">
        <v>661</v>
      </c>
      <c r="AM71" s="2" t="s">
        <v>661</v>
      </c>
      <c r="AN71" s="2" t="s">
        <v>661</v>
      </c>
      <c r="AO71" s="2" t="s">
        <v>661</v>
      </c>
      <c r="AP71" s="15">
        <v>8</v>
      </c>
      <c r="AQ71" s="2" t="s">
        <v>661</v>
      </c>
      <c r="AR71" s="16">
        <v>51.44</v>
      </c>
      <c r="AS71" s="16">
        <v>10.17</v>
      </c>
      <c r="AT71" s="16">
        <v>38.380000000000003</v>
      </c>
      <c r="AU71" s="2" t="s">
        <v>661</v>
      </c>
      <c r="AV71" s="16">
        <f t="shared" si="31"/>
        <v>99.990000000000009</v>
      </c>
      <c r="AW71" s="18">
        <v>0.08</v>
      </c>
      <c r="AX71" s="13">
        <f t="shared" si="35"/>
        <v>8.0000000000000004E-4</v>
      </c>
      <c r="AY71" s="8" t="s">
        <v>184</v>
      </c>
      <c r="AZ71" s="16">
        <v>100</v>
      </c>
      <c r="BA71" s="16" t="s">
        <v>55</v>
      </c>
      <c r="BB71" s="16">
        <v>5</v>
      </c>
      <c r="BC71" s="16" t="s">
        <v>55</v>
      </c>
      <c r="BD71" s="25">
        <v>141.63999999999999</v>
      </c>
      <c r="BE71" s="16">
        <f t="shared" si="32"/>
        <v>177049.99999999997</v>
      </c>
      <c r="BF71" s="16">
        <f t="shared" si="33"/>
        <v>5.24809593109413</v>
      </c>
      <c r="BG71" s="8">
        <f t="shared" si="34"/>
        <v>2.1511859180860733</v>
      </c>
      <c r="BH71" s="13" t="s">
        <v>345</v>
      </c>
      <c r="BI71" s="13"/>
      <c r="BJ71" s="13"/>
      <c r="BK71" s="13"/>
      <c r="BL71" s="13"/>
      <c r="BM71" s="17"/>
      <c r="BN71" s="17"/>
      <c r="BO71" s="2"/>
    </row>
    <row r="72" spans="1:67" s="14" customFormat="1" x14ac:dyDescent="0.3">
      <c r="A72" s="20">
        <v>71</v>
      </c>
      <c r="B72" s="2" t="s">
        <v>181</v>
      </c>
      <c r="C72" s="2">
        <v>2020</v>
      </c>
      <c r="D72" s="2" t="s">
        <v>203</v>
      </c>
      <c r="E72" s="10" t="s">
        <v>787</v>
      </c>
      <c r="F72" s="20" t="s">
        <v>29</v>
      </c>
      <c r="G72" s="2" t="s">
        <v>59</v>
      </c>
      <c r="H72" s="2" t="str">
        <f>'PFAS Properties'!$B$23</f>
        <v>TAmPr-FHxSA</v>
      </c>
      <c r="I72" s="2" t="str">
        <f>'PFAS Properties'!$C$23</f>
        <v>Betaine</v>
      </c>
      <c r="J72" s="2" t="str">
        <f>'PFAS Properties'!$D$23</f>
        <v>C12H15F13N2O2S</v>
      </c>
      <c r="K72" s="25">
        <f>'PFAS Properties'!$P$23</f>
        <v>498.0643</v>
      </c>
      <c r="L72" s="2">
        <f>'PFAS Properties'!$X$23</f>
        <v>6.8</v>
      </c>
      <c r="M72" s="2" t="str">
        <f>'PFAS Properties'!$Y$23</f>
        <v>-</v>
      </c>
      <c r="N72" s="33">
        <v>0</v>
      </c>
      <c r="O72" s="33">
        <f t="shared" si="36"/>
        <v>0.8881842302218832</v>
      </c>
      <c r="P72" s="33">
        <v>0</v>
      </c>
      <c r="Q72" s="33">
        <f t="shared" si="37"/>
        <v>0.11181576977811683</v>
      </c>
      <c r="R72" s="33">
        <v>0</v>
      </c>
      <c r="S72" s="33">
        <v>0</v>
      </c>
      <c r="T72" s="8">
        <f t="shared" si="38"/>
        <v>1</v>
      </c>
      <c r="U72" s="33">
        <f t="shared" si="25"/>
        <v>0.8881842302218832</v>
      </c>
      <c r="V72" s="33">
        <f t="shared" si="26"/>
        <v>-1</v>
      </c>
      <c r="W72" s="33">
        <f t="shared" si="27"/>
        <v>497.9524842302219</v>
      </c>
      <c r="X72" s="33">
        <v>96485</v>
      </c>
      <c r="Y72" s="16">
        <f t="shared" si="28"/>
        <v>-21.665811274582687</v>
      </c>
      <c r="Z72" s="2">
        <v>12</v>
      </c>
      <c r="AA72" s="2">
        <v>13</v>
      </c>
      <c r="AB72" s="8">
        <f t="shared" si="29"/>
        <v>0.582995951417004</v>
      </c>
      <c r="AC72" s="16">
        <f t="shared" si="30"/>
        <v>49.591990431757502</v>
      </c>
      <c r="AD72" s="20">
        <f>'PFAS Properties'!$W$23</f>
        <v>6</v>
      </c>
      <c r="AE72" s="8">
        <f>'PFAS Properties'!$S$23</f>
        <v>2.3111178426625059</v>
      </c>
      <c r="AF72" s="2">
        <f>'PFAS Properties'!$V$23</f>
        <v>4.0999999999999996</v>
      </c>
      <c r="AG72" s="24">
        <v>7.7</v>
      </c>
      <c r="AH72" s="2" t="s">
        <v>183</v>
      </c>
      <c r="AI72" s="2" t="s">
        <v>661</v>
      </c>
      <c r="AJ72" s="2" t="s">
        <v>661</v>
      </c>
      <c r="AK72" s="2" t="s">
        <v>661</v>
      </c>
      <c r="AL72" s="2" t="s">
        <v>661</v>
      </c>
      <c r="AM72" s="2" t="s">
        <v>661</v>
      </c>
      <c r="AN72" s="2" t="s">
        <v>661</v>
      </c>
      <c r="AO72" s="2" t="s">
        <v>661</v>
      </c>
      <c r="AP72" s="15">
        <v>4.8</v>
      </c>
      <c r="AQ72" s="2" t="s">
        <v>661</v>
      </c>
      <c r="AR72" s="16">
        <v>46</v>
      </c>
      <c r="AS72" s="16">
        <v>37</v>
      </c>
      <c r="AT72" s="16">
        <v>17</v>
      </c>
      <c r="AU72" s="2" t="s">
        <v>661</v>
      </c>
      <c r="AV72" s="16">
        <f t="shared" si="31"/>
        <v>100</v>
      </c>
      <c r="AW72" s="18">
        <v>0.25</v>
      </c>
      <c r="AX72" s="13">
        <f t="shared" si="35"/>
        <v>2.5000000000000001E-3</v>
      </c>
      <c r="AY72" s="13" t="s">
        <v>184</v>
      </c>
      <c r="AZ72" s="16">
        <v>100</v>
      </c>
      <c r="BA72" s="16" t="s">
        <v>55</v>
      </c>
      <c r="BB72" s="16">
        <v>5</v>
      </c>
      <c r="BC72" s="16" t="s">
        <v>55</v>
      </c>
      <c r="BD72" s="25">
        <v>547</v>
      </c>
      <c r="BE72" s="16">
        <f t="shared" si="32"/>
        <v>218800</v>
      </c>
      <c r="BF72" s="16">
        <f t="shared" si="33"/>
        <v>5.3400473176613934</v>
      </c>
      <c r="BG72" s="8">
        <f t="shared" si="34"/>
        <v>2.7379873263334309</v>
      </c>
      <c r="BH72" s="13" t="s">
        <v>345</v>
      </c>
      <c r="BI72" s="13"/>
      <c r="BJ72" s="13"/>
      <c r="BK72" s="13"/>
      <c r="BL72" s="13"/>
      <c r="BM72" s="17"/>
      <c r="BN72" s="17"/>
      <c r="BO72" s="2"/>
    </row>
    <row r="73" spans="1:67" s="14" customFormat="1" x14ac:dyDescent="0.3">
      <c r="A73" s="20">
        <v>72</v>
      </c>
      <c r="B73" s="2" t="s">
        <v>181</v>
      </c>
      <c r="C73" s="2">
        <v>2020</v>
      </c>
      <c r="D73" s="2" t="s">
        <v>203</v>
      </c>
      <c r="E73" s="10" t="s">
        <v>787</v>
      </c>
      <c r="F73" s="20" t="s">
        <v>29</v>
      </c>
      <c r="G73" s="2" t="s">
        <v>61</v>
      </c>
      <c r="H73" s="2" t="str">
        <f>'PFAS Properties'!$B$23</f>
        <v>TAmPr-FHxSA</v>
      </c>
      <c r="I73" s="2" t="str">
        <f>'PFAS Properties'!$C$23</f>
        <v>Betaine</v>
      </c>
      <c r="J73" s="2" t="str">
        <f>'PFAS Properties'!$D$23</f>
        <v>C12H15F13N2O2S</v>
      </c>
      <c r="K73" s="25">
        <f>'PFAS Properties'!$P$23</f>
        <v>498.0643</v>
      </c>
      <c r="L73" s="2">
        <f>'PFAS Properties'!$X$23</f>
        <v>6.8</v>
      </c>
      <c r="M73" s="2" t="str">
        <f>'PFAS Properties'!$Y$23</f>
        <v>-</v>
      </c>
      <c r="N73" s="33">
        <v>0</v>
      </c>
      <c r="O73" s="33">
        <f t="shared" si="36"/>
        <v>0.79923999108689847</v>
      </c>
      <c r="P73" s="33">
        <v>0</v>
      </c>
      <c r="Q73" s="33">
        <f t="shared" si="37"/>
        <v>0.20076000891310153</v>
      </c>
      <c r="R73" s="33">
        <v>0</v>
      </c>
      <c r="S73" s="33">
        <v>0</v>
      </c>
      <c r="T73" s="8">
        <f t="shared" si="38"/>
        <v>1</v>
      </c>
      <c r="U73" s="33">
        <f t="shared" si="25"/>
        <v>0.79923999108689847</v>
      </c>
      <c r="V73" s="33">
        <f t="shared" si="26"/>
        <v>-1</v>
      </c>
      <c r="W73" s="33">
        <f t="shared" si="27"/>
        <v>497.8635399910869</v>
      </c>
      <c r="X73" s="33">
        <v>96485</v>
      </c>
      <c r="Y73" s="16">
        <f t="shared" si="28"/>
        <v>-38.90690501322387</v>
      </c>
      <c r="Z73" s="2">
        <v>12</v>
      </c>
      <c r="AA73" s="2">
        <v>13</v>
      </c>
      <c r="AB73" s="8">
        <f t="shared" si="29"/>
        <v>0.582995951417004</v>
      </c>
      <c r="AC73" s="16">
        <f t="shared" si="30"/>
        <v>49.591990431757502</v>
      </c>
      <c r="AD73" s="20">
        <f>'PFAS Properties'!$W$23</f>
        <v>6</v>
      </c>
      <c r="AE73" s="8">
        <f>'PFAS Properties'!$S$23</f>
        <v>2.3111178426625059</v>
      </c>
      <c r="AF73" s="2">
        <f>'PFAS Properties'!$V$23</f>
        <v>4.0999999999999996</v>
      </c>
      <c r="AG73" s="24">
        <v>7.4</v>
      </c>
      <c r="AH73" s="2" t="s">
        <v>183</v>
      </c>
      <c r="AI73" s="2" t="s">
        <v>661</v>
      </c>
      <c r="AJ73" s="2" t="s">
        <v>661</v>
      </c>
      <c r="AK73" s="2" t="s">
        <v>661</v>
      </c>
      <c r="AL73" s="2" t="s">
        <v>661</v>
      </c>
      <c r="AM73" s="2" t="s">
        <v>661</v>
      </c>
      <c r="AN73" s="2" t="s">
        <v>661</v>
      </c>
      <c r="AO73" s="2" t="s">
        <v>661</v>
      </c>
      <c r="AP73" s="15">
        <v>29.6</v>
      </c>
      <c r="AQ73" s="2" t="s">
        <v>661</v>
      </c>
      <c r="AR73" s="16">
        <v>39.799999999999997</v>
      </c>
      <c r="AS73" s="16">
        <v>7.7</v>
      </c>
      <c r="AT73" s="16">
        <v>52.5</v>
      </c>
      <c r="AU73" s="2" t="s">
        <v>661</v>
      </c>
      <c r="AV73" s="16">
        <f t="shared" si="31"/>
        <v>100</v>
      </c>
      <c r="AW73" s="18">
        <v>2.23</v>
      </c>
      <c r="AX73" s="13">
        <f t="shared" si="35"/>
        <v>2.23E-2</v>
      </c>
      <c r="AY73" s="8" t="s">
        <v>184</v>
      </c>
      <c r="AZ73" s="16">
        <v>100</v>
      </c>
      <c r="BA73" s="16" t="s">
        <v>55</v>
      </c>
      <c r="BB73" s="16">
        <v>5</v>
      </c>
      <c r="BC73" s="16" t="s">
        <v>55</v>
      </c>
      <c r="BD73" s="24">
        <v>4.8099999999999996</v>
      </c>
      <c r="BE73" s="16">
        <f t="shared" si="32"/>
        <v>215.69506726457396</v>
      </c>
      <c r="BF73" s="16">
        <f t="shared" si="33"/>
        <v>2.3338402133256708</v>
      </c>
      <c r="BG73" s="8">
        <f t="shared" si="34"/>
        <v>0.6821450763738317</v>
      </c>
      <c r="BH73" s="13" t="s">
        <v>345</v>
      </c>
      <c r="BI73" s="13"/>
      <c r="BJ73" s="13"/>
      <c r="BK73" s="13"/>
      <c r="BL73" s="13"/>
      <c r="BM73" s="17"/>
      <c r="BN73" s="17"/>
      <c r="BO73" s="2"/>
    </row>
    <row r="74" spans="1:67" s="14" customFormat="1" x14ac:dyDescent="0.3">
      <c r="A74" s="20">
        <v>73</v>
      </c>
      <c r="B74" s="2" t="s">
        <v>181</v>
      </c>
      <c r="C74" s="2">
        <v>2020</v>
      </c>
      <c r="D74" s="2" t="s">
        <v>203</v>
      </c>
      <c r="E74" s="10" t="s">
        <v>787</v>
      </c>
      <c r="F74" s="20" t="s">
        <v>29</v>
      </c>
      <c r="G74" s="2" t="s">
        <v>60</v>
      </c>
      <c r="H74" s="2" t="str">
        <f>'PFAS Properties'!$B$23</f>
        <v>TAmPr-FHxSA</v>
      </c>
      <c r="I74" s="2" t="str">
        <f>'PFAS Properties'!$C$23</f>
        <v>Betaine</v>
      </c>
      <c r="J74" s="2" t="str">
        <f>'PFAS Properties'!$D$23</f>
        <v>C12H15F13N2O2S</v>
      </c>
      <c r="K74" s="25">
        <f>'PFAS Properties'!$P$23</f>
        <v>498.0643</v>
      </c>
      <c r="L74" s="2">
        <f>'PFAS Properties'!$X$23</f>
        <v>6.8</v>
      </c>
      <c r="M74" s="2" t="str">
        <f>'PFAS Properties'!$Y$23</f>
        <v>-</v>
      </c>
      <c r="N74" s="33">
        <v>0</v>
      </c>
      <c r="O74" s="33">
        <f t="shared" si="36"/>
        <v>0.8881842302218832</v>
      </c>
      <c r="P74" s="33">
        <v>0</v>
      </c>
      <c r="Q74" s="33">
        <f t="shared" si="37"/>
        <v>0.11181576977811683</v>
      </c>
      <c r="R74" s="33">
        <v>0</v>
      </c>
      <c r="S74" s="33">
        <v>0</v>
      </c>
      <c r="T74" s="8">
        <f t="shared" si="38"/>
        <v>1</v>
      </c>
      <c r="U74" s="33">
        <f t="shared" si="25"/>
        <v>0.8881842302218832</v>
      </c>
      <c r="V74" s="33">
        <f t="shared" si="26"/>
        <v>-1</v>
      </c>
      <c r="W74" s="33">
        <f t="shared" si="27"/>
        <v>497.9524842302219</v>
      </c>
      <c r="X74" s="33">
        <v>96485</v>
      </c>
      <c r="Y74" s="16">
        <f t="shared" si="28"/>
        <v>-21.665811274582687</v>
      </c>
      <c r="Z74" s="2">
        <v>12</v>
      </c>
      <c r="AA74" s="2">
        <v>13</v>
      </c>
      <c r="AB74" s="8">
        <f t="shared" si="29"/>
        <v>0.582995951417004</v>
      </c>
      <c r="AC74" s="16">
        <f t="shared" si="30"/>
        <v>49.591990431757502</v>
      </c>
      <c r="AD74" s="20">
        <f>'PFAS Properties'!$W$23</f>
        <v>6</v>
      </c>
      <c r="AE74" s="8">
        <f>'PFAS Properties'!$S$23</f>
        <v>2.3111178426625059</v>
      </c>
      <c r="AF74" s="2">
        <f>'PFAS Properties'!$V$23</f>
        <v>4.0999999999999996</v>
      </c>
      <c r="AG74" s="24">
        <v>7.7</v>
      </c>
      <c r="AH74" s="2" t="s">
        <v>183</v>
      </c>
      <c r="AI74" s="2" t="s">
        <v>661</v>
      </c>
      <c r="AJ74" s="2" t="s">
        <v>661</v>
      </c>
      <c r="AK74" s="2" t="s">
        <v>661</v>
      </c>
      <c r="AL74" s="2" t="s">
        <v>661</v>
      </c>
      <c r="AM74" s="2" t="s">
        <v>661</v>
      </c>
      <c r="AN74" s="2" t="s">
        <v>661</v>
      </c>
      <c r="AO74" s="2" t="s">
        <v>661</v>
      </c>
      <c r="AP74" s="15">
        <v>21.63</v>
      </c>
      <c r="AQ74" s="2" t="s">
        <v>661</v>
      </c>
      <c r="AR74" s="16">
        <v>70</v>
      </c>
      <c r="AS74" s="16">
        <v>11</v>
      </c>
      <c r="AT74" s="16">
        <v>19</v>
      </c>
      <c r="AU74" s="2" t="s">
        <v>661</v>
      </c>
      <c r="AV74" s="16">
        <f t="shared" si="31"/>
        <v>100</v>
      </c>
      <c r="AW74" s="18">
        <v>4.9000000000000004</v>
      </c>
      <c r="AX74" s="13">
        <f t="shared" si="35"/>
        <v>4.9000000000000002E-2</v>
      </c>
      <c r="AY74" s="8" t="s">
        <v>184</v>
      </c>
      <c r="AZ74" s="16">
        <v>100</v>
      </c>
      <c r="BA74" s="16" t="s">
        <v>55</v>
      </c>
      <c r="BB74" s="16">
        <v>5</v>
      </c>
      <c r="BC74" s="16" t="s">
        <v>55</v>
      </c>
      <c r="BD74" s="24">
        <v>5.52</v>
      </c>
      <c r="BE74" s="16">
        <f t="shared" si="32"/>
        <v>112.65306122448979</v>
      </c>
      <c r="BF74" s="16">
        <f t="shared" si="33"/>
        <v>2.0517429977006851</v>
      </c>
      <c r="BG74" s="8">
        <f t="shared" si="34"/>
        <v>0.74193907772919887</v>
      </c>
      <c r="BH74" s="13" t="s">
        <v>345</v>
      </c>
      <c r="BI74" s="13"/>
      <c r="BJ74" s="13"/>
      <c r="BK74" s="13"/>
      <c r="BL74" s="13"/>
      <c r="BM74" s="17"/>
      <c r="BN74" s="17"/>
      <c r="BO74" s="2"/>
    </row>
    <row r="75" spans="1:67" s="14" customFormat="1" x14ac:dyDescent="0.3">
      <c r="A75" s="20">
        <v>74</v>
      </c>
      <c r="B75" s="2" t="s">
        <v>181</v>
      </c>
      <c r="C75" s="2">
        <v>2020</v>
      </c>
      <c r="D75" s="2" t="s">
        <v>203</v>
      </c>
      <c r="E75" s="10" t="s">
        <v>787</v>
      </c>
      <c r="F75" s="20" t="s">
        <v>29</v>
      </c>
      <c r="G75" s="2" t="s">
        <v>77</v>
      </c>
      <c r="H75" s="2" t="str">
        <f>'PFAS Properties'!$B$23</f>
        <v>TAmPr-FHxSA</v>
      </c>
      <c r="I75" s="2" t="str">
        <f>'PFAS Properties'!$C$23</f>
        <v>Betaine</v>
      </c>
      <c r="J75" s="2" t="str">
        <f>'PFAS Properties'!$D$23</f>
        <v>C12H15F13N2O2S</v>
      </c>
      <c r="K75" s="25">
        <f>'PFAS Properties'!$P$23</f>
        <v>498.0643</v>
      </c>
      <c r="L75" s="2">
        <f>'PFAS Properties'!$X$23</f>
        <v>6.8</v>
      </c>
      <c r="M75" s="2" t="str">
        <f>'PFAS Properties'!$Y$23</f>
        <v>-</v>
      </c>
      <c r="N75" s="33">
        <v>0</v>
      </c>
      <c r="O75" s="33">
        <f t="shared" si="36"/>
        <v>0.8881842302218832</v>
      </c>
      <c r="P75" s="33">
        <v>0</v>
      </c>
      <c r="Q75" s="33">
        <f t="shared" si="37"/>
        <v>0.11181576977811683</v>
      </c>
      <c r="R75" s="33">
        <v>0</v>
      </c>
      <c r="S75" s="33">
        <v>0</v>
      </c>
      <c r="T75" s="8">
        <f t="shared" si="38"/>
        <v>1</v>
      </c>
      <c r="U75" s="33">
        <f t="shared" si="25"/>
        <v>0.8881842302218832</v>
      </c>
      <c r="V75" s="33">
        <f t="shared" si="26"/>
        <v>-1</v>
      </c>
      <c r="W75" s="33">
        <f t="shared" si="27"/>
        <v>497.9524842302219</v>
      </c>
      <c r="X75" s="33">
        <v>96485</v>
      </c>
      <c r="Y75" s="16">
        <f t="shared" si="28"/>
        <v>-21.665811274582687</v>
      </c>
      <c r="Z75" s="2">
        <v>12</v>
      </c>
      <c r="AA75" s="2">
        <v>13</v>
      </c>
      <c r="AB75" s="8">
        <f t="shared" si="29"/>
        <v>0.582995951417004</v>
      </c>
      <c r="AC75" s="16">
        <f t="shared" si="30"/>
        <v>49.591990431757502</v>
      </c>
      <c r="AD75" s="20">
        <f>'PFAS Properties'!$W$23</f>
        <v>6</v>
      </c>
      <c r="AE75" s="8">
        <f>'PFAS Properties'!$S$23</f>
        <v>2.3111178426625059</v>
      </c>
      <c r="AF75" s="2">
        <f>'PFAS Properties'!$V$23</f>
        <v>4.0999999999999996</v>
      </c>
      <c r="AG75" s="24">
        <v>7.7</v>
      </c>
      <c r="AH75" s="2" t="s">
        <v>183</v>
      </c>
      <c r="AI75" s="2" t="s">
        <v>661</v>
      </c>
      <c r="AJ75" s="2" t="s">
        <v>661</v>
      </c>
      <c r="AK75" s="2" t="s">
        <v>661</v>
      </c>
      <c r="AL75" s="2" t="s">
        <v>661</v>
      </c>
      <c r="AM75" s="2" t="s">
        <v>661</v>
      </c>
      <c r="AN75" s="2" t="s">
        <v>661</v>
      </c>
      <c r="AO75" s="2" t="s">
        <v>661</v>
      </c>
      <c r="AP75" s="15">
        <v>7.8</v>
      </c>
      <c r="AQ75" s="2" t="s">
        <v>661</v>
      </c>
      <c r="AR75" s="16">
        <v>48.9</v>
      </c>
      <c r="AS75" s="16">
        <v>32.6</v>
      </c>
      <c r="AT75" s="16">
        <v>18.5</v>
      </c>
      <c r="AU75" s="2" t="s">
        <v>661</v>
      </c>
      <c r="AV75" s="16">
        <f t="shared" si="31"/>
        <v>100</v>
      </c>
      <c r="AW75" s="18">
        <v>0.13</v>
      </c>
      <c r="AX75" s="13">
        <f t="shared" si="35"/>
        <v>1.2999999999999999E-3</v>
      </c>
      <c r="AY75" s="8" t="s">
        <v>184</v>
      </c>
      <c r="AZ75" s="16">
        <v>100</v>
      </c>
      <c r="BA75" s="16" t="s">
        <v>55</v>
      </c>
      <c r="BB75" s="16">
        <v>5</v>
      </c>
      <c r="BC75" s="16" t="s">
        <v>55</v>
      </c>
      <c r="BD75" s="24">
        <v>7.1</v>
      </c>
      <c r="BE75" s="16">
        <f t="shared" si="32"/>
        <v>5461.5384615384619</v>
      </c>
      <c r="BF75" s="16">
        <f t="shared" si="33"/>
        <v>3.7373149964122385</v>
      </c>
      <c r="BG75" s="8">
        <f t="shared" si="34"/>
        <v>0.85125834871907524</v>
      </c>
      <c r="BH75" s="13" t="s">
        <v>345</v>
      </c>
      <c r="BI75" s="13"/>
      <c r="BJ75" s="13"/>
      <c r="BK75" s="13"/>
      <c r="BL75" s="13"/>
      <c r="BM75" s="17"/>
      <c r="BN75" s="17"/>
      <c r="BO75" s="2"/>
    </row>
    <row r="76" spans="1:67" s="14" customFormat="1" x14ac:dyDescent="0.3">
      <c r="A76" s="20">
        <v>75</v>
      </c>
      <c r="B76" s="2" t="s">
        <v>181</v>
      </c>
      <c r="C76" s="2">
        <v>2020</v>
      </c>
      <c r="D76" s="2" t="s">
        <v>203</v>
      </c>
      <c r="E76" s="10" t="s">
        <v>787</v>
      </c>
      <c r="F76" s="20" t="s">
        <v>29</v>
      </c>
      <c r="G76" s="2" t="s">
        <v>182</v>
      </c>
      <c r="H76" s="2" t="str">
        <f>'PFAS Properties'!$B$23</f>
        <v>TAmPr-FHxSA</v>
      </c>
      <c r="I76" s="2" t="str">
        <f>'PFAS Properties'!$C$23</f>
        <v>Betaine</v>
      </c>
      <c r="J76" s="2" t="str">
        <f>'PFAS Properties'!$D$23</f>
        <v>C12H15F13N2O2S</v>
      </c>
      <c r="K76" s="25">
        <f>'PFAS Properties'!$P$23</f>
        <v>498.0643</v>
      </c>
      <c r="L76" s="2">
        <f>'PFAS Properties'!$X$23</f>
        <v>6.8</v>
      </c>
      <c r="M76" s="2" t="str">
        <f>'PFAS Properties'!$Y$23</f>
        <v>-</v>
      </c>
      <c r="N76" s="33">
        <v>0</v>
      </c>
      <c r="O76" s="33">
        <f t="shared" si="36"/>
        <v>0.83366246918343823</v>
      </c>
      <c r="P76" s="33">
        <v>0</v>
      </c>
      <c r="Q76" s="33">
        <f t="shared" si="37"/>
        <v>0.1663375308165618</v>
      </c>
      <c r="R76" s="33">
        <v>0</v>
      </c>
      <c r="S76" s="33">
        <v>0</v>
      </c>
      <c r="T76" s="8">
        <f t="shared" si="38"/>
        <v>1</v>
      </c>
      <c r="U76" s="33">
        <f t="shared" si="25"/>
        <v>0.83366246918343823</v>
      </c>
      <c r="V76" s="33">
        <f t="shared" si="26"/>
        <v>-1</v>
      </c>
      <c r="W76" s="33">
        <f t="shared" si="27"/>
        <v>497.89796246918343</v>
      </c>
      <c r="X76" s="33">
        <v>96485</v>
      </c>
      <c r="Y76" s="16">
        <f t="shared" si="28"/>
        <v>-32.233666073355934</v>
      </c>
      <c r="Z76" s="2">
        <v>12</v>
      </c>
      <c r="AA76" s="2">
        <v>13</v>
      </c>
      <c r="AB76" s="8">
        <f t="shared" si="29"/>
        <v>0.582995951417004</v>
      </c>
      <c r="AC76" s="16">
        <f t="shared" si="30"/>
        <v>49.591990431757502</v>
      </c>
      <c r="AD76" s="20">
        <f>'PFAS Properties'!$W$23</f>
        <v>6</v>
      </c>
      <c r="AE76" s="8">
        <f>'PFAS Properties'!$S$23</f>
        <v>2.3111178426625059</v>
      </c>
      <c r="AF76" s="2">
        <f>'PFAS Properties'!$V$23</f>
        <v>4.0999999999999996</v>
      </c>
      <c r="AG76" s="24">
        <v>7.5</v>
      </c>
      <c r="AH76" s="2" t="s">
        <v>183</v>
      </c>
      <c r="AI76" s="2" t="s">
        <v>661</v>
      </c>
      <c r="AJ76" s="2" t="s">
        <v>661</v>
      </c>
      <c r="AK76" s="2" t="s">
        <v>661</v>
      </c>
      <c r="AL76" s="2" t="s">
        <v>661</v>
      </c>
      <c r="AM76" s="2" t="s">
        <v>661</v>
      </c>
      <c r="AN76" s="2" t="s">
        <v>661</v>
      </c>
      <c r="AO76" s="2" t="s">
        <v>661</v>
      </c>
      <c r="AP76" s="15">
        <v>2.2799999999999998</v>
      </c>
      <c r="AQ76" s="2" t="s">
        <v>661</v>
      </c>
      <c r="AR76" s="16">
        <v>93</v>
      </c>
      <c r="AS76" s="16">
        <v>1</v>
      </c>
      <c r="AT76" s="16">
        <v>5</v>
      </c>
      <c r="AU76" s="2" t="s">
        <v>661</v>
      </c>
      <c r="AV76" s="16">
        <f t="shared" si="31"/>
        <v>99</v>
      </c>
      <c r="AW76" s="18">
        <v>0.4</v>
      </c>
      <c r="AX76" s="13">
        <f t="shared" si="35"/>
        <v>4.0000000000000001E-3</v>
      </c>
      <c r="AY76" s="8" t="s">
        <v>184</v>
      </c>
      <c r="AZ76" s="16">
        <v>100</v>
      </c>
      <c r="BA76" s="16" t="s">
        <v>55</v>
      </c>
      <c r="BB76" s="16">
        <v>5</v>
      </c>
      <c r="BC76" s="16" t="s">
        <v>55</v>
      </c>
      <c r="BD76" s="24">
        <v>7.26</v>
      </c>
      <c r="BE76" s="16">
        <f t="shared" si="32"/>
        <v>1815</v>
      </c>
      <c r="BF76" s="16">
        <f t="shared" si="33"/>
        <v>3.2588766293721312</v>
      </c>
      <c r="BG76" s="8">
        <f t="shared" si="34"/>
        <v>0.86093662070009369</v>
      </c>
      <c r="BH76" s="13" t="s">
        <v>345</v>
      </c>
      <c r="BI76" s="13"/>
      <c r="BJ76" s="13"/>
      <c r="BK76" s="13"/>
      <c r="BL76" s="13"/>
      <c r="BM76" s="17"/>
      <c r="BN76" s="17"/>
      <c r="BO76" s="2"/>
    </row>
    <row r="77" spans="1:67" s="14" customFormat="1" x14ac:dyDescent="0.3">
      <c r="A77" s="20">
        <v>76</v>
      </c>
      <c r="B77" s="2" t="s">
        <v>181</v>
      </c>
      <c r="C77" s="2">
        <v>2020</v>
      </c>
      <c r="D77" s="2" t="s">
        <v>203</v>
      </c>
      <c r="E77" s="10" t="s">
        <v>787</v>
      </c>
      <c r="F77" s="20" t="s">
        <v>29</v>
      </c>
      <c r="G77" s="2" t="s">
        <v>78</v>
      </c>
      <c r="H77" s="2" t="str">
        <f>'PFAS Properties'!$B$23</f>
        <v>TAmPr-FHxSA</v>
      </c>
      <c r="I77" s="2" t="str">
        <f>'PFAS Properties'!$C$23</f>
        <v>Betaine</v>
      </c>
      <c r="J77" s="2" t="str">
        <f>'PFAS Properties'!$D$23</f>
        <v>C12H15F13N2O2S</v>
      </c>
      <c r="K77" s="25">
        <f>'PFAS Properties'!$P$23</f>
        <v>498.0643</v>
      </c>
      <c r="L77" s="2">
        <f>'PFAS Properties'!$X$23</f>
        <v>6.8</v>
      </c>
      <c r="M77" s="2" t="str">
        <f>'PFAS Properties'!$Y$23</f>
        <v>-</v>
      </c>
      <c r="N77" s="33">
        <v>0</v>
      </c>
      <c r="O77" s="33">
        <f t="shared" si="36"/>
        <v>0.66613942458312203</v>
      </c>
      <c r="P77" s="33">
        <v>0</v>
      </c>
      <c r="Q77" s="33">
        <f t="shared" si="37"/>
        <v>0.33386057541687802</v>
      </c>
      <c r="R77" s="33">
        <v>0</v>
      </c>
      <c r="S77" s="33">
        <v>0</v>
      </c>
      <c r="T77" s="8">
        <f t="shared" si="38"/>
        <v>1</v>
      </c>
      <c r="U77" s="33">
        <f t="shared" si="25"/>
        <v>0.66613942458312203</v>
      </c>
      <c r="V77" s="33">
        <f t="shared" si="26"/>
        <v>-1</v>
      </c>
      <c r="W77" s="33">
        <f t="shared" si="27"/>
        <v>497.73043942458315</v>
      </c>
      <c r="X77" s="33">
        <v>96485</v>
      </c>
      <c r="Y77" s="16">
        <f t="shared" si="28"/>
        <v>-64.718841902331278</v>
      </c>
      <c r="Z77" s="2">
        <v>12</v>
      </c>
      <c r="AA77" s="2">
        <v>13</v>
      </c>
      <c r="AB77" s="8">
        <f t="shared" si="29"/>
        <v>0.582995951417004</v>
      </c>
      <c r="AC77" s="16">
        <f t="shared" si="30"/>
        <v>49.591990431757502</v>
      </c>
      <c r="AD77" s="20">
        <f>'PFAS Properties'!$W$23</f>
        <v>6</v>
      </c>
      <c r="AE77" s="8">
        <f>'PFAS Properties'!$S$23</f>
        <v>2.3111178426625059</v>
      </c>
      <c r="AF77" s="2">
        <f>'PFAS Properties'!$V$23</f>
        <v>4.0999999999999996</v>
      </c>
      <c r="AG77" s="24">
        <v>7.1</v>
      </c>
      <c r="AH77" s="2" t="s">
        <v>183</v>
      </c>
      <c r="AI77" s="2" t="s">
        <v>661</v>
      </c>
      <c r="AJ77" s="2" t="s">
        <v>661</v>
      </c>
      <c r="AK77" s="2" t="s">
        <v>661</v>
      </c>
      <c r="AL77" s="2" t="s">
        <v>661</v>
      </c>
      <c r="AM77" s="2" t="s">
        <v>661</v>
      </c>
      <c r="AN77" s="2" t="s">
        <v>661</v>
      </c>
      <c r="AO77" s="2" t="s">
        <v>661</v>
      </c>
      <c r="AP77" s="15">
        <v>17.420000000000002</v>
      </c>
      <c r="AQ77" s="2" t="s">
        <v>661</v>
      </c>
      <c r="AR77" s="16">
        <v>48.86</v>
      </c>
      <c r="AS77" s="16">
        <v>16.05</v>
      </c>
      <c r="AT77" s="16">
        <v>35.090000000000003</v>
      </c>
      <c r="AU77" s="2" t="s">
        <v>661</v>
      </c>
      <c r="AV77" s="16">
        <f t="shared" si="31"/>
        <v>100</v>
      </c>
      <c r="AW77" s="18">
        <v>1.19</v>
      </c>
      <c r="AX77" s="13">
        <f t="shared" si="35"/>
        <v>1.1899999999999999E-2</v>
      </c>
      <c r="AY77" s="8" t="s">
        <v>184</v>
      </c>
      <c r="AZ77" s="16">
        <v>100</v>
      </c>
      <c r="BA77" s="16" t="s">
        <v>55</v>
      </c>
      <c r="BB77" s="16">
        <v>5</v>
      </c>
      <c r="BC77" s="16" t="s">
        <v>55</v>
      </c>
      <c r="BD77" s="24">
        <v>8.07</v>
      </c>
      <c r="BE77" s="16">
        <f t="shared" si="32"/>
        <v>678.15126050420179</v>
      </c>
      <c r="BF77" s="16">
        <f t="shared" si="33"/>
        <v>2.8313265733295396</v>
      </c>
      <c r="BG77" s="8">
        <f t="shared" si="34"/>
        <v>0.90687353472207044</v>
      </c>
      <c r="BH77" s="13" t="s">
        <v>345</v>
      </c>
      <c r="BI77" s="13"/>
      <c r="BJ77" s="13"/>
      <c r="BK77" s="13"/>
      <c r="BL77" s="13"/>
      <c r="BM77" s="17"/>
      <c r="BN77" s="17"/>
      <c r="BO77" s="2"/>
    </row>
    <row r="78" spans="1:67" s="14" customFormat="1" x14ac:dyDescent="0.3">
      <c r="A78" s="20">
        <v>77</v>
      </c>
      <c r="B78" s="2" t="s">
        <v>181</v>
      </c>
      <c r="C78" s="2">
        <v>2020</v>
      </c>
      <c r="D78" s="2" t="s">
        <v>203</v>
      </c>
      <c r="E78" s="10" t="s">
        <v>787</v>
      </c>
      <c r="F78" s="20" t="s">
        <v>29</v>
      </c>
      <c r="G78" s="2" t="s">
        <v>98</v>
      </c>
      <c r="H78" s="2" t="str">
        <f>'PFAS Properties'!$B$23</f>
        <v>TAmPr-FHxSA</v>
      </c>
      <c r="I78" s="2" t="str">
        <f>'PFAS Properties'!$C$23</f>
        <v>Betaine</v>
      </c>
      <c r="J78" s="2" t="str">
        <f>'PFAS Properties'!$D$23</f>
        <v>C12H15F13N2O2S</v>
      </c>
      <c r="K78" s="25">
        <f>'PFAS Properties'!$P$23</f>
        <v>498.0643</v>
      </c>
      <c r="L78" s="2">
        <f>'PFAS Properties'!$X$23</f>
        <v>6.8</v>
      </c>
      <c r="M78" s="2" t="str">
        <f>'PFAS Properties'!$Y$23</f>
        <v>-</v>
      </c>
      <c r="N78" s="33">
        <v>0</v>
      </c>
      <c r="O78" s="33">
        <f t="shared" si="36"/>
        <v>0.28474724895080167</v>
      </c>
      <c r="P78" s="33">
        <v>0</v>
      </c>
      <c r="Q78" s="33">
        <f t="shared" si="37"/>
        <v>0.71525275104919828</v>
      </c>
      <c r="R78" s="33">
        <v>0</v>
      </c>
      <c r="S78" s="33">
        <v>0</v>
      </c>
      <c r="T78" s="8">
        <f t="shared" si="38"/>
        <v>1</v>
      </c>
      <c r="U78" s="33">
        <f t="shared" si="25"/>
        <v>0.28474724895080167</v>
      </c>
      <c r="V78" s="33">
        <f t="shared" si="26"/>
        <v>-1</v>
      </c>
      <c r="W78" s="33">
        <f t="shared" si="27"/>
        <v>497.3490472489508</v>
      </c>
      <c r="X78" s="33">
        <v>96485</v>
      </c>
      <c r="Y78" s="16">
        <f t="shared" si="28"/>
        <v>-138.75800520120026</v>
      </c>
      <c r="Z78" s="2">
        <v>12</v>
      </c>
      <c r="AA78" s="2">
        <v>13</v>
      </c>
      <c r="AB78" s="8">
        <f t="shared" si="29"/>
        <v>0.582995951417004</v>
      </c>
      <c r="AC78" s="16">
        <f t="shared" si="30"/>
        <v>49.591990431757502</v>
      </c>
      <c r="AD78" s="20">
        <f>'PFAS Properties'!$W$23</f>
        <v>6</v>
      </c>
      <c r="AE78" s="8">
        <f>'PFAS Properties'!$S$23</f>
        <v>2.3111178426625059</v>
      </c>
      <c r="AF78" s="2">
        <f>'PFAS Properties'!$V$23</f>
        <v>4.0999999999999996</v>
      </c>
      <c r="AG78" s="24">
        <v>6.4</v>
      </c>
      <c r="AH78" s="2" t="s">
        <v>183</v>
      </c>
      <c r="AI78" s="2" t="s">
        <v>661</v>
      </c>
      <c r="AJ78" s="15" t="s">
        <v>661</v>
      </c>
      <c r="AK78" s="8" t="s">
        <v>661</v>
      </c>
      <c r="AL78" s="2" t="s">
        <v>661</v>
      </c>
      <c r="AM78" s="15" t="s">
        <v>661</v>
      </c>
      <c r="AN78" s="8" t="s">
        <v>661</v>
      </c>
      <c r="AO78" s="15" t="s">
        <v>661</v>
      </c>
      <c r="AP78" s="15">
        <v>16.54</v>
      </c>
      <c r="AQ78" s="13" t="s">
        <v>661</v>
      </c>
      <c r="AR78" s="16">
        <v>29.38</v>
      </c>
      <c r="AS78" s="16">
        <v>13.9</v>
      </c>
      <c r="AT78" s="16">
        <v>56.71</v>
      </c>
      <c r="AU78" s="15" t="s">
        <v>661</v>
      </c>
      <c r="AV78" s="16">
        <f t="shared" si="31"/>
        <v>99.990000000000009</v>
      </c>
      <c r="AW78" s="18">
        <v>0.17</v>
      </c>
      <c r="AX78" s="13">
        <f t="shared" si="35"/>
        <v>1.7000000000000001E-3</v>
      </c>
      <c r="AY78" s="8" t="s">
        <v>184</v>
      </c>
      <c r="AZ78" s="16">
        <v>100</v>
      </c>
      <c r="BA78" s="16" t="s">
        <v>55</v>
      </c>
      <c r="BB78" s="16">
        <v>5</v>
      </c>
      <c r="BC78" s="16" t="s">
        <v>55</v>
      </c>
      <c r="BD78" s="25">
        <v>40.21</v>
      </c>
      <c r="BE78" s="16">
        <f t="shared" si="32"/>
        <v>23652.941176470587</v>
      </c>
      <c r="BF78" s="16">
        <f t="shared" si="33"/>
        <v>4.3738851517246369</v>
      </c>
      <c r="BG78" s="8">
        <f t="shared" si="34"/>
        <v>1.6043340731029112</v>
      </c>
      <c r="BH78" s="13" t="s">
        <v>345</v>
      </c>
      <c r="BI78" s="13"/>
      <c r="BJ78" s="13"/>
      <c r="BK78" s="13"/>
      <c r="BL78" s="13"/>
      <c r="BM78" s="17"/>
      <c r="BN78" s="17"/>
      <c r="BO78" s="2"/>
    </row>
    <row r="79" spans="1:67" s="14" customFormat="1" x14ac:dyDescent="0.3">
      <c r="A79" s="20">
        <v>78</v>
      </c>
      <c r="B79" s="2" t="s">
        <v>283</v>
      </c>
      <c r="C79" s="2">
        <v>2007</v>
      </c>
      <c r="D79" s="2" t="s">
        <v>203</v>
      </c>
      <c r="E79" s="74" t="s">
        <v>292</v>
      </c>
      <c r="F79" s="20" t="s">
        <v>29</v>
      </c>
      <c r="G79" s="2" t="s">
        <v>288</v>
      </c>
      <c r="H79" s="2" t="str">
        <f>'PFAS Properties'!$B$24</f>
        <v>4:2 FTOH</v>
      </c>
      <c r="I79" s="2" t="str">
        <f>'PFAS Properties'!$C$24</f>
        <v>FTOH</v>
      </c>
      <c r="J79" s="2" t="str">
        <f>'PFAS Properties'!$D$24</f>
        <v>C6H5F9O</v>
      </c>
      <c r="K79" s="25">
        <f>'PFAS Properties'!$P$24</f>
        <v>264.01949999999999</v>
      </c>
      <c r="L79" s="2">
        <f>'PFAS Properties'!$X$24</f>
        <v>14.2</v>
      </c>
      <c r="M79" s="2" t="str">
        <f>'PFAS Properties'!$Y$24</f>
        <v>-</v>
      </c>
      <c r="N79" s="33">
        <v>0</v>
      </c>
      <c r="O79" s="33">
        <v>0</v>
      </c>
      <c r="P79" s="33">
        <v>0</v>
      </c>
      <c r="Q79" s="33">
        <f t="shared" ref="Q79:Q141" si="39">(10^(AG79-L79))/(1+(10^(AG79-L79)))</f>
        <v>1.2589254102092737E-9</v>
      </c>
      <c r="R79" s="33">
        <v>0</v>
      </c>
      <c r="S79" s="33">
        <f t="shared" ref="S79:S141" si="40">(1/(1+(10^(AG79-L79))))</f>
        <v>0.99999999874107459</v>
      </c>
      <c r="T79" s="8">
        <f t="shared" ref="T79:T90" si="41">SUM(N79:S79)</f>
        <v>1</v>
      </c>
      <c r="U79" s="33">
        <f t="shared" si="25"/>
        <v>0</v>
      </c>
      <c r="V79" s="33">
        <f t="shared" si="26"/>
        <v>-1.2589254102092737E-9</v>
      </c>
      <c r="W79" s="33">
        <f t="shared" si="27"/>
        <v>264.01949999874108</v>
      </c>
      <c r="X79" s="33">
        <v>96485</v>
      </c>
      <c r="Y79" s="16">
        <f t="shared" si="28"/>
        <v>-4.6006987440178074E-7</v>
      </c>
      <c r="Z79" s="16">
        <v>6</v>
      </c>
      <c r="AA79" s="16">
        <v>9</v>
      </c>
      <c r="AB79" s="8">
        <f t="shared" si="29"/>
        <v>0.42105263157894735</v>
      </c>
      <c r="AC79" s="16">
        <f t="shared" si="30"/>
        <v>64.767943276917052</v>
      </c>
      <c r="AD79" s="20">
        <f>'PFAS Properties'!$W$24</f>
        <v>4</v>
      </c>
      <c r="AE79" s="8">
        <f>'PFAS Properties'!$S$24</f>
        <v>4.9869507878585164</v>
      </c>
      <c r="AF79" s="2">
        <f>'PFAS Properties'!$V$24</f>
        <v>3</v>
      </c>
      <c r="AG79" s="24">
        <v>5.3</v>
      </c>
      <c r="AH79" s="2" t="s">
        <v>122</v>
      </c>
      <c r="AI79" s="2" t="s">
        <v>661</v>
      </c>
      <c r="AJ79" s="2" t="s">
        <v>661</v>
      </c>
      <c r="AK79" s="2" t="s">
        <v>661</v>
      </c>
      <c r="AL79" s="2" t="s">
        <v>661</v>
      </c>
      <c r="AM79" s="2" t="s">
        <v>661</v>
      </c>
      <c r="AN79" s="2" t="s">
        <v>661</v>
      </c>
      <c r="AO79" s="2" t="s">
        <v>661</v>
      </c>
      <c r="AP79" s="15">
        <v>10.9</v>
      </c>
      <c r="AQ79" s="2" t="s">
        <v>661</v>
      </c>
      <c r="AR79" s="16">
        <v>32</v>
      </c>
      <c r="AS79" s="16">
        <v>50</v>
      </c>
      <c r="AT79" s="16">
        <v>18</v>
      </c>
      <c r="AU79" s="2" t="s">
        <v>661</v>
      </c>
      <c r="AV79" s="16">
        <f t="shared" si="31"/>
        <v>100</v>
      </c>
      <c r="AW79" s="20">
        <v>8.18</v>
      </c>
      <c r="AX79" s="13">
        <v>8.1799999999999998E-2</v>
      </c>
      <c r="AY79" s="8" t="s">
        <v>184</v>
      </c>
      <c r="AZ79" s="16">
        <f>1/0.05</f>
        <v>20</v>
      </c>
      <c r="BA79" s="16">
        <f>1/0.02</f>
        <v>50</v>
      </c>
      <c r="BB79" s="16">
        <v>500</v>
      </c>
      <c r="BC79" s="16">
        <v>20000</v>
      </c>
      <c r="BD79" s="18">
        <v>0.70099999999999996</v>
      </c>
      <c r="BE79" s="16">
        <f t="shared" si="32"/>
        <v>8.569682151589241</v>
      </c>
      <c r="BF79" s="16">
        <f t="shared" si="33"/>
        <v>0.93296471429533556</v>
      </c>
      <c r="BG79" s="8">
        <f t="shared" si="34"/>
        <v>-0.15428198203334137</v>
      </c>
      <c r="BH79" s="13" t="s">
        <v>373</v>
      </c>
      <c r="BI79" s="8"/>
      <c r="BJ79" s="16"/>
      <c r="BK79" s="8"/>
      <c r="BL79" s="12"/>
      <c r="BM79" s="16"/>
      <c r="BN79" s="16"/>
      <c r="BO79" s="18"/>
    </row>
    <row r="80" spans="1:67" s="14" customFormat="1" x14ac:dyDescent="0.3">
      <c r="A80" s="20">
        <v>79</v>
      </c>
      <c r="B80" s="2" t="s">
        <v>283</v>
      </c>
      <c r="C80" s="2">
        <v>2007</v>
      </c>
      <c r="D80" s="2" t="s">
        <v>203</v>
      </c>
      <c r="E80" s="75" t="s">
        <v>292</v>
      </c>
      <c r="F80" s="20" t="s">
        <v>29</v>
      </c>
      <c r="G80" s="2" t="s">
        <v>288</v>
      </c>
      <c r="H80" s="2" t="str">
        <f>'PFAS Properties'!$B$25</f>
        <v>6:2 FTOH</v>
      </c>
      <c r="I80" s="2" t="str">
        <f>'PFAS Properties'!$C$25</f>
        <v>FTOH</v>
      </c>
      <c r="J80" s="2" t="str">
        <f>'PFAS Properties'!$D$25</f>
        <v>C8H5F13O</v>
      </c>
      <c r="K80" s="25">
        <f>'PFAS Properties'!$P$25</f>
        <v>364.01309999999995</v>
      </c>
      <c r="L80" s="2">
        <f>'PFAS Properties'!$X$25</f>
        <v>14.2</v>
      </c>
      <c r="M80" s="2" t="str">
        <f>'PFAS Properties'!$Y$25</f>
        <v>-</v>
      </c>
      <c r="N80" s="33">
        <v>0</v>
      </c>
      <c r="O80" s="33">
        <v>0</v>
      </c>
      <c r="P80" s="33">
        <v>0</v>
      </c>
      <c r="Q80" s="33">
        <f t="shared" si="39"/>
        <v>1.2589254102092737E-9</v>
      </c>
      <c r="R80" s="33">
        <v>0</v>
      </c>
      <c r="S80" s="33">
        <f t="shared" si="40"/>
        <v>0.99999999874107459</v>
      </c>
      <c r="T80" s="8">
        <f t="shared" si="41"/>
        <v>1</v>
      </c>
      <c r="U80" s="33">
        <f t="shared" si="25"/>
        <v>0</v>
      </c>
      <c r="V80" s="33">
        <f t="shared" si="26"/>
        <v>-1.2589254102092737E-9</v>
      </c>
      <c r="W80" s="33">
        <f t="shared" si="27"/>
        <v>364.01309999874104</v>
      </c>
      <c r="X80" s="33">
        <v>96485</v>
      </c>
      <c r="Y80" s="16">
        <f t="shared" si="28"/>
        <v>-3.3368968920201461E-7</v>
      </c>
      <c r="Z80" s="16">
        <v>8</v>
      </c>
      <c r="AA80" s="16">
        <v>13</v>
      </c>
      <c r="AB80" s="8">
        <f t="shared" si="29"/>
        <v>0.38866396761133604</v>
      </c>
      <c r="AC80" s="16">
        <f t="shared" si="30"/>
        <v>67.854700833568913</v>
      </c>
      <c r="AD80" s="20">
        <f>'PFAS Properties'!$W$25</f>
        <v>6</v>
      </c>
      <c r="AE80" s="8">
        <f>'PFAS Properties'!$S$25</f>
        <v>3.3394514413064407</v>
      </c>
      <c r="AF80" s="2">
        <f>'PFAS Properties'!$V$25</f>
        <v>4.4000000000000004</v>
      </c>
      <c r="AG80" s="24">
        <v>5.3</v>
      </c>
      <c r="AH80" s="2" t="s">
        <v>122</v>
      </c>
      <c r="AI80" s="2" t="s">
        <v>661</v>
      </c>
      <c r="AJ80" s="2" t="s">
        <v>661</v>
      </c>
      <c r="AK80" s="2" t="s">
        <v>661</v>
      </c>
      <c r="AL80" s="2" t="s">
        <v>661</v>
      </c>
      <c r="AM80" s="2" t="s">
        <v>661</v>
      </c>
      <c r="AN80" s="2" t="s">
        <v>661</v>
      </c>
      <c r="AO80" s="2" t="s">
        <v>661</v>
      </c>
      <c r="AP80" s="15">
        <v>10.9</v>
      </c>
      <c r="AQ80" s="2" t="s">
        <v>661</v>
      </c>
      <c r="AR80" s="16">
        <v>32</v>
      </c>
      <c r="AS80" s="16">
        <v>50</v>
      </c>
      <c r="AT80" s="16">
        <v>18</v>
      </c>
      <c r="AU80" s="2" t="s">
        <v>661</v>
      </c>
      <c r="AV80" s="16">
        <f t="shared" si="31"/>
        <v>100</v>
      </c>
      <c r="AW80" s="20">
        <v>8.18</v>
      </c>
      <c r="AX80" s="13">
        <v>8.1799999999999998E-2</v>
      </c>
      <c r="AY80" s="8" t="s">
        <v>184</v>
      </c>
      <c r="AZ80" s="16">
        <f>1/0.05</f>
        <v>20</v>
      </c>
      <c r="BA80" s="16">
        <f>1/0.02</f>
        <v>50</v>
      </c>
      <c r="BB80" s="16">
        <v>300</v>
      </c>
      <c r="BC80" s="16">
        <v>3000</v>
      </c>
      <c r="BD80" s="25">
        <v>17</v>
      </c>
      <c r="BE80" s="16">
        <f t="shared" si="32"/>
        <v>207.82396088019561</v>
      </c>
      <c r="BF80" s="16">
        <f t="shared" si="33"/>
        <v>2.317695617706951</v>
      </c>
      <c r="BG80" s="8">
        <f t="shared" si="34"/>
        <v>1.2304489213782739</v>
      </c>
      <c r="BH80" s="13" t="s">
        <v>373</v>
      </c>
      <c r="BI80" s="8"/>
      <c r="BJ80" s="16"/>
      <c r="BK80" s="8"/>
      <c r="BL80" s="13"/>
      <c r="BM80" s="16"/>
      <c r="BN80" s="16"/>
      <c r="BO80" s="18"/>
    </row>
    <row r="81" spans="1:69" s="14" customFormat="1" x14ac:dyDescent="0.3">
      <c r="A81" s="20">
        <v>80</v>
      </c>
      <c r="B81" s="2" t="s">
        <v>283</v>
      </c>
      <c r="C81" s="2">
        <v>2007</v>
      </c>
      <c r="D81" s="2" t="s">
        <v>203</v>
      </c>
      <c r="E81" s="74" t="s">
        <v>292</v>
      </c>
      <c r="F81" s="20" t="s">
        <v>29</v>
      </c>
      <c r="G81" s="2" t="s">
        <v>286</v>
      </c>
      <c r="H81" s="2" t="str">
        <f>'PFAS Properties'!$B$25</f>
        <v>6:2 FTOH</v>
      </c>
      <c r="I81" s="2" t="str">
        <f>'PFAS Properties'!$C$25</f>
        <v>FTOH</v>
      </c>
      <c r="J81" s="2" t="str">
        <f>'PFAS Properties'!$D$25</f>
        <v>C8H5F13O</v>
      </c>
      <c r="K81" s="25">
        <f>'PFAS Properties'!$P$25</f>
        <v>364.01309999999995</v>
      </c>
      <c r="L81" s="2">
        <f>'PFAS Properties'!$X$25</f>
        <v>14.2</v>
      </c>
      <c r="M81" s="2" t="str">
        <f>'PFAS Properties'!$Y$25</f>
        <v>-</v>
      </c>
      <c r="N81" s="33">
        <v>0</v>
      </c>
      <c r="O81" s="33">
        <v>0</v>
      </c>
      <c r="P81" s="33">
        <v>0</v>
      </c>
      <c r="Q81" s="33">
        <f t="shared" si="39"/>
        <v>3.9810716896860486E-9</v>
      </c>
      <c r="R81" s="33">
        <v>0</v>
      </c>
      <c r="S81" s="33">
        <f t="shared" si="40"/>
        <v>0.99999999601892831</v>
      </c>
      <c r="T81" s="8">
        <f t="shared" si="41"/>
        <v>1</v>
      </c>
      <c r="U81" s="33">
        <f t="shared" si="25"/>
        <v>0</v>
      </c>
      <c r="V81" s="33">
        <f t="shared" si="26"/>
        <v>-3.9810716896860486E-9</v>
      </c>
      <c r="W81" s="33">
        <f t="shared" si="27"/>
        <v>364.01309999601887</v>
      </c>
      <c r="X81" s="33">
        <v>96485</v>
      </c>
      <c r="Y81" s="16">
        <f t="shared" si="28"/>
        <v>-1.0552194467274923E-6</v>
      </c>
      <c r="Z81" s="16">
        <v>8</v>
      </c>
      <c r="AA81" s="16">
        <v>13</v>
      </c>
      <c r="AB81" s="8">
        <f t="shared" si="29"/>
        <v>0.38866396761133604</v>
      </c>
      <c r="AC81" s="16">
        <f t="shared" si="30"/>
        <v>67.854700833568913</v>
      </c>
      <c r="AD81" s="20">
        <f>'PFAS Properties'!$W$25</f>
        <v>6</v>
      </c>
      <c r="AE81" s="8">
        <f>'PFAS Properties'!$S$25</f>
        <v>3.3394514413064407</v>
      </c>
      <c r="AF81" s="2">
        <f>'PFAS Properties'!$V$25</f>
        <v>4.4000000000000004</v>
      </c>
      <c r="AG81" s="24">
        <v>5.8</v>
      </c>
      <c r="AH81" s="2" t="s">
        <v>122</v>
      </c>
      <c r="AI81" s="2" t="s">
        <v>661</v>
      </c>
      <c r="AJ81" s="2" t="s">
        <v>661</v>
      </c>
      <c r="AK81" s="2" t="s">
        <v>661</v>
      </c>
      <c r="AL81" s="2" t="s">
        <v>661</v>
      </c>
      <c r="AM81" s="2" t="s">
        <v>661</v>
      </c>
      <c r="AN81" s="2" t="s">
        <v>661</v>
      </c>
      <c r="AO81" s="2" t="s">
        <v>661</v>
      </c>
      <c r="AP81" s="15">
        <v>23.3</v>
      </c>
      <c r="AQ81" s="2" t="s">
        <v>661</v>
      </c>
      <c r="AR81" s="16">
        <v>21</v>
      </c>
      <c r="AS81" s="16">
        <v>43</v>
      </c>
      <c r="AT81" s="16">
        <v>36</v>
      </c>
      <c r="AU81" s="2" t="s">
        <v>661</v>
      </c>
      <c r="AV81" s="16">
        <f t="shared" si="31"/>
        <v>100</v>
      </c>
      <c r="AW81" s="20">
        <v>2.5</v>
      </c>
      <c r="AX81" s="13">
        <v>2.5000000000000001E-2</v>
      </c>
      <c r="AY81" s="8" t="s">
        <v>184</v>
      </c>
      <c r="AZ81" s="16">
        <f>1/0.05</f>
        <v>20</v>
      </c>
      <c r="BA81" s="16">
        <f>1/0.02</f>
        <v>50</v>
      </c>
      <c r="BB81" s="16">
        <v>300</v>
      </c>
      <c r="BC81" s="16">
        <v>3000</v>
      </c>
      <c r="BD81" s="24">
        <v>6.09</v>
      </c>
      <c r="BE81" s="16">
        <f t="shared" si="32"/>
        <v>243.6</v>
      </c>
      <c r="BF81" s="16">
        <f t="shared" si="33"/>
        <v>2.3866772839608377</v>
      </c>
      <c r="BG81" s="8">
        <f t="shared" si="34"/>
        <v>0.78461729263287538</v>
      </c>
      <c r="BH81" s="13" t="s">
        <v>373</v>
      </c>
      <c r="BI81" s="8"/>
      <c r="BJ81" s="16"/>
      <c r="BK81" s="8"/>
      <c r="BL81" s="13"/>
      <c r="BM81" s="16"/>
      <c r="BN81" s="16"/>
      <c r="BO81" s="18"/>
    </row>
    <row r="82" spans="1:69" s="14" customFormat="1" x14ac:dyDescent="0.3">
      <c r="A82" s="20">
        <v>81</v>
      </c>
      <c r="B82" s="2" t="s">
        <v>283</v>
      </c>
      <c r="C82" s="2">
        <v>2007</v>
      </c>
      <c r="D82" s="2" t="s">
        <v>203</v>
      </c>
      <c r="E82" s="10" t="s">
        <v>292</v>
      </c>
      <c r="F82" s="20" t="s">
        <v>29</v>
      </c>
      <c r="G82" s="2" t="s">
        <v>287</v>
      </c>
      <c r="H82" s="2" t="str">
        <f>'PFAS Properties'!$B$25</f>
        <v>6:2 FTOH</v>
      </c>
      <c r="I82" s="2" t="str">
        <f>'PFAS Properties'!$C$25</f>
        <v>FTOH</v>
      </c>
      <c r="J82" s="2" t="str">
        <f>'PFAS Properties'!$D$25</f>
        <v>C8H5F13O</v>
      </c>
      <c r="K82" s="25">
        <f>'PFAS Properties'!$P$25</f>
        <v>364.01309999999995</v>
      </c>
      <c r="L82" s="2">
        <f>'PFAS Properties'!$X$25</f>
        <v>14.2</v>
      </c>
      <c r="M82" s="2" t="str">
        <f>'PFAS Properties'!$Y$25</f>
        <v>-</v>
      </c>
      <c r="N82" s="33">
        <v>0</v>
      </c>
      <c r="O82" s="33">
        <v>0</v>
      </c>
      <c r="P82" s="33">
        <v>0</v>
      </c>
      <c r="Q82" s="33">
        <f t="shared" si="39"/>
        <v>1.5848931922099271E-10</v>
      </c>
      <c r="R82" s="33">
        <v>0</v>
      </c>
      <c r="S82" s="33">
        <f t="shared" si="40"/>
        <v>0.99999999984151078</v>
      </c>
      <c r="T82" s="8">
        <f t="shared" si="41"/>
        <v>1</v>
      </c>
      <c r="U82" s="33">
        <f t="shared" si="25"/>
        <v>0</v>
      </c>
      <c r="V82" s="33">
        <f t="shared" si="26"/>
        <v>-1.5848931922099271E-10</v>
      </c>
      <c r="W82" s="33">
        <f t="shared" si="27"/>
        <v>364.01309999984153</v>
      </c>
      <c r="X82" s="33">
        <v>96485</v>
      </c>
      <c r="Y82" s="16">
        <f t="shared" si="28"/>
        <v>-4.2009042985112734E-8</v>
      </c>
      <c r="Z82" s="16">
        <v>8</v>
      </c>
      <c r="AA82" s="16">
        <v>13</v>
      </c>
      <c r="AB82" s="8">
        <f t="shared" si="29"/>
        <v>0.38866396761133604</v>
      </c>
      <c r="AC82" s="16">
        <f t="shared" si="30"/>
        <v>67.854700833568913</v>
      </c>
      <c r="AD82" s="20">
        <f>'PFAS Properties'!$W$25</f>
        <v>6</v>
      </c>
      <c r="AE82" s="8">
        <f>'PFAS Properties'!$S$25</f>
        <v>3.3394514413064407</v>
      </c>
      <c r="AF82" s="2">
        <f>'PFAS Properties'!$V$25</f>
        <v>4.4000000000000004</v>
      </c>
      <c r="AG82" s="24">
        <v>4.4000000000000004</v>
      </c>
      <c r="AH82" s="2" t="s">
        <v>122</v>
      </c>
      <c r="AI82" s="2" t="s">
        <v>661</v>
      </c>
      <c r="AJ82" s="2" t="s">
        <v>661</v>
      </c>
      <c r="AK82" s="2" t="s">
        <v>661</v>
      </c>
      <c r="AL82" s="2" t="s">
        <v>661</v>
      </c>
      <c r="AM82" s="2" t="s">
        <v>661</v>
      </c>
      <c r="AN82" s="2" t="s">
        <v>661</v>
      </c>
      <c r="AO82" s="2" t="s">
        <v>661</v>
      </c>
      <c r="AP82" s="15">
        <v>3.8</v>
      </c>
      <c r="AQ82" s="2" t="s">
        <v>661</v>
      </c>
      <c r="AR82" s="16">
        <v>92</v>
      </c>
      <c r="AS82" s="16">
        <v>4</v>
      </c>
      <c r="AT82" s="16">
        <v>4</v>
      </c>
      <c r="AU82" s="2" t="s">
        <v>661</v>
      </c>
      <c r="AV82" s="16">
        <f t="shared" si="31"/>
        <v>100</v>
      </c>
      <c r="AW82" s="20">
        <v>0.52</v>
      </c>
      <c r="AX82" s="13">
        <v>5.1999999999999998E-3</v>
      </c>
      <c r="AY82" s="8" t="s">
        <v>184</v>
      </c>
      <c r="AZ82" s="16">
        <f>1/0.05</f>
        <v>20</v>
      </c>
      <c r="BA82" s="16">
        <f>1/0.02</f>
        <v>50</v>
      </c>
      <c r="BB82" s="16">
        <v>300</v>
      </c>
      <c r="BC82" s="16">
        <v>3000</v>
      </c>
      <c r="BD82" s="24">
        <v>1.94</v>
      </c>
      <c r="BE82" s="16">
        <f t="shared" si="32"/>
        <v>373.07692307692309</v>
      </c>
      <c r="BF82" s="16">
        <f t="shared" si="33"/>
        <v>2.571798386295427</v>
      </c>
      <c r="BG82" s="8">
        <f t="shared" si="34"/>
        <v>0.28780172993022601</v>
      </c>
      <c r="BH82" s="13" t="s">
        <v>373</v>
      </c>
      <c r="BI82" s="8"/>
      <c r="BJ82" s="16"/>
      <c r="BK82" s="8"/>
      <c r="BL82" s="13"/>
      <c r="BM82" s="16"/>
      <c r="BN82" s="16"/>
      <c r="BO82" s="18"/>
    </row>
    <row r="83" spans="1:69" s="14" customFormat="1" x14ac:dyDescent="0.3">
      <c r="A83" s="20">
        <v>82</v>
      </c>
      <c r="B83" s="2" t="s">
        <v>283</v>
      </c>
      <c r="C83" s="2">
        <v>2005</v>
      </c>
      <c r="D83" s="2" t="s">
        <v>203</v>
      </c>
      <c r="E83" s="75" t="s">
        <v>284</v>
      </c>
      <c r="F83" s="20" t="s">
        <v>29</v>
      </c>
      <c r="G83" s="2" t="s">
        <v>285</v>
      </c>
      <c r="H83" s="2" t="str">
        <f>'PFAS Properties'!$B$26</f>
        <v>8:2 FTOH</v>
      </c>
      <c r="I83" s="2" t="str">
        <f>'PFAS Properties'!$C$26</f>
        <v>FTOH</v>
      </c>
      <c r="J83" s="2" t="str">
        <f>'PFAS Properties'!$D$26</f>
        <v>C10H5F17O</v>
      </c>
      <c r="K83" s="25">
        <f>'PFAS Properties'!$P$26</f>
        <v>464.00669999999997</v>
      </c>
      <c r="L83" s="2">
        <f>'PFAS Properties'!$X$26</f>
        <v>14.2</v>
      </c>
      <c r="M83" s="2" t="str">
        <f>'PFAS Properties'!$Y$26</f>
        <v>-</v>
      </c>
      <c r="N83" s="33">
        <v>0</v>
      </c>
      <c r="O83" s="33">
        <v>0</v>
      </c>
      <c r="P83" s="33">
        <v>0</v>
      </c>
      <c r="Q83" s="33">
        <f t="shared" si="39"/>
        <v>2.5118864314464804E-11</v>
      </c>
      <c r="R83" s="33">
        <v>0</v>
      </c>
      <c r="S83" s="33">
        <f t="shared" si="40"/>
        <v>0.9999999999748812</v>
      </c>
      <c r="T83" s="8">
        <f t="shared" si="41"/>
        <v>1</v>
      </c>
      <c r="U83" s="33">
        <f t="shared" si="25"/>
        <v>0</v>
      </c>
      <c r="V83" s="33">
        <f t="shared" si="26"/>
        <v>-2.5118864314464804E-11</v>
      </c>
      <c r="W83" s="33">
        <f t="shared" si="27"/>
        <v>464.0066999999749</v>
      </c>
      <c r="X83" s="33">
        <v>96485</v>
      </c>
      <c r="Y83" s="16">
        <f t="shared" si="28"/>
        <v>-5.2231866983413554E-9</v>
      </c>
      <c r="Z83" s="16">
        <v>10</v>
      </c>
      <c r="AA83" s="16">
        <v>17</v>
      </c>
      <c r="AB83" s="8">
        <f t="shared" si="29"/>
        <v>0.37151702786377711</v>
      </c>
      <c r="AC83" s="16">
        <f t="shared" si="30"/>
        <v>69.611063805759713</v>
      </c>
      <c r="AD83" s="20">
        <f>'PFAS Properties'!$W$26</f>
        <v>8</v>
      </c>
      <c r="AE83" s="8">
        <f>'PFAS Properties'!$S$26</f>
        <v>1.8286598965353198</v>
      </c>
      <c r="AF83" s="2">
        <f>'PFAS Properties'!$V$26</f>
        <v>5.7</v>
      </c>
      <c r="AG83" s="24">
        <v>3.6</v>
      </c>
      <c r="AH83" s="2" t="s">
        <v>122</v>
      </c>
      <c r="AI83" s="2" t="s">
        <v>661</v>
      </c>
      <c r="AJ83" s="2" t="s">
        <v>661</v>
      </c>
      <c r="AK83" s="2" t="s">
        <v>661</v>
      </c>
      <c r="AL83" s="2" t="s">
        <v>661</v>
      </c>
      <c r="AM83" s="2" t="s">
        <v>661</v>
      </c>
      <c r="AN83" s="2" t="s">
        <v>661</v>
      </c>
      <c r="AO83" s="2" t="s">
        <v>661</v>
      </c>
      <c r="AP83" s="15">
        <v>18.899999999999999</v>
      </c>
      <c r="AQ83" s="2" t="s">
        <v>661</v>
      </c>
      <c r="AR83" s="16">
        <v>2</v>
      </c>
      <c r="AS83" s="16">
        <v>34</v>
      </c>
      <c r="AT83" s="16">
        <v>64</v>
      </c>
      <c r="AU83" s="2" t="s">
        <v>661</v>
      </c>
      <c r="AV83" s="16">
        <f t="shared" si="31"/>
        <v>100</v>
      </c>
      <c r="AW83" s="20">
        <v>0.48</v>
      </c>
      <c r="AX83" s="13">
        <f>AW83/100</f>
        <v>4.7999999999999996E-3</v>
      </c>
      <c r="AY83" s="8" t="s">
        <v>184</v>
      </c>
      <c r="AZ83" s="16">
        <f>1/0.04</f>
        <v>25</v>
      </c>
      <c r="BA83" s="16">
        <f>1/0.01</f>
        <v>100</v>
      </c>
      <c r="BB83" s="2">
        <v>180</v>
      </c>
      <c r="BC83" s="16">
        <v>1800</v>
      </c>
      <c r="BD83" s="25">
        <v>34.200000000000003</v>
      </c>
      <c r="BE83" s="16">
        <f t="shared" si="32"/>
        <v>7125.0000000000009</v>
      </c>
      <c r="BF83" s="16">
        <f t="shared" si="33"/>
        <v>3.8527848686805477</v>
      </c>
      <c r="BG83" s="8">
        <f t="shared" si="34"/>
        <v>1.5340261060561351</v>
      </c>
      <c r="BH83" s="13" t="s">
        <v>389</v>
      </c>
      <c r="BI83" s="13"/>
      <c r="BJ83" s="13"/>
      <c r="BK83" s="13"/>
      <c r="BL83" s="13"/>
      <c r="BM83" s="17"/>
      <c r="BN83" s="17"/>
      <c r="BO83" s="2"/>
    </row>
    <row r="84" spans="1:69" s="14" customFormat="1" x14ac:dyDescent="0.3">
      <c r="A84" s="20">
        <v>83</v>
      </c>
      <c r="B84" s="2" t="s">
        <v>283</v>
      </c>
      <c r="C84" s="2">
        <v>2005</v>
      </c>
      <c r="D84" s="2" t="s">
        <v>203</v>
      </c>
      <c r="E84" s="10" t="s">
        <v>284</v>
      </c>
      <c r="F84" s="20" t="s">
        <v>29</v>
      </c>
      <c r="G84" s="2" t="s">
        <v>286</v>
      </c>
      <c r="H84" s="2" t="str">
        <f>'PFAS Properties'!$B$26</f>
        <v>8:2 FTOH</v>
      </c>
      <c r="I84" s="2" t="str">
        <f>'PFAS Properties'!$C$26</f>
        <v>FTOH</v>
      </c>
      <c r="J84" s="2" t="str">
        <f>'PFAS Properties'!$D$26</f>
        <v>C10H5F17O</v>
      </c>
      <c r="K84" s="25">
        <f>'PFAS Properties'!$P$26</f>
        <v>464.00669999999997</v>
      </c>
      <c r="L84" s="2">
        <f>'PFAS Properties'!$X$26</f>
        <v>14.2</v>
      </c>
      <c r="M84" s="2" t="str">
        <f>'PFAS Properties'!$Y$26</f>
        <v>-</v>
      </c>
      <c r="N84" s="33">
        <v>0</v>
      </c>
      <c r="O84" s="33">
        <v>0</v>
      </c>
      <c r="P84" s="33">
        <v>0</v>
      </c>
      <c r="Q84" s="33">
        <f t="shared" si="39"/>
        <v>3.9810716896860486E-9</v>
      </c>
      <c r="R84" s="33">
        <v>0</v>
      </c>
      <c r="S84" s="33">
        <f t="shared" si="40"/>
        <v>0.99999999601892831</v>
      </c>
      <c r="T84" s="8">
        <f t="shared" si="41"/>
        <v>1</v>
      </c>
      <c r="U84" s="33">
        <f t="shared" si="25"/>
        <v>0</v>
      </c>
      <c r="V84" s="33">
        <f t="shared" si="26"/>
        <v>-3.9810716896860486E-9</v>
      </c>
      <c r="W84" s="33">
        <f t="shared" si="27"/>
        <v>464.00669999601888</v>
      </c>
      <c r="X84" s="33">
        <v>96485</v>
      </c>
      <c r="Y84" s="16">
        <f t="shared" si="28"/>
        <v>-8.2781930084771202E-7</v>
      </c>
      <c r="Z84" s="16">
        <v>10</v>
      </c>
      <c r="AA84" s="16">
        <v>17</v>
      </c>
      <c r="AB84" s="8">
        <f t="shared" si="29"/>
        <v>0.37151702786377711</v>
      </c>
      <c r="AC84" s="16">
        <f t="shared" si="30"/>
        <v>69.611063805759713</v>
      </c>
      <c r="AD84" s="20">
        <f>'PFAS Properties'!$W$26</f>
        <v>8</v>
      </c>
      <c r="AE84" s="8">
        <f>'PFAS Properties'!$S$26</f>
        <v>1.8286598965353198</v>
      </c>
      <c r="AF84" s="2">
        <f>'PFAS Properties'!$V$26</f>
        <v>5.7</v>
      </c>
      <c r="AG84" s="24">
        <v>5.8</v>
      </c>
      <c r="AH84" s="2" t="s">
        <v>122</v>
      </c>
      <c r="AI84" s="2" t="s">
        <v>661</v>
      </c>
      <c r="AJ84" s="2" t="s">
        <v>661</v>
      </c>
      <c r="AK84" s="2" t="s">
        <v>661</v>
      </c>
      <c r="AL84" s="2" t="s">
        <v>661</v>
      </c>
      <c r="AM84" s="2" t="s">
        <v>661</v>
      </c>
      <c r="AN84" s="2" t="s">
        <v>661</v>
      </c>
      <c r="AO84" s="2" t="s">
        <v>661</v>
      </c>
      <c r="AP84" s="15">
        <v>23.3</v>
      </c>
      <c r="AQ84" s="2" t="s">
        <v>661</v>
      </c>
      <c r="AR84" s="16">
        <v>21</v>
      </c>
      <c r="AS84" s="16">
        <v>43</v>
      </c>
      <c r="AT84" s="16">
        <v>36</v>
      </c>
      <c r="AU84" s="2" t="s">
        <v>661</v>
      </c>
      <c r="AV84" s="16">
        <f t="shared" si="31"/>
        <v>100</v>
      </c>
      <c r="AW84" s="20">
        <v>2.5</v>
      </c>
      <c r="AX84" s="13">
        <f>AW84/100</f>
        <v>2.5000000000000001E-2</v>
      </c>
      <c r="AY84" s="8" t="s">
        <v>184</v>
      </c>
      <c r="AZ84" s="16">
        <f>1/0.04</f>
        <v>25</v>
      </c>
      <c r="BA84" s="16">
        <f>1/0.01</f>
        <v>100</v>
      </c>
      <c r="BB84" s="2">
        <v>180</v>
      </c>
      <c r="BC84" s="16">
        <v>1800</v>
      </c>
      <c r="BD84" s="25">
        <v>148.1</v>
      </c>
      <c r="BE84" s="16">
        <f t="shared" si="32"/>
        <v>5923.9999999999991</v>
      </c>
      <c r="BF84" s="16">
        <f t="shared" si="33"/>
        <v>3.7726150498491706</v>
      </c>
      <c r="BG84" s="8">
        <f t="shared" si="34"/>
        <v>2.1705550585212086</v>
      </c>
      <c r="BH84" s="13" t="s">
        <v>389</v>
      </c>
      <c r="BI84" s="13"/>
      <c r="BJ84" s="13"/>
      <c r="BK84" s="13"/>
      <c r="BL84" s="13"/>
      <c r="BM84" s="17"/>
      <c r="BN84" s="17"/>
      <c r="BO84" s="2"/>
    </row>
    <row r="85" spans="1:69" s="14" customFormat="1" x14ac:dyDescent="0.3">
      <c r="A85" s="20">
        <v>84</v>
      </c>
      <c r="B85" s="2" t="s">
        <v>283</v>
      </c>
      <c r="C85" s="2">
        <v>2005</v>
      </c>
      <c r="D85" s="2" t="s">
        <v>203</v>
      </c>
      <c r="E85" s="10" t="s">
        <v>284</v>
      </c>
      <c r="F85" s="20" t="s">
        <v>29</v>
      </c>
      <c r="G85" s="2" t="s">
        <v>287</v>
      </c>
      <c r="H85" s="2" t="str">
        <f>'PFAS Properties'!$B$26</f>
        <v>8:2 FTOH</v>
      </c>
      <c r="I85" s="2" t="str">
        <f>'PFAS Properties'!$C$26</f>
        <v>FTOH</v>
      </c>
      <c r="J85" s="2" t="str">
        <f>'PFAS Properties'!$D$26</f>
        <v>C10H5F17O</v>
      </c>
      <c r="K85" s="25">
        <f>'PFAS Properties'!$P$26</f>
        <v>464.00669999999997</v>
      </c>
      <c r="L85" s="2">
        <f>'PFAS Properties'!$X$26</f>
        <v>14.2</v>
      </c>
      <c r="M85" s="2" t="str">
        <f>'PFAS Properties'!$Y$26</f>
        <v>-</v>
      </c>
      <c r="N85" s="33">
        <v>0</v>
      </c>
      <c r="O85" s="33">
        <v>0</v>
      </c>
      <c r="P85" s="33">
        <v>0</v>
      </c>
      <c r="Q85" s="33">
        <f t="shared" si="39"/>
        <v>1.5848931922099271E-10</v>
      </c>
      <c r="R85" s="33">
        <v>0</v>
      </c>
      <c r="S85" s="33">
        <f t="shared" si="40"/>
        <v>0.99999999984151078</v>
      </c>
      <c r="T85" s="8">
        <f t="shared" si="41"/>
        <v>1</v>
      </c>
      <c r="U85" s="33">
        <f t="shared" si="25"/>
        <v>0</v>
      </c>
      <c r="V85" s="33">
        <f t="shared" si="26"/>
        <v>-1.5848931922099271E-10</v>
      </c>
      <c r="W85" s="33">
        <f t="shared" si="27"/>
        <v>464.00669999984154</v>
      </c>
      <c r="X85" s="33">
        <v>96485</v>
      </c>
      <c r="Y85" s="16">
        <f t="shared" si="28"/>
        <v>-3.29560800847115E-8</v>
      </c>
      <c r="Z85" s="16">
        <v>10</v>
      </c>
      <c r="AA85" s="16">
        <v>17</v>
      </c>
      <c r="AB85" s="8">
        <f t="shared" si="29"/>
        <v>0.37151702786377711</v>
      </c>
      <c r="AC85" s="16">
        <f t="shared" si="30"/>
        <v>69.611063805759713</v>
      </c>
      <c r="AD85" s="20">
        <f>'PFAS Properties'!$W$26</f>
        <v>8</v>
      </c>
      <c r="AE85" s="8">
        <f>'PFAS Properties'!$S$26</f>
        <v>1.8286598965353198</v>
      </c>
      <c r="AF85" s="2">
        <f>'PFAS Properties'!$V$26</f>
        <v>5.7</v>
      </c>
      <c r="AG85" s="24">
        <v>4.4000000000000004</v>
      </c>
      <c r="AH85" s="2" t="s">
        <v>122</v>
      </c>
      <c r="AI85" s="2" t="s">
        <v>661</v>
      </c>
      <c r="AJ85" s="2" t="s">
        <v>661</v>
      </c>
      <c r="AK85" s="2" t="s">
        <v>661</v>
      </c>
      <c r="AL85" s="2" t="s">
        <v>661</v>
      </c>
      <c r="AM85" s="2" t="s">
        <v>661</v>
      </c>
      <c r="AN85" s="2" t="s">
        <v>661</v>
      </c>
      <c r="AO85" s="2" t="s">
        <v>661</v>
      </c>
      <c r="AP85" s="15">
        <v>3.8</v>
      </c>
      <c r="AQ85" s="2" t="s">
        <v>661</v>
      </c>
      <c r="AR85" s="16">
        <v>92</v>
      </c>
      <c r="AS85" s="16">
        <v>4</v>
      </c>
      <c r="AT85" s="16">
        <v>4</v>
      </c>
      <c r="AU85" s="2" t="s">
        <v>661</v>
      </c>
      <c r="AV85" s="16">
        <f t="shared" si="31"/>
        <v>100</v>
      </c>
      <c r="AW85" s="20">
        <v>0.52</v>
      </c>
      <c r="AX85" s="13">
        <f>AW85/100</f>
        <v>5.1999999999999998E-3</v>
      </c>
      <c r="AY85" s="8" t="s">
        <v>184</v>
      </c>
      <c r="AZ85" s="16">
        <f>1/0.04</f>
        <v>25</v>
      </c>
      <c r="BA85" s="16">
        <f>1/0.01</f>
        <v>100</v>
      </c>
      <c r="BB85" s="2">
        <v>180</v>
      </c>
      <c r="BC85" s="16">
        <v>1800</v>
      </c>
      <c r="BD85" s="25">
        <v>28.2</v>
      </c>
      <c r="BE85" s="16">
        <f t="shared" si="32"/>
        <v>5423.0769230769229</v>
      </c>
      <c r="BF85" s="16">
        <f t="shared" si="33"/>
        <v>3.7342457646845619</v>
      </c>
      <c r="BG85" s="8">
        <f t="shared" si="34"/>
        <v>1.4502491083193612</v>
      </c>
      <c r="BH85" s="13" t="s">
        <v>389</v>
      </c>
      <c r="BI85" s="13"/>
      <c r="BJ85" s="13"/>
      <c r="BK85" s="13"/>
      <c r="BL85" s="13"/>
      <c r="BM85" s="17"/>
      <c r="BN85" s="17"/>
      <c r="BO85" s="2"/>
    </row>
    <row r="86" spans="1:69" s="14" customFormat="1" x14ac:dyDescent="0.3">
      <c r="A86" s="20">
        <v>85</v>
      </c>
      <c r="B86" s="2" t="s">
        <v>283</v>
      </c>
      <c r="C86" s="2">
        <v>2005</v>
      </c>
      <c r="D86" s="2" t="s">
        <v>203</v>
      </c>
      <c r="E86" s="10" t="s">
        <v>284</v>
      </c>
      <c r="F86" s="20" t="s">
        <v>29</v>
      </c>
      <c r="G86" s="2" t="s">
        <v>288</v>
      </c>
      <c r="H86" s="2" t="str">
        <f>'PFAS Properties'!$B$26</f>
        <v>8:2 FTOH</v>
      </c>
      <c r="I86" s="2" t="str">
        <f>'PFAS Properties'!$C$26</f>
        <v>FTOH</v>
      </c>
      <c r="J86" s="2" t="str">
        <f>'PFAS Properties'!$D$26</f>
        <v>C10H5F17O</v>
      </c>
      <c r="K86" s="25">
        <f>'PFAS Properties'!$P$26</f>
        <v>464.00669999999997</v>
      </c>
      <c r="L86" s="2">
        <f>'PFAS Properties'!$X$26</f>
        <v>14.2</v>
      </c>
      <c r="M86" s="2" t="str">
        <f>'PFAS Properties'!$Y$26</f>
        <v>-</v>
      </c>
      <c r="N86" s="33">
        <v>0</v>
      </c>
      <c r="O86" s="33">
        <v>0</v>
      </c>
      <c r="P86" s="33">
        <v>0</v>
      </c>
      <c r="Q86" s="33">
        <f t="shared" si="39"/>
        <v>1.2589254102092737E-9</v>
      </c>
      <c r="R86" s="33">
        <v>0</v>
      </c>
      <c r="S86" s="33">
        <f t="shared" si="40"/>
        <v>0.99999999874107459</v>
      </c>
      <c r="T86" s="8">
        <f t="shared" si="41"/>
        <v>1</v>
      </c>
      <c r="U86" s="33">
        <f t="shared" si="25"/>
        <v>0</v>
      </c>
      <c r="V86" s="33">
        <f t="shared" si="26"/>
        <v>-1.2589254102092737E-9</v>
      </c>
      <c r="W86" s="33">
        <f t="shared" si="27"/>
        <v>464.00669999874106</v>
      </c>
      <c r="X86" s="33">
        <v>96485</v>
      </c>
      <c r="Y86" s="16">
        <f t="shared" si="28"/>
        <v>-2.6177944888375825E-7</v>
      </c>
      <c r="Z86" s="16">
        <v>10</v>
      </c>
      <c r="AA86" s="16">
        <v>17</v>
      </c>
      <c r="AB86" s="8">
        <f t="shared" si="29"/>
        <v>0.37151702786377711</v>
      </c>
      <c r="AC86" s="16">
        <f t="shared" si="30"/>
        <v>69.611063805759713</v>
      </c>
      <c r="AD86" s="20">
        <f>'PFAS Properties'!$W$26</f>
        <v>8</v>
      </c>
      <c r="AE86" s="8">
        <f>'PFAS Properties'!$S$26</f>
        <v>1.8286598965353198</v>
      </c>
      <c r="AF86" s="2">
        <f>'PFAS Properties'!$V$26</f>
        <v>5.7</v>
      </c>
      <c r="AG86" s="24">
        <v>5.3</v>
      </c>
      <c r="AH86" s="2" t="s">
        <v>122</v>
      </c>
      <c r="AI86" s="2" t="s">
        <v>661</v>
      </c>
      <c r="AJ86" s="2" t="s">
        <v>661</v>
      </c>
      <c r="AK86" s="2" t="s">
        <v>661</v>
      </c>
      <c r="AL86" s="2" t="s">
        <v>661</v>
      </c>
      <c r="AM86" s="2" t="s">
        <v>661</v>
      </c>
      <c r="AN86" s="2" t="s">
        <v>661</v>
      </c>
      <c r="AO86" s="2" t="s">
        <v>661</v>
      </c>
      <c r="AP86" s="15">
        <v>10.9</v>
      </c>
      <c r="AQ86" s="2" t="s">
        <v>661</v>
      </c>
      <c r="AR86" s="16">
        <v>32</v>
      </c>
      <c r="AS86" s="16">
        <v>50</v>
      </c>
      <c r="AT86" s="16">
        <v>18</v>
      </c>
      <c r="AU86" s="2" t="s">
        <v>661</v>
      </c>
      <c r="AV86" s="16">
        <f t="shared" si="31"/>
        <v>100</v>
      </c>
      <c r="AW86" s="20">
        <v>8.18</v>
      </c>
      <c r="AX86" s="13">
        <f>AW86/100</f>
        <v>8.1799999999999998E-2</v>
      </c>
      <c r="AY86" s="8" t="s">
        <v>184</v>
      </c>
      <c r="AZ86" s="16">
        <f>1/0.04</f>
        <v>25</v>
      </c>
      <c r="BA86" s="16">
        <f>1/0.01</f>
        <v>100</v>
      </c>
      <c r="BB86" s="2">
        <v>180</v>
      </c>
      <c r="BC86" s="16">
        <v>1800</v>
      </c>
      <c r="BD86" s="25">
        <v>448.9</v>
      </c>
      <c r="BE86" s="16">
        <f t="shared" si="32"/>
        <v>5487.7750611246938</v>
      </c>
      <c r="BF86" s="16">
        <f t="shared" si="33"/>
        <v>3.7393963017303298</v>
      </c>
      <c r="BG86" s="8">
        <f t="shared" si="34"/>
        <v>2.6521496054016529</v>
      </c>
      <c r="BH86" s="13" t="s">
        <v>389</v>
      </c>
      <c r="BI86" s="13"/>
      <c r="BJ86" s="13"/>
      <c r="BK86" s="13"/>
      <c r="BL86" s="13"/>
      <c r="BM86" s="17"/>
      <c r="BN86" s="17"/>
      <c r="BO86" s="2"/>
    </row>
    <row r="87" spans="1:69" s="14" customFormat="1" x14ac:dyDescent="0.3">
      <c r="A87" s="20">
        <v>86</v>
      </c>
      <c r="B87" s="2" t="s">
        <v>283</v>
      </c>
      <c r="C87" s="2">
        <v>2005</v>
      </c>
      <c r="D87" s="2" t="s">
        <v>203</v>
      </c>
      <c r="E87" s="10" t="s">
        <v>284</v>
      </c>
      <c r="F87" s="20" t="s">
        <v>29</v>
      </c>
      <c r="G87" s="2" t="s">
        <v>289</v>
      </c>
      <c r="H87" s="2" t="str">
        <f>'PFAS Properties'!$B$26</f>
        <v>8:2 FTOH</v>
      </c>
      <c r="I87" s="2" t="str">
        <f>'PFAS Properties'!$C$26</f>
        <v>FTOH</v>
      </c>
      <c r="J87" s="2" t="str">
        <f>'PFAS Properties'!$D$26</f>
        <v>C10H5F17O</v>
      </c>
      <c r="K87" s="25">
        <f>'PFAS Properties'!$P$26</f>
        <v>464.00669999999997</v>
      </c>
      <c r="L87" s="2">
        <f>'PFAS Properties'!$X$26</f>
        <v>14.2</v>
      </c>
      <c r="M87" s="2" t="str">
        <f>'PFAS Properties'!$Y$26</f>
        <v>-</v>
      </c>
      <c r="N87" s="33">
        <v>0</v>
      </c>
      <c r="O87" s="33">
        <v>0</v>
      </c>
      <c r="P87" s="33">
        <v>0</v>
      </c>
      <c r="Q87" s="33">
        <f t="shared" si="39"/>
        <v>1.9952619168617886E-7</v>
      </c>
      <c r="R87" s="33">
        <v>0</v>
      </c>
      <c r="S87" s="33">
        <f t="shared" si="40"/>
        <v>0.99999980047380832</v>
      </c>
      <c r="T87" s="8">
        <f t="shared" si="41"/>
        <v>1</v>
      </c>
      <c r="U87" s="33">
        <f t="shared" si="25"/>
        <v>0</v>
      </c>
      <c r="V87" s="33">
        <f t="shared" si="26"/>
        <v>-1.9952619168617886E-7</v>
      </c>
      <c r="W87" s="33">
        <f t="shared" si="27"/>
        <v>464.00669980047377</v>
      </c>
      <c r="X87" s="33">
        <v>96485</v>
      </c>
      <c r="Y87" s="16">
        <f t="shared" si="28"/>
        <v>-4.1489238437977636E-5</v>
      </c>
      <c r="Z87" s="16">
        <v>10</v>
      </c>
      <c r="AA87" s="16">
        <v>17</v>
      </c>
      <c r="AB87" s="8">
        <f t="shared" si="29"/>
        <v>0.37151702786377711</v>
      </c>
      <c r="AC87" s="16">
        <f t="shared" si="30"/>
        <v>69.611063805759713</v>
      </c>
      <c r="AD87" s="20">
        <f>'PFAS Properties'!$W$26</f>
        <v>8</v>
      </c>
      <c r="AE87" s="8">
        <f>'PFAS Properties'!$S$26</f>
        <v>1.8286598965353198</v>
      </c>
      <c r="AF87" s="2">
        <f>'PFAS Properties'!$V$26</f>
        <v>5.7</v>
      </c>
      <c r="AG87" s="24">
        <v>7.5</v>
      </c>
      <c r="AH87" s="2" t="s">
        <v>122</v>
      </c>
      <c r="AI87" s="2" t="s">
        <v>661</v>
      </c>
      <c r="AJ87" s="2" t="s">
        <v>661</v>
      </c>
      <c r="AK87" s="2" t="s">
        <v>661</v>
      </c>
      <c r="AL87" s="2" t="s">
        <v>661</v>
      </c>
      <c r="AM87" s="2" t="s">
        <v>661</v>
      </c>
      <c r="AN87" s="2" t="s">
        <v>661</v>
      </c>
      <c r="AO87" s="2" t="s">
        <v>661</v>
      </c>
      <c r="AP87" s="15">
        <v>38.200000000000003</v>
      </c>
      <c r="AQ87" s="2" t="s">
        <v>661</v>
      </c>
      <c r="AR87" s="16">
        <v>38</v>
      </c>
      <c r="AS87" s="16">
        <v>28</v>
      </c>
      <c r="AT87" s="16">
        <v>34</v>
      </c>
      <c r="AU87" s="2" t="s">
        <v>661</v>
      </c>
      <c r="AV87" s="16">
        <f t="shared" si="31"/>
        <v>100</v>
      </c>
      <c r="AW87" s="20">
        <v>4.5999999999999996</v>
      </c>
      <c r="AX87" s="13">
        <f>AW87/100</f>
        <v>4.5999999999999999E-2</v>
      </c>
      <c r="AY87" s="8" t="s">
        <v>184</v>
      </c>
      <c r="AZ87" s="16">
        <f>1/0.04</f>
        <v>25</v>
      </c>
      <c r="BA87" s="16">
        <f>1/0.01</f>
        <v>100</v>
      </c>
      <c r="BB87" s="2">
        <v>180</v>
      </c>
      <c r="BC87" s="16">
        <v>1800</v>
      </c>
      <c r="BD87" s="20">
        <v>274</v>
      </c>
      <c r="BE87" s="16">
        <f t="shared" si="32"/>
        <v>5956.521739130435</v>
      </c>
      <c r="BF87" s="16">
        <f t="shared" si="33"/>
        <v>3.7749927311388141</v>
      </c>
      <c r="BG87" s="8">
        <f t="shared" si="34"/>
        <v>2.4377505628203879</v>
      </c>
      <c r="BH87" s="13" t="s">
        <v>389</v>
      </c>
      <c r="BI87" s="13"/>
      <c r="BJ87" s="13"/>
      <c r="BK87" s="13"/>
      <c r="BL87" s="13"/>
      <c r="BM87" s="17"/>
      <c r="BN87" s="17"/>
      <c r="BO87" s="2"/>
    </row>
    <row r="88" spans="1:69" s="14" customFormat="1" x14ac:dyDescent="0.3">
      <c r="A88" s="20">
        <v>87</v>
      </c>
      <c r="B88" s="2" t="s">
        <v>283</v>
      </c>
      <c r="C88" s="2">
        <v>2007</v>
      </c>
      <c r="D88" s="2" t="s">
        <v>203</v>
      </c>
      <c r="E88" s="75" t="s">
        <v>292</v>
      </c>
      <c r="F88" s="20" t="s">
        <v>29</v>
      </c>
      <c r="G88" s="2" t="s">
        <v>288</v>
      </c>
      <c r="H88" s="2" t="str">
        <f>'PFAS Properties'!$B$27</f>
        <v>10:2 FTOH</v>
      </c>
      <c r="I88" s="2" t="str">
        <f>'PFAS Properties'!$C$27</f>
        <v>FTOH</v>
      </c>
      <c r="J88" s="2" t="str">
        <f>'PFAS Properties'!$D$27</f>
        <v>C12H5F21O</v>
      </c>
      <c r="K88" s="25">
        <f>'PFAS Properties'!$P$27</f>
        <v>564.00030000000004</v>
      </c>
      <c r="L88" s="2">
        <f>'PFAS Properties'!$X$27</f>
        <v>14.2</v>
      </c>
      <c r="M88" s="2" t="str">
        <f>'PFAS Properties'!$Y$27</f>
        <v>-</v>
      </c>
      <c r="N88" s="33">
        <v>0</v>
      </c>
      <c r="O88" s="33">
        <v>0</v>
      </c>
      <c r="P88" s="33">
        <v>0</v>
      </c>
      <c r="Q88" s="33">
        <f t="shared" si="39"/>
        <v>1.2589254102092737E-9</v>
      </c>
      <c r="R88" s="33">
        <v>0</v>
      </c>
      <c r="S88" s="33">
        <f t="shared" si="40"/>
        <v>0.99999999874107459</v>
      </c>
      <c r="T88" s="8">
        <f t="shared" si="41"/>
        <v>1</v>
      </c>
      <c r="U88" s="33">
        <f t="shared" si="25"/>
        <v>0</v>
      </c>
      <c r="V88" s="33">
        <f t="shared" si="26"/>
        <v>-1.2589254102092737E-9</v>
      </c>
      <c r="W88" s="33">
        <f t="shared" si="27"/>
        <v>564.00029999874107</v>
      </c>
      <c r="X88" s="33">
        <v>96485</v>
      </c>
      <c r="Y88" s="16">
        <f t="shared" si="28"/>
        <v>-2.1536764821634478E-7</v>
      </c>
      <c r="Z88" s="16">
        <v>12</v>
      </c>
      <c r="AA88" s="16">
        <v>21</v>
      </c>
      <c r="AB88" s="8">
        <f t="shared" si="29"/>
        <v>0.36090225563909772</v>
      </c>
      <c r="AC88" s="16">
        <f t="shared" si="30"/>
        <v>70.744643220934449</v>
      </c>
      <c r="AD88" s="20">
        <f>'PFAS Properties'!$W$27</f>
        <v>10</v>
      </c>
      <c r="AE88" s="8">
        <f>'PFAS Properties'!$S$27</f>
        <v>-0.10237290870955855</v>
      </c>
      <c r="AF88" s="2">
        <f>'PFAS Properties'!$V$27</f>
        <v>7.1</v>
      </c>
      <c r="AG88" s="24">
        <v>5.3</v>
      </c>
      <c r="AH88" s="2" t="s">
        <v>122</v>
      </c>
      <c r="AI88" s="2" t="s">
        <v>661</v>
      </c>
      <c r="AJ88" s="2" t="s">
        <v>661</v>
      </c>
      <c r="AK88" s="2" t="s">
        <v>661</v>
      </c>
      <c r="AL88" s="2" t="s">
        <v>661</v>
      </c>
      <c r="AM88" s="2" t="s">
        <v>661</v>
      </c>
      <c r="AN88" s="2" t="s">
        <v>661</v>
      </c>
      <c r="AO88" s="2" t="s">
        <v>661</v>
      </c>
      <c r="AP88" s="15">
        <v>10.9</v>
      </c>
      <c r="AQ88" s="2" t="s">
        <v>661</v>
      </c>
      <c r="AR88" s="16">
        <v>32</v>
      </c>
      <c r="AS88" s="16">
        <v>50</v>
      </c>
      <c r="AT88" s="16">
        <v>18</v>
      </c>
      <c r="AU88" s="2" t="s">
        <v>661</v>
      </c>
      <c r="AV88" s="16">
        <f t="shared" si="31"/>
        <v>100</v>
      </c>
      <c r="AW88" s="20">
        <v>8.18</v>
      </c>
      <c r="AX88" s="13">
        <v>8.1799999999999998E-2</v>
      </c>
      <c r="AY88" s="8" t="s">
        <v>184</v>
      </c>
      <c r="AZ88" s="16">
        <f>1/0.1</f>
        <v>10</v>
      </c>
      <c r="BA88" s="16">
        <f>1/0.03</f>
        <v>33.333333333333336</v>
      </c>
      <c r="BB88" s="16">
        <v>10</v>
      </c>
      <c r="BC88" s="16">
        <v>1800</v>
      </c>
      <c r="BD88" s="25">
        <v>3713</v>
      </c>
      <c r="BE88" s="16">
        <f t="shared" si="32"/>
        <v>45391.198044009783</v>
      </c>
      <c r="BF88" s="16">
        <f t="shared" si="33"/>
        <v>4.6569716455548358</v>
      </c>
      <c r="BG88" s="8">
        <f t="shared" si="34"/>
        <v>3.5697249492261589</v>
      </c>
      <c r="BH88" s="13" t="s">
        <v>387</v>
      </c>
      <c r="BI88" s="8"/>
      <c r="BJ88" s="16"/>
      <c r="BK88" s="8"/>
      <c r="BL88" s="15"/>
      <c r="BM88" s="16"/>
      <c r="BN88" s="16"/>
      <c r="BO88" s="18"/>
    </row>
    <row r="89" spans="1:69" s="14" customFormat="1" x14ac:dyDescent="0.3">
      <c r="A89" s="20">
        <v>88</v>
      </c>
      <c r="B89" s="2" t="s">
        <v>283</v>
      </c>
      <c r="C89" s="2">
        <v>2007</v>
      </c>
      <c r="D89" s="2" t="s">
        <v>203</v>
      </c>
      <c r="E89" s="74" t="s">
        <v>292</v>
      </c>
      <c r="F89" s="20" t="s">
        <v>29</v>
      </c>
      <c r="G89" s="2" t="s">
        <v>286</v>
      </c>
      <c r="H89" s="2" t="str">
        <f>'PFAS Properties'!$B$27</f>
        <v>10:2 FTOH</v>
      </c>
      <c r="I89" s="2" t="str">
        <f>'PFAS Properties'!$C$27</f>
        <v>FTOH</v>
      </c>
      <c r="J89" s="2" t="str">
        <f>'PFAS Properties'!$D$27</f>
        <v>C12H5F21O</v>
      </c>
      <c r="K89" s="25">
        <f>'PFAS Properties'!$P$27</f>
        <v>564.00030000000004</v>
      </c>
      <c r="L89" s="2">
        <f>'PFAS Properties'!$X$27</f>
        <v>14.2</v>
      </c>
      <c r="M89" s="2" t="str">
        <f>'PFAS Properties'!$Y$27</f>
        <v>-</v>
      </c>
      <c r="N89" s="33">
        <v>0</v>
      </c>
      <c r="O89" s="33">
        <v>0</v>
      </c>
      <c r="P89" s="33">
        <v>0</v>
      </c>
      <c r="Q89" s="33">
        <f t="shared" si="39"/>
        <v>3.9810716896860486E-9</v>
      </c>
      <c r="R89" s="33">
        <v>0</v>
      </c>
      <c r="S89" s="33">
        <f t="shared" si="40"/>
        <v>0.99999999601892831</v>
      </c>
      <c r="T89" s="8">
        <f t="shared" si="41"/>
        <v>1</v>
      </c>
      <c r="U89" s="33">
        <f t="shared" si="25"/>
        <v>0</v>
      </c>
      <c r="V89" s="33">
        <f t="shared" si="26"/>
        <v>-3.9810716896860486E-9</v>
      </c>
      <c r="W89" s="33">
        <f t="shared" si="27"/>
        <v>564.00029999601895</v>
      </c>
      <c r="X89" s="33">
        <v>96485</v>
      </c>
      <c r="Y89" s="16">
        <f t="shared" si="28"/>
        <v>-6.8105230082691391E-7</v>
      </c>
      <c r="Z89" s="16">
        <v>12</v>
      </c>
      <c r="AA89" s="16">
        <v>21</v>
      </c>
      <c r="AB89" s="8">
        <f t="shared" si="29"/>
        <v>0.36090225563909772</v>
      </c>
      <c r="AC89" s="16">
        <f t="shared" si="30"/>
        <v>70.744643220934449</v>
      </c>
      <c r="AD89" s="20">
        <f>'PFAS Properties'!$W$27</f>
        <v>10</v>
      </c>
      <c r="AE89" s="8">
        <f>'PFAS Properties'!$S$27</f>
        <v>-0.10237290870955855</v>
      </c>
      <c r="AF89" s="2">
        <f>'PFAS Properties'!$V$27</f>
        <v>7.1</v>
      </c>
      <c r="AG89" s="24">
        <v>5.8</v>
      </c>
      <c r="AH89" s="2" t="s">
        <v>122</v>
      </c>
      <c r="AI89" s="2" t="s">
        <v>661</v>
      </c>
      <c r="AJ89" s="2" t="s">
        <v>661</v>
      </c>
      <c r="AK89" s="2" t="s">
        <v>661</v>
      </c>
      <c r="AL89" s="2" t="s">
        <v>661</v>
      </c>
      <c r="AM89" s="2" t="s">
        <v>661</v>
      </c>
      <c r="AN89" s="2" t="s">
        <v>661</v>
      </c>
      <c r="AO89" s="2" t="s">
        <v>661</v>
      </c>
      <c r="AP89" s="15">
        <v>23.3</v>
      </c>
      <c r="AQ89" s="2" t="s">
        <v>661</v>
      </c>
      <c r="AR89" s="16">
        <v>21</v>
      </c>
      <c r="AS89" s="16">
        <v>43</v>
      </c>
      <c r="AT89" s="16">
        <v>36</v>
      </c>
      <c r="AU89" s="2" t="s">
        <v>661</v>
      </c>
      <c r="AV89" s="16">
        <f t="shared" si="31"/>
        <v>100</v>
      </c>
      <c r="AW89" s="20">
        <v>2.5</v>
      </c>
      <c r="AX89" s="13">
        <v>2.5000000000000001E-2</v>
      </c>
      <c r="AY89" s="8" t="s">
        <v>184</v>
      </c>
      <c r="AZ89" s="16">
        <f>1/0.1</f>
        <v>10</v>
      </c>
      <c r="BA89" s="16">
        <f>1/0.03</f>
        <v>33.333333333333336</v>
      </c>
      <c r="BB89" s="16">
        <v>10</v>
      </c>
      <c r="BC89" s="16">
        <v>1800</v>
      </c>
      <c r="BD89" s="25">
        <v>2051</v>
      </c>
      <c r="BE89" s="16">
        <f t="shared" si="32"/>
        <v>82040</v>
      </c>
      <c r="BF89" s="16">
        <f t="shared" si="33"/>
        <v>4.9140256516963285</v>
      </c>
      <c r="BG89" s="8">
        <f t="shared" si="34"/>
        <v>3.3119656603683665</v>
      </c>
      <c r="BH89" s="13" t="s">
        <v>387</v>
      </c>
      <c r="BI89" s="8"/>
      <c r="BJ89" s="16"/>
      <c r="BK89" s="8"/>
      <c r="BL89" s="15"/>
      <c r="BM89" s="16"/>
      <c r="BN89" s="16"/>
      <c r="BO89" s="18"/>
    </row>
    <row r="90" spans="1:69" s="14" customFormat="1" x14ac:dyDescent="0.3">
      <c r="A90" s="20">
        <v>89</v>
      </c>
      <c r="B90" s="2" t="s">
        <v>283</v>
      </c>
      <c r="C90" s="2">
        <v>2007</v>
      </c>
      <c r="D90" s="2" t="s">
        <v>203</v>
      </c>
      <c r="E90" s="10" t="s">
        <v>292</v>
      </c>
      <c r="F90" s="20" t="s">
        <v>29</v>
      </c>
      <c r="G90" s="2" t="s">
        <v>287</v>
      </c>
      <c r="H90" s="2" t="str">
        <f>'PFAS Properties'!$B$27</f>
        <v>10:2 FTOH</v>
      </c>
      <c r="I90" s="2" t="str">
        <f>'PFAS Properties'!$C$27</f>
        <v>FTOH</v>
      </c>
      <c r="J90" s="2" t="str">
        <f>'PFAS Properties'!$D$27</f>
        <v>C12H5F21O</v>
      </c>
      <c r="K90" s="25">
        <f>'PFAS Properties'!$P$27</f>
        <v>564.00030000000004</v>
      </c>
      <c r="L90" s="2">
        <f>'PFAS Properties'!$X$27</f>
        <v>14.2</v>
      </c>
      <c r="M90" s="2" t="str">
        <f>'PFAS Properties'!$Y$27</f>
        <v>-</v>
      </c>
      <c r="N90" s="33">
        <v>0</v>
      </c>
      <c r="O90" s="33">
        <v>0</v>
      </c>
      <c r="P90" s="33">
        <v>0</v>
      </c>
      <c r="Q90" s="33">
        <f t="shared" si="39"/>
        <v>1.5848931922099271E-10</v>
      </c>
      <c r="R90" s="33">
        <v>0</v>
      </c>
      <c r="S90" s="33">
        <f t="shared" si="40"/>
        <v>0.99999999984151078</v>
      </c>
      <c r="T90" s="8">
        <f t="shared" si="41"/>
        <v>1</v>
      </c>
      <c r="U90" s="33">
        <f t="shared" si="25"/>
        <v>0</v>
      </c>
      <c r="V90" s="33">
        <f t="shared" si="26"/>
        <v>-1.5848931922099271E-10</v>
      </c>
      <c r="W90" s="33">
        <f t="shared" si="27"/>
        <v>564.00029999984156</v>
      </c>
      <c r="X90" s="33">
        <v>96485</v>
      </c>
      <c r="Y90" s="16">
        <f t="shared" si="28"/>
        <v>-2.711318055157378E-8</v>
      </c>
      <c r="Z90" s="16">
        <v>12</v>
      </c>
      <c r="AA90" s="16">
        <v>21</v>
      </c>
      <c r="AB90" s="8">
        <f t="shared" si="29"/>
        <v>0.36090225563909772</v>
      </c>
      <c r="AC90" s="16">
        <f t="shared" si="30"/>
        <v>70.744643220934449</v>
      </c>
      <c r="AD90" s="20">
        <f>'PFAS Properties'!$W$27</f>
        <v>10</v>
      </c>
      <c r="AE90" s="8">
        <f>'PFAS Properties'!$S$27</f>
        <v>-0.10237290870955855</v>
      </c>
      <c r="AF90" s="2">
        <f>'PFAS Properties'!$V$27</f>
        <v>7.1</v>
      </c>
      <c r="AG90" s="24">
        <v>4.4000000000000004</v>
      </c>
      <c r="AH90" s="2" t="s">
        <v>122</v>
      </c>
      <c r="AI90" s="2" t="s">
        <v>661</v>
      </c>
      <c r="AJ90" s="2" t="s">
        <v>661</v>
      </c>
      <c r="AK90" s="2" t="s">
        <v>661</v>
      </c>
      <c r="AL90" s="2" t="s">
        <v>661</v>
      </c>
      <c r="AM90" s="2" t="s">
        <v>661</v>
      </c>
      <c r="AN90" s="2" t="s">
        <v>661</v>
      </c>
      <c r="AO90" s="2" t="s">
        <v>661</v>
      </c>
      <c r="AP90" s="15">
        <v>3.8</v>
      </c>
      <c r="AQ90" s="2" t="s">
        <v>661</v>
      </c>
      <c r="AR90" s="16">
        <v>92</v>
      </c>
      <c r="AS90" s="16">
        <v>4</v>
      </c>
      <c r="AT90" s="16">
        <v>4</v>
      </c>
      <c r="AU90" s="2" t="s">
        <v>661</v>
      </c>
      <c r="AV90" s="16">
        <f t="shared" si="31"/>
        <v>100</v>
      </c>
      <c r="AW90" s="20">
        <v>0.52</v>
      </c>
      <c r="AX90" s="13">
        <v>5.1999999999999998E-3</v>
      </c>
      <c r="AY90" s="8" t="s">
        <v>184</v>
      </c>
      <c r="AZ90" s="16">
        <f>1/0.1</f>
        <v>10</v>
      </c>
      <c r="BA90" s="16">
        <f>1/0.03</f>
        <v>33.333333333333336</v>
      </c>
      <c r="BB90" s="16">
        <v>10</v>
      </c>
      <c r="BC90" s="16">
        <v>1800</v>
      </c>
      <c r="BD90" s="25">
        <v>88.9</v>
      </c>
      <c r="BE90" s="16">
        <f t="shared" si="32"/>
        <v>17096.153846153848</v>
      </c>
      <c r="BF90" s="16">
        <f t="shared" si="33"/>
        <v>4.2328984173354147</v>
      </c>
      <c r="BG90" s="8">
        <f t="shared" si="34"/>
        <v>1.9489017609702137</v>
      </c>
      <c r="BH90" s="13" t="s">
        <v>388</v>
      </c>
      <c r="BI90" s="8"/>
      <c r="BJ90" s="16"/>
      <c r="BK90" s="8"/>
      <c r="BL90" s="15"/>
      <c r="BM90" s="16"/>
      <c r="BN90" s="16"/>
      <c r="BO90" s="18"/>
    </row>
    <row r="91" spans="1:69" s="2" customFormat="1" x14ac:dyDescent="0.3">
      <c r="A91" s="20">
        <v>90</v>
      </c>
      <c r="B91" s="2" t="s">
        <v>653</v>
      </c>
      <c r="C91" s="2">
        <v>1997</v>
      </c>
      <c r="D91" s="2" t="s">
        <v>203</v>
      </c>
      <c r="E91" s="41" t="s">
        <v>790</v>
      </c>
      <c r="F91" s="20" t="s">
        <v>29</v>
      </c>
      <c r="G91" s="2" t="s">
        <v>668</v>
      </c>
      <c r="H91" s="2" t="s">
        <v>654</v>
      </c>
      <c r="I91" s="2" t="s">
        <v>565</v>
      </c>
      <c r="J91" s="2" t="str">
        <f>'PFAS Properties'!$D$28</f>
        <v>C2HF3O2</v>
      </c>
      <c r="K91" s="25">
        <f>'PFAS Properties'!$P$28</f>
        <v>113.9928</v>
      </c>
      <c r="L91" s="2">
        <f>'PFAS Properties'!$X$28</f>
        <v>-0.2</v>
      </c>
      <c r="M91" s="2" t="str">
        <f>'PFAS Properties'!$Y$28</f>
        <v>-</v>
      </c>
      <c r="N91" s="33">
        <v>0</v>
      </c>
      <c r="O91" s="33">
        <v>0</v>
      </c>
      <c r="P91" s="33">
        <v>0</v>
      </c>
      <c r="Q91" s="33">
        <f t="shared" si="39"/>
        <v>0.99999683773233983</v>
      </c>
      <c r="R91" s="33">
        <v>0</v>
      </c>
      <c r="S91" s="33">
        <f t="shared" si="40"/>
        <v>3.1622676601999995E-6</v>
      </c>
      <c r="T91" s="8">
        <f t="shared" ref="T91:T150" si="42">SUM(N91:S91)</f>
        <v>1</v>
      </c>
      <c r="U91" s="33">
        <f t="shared" si="25"/>
        <v>0</v>
      </c>
      <c r="V91" s="33">
        <f t="shared" si="26"/>
        <v>-0.99999683773233983</v>
      </c>
      <c r="W91" s="33">
        <f t="shared" si="27"/>
        <v>112.99280316226768</v>
      </c>
      <c r="X91" s="33">
        <v>96485</v>
      </c>
      <c r="Y91" s="16">
        <f t="shared" si="28"/>
        <v>-853.90124139184547</v>
      </c>
      <c r="Z91" s="2">
        <v>2</v>
      </c>
      <c r="AA91" s="2">
        <v>3</v>
      </c>
      <c r="AB91" s="8">
        <f t="shared" si="29"/>
        <v>0.42105263157894735</v>
      </c>
      <c r="AC91" s="16">
        <f t="shared" si="30"/>
        <v>50.00315809419542</v>
      </c>
      <c r="AD91" s="20">
        <v>1</v>
      </c>
      <c r="AE91" s="8">
        <f>'PFAS Properties'!$S$28</f>
        <v>7.9887818434536406</v>
      </c>
      <c r="AF91" s="8">
        <f>'PFAS Properties'!$V$28</f>
        <v>0.9</v>
      </c>
      <c r="AG91" s="24">
        <v>5.3</v>
      </c>
      <c r="AH91" s="2" t="s">
        <v>655</v>
      </c>
      <c r="AI91" s="2" t="s">
        <v>661</v>
      </c>
      <c r="AJ91" s="2" t="s">
        <v>661</v>
      </c>
      <c r="AK91" s="2" t="s">
        <v>661</v>
      </c>
      <c r="AL91" s="2" t="s">
        <v>661</v>
      </c>
      <c r="AM91" s="2" t="s">
        <v>661</v>
      </c>
      <c r="AN91" s="2" t="s">
        <v>661</v>
      </c>
      <c r="AO91" s="2" t="s">
        <v>661</v>
      </c>
      <c r="AP91" s="15">
        <v>63.6</v>
      </c>
      <c r="AQ91" s="2" t="s">
        <v>689</v>
      </c>
      <c r="AR91" s="71">
        <v>29.444759999999999</v>
      </c>
      <c r="AS91" s="71">
        <v>36.921840000000003</v>
      </c>
      <c r="AT91" s="16">
        <v>33.395319999999998</v>
      </c>
      <c r="AU91" s="70" t="s">
        <v>752</v>
      </c>
      <c r="AV91" s="16">
        <f t="shared" si="31"/>
        <v>99.761920000000003</v>
      </c>
      <c r="AW91" s="18">
        <v>41.25</v>
      </c>
      <c r="AX91" s="13">
        <f t="shared" ref="AX91:AX149" si="43">AW91/100</f>
        <v>0.41249999999999998</v>
      </c>
      <c r="AY91" s="2" t="s">
        <v>658</v>
      </c>
      <c r="AZ91" s="16">
        <f>1/(0.005)</f>
        <v>200</v>
      </c>
      <c r="BA91" s="16" t="s">
        <v>55</v>
      </c>
      <c r="BB91" s="8">
        <f t="shared" ref="BB91:BB110" si="44">(2*137.02)/1000</f>
        <v>0.27404000000000001</v>
      </c>
      <c r="BC91" s="8">
        <f t="shared" ref="BC91:BC110" si="45">(40*137.02)/1000</f>
        <v>5.4808000000000003</v>
      </c>
      <c r="BD91" s="20">
        <v>11</v>
      </c>
      <c r="BE91" s="16">
        <f t="shared" si="32"/>
        <v>26.666666666666668</v>
      </c>
      <c r="BF91" s="8">
        <f t="shared" si="33"/>
        <v>1.4259687322722812</v>
      </c>
      <c r="BG91" s="8">
        <f t="shared" si="34"/>
        <v>1.0413926851582251</v>
      </c>
      <c r="BH91" s="2" t="s">
        <v>678</v>
      </c>
      <c r="BM91" s="20"/>
      <c r="BN91" s="20"/>
    </row>
    <row r="92" spans="1:69" s="14" customFormat="1" x14ac:dyDescent="0.3">
      <c r="A92" s="20">
        <v>91</v>
      </c>
      <c r="B92" s="2" t="s">
        <v>653</v>
      </c>
      <c r="C92" s="2">
        <v>1997</v>
      </c>
      <c r="D92" s="2" t="s">
        <v>203</v>
      </c>
      <c r="E92" s="41" t="s">
        <v>790</v>
      </c>
      <c r="F92" s="20" t="s">
        <v>29</v>
      </c>
      <c r="G92" s="2" t="s">
        <v>669</v>
      </c>
      <c r="H92" s="2" t="s">
        <v>654</v>
      </c>
      <c r="I92" s="2" t="s">
        <v>565</v>
      </c>
      <c r="J92" s="2" t="str">
        <f>'PFAS Properties'!$D$28</f>
        <v>C2HF3O2</v>
      </c>
      <c r="K92" s="25">
        <f>'PFAS Properties'!$P$28</f>
        <v>113.9928</v>
      </c>
      <c r="L92" s="2">
        <f>'PFAS Properties'!$X$28</f>
        <v>-0.2</v>
      </c>
      <c r="M92" s="2" t="str">
        <f>'PFAS Properties'!$Y$28</f>
        <v>-</v>
      </c>
      <c r="N92" s="33">
        <v>0</v>
      </c>
      <c r="O92" s="33">
        <v>0</v>
      </c>
      <c r="P92" s="33">
        <v>0</v>
      </c>
      <c r="Q92" s="33">
        <f t="shared" si="39"/>
        <v>0.99998451207369043</v>
      </c>
      <c r="R92" s="33">
        <v>0</v>
      </c>
      <c r="S92" s="33">
        <f t="shared" si="40"/>
        <v>1.5487926309548176E-5</v>
      </c>
      <c r="T92" s="8">
        <f t="shared" si="42"/>
        <v>1</v>
      </c>
      <c r="U92" s="33">
        <f t="shared" si="25"/>
        <v>0</v>
      </c>
      <c r="V92" s="33">
        <f t="shared" si="26"/>
        <v>-0.99998451207369043</v>
      </c>
      <c r="W92" s="33">
        <f t="shared" si="27"/>
        <v>112.99281548792631</v>
      </c>
      <c r="X92" s="33">
        <v>96485</v>
      </c>
      <c r="Y92" s="16">
        <f t="shared" si="28"/>
        <v>-853.89062331790137</v>
      </c>
      <c r="Z92" s="2">
        <v>2</v>
      </c>
      <c r="AA92" s="2">
        <v>3</v>
      </c>
      <c r="AB92" s="8">
        <f t="shared" si="29"/>
        <v>0.42105263157894735</v>
      </c>
      <c r="AC92" s="16">
        <f t="shared" si="30"/>
        <v>50.00315809419542</v>
      </c>
      <c r="AD92" s="20">
        <v>1</v>
      </c>
      <c r="AE92" s="8">
        <f>'PFAS Properties'!$S$28</f>
        <v>7.9887818434536406</v>
      </c>
      <c r="AF92" s="8">
        <f>'PFAS Properties'!$V$28</f>
        <v>0.9</v>
      </c>
      <c r="AG92" s="24">
        <v>4.6100000000000003</v>
      </c>
      <c r="AH92" s="2" t="s">
        <v>655</v>
      </c>
      <c r="AI92" s="2" t="s">
        <v>661</v>
      </c>
      <c r="AJ92" s="2" t="s">
        <v>661</v>
      </c>
      <c r="AK92" s="2" t="s">
        <v>661</v>
      </c>
      <c r="AL92" s="2" t="s">
        <v>661</v>
      </c>
      <c r="AM92" s="2" t="s">
        <v>661</v>
      </c>
      <c r="AN92" s="2" t="s">
        <v>661</v>
      </c>
      <c r="AO92" s="2" t="s">
        <v>661</v>
      </c>
      <c r="AP92" s="15">
        <v>12.1</v>
      </c>
      <c r="AQ92" s="2" t="s">
        <v>689</v>
      </c>
      <c r="AR92" s="71">
        <v>31.160260000000001</v>
      </c>
      <c r="AS92" s="71">
        <v>41.962400000000002</v>
      </c>
      <c r="AT92" s="16">
        <v>26.782399999999999</v>
      </c>
      <c r="AU92" s="70" t="s">
        <v>752</v>
      </c>
      <c r="AV92" s="16">
        <f t="shared" si="31"/>
        <v>99.905059999999992</v>
      </c>
      <c r="AW92" s="18">
        <v>15.15</v>
      </c>
      <c r="AX92" s="13">
        <f t="shared" si="43"/>
        <v>0.1515</v>
      </c>
      <c r="AY92" s="2" t="s">
        <v>658</v>
      </c>
      <c r="AZ92" s="16">
        <f>1/(0.005)</f>
        <v>200</v>
      </c>
      <c r="BA92" s="16" t="s">
        <v>55</v>
      </c>
      <c r="BB92" s="8">
        <f t="shared" si="44"/>
        <v>0.27404000000000001</v>
      </c>
      <c r="BC92" s="8">
        <f t="shared" si="45"/>
        <v>5.4808000000000003</v>
      </c>
      <c r="BD92" s="20">
        <v>0.86</v>
      </c>
      <c r="BE92" s="16">
        <f t="shared" si="32"/>
        <v>5.6765676567656769</v>
      </c>
      <c r="BF92" s="8">
        <f t="shared" si="33"/>
        <v>0.75408581840524391</v>
      </c>
      <c r="BG92" s="8">
        <f t="shared" si="34"/>
        <v>-6.5501548756432285E-2</v>
      </c>
      <c r="BH92" s="2" t="s">
        <v>678</v>
      </c>
      <c r="BI92" s="2"/>
      <c r="BJ92" s="2"/>
      <c r="BK92" s="2"/>
      <c r="BL92" s="2"/>
      <c r="BM92" s="20"/>
      <c r="BN92" s="20"/>
      <c r="BO92" s="2"/>
    </row>
    <row r="93" spans="1:69" s="14" customFormat="1" x14ac:dyDescent="0.3">
      <c r="A93" s="20">
        <v>92</v>
      </c>
      <c r="B93" s="2" t="s">
        <v>653</v>
      </c>
      <c r="C93" s="2">
        <v>1997</v>
      </c>
      <c r="D93" s="2" t="s">
        <v>203</v>
      </c>
      <c r="E93" s="41" t="s">
        <v>790</v>
      </c>
      <c r="F93" s="20" t="s">
        <v>29</v>
      </c>
      <c r="G93" s="2" t="s">
        <v>670</v>
      </c>
      <c r="H93" s="2" t="s">
        <v>654</v>
      </c>
      <c r="I93" s="2" t="s">
        <v>565</v>
      </c>
      <c r="J93" s="2" t="str">
        <f>'PFAS Properties'!$D$28</f>
        <v>C2HF3O2</v>
      </c>
      <c r="K93" s="25">
        <f>'PFAS Properties'!$P$28</f>
        <v>113.9928</v>
      </c>
      <c r="L93" s="2">
        <f>'PFAS Properties'!$X$28</f>
        <v>-0.2</v>
      </c>
      <c r="M93" s="2" t="str">
        <f>'PFAS Properties'!$Y$28</f>
        <v>-</v>
      </c>
      <c r="N93" s="33">
        <v>0</v>
      </c>
      <c r="O93" s="33">
        <v>0</v>
      </c>
      <c r="P93" s="33">
        <v>0</v>
      </c>
      <c r="Q93" s="33">
        <f t="shared" si="39"/>
        <v>0.99995635032215358</v>
      </c>
      <c r="R93" s="33">
        <v>0</v>
      </c>
      <c r="S93" s="33">
        <f t="shared" si="40"/>
        <v>4.3649677846471338E-5</v>
      </c>
      <c r="T93" s="8">
        <f t="shared" si="42"/>
        <v>1</v>
      </c>
      <c r="U93" s="33">
        <f t="shared" si="25"/>
        <v>0</v>
      </c>
      <c r="V93" s="33">
        <f t="shared" si="26"/>
        <v>-0.99995635032215358</v>
      </c>
      <c r="W93" s="33">
        <f t="shared" si="27"/>
        <v>112.99284364967785</v>
      </c>
      <c r="X93" s="33">
        <v>96485</v>
      </c>
      <c r="Y93" s="16">
        <f t="shared" si="28"/>
        <v>-853.86636307659705</v>
      </c>
      <c r="Z93" s="2">
        <v>2</v>
      </c>
      <c r="AA93" s="2">
        <v>3</v>
      </c>
      <c r="AB93" s="8">
        <f t="shared" si="29"/>
        <v>0.42105263157894735</v>
      </c>
      <c r="AC93" s="16">
        <f t="shared" si="30"/>
        <v>50.00315809419542</v>
      </c>
      <c r="AD93" s="20">
        <v>1</v>
      </c>
      <c r="AE93" s="8">
        <f>'PFAS Properties'!$S$28</f>
        <v>7.9887818434536406</v>
      </c>
      <c r="AF93" s="8">
        <f>'PFAS Properties'!$V$28</f>
        <v>0.9</v>
      </c>
      <c r="AG93" s="24">
        <v>4.16</v>
      </c>
      <c r="AH93" s="2" t="s">
        <v>655</v>
      </c>
      <c r="AI93" s="2" t="s">
        <v>661</v>
      </c>
      <c r="AJ93" s="2" t="s">
        <v>661</v>
      </c>
      <c r="AK93" s="2" t="s">
        <v>661</v>
      </c>
      <c r="AL93" s="2" t="s">
        <v>661</v>
      </c>
      <c r="AM93" s="2" t="s">
        <v>661</v>
      </c>
      <c r="AN93" s="2" t="s">
        <v>661</v>
      </c>
      <c r="AO93" s="2" t="s">
        <v>661</v>
      </c>
      <c r="AP93" s="15">
        <v>2.1</v>
      </c>
      <c r="AQ93" s="2" t="s">
        <v>689</v>
      </c>
      <c r="AR93" s="71">
        <v>48.229533331999988</v>
      </c>
      <c r="AS93" s="71">
        <v>27.424466668000001</v>
      </c>
      <c r="AT93" s="16">
        <v>24.326000000000001</v>
      </c>
      <c r="AU93" s="70" t="s">
        <v>752</v>
      </c>
      <c r="AV93" s="16">
        <f t="shared" si="31"/>
        <v>99.97999999999999</v>
      </c>
      <c r="AW93" s="18">
        <v>4.7</v>
      </c>
      <c r="AX93" s="13">
        <f t="shared" si="43"/>
        <v>4.7E-2</v>
      </c>
      <c r="AY93" s="2" t="s">
        <v>658</v>
      </c>
      <c r="AZ93" s="16">
        <f>1/(0.02)</f>
        <v>50</v>
      </c>
      <c r="BA93" s="2" t="s">
        <v>55</v>
      </c>
      <c r="BB93" s="8">
        <f t="shared" si="44"/>
        <v>0.27404000000000001</v>
      </c>
      <c r="BC93" s="8">
        <f t="shared" si="45"/>
        <v>5.4808000000000003</v>
      </c>
      <c r="BD93" s="20">
        <v>1.5</v>
      </c>
      <c r="BE93" s="16">
        <f t="shared" si="32"/>
        <v>31.914893617021278</v>
      </c>
      <c r="BF93" s="8">
        <f t="shared" si="33"/>
        <v>1.5039934011199638</v>
      </c>
      <c r="BG93" s="8">
        <f t="shared" si="34"/>
        <v>0.17609125905568124</v>
      </c>
      <c r="BH93" s="2" t="s">
        <v>678</v>
      </c>
      <c r="BI93" s="2"/>
      <c r="BJ93" s="2"/>
      <c r="BK93" s="2"/>
      <c r="BL93" s="2"/>
      <c r="BM93" s="20"/>
      <c r="BN93" s="20"/>
      <c r="BO93" s="2"/>
    </row>
    <row r="94" spans="1:69" s="14" customFormat="1" x14ac:dyDescent="0.3">
      <c r="A94" s="20">
        <v>93</v>
      </c>
      <c r="B94" s="2" t="s">
        <v>653</v>
      </c>
      <c r="C94" s="2">
        <v>1997</v>
      </c>
      <c r="D94" s="2" t="s">
        <v>203</v>
      </c>
      <c r="E94" s="41" t="s">
        <v>790</v>
      </c>
      <c r="F94" s="20" t="s">
        <v>29</v>
      </c>
      <c r="G94" s="2" t="s">
        <v>671</v>
      </c>
      <c r="H94" s="2" t="s">
        <v>654</v>
      </c>
      <c r="I94" s="2" t="s">
        <v>565</v>
      </c>
      <c r="J94" s="2" t="str">
        <f>'PFAS Properties'!$D$28</f>
        <v>C2HF3O2</v>
      </c>
      <c r="K94" s="25">
        <f>'PFAS Properties'!$P$28</f>
        <v>113.9928</v>
      </c>
      <c r="L94" s="2">
        <f>'PFAS Properties'!$X$28</f>
        <v>-0.2</v>
      </c>
      <c r="M94" s="2" t="str">
        <f>'PFAS Properties'!$Y$28</f>
        <v>-</v>
      </c>
      <c r="N94" s="33">
        <v>0</v>
      </c>
      <c r="O94" s="33">
        <v>0</v>
      </c>
      <c r="P94" s="33">
        <v>0</v>
      </c>
      <c r="Q94" s="33">
        <f t="shared" si="39"/>
        <v>0.99996019086777477</v>
      </c>
      <c r="R94" s="33">
        <v>0</v>
      </c>
      <c r="S94" s="33">
        <f t="shared" si="40"/>
        <v>3.9809132225250393E-5</v>
      </c>
      <c r="T94" s="8">
        <f t="shared" si="42"/>
        <v>1</v>
      </c>
      <c r="U94" s="33">
        <f t="shared" si="25"/>
        <v>0</v>
      </c>
      <c r="V94" s="33">
        <f t="shared" si="26"/>
        <v>-0.99996019086777477</v>
      </c>
      <c r="W94" s="33">
        <f t="shared" si="27"/>
        <v>112.99283980913224</v>
      </c>
      <c r="X94" s="33">
        <v>96485</v>
      </c>
      <c r="Y94" s="16">
        <f t="shared" si="28"/>
        <v>-853.86967155488298</v>
      </c>
      <c r="Z94" s="2">
        <v>2</v>
      </c>
      <c r="AA94" s="2">
        <v>3</v>
      </c>
      <c r="AB94" s="8">
        <f t="shared" si="29"/>
        <v>0.42105263157894735</v>
      </c>
      <c r="AC94" s="16">
        <f t="shared" si="30"/>
        <v>50.00315809419542</v>
      </c>
      <c r="AD94" s="20">
        <v>1</v>
      </c>
      <c r="AE94" s="8">
        <f>'PFAS Properties'!$S$28</f>
        <v>7.9887818434536406</v>
      </c>
      <c r="AF94" s="8">
        <f>'PFAS Properties'!$V$28</f>
        <v>0.9</v>
      </c>
      <c r="AG94" s="24">
        <v>4.2</v>
      </c>
      <c r="AH94" s="2" t="s">
        <v>655</v>
      </c>
      <c r="AI94" s="2" t="s">
        <v>661</v>
      </c>
      <c r="AJ94" s="2" t="s">
        <v>661</v>
      </c>
      <c r="AK94" s="2" t="s">
        <v>661</v>
      </c>
      <c r="AL94" s="2" t="s">
        <v>661</v>
      </c>
      <c r="AM94" s="2" t="s">
        <v>661</v>
      </c>
      <c r="AN94" s="2" t="s">
        <v>661</v>
      </c>
      <c r="AO94" s="2" t="s">
        <v>661</v>
      </c>
      <c r="AP94" s="15">
        <v>1.4</v>
      </c>
      <c r="AQ94" s="2" t="s">
        <v>689</v>
      </c>
      <c r="AR94" s="71">
        <v>53.058466663999987</v>
      </c>
      <c r="AS94" s="71">
        <v>24.137800001399999</v>
      </c>
      <c r="AT94" s="16">
        <v>23.219333336599998</v>
      </c>
      <c r="AU94" s="70" t="s">
        <v>752</v>
      </c>
      <c r="AV94" s="16">
        <f t="shared" si="31"/>
        <v>100.41560000199999</v>
      </c>
      <c r="AW94" s="18">
        <v>3.1</v>
      </c>
      <c r="AX94" s="13">
        <f t="shared" si="43"/>
        <v>3.1E-2</v>
      </c>
      <c r="AY94" s="2" t="s">
        <v>658</v>
      </c>
      <c r="AZ94" s="16">
        <f>1/(0.02)</f>
        <v>50</v>
      </c>
      <c r="BA94" s="2" t="s">
        <v>55</v>
      </c>
      <c r="BB94" s="8">
        <f t="shared" si="44"/>
        <v>0.27404000000000001</v>
      </c>
      <c r="BC94" s="8">
        <f t="shared" si="45"/>
        <v>5.4808000000000003</v>
      </c>
      <c r="BD94" s="20">
        <v>0.68</v>
      </c>
      <c r="BE94" s="16">
        <f t="shared" si="32"/>
        <v>21.935483870967744</v>
      </c>
      <c r="BF94" s="8">
        <f t="shared" si="33"/>
        <v>1.3411472188719638</v>
      </c>
      <c r="BG94" s="8">
        <f t="shared" si="34"/>
        <v>-0.16749108729376366</v>
      </c>
      <c r="BH94" s="2" t="s">
        <v>678</v>
      </c>
      <c r="BI94" s="2"/>
      <c r="BJ94" s="2"/>
      <c r="BK94" s="2"/>
      <c r="BL94" s="2"/>
      <c r="BM94" s="20"/>
      <c r="BN94" s="20"/>
      <c r="BO94" s="2"/>
    </row>
    <row r="95" spans="1:69" s="14" customFormat="1" x14ac:dyDescent="0.3">
      <c r="A95" s="20">
        <v>94</v>
      </c>
      <c r="B95" s="2" t="s">
        <v>653</v>
      </c>
      <c r="C95" s="2">
        <v>1997</v>
      </c>
      <c r="D95" s="2" t="s">
        <v>203</v>
      </c>
      <c r="E95" s="41" t="s">
        <v>790</v>
      </c>
      <c r="F95" s="20" t="s">
        <v>29</v>
      </c>
      <c r="G95" s="2" t="s">
        <v>672</v>
      </c>
      <c r="H95" s="2" t="s">
        <v>654</v>
      </c>
      <c r="I95" s="2" t="s">
        <v>565</v>
      </c>
      <c r="J95" s="2" t="str">
        <f>'PFAS Properties'!$D$28</f>
        <v>C2HF3O2</v>
      </c>
      <c r="K95" s="25">
        <f>'PFAS Properties'!$P$28</f>
        <v>113.9928</v>
      </c>
      <c r="L95" s="2">
        <f>'PFAS Properties'!$X$28</f>
        <v>-0.2</v>
      </c>
      <c r="M95" s="2" t="str">
        <f>'PFAS Properties'!$Y$28</f>
        <v>-</v>
      </c>
      <c r="N95" s="33">
        <v>0</v>
      </c>
      <c r="O95" s="33">
        <v>0</v>
      </c>
      <c r="P95" s="33">
        <v>0</v>
      </c>
      <c r="Q95" s="33">
        <f t="shared" si="39"/>
        <v>0.99995213928152571</v>
      </c>
      <c r="R95" s="33">
        <v>0</v>
      </c>
      <c r="S95" s="33">
        <f t="shared" si="40"/>
        <v>4.7860718474253574E-5</v>
      </c>
      <c r="T95" s="8">
        <f t="shared" si="42"/>
        <v>1</v>
      </c>
      <c r="U95" s="33">
        <f t="shared" si="25"/>
        <v>0</v>
      </c>
      <c r="V95" s="33">
        <f t="shared" si="26"/>
        <v>-0.99995213928152571</v>
      </c>
      <c r="W95" s="33">
        <f t="shared" si="27"/>
        <v>112.99284786071847</v>
      </c>
      <c r="X95" s="33">
        <v>96485</v>
      </c>
      <c r="Y95" s="16">
        <f t="shared" si="28"/>
        <v>-853.86273543176208</v>
      </c>
      <c r="Z95" s="2">
        <v>2</v>
      </c>
      <c r="AA95" s="2">
        <v>3</v>
      </c>
      <c r="AB95" s="8">
        <f t="shared" si="29"/>
        <v>0.42105263157894735</v>
      </c>
      <c r="AC95" s="16">
        <f t="shared" si="30"/>
        <v>50.00315809419542</v>
      </c>
      <c r="AD95" s="20">
        <v>1</v>
      </c>
      <c r="AE95" s="8">
        <f>'PFAS Properties'!$S$28</f>
        <v>7.9887818434536406</v>
      </c>
      <c r="AF95" s="8">
        <f>'PFAS Properties'!$V$28</f>
        <v>0.9</v>
      </c>
      <c r="AG95" s="24">
        <v>4.12</v>
      </c>
      <c r="AH95" s="2" t="s">
        <v>655</v>
      </c>
      <c r="AI95" s="2" t="s">
        <v>661</v>
      </c>
      <c r="AJ95" s="2" t="s">
        <v>661</v>
      </c>
      <c r="AK95" s="2" t="s">
        <v>661</v>
      </c>
      <c r="AL95" s="2" t="s">
        <v>661</v>
      </c>
      <c r="AM95" s="2" t="s">
        <v>661</v>
      </c>
      <c r="AN95" s="2" t="s">
        <v>661</v>
      </c>
      <c r="AO95" s="2" t="s">
        <v>661</v>
      </c>
      <c r="AP95" s="15">
        <v>5.4</v>
      </c>
      <c r="AQ95" s="2" t="s">
        <v>689</v>
      </c>
      <c r="AR95" s="71">
        <v>41.206433332000003</v>
      </c>
      <c r="AS95" s="71">
        <v>34.288066667999999</v>
      </c>
      <c r="AT95" s="16">
        <v>24.420400000000001</v>
      </c>
      <c r="AU95" s="70" t="s">
        <v>752</v>
      </c>
      <c r="AV95" s="16">
        <f t="shared" si="31"/>
        <v>99.914900000000003</v>
      </c>
      <c r="AW95" s="18">
        <v>12.4</v>
      </c>
      <c r="AX95" s="13">
        <f t="shared" si="43"/>
        <v>0.124</v>
      </c>
      <c r="AY95" s="2" t="s">
        <v>658</v>
      </c>
      <c r="AZ95" s="16">
        <f>1/(0.005)</f>
        <v>200</v>
      </c>
      <c r="BA95" s="16" t="s">
        <v>55</v>
      </c>
      <c r="BB95" s="8">
        <f t="shared" si="44"/>
        <v>0.27404000000000001</v>
      </c>
      <c r="BC95" s="8">
        <f t="shared" si="45"/>
        <v>5.4808000000000003</v>
      </c>
      <c r="BD95" s="20">
        <v>1.2</v>
      </c>
      <c r="BE95" s="16">
        <f t="shared" si="32"/>
        <v>9.67741935483871</v>
      </c>
      <c r="BF95" s="8">
        <f t="shared" si="33"/>
        <v>0.98575956088538974</v>
      </c>
      <c r="BG95" s="8">
        <f t="shared" si="34"/>
        <v>7.9181246047624818E-2</v>
      </c>
      <c r="BH95" s="2" t="s">
        <v>678</v>
      </c>
      <c r="BI95" s="2"/>
      <c r="BJ95" s="2"/>
      <c r="BK95" s="2"/>
      <c r="BL95" s="2"/>
      <c r="BM95" s="20"/>
      <c r="BN95" s="20"/>
      <c r="BO95" s="2"/>
    </row>
    <row r="96" spans="1:69" x14ac:dyDescent="0.3">
      <c r="A96" s="20">
        <v>95</v>
      </c>
      <c r="B96" s="2" t="s">
        <v>653</v>
      </c>
      <c r="C96" s="2">
        <v>1997</v>
      </c>
      <c r="D96" s="2" t="s">
        <v>203</v>
      </c>
      <c r="E96" s="41" t="s">
        <v>790</v>
      </c>
      <c r="F96" s="20" t="s">
        <v>29</v>
      </c>
      <c r="G96" s="2" t="s">
        <v>673</v>
      </c>
      <c r="H96" s="2" t="s">
        <v>654</v>
      </c>
      <c r="I96" s="2" t="s">
        <v>565</v>
      </c>
      <c r="J96" s="2" t="str">
        <f>'PFAS Properties'!$D$28</f>
        <v>C2HF3O2</v>
      </c>
      <c r="K96" s="25">
        <f>'PFAS Properties'!$P$28</f>
        <v>113.9928</v>
      </c>
      <c r="L96" s="2">
        <f>'PFAS Properties'!$X$28</f>
        <v>-0.2</v>
      </c>
      <c r="M96" s="2" t="str">
        <f>'PFAS Properties'!$Y$28</f>
        <v>-</v>
      </c>
      <c r="N96" s="33">
        <v>0</v>
      </c>
      <c r="O96" s="33">
        <v>0</v>
      </c>
      <c r="P96" s="33">
        <v>0</v>
      </c>
      <c r="Q96" s="33">
        <f t="shared" si="39"/>
        <v>0.99890472275147857</v>
      </c>
      <c r="R96" s="33">
        <v>0</v>
      </c>
      <c r="S96" s="33">
        <f t="shared" si="40"/>
        <v>1.0952772485214495E-3</v>
      </c>
      <c r="T96" s="8">
        <f t="shared" si="42"/>
        <v>1</v>
      </c>
      <c r="U96" s="33">
        <f t="shared" si="25"/>
        <v>0</v>
      </c>
      <c r="V96" s="33">
        <f t="shared" si="26"/>
        <v>-0.99890472275147857</v>
      </c>
      <c r="W96" s="33">
        <f t="shared" si="27"/>
        <v>112.99389527724853</v>
      </c>
      <c r="X96" s="33">
        <v>96485</v>
      </c>
      <c r="Y96" s="16">
        <f t="shared" si="28"/>
        <v>-852.96043594385685</v>
      </c>
      <c r="Z96" s="2">
        <v>2</v>
      </c>
      <c r="AA96" s="2">
        <v>3</v>
      </c>
      <c r="AB96" s="8">
        <f t="shared" si="29"/>
        <v>0.42105263157894735</v>
      </c>
      <c r="AC96" s="16">
        <f t="shared" si="30"/>
        <v>50.00315809419542</v>
      </c>
      <c r="AD96" s="20">
        <v>1</v>
      </c>
      <c r="AE96" s="8">
        <f>'PFAS Properties'!$S$28</f>
        <v>7.9887818434536406</v>
      </c>
      <c r="AF96" s="8">
        <f>'PFAS Properties'!$V$28</f>
        <v>0.9</v>
      </c>
      <c r="AG96" s="26">
        <v>2.76</v>
      </c>
      <c r="AH96" s="2" t="s">
        <v>655</v>
      </c>
      <c r="AI96" s="2" t="s">
        <v>661</v>
      </c>
      <c r="AJ96" s="2" t="s">
        <v>661</v>
      </c>
      <c r="AK96" s="2" t="s">
        <v>661</v>
      </c>
      <c r="AL96" s="2" t="s">
        <v>661</v>
      </c>
      <c r="AM96" s="2" t="s">
        <v>661</v>
      </c>
      <c r="AN96" s="2" t="s">
        <v>661</v>
      </c>
      <c r="AO96" s="2" t="s">
        <v>661</v>
      </c>
      <c r="AP96" s="73">
        <v>20.6</v>
      </c>
      <c r="AQ96" s="4" t="s">
        <v>689</v>
      </c>
      <c r="AR96" s="71">
        <v>26.27664</v>
      </c>
      <c r="AS96" s="71">
        <v>41.3538</v>
      </c>
      <c r="AT96" s="16">
        <v>32.242899999999999</v>
      </c>
      <c r="AU96" s="70" t="s">
        <v>752</v>
      </c>
      <c r="AV96" s="16">
        <f t="shared" si="31"/>
        <v>99.873339999999985</v>
      </c>
      <c r="AW96" s="18">
        <v>19.25</v>
      </c>
      <c r="AX96" s="13">
        <f t="shared" si="43"/>
        <v>0.1925</v>
      </c>
      <c r="AY96" s="1" t="s">
        <v>658</v>
      </c>
      <c r="AZ96" s="16">
        <f>1/(0.005)</f>
        <v>200</v>
      </c>
      <c r="BA96" s="16" t="s">
        <v>55</v>
      </c>
      <c r="BB96" s="8">
        <f t="shared" si="44"/>
        <v>0.27404000000000001</v>
      </c>
      <c r="BC96" s="8">
        <f t="shared" si="45"/>
        <v>5.4808000000000003</v>
      </c>
      <c r="BD96" s="7">
        <v>0.71</v>
      </c>
      <c r="BE96" s="16">
        <f t="shared" si="32"/>
        <v>3.6883116883116882</v>
      </c>
      <c r="BF96" s="8">
        <f t="shared" si="33"/>
        <v>0.5668276148745558</v>
      </c>
      <c r="BG96" s="8">
        <f t="shared" si="34"/>
        <v>-0.14874165128092473</v>
      </c>
      <c r="BH96" s="2" t="s">
        <v>678</v>
      </c>
      <c r="BI96" s="1"/>
      <c r="BJ96" s="2"/>
      <c r="BK96" s="1"/>
      <c r="BL96" s="1"/>
      <c r="BM96" s="7"/>
      <c r="BN96" s="7"/>
      <c r="BO96" s="1"/>
      <c r="BP96" s="11"/>
      <c r="BQ96" s="11"/>
    </row>
    <row r="97" spans="1:69" x14ac:dyDescent="0.3">
      <c r="A97" s="20">
        <v>96</v>
      </c>
      <c r="B97" s="2" t="s">
        <v>653</v>
      </c>
      <c r="C97" s="2">
        <v>1997</v>
      </c>
      <c r="D97" s="2" t="s">
        <v>203</v>
      </c>
      <c r="E97" s="41" t="s">
        <v>790</v>
      </c>
      <c r="F97" s="20" t="s">
        <v>29</v>
      </c>
      <c r="G97" s="2" t="s">
        <v>674</v>
      </c>
      <c r="H97" s="2" t="s">
        <v>654</v>
      </c>
      <c r="I97" s="2" t="s">
        <v>565</v>
      </c>
      <c r="J97" s="2" t="str">
        <f>'PFAS Properties'!$D$28</f>
        <v>C2HF3O2</v>
      </c>
      <c r="K97" s="25">
        <f>'PFAS Properties'!$P$28</f>
        <v>113.9928</v>
      </c>
      <c r="L97" s="2">
        <f>'PFAS Properties'!$X$28</f>
        <v>-0.2</v>
      </c>
      <c r="M97" s="2" t="str">
        <f>'PFAS Properties'!$Y$28</f>
        <v>-</v>
      </c>
      <c r="N97" s="33">
        <v>0</v>
      </c>
      <c r="O97" s="33">
        <v>0</v>
      </c>
      <c r="P97" s="33">
        <v>0</v>
      </c>
      <c r="Q97" s="33">
        <f t="shared" si="39"/>
        <v>0.99951046094649121</v>
      </c>
      <c r="R97" s="33">
        <v>0</v>
      </c>
      <c r="S97" s="33">
        <f t="shared" si="40"/>
        <v>4.8953905350878333E-4</v>
      </c>
      <c r="T97" s="8">
        <f t="shared" si="42"/>
        <v>1</v>
      </c>
      <c r="U97" s="33">
        <f t="shared" si="25"/>
        <v>0</v>
      </c>
      <c r="V97" s="33">
        <f t="shared" si="26"/>
        <v>-0.99951046094649121</v>
      </c>
      <c r="W97" s="33">
        <f t="shared" si="27"/>
        <v>112.99328953905352</v>
      </c>
      <c r="X97" s="33">
        <v>96485</v>
      </c>
      <c r="Y97" s="16">
        <f t="shared" si="28"/>
        <v>-853.4822485284908</v>
      </c>
      <c r="Z97" s="2">
        <v>2</v>
      </c>
      <c r="AA97" s="2">
        <v>3</v>
      </c>
      <c r="AB97" s="8">
        <f t="shared" si="29"/>
        <v>0.42105263157894735</v>
      </c>
      <c r="AC97" s="16">
        <f t="shared" si="30"/>
        <v>50.00315809419542</v>
      </c>
      <c r="AD97" s="20">
        <v>1</v>
      </c>
      <c r="AE97" s="8">
        <f>'PFAS Properties'!$S$28</f>
        <v>7.9887818434536406</v>
      </c>
      <c r="AF97" s="8">
        <f>'PFAS Properties'!$V$28</f>
        <v>0.9</v>
      </c>
      <c r="AG97" s="26">
        <v>3.11</v>
      </c>
      <c r="AH97" s="2" t="s">
        <v>655</v>
      </c>
      <c r="AI97" s="2" t="s">
        <v>661</v>
      </c>
      <c r="AJ97" s="2" t="s">
        <v>661</v>
      </c>
      <c r="AK97" s="2" t="s">
        <v>661</v>
      </c>
      <c r="AL97" s="2" t="s">
        <v>661</v>
      </c>
      <c r="AM97" s="2" t="s">
        <v>661</v>
      </c>
      <c r="AN97" s="2" t="s">
        <v>661</v>
      </c>
      <c r="AO97" s="2" t="s">
        <v>661</v>
      </c>
      <c r="AP97" s="73">
        <v>4</v>
      </c>
      <c r="AQ97" s="4" t="s">
        <v>689</v>
      </c>
      <c r="AR97" s="71">
        <v>39.787999999999997</v>
      </c>
      <c r="AS97" s="71">
        <v>32.98762</v>
      </c>
      <c r="AT97" s="16">
        <v>27.945879999999999</v>
      </c>
      <c r="AU97" s="70" t="s">
        <v>752</v>
      </c>
      <c r="AV97" s="16">
        <f t="shared" si="31"/>
        <v>100.72150000000001</v>
      </c>
      <c r="AW97" s="18">
        <v>1.45</v>
      </c>
      <c r="AX97" s="13">
        <f t="shared" si="43"/>
        <v>1.4499999999999999E-2</v>
      </c>
      <c r="AY97" s="1" t="s">
        <v>658</v>
      </c>
      <c r="AZ97" s="16">
        <f>1/(0.02)</f>
        <v>50</v>
      </c>
      <c r="BA97" s="2" t="s">
        <v>55</v>
      </c>
      <c r="BB97" s="8">
        <f t="shared" si="44"/>
        <v>0.27404000000000001</v>
      </c>
      <c r="BC97" s="8">
        <f t="shared" si="45"/>
        <v>5.4808000000000003</v>
      </c>
      <c r="BD97" s="27">
        <v>0.3</v>
      </c>
      <c r="BE97" s="16">
        <f t="shared" si="32"/>
        <v>20.689655172413794</v>
      </c>
      <c r="BF97" s="8">
        <f t="shared" si="33"/>
        <v>1.3157532524846876</v>
      </c>
      <c r="BG97" s="8">
        <f t="shared" si="34"/>
        <v>-0.52287874528033762</v>
      </c>
      <c r="BH97" s="2" t="s">
        <v>678</v>
      </c>
      <c r="BI97" s="1"/>
      <c r="BJ97" s="2"/>
      <c r="BK97" s="1"/>
      <c r="BL97" s="1"/>
      <c r="BM97" s="7"/>
      <c r="BN97" s="7"/>
      <c r="BO97" s="1"/>
      <c r="BP97" s="11"/>
      <c r="BQ97" s="11"/>
    </row>
    <row r="98" spans="1:69" x14ac:dyDescent="0.3">
      <c r="A98" s="20">
        <v>97</v>
      </c>
      <c r="B98" s="2" t="s">
        <v>653</v>
      </c>
      <c r="C98" s="2">
        <v>1997</v>
      </c>
      <c r="D98" s="2" t="s">
        <v>203</v>
      </c>
      <c r="E98" s="41" t="s">
        <v>790</v>
      </c>
      <c r="F98" s="20" t="s">
        <v>29</v>
      </c>
      <c r="G98" s="2" t="s">
        <v>675</v>
      </c>
      <c r="H98" s="2" t="s">
        <v>654</v>
      </c>
      <c r="I98" s="2" t="s">
        <v>565</v>
      </c>
      <c r="J98" s="2" t="str">
        <f>'PFAS Properties'!$D$28</f>
        <v>C2HF3O2</v>
      </c>
      <c r="K98" s="25">
        <f>'PFAS Properties'!$P$28</f>
        <v>113.9928</v>
      </c>
      <c r="L98" s="2">
        <f>'PFAS Properties'!$X$28</f>
        <v>-0.2</v>
      </c>
      <c r="M98" s="2" t="str">
        <f>'PFAS Properties'!$Y$28</f>
        <v>-</v>
      </c>
      <c r="N98" s="33">
        <v>0</v>
      </c>
      <c r="O98" s="33">
        <v>0</v>
      </c>
      <c r="P98" s="33">
        <v>0</v>
      </c>
      <c r="Q98" s="33">
        <f t="shared" si="39"/>
        <v>0.99971168000208299</v>
      </c>
      <c r="R98" s="33">
        <v>0</v>
      </c>
      <c r="S98" s="33">
        <f t="shared" si="40"/>
        <v>2.883199979169627E-4</v>
      </c>
      <c r="T98" s="8">
        <f t="shared" si="42"/>
        <v>1</v>
      </c>
      <c r="U98" s="33">
        <f t="shared" si="25"/>
        <v>0</v>
      </c>
      <c r="V98" s="33">
        <f t="shared" si="26"/>
        <v>-0.99971168000208299</v>
      </c>
      <c r="W98" s="33">
        <f t="shared" si="27"/>
        <v>112.99308831999791</v>
      </c>
      <c r="X98" s="33">
        <v>96485</v>
      </c>
      <c r="Y98" s="16">
        <f t="shared" si="28"/>
        <v>-853.65558972804581</v>
      </c>
      <c r="Z98" s="2">
        <v>2</v>
      </c>
      <c r="AA98" s="2">
        <v>3</v>
      </c>
      <c r="AB98" s="8">
        <f t="shared" si="29"/>
        <v>0.42105263157894735</v>
      </c>
      <c r="AC98" s="16">
        <f t="shared" si="30"/>
        <v>50.00315809419542</v>
      </c>
      <c r="AD98" s="20">
        <v>1</v>
      </c>
      <c r="AE98" s="8">
        <f>'PFAS Properties'!$S$28</f>
        <v>7.9887818434536406</v>
      </c>
      <c r="AF98" s="8">
        <f>'PFAS Properties'!$V$28</f>
        <v>0.9</v>
      </c>
      <c r="AG98" s="26">
        <v>3.34</v>
      </c>
      <c r="AH98" s="2" t="s">
        <v>655</v>
      </c>
      <c r="AI98" s="2" t="s">
        <v>661</v>
      </c>
      <c r="AJ98" s="2" t="s">
        <v>661</v>
      </c>
      <c r="AK98" s="2" t="s">
        <v>661</v>
      </c>
      <c r="AL98" s="2" t="s">
        <v>661</v>
      </c>
      <c r="AM98" s="2" t="s">
        <v>661</v>
      </c>
      <c r="AN98" s="2" t="s">
        <v>661</v>
      </c>
      <c r="AO98" s="2" t="s">
        <v>661</v>
      </c>
      <c r="AP98" s="73">
        <v>11.6</v>
      </c>
      <c r="AQ98" s="4" t="s">
        <v>689</v>
      </c>
      <c r="AR98" s="71">
        <v>26.444199999999999</v>
      </c>
      <c r="AS98" s="71">
        <v>44.642479999999999</v>
      </c>
      <c r="AT98" s="16">
        <v>29.08042</v>
      </c>
      <c r="AU98" s="70" t="s">
        <v>752</v>
      </c>
      <c r="AV98" s="16">
        <f t="shared" si="31"/>
        <v>100.1671</v>
      </c>
      <c r="AW98" s="18">
        <v>3.95</v>
      </c>
      <c r="AX98" s="13">
        <f t="shared" si="43"/>
        <v>3.95E-2</v>
      </c>
      <c r="AY98" s="1" t="s">
        <v>658</v>
      </c>
      <c r="AZ98" s="16">
        <f>1/(0.02)</f>
        <v>50</v>
      </c>
      <c r="BA98" s="2" t="s">
        <v>55</v>
      </c>
      <c r="BB98" s="8">
        <f t="shared" si="44"/>
        <v>0.27404000000000001</v>
      </c>
      <c r="BC98" s="8">
        <f t="shared" si="45"/>
        <v>5.4808000000000003</v>
      </c>
      <c r="BD98" s="7">
        <v>0.54</v>
      </c>
      <c r="BE98" s="16">
        <f t="shared" si="32"/>
        <v>13.670886075949367</v>
      </c>
      <c r="BF98" s="8">
        <f t="shared" si="33"/>
        <v>1.1357966641965083</v>
      </c>
      <c r="BG98" s="8">
        <f t="shared" si="34"/>
        <v>-0.26760624017703144</v>
      </c>
      <c r="BH98" s="2" t="s">
        <v>678</v>
      </c>
      <c r="BI98" s="1"/>
      <c r="BJ98" s="2"/>
      <c r="BK98" s="1"/>
      <c r="BL98" s="1"/>
      <c r="BM98" s="7"/>
      <c r="BN98" s="7"/>
      <c r="BO98" s="1"/>
      <c r="BP98" s="11"/>
      <c r="BQ98" s="11"/>
    </row>
    <row r="99" spans="1:69" x14ac:dyDescent="0.3">
      <c r="A99" s="20">
        <v>98</v>
      </c>
      <c r="B99" s="2" t="s">
        <v>653</v>
      </c>
      <c r="C99" s="2">
        <v>1997</v>
      </c>
      <c r="D99" s="2" t="s">
        <v>203</v>
      </c>
      <c r="E99" s="41" t="s">
        <v>790</v>
      </c>
      <c r="F99" s="20" t="s">
        <v>29</v>
      </c>
      <c r="G99" s="2" t="s">
        <v>676</v>
      </c>
      <c r="H99" s="2" t="s">
        <v>654</v>
      </c>
      <c r="I99" s="2" t="s">
        <v>565</v>
      </c>
      <c r="J99" s="2" t="str">
        <f>'PFAS Properties'!$D$28</f>
        <v>C2HF3O2</v>
      </c>
      <c r="K99" s="25">
        <f>'PFAS Properties'!$P$28</f>
        <v>113.9928</v>
      </c>
      <c r="L99" s="2">
        <f>'PFAS Properties'!$X$28</f>
        <v>-0.2</v>
      </c>
      <c r="M99" s="2" t="str">
        <f>'PFAS Properties'!$Y$28</f>
        <v>-</v>
      </c>
      <c r="N99" s="33">
        <v>0</v>
      </c>
      <c r="O99" s="33">
        <v>0</v>
      </c>
      <c r="P99" s="33">
        <v>0</v>
      </c>
      <c r="Q99" s="33">
        <f t="shared" si="39"/>
        <v>0.99990228582689711</v>
      </c>
      <c r="R99" s="33">
        <v>0</v>
      </c>
      <c r="S99" s="33">
        <f t="shared" si="40"/>
        <v>9.7714173102883895E-5</v>
      </c>
      <c r="T99" s="8">
        <f t="shared" si="42"/>
        <v>1</v>
      </c>
      <c r="U99" s="33">
        <f t="shared" si="25"/>
        <v>0</v>
      </c>
      <c r="V99" s="33">
        <f t="shared" si="26"/>
        <v>-0.99990228582689711</v>
      </c>
      <c r="W99" s="33">
        <f t="shared" si="27"/>
        <v>112.9928977141731</v>
      </c>
      <c r="X99" s="33">
        <v>96485</v>
      </c>
      <c r="Y99" s="16">
        <f t="shared" si="28"/>
        <v>-853.81978867426551</v>
      </c>
      <c r="Z99" s="2">
        <v>2</v>
      </c>
      <c r="AA99" s="2">
        <v>3</v>
      </c>
      <c r="AB99" s="8">
        <f t="shared" si="29"/>
        <v>0.42105263157894735</v>
      </c>
      <c r="AC99" s="16">
        <f t="shared" si="30"/>
        <v>50.00315809419542</v>
      </c>
      <c r="AD99" s="20">
        <v>1</v>
      </c>
      <c r="AE99" s="8">
        <f>'PFAS Properties'!$S$28</f>
        <v>7.9887818434536406</v>
      </c>
      <c r="AF99" s="8">
        <f>'PFAS Properties'!$V$28</f>
        <v>0.9</v>
      </c>
      <c r="AG99" s="26">
        <v>3.81</v>
      </c>
      <c r="AH99" s="2" t="s">
        <v>655</v>
      </c>
      <c r="AI99" s="2" t="s">
        <v>661</v>
      </c>
      <c r="AJ99" s="2" t="s">
        <v>661</v>
      </c>
      <c r="AK99" s="2" t="s">
        <v>661</v>
      </c>
      <c r="AL99" s="2" t="s">
        <v>661</v>
      </c>
      <c r="AM99" s="2" t="s">
        <v>661</v>
      </c>
      <c r="AN99" s="2" t="s">
        <v>661</v>
      </c>
      <c r="AO99" s="2" t="s">
        <v>661</v>
      </c>
      <c r="AP99" s="73">
        <v>7.3</v>
      </c>
      <c r="AQ99" s="4" t="s">
        <v>689</v>
      </c>
      <c r="AR99" s="71">
        <v>33.674500000000002</v>
      </c>
      <c r="AS99" s="71">
        <v>39.165199999999999</v>
      </c>
      <c r="AT99" s="16">
        <v>27.11468</v>
      </c>
      <c r="AU99" s="70" t="s">
        <v>752</v>
      </c>
      <c r="AV99" s="16">
        <f t="shared" si="31"/>
        <v>99.954379999999986</v>
      </c>
      <c r="AW99" s="18">
        <v>3.55</v>
      </c>
      <c r="AX99" s="13">
        <f t="shared" si="43"/>
        <v>3.5499999999999997E-2</v>
      </c>
      <c r="AY99" s="1" t="s">
        <v>658</v>
      </c>
      <c r="AZ99" s="16">
        <f>1/(0.02)</f>
        <v>50</v>
      </c>
      <c r="BA99" s="2" t="s">
        <v>55</v>
      </c>
      <c r="BB99" s="8">
        <f t="shared" si="44"/>
        <v>0.27404000000000001</v>
      </c>
      <c r="BC99" s="8">
        <f t="shared" si="45"/>
        <v>5.4808000000000003</v>
      </c>
      <c r="BD99" s="7">
        <v>0.53</v>
      </c>
      <c r="BE99" s="16">
        <f t="shared" si="32"/>
        <v>14.929577464788734</v>
      </c>
      <c r="BF99" s="8">
        <f t="shared" si="33"/>
        <v>1.1740475165456949</v>
      </c>
      <c r="BG99" s="8">
        <f t="shared" si="34"/>
        <v>-0.27572413039921095</v>
      </c>
      <c r="BH99" s="2" t="s">
        <v>678</v>
      </c>
      <c r="BI99" s="1"/>
      <c r="BJ99" s="2"/>
      <c r="BK99" s="1"/>
      <c r="BL99" s="1"/>
      <c r="BM99" s="7"/>
      <c r="BN99" s="7"/>
      <c r="BO99" s="1"/>
      <c r="BP99" s="11"/>
      <c r="BQ99" s="11"/>
    </row>
    <row r="100" spans="1:69" x14ac:dyDescent="0.3">
      <c r="A100" s="20">
        <v>99</v>
      </c>
      <c r="B100" s="2" t="s">
        <v>653</v>
      </c>
      <c r="C100" s="2">
        <v>1997</v>
      </c>
      <c r="D100" s="2" t="s">
        <v>203</v>
      </c>
      <c r="E100" s="41" t="s">
        <v>790</v>
      </c>
      <c r="F100" s="20" t="s">
        <v>29</v>
      </c>
      <c r="G100" s="2" t="s">
        <v>677</v>
      </c>
      <c r="H100" s="2" t="s">
        <v>654</v>
      </c>
      <c r="I100" s="2" t="s">
        <v>565</v>
      </c>
      <c r="J100" s="2" t="str">
        <f>'PFAS Properties'!$D$28</f>
        <v>C2HF3O2</v>
      </c>
      <c r="K100" s="25">
        <f>'PFAS Properties'!$P$28</f>
        <v>113.9928</v>
      </c>
      <c r="L100" s="2">
        <f>'PFAS Properties'!$X$28</f>
        <v>-0.2</v>
      </c>
      <c r="M100" s="2" t="str">
        <f>'PFAS Properties'!$Y$28</f>
        <v>-</v>
      </c>
      <c r="N100" s="33">
        <v>0</v>
      </c>
      <c r="O100" s="33">
        <v>0</v>
      </c>
      <c r="P100" s="33">
        <v>0</v>
      </c>
      <c r="Q100" s="33">
        <f t="shared" si="39"/>
        <v>0.99994376902958082</v>
      </c>
      <c r="R100" s="33">
        <v>0</v>
      </c>
      <c r="S100" s="33">
        <f t="shared" si="40"/>
        <v>5.6230970419192664E-5</v>
      </c>
      <c r="T100" s="8">
        <f t="shared" si="42"/>
        <v>1</v>
      </c>
      <c r="U100" s="33">
        <f t="shared" si="25"/>
        <v>0</v>
      </c>
      <c r="V100" s="33">
        <f t="shared" si="26"/>
        <v>-0.99994376902958082</v>
      </c>
      <c r="W100" s="33">
        <f t="shared" si="27"/>
        <v>112.99285623097042</v>
      </c>
      <c r="X100" s="33">
        <v>96485</v>
      </c>
      <c r="Y100" s="16">
        <f t="shared" si="28"/>
        <v>-853.85552479179512</v>
      </c>
      <c r="Z100" s="2">
        <v>2</v>
      </c>
      <c r="AA100" s="2">
        <v>3</v>
      </c>
      <c r="AB100" s="8">
        <f t="shared" si="29"/>
        <v>0.42105263157894735</v>
      </c>
      <c r="AC100" s="16">
        <f t="shared" si="30"/>
        <v>50.00315809419542</v>
      </c>
      <c r="AD100" s="20">
        <v>1</v>
      </c>
      <c r="AE100" s="8">
        <f>'PFAS Properties'!$S$28</f>
        <v>7.9887818434536406</v>
      </c>
      <c r="AF100" s="8">
        <f>'PFAS Properties'!$V$28</f>
        <v>0.9</v>
      </c>
      <c r="AG100" s="26">
        <v>4.05</v>
      </c>
      <c r="AH100" s="2" t="s">
        <v>655</v>
      </c>
      <c r="AI100" s="2" t="s">
        <v>661</v>
      </c>
      <c r="AJ100" s="2" t="s">
        <v>661</v>
      </c>
      <c r="AK100" s="2" t="s">
        <v>661</v>
      </c>
      <c r="AL100" s="2" t="s">
        <v>661</v>
      </c>
      <c r="AM100" s="2" t="s">
        <v>661</v>
      </c>
      <c r="AN100" s="2" t="s">
        <v>661</v>
      </c>
      <c r="AO100" s="2" t="s">
        <v>661</v>
      </c>
      <c r="AP100" s="73">
        <v>3.7</v>
      </c>
      <c r="AQ100" s="4" t="s">
        <v>689</v>
      </c>
      <c r="AR100" s="71">
        <v>40.789533331999998</v>
      </c>
      <c r="AS100" s="71">
        <v>32.565086667999999</v>
      </c>
      <c r="AT100" s="16">
        <v>27.02148</v>
      </c>
      <c r="AU100" s="70" t="s">
        <v>752</v>
      </c>
      <c r="AV100" s="16">
        <f t="shared" si="31"/>
        <v>100.37609999999999</v>
      </c>
      <c r="AW100" s="18">
        <v>2</v>
      </c>
      <c r="AX100" s="13">
        <f t="shared" si="43"/>
        <v>0.02</v>
      </c>
      <c r="AY100" s="1" t="s">
        <v>658</v>
      </c>
      <c r="AZ100" s="16">
        <f>1/(0.02)</f>
        <v>50</v>
      </c>
      <c r="BA100" s="2" t="s">
        <v>55</v>
      </c>
      <c r="BB100" s="8">
        <f t="shared" si="44"/>
        <v>0.27404000000000001</v>
      </c>
      <c r="BC100" s="8">
        <f t="shared" si="45"/>
        <v>5.4808000000000003</v>
      </c>
      <c r="BD100" s="27">
        <v>0.6</v>
      </c>
      <c r="BE100" s="16">
        <f t="shared" si="32"/>
        <v>30</v>
      </c>
      <c r="BF100" s="8">
        <f t="shared" si="33"/>
        <v>1.4771212547196624</v>
      </c>
      <c r="BG100" s="8">
        <f t="shared" si="34"/>
        <v>-0.22184874961635639</v>
      </c>
      <c r="BH100" s="2" t="s">
        <v>678</v>
      </c>
      <c r="BI100" s="1"/>
      <c r="BJ100" s="2"/>
      <c r="BK100" s="1"/>
      <c r="BL100" s="1"/>
      <c r="BM100" s="7"/>
      <c r="BN100" s="7"/>
      <c r="BO100" s="1"/>
      <c r="BP100" s="11"/>
      <c r="BQ100" s="11"/>
    </row>
    <row r="101" spans="1:69" x14ac:dyDescent="0.3">
      <c r="A101" s="20">
        <v>100</v>
      </c>
      <c r="B101" s="2" t="s">
        <v>653</v>
      </c>
      <c r="C101" s="2">
        <v>1997</v>
      </c>
      <c r="D101" s="2" t="s">
        <v>203</v>
      </c>
      <c r="E101" s="41" t="s">
        <v>790</v>
      </c>
      <c r="F101" s="20" t="s">
        <v>29</v>
      </c>
      <c r="G101" s="2" t="s">
        <v>679</v>
      </c>
      <c r="H101" s="2" t="s">
        <v>654</v>
      </c>
      <c r="I101" s="2" t="s">
        <v>565</v>
      </c>
      <c r="J101" s="2" t="str">
        <f>'PFAS Properties'!$D$28</f>
        <v>C2HF3O2</v>
      </c>
      <c r="K101" s="25">
        <f>'PFAS Properties'!$P$28</f>
        <v>113.9928</v>
      </c>
      <c r="L101" s="2">
        <f>'PFAS Properties'!$X$28</f>
        <v>-0.2</v>
      </c>
      <c r="M101" s="2" t="str">
        <f>'PFAS Properties'!$Y$28</f>
        <v>-</v>
      </c>
      <c r="N101" s="33">
        <v>0</v>
      </c>
      <c r="O101" s="33">
        <v>0</v>
      </c>
      <c r="P101" s="33">
        <v>0</v>
      </c>
      <c r="Q101" s="33">
        <f t="shared" si="39"/>
        <v>0.99942489100334786</v>
      </c>
      <c r="R101" s="33">
        <v>0</v>
      </c>
      <c r="S101" s="33">
        <f t="shared" si="40"/>
        <v>5.7510899665216082E-4</v>
      </c>
      <c r="T101" s="8">
        <f t="shared" si="42"/>
        <v>1</v>
      </c>
      <c r="U101" s="33">
        <f t="shared" si="25"/>
        <v>0</v>
      </c>
      <c r="V101" s="33">
        <f t="shared" si="26"/>
        <v>-0.99942489100334786</v>
      </c>
      <c r="W101" s="33">
        <f t="shared" si="27"/>
        <v>112.99337510899666</v>
      </c>
      <c r="X101" s="33">
        <v>96485</v>
      </c>
      <c r="Y101" s="16">
        <f t="shared" si="28"/>
        <v>-853.40853404404766</v>
      </c>
      <c r="Z101" s="2">
        <v>2</v>
      </c>
      <c r="AA101" s="2">
        <v>3</v>
      </c>
      <c r="AB101" s="8">
        <f t="shared" si="29"/>
        <v>0.42105263157894735</v>
      </c>
      <c r="AC101" s="16">
        <f t="shared" si="30"/>
        <v>50.00315809419542</v>
      </c>
      <c r="AD101" s="20">
        <v>1</v>
      </c>
      <c r="AE101" s="8">
        <f>'PFAS Properties'!$S$28</f>
        <v>7.9887818434536406</v>
      </c>
      <c r="AF101" s="8">
        <f>'PFAS Properties'!$V$28</f>
        <v>0.9</v>
      </c>
      <c r="AG101" s="26">
        <v>3.04</v>
      </c>
      <c r="AH101" s="2" t="s">
        <v>655</v>
      </c>
      <c r="AI101" s="2" t="s">
        <v>661</v>
      </c>
      <c r="AJ101" s="2" t="s">
        <v>661</v>
      </c>
      <c r="AK101" s="2" t="s">
        <v>661</v>
      </c>
      <c r="AL101" s="2" t="s">
        <v>661</v>
      </c>
      <c r="AM101" s="2" t="s">
        <v>661</v>
      </c>
      <c r="AN101" s="2" t="s">
        <v>661</v>
      </c>
      <c r="AO101" s="2" t="s">
        <v>661</v>
      </c>
      <c r="AP101" s="73">
        <v>17.2</v>
      </c>
      <c r="AQ101" s="4" t="s">
        <v>689</v>
      </c>
      <c r="AR101" s="71">
        <v>31.082180000000001</v>
      </c>
      <c r="AS101" s="71">
        <v>42.079700000000003</v>
      </c>
      <c r="AT101" s="16">
        <v>26.428380000000001</v>
      </c>
      <c r="AU101" s="70" t="s">
        <v>752</v>
      </c>
      <c r="AV101" s="16">
        <f t="shared" si="31"/>
        <v>99.590260000000001</v>
      </c>
      <c r="AW101" s="18">
        <v>39.75</v>
      </c>
      <c r="AX101" s="13">
        <f t="shared" si="43"/>
        <v>0.39750000000000002</v>
      </c>
      <c r="AY101" s="1" t="s">
        <v>658</v>
      </c>
      <c r="AZ101" s="16">
        <f>1/(0.005)</f>
        <v>200</v>
      </c>
      <c r="BA101" s="16" t="s">
        <v>55</v>
      </c>
      <c r="BB101" s="8">
        <f t="shared" si="44"/>
        <v>0.27404000000000001</v>
      </c>
      <c r="BC101" s="8">
        <f t="shared" si="45"/>
        <v>5.4808000000000003</v>
      </c>
      <c r="BD101" s="7">
        <v>3.9</v>
      </c>
      <c r="BE101" s="16">
        <f t="shared" si="32"/>
        <v>9.8113207547169807</v>
      </c>
      <c r="BF101" s="8">
        <f t="shared" si="33"/>
        <v>0.99172747403401007</v>
      </c>
      <c r="BG101" s="8">
        <f t="shared" si="34"/>
        <v>0.59106460702649921</v>
      </c>
      <c r="BH101" s="2" t="s">
        <v>678</v>
      </c>
      <c r="BI101" s="1"/>
      <c r="BJ101" s="2"/>
      <c r="BK101" s="1"/>
      <c r="BL101" s="1"/>
      <c r="BM101" s="7"/>
      <c r="BN101" s="7"/>
      <c r="BO101" s="1"/>
      <c r="BP101" s="11"/>
      <c r="BQ101" s="11"/>
    </row>
    <row r="102" spans="1:69" x14ac:dyDescent="0.3">
      <c r="A102" s="20">
        <v>101</v>
      </c>
      <c r="B102" s="2" t="s">
        <v>653</v>
      </c>
      <c r="C102" s="2">
        <v>1997</v>
      </c>
      <c r="D102" s="2" t="s">
        <v>203</v>
      </c>
      <c r="E102" s="41" t="s">
        <v>790</v>
      </c>
      <c r="F102" s="20" t="s">
        <v>29</v>
      </c>
      <c r="G102" s="2" t="s">
        <v>680</v>
      </c>
      <c r="H102" s="2" t="s">
        <v>654</v>
      </c>
      <c r="I102" s="2" t="s">
        <v>565</v>
      </c>
      <c r="J102" s="2" t="str">
        <f>'PFAS Properties'!$D$28</f>
        <v>C2HF3O2</v>
      </c>
      <c r="K102" s="25">
        <f>'PFAS Properties'!$P$28</f>
        <v>113.9928</v>
      </c>
      <c r="L102" s="2">
        <f>'PFAS Properties'!$X$28</f>
        <v>-0.2</v>
      </c>
      <c r="M102" s="2" t="str">
        <f>'PFAS Properties'!$Y$28</f>
        <v>-</v>
      </c>
      <c r="N102" s="33">
        <v>0</v>
      </c>
      <c r="O102" s="33">
        <v>0</v>
      </c>
      <c r="P102" s="33">
        <v>0</v>
      </c>
      <c r="Q102" s="33">
        <f t="shared" si="39"/>
        <v>0.99958330432419917</v>
      </c>
      <c r="R102" s="33">
        <v>0</v>
      </c>
      <c r="S102" s="33">
        <f t="shared" si="40"/>
        <v>4.166956758008689E-4</v>
      </c>
      <c r="T102" s="8">
        <f t="shared" si="42"/>
        <v>1</v>
      </c>
      <c r="U102" s="33">
        <f t="shared" si="25"/>
        <v>0</v>
      </c>
      <c r="V102" s="33">
        <f t="shared" si="26"/>
        <v>-0.99958330432419917</v>
      </c>
      <c r="W102" s="33">
        <f t="shared" si="27"/>
        <v>112.99321669567581</v>
      </c>
      <c r="X102" s="33">
        <v>96485</v>
      </c>
      <c r="Y102" s="16">
        <f t="shared" si="28"/>
        <v>-853.54499976290379</v>
      </c>
      <c r="Z102" s="2">
        <v>2</v>
      </c>
      <c r="AA102" s="2">
        <v>3</v>
      </c>
      <c r="AB102" s="8">
        <f t="shared" si="29"/>
        <v>0.42105263157894735</v>
      </c>
      <c r="AC102" s="16">
        <f t="shared" si="30"/>
        <v>50.00315809419542</v>
      </c>
      <c r="AD102" s="20">
        <v>1</v>
      </c>
      <c r="AE102" s="8">
        <f>'PFAS Properties'!$S$28</f>
        <v>7.9887818434536406</v>
      </c>
      <c r="AF102" s="8">
        <f>'PFAS Properties'!$V$28</f>
        <v>0.9</v>
      </c>
      <c r="AG102" s="26">
        <v>3.18</v>
      </c>
      <c r="AH102" s="2" t="s">
        <v>655</v>
      </c>
      <c r="AI102" s="2" t="s">
        <v>661</v>
      </c>
      <c r="AJ102" s="2" t="s">
        <v>661</v>
      </c>
      <c r="AK102" s="2" t="s">
        <v>661</v>
      </c>
      <c r="AL102" s="2" t="s">
        <v>661</v>
      </c>
      <c r="AM102" s="2" t="s">
        <v>661</v>
      </c>
      <c r="AN102" s="2" t="s">
        <v>661</v>
      </c>
      <c r="AO102" s="2" t="s">
        <v>661</v>
      </c>
      <c r="AP102" s="73">
        <v>1</v>
      </c>
      <c r="AQ102" s="4" t="s">
        <v>689</v>
      </c>
      <c r="AR102" s="71">
        <v>53.902133331999998</v>
      </c>
      <c r="AS102" s="71">
        <v>23.068733333400001</v>
      </c>
      <c r="AT102" s="16">
        <v>22.9687333366</v>
      </c>
      <c r="AU102" s="70" t="s">
        <v>752</v>
      </c>
      <c r="AV102" s="16">
        <f t="shared" si="31"/>
        <v>99.939600001999992</v>
      </c>
      <c r="AW102" s="18">
        <v>0.7</v>
      </c>
      <c r="AX102" s="13">
        <f t="shared" si="43"/>
        <v>6.9999999999999993E-3</v>
      </c>
      <c r="AY102" s="1" t="s">
        <v>658</v>
      </c>
      <c r="AZ102" s="16">
        <f>1/(0.02)</f>
        <v>50</v>
      </c>
      <c r="BA102" s="2" t="s">
        <v>55</v>
      </c>
      <c r="BB102" s="8">
        <f t="shared" si="44"/>
        <v>0.27404000000000001</v>
      </c>
      <c r="BC102" s="8">
        <f t="shared" si="45"/>
        <v>5.4808000000000003</v>
      </c>
      <c r="BD102" s="7">
        <v>0.34</v>
      </c>
      <c r="BE102" s="16">
        <f t="shared" si="32"/>
        <v>48.571428571428577</v>
      </c>
      <c r="BF102" s="8">
        <f t="shared" si="33"/>
        <v>1.6863808770279984</v>
      </c>
      <c r="BG102" s="8">
        <f t="shared" si="34"/>
        <v>-0.46852108295774486</v>
      </c>
      <c r="BH102" s="2" t="s">
        <v>678</v>
      </c>
      <c r="BI102" s="1"/>
      <c r="BJ102" s="2"/>
      <c r="BK102" s="1"/>
      <c r="BL102" s="1"/>
      <c r="BM102" s="7"/>
      <c r="BN102" s="7"/>
      <c r="BO102" s="1"/>
      <c r="BP102" s="11"/>
      <c r="BQ102" s="11"/>
    </row>
    <row r="103" spans="1:69" x14ac:dyDescent="0.3">
      <c r="A103" s="20">
        <v>102</v>
      </c>
      <c r="B103" s="2" t="s">
        <v>653</v>
      </c>
      <c r="C103" s="2">
        <v>1997</v>
      </c>
      <c r="D103" s="2" t="s">
        <v>203</v>
      </c>
      <c r="E103" s="41" t="s">
        <v>790</v>
      </c>
      <c r="F103" s="20" t="s">
        <v>29</v>
      </c>
      <c r="G103" s="2" t="s">
        <v>681</v>
      </c>
      <c r="H103" s="2" t="s">
        <v>654</v>
      </c>
      <c r="I103" s="2" t="s">
        <v>565</v>
      </c>
      <c r="J103" s="2" t="str">
        <f>'PFAS Properties'!$D$28</f>
        <v>C2HF3O2</v>
      </c>
      <c r="K103" s="25">
        <f>'PFAS Properties'!$P$28</f>
        <v>113.9928</v>
      </c>
      <c r="L103" s="2">
        <f>'PFAS Properties'!$X$28</f>
        <v>-0.2</v>
      </c>
      <c r="M103" s="2" t="str">
        <f>'PFAS Properties'!$Y$28</f>
        <v>-</v>
      </c>
      <c r="N103" s="33">
        <v>0</v>
      </c>
      <c r="O103" s="33">
        <v>0</v>
      </c>
      <c r="P103" s="33">
        <v>0</v>
      </c>
      <c r="Q103" s="33">
        <f t="shared" si="39"/>
        <v>0.99983406884697312</v>
      </c>
      <c r="R103" s="33">
        <v>0</v>
      </c>
      <c r="S103" s="33">
        <f t="shared" si="40"/>
        <v>1.6593115302684591E-4</v>
      </c>
      <c r="T103" s="8">
        <f t="shared" si="42"/>
        <v>1</v>
      </c>
      <c r="U103" s="33">
        <f t="shared" si="25"/>
        <v>0</v>
      </c>
      <c r="V103" s="33">
        <f t="shared" si="26"/>
        <v>-0.99983406884697312</v>
      </c>
      <c r="W103" s="33">
        <f t="shared" si="27"/>
        <v>112.99296593115302</v>
      </c>
      <c r="X103" s="33">
        <v>96485</v>
      </c>
      <c r="Y103" s="16">
        <f t="shared" si="28"/>
        <v>-853.76102253550073</v>
      </c>
      <c r="Z103" s="2">
        <v>2</v>
      </c>
      <c r="AA103" s="2">
        <v>3</v>
      </c>
      <c r="AB103" s="8">
        <f t="shared" si="29"/>
        <v>0.42105263157894735</v>
      </c>
      <c r="AC103" s="16">
        <f t="shared" si="30"/>
        <v>50.00315809419542</v>
      </c>
      <c r="AD103" s="20">
        <v>1</v>
      </c>
      <c r="AE103" s="8">
        <f>'PFAS Properties'!$S$28</f>
        <v>7.9887818434536406</v>
      </c>
      <c r="AF103" s="8">
        <f>'PFAS Properties'!$V$28</f>
        <v>0.9</v>
      </c>
      <c r="AG103" s="26">
        <v>3.58</v>
      </c>
      <c r="AH103" s="2" t="s">
        <v>655</v>
      </c>
      <c r="AI103" s="2" t="s">
        <v>661</v>
      </c>
      <c r="AJ103" s="2" t="s">
        <v>661</v>
      </c>
      <c r="AK103" s="2" t="s">
        <v>661</v>
      </c>
      <c r="AL103" s="2" t="s">
        <v>661</v>
      </c>
      <c r="AM103" s="2" t="s">
        <v>661</v>
      </c>
      <c r="AN103" s="2" t="s">
        <v>661</v>
      </c>
      <c r="AO103" s="2" t="s">
        <v>661</v>
      </c>
      <c r="AP103" s="73">
        <v>12.5</v>
      </c>
      <c r="AQ103" s="4" t="s">
        <v>689</v>
      </c>
      <c r="AR103" s="71">
        <v>26.484860000000001</v>
      </c>
      <c r="AS103" s="71">
        <v>43.699399999999997</v>
      </c>
      <c r="AT103" s="16">
        <v>29.7468</v>
      </c>
      <c r="AU103" s="70" t="s">
        <v>752</v>
      </c>
      <c r="AV103" s="16">
        <f t="shared" si="31"/>
        <v>99.931060000000002</v>
      </c>
      <c r="AW103" s="18">
        <v>8.5</v>
      </c>
      <c r="AX103" s="13">
        <f t="shared" si="43"/>
        <v>8.5000000000000006E-2</v>
      </c>
      <c r="AY103" s="1" t="s">
        <v>658</v>
      </c>
      <c r="AZ103" s="16">
        <f>1/(0.005)</f>
        <v>200</v>
      </c>
      <c r="BA103" s="16" t="s">
        <v>55</v>
      </c>
      <c r="BB103" s="8">
        <f t="shared" si="44"/>
        <v>0.27404000000000001</v>
      </c>
      <c r="BC103" s="8">
        <f t="shared" si="45"/>
        <v>5.4808000000000003</v>
      </c>
      <c r="BD103" s="7">
        <v>0.68</v>
      </c>
      <c r="BE103" s="16">
        <f t="shared" si="32"/>
        <v>8</v>
      </c>
      <c r="BF103" s="8">
        <f t="shared" si="33"/>
        <v>0.90308998699194354</v>
      </c>
      <c r="BG103" s="8">
        <f t="shared" si="34"/>
        <v>-0.16749108729376366</v>
      </c>
      <c r="BH103" s="2" t="s">
        <v>678</v>
      </c>
      <c r="BI103" s="1"/>
      <c r="BJ103" s="2"/>
      <c r="BK103" s="1"/>
      <c r="BL103" s="1"/>
      <c r="BM103" s="7"/>
      <c r="BN103" s="7"/>
      <c r="BO103" s="1"/>
      <c r="BP103" s="11"/>
      <c r="BQ103" s="11"/>
    </row>
    <row r="104" spans="1:69" x14ac:dyDescent="0.3">
      <c r="A104" s="20">
        <v>103</v>
      </c>
      <c r="B104" s="2" t="s">
        <v>653</v>
      </c>
      <c r="C104" s="2">
        <v>1997</v>
      </c>
      <c r="D104" s="2" t="s">
        <v>203</v>
      </c>
      <c r="E104" s="41" t="s">
        <v>790</v>
      </c>
      <c r="F104" s="20" t="s">
        <v>29</v>
      </c>
      <c r="G104" s="2" t="s">
        <v>682</v>
      </c>
      <c r="H104" s="2" t="s">
        <v>654</v>
      </c>
      <c r="I104" s="2" t="s">
        <v>565</v>
      </c>
      <c r="J104" s="2" t="str">
        <f>'PFAS Properties'!$D$28</f>
        <v>C2HF3O2</v>
      </c>
      <c r="K104" s="25">
        <f>'PFAS Properties'!$P$28</f>
        <v>113.9928</v>
      </c>
      <c r="L104" s="2">
        <f>'PFAS Properties'!$X$28</f>
        <v>-0.2</v>
      </c>
      <c r="M104" s="2" t="str">
        <f>'PFAS Properties'!$Y$28</f>
        <v>-</v>
      </c>
      <c r="N104" s="33">
        <v>0</v>
      </c>
      <c r="O104" s="33">
        <v>0</v>
      </c>
      <c r="P104" s="33">
        <v>0</v>
      </c>
      <c r="Q104" s="33">
        <f t="shared" si="39"/>
        <v>0.99994988378839778</v>
      </c>
      <c r="R104" s="33">
        <v>0</v>
      </c>
      <c r="S104" s="33">
        <f t="shared" si="40"/>
        <v>5.0116211602181963E-5</v>
      </c>
      <c r="T104" s="8">
        <f t="shared" si="42"/>
        <v>1</v>
      </c>
      <c r="U104" s="33">
        <f t="shared" si="25"/>
        <v>0</v>
      </c>
      <c r="V104" s="33">
        <f t="shared" si="26"/>
        <v>-0.99994988378839778</v>
      </c>
      <c r="W104" s="33">
        <f t="shared" si="27"/>
        <v>112.9928501162116</v>
      </c>
      <c r="X104" s="33">
        <v>96485</v>
      </c>
      <c r="Y104" s="16">
        <f t="shared" si="28"/>
        <v>-853.86079241381231</v>
      </c>
      <c r="Z104" s="2">
        <v>2</v>
      </c>
      <c r="AA104" s="2">
        <v>3</v>
      </c>
      <c r="AB104" s="8">
        <f t="shared" si="29"/>
        <v>0.42105263157894735</v>
      </c>
      <c r="AC104" s="16">
        <f t="shared" si="30"/>
        <v>50.00315809419542</v>
      </c>
      <c r="AD104" s="20">
        <v>1</v>
      </c>
      <c r="AE104" s="8">
        <f>'PFAS Properties'!$S$28</f>
        <v>7.9887818434536406</v>
      </c>
      <c r="AF104" s="8">
        <f>'PFAS Properties'!$V$28</f>
        <v>0.9</v>
      </c>
      <c r="AG104" s="26">
        <v>4.0999999999999996</v>
      </c>
      <c r="AH104" s="2" t="s">
        <v>655</v>
      </c>
      <c r="AI104" s="2" t="s">
        <v>661</v>
      </c>
      <c r="AJ104" s="2" t="s">
        <v>661</v>
      </c>
      <c r="AK104" s="2" t="s">
        <v>661</v>
      </c>
      <c r="AL104" s="2" t="s">
        <v>661</v>
      </c>
      <c r="AM104" s="2" t="s">
        <v>661</v>
      </c>
      <c r="AN104" s="2" t="s">
        <v>661</v>
      </c>
      <c r="AO104" s="2" t="s">
        <v>661</v>
      </c>
      <c r="AP104" s="73">
        <v>2.2999999999999998</v>
      </c>
      <c r="AQ104" s="4" t="s">
        <v>689</v>
      </c>
      <c r="AR104" s="71">
        <v>47.718333331999993</v>
      </c>
      <c r="AS104" s="71">
        <v>27.502666668</v>
      </c>
      <c r="AT104" s="16">
        <v>24.922599999999999</v>
      </c>
      <c r="AU104" s="70" t="s">
        <v>752</v>
      </c>
      <c r="AV104" s="16">
        <f t="shared" si="31"/>
        <v>100.14359999999999</v>
      </c>
      <c r="AW104" s="18">
        <v>4.05</v>
      </c>
      <c r="AX104" s="13">
        <f t="shared" si="43"/>
        <v>4.0500000000000001E-2</v>
      </c>
      <c r="AY104" s="1" t="s">
        <v>658</v>
      </c>
      <c r="AZ104" s="16">
        <f>1/(0.02)</f>
        <v>50</v>
      </c>
      <c r="BA104" s="2" t="s">
        <v>55</v>
      </c>
      <c r="BB104" s="8">
        <f t="shared" si="44"/>
        <v>0.27404000000000001</v>
      </c>
      <c r="BC104" s="8">
        <f t="shared" si="45"/>
        <v>5.4808000000000003</v>
      </c>
      <c r="BD104" s="7">
        <v>0.42</v>
      </c>
      <c r="BE104" s="16">
        <f t="shared" si="32"/>
        <v>10.37037037037037</v>
      </c>
      <c r="BF104" s="8">
        <f t="shared" si="33"/>
        <v>1.0157942671832318</v>
      </c>
      <c r="BG104" s="8">
        <f t="shared" si="34"/>
        <v>-0.37675070960209955</v>
      </c>
      <c r="BH104" s="2" t="s">
        <v>678</v>
      </c>
      <c r="BI104" s="1"/>
      <c r="BJ104" s="2"/>
      <c r="BK104" s="1"/>
      <c r="BL104" s="1"/>
      <c r="BM104" s="7"/>
      <c r="BN104" s="7"/>
      <c r="BO104" s="1"/>
      <c r="BP104" s="11"/>
      <c r="BQ104" s="11"/>
    </row>
    <row r="105" spans="1:69" x14ac:dyDescent="0.3">
      <c r="A105" s="20">
        <v>104</v>
      </c>
      <c r="B105" s="2" t="s">
        <v>653</v>
      </c>
      <c r="C105" s="2">
        <v>1997</v>
      </c>
      <c r="D105" s="2" t="s">
        <v>203</v>
      </c>
      <c r="E105" s="41" t="s">
        <v>790</v>
      </c>
      <c r="F105" s="20" t="s">
        <v>29</v>
      </c>
      <c r="G105" s="2" t="s">
        <v>683</v>
      </c>
      <c r="H105" s="2" t="s">
        <v>654</v>
      </c>
      <c r="I105" s="2" t="s">
        <v>565</v>
      </c>
      <c r="J105" s="2" t="str">
        <f>'PFAS Properties'!$D$28</f>
        <v>C2HF3O2</v>
      </c>
      <c r="K105" s="25">
        <f>'PFAS Properties'!$P$28</f>
        <v>113.9928</v>
      </c>
      <c r="L105" s="2">
        <f>'PFAS Properties'!$X$28</f>
        <v>-0.2</v>
      </c>
      <c r="M105" s="2" t="str">
        <f>'PFAS Properties'!$Y$28</f>
        <v>-</v>
      </c>
      <c r="N105" s="33">
        <v>0</v>
      </c>
      <c r="O105" s="33">
        <v>0</v>
      </c>
      <c r="P105" s="33">
        <v>0</v>
      </c>
      <c r="Q105" s="33">
        <f t="shared" si="39"/>
        <v>0.99998741090436938</v>
      </c>
      <c r="R105" s="33">
        <v>0</v>
      </c>
      <c r="S105" s="33">
        <f t="shared" si="40"/>
        <v>1.258909563061765E-5</v>
      </c>
      <c r="T105" s="8">
        <f t="shared" si="42"/>
        <v>1</v>
      </c>
      <c r="U105" s="33">
        <f t="shared" si="25"/>
        <v>0</v>
      </c>
      <c r="V105" s="33">
        <f t="shared" si="26"/>
        <v>-0.99998741090436938</v>
      </c>
      <c r="W105" s="33">
        <f t="shared" si="27"/>
        <v>112.99281258909564</v>
      </c>
      <c r="X105" s="33">
        <v>96485</v>
      </c>
      <c r="Y105" s="16">
        <f t="shared" si="28"/>
        <v>-853.89312054720233</v>
      </c>
      <c r="Z105" s="2">
        <v>2</v>
      </c>
      <c r="AA105" s="2">
        <v>3</v>
      </c>
      <c r="AB105" s="8">
        <f t="shared" si="29"/>
        <v>0.42105263157894735</v>
      </c>
      <c r="AC105" s="16">
        <f t="shared" si="30"/>
        <v>50.00315809419542</v>
      </c>
      <c r="AD105" s="20">
        <v>1</v>
      </c>
      <c r="AE105" s="8">
        <f>'PFAS Properties'!$S$28</f>
        <v>7.9887818434536406</v>
      </c>
      <c r="AF105" s="8">
        <f>'PFAS Properties'!$V$28</f>
        <v>0.9</v>
      </c>
      <c r="AG105" s="26">
        <v>4.7</v>
      </c>
      <c r="AH105" s="2" t="s">
        <v>655</v>
      </c>
      <c r="AI105" s="2" t="s">
        <v>661</v>
      </c>
      <c r="AJ105" s="2" t="s">
        <v>661</v>
      </c>
      <c r="AK105" s="2" t="s">
        <v>661</v>
      </c>
      <c r="AL105" s="2" t="s">
        <v>661</v>
      </c>
      <c r="AM105" s="2" t="s">
        <v>661</v>
      </c>
      <c r="AN105" s="2" t="s">
        <v>661</v>
      </c>
      <c r="AO105" s="2" t="s">
        <v>661</v>
      </c>
      <c r="AP105" s="73">
        <v>0.05</v>
      </c>
      <c r="AQ105" s="4" t="s">
        <v>689</v>
      </c>
      <c r="AR105" s="71">
        <v>55.095733332000002</v>
      </c>
      <c r="AS105" s="71">
        <v>23.2071733334</v>
      </c>
      <c r="AT105" s="16">
        <v>21.859333336599999</v>
      </c>
      <c r="AU105" s="70" t="s">
        <v>752</v>
      </c>
      <c r="AV105" s="16">
        <f t="shared" si="31"/>
        <v>100.162240002</v>
      </c>
      <c r="AW105" s="18">
        <v>0.25</v>
      </c>
      <c r="AX105" s="13">
        <f t="shared" si="43"/>
        <v>2.5000000000000001E-3</v>
      </c>
      <c r="AY105" s="1" t="s">
        <v>658</v>
      </c>
      <c r="AZ105" s="16">
        <f>1/(0.02)</f>
        <v>50</v>
      </c>
      <c r="BA105" s="2" t="s">
        <v>55</v>
      </c>
      <c r="BB105" s="8">
        <f t="shared" si="44"/>
        <v>0.27404000000000001</v>
      </c>
      <c r="BC105" s="8">
        <f t="shared" si="45"/>
        <v>5.4808000000000003</v>
      </c>
      <c r="BD105" s="7">
        <v>0.17</v>
      </c>
      <c r="BE105" s="16">
        <f t="shared" si="32"/>
        <v>68</v>
      </c>
      <c r="BF105" s="8">
        <f t="shared" si="33"/>
        <v>1.8325089127062364</v>
      </c>
      <c r="BG105" s="8">
        <f t="shared" si="34"/>
        <v>-0.769551078621726</v>
      </c>
      <c r="BH105" s="2" t="s">
        <v>678</v>
      </c>
      <c r="BI105" s="1"/>
      <c r="BJ105" s="2"/>
      <c r="BK105" s="1"/>
      <c r="BL105" s="1"/>
      <c r="BM105" s="7"/>
      <c r="BN105" s="7"/>
      <c r="BO105" s="1"/>
      <c r="BP105" s="11"/>
      <c r="BQ105" s="11"/>
    </row>
    <row r="106" spans="1:69" x14ac:dyDescent="0.3">
      <c r="A106" s="20">
        <v>105</v>
      </c>
      <c r="B106" s="2" t="s">
        <v>653</v>
      </c>
      <c r="C106" s="2">
        <v>1997</v>
      </c>
      <c r="D106" s="2" t="s">
        <v>203</v>
      </c>
      <c r="E106" s="41" t="s">
        <v>790</v>
      </c>
      <c r="F106" s="20" t="s">
        <v>29</v>
      </c>
      <c r="G106" s="2" t="s">
        <v>684</v>
      </c>
      <c r="H106" s="2" t="s">
        <v>654</v>
      </c>
      <c r="I106" s="2" t="s">
        <v>565</v>
      </c>
      <c r="J106" s="2" t="str">
        <f>'PFAS Properties'!$D$28</f>
        <v>C2HF3O2</v>
      </c>
      <c r="K106" s="25">
        <f>'PFAS Properties'!$P$28</f>
        <v>113.9928</v>
      </c>
      <c r="L106" s="2">
        <f>'PFAS Properties'!$X$28</f>
        <v>-0.2</v>
      </c>
      <c r="M106" s="2" t="str">
        <f>'PFAS Properties'!$Y$28</f>
        <v>-</v>
      </c>
      <c r="N106" s="33">
        <v>0</v>
      </c>
      <c r="O106" s="33">
        <v>0</v>
      </c>
      <c r="P106" s="33">
        <v>0</v>
      </c>
      <c r="Q106" s="33">
        <f t="shared" si="39"/>
        <v>0.99999424563373951</v>
      </c>
      <c r="R106" s="33">
        <v>0</v>
      </c>
      <c r="S106" s="33">
        <f t="shared" si="40"/>
        <v>5.7543662604499578E-6</v>
      </c>
      <c r="T106" s="8">
        <f t="shared" si="42"/>
        <v>1</v>
      </c>
      <c r="U106" s="33">
        <f t="shared" si="25"/>
        <v>0</v>
      </c>
      <c r="V106" s="33">
        <f t="shared" si="26"/>
        <v>-0.99999424563373951</v>
      </c>
      <c r="W106" s="33">
        <f t="shared" si="27"/>
        <v>112.99280575436626</v>
      </c>
      <c r="X106" s="33">
        <v>96485</v>
      </c>
      <c r="Y106" s="16">
        <f t="shared" si="28"/>
        <v>-853.89900839986012</v>
      </c>
      <c r="Z106" s="2">
        <v>2</v>
      </c>
      <c r="AA106" s="2">
        <v>3</v>
      </c>
      <c r="AB106" s="8">
        <f t="shared" si="29"/>
        <v>0.42105263157894735</v>
      </c>
      <c r="AC106" s="16">
        <f t="shared" si="30"/>
        <v>50.00315809419542</v>
      </c>
      <c r="AD106" s="20">
        <v>1</v>
      </c>
      <c r="AE106" s="8">
        <f>'PFAS Properties'!$S$28</f>
        <v>7.9887818434536406</v>
      </c>
      <c r="AF106" s="8">
        <f>'PFAS Properties'!$V$28</f>
        <v>0.9</v>
      </c>
      <c r="AG106" s="26">
        <v>5.04</v>
      </c>
      <c r="AH106" s="2" t="s">
        <v>655</v>
      </c>
      <c r="AI106" s="2" t="s">
        <v>661</v>
      </c>
      <c r="AJ106" s="2" t="s">
        <v>661</v>
      </c>
      <c r="AK106" s="2" t="s">
        <v>661</v>
      </c>
      <c r="AL106" s="2" t="s">
        <v>661</v>
      </c>
      <c r="AM106" s="2" t="s">
        <v>661</v>
      </c>
      <c r="AN106" s="2" t="s">
        <v>661</v>
      </c>
      <c r="AO106" s="2" t="s">
        <v>661</v>
      </c>
      <c r="AP106" s="73">
        <v>17.7</v>
      </c>
      <c r="AQ106" s="4" t="s">
        <v>689</v>
      </c>
      <c r="AR106" s="71">
        <v>30.67088</v>
      </c>
      <c r="AS106" s="71">
        <v>41.485500000000002</v>
      </c>
      <c r="AT106" s="16">
        <v>27.36758</v>
      </c>
      <c r="AU106" s="70" t="s">
        <v>752</v>
      </c>
      <c r="AV106" s="16">
        <f t="shared" si="31"/>
        <v>99.523960000000002</v>
      </c>
      <c r="AW106" s="18">
        <v>37.6</v>
      </c>
      <c r="AX106" s="13">
        <f t="shared" si="43"/>
        <v>0.376</v>
      </c>
      <c r="AY106" s="1" t="s">
        <v>658</v>
      </c>
      <c r="AZ106" s="16">
        <f>1/(0.005)</f>
        <v>200</v>
      </c>
      <c r="BA106" s="16" t="s">
        <v>55</v>
      </c>
      <c r="BB106" s="8">
        <f t="shared" si="44"/>
        <v>0.27404000000000001</v>
      </c>
      <c r="BC106" s="8">
        <f t="shared" si="45"/>
        <v>5.4808000000000003</v>
      </c>
      <c r="BD106" s="7">
        <v>5.8</v>
      </c>
      <c r="BE106" s="16">
        <f t="shared" si="32"/>
        <v>15.425531914893616</v>
      </c>
      <c r="BF106" s="8">
        <f t="shared" si="33"/>
        <v>1.1882401486352763</v>
      </c>
      <c r="BG106" s="8">
        <f t="shared" si="34"/>
        <v>0.76342799356293722</v>
      </c>
      <c r="BH106" s="2" t="s">
        <v>678</v>
      </c>
      <c r="BI106" s="1"/>
      <c r="BJ106" s="2"/>
      <c r="BK106" s="1"/>
      <c r="BL106" s="1"/>
      <c r="BM106" s="7"/>
      <c r="BN106" s="7"/>
      <c r="BO106" s="1"/>
      <c r="BP106" s="11"/>
      <c r="BQ106" s="11"/>
    </row>
    <row r="107" spans="1:69" x14ac:dyDescent="0.3">
      <c r="A107" s="20">
        <v>106</v>
      </c>
      <c r="B107" s="2" t="s">
        <v>653</v>
      </c>
      <c r="C107" s="2">
        <v>1997</v>
      </c>
      <c r="D107" s="2" t="s">
        <v>203</v>
      </c>
      <c r="E107" s="41" t="s">
        <v>790</v>
      </c>
      <c r="F107" s="20" t="s">
        <v>29</v>
      </c>
      <c r="G107" s="2" t="s">
        <v>685</v>
      </c>
      <c r="H107" s="2" t="s">
        <v>654</v>
      </c>
      <c r="I107" s="2" t="s">
        <v>565</v>
      </c>
      <c r="J107" s="2" t="str">
        <f>'PFAS Properties'!$D$28</f>
        <v>C2HF3O2</v>
      </c>
      <c r="K107" s="25">
        <f>'PFAS Properties'!$P$28</f>
        <v>113.9928</v>
      </c>
      <c r="L107" s="2">
        <f>'PFAS Properties'!$X$28</f>
        <v>-0.2</v>
      </c>
      <c r="M107" s="2" t="str">
        <f>'PFAS Properties'!$Y$28</f>
        <v>-</v>
      </c>
      <c r="N107" s="33">
        <v>0</v>
      </c>
      <c r="O107" s="33">
        <v>0</v>
      </c>
      <c r="P107" s="33">
        <v>0</v>
      </c>
      <c r="Q107" s="33">
        <f t="shared" si="39"/>
        <v>0.99961995509272328</v>
      </c>
      <c r="R107" s="33">
        <v>0</v>
      </c>
      <c r="S107" s="33">
        <f t="shared" si="40"/>
        <v>3.8004490727668819E-4</v>
      </c>
      <c r="T107" s="8">
        <f t="shared" si="42"/>
        <v>1</v>
      </c>
      <c r="U107" s="33">
        <f t="shared" si="25"/>
        <v>0</v>
      </c>
      <c r="V107" s="33">
        <f t="shared" si="26"/>
        <v>-0.99961995509272328</v>
      </c>
      <c r="W107" s="33">
        <f t="shared" si="27"/>
        <v>112.99318004490728</v>
      </c>
      <c r="X107" s="33">
        <v>96485</v>
      </c>
      <c r="Y107" s="16">
        <f t="shared" si="28"/>
        <v>-853.57657275235204</v>
      </c>
      <c r="Z107" s="2">
        <v>2</v>
      </c>
      <c r="AA107" s="2">
        <v>3</v>
      </c>
      <c r="AB107" s="8">
        <f t="shared" si="29"/>
        <v>0.42105263157894735</v>
      </c>
      <c r="AC107" s="16">
        <f t="shared" si="30"/>
        <v>50.00315809419542</v>
      </c>
      <c r="AD107" s="20">
        <v>1</v>
      </c>
      <c r="AE107" s="8">
        <f>'PFAS Properties'!$S$28</f>
        <v>7.9887818434536406</v>
      </c>
      <c r="AF107" s="8">
        <f>'PFAS Properties'!$V$28</f>
        <v>0.9</v>
      </c>
      <c r="AG107" s="26">
        <v>3.22</v>
      </c>
      <c r="AH107" s="2" t="s">
        <v>655</v>
      </c>
      <c r="AI107" s="2" t="s">
        <v>661</v>
      </c>
      <c r="AJ107" s="2" t="s">
        <v>661</v>
      </c>
      <c r="AK107" s="2" t="s">
        <v>661</v>
      </c>
      <c r="AL107" s="2" t="s">
        <v>661</v>
      </c>
      <c r="AM107" s="2" t="s">
        <v>661</v>
      </c>
      <c r="AN107" s="2" t="s">
        <v>661</v>
      </c>
      <c r="AO107" s="2" t="s">
        <v>661</v>
      </c>
      <c r="AP107" s="73">
        <v>17</v>
      </c>
      <c r="AQ107" s="4" t="s">
        <v>689</v>
      </c>
      <c r="AR107" s="71">
        <v>32.373779999999996</v>
      </c>
      <c r="AS107" s="71">
        <v>41.575100000000013</v>
      </c>
      <c r="AT107" s="16">
        <v>25.684380000000001</v>
      </c>
      <c r="AU107" s="70" t="s">
        <v>752</v>
      </c>
      <c r="AV107" s="16">
        <f t="shared" si="31"/>
        <v>99.633260000000007</v>
      </c>
      <c r="AW107" s="18">
        <v>46.65</v>
      </c>
      <c r="AX107" s="13">
        <f t="shared" si="43"/>
        <v>0.46649999999999997</v>
      </c>
      <c r="AY107" s="1" t="s">
        <v>658</v>
      </c>
      <c r="AZ107" s="16">
        <f>1/(0.005)</f>
        <v>200</v>
      </c>
      <c r="BA107" s="16" t="s">
        <v>55</v>
      </c>
      <c r="BB107" s="8">
        <f t="shared" si="44"/>
        <v>0.27404000000000001</v>
      </c>
      <c r="BC107" s="8">
        <f t="shared" si="45"/>
        <v>5.4808000000000003</v>
      </c>
      <c r="BD107" s="7">
        <v>20</v>
      </c>
      <c r="BE107" s="16">
        <f t="shared" si="32"/>
        <v>42.872454448017152</v>
      </c>
      <c r="BF107" s="8">
        <f t="shared" si="33"/>
        <v>1.6321783475814624</v>
      </c>
      <c r="BG107" s="8">
        <f t="shared" si="34"/>
        <v>1.3010299956639813</v>
      </c>
      <c r="BH107" s="2" t="s">
        <v>678</v>
      </c>
      <c r="BI107" s="1"/>
      <c r="BJ107" s="2"/>
      <c r="BK107" s="1"/>
      <c r="BL107" s="1"/>
      <c r="BM107" s="7"/>
      <c r="BN107" s="7"/>
      <c r="BO107" s="1"/>
      <c r="BP107" s="11"/>
      <c r="BQ107" s="11"/>
    </row>
    <row r="108" spans="1:69" x14ac:dyDescent="0.3">
      <c r="A108" s="20">
        <v>107</v>
      </c>
      <c r="B108" s="2" t="s">
        <v>653</v>
      </c>
      <c r="C108" s="2">
        <v>1997</v>
      </c>
      <c r="D108" s="2" t="s">
        <v>203</v>
      </c>
      <c r="E108" s="41" t="s">
        <v>790</v>
      </c>
      <c r="F108" s="20" t="s">
        <v>29</v>
      </c>
      <c r="G108" s="2" t="s">
        <v>686</v>
      </c>
      <c r="H108" s="2" t="s">
        <v>654</v>
      </c>
      <c r="I108" s="2" t="s">
        <v>565</v>
      </c>
      <c r="J108" s="2" t="str">
        <f>'PFAS Properties'!$D$28</f>
        <v>C2HF3O2</v>
      </c>
      <c r="K108" s="25">
        <f>'PFAS Properties'!$P$28</f>
        <v>113.9928</v>
      </c>
      <c r="L108" s="2">
        <f>'PFAS Properties'!$X$28</f>
        <v>-0.2</v>
      </c>
      <c r="M108" s="2" t="str">
        <f>'PFAS Properties'!$Y$28</f>
        <v>-</v>
      </c>
      <c r="N108" s="33">
        <v>0</v>
      </c>
      <c r="O108" s="33">
        <v>0</v>
      </c>
      <c r="P108" s="33">
        <v>0</v>
      </c>
      <c r="Q108" s="33">
        <f t="shared" si="39"/>
        <v>0.9999991087498562</v>
      </c>
      <c r="R108" s="33">
        <v>0</v>
      </c>
      <c r="S108" s="33">
        <f t="shared" si="40"/>
        <v>8.9125014380621806E-7</v>
      </c>
      <c r="T108" s="8">
        <f t="shared" si="42"/>
        <v>1</v>
      </c>
      <c r="U108" s="33">
        <f t="shared" si="25"/>
        <v>0</v>
      </c>
      <c r="V108" s="33">
        <f t="shared" si="26"/>
        <v>-0.9999991087498562</v>
      </c>
      <c r="W108" s="33">
        <f t="shared" si="27"/>
        <v>112.99280089125016</v>
      </c>
      <c r="X108" s="33">
        <v>96485</v>
      </c>
      <c r="Y108" s="16">
        <f t="shared" si="28"/>
        <v>-853.90319778506694</v>
      </c>
      <c r="Z108" s="2">
        <v>2</v>
      </c>
      <c r="AA108" s="2">
        <v>3</v>
      </c>
      <c r="AB108" s="8">
        <f t="shared" si="29"/>
        <v>0.42105263157894735</v>
      </c>
      <c r="AC108" s="16">
        <f t="shared" si="30"/>
        <v>50.00315809419542</v>
      </c>
      <c r="AD108" s="20">
        <v>1</v>
      </c>
      <c r="AE108" s="8">
        <f>'PFAS Properties'!$S$28</f>
        <v>7.9887818434536406</v>
      </c>
      <c r="AF108" s="8">
        <f>'PFAS Properties'!$V$28</f>
        <v>0.9</v>
      </c>
      <c r="AG108" s="26">
        <v>5.85</v>
      </c>
      <c r="AH108" s="2" t="s">
        <v>655</v>
      </c>
      <c r="AI108" s="2" t="s">
        <v>661</v>
      </c>
      <c r="AJ108" s="2" t="s">
        <v>661</v>
      </c>
      <c r="AK108" s="2" t="s">
        <v>661</v>
      </c>
      <c r="AL108" s="2" t="s">
        <v>661</v>
      </c>
      <c r="AM108" s="2" t="s">
        <v>661</v>
      </c>
      <c r="AN108" s="2" t="s">
        <v>661</v>
      </c>
      <c r="AO108" s="2" t="s">
        <v>661</v>
      </c>
      <c r="AP108" s="73">
        <v>23.1</v>
      </c>
      <c r="AQ108" s="4" t="s">
        <v>689</v>
      </c>
      <c r="AR108" s="71">
        <v>27.626999999999999</v>
      </c>
      <c r="AS108" s="71">
        <v>39.012440000000012</v>
      </c>
      <c r="AT108" s="16">
        <v>32.874420000000001</v>
      </c>
      <c r="AU108" s="70" t="s">
        <v>752</v>
      </c>
      <c r="AV108" s="16">
        <f t="shared" si="31"/>
        <v>99.513860000000008</v>
      </c>
      <c r="AW108" s="18">
        <v>5.05</v>
      </c>
      <c r="AX108" s="13">
        <f t="shared" si="43"/>
        <v>5.0499999999999996E-2</v>
      </c>
      <c r="AY108" s="1" t="s">
        <v>658</v>
      </c>
      <c r="AZ108" s="16">
        <f>1/(0.02)</f>
        <v>50</v>
      </c>
      <c r="BA108" s="2" t="s">
        <v>55</v>
      </c>
      <c r="BB108" s="8">
        <f t="shared" si="44"/>
        <v>0.27404000000000001</v>
      </c>
      <c r="BC108" s="8">
        <f t="shared" si="45"/>
        <v>5.4808000000000003</v>
      </c>
      <c r="BD108" s="7">
        <v>1.5</v>
      </c>
      <c r="BE108" s="16">
        <f t="shared" si="32"/>
        <v>29.702970297029704</v>
      </c>
      <c r="BF108" s="8">
        <f t="shared" si="33"/>
        <v>1.47279988093702</v>
      </c>
      <c r="BG108" s="8">
        <f t="shared" si="34"/>
        <v>0.17609125905568124</v>
      </c>
      <c r="BH108" s="2" t="s">
        <v>678</v>
      </c>
      <c r="BI108" s="1"/>
      <c r="BJ108" s="2"/>
      <c r="BK108" s="1"/>
      <c r="BL108" s="1"/>
      <c r="BM108" s="7"/>
      <c r="BN108" s="7"/>
      <c r="BO108" s="1"/>
      <c r="BP108" s="11"/>
      <c r="BQ108" s="11"/>
    </row>
    <row r="109" spans="1:69" x14ac:dyDescent="0.3">
      <c r="A109" s="20">
        <v>108</v>
      </c>
      <c r="B109" s="2" t="s">
        <v>653</v>
      </c>
      <c r="C109" s="2">
        <v>1997</v>
      </c>
      <c r="D109" s="2" t="s">
        <v>203</v>
      </c>
      <c r="E109" s="41" t="s">
        <v>790</v>
      </c>
      <c r="F109" s="20" t="s">
        <v>29</v>
      </c>
      <c r="G109" s="2" t="s">
        <v>687</v>
      </c>
      <c r="H109" s="2" t="s">
        <v>654</v>
      </c>
      <c r="I109" s="2" t="s">
        <v>565</v>
      </c>
      <c r="J109" s="2" t="str">
        <f>'PFAS Properties'!$D$28</f>
        <v>C2HF3O2</v>
      </c>
      <c r="K109" s="25">
        <f>'PFAS Properties'!$P$28</f>
        <v>113.9928</v>
      </c>
      <c r="L109" s="2">
        <f>'PFAS Properties'!$X$28</f>
        <v>-0.2</v>
      </c>
      <c r="M109" s="2" t="str">
        <f>'PFAS Properties'!$Y$28</f>
        <v>-</v>
      </c>
      <c r="N109" s="33">
        <v>0</v>
      </c>
      <c r="O109" s="33">
        <v>0</v>
      </c>
      <c r="P109" s="33">
        <v>0</v>
      </c>
      <c r="Q109" s="33">
        <f t="shared" si="39"/>
        <v>0.99997048877867123</v>
      </c>
      <c r="R109" s="33">
        <v>0</v>
      </c>
      <c r="S109" s="33">
        <f t="shared" si="40"/>
        <v>2.9511221328777069E-5</v>
      </c>
      <c r="T109" s="8">
        <f t="shared" si="42"/>
        <v>1</v>
      </c>
      <c r="U109" s="33">
        <f t="shared" si="25"/>
        <v>0</v>
      </c>
      <c r="V109" s="33">
        <f t="shared" si="26"/>
        <v>-0.99997048877867123</v>
      </c>
      <c r="W109" s="33">
        <f t="shared" si="27"/>
        <v>112.99282951122133</v>
      </c>
      <c r="X109" s="33">
        <v>96485</v>
      </c>
      <c r="Y109" s="16">
        <f t="shared" si="28"/>
        <v>-853.87854279928831</v>
      </c>
      <c r="Z109" s="2">
        <v>2</v>
      </c>
      <c r="AA109" s="2">
        <v>3</v>
      </c>
      <c r="AB109" s="8">
        <f t="shared" si="29"/>
        <v>0.42105263157894735</v>
      </c>
      <c r="AC109" s="16">
        <f t="shared" si="30"/>
        <v>50.00315809419542</v>
      </c>
      <c r="AD109" s="20">
        <v>1</v>
      </c>
      <c r="AE109" s="8">
        <f>'PFAS Properties'!$S$28</f>
        <v>7.9887818434536406</v>
      </c>
      <c r="AF109" s="8">
        <f>'PFAS Properties'!$V$28</f>
        <v>0.9</v>
      </c>
      <c r="AG109" s="26">
        <v>4.33</v>
      </c>
      <c r="AH109" s="2" t="s">
        <v>655</v>
      </c>
      <c r="AI109" s="2" t="s">
        <v>661</v>
      </c>
      <c r="AJ109" s="2" t="s">
        <v>661</v>
      </c>
      <c r="AK109" s="2" t="s">
        <v>661</v>
      </c>
      <c r="AL109" s="2" t="s">
        <v>661</v>
      </c>
      <c r="AM109" s="2" t="s">
        <v>661</v>
      </c>
      <c r="AN109" s="2" t="s">
        <v>661</v>
      </c>
      <c r="AO109" s="2" t="s">
        <v>661</v>
      </c>
      <c r="AP109" s="73">
        <v>5.5</v>
      </c>
      <c r="AQ109" s="4" t="s">
        <v>689</v>
      </c>
      <c r="AR109" s="71">
        <v>41.294633331999997</v>
      </c>
      <c r="AS109" s="71">
        <v>33.906466668</v>
      </c>
      <c r="AT109" s="16">
        <v>24.7012</v>
      </c>
      <c r="AU109" s="70" t="s">
        <v>752</v>
      </c>
      <c r="AV109" s="16">
        <f t="shared" si="31"/>
        <v>99.902299999999997</v>
      </c>
      <c r="AW109" s="18">
        <v>9.3000000000000007</v>
      </c>
      <c r="AX109" s="13">
        <f t="shared" si="43"/>
        <v>9.3000000000000013E-2</v>
      </c>
      <c r="AY109" s="1" t="s">
        <v>658</v>
      </c>
      <c r="AZ109" s="16">
        <f>1/(0.005)</f>
        <v>200</v>
      </c>
      <c r="BA109" s="16" t="s">
        <v>55</v>
      </c>
      <c r="BB109" s="8">
        <f t="shared" si="44"/>
        <v>0.27404000000000001</v>
      </c>
      <c r="BC109" s="8">
        <f t="shared" si="45"/>
        <v>5.4808000000000003</v>
      </c>
      <c r="BD109" s="7">
        <v>0.19</v>
      </c>
      <c r="BE109" s="16">
        <f t="shared" si="32"/>
        <v>2.0430107526881716</v>
      </c>
      <c r="BF109" s="8">
        <f t="shared" si="33"/>
        <v>0.31027065239889373</v>
      </c>
      <c r="BG109" s="8">
        <f t="shared" si="34"/>
        <v>-0.72124639904717103</v>
      </c>
      <c r="BH109" s="2" t="s">
        <v>678</v>
      </c>
      <c r="BI109" s="1"/>
      <c r="BJ109" s="2"/>
      <c r="BK109" s="1"/>
      <c r="BL109" s="1"/>
      <c r="BM109" s="7"/>
      <c r="BN109" s="7"/>
      <c r="BO109" s="1"/>
      <c r="BP109" s="11"/>
      <c r="BQ109" s="11"/>
    </row>
    <row r="110" spans="1:69" x14ac:dyDescent="0.3">
      <c r="A110" s="20">
        <v>109</v>
      </c>
      <c r="B110" s="2" t="s">
        <v>653</v>
      </c>
      <c r="C110" s="2">
        <v>1997</v>
      </c>
      <c r="D110" s="2" t="s">
        <v>203</v>
      </c>
      <c r="E110" s="41" t="s">
        <v>790</v>
      </c>
      <c r="F110" s="20" t="s">
        <v>29</v>
      </c>
      <c r="G110" s="2" t="s">
        <v>688</v>
      </c>
      <c r="H110" s="2" t="s">
        <v>654</v>
      </c>
      <c r="I110" s="2" t="s">
        <v>565</v>
      </c>
      <c r="J110" s="2" t="str">
        <f>'PFAS Properties'!$D$28</f>
        <v>C2HF3O2</v>
      </c>
      <c r="K110" s="25">
        <f>'PFAS Properties'!$P$28</f>
        <v>113.9928</v>
      </c>
      <c r="L110" s="2">
        <f>'PFAS Properties'!$X$28</f>
        <v>-0.2</v>
      </c>
      <c r="M110" s="2" t="str">
        <f>'PFAS Properties'!$Y$28</f>
        <v>-</v>
      </c>
      <c r="N110" s="33">
        <v>0</v>
      </c>
      <c r="O110" s="33">
        <v>0</v>
      </c>
      <c r="P110" s="33">
        <v>0</v>
      </c>
      <c r="Q110" s="33">
        <f t="shared" si="39"/>
        <v>0.99998769746364613</v>
      </c>
      <c r="R110" s="33">
        <v>0</v>
      </c>
      <c r="S110" s="33">
        <f t="shared" si="40"/>
        <v>1.2302536353861022E-5</v>
      </c>
      <c r="T110" s="8">
        <f t="shared" si="42"/>
        <v>1</v>
      </c>
      <c r="U110" s="33">
        <f t="shared" si="25"/>
        <v>0</v>
      </c>
      <c r="V110" s="33">
        <f t="shared" si="26"/>
        <v>-0.99998769746364613</v>
      </c>
      <c r="W110" s="33">
        <f t="shared" si="27"/>
        <v>112.99281230253635</v>
      </c>
      <c r="X110" s="33">
        <v>96485</v>
      </c>
      <c r="Y110" s="16">
        <f t="shared" si="28"/>
        <v>-853.89336740682336</v>
      </c>
      <c r="Z110" s="2">
        <v>2</v>
      </c>
      <c r="AA110" s="2">
        <v>3</v>
      </c>
      <c r="AB110" s="8">
        <f t="shared" si="29"/>
        <v>0.42105263157894735</v>
      </c>
      <c r="AC110" s="16">
        <f t="shared" si="30"/>
        <v>50.00315809419542</v>
      </c>
      <c r="AD110" s="20">
        <v>1</v>
      </c>
      <c r="AE110" s="8">
        <f>'PFAS Properties'!$S$28</f>
        <v>7.9887818434536406</v>
      </c>
      <c r="AF110" s="8">
        <f>'PFAS Properties'!$V$28</f>
        <v>0.9</v>
      </c>
      <c r="AG110" s="26">
        <v>4.71</v>
      </c>
      <c r="AH110" s="2" t="s">
        <v>655</v>
      </c>
      <c r="AI110" s="2" t="s">
        <v>661</v>
      </c>
      <c r="AJ110" s="2" t="s">
        <v>661</v>
      </c>
      <c r="AK110" s="2" t="s">
        <v>661</v>
      </c>
      <c r="AL110" s="2" t="s">
        <v>661</v>
      </c>
      <c r="AM110" s="2" t="s">
        <v>661</v>
      </c>
      <c r="AN110" s="2" t="s">
        <v>661</v>
      </c>
      <c r="AO110" s="2" t="s">
        <v>661</v>
      </c>
      <c r="AP110" s="73">
        <v>10.4</v>
      </c>
      <c r="AQ110" s="4" t="s">
        <v>689</v>
      </c>
      <c r="AR110" s="71">
        <v>28.642600000000002</v>
      </c>
      <c r="AS110" s="71">
        <v>43.101199999999999</v>
      </c>
      <c r="AT110" s="16">
        <v>28.362819999999999</v>
      </c>
      <c r="AU110" s="70" t="s">
        <v>752</v>
      </c>
      <c r="AV110" s="16">
        <f t="shared" si="31"/>
        <v>100.10661999999999</v>
      </c>
      <c r="AW110" s="18">
        <v>3.05</v>
      </c>
      <c r="AX110" s="13">
        <f t="shared" si="43"/>
        <v>3.0499999999999999E-2</v>
      </c>
      <c r="AY110" s="1" t="s">
        <v>658</v>
      </c>
      <c r="AZ110" s="16">
        <f>1/(0.02)</f>
        <v>50</v>
      </c>
      <c r="BA110" s="2" t="s">
        <v>55</v>
      </c>
      <c r="BB110" s="8">
        <f t="shared" si="44"/>
        <v>0.27404000000000001</v>
      </c>
      <c r="BC110" s="8">
        <f t="shared" si="45"/>
        <v>5.4808000000000003</v>
      </c>
      <c r="BD110" s="7">
        <v>0.32</v>
      </c>
      <c r="BE110" s="16">
        <f t="shared" si="32"/>
        <v>10.491803278688526</v>
      </c>
      <c r="BF110" s="8">
        <f t="shared" si="33"/>
        <v>1.0208501389731202</v>
      </c>
      <c r="BG110" s="8">
        <f t="shared" si="34"/>
        <v>-0.49485002168009401</v>
      </c>
      <c r="BH110" s="2" t="s">
        <v>678</v>
      </c>
      <c r="BI110" s="1"/>
      <c r="BJ110" s="2"/>
      <c r="BK110" s="1"/>
      <c r="BL110" s="1"/>
      <c r="BM110" s="7"/>
      <c r="BN110" s="7"/>
      <c r="BO110" s="1"/>
      <c r="BP110" s="11"/>
      <c r="BQ110" s="11"/>
    </row>
    <row r="111" spans="1:69" s="14" customFormat="1" x14ac:dyDescent="0.3">
      <c r="A111" s="20">
        <v>110</v>
      </c>
      <c r="B111" s="2" t="s">
        <v>202</v>
      </c>
      <c r="C111" s="2">
        <v>2019</v>
      </c>
      <c r="D111" s="2" t="s">
        <v>199</v>
      </c>
      <c r="E111" s="22" t="s">
        <v>791</v>
      </c>
      <c r="F111" s="20" t="s">
        <v>29</v>
      </c>
      <c r="G111" s="2" t="s">
        <v>39</v>
      </c>
      <c r="H111" s="2" t="str">
        <f>'PFAS Properties'!$B$29</f>
        <v>PFBA</v>
      </c>
      <c r="I111" s="2" t="str">
        <f>'PFAS Properties'!$C$29</f>
        <v>PFCA</v>
      </c>
      <c r="J111" s="2" t="str">
        <f>'PFAS Properties'!$D$29</f>
        <v>C4HF7O2</v>
      </c>
      <c r="K111" s="25">
        <f>'PFAS Properties'!$P$29</f>
        <v>213.9864</v>
      </c>
      <c r="L111" s="2">
        <f>'PFAS Properties'!$X$29</f>
        <v>-0.2</v>
      </c>
      <c r="M111" s="2" t="str">
        <f>'PFAS Properties'!$Y$29</f>
        <v>-</v>
      </c>
      <c r="N111" s="33">
        <v>0</v>
      </c>
      <c r="O111" s="33">
        <v>0</v>
      </c>
      <c r="P111" s="33">
        <v>0</v>
      </c>
      <c r="Q111" s="33">
        <f t="shared" si="39"/>
        <v>0.9999964518786969</v>
      </c>
      <c r="R111" s="33">
        <v>0</v>
      </c>
      <c r="S111" s="33">
        <f t="shared" si="40"/>
        <v>3.5481213031263005E-6</v>
      </c>
      <c r="T111" s="8">
        <f t="shared" si="42"/>
        <v>1</v>
      </c>
      <c r="U111" s="33">
        <f t="shared" si="25"/>
        <v>0</v>
      </c>
      <c r="V111" s="33">
        <f t="shared" si="26"/>
        <v>-0.9999964518786969</v>
      </c>
      <c r="W111" s="33">
        <f t="shared" si="27"/>
        <v>212.98640354812133</v>
      </c>
      <c r="X111" s="33">
        <v>96485</v>
      </c>
      <c r="Y111" s="16">
        <f t="shared" si="28"/>
        <v>-453.00853036713534</v>
      </c>
      <c r="Z111" s="16">
        <v>4</v>
      </c>
      <c r="AA111" s="16">
        <v>7</v>
      </c>
      <c r="AB111" s="8">
        <f t="shared" si="29"/>
        <v>0.36090225563909772</v>
      </c>
      <c r="AC111" s="16">
        <f t="shared" si="30"/>
        <v>62.153482651233901</v>
      </c>
      <c r="AD111" s="20">
        <f>'PFAS Properties'!$W$29</f>
        <v>3</v>
      </c>
      <c r="AE111" s="8">
        <f>'PFAS Properties'!$S$29</f>
        <v>6.1376705372367555</v>
      </c>
      <c r="AF111" s="2">
        <f>'PFAS Properties'!$V$29</f>
        <v>2.2000000000000002</v>
      </c>
      <c r="AG111" s="24">
        <v>5.25</v>
      </c>
      <c r="AH111" s="2" t="s">
        <v>661</v>
      </c>
      <c r="AI111" s="2" t="s">
        <v>661</v>
      </c>
      <c r="AJ111" s="2" t="s">
        <v>661</v>
      </c>
      <c r="AK111" s="2" t="s">
        <v>661</v>
      </c>
      <c r="AL111" s="2" t="s">
        <v>661</v>
      </c>
      <c r="AM111" s="2" t="s">
        <v>661</v>
      </c>
      <c r="AN111" s="2" t="s">
        <v>661</v>
      </c>
      <c r="AO111" s="2" t="s">
        <v>661</v>
      </c>
      <c r="AP111" s="72">
        <v>5.7023166666666656</v>
      </c>
      <c r="AQ111" s="70" t="s">
        <v>752</v>
      </c>
      <c r="AR111" s="16">
        <v>100</v>
      </c>
      <c r="AS111" s="16">
        <v>0</v>
      </c>
      <c r="AT111" s="16">
        <v>0</v>
      </c>
      <c r="AU111" s="2" t="s">
        <v>661</v>
      </c>
      <c r="AV111" s="16">
        <f t="shared" si="31"/>
        <v>100</v>
      </c>
      <c r="AW111" s="18">
        <v>0.4</v>
      </c>
      <c r="AX111" s="13">
        <f t="shared" si="43"/>
        <v>4.0000000000000001E-3</v>
      </c>
      <c r="AY111" s="13" t="s">
        <v>658</v>
      </c>
      <c r="AZ111" s="16">
        <f>2/0.01</f>
        <v>200</v>
      </c>
      <c r="BA111" s="16" t="s">
        <v>55</v>
      </c>
      <c r="BB111" s="16">
        <v>1</v>
      </c>
      <c r="BC111" s="16">
        <v>1000</v>
      </c>
      <c r="BD111" s="18">
        <v>0.11</v>
      </c>
      <c r="BE111" s="15">
        <f t="shared" si="32"/>
        <v>27.5</v>
      </c>
      <c r="BF111" s="15">
        <f t="shared" si="33"/>
        <v>1.4393326938302626</v>
      </c>
      <c r="BG111" s="8">
        <f t="shared" si="34"/>
        <v>-0.95860731484177497</v>
      </c>
      <c r="BH111" s="2" t="s">
        <v>605</v>
      </c>
      <c r="BI111" s="2"/>
      <c r="BJ111" s="2"/>
      <c r="BK111" s="2"/>
      <c r="BL111" s="2"/>
      <c r="BM111" s="20"/>
      <c r="BN111" s="20"/>
      <c r="BO111" s="2"/>
    </row>
    <row r="112" spans="1:69" s="14" customFormat="1" x14ac:dyDescent="0.3">
      <c r="A112" s="20">
        <v>111</v>
      </c>
      <c r="B112" s="2" t="s">
        <v>202</v>
      </c>
      <c r="C112" s="2">
        <v>2019</v>
      </c>
      <c r="D112" s="2" t="s">
        <v>199</v>
      </c>
      <c r="E112" s="10" t="s">
        <v>791</v>
      </c>
      <c r="F112" s="20" t="s">
        <v>29</v>
      </c>
      <c r="G112" s="2" t="s">
        <v>43</v>
      </c>
      <c r="H112" s="2" t="str">
        <f>'PFAS Properties'!$B$29</f>
        <v>PFBA</v>
      </c>
      <c r="I112" s="2" t="str">
        <f>'PFAS Properties'!$C$29</f>
        <v>PFCA</v>
      </c>
      <c r="J112" s="2" t="str">
        <f>'PFAS Properties'!$D$29</f>
        <v>C4HF7O2</v>
      </c>
      <c r="K112" s="25">
        <f>'PFAS Properties'!$P$29</f>
        <v>213.9864</v>
      </c>
      <c r="L112" s="2">
        <f>'PFAS Properties'!$X$29</f>
        <v>-0.2</v>
      </c>
      <c r="M112" s="2" t="str">
        <f>'PFAS Properties'!$Y$29</f>
        <v>-</v>
      </c>
      <c r="N112" s="33">
        <v>0</v>
      </c>
      <c r="O112" s="33">
        <v>0</v>
      </c>
      <c r="P112" s="33">
        <v>0</v>
      </c>
      <c r="Q112" s="33">
        <f t="shared" si="39"/>
        <v>0.99999865103893715</v>
      </c>
      <c r="R112" s="33">
        <v>0</v>
      </c>
      <c r="S112" s="33">
        <f t="shared" si="40"/>
        <v>1.3489610628932487E-6</v>
      </c>
      <c r="T112" s="8">
        <f t="shared" si="42"/>
        <v>1</v>
      </c>
      <c r="U112" s="33">
        <f t="shared" si="25"/>
        <v>0</v>
      </c>
      <c r="V112" s="33">
        <f t="shared" si="26"/>
        <v>-0.99999865103893715</v>
      </c>
      <c r="W112" s="33">
        <f t="shared" si="27"/>
        <v>212.9864013489611</v>
      </c>
      <c r="X112" s="33">
        <v>96485</v>
      </c>
      <c r="Y112" s="16">
        <f t="shared" si="28"/>
        <v>-453.00953128650292</v>
      </c>
      <c r="Z112" s="16">
        <v>4</v>
      </c>
      <c r="AA112" s="16">
        <v>7</v>
      </c>
      <c r="AB112" s="8">
        <f t="shared" si="29"/>
        <v>0.36090225563909772</v>
      </c>
      <c r="AC112" s="16">
        <f t="shared" si="30"/>
        <v>62.153482651233901</v>
      </c>
      <c r="AD112" s="20">
        <f>'PFAS Properties'!$W$29</f>
        <v>3</v>
      </c>
      <c r="AE112" s="8">
        <f>'PFAS Properties'!$S$29</f>
        <v>6.1376705372367555</v>
      </c>
      <c r="AF112" s="2">
        <f>'PFAS Properties'!$V$29</f>
        <v>2.2000000000000002</v>
      </c>
      <c r="AG112" s="24">
        <v>5.67</v>
      </c>
      <c r="AH112" s="2" t="s">
        <v>661</v>
      </c>
      <c r="AI112" s="15" t="s">
        <v>661</v>
      </c>
      <c r="AJ112" s="16" t="s">
        <v>661</v>
      </c>
      <c r="AK112" s="2" t="s">
        <v>661</v>
      </c>
      <c r="AL112" s="15" t="s">
        <v>661</v>
      </c>
      <c r="AM112" s="16" t="s">
        <v>661</v>
      </c>
      <c r="AN112" s="2" t="s">
        <v>661</v>
      </c>
      <c r="AO112" s="2" t="s">
        <v>661</v>
      </c>
      <c r="AP112" s="72">
        <v>9.2037666666666649</v>
      </c>
      <c r="AQ112" s="70" t="s">
        <v>752</v>
      </c>
      <c r="AR112" s="16">
        <v>71</v>
      </c>
      <c r="AS112" s="16">
        <v>24</v>
      </c>
      <c r="AT112" s="16">
        <v>5</v>
      </c>
      <c r="AU112" s="2" t="s">
        <v>661</v>
      </c>
      <c r="AV112" s="16">
        <f t="shared" si="31"/>
        <v>100</v>
      </c>
      <c r="AW112" s="18">
        <v>0.93</v>
      </c>
      <c r="AX112" s="13">
        <f t="shared" si="43"/>
        <v>9.300000000000001E-3</v>
      </c>
      <c r="AY112" s="13" t="s">
        <v>658</v>
      </c>
      <c r="AZ112" s="16">
        <f>2/0.01</f>
        <v>200</v>
      </c>
      <c r="BA112" s="16" t="s">
        <v>55</v>
      </c>
      <c r="BB112" s="16">
        <v>1</v>
      </c>
      <c r="BC112" s="16">
        <v>1000</v>
      </c>
      <c r="BD112" s="18">
        <v>0.12</v>
      </c>
      <c r="BE112" s="15">
        <f t="shared" si="32"/>
        <v>12.90322580645161</v>
      </c>
      <c r="BF112" s="15">
        <f t="shared" si="33"/>
        <v>1.1106982974936896</v>
      </c>
      <c r="BG112" s="8">
        <f t="shared" si="34"/>
        <v>-0.92081875395237522</v>
      </c>
      <c r="BH112" s="2" t="s">
        <v>605</v>
      </c>
      <c r="BI112" s="2"/>
      <c r="BJ112" s="2"/>
      <c r="BK112" s="2"/>
      <c r="BL112" s="2"/>
      <c r="BM112" s="20"/>
      <c r="BN112" s="20"/>
      <c r="BO112" s="2"/>
    </row>
    <row r="113" spans="1:67" s="14" customFormat="1" x14ac:dyDescent="0.3">
      <c r="A113" s="20">
        <v>112</v>
      </c>
      <c r="B113" s="2" t="s">
        <v>204</v>
      </c>
      <c r="C113" s="2">
        <v>2013</v>
      </c>
      <c r="D113" s="2" t="s">
        <v>203</v>
      </c>
      <c r="E113" s="10" t="s">
        <v>792</v>
      </c>
      <c r="F113" s="20" t="s">
        <v>29</v>
      </c>
      <c r="G113" s="2" t="s">
        <v>46</v>
      </c>
      <c r="H113" s="2" t="str">
        <f>'PFAS Properties'!$B$29</f>
        <v>PFBA</v>
      </c>
      <c r="I113" s="2" t="str">
        <f>'PFAS Properties'!$C$29</f>
        <v>PFCA</v>
      </c>
      <c r="J113" s="2" t="str">
        <f>'PFAS Properties'!$D$29</f>
        <v>C4HF7O2</v>
      </c>
      <c r="K113" s="25">
        <f>'PFAS Properties'!$P$29</f>
        <v>213.9864</v>
      </c>
      <c r="L113" s="2">
        <f>'PFAS Properties'!$X$29</f>
        <v>-0.2</v>
      </c>
      <c r="M113" s="2" t="str">
        <f>'PFAS Properties'!$Y$29</f>
        <v>-</v>
      </c>
      <c r="N113" s="33">
        <v>0</v>
      </c>
      <c r="O113" s="33">
        <v>0</v>
      </c>
      <c r="P113" s="33">
        <v>0</v>
      </c>
      <c r="Q113" s="33">
        <f t="shared" si="39"/>
        <v>0.99999949881301753</v>
      </c>
      <c r="R113" s="33">
        <v>0</v>
      </c>
      <c r="S113" s="33">
        <f t="shared" si="40"/>
        <v>5.0118698243875488E-7</v>
      </c>
      <c r="T113" s="8">
        <f t="shared" si="42"/>
        <v>1</v>
      </c>
      <c r="U113" s="33">
        <f t="shared" si="25"/>
        <v>0</v>
      </c>
      <c r="V113" s="33">
        <f t="shared" si="26"/>
        <v>-0.99999949881301753</v>
      </c>
      <c r="W113" s="33">
        <f t="shared" si="27"/>
        <v>212.98640050118698</v>
      </c>
      <c r="X113" s="33">
        <v>96485</v>
      </c>
      <c r="Y113" s="16">
        <f t="shared" si="28"/>
        <v>-453.00991713992693</v>
      </c>
      <c r="Z113" s="16">
        <v>4</v>
      </c>
      <c r="AA113" s="16">
        <v>7</v>
      </c>
      <c r="AB113" s="8">
        <f t="shared" si="29"/>
        <v>0.36090225563909772</v>
      </c>
      <c r="AC113" s="16">
        <f t="shared" si="30"/>
        <v>62.153482651233901</v>
      </c>
      <c r="AD113" s="20">
        <f>'PFAS Properties'!$W$29</f>
        <v>3</v>
      </c>
      <c r="AE113" s="8">
        <f>'PFAS Properties'!$S$29</f>
        <v>6.1376705372367555</v>
      </c>
      <c r="AF113" s="2">
        <f>'PFAS Properties'!$V$29</f>
        <v>2.2000000000000002</v>
      </c>
      <c r="AG113" s="24">
        <v>6.1</v>
      </c>
      <c r="AH113" s="2" t="s">
        <v>661</v>
      </c>
      <c r="AI113" s="15">
        <v>2.21</v>
      </c>
      <c r="AJ113" s="16">
        <f>AI113*1000/55.845</f>
        <v>39.573820395738203</v>
      </c>
      <c r="AK113" s="8">
        <f>AI113/10</f>
        <v>0.221</v>
      </c>
      <c r="AL113" s="15">
        <v>0.93</v>
      </c>
      <c r="AM113" s="16">
        <f>AL113*1000/26.98</f>
        <v>34.469977761304669</v>
      </c>
      <c r="AN113" s="8">
        <f>AL113/10</f>
        <v>9.2999999999999999E-2</v>
      </c>
      <c r="AO113" s="15" t="s">
        <v>41</v>
      </c>
      <c r="AP113" s="72">
        <v>14.27683666666667</v>
      </c>
      <c r="AQ113" s="70" t="s">
        <v>752</v>
      </c>
      <c r="AR113" s="16">
        <v>81</v>
      </c>
      <c r="AS113" s="16">
        <v>1</v>
      </c>
      <c r="AT113" s="16">
        <v>9</v>
      </c>
      <c r="AU113" s="16" t="s">
        <v>661</v>
      </c>
      <c r="AV113" s="16">
        <f t="shared" si="31"/>
        <v>91</v>
      </c>
      <c r="AW113" s="18">
        <v>1.7</v>
      </c>
      <c r="AX113" s="13">
        <f t="shared" si="43"/>
        <v>1.7000000000000001E-2</v>
      </c>
      <c r="AY113" s="13" t="s">
        <v>42</v>
      </c>
      <c r="AZ113" s="16">
        <f>15/0.04</f>
        <v>375</v>
      </c>
      <c r="BA113" s="16" t="s">
        <v>55</v>
      </c>
      <c r="BB113" s="15">
        <v>0.5</v>
      </c>
      <c r="BC113" s="16">
        <v>1000</v>
      </c>
      <c r="BD113" s="18">
        <v>0.61</v>
      </c>
      <c r="BE113" s="15">
        <f t="shared" si="32"/>
        <v>35.882352941176464</v>
      </c>
      <c r="BF113" s="15">
        <f t="shared" si="33"/>
        <v>1.554880913632493</v>
      </c>
      <c r="BG113" s="8">
        <f t="shared" si="34"/>
        <v>-0.21467016498923297</v>
      </c>
      <c r="BH113" s="13" t="s">
        <v>844</v>
      </c>
      <c r="BI113" s="15"/>
      <c r="BJ113" s="13"/>
      <c r="BK113" s="15"/>
      <c r="BL113" s="15"/>
      <c r="BM113" s="18"/>
      <c r="BN113" s="8"/>
      <c r="BO113" s="24"/>
    </row>
    <row r="114" spans="1:67" s="14" customFormat="1" x14ac:dyDescent="0.3">
      <c r="A114" s="20">
        <v>114</v>
      </c>
      <c r="B114" s="2" t="s">
        <v>204</v>
      </c>
      <c r="C114" s="2">
        <v>2013</v>
      </c>
      <c r="D114" s="2" t="s">
        <v>203</v>
      </c>
      <c r="E114" s="22" t="s">
        <v>792</v>
      </c>
      <c r="F114" s="20" t="s">
        <v>29</v>
      </c>
      <c r="G114" s="2" t="s">
        <v>40</v>
      </c>
      <c r="H114" s="2" t="str">
        <f>'PFAS Properties'!$B$29</f>
        <v>PFBA</v>
      </c>
      <c r="I114" s="2" t="str">
        <f>'PFAS Properties'!$C$29</f>
        <v>PFCA</v>
      </c>
      <c r="J114" s="2" t="str">
        <f>'PFAS Properties'!$D$29</f>
        <v>C4HF7O2</v>
      </c>
      <c r="K114" s="25">
        <f>'PFAS Properties'!$P$29</f>
        <v>213.9864</v>
      </c>
      <c r="L114" s="2">
        <f>'PFAS Properties'!$X$29</f>
        <v>-0.2</v>
      </c>
      <c r="M114" s="2" t="str">
        <f>'PFAS Properties'!$Y$29</f>
        <v>-</v>
      </c>
      <c r="N114" s="33">
        <v>0</v>
      </c>
      <c r="O114" s="33">
        <v>0</v>
      </c>
      <c r="P114" s="33">
        <v>0</v>
      </c>
      <c r="Q114" s="33">
        <f t="shared" si="39"/>
        <v>0.99999601894414336</v>
      </c>
      <c r="R114" s="33">
        <v>0</v>
      </c>
      <c r="S114" s="33">
        <f t="shared" si="40"/>
        <v>3.981055856666137E-6</v>
      </c>
      <c r="T114" s="8">
        <f t="shared" si="42"/>
        <v>1</v>
      </c>
      <c r="U114" s="33">
        <f t="shared" si="25"/>
        <v>0</v>
      </c>
      <c r="V114" s="33">
        <f t="shared" si="26"/>
        <v>-0.99999601894414336</v>
      </c>
      <c r="W114" s="33">
        <f t="shared" si="27"/>
        <v>212.98640398105584</v>
      </c>
      <c r="X114" s="33">
        <v>96485</v>
      </c>
      <c r="Y114" s="16">
        <f t="shared" si="28"/>
        <v>-453.00833332256991</v>
      </c>
      <c r="Z114" s="16">
        <v>4</v>
      </c>
      <c r="AA114" s="16">
        <v>7</v>
      </c>
      <c r="AB114" s="8">
        <f t="shared" si="29"/>
        <v>0.36090225563909772</v>
      </c>
      <c r="AC114" s="16">
        <f t="shared" si="30"/>
        <v>62.153482651233901</v>
      </c>
      <c r="AD114" s="20">
        <f>'PFAS Properties'!$W$29</f>
        <v>3</v>
      </c>
      <c r="AE114" s="8">
        <f>'PFAS Properties'!$S$29</f>
        <v>6.1376705372367555</v>
      </c>
      <c r="AF114" s="2">
        <f>'PFAS Properties'!$V$29</f>
        <v>2.2000000000000002</v>
      </c>
      <c r="AG114" s="24">
        <v>5.2</v>
      </c>
      <c r="AH114" s="2" t="s">
        <v>661</v>
      </c>
      <c r="AI114" s="15">
        <v>24.17</v>
      </c>
      <c r="AJ114" s="16">
        <f>AI114*1000/55.845</f>
        <v>432.80508550452146</v>
      </c>
      <c r="AK114" s="8">
        <f>AI114/10</f>
        <v>2.4170000000000003</v>
      </c>
      <c r="AL114" s="15">
        <v>3.99</v>
      </c>
      <c r="AM114" s="16">
        <f>AL114*1000/26.98</f>
        <v>147.88732394366198</v>
      </c>
      <c r="AN114" s="8">
        <f>AL114/10</f>
        <v>0.39900000000000002</v>
      </c>
      <c r="AO114" s="15" t="s">
        <v>41</v>
      </c>
      <c r="AP114" s="72">
        <v>12.009766666666669</v>
      </c>
      <c r="AQ114" s="70" t="s">
        <v>752</v>
      </c>
      <c r="AR114" s="16">
        <v>47</v>
      </c>
      <c r="AS114" s="16">
        <v>20</v>
      </c>
      <c r="AT114" s="16">
        <v>33</v>
      </c>
      <c r="AU114" s="16" t="s">
        <v>661</v>
      </c>
      <c r="AV114" s="16">
        <f t="shared" si="31"/>
        <v>100</v>
      </c>
      <c r="AW114" s="18">
        <v>0.8</v>
      </c>
      <c r="AX114" s="13">
        <f t="shared" si="43"/>
        <v>8.0000000000000002E-3</v>
      </c>
      <c r="AY114" s="13" t="s">
        <v>42</v>
      </c>
      <c r="AZ114" s="16">
        <f>15/0.04</f>
        <v>375</v>
      </c>
      <c r="BA114" s="16" t="s">
        <v>55</v>
      </c>
      <c r="BB114" s="15">
        <v>0.5</v>
      </c>
      <c r="BC114" s="16">
        <v>1000</v>
      </c>
      <c r="BD114" s="18">
        <v>0.79</v>
      </c>
      <c r="BE114" s="15">
        <f t="shared" si="32"/>
        <v>98.75</v>
      </c>
      <c r="BF114" s="15">
        <f t="shared" si="33"/>
        <v>1.9945371042984978</v>
      </c>
      <c r="BG114" s="8">
        <f t="shared" si="34"/>
        <v>-0.10237290870955855</v>
      </c>
      <c r="BH114" s="13" t="s">
        <v>844</v>
      </c>
      <c r="BI114" s="16"/>
      <c r="BJ114" s="13"/>
      <c r="BK114" s="15"/>
      <c r="BL114" s="16"/>
      <c r="BM114" s="18"/>
      <c r="BN114" s="8"/>
      <c r="BO114" s="24"/>
    </row>
    <row r="115" spans="1:67" s="14" customFormat="1" x14ac:dyDescent="0.3">
      <c r="A115" s="20">
        <v>115</v>
      </c>
      <c r="B115" s="2" t="s">
        <v>206</v>
      </c>
      <c r="C115" s="2">
        <v>2020</v>
      </c>
      <c r="D115" s="2" t="s">
        <v>201</v>
      </c>
      <c r="E115" s="10" t="s">
        <v>793</v>
      </c>
      <c r="F115" s="20" t="s">
        <v>29</v>
      </c>
      <c r="G115" s="2" t="s">
        <v>44</v>
      </c>
      <c r="H115" s="2" t="str">
        <f>'PFAS Properties'!$B$29</f>
        <v>PFBA</v>
      </c>
      <c r="I115" s="2" t="str">
        <f>'PFAS Properties'!$C$29</f>
        <v>PFCA</v>
      </c>
      <c r="J115" s="2" t="str">
        <f>'PFAS Properties'!$D$29</f>
        <v>C4HF7O2</v>
      </c>
      <c r="K115" s="25">
        <f>'PFAS Properties'!$P$29</f>
        <v>213.9864</v>
      </c>
      <c r="L115" s="2">
        <f>'PFAS Properties'!$X$29</f>
        <v>-0.2</v>
      </c>
      <c r="M115" s="2" t="str">
        <f>'PFAS Properties'!$Y$29</f>
        <v>-</v>
      </c>
      <c r="N115" s="33">
        <v>0</v>
      </c>
      <c r="O115" s="33">
        <v>0</v>
      </c>
      <c r="P115" s="33">
        <v>0</v>
      </c>
      <c r="Q115" s="33">
        <f t="shared" si="39"/>
        <v>0.99999999000000006</v>
      </c>
      <c r="R115" s="33">
        <v>0</v>
      </c>
      <c r="S115" s="33">
        <f t="shared" si="40"/>
        <v>9.9999999000000002E-9</v>
      </c>
      <c r="T115" s="8">
        <f t="shared" si="42"/>
        <v>1</v>
      </c>
      <c r="U115" s="33">
        <f t="shared" si="25"/>
        <v>0</v>
      </c>
      <c r="V115" s="33">
        <f t="shared" si="26"/>
        <v>-0.99999999000000006</v>
      </c>
      <c r="W115" s="33">
        <f t="shared" si="27"/>
        <v>212.98640000999998</v>
      </c>
      <c r="X115" s="33">
        <v>96485</v>
      </c>
      <c r="Y115" s="16">
        <f t="shared" si="28"/>
        <v>-453.01014069733986</v>
      </c>
      <c r="Z115" s="16">
        <v>4</v>
      </c>
      <c r="AA115" s="16">
        <v>7</v>
      </c>
      <c r="AB115" s="8">
        <f t="shared" si="29"/>
        <v>0.36090225563909772</v>
      </c>
      <c r="AC115" s="16">
        <f t="shared" si="30"/>
        <v>62.153482651233901</v>
      </c>
      <c r="AD115" s="20">
        <f>'PFAS Properties'!$W$29</f>
        <v>3</v>
      </c>
      <c r="AE115" s="8">
        <f>'PFAS Properties'!$S$29</f>
        <v>6.1376705372367555</v>
      </c>
      <c r="AF115" s="2">
        <f>'PFAS Properties'!$V$29</f>
        <v>2.2000000000000002</v>
      </c>
      <c r="AG115" s="24">
        <v>7.8</v>
      </c>
      <c r="AH115" s="2" t="s">
        <v>661</v>
      </c>
      <c r="AI115" s="2" t="s">
        <v>661</v>
      </c>
      <c r="AJ115" s="2" t="s">
        <v>661</v>
      </c>
      <c r="AK115" s="2" t="s">
        <v>661</v>
      </c>
      <c r="AL115" s="2" t="s">
        <v>661</v>
      </c>
      <c r="AM115" s="2" t="s">
        <v>661</v>
      </c>
      <c r="AN115" s="2" t="s">
        <v>661</v>
      </c>
      <c r="AO115" s="2" t="s">
        <v>661</v>
      </c>
      <c r="AP115" s="72">
        <v>11.17476666666666</v>
      </c>
      <c r="AQ115" s="70" t="s">
        <v>752</v>
      </c>
      <c r="AR115" s="16">
        <v>47</v>
      </c>
      <c r="AS115" s="16">
        <v>38</v>
      </c>
      <c r="AT115" s="16">
        <v>15</v>
      </c>
      <c r="AU115" s="16" t="s">
        <v>661</v>
      </c>
      <c r="AV115" s="16">
        <f t="shared" si="31"/>
        <v>100</v>
      </c>
      <c r="AW115" s="18">
        <v>1.43</v>
      </c>
      <c r="AX115" s="13">
        <f t="shared" si="43"/>
        <v>1.43E-2</v>
      </c>
      <c r="AY115" s="8" t="s">
        <v>45</v>
      </c>
      <c r="AZ115" s="16">
        <f>5/0.025</f>
        <v>200</v>
      </c>
      <c r="BA115" s="16" t="s">
        <v>55</v>
      </c>
      <c r="BB115" s="16">
        <v>1</v>
      </c>
      <c r="BC115" s="16">
        <v>500</v>
      </c>
      <c r="BD115" s="20">
        <v>0.85</v>
      </c>
      <c r="BE115" s="15">
        <f t="shared" si="32"/>
        <v>59.44055944055944</v>
      </c>
      <c r="BF115" s="15">
        <f t="shared" si="33"/>
        <v>1.774082888249231</v>
      </c>
      <c r="BG115" s="8">
        <f t="shared" si="34"/>
        <v>-7.0581074285707285E-2</v>
      </c>
      <c r="BH115" s="2" t="s">
        <v>855</v>
      </c>
      <c r="BI115" s="8"/>
      <c r="BJ115" s="13"/>
      <c r="BK115" s="15"/>
      <c r="BL115" s="8"/>
      <c r="BM115" s="18"/>
      <c r="BN115" s="8"/>
      <c r="BO115" s="24"/>
    </row>
    <row r="116" spans="1:67" s="14" customFormat="1" x14ac:dyDescent="0.3">
      <c r="A116" s="20">
        <v>116</v>
      </c>
      <c r="B116" s="2" t="s">
        <v>214</v>
      </c>
      <c r="C116" s="2">
        <v>2022</v>
      </c>
      <c r="D116" s="2" t="s">
        <v>201</v>
      </c>
      <c r="E116" s="22" t="s">
        <v>808</v>
      </c>
      <c r="F116" s="20" t="s">
        <v>29</v>
      </c>
      <c r="G116" s="2" t="s">
        <v>233</v>
      </c>
      <c r="H116" s="2" t="str">
        <f>'PFAS Properties'!$B$29</f>
        <v>PFBA</v>
      </c>
      <c r="I116" s="2" t="str">
        <f>'PFAS Properties'!$C$29</f>
        <v>PFCA</v>
      </c>
      <c r="J116" s="2" t="str">
        <f>'PFAS Properties'!$D$29</f>
        <v>C4HF7O2</v>
      </c>
      <c r="K116" s="25">
        <f>'PFAS Properties'!$P$29</f>
        <v>213.9864</v>
      </c>
      <c r="L116" s="2">
        <f>'PFAS Properties'!$X$29</f>
        <v>-0.2</v>
      </c>
      <c r="M116" s="2" t="str">
        <f>'PFAS Properties'!$Y$29</f>
        <v>-</v>
      </c>
      <c r="N116" s="33">
        <v>0</v>
      </c>
      <c r="O116" s="33">
        <v>0</v>
      </c>
      <c r="P116" s="33">
        <v>0</v>
      </c>
      <c r="Q116" s="33">
        <f t="shared" si="39"/>
        <v>0.99999000009999905</v>
      </c>
      <c r="R116" s="33">
        <v>0</v>
      </c>
      <c r="S116" s="33">
        <f t="shared" si="40"/>
        <v>9.9999000009999908E-6</v>
      </c>
      <c r="T116" s="8">
        <f t="shared" si="42"/>
        <v>1</v>
      </c>
      <c r="U116" s="33">
        <f t="shared" si="25"/>
        <v>0</v>
      </c>
      <c r="V116" s="33">
        <f t="shared" si="26"/>
        <v>-0.99999000009999905</v>
      </c>
      <c r="W116" s="33">
        <f t="shared" si="27"/>
        <v>212.98640999990002</v>
      </c>
      <c r="X116" s="33">
        <v>96485</v>
      </c>
      <c r="Y116" s="16">
        <f t="shared" si="28"/>
        <v>-453.00559392354512</v>
      </c>
      <c r="Z116" s="16">
        <v>4</v>
      </c>
      <c r="AA116" s="16">
        <v>7</v>
      </c>
      <c r="AB116" s="8">
        <f t="shared" si="29"/>
        <v>0.36090225563909772</v>
      </c>
      <c r="AC116" s="16">
        <f t="shared" si="30"/>
        <v>62.153482651233901</v>
      </c>
      <c r="AD116" s="20">
        <f>'PFAS Properties'!$W$29</f>
        <v>3</v>
      </c>
      <c r="AE116" s="8">
        <f>'PFAS Properties'!$S$29</f>
        <v>6.1376705372367555</v>
      </c>
      <c r="AF116" s="2">
        <f>'PFAS Properties'!$V$29</f>
        <v>2.2000000000000002</v>
      </c>
      <c r="AG116" s="24">
        <v>4.8</v>
      </c>
      <c r="AH116" s="2" t="s">
        <v>216</v>
      </c>
      <c r="AI116" s="2">
        <v>8.3000000000000007</v>
      </c>
      <c r="AJ116" s="15">
        <f t="shared" ref="AJ116:AJ123" si="46">AI116*1000/55.845</f>
        <v>148.62566030978601</v>
      </c>
      <c r="AK116" s="15">
        <f t="shared" ref="AK116:AK124" si="47">AI116/10</f>
        <v>0.83000000000000007</v>
      </c>
      <c r="AL116" s="15">
        <v>7.85</v>
      </c>
      <c r="AM116" s="15">
        <f t="shared" ref="AM116:AM123" si="48">AL116*1000/26.98</f>
        <v>290.95626389918459</v>
      </c>
      <c r="AN116" s="15">
        <f t="shared" ref="AN116:AN124" si="49">AL116/10</f>
        <v>0.78499999999999992</v>
      </c>
      <c r="AO116" s="15" t="s">
        <v>217</v>
      </c>
      <c r="AP116" s="72">
        <v>15.34083666666667</v>
      </c>
      <c r="AQ116" s="70" t="s">
        <v>752</v>
      </c>
      <c r="AR116" s="16">
        <v>32</v>
      </c>
      <c r="AS116" s="16">
        <v>40</v>
      </c>
      <c r="AT116" s="16">
        <v>28</v>
      </c>
      <c r="AU116" s="16" t="s">
        <v>661</v>
      </c>
      <c r="AV116" s="16">
        <f t="shared" si="31"/>
        <v>100</v>
      </c>
      <c r="AW116" s="18">
        <v>4.9000000000000004</v>
      </c>
      <c r="AX116" s="13">
        <f t="shared" si="43"/>
        <v>4.9000000000000002E-2</v>
      </c>
      <c r="AY116" s="8" t="s">
        <v>218</v>
      </c>
      <c r="AZ116" s="16">
        <f>1.5/0.075</f>
        <v>20</v>
      </c>
      <c r="BA116" s="16" t="s">
        <v>55</v>
      </c>
      <c r="BB116" s="16">
        <v>10</v>
      </c>
      <c r="BC116" s="16" t="s">
        <v>55</v>
      </c>
      <c r="BD116" s="20">
        <v>0.24</v>
      </c>
      <c r="BE116" s="15">
        <f t="shared" si="32"/>
        <v>4.8979591836734686</v>
      </c>
      <c r="BF116" s="15">
        <f t="shared" si="33"/>
        <v>0.69001516168309229</v>
      </c>
      <c r="BG116" s="8">
        <f t="shared" si="34"/>
        <v>-0.61978875828839397</v>
      </c>
      <c r="BH116" s="2" t="s">
        <v>374</v>
      </c>
      <c r="BI116" s="2"/>
      <c r="BJ116" s="2"/>
      <c r="BK116" s="2"/>
      <c r="BL116" s="2"/>
      <c r="BM116" s="20"/>
      <c r="BN116" s="20"/>
      <c r="BO116" s="2"/>
    </row>
    <row r="117" spans="1:67" s="14" customFormat="1" x14ac:dyDescent="0.3">
      <c r="A117" s="20">
        <v>117</v>
      </c>
      <c r="B117" s="2" t="s">
        <v>200</v>
      </c>
      <c r="C117" s="2">
        <v>2021</v>
      </c>
      <c r="D117" s="2" t="s">
        <v>201</v>
      </c>
      <c r="E117" s="10" t="s">
        <v>794</v>
      </c>
      <c r="F117" s="20" t="s">
        <v>29</v>
      </c>
      <c r="G117" s="2" t="s">
        <v>30</v>
      </c>
      <c r="H117" s="2" t="str">
        <f>'PFAS Properties'!$B$29</f>
        <v>PFBA</v>
      </c>
      <c r="I117" s="2" t="str">
        <f>'PFAS Properties'!$C$29</f>
        <v>PFCA</v>
      </c>
      <c r="J117" s="2" t="str">
        <f>'PFAS Properties'!$D$29</f>
        <v>C4HF7O2</v>
      </c>
      <c r="K117" s="25">
        <f>'PFAS Properties'!$P$29</f>
        <v>213.9864</v>
      </c>
      <c r="L117" s="2">
        <f>'PFAS Properties'!$X$29</f>
        <v>-0.2</v>
      </c>
      <c r="M117" s="2" t="str">
        <f>'PFAS Properties'!$Y$29</f>
        <v>-</v>
      </c>
      <c r="N117" s="33">
        <v>0</v>
      </c>
      <c r="O117" s="33">
        <v>0</v>
      </c>
      <c r="P117" s="33">
        <v>0</v>
      </c>
      <c r="Q117" s="33">
        <f t="shared" si="39"/>
        <v>0.99999800474166611</v>
      </c>
      <c r="R117" s="33">
        <v>0</v>
      </c>
      <c r="S117" s="33">
        <f t="shared" si="40"/>
        <v>1.9952583339051124E-6</v>
      </c>
      <c r="T117" s="8">
        <f t="shared" si="42"/>
        <v>1</v>
      </c>
      <c r="U117" s="33">
        <f t="shared" si="25"/>
        <v>0</v>
      </c>
      <c r="V117" s="33">
        <f t="shared" si="26"/>
        <v>-0.99999800474166611</v>
      </c>
      <c r="W117" s="33">
        <f t="shared" si="27"/>
        <v>212.98640199525835</v>
      </c>
      <c r="X117" s="33">
        <v>96485</v>
      </c>
      <c r="Y117" s="16">
        <f t="shared" si="28"/>
        <v>-453.00923713264876</v>
      </c>
      <c r="Z117" s="16">
        <v>4</v>
      </c>
      <c r="AA117" s="16">
        <v>7</v>
      </c>
      <c r="AB117" s="8">
        <f t="shared" si="29"/>
        <v>0.36090225563909772</v>
      </c>
      <c r="AC117" s="16">
        <f t="shared" si="30"/>
        <v>62.153482651233901</v>
      </c>
      <c r="AD117" s="20">
        <f>'PFAS Properties'!$W$29</f>
        <v>3</v>
      </c>
      <c r="AE117" s="8">
        <f>'PFAS Properties'!$S$29</f>
        <v>6.1376705372367555</v>
      </c>
      <c r="AF117" s="2">
        <f>'PFAS Properties'!$V$29</f>
        <v>2.2000000000000002</v>
      </c>
      <c r="AG117" s="24">
        <v>5.5</v>
      </c>
      <c r="AH117" s="2" t="s">
        <v>834</v>
      </c>
      <c r="AI117" s="15">
        <v>1.0129999999999999</v>
      </c>
      <c r="AJ117" s="16">
        <f t="shared" si="46"/>
        <v>18.13949324021846</v>
      </c>
      <c r="AK117" s="8">
        <f t="shared" si="47"/>
        <v>0.10129999999999999</v>
      </c>
      <c r="AL117" s="15">
        <v>0.40400000000000003</v>
      </c>
      <c r="AM117" s="16">
        <f t="shared" si="48"/>
        <v>14.974054855448481</v>
      </c>
      <c r="AN117" s="8">
        <f t="shared" si="49"/>
        <v>4.0400000000000005E-2</v>
      </c>
      <c r="AO117" s="15" t="s">
        <v>31</v>
      </c>
      <c r="AP117" s="15">
        <v>23.4</v>
      </c>
      <c r="AQ117" s="16" t="s">
        <v>689</v>
      </c>
      <c r="AR117" s="16">
        <v>54.4</v>
      </c>
      <c r="AS117" s="16">
        <v>35</v>
      </c>
      <c r="AT117" s="16">
        <v>10.6</v>
      </c>
      <c r="AU117" s="16" t="s">
        <v>664</v>
      </c>
      <c r="AV117" s="16">
        <f t="shared" si="31"/>
        <v>100</v>
      </c>
      <c r="AW117" s="18">
        <v>1.6</v>
      </c>
      <c r="AX117" s="13">
        <f t="shared" si="43"/>
        <v>1.6E-2</v>
      </c>
      <c r="AY117" s="8" t="s">
        <v>32</v>
      </c>
      <c r="AZ117" s="16">
        <f t="shared" ref="AZ117:AZ123" si="50">3/0.03</f>
        <v>100</v>
      </c>
      <c r="BA117" s="16" t="s">
        <v>55</v>
      </c>
      <c r="BB117" s="16">
        <v>30</v>
      </c>
      <c r="BC117" s="16" t="s">
        <v>55</v>
      </c>
      <c r="BD117" s="20">
        <v>0.55000000000000004</v>
      </c>
      <c r="BE117" s="15">
        <f t="shared" si="32"/>
        <v>34.375</v>
      </c>
      <c r="BF117" s="15">
        <f t="shared" si="33"/>
        <v>1.5362427068383191</v>
      </c>
      <c r="BG117" s="8">
        <f t="shared" si="34"/>
        <v>-0.25963731050575611</v>
      </c>
      <c r="BH117" s="2" t="s">
        <v>841</v>
      </c>
      <c r="BI117" s="2"/>
      <c r="BJ117" s="2"/>
      <c r="BK117" s="2"/>
      <c r="BL117" s="2"/>
      <c r="BM117" s="20"/>
      <c r="BN117" s="20"/>
      <c r="BO117" s="2"/>
    </row>
    <row r="118" spans="1:67" s="14" customFormat="1" x14ac:dyDescent="0.3">
      <c r="A118" s="20">
        <v>118</v>
      </c>
      <c r="B118" s="2" t="s">
        <v>200</v>
      </c>
      <c r="C118" s="2">
        <v>2021</v>
      </c>
      <c r="D118" s="2" t="s">
        <v>201</v>
      </c>
      <c r="E118" s="22" t="s">
        <v>794</v>
      </c>
      <c r="F118" s="20" t="s">
        <v>29</v>
      </c>
      <c r="G118" s="2" t="s">
        <v>33</v>
      </c>
      <c r="H118" s="2" t="str">
        <f>'PFAS Properties'!$B$29</f>
        <v>PFBA</v>
      </c>
      <c r="I118" s="2" t="str">
        <f>'PFAS Properties'!$C$29</f>
        <v>PFCA</v>
      </c>
      <c r="J118" s="2" t="str">
        <f>'PFAS Properties'!$D$29</f>
        <v>C4HF7O2</v>
      </c>
      <c r="K118" s="25">
        <f>'PFAS Properties'!$P$29</f>
        <v>213.9864</v>
      </c>
      <c r="L118" s="2">
        <f>'PFAS Properties'!$X$29</f>
        <v>-0.2</v>
      </c>
      <c r="M118" s="2" t="str">
        <f>'PFAS Properties'!$Y$29</f>
        <v>-</v>
      </c>
      <c r="N118" s="33">
        <v>0</v>
      </c>
      <c r="O118" s="33">
        <v>0</v>
      </c>
      <c r="P118" s="33">
        <v>0</v>
      </c>
      <c r="Q118" s="33">
        <f t="shared" si="39"/>
        <v>0.99999999369042658</v>
      </c>
      <c r="R118" s="33">
        <v>0</v>
      </c>
      <c r="S118" s="33">
        <f t="shared" si="40"/>
        <v>6.3095734049912165E-9</v>
      </c>
      <c r="T118" s="8">
        <f t="shared" si="42"/>
        <v>1</v>
      </c>
      <c r="U118" s="33">
        <f t="shared" si="25"/>
        <v>0</v>
      </c>
      <c r="V118" s="33">
        <f t="shared" si="26"/>
        <v>-0.99999999369042658</v>
      </c>
      <c r="W118" s="33">
        <f t="shared" si="27"/>
        <v>212.98640000630957</v>
      </c>
      <c r="X118" s="33">
        <v>96485</v>
      </c>
      <c r="Y118" s="16">
        <f t="shared" si="28"/>
        <v>-453.0101423769899</v>
      </c>
      <c r="Z118" s="16">
        <v>4</v>
      </c>
      <c r="AA118" s="16">
        <v>7</v>
      </c>
      <c r="AB118" s="8">
        <f t="shared" si="29"/>
        <v>0.36090225563909772</v>
      </c>
      <c r="AC118" s="16">
        <f t="shared" si="30"/>
        <v>62.153482651233901</v>
      </c>
      <c r="AD118" s="20">
        <f>'PFAS Properties'!$W$29</f>
        <v>3</v>
      </c>
      <c r="AE118" s="8">
        <f>'PFAS Properties'!$S$29</f>
        <v>6.1376705372367555</v>
      </c>
      <c r="AF118" s="2">
        <f>'PFAS Properties'!$V$29</f>
        <v>2.2000000000000002</v>
      </c>
      <c r="AG118" s="24">
        <v>8</v>
      </c>
      <c r="AH118" s="2" t="s">
        <v>834</v>
      </c>
      <c r="AI118" s="15">
        <v>2.9660000000000002</v>
      </c>
      <c r="AJ118" s="16">
        <f t="shared" si="46"/>
        <v>53.111290178171728</v>
      </c>
      <c r="AK118" s="8">
        <f t="shared" si="47"/>
        <v>0.29660000000000003</v>
      </c>
      <c r="AL118" s="15">
        <v>0.23</v>
      </c>
      <c r="AM118" s="16">
        <f t="shared" si="48"/>
        <v>8.5248332097850259</v>
      </c>
      <c r="AN118" s="8">
        <f t="shared" si="49"/>
        <v>2.3E-2</v>
      </c>
      <c r="AO118" s="15" t="s">
        <v>31</v>
      </c>
      <c r="AP118" s="15">
        <v>87.3</v>
      </c>
      <c r="AQ118" s="16" t="s">
        <v>689</v>
      </c>
      <c r="AR118" s="16">
        <v>12.2</v>
      </c>
      <c r="AS118" s="16">
        <v>54.3</v>
      </c>
      <c r="AT118" s="16">
        <v>33.5</v>
      </c>
      <c r="AU118" s="16" t="s">
        <v>664</v>
      </c>
      <c r="AV118" s="16">
        <f t="shared" si="31"/>
        <v>100</v>
      </c>
      <c r="AW118" s="18">
        <v>7.7</v>
      </c>
      <c r="AX118" s="13">
        <f t="shared" si="43"/>
        <v>7.6999999999999999E-2</v>
      </c>
      <c r="AY118" s="8" t="s">
        <v>32</v>
      </c>
      <c r="AZ118" s="16">
        <f t="shared" si="50"/>
        <v>100</v>
      </c>
      <c r="BA118" s="16" t="s">
        <v>55</v>
      </c>
      <c r="BB118" s="16">
        <v>30</v>
      </c>
      <c r="BC118" s="16" t="s">
        <v>55</v>
      </c>
      <c r="BD118" s="20">
        <v>0.89</v>
      </c>
      <c r="BE118" s="15">
        <f t="shared" si="32"/>
        <v>11.558441558441558</v>
      </c>
      <c r="BF118" s="15">
        <f t="shared" si="33"/>
        <v>1.062899281472431</v>
      </c>
      <c r="BG118" s="8">
        <f t="shared" si="34"/>
        <v>-5.0609993355087209E-2</v>
      </c>
      <c r="BH118" s="2" t="s">
        <v>841</v>
      </c>
      <c r="BI118" s="2"/>
      <c r="BJ118" s="2"/>
      <c r="BK118" s="2"/>
      <c r="BL118" s="2"/>
      <c r="BM118" s="20"/>
      <c r="BN118" s="20"/>
      <c r="BO118" s="2"/>
    </row>
    <row r="119" spans="1:67" s="14" customFormat="1" x14ac:dyDescent="0.3">
      <c r="A119" s="20">
        <v>119</v>
      </c>
      <c r="B119" s="2" t="s">
        <v>200</v>
      </c>
      <c r="C119" s="2">
        <v>2021</v>
      </c>
      <c r="D119" s="2" t="s">
        <v>201</v>
      </c>
      <c r="E119" s="10" t="s">
        <v>794</v>
      </c>
      <c r="F119" s="20" t="s">
        <v>29</v>
      </c>
      <c r="G119" s="2" t="s">
        <v>34</v>
      </c>
      <c r="H119" s="2" t="str">
        <f>'PFAS Properties'!$B$29</f>
        <v>PFBA</v>
      </c>
      <c r="I119" s="2" t="str">
        <f>'PFAS Properties'!$C$29</f>
        <v>PFCA</v>
      </c>
      <c r="J119" s="2" t="str">
        <f>'PFAS Properties'!$D$29</f>
        <v>C4HF7O2</v>
      </c>
      <c r="K119" s="25">
        <f>'PFAS Properties'!$P$29</f>
        <v>213.9864</v>
      </c>
      <c r="L119" s="2">
        <f>'PFAS Properties'!$X$29</f>
        <v>-0.2</v>
      </c>
      <c r="M119" s="2" t="str">
        <f>'PFAS Properties'!$Y$29</f>
        <v>-</v>
      </c>
      <c r="N119" s="33">
        <v>0</v>
      </c>
      <c r="O119" s="33">
        <v>0</v>
      </c>
      <c r="P119" s="33">
        <v>0</v>
      </c>
      <c r="Q119" s="33">
        <f t="shared" si="39"/>
        <v>0.99999601894414336</v>
      </c>
      <c r="R119" s="33">
        <v>0</v>
      </c>
      <c r="S119" s="33">
        <f t="shared" si="40"/>
        <v>3.981055856666137E-6</v>
      </c>
      <c r="T119" s="8">
        <f t="shared" si="42"/>
        <v>1</v>
      </c>
      <c r="U119" s="33">
        <f t="shared" si="25"/>
        <v>0</v>
      </c>
      <c r="V119" s="33">
        <f t="shared" si="26"/>
        <v>-0.99999601894414336</v>
      </c>
      <c r="W119" s="33">
        <f t="shared" si="27"/>
        <v>212.98640398105584</v>
      </c>
      <c r="X119" s="33">
        <v>96485</v>
      </c>
      <c r="Y119" s="16">
        <f t="shared" si="28"/>
        <v>-453.00833332256991</v>
      </c>
      <c r="Z119" s="16">
        <v>4</v>
      </c>
      <c r="AA119" s="16">
        <v>7</v>
      </c>
      <c r="AB119" s="8">
        <f t="shared" si="29"/>
        <v>0.36090225563909772</v>
      </c>
      <c r="AC119" s="16">
        <f t="shared" si="30"/>
        <v>62.153482651233901</v>
      </c>
      <c r="AD119" s="20">
        <f>'PFAS Properties'!$W$29</f>
        <v>3</v>
      </c>
      <c r="AE119" s="8">
        <f>'PFAS Properties'!$S$29</f>
        <v>6.1376705372367555</v>
      </c>
      <c r="AF119" s="2">
        <f>'PFAS Properties'!$V$29</f>
        <v>2.2000000000000002</v>
      </c>
      <c r="AG119" s="24">
        <v>5.2</v>
      </c>
      <c r="AH119" s="2" t="s">
        <v>834</v>
      </c>
      <c r="AI119" s="15">
        <v>4.5149999999999997</v>
      </c>
      <c r="AJ119" s="16">
        <f t="shared" si="46"/>
        <v>80.848777867311313</v>
      </c>
      <c r="AK119" s="8">
        <f t="shared" si="47"/>
        <v>0.45149999999999996</v>
      </c>
      <c r="AL119" s="15">
        <v>0.377</v>
      </c>
      <c r="AM119" s="16">
        <f t="shared" si="48"/>
        <v>13.973313565604151</v>
      </c>
      <c r="AN119" s="8">
        <f t="shared" si="49"/>
        <v>3.7699999999999997E-2</v>
      </c>
      <c r="AO119" s="15" t="s">
        <v>31</v>
      </c>
      <c r="AP119" s="15">
        <v>44.3</v>
      </c>
      <c r="AQ119" s="16" t="s">
        <v>689</v>
      </c>
      <c r="AR119" s="16">
        <v>41.3</v>
      </c>
      <c r="AS119" s="16">
        <v>39.799999999999997</v>
      </c>
      <c r="AT119" s="16">
        <v>18.899999999999999</v>
      </c>
      <c r="AU119" s="16" t="s">
        <v>664</v>
      </c>
      <c r="AV119" s="16">
        <f t="shared" si="31"/>
        <v>100</v>
      </c>
      <c r="AW119" s="18">
        <v>9.4</v>
      </c>
      <c r="AX119" s="13">
        <f t="shared" si="43"/>
        <v>9.4E-2</v>
      </c>
      <c r="AY119" s="8" t="s">
        <v>32</v>
      </c>
      <c r="AZ119" s="16">
        <f t="shared" si="50"/>
        <v>100</v>
      </c>
      <c r="BA119" s="16" t="s">
        <v>55</v>
      </c>
      <c r="BB119" s="16">
        <v>30</v>
      </c>
      <c r="BC119" s="16" t="s">
        <v>55</v>
      </c>
      <c r="BD119" s="20">
        <v>0.33</v>
      </c>
      <c r="BE119" s="15">
        <f t="shared" si="32"/>
        <v>3.5106382978723407</v>
      </c>
      <c r="BF119" s="15">
        <f t="shared" si="33"/>
        <v>0.54538608627818885</v>
      </c>
      <c r="BG119" s="8">
        <f t="shared" si="34"/>
        <v>-0.48148606012211248</v>
      </c>
      <c r="BH119" s="2" t="s">
        <v>841</v>
      </c>
      <c r="BI119" s="2"/>
      <c r="BJ119" s="2"/>
      <c r="BK119" s="2"/>
      <c r="BL119" s="2"/>
      <c r="BM119" s="20"/>
      <c r="BN119" s="20"/>
      <c r="BO119" s="2"/>
    </row>
    <row r="120" spans="1:67" s="14" customFormat="1" x14ac:dyDescent="0.3">
      <c r="A120" s="20">
        <v>120</v>
      </c>
      <c r="B120" s="2" t="s">
        <v>200</v>
      </c>
      <c r="C120" s="2">
        <v>2021</v>
      </c>
      <c r="D120" s="2" t="s">
        <v>201</v>
      </c>
      <c r="E120" s="10" t="s">
        <v>794</v>
      </c>
      <c r="F120" s="20" t="s">
        <v>29</v>
      </c>
      <c r="G120" s="2" t="s">
        <v>35</v>
      </c>
      <c r="H120" s="2" t="str">
        <f>'PFAS Properties'!$B$29</f>
        <v>PFBA</v>
      </c>
      <c r="I120" s="2" t="str">
        <f>'PFAS Properties'!$C$29</f>
        <v>PFCA</v>
      </c>
      <c r="J120" s="2" t="str">
        <f>'PFAS Properties'!$D$29</f>
        <v>C4HF7O2</v>
      </c>
      <c r="K120" s="25">
        <f>'PFAS Properties'!$P$29</f>
        <v>213.9864</v>
      </c>
      <c r="L120" s="2">
        <f>'PFAS Properties'!$X$29</f>
        <v>-0.2</v>
      </c>
      <c r="M120" s="2" t="str">
        <f>'PFAS Properties'!$Y$29</f>
        <v>-</v>
      </c>
      <c r="N120" s="33">
        <v>0</v>
      </c>
      <c r="O120" s="33">
        <v>0</v>
      </c>
      <c r="P120" s="33">
        <v>0</v>
      </c>
      <c r="Q120" s="33">
        <f t="shared" si="39"/>
        <v>0.99999900000099995</v>
      </c>
      <c r="R120" s="33">
        <v>0</v>
      </c>
      <c r="S120" s="33">
        <f t="shared" si="40"/>
        <v>9.9999900000100006E-7</v>
      </c>
      <c r="T120" s="8">
        <f t="shared" si="42"/>
        <v>1</v>
      </c>
      <c r="U120" s="33">
        <f t="shared" si="25"/>
        <v>0</v>
      </c>
      <c r="V120" s="33">
        <f t="shared" si="26"/>
        <v>-0.99999900000099995</v>
      </c>
      <c r="W120" s="33">
        <f t="shared" si="27"/>
        <v>212.98640099999901</v>
      </c>
      <c r="X120" s="33">
        <v>96485</v>
      </c>
      <c r="Y120" s="16">
        <f t="shared" si="28"/>
        <v>-453.00969011207872</v>
      </c>
      <c r="Z120" s="16">
        <v>4</v>
      </c>
      <c r="AA120" s="16">
        <v>7</v>
      </c>
      <c r="AB120" s="8">
        <f t="shared" si="29"/>
        <v>0.36090225563909772</v>
      </c>
      <c r="AC120" s="16">
        <f t="shared" si="30"/>
        <v>62.153482651233901</v>
      </c>
      <c r="AD120" s="20">
        <f>'PFAS Properties'!$W$29</f>
        <v>3</v>
      </c>
      <c r="AE120" s="8">
        <f>'PFAS Properties'!$S$29</f>
        <v>6.1376705372367555</v>
      </c>
      <c r="AF120" s="2">
        <f>'PFAS Properties'!$V$29</f>
        <v>2.2000000000000002</v>
      </c>
      <c r="AG120" s="24">
        <v>5.8</v>
      </c>
      <c r="AH120" s="2" t="s">
        <v>834</v>
      </c>
      <c r="AI120" s="15">
        <v>6.5019999999999998</v>
      </c>
      <c r="AJ120" s="16">
        <f t="shared" si="46"/>
        <v>116.42940281135286</v>
      </c>
      <c r="AK120" s="8">
        <f t="shared" si="47"/>
        <v>0.6502</v>
      </c>
      <c r="AL120" s="15">
        <v>1.732</v>
      </c>
      <c r="AM120" s="16">
        <f t="shared" si="48"/>
        <v>64.195700518902896</v>
      </c>
      <c r="AN120" s="8">
        <f t="shared" si="49"/>
        <v>0.17319999999999999</v>
      </c>
      <c r="AO120" s="15" t="s">
        <v>31</v>
      </c>
      <c r="AP120" s="15">
        <v>90</v>
      </c>
      <c r="AQ120" s="16" t="s">
        <v>689</v>
      </c>
      <c r="AR120" s="16">
        <v>46</v>
      </c>
      <c r="AS120" s="16">
        <v>51</v>
      </c>
      <c r="AT120" s="16">
        <v>3</v>
      </c>
      <c r="AU120" s="16" t="s">
        <v>664</v>
      </c>
      <c r="AV120" s="16">
        <f t="shared" si="31"/>
        <v>100</v>
      </c>
      <c r="AW120" s="18">
        <v>27</v>
      </c>
      <c r="AX120" s="13">
        <f t="shared" si="43"/>
        <v>0.27</v>
      </c>
      <c r="AY120" s="8" t="s">
        <v>32</v>
      </c>
      <c r="AZ120" s="16">
        <f t="shared" si="50"/>
        <v>100</v>
      </c>
      <c r="BA120" s="16" t="s">
        <v>55</v>
      </c>
      <c r="BB120" s="16">
        <v>30</v>
      </c>
      <c r="BC120" s="16" t="s">
        <v>55</v>
      </c>
      <c r="BD120" s="20">
        <v>0.91</v>
      </c>
      <c r="BE120" s="15">
        <f t="shared" si="32"/>
        <v>3.3703703703703702</v>
      </c>
      <c r="BF120" s="15">
        <f t="shared" si="33"/>
        <v>0.52767762816210628</v>
      </c>
      <c r="BG120" s="8">
        <f t="shared" si="34"/>
        <v>-4.0958607678906384E-2</v>
      </c>
      <c r="BH120" s="2" t="s">
        <v>841</v>
      </c>
      <c r="BI120" s="2"/>
      <c r="BJ120" s="2"/>
      <c r="BK120" s="2"/>
      <c r="BL120" s="2"/>
      <c r="BM120" s="20"/>
      <c r="BN120" s="20"/>
      <c r="BO120" s="2"/>
    </row>
    <row r="121" spans="1:67" s="14" customFormat="1" x14ac:dyDescent="0.3">
      <c r="A121" s="20">
        <v>121</v>
      </c>
      <c r="B121" s="2" t="s">
        <v>200</v>
      </c>
      <c r="C121" s="2">
        <v>2021</v>
      </c>
      <c r="D121" s="2" t="s">
        <v>201</v>
      </c>
      <c r="E121" s="10" t="s">
        <v>794</v>
      </c>
      <c r="F121" s="20" t="s">
        <v>29</v>
      </c>
      <c r="G121" s="2" t="s">
        <v>36</v>
      </c>
      <c r="H121" s="2" t="str">
        <f>'PFAS Properties'!$B$29</f>
        <v>PFBA</v>
      </c>
      <c r="I121" s="2" t="str">
        <f>'PFAS Properties'!$C$29</f>
        <v>PFCA</v>
      </c>
      <c r="J121" s="2" t="str">
        <f>'PFAS Properties'!$D$29</f>
        <v>C4HF7O2</v>
      </c>
      <c r="K121" s="25">
        <f>'PFAS Properties'!$P$29</f>
        <v>213.9864</v>
      </c>
      <c r="L121" s="2">
        <f>'PFAS Properties'!$X$29</f>
        <v>-0.2</v>
      </c>
      <c r="M121" s="2" t="str">
        <f>'PFAS Properties'!$Y$29</f>
        <v>-</v>
      </c>
      <c r="N121" s="33">
        <v>0</v>
      </c>
      <c r="O121" s="33">
        <v>0</v>
      </c>
      <c r="P121" s="33">
        <v>0</v>
      </c>
      <c r="Q121" s="33">
        <f t="shared" si="39"/>
        <v>0.99999874107617315</v>
      </c>
      <c r="R121" s="33">
        <v>0</v>
      </c>
      <c r="S121" s="33">
        <f t="shared" si="40"/>
        <v>1.2589238269029671E-6</v>
      </c>
      <c r="T121" s="8">
        <f t="shared" si="42"/>
        <v>1</v>
      </c>
      <c r="U121" s="33">
        <f t="shared" si="25"/>
        <v>0</v>
      </c>
      <c r="V121" s="33">
        <f t="shared" si="26"/>
        <v>-0.99999874107617315</v>
      </c>
      <c r="W121" s="33">
        <f t="shared" si="27"/>
        <v>212.98640125892385</v>
      </c>
      <c r="X121" s="33">
        <v>96485</v>
      </c>
      <c r="Y121" s="16">
        <f t="shared" si="28"/>
        <v>-453.00957226578794</v>
      </c>
      <c r="Z121" s="16">
        <v>4</v>
      </c>
      <c r="AA121" s="16">
        <v>7</v>
      </c>
      <c r="AB121" s="8">
        <f t="shared" si="29"/>
        <v>0.36090225563909772</v>
      </c>
      <c r="AC121" s="16">
        <f t="shared" si="30"/>
        <v>62.153482651233901</v>
      </c>
      <c r="AD121" s="20">
        <f>'PFAS Properties'!$W$29</f>
        <v>3</v>
      </c>
      <c r="AE121" s="8">
        <f>'PFAS Properties'!$S$29</f>
        <v>6.1376705372367555</v>
      </c>
      <c r="AF121" s="2">
        <f>'PFAS Properties'!$V$29</f>
        <v>2.2000000000000002</v>
      </c>
      <c r="AG121" s="24">
        <v>5.7</v>
      </c>
      <c r="AH121" s="2" t="s">
        <v>834</v>
      </c>
      <c r="AI121" s="15">
        <v>12.358000000000001</v>
      </c>
      <c r="AJ121" s="16">
        <f t="shared" si="46"/>
        <v>221.29107350702839</v>
      </c>
      <c r="AK121" s="8">
        <f t="shared" si="47"/>
        <v>1.2358</v>
      </c>
      <c r="AL121" s="15">
        <v>1.0269999999999999</v>
      </c>
      <c r="AM121" s="16">
        <f t="shared" si="48"/>
        <v>38.065233506300963</v>
      </c>
      <c r="AN121" s="8">
        <f t="shared" si="49"/>
        <v>0.10269999999999999</v>
      </c>
      <c r="AO121" s="15" t="s">
        <v>31</v>
      </c>
      <c r="AP121" s="15">
        <v>103</v>
      </c>
      <c r="AQ121" s="16" t="s">
        <v>689</v>
      </c>
      <c r="AR121" s="16">
        <v>35</v>
      </c>
      <c r="AS121" s="16">
        <v>63</v>
      </c>
      <c r="AT121" s="16">
        <v>2</v>
      </c>
      <c r="AU121" s="16" t="s">
        <v>664</v>
      </c>
      <c r="AV121" s="16">
        <f t="shared" si="31"/>
        <v>100</v>
      </c>
      <c r="AW121" s="18">
        <v>32</v>
      </c>
      <c r="AX121" s="13">
        <f t="shared" si="43"/>
        <v>0.32</v>
      </c>
      <c r="AY121" s="8" t="s">
        <v>32</v>
      </c>
      <c r="AZ121" s="16">
        <f t="shared" si="50"/>
        <v>100</v>
      </c>
      <c r="BA121" s="16" t="s">
        <v>55</v>
      </c>
      <c r="BB121" s="16">
        <v>30</v>
      </c>
      <c r="BC121" s="16" t="s">
        <v>55</v>
      </c>
      <c r="BD121" s="20">
        <v>1.2</v>
      </c>
      <c r="BE121" s="15">
        <f t="shared" si="32"/>
        <v>3.75</v>
      </c>
      <c r="BF121" s="15">
        <f t="shared" si="33"/>
        <v>0.57403126772771884</v>
      </c>
      <c r="BG121" s="8">
        <f t="shared" si="34"/>
        <v>7.9181246047624818E-2</v>
      </c>
      <c r="BH121" s="2" t="s">
        <v>841</v>
      </c>
      <c r="BI121" s="2"/>
      <c r="BJ121" s="2"/>
      <c r="BK121" s="2"/>
      <c r="BL121" s="2"/>
      <c r="BM121" s="20"/>
      <c r="BN121" s="20"/>
      <c r="BO121" s="2"/>
    </row>
    <row r="122" spans="1:67" s="14" customFormat="1" x14ac:dyDescent="0.3">
      <c r="A122" s="20">
        <v>122</v>
      </c>
      <c r="B122" s="2" t="s">
        <v>200</v>
      </c>
      <c r="C122" s="2">
        <v>2021</v>
      </c>
      <c r="D122" s="2" t="s">
        <v>201</v>
      </c>
      <c r="E122" s="10" t="s">
        <v>794</v>
      </c>
      <c r="F122" s="20" t="s">
        <v>29</v>
      </c>
      <c r="G122" s="2" t="s">
        <v>37</v>
      </c>
      <c r="H122" s="2" t="str">
        <f>'PFAS Properties'!$B$29</f>
        <v>PFBA</v>
      </c>
      <c r="I122" s="2" t="str">
        <f>'PFAS Properties'!$C$29</f>
        <v>PFCA</v>
      </c>
      <c r="J122" s="2" t="str">
        <f>'PFAS Properties'!$D$29</f>
        <v>C4HF7O2</v>
      </c>
      <c r="K122" s="25">
        <f>'PFAS Properties'!$P$29</f>
        <v>213.9864</v>
      </c>
      <c r="L122" s="2">
        <f>'PFAS Properties'!$X$29</f>
        <v>-0.2</v>
      </c>
      <c r="M122" s="2" t="str">
        <f>'PFAS Properties'!$Y$29</f>
        <v>-</v>
      </c>
      <c r="N122" s="33">
        <v>0</v>
      </c>
      <c r="O122" s="33">
        <v>0</v>
      </c>
      <c r="P122" s="33">
        <v>0</v>
      </c>
      <c r="Q122" s="33">
        <f t="shared" si="39"/>
        <v>0.99999874107617315</v>
      </c>
      <c r="R122" s="33">
        <v>0</v>
      </c>
      <c r="S122" s="33">
        <f t="shared" si="40"/>
        <v>1.2589238269029671E-6</v>
      </c>
      <c r="T122" s="8">
        <f t="shared" si="42"/>
        <v>1</v>
      </c>
      <c r="U122" s="33">
        <f t="shared" si="25"/>
        <v>0</v>
      </c>
      <c r="V122" s="33">
        <f t="shared" si="26"/>
        <v>-0.99999874107617315</v>
      </c>
      <c r="W122" s="33">
        <f t="shared" si="27"/>
        <v>212.98640125892385</v>
      </c>
      <c r="X122" s="33">
        <v>96485</v>
      </c>
      <c r="Y122" s="16">
        <f t="shared" si="28"/>
        <v>-453.00957226578794</v>
      </c>
      <c r="Z122" s="16">
        <v>4</v>
      </c>
      <c r="AA122" s="16">
        <v>7</v>
      </c>
      <c r="AB122" s="8">
        <f t="shared" si="29"/>
        <v>0.36090225563909772</v>
      </c>
      <c r="AC122" s="16">
        <f t="shared" si="30"/>
        <v>62.153482651233901</v>
      </c>
      <c r="AD122" s="20">
        <f>'PFAS Properties'!$W$29</f>
        <v>3</v>
      </c>
      <c r="AE122" s="8">
        <f>'PFAS Properties'!$S$29</f>
        <v>6.1376705372367555</v>
      </c>
      <c r="AF122" s="2">
        <f>'PFAS Properties'!$V$29</f>
        <v>2.2000000000000002</v>
      </c>
      <c r="AG122" s="24">
        <v>5.7</v>
      </c>
      <c r="AH122" s="2" t="s">
        <v>834</v>
      </c>
      <c r="AI122" s="15">
        <v>10.64</v>
      </c>
      <c r="AJ122" s="16">
        <f t="shared" si="46"/>
        <v>190.52735249350883</v>
      </c>
      <c r="AK122" s="8">
        <f t="shared" si="47"/>
        <v>1.0640000000000001</v>
      </c>
      <c r="AL122" s="15">
        <v>0.16700000000000001</v>
      </c>
      <c r="AM122" s="16">
        <f t="shared" si="48"/>
        <v>6.1897702001482582</v>
      </c>
      <c r="AN122" s="8">
        <f t="shared" si="49"/>
        <v>1.67E-2</v>
      </c>
      <c r="AO122" s="15" t="s">
        <v>31</v>
      </c>
      <c r="AP122" s="15">
        <v>140</v>
      </c>
      <c r="AQ122" s="16" t="s">
        <v>689</v>
      </c>
      <c r="AR122" s="16">
        <v>20.7</v>
      </c>
      <c r="AS122" s="16">
        <v>78</v>
      </c>
      <c r="AT122" s="16">
        <v>1.3</v>
      </c>
      <c r="AU122" s="16" t="s">
        <v>664</v>
      </c>
      <c r="AV122" s="16">
        <f t="shared" si="31"/>
        <v>100</v>
      </c>
      <c r="AW122" s="18">
        <v>39</v>
      </c>
      <c r="AX122" s="13">
        <f t="shared" si="43"/>
        <v>0.39</v>
      </c>
      <c r="AY122" s="8" t="s">
        <v>32</v>
      </c>
      <c r="AZ122" s="16">
        <f t="shared" si="50"/>
        <v>100</v>
      </c>
      <c r="BA122" s="16" t="s">
        <v>55</v>
      </c>
      <c r="BB122" s="16">
        <v>30</v>
      </c>
      <c r="BC122" s="16" t="s">
        <v>55</v>
      </c>
      <c r="BD122" s="20">
        <v>1.7</v>
      </c>
      <c r="BE122" s="15">
        <f t="shared" si="32"/>
        <v>4.3589743589743586</v>
      </c>
      <c r="BF122" s="15">
        <f t="shared" si="33"/>
        <v>0.63938431435177467</v>
      </c>
      <c r="BG122" s="8">
        <f t="shared" si="34"/>
        <v>0.23044892137827391</v>
      </c>
      <c r="BH122" s="2" t="s">
        <v>841</v>
      </c>
      <c r="BI122" s="2"/>
      <c r="BJ122" s="2"/>
      <c r="BK122" s="2"/>
      <c r="BL122" s="2"/>
      <c r="BM122" s="20"/>
      <c r="BN122" s="20"/>
      <c r="BO122" s="2"/>
    </row>
    <row r="123" spans="1:67" s="14" customFormat="1" x14ac:dyDescent="0.3">
      <c r="A123" s="20">
        <v>123</v>
      </c>
      <c r="B123" s="2" t="s">
        <v>200</v>
      </c>
      <c r="C123" s="2">
        <v>2021</v>
      </c>
      <c r="D123" s="2" t="s">
        <v>201</v>
      </c>
      <c r="E123" s="10" t="s">
        <v>794</v>
      </c>
      <c r="F123" s="20" t="s">
        <v>29</v>
      </c>
      <c r="G123" s="2" t="s">
        <v>38</v>
      </c>
      <c r="H123" s="2" t="str">
        <f>'PFAS Properties'!$B$29</f>
        <v>PFBA</v>
      </c>
      <c r="I123" s="2" t="str">
        <f>'PFAS Properties'!$C$29</f>
        <v>PFCA</v>
      </c>
      <c r="J123" s="2" t="str">
        <f>'PFAS Properties'!$D$29</f>
        <v>C4HF7O2</v>
      </c>
      <c r="K123" s="25">
        <f>'PFAS Properties'!$P$29</f>
        <v>213.9864</v>
      </c>
      <c r="L123" s="2">
        <f>'PFAS Properties'!$X$29</f>
        <v>-0.2</v>
      </c>
      <c r="M123" s="2" t="str">
        <f>'PFAS Properties'!$Y$29</f>
        <v>-</v>
      </c>
      <c r="N123" s="33">
        <v>0</v>
      </c>
      <c r="O123" s="33">
        <v>0</v>
      </c>
      <c r="P123" s="33">
        <v>0</v>
      </c>
      <c r="Q123" s="33">
        <f t="shared" si="39"/>
        <v>0.99999874107617315</v>
      </c>
      <c r="R123" s="33">
        <v>0</v>
      </c>
      <c r="S123" s="33">
        <f t="shared" si="40"/>
        <v>1.2589238269029671E-6</v>
      </c>
      <c r="T123" s="8">
        <f t="shared" si="42"/>
        <v>1</v>
      </c>
      <c r="U123" s="33">
        <f t="shared" si="25"/>
        <v>0</v>
      </c>
      <c r="V123" s="33">
        <f t="shared" si="26"/>
        <v>-0.99999874107617315</v>
      </c>
      <c r="W123" s="33">
        <f t="shared" si="27"/>
        <v>212.98640125892385</v>
      </c>
      <c r="X123" s="33">
        <v>96485</v>
      </c>
      <c r="Y123" s="16">
        <f t="shared" si="28"/>
        <v>-453.00957226578794</v>
      </c>
      <c r="Z123" s="16">
        <v>4</v>
      </c>
      <c r="AA123" s="16">
        <v>7</v>
      </c>
      <c r="AB123" s="8">
        <f t="shared" si="29"/>
        <v>0.36090225563909772</v>
      </c>
      <c r="AC123" s="16">
        <f t="shared" si="30"/>
        <v>62.153482651233901</v>
      </c>
      <c r="AD123" s="20">
        <f>'PFAS Properties'!$W$29</f>
        <v>3</v>
      </c>
      <c r="AE123" s="8">
        <f>'PFAS Properties'!$S$29</f>
        <v>6.1376705372367555</v>
      </c>
      <c r="AF123" s="2">
        <f>'PFAS Properties'!$V$29</f>
        <v>2.2000000000000002</v>
      </c>
      <c r="AG123" s="24">
        <v>5.7</v>
      </c>
      <c r="AH123" s="2" t="s">
        <v>834</v>
      </c>
      <c r="AI123" s="15">
        <v>19.667999999999999</v>
      </c>
      <c r="AJ123" s="16">
        <f t="shared" si="46"/>
        <v>352.18909481600861</v>
      </c>
      <c r="AK123" s="8">
        <f t="shared" si="47"/>
        <v>1.9667999999999999</v>
      </c>
      <c r="AL123" s="15">
        <v>0.48099999999999998</v>
      </c>
      <c r="AM123" s="16">
        <f t="shared" si="48"/>
        <v>17.828020756115642</v>
      </c>
      <c r="AN123" s="8">
        <f t="shared" si="49"/>
        <v>4.8099999999999997E-2</v>
      </c>
      <c r="AO123" s="15" t="s">
        <v>31</v>
      </c>
      <c r="AP123" s="15">
        <v>114</v>
      </c>
      <c r="AQ123" s="16" t="s">
        <v>689</v>
      </c>
      <c r="AR123" s="16">
        <v>20</v>
      </c>
      <c r="AS123" s="16">
        <v>78.900000000000006</v>
      </c>
      <c r="AT123" s="16">
        <v>1.1000000000000001</v>
      </c>
      <c r="AU123" s="16" t="s">
        <v>664</v>
      </c>
      <c r="AV123" s="16">
        <f t="shared" si="31"/>
        <v>100</v>
      </c>
      <c r="AW123" s="18">
        <v>41</v>
      </c>
      <c r="AX123" s="13">
        <f t="shared" si="43"/>
        <v>0.41</v>
      </c>
      <c r="AY123" s="8" t="s">
        <v>32</v>
      </c>
      <c r="AZ123" s="16">
        <f t="shared" si="50"/>
        <v>100</v>
      </c>
      <c r="BA123" s="16" t="s">
        <v>55</v>
      </c>
      <c r="BB123" s="16">
        <v>30</v>
      </c>
      <c r="BC123" s="16" t="s">
        <v>55</v>
      </c>
      <c r="BD123" s="20">
        <v>1.2</v>
      </c>
      <c r="BE123" s="15">
        <f t="shared" si="32"/>
        <v>2.9268292682926829</v>
      </c>
      <c r="BF123" s="15">
        <f t="shared" si="33"/>
        <v>0.46639738932788932</v>
      </c>
      <c r="BG123" s="8">
        <f t="shared" si="34"/>
        <v>7.9181246047624818E-2</v>
      </c>
      <c r="BH123" s="2" t="s">
        <v>841</v>
      </c>
      <c r="BI123" s="2"/>
      <c r="BJ123" s="2"/>
      <c r="BK123" s="2"/>
      <c r="BL123" s="2"/>
      <c r="BM123" s="20"/>
      <c r="BN123" s="20"/>
      <c r="BO123" s="2"/>
    </row>
    <row r="124" spans="1:67" s="14" customFormat="1" x14ac:dyDescent="0.3">
      <c r="A124" s="20">
        <v>124</v>
      </c>
      <c r="B124" s="2" t="s">
        <v>195</v>
      </c>
      <c r="C124" s="2">
        <v>2018</v>
      </c>
      <c r="D124" s="2" t="s">
        <v>199</v>
      </c>
      <c r="E124" s="22" t="s">
        <v>795</v>
      </c>
      <c r="F124" s="20" t="s">
        <v>29</v>
      </c>
      <c r="G124" s="2" t="s">
        <v>47</v>
      </c>
      <c r="H124" s="2" t="str">
        <f>'PFAS Properties'!$B$29</f>
        <v>PFBA</v>
      </c>
      <c r="I124" s="2" t="str">
        <f>'PFAS Properties'!$C$29</f>
        <v>PFCA</v>
      </c>
      <c r="J124" s="2" t="str">
        <f>'PFAS Properties'!$D$29</f>
        <v>C4HF7O2</v>
      </c>
      <c r="K124" s="25">
        <f>'PFAS Properties'!$P$29</f>
        <v>213.9864</v>
      </c>
      <c r="L124" s="2">
        <f>'PFAS Properties'!$X$29</f>
        <v>-0.2</v>
      </c>
      <c r="M124" s="2" t="str">
        <f>'PFAS Properties'!$Y$29</f>
        <v>-</v>
      </c>
      <c r="N124" s="33">
        <v>0</v>
      </c>
      <c r="O124" s="33">
        <v>0</v>
      </c>
      <c r="P124" s="33">
        <v>0</v>
      </c>
      <c r="Q124" s="33">
        <f t="shared" si="39"/>
        <v>0.99998004777494953</v>
      </c>
      <c r="R124" s="33">
        <v>0</v>
      </c>
      <c r="S124" s="33">
        <f t="shared" si="40"/>
        <v>1.9952225050461341E-5</v>
      </c>
      <c r="T124" s="8">
        <f t="shared" si="42"/>
        <v>1</v>
      </c>
      <c r="U124" s="33">
        <f t="shared" si="25"/>
        <v>0</v>
      </c>
      <c r="V124" s="33">
        <f t="shared" si="26"/>
        <v>-0.99998004777494953</v>
      </c>
      <c r="W124" s="33">
        <f t="shared" si="27"/>
        <v>212.98641995222505</v>
      </c>
      <c r="X124" s="33">
        <v>96485</v>
      </c>
      <c r="Y124" s="16">
        <f t="shared" si="28"/>
        <v>-453.00106425192791</v>
      </c>
      <c r="Z124" s="16">
        <v>4</v>
      </c>
      <c r="AA124" s="16">
        <v>7</v>
      </c>
      <c r="AB124" s="8">
        <f t="shared" si="29"/>
        <v>0.36090225563909772</v>
      </c>
      <c r="AC124" s="16">
        <f t="shared" si="30"/>
        <v>62.153482651233901</v>
      </c>
      <c r="AD124" s="20">
        <f>'PFAS Properties'!$W$29</f>
        <v>3</v>
      </c>
      <c r="AE124" s="8">
        <f>'PFAS Properties'!$S$29</f>
        <v>6.1376705372367555</v>
      </c>
      <c r="AF124" s="2">
        <f>'PFAS Properties'!$V$29</f>
        <v>2.2000000000000002</v>
      </c>
      <c r="AG124" s="24">
        <v>4.5</v>
      </c>
      <c r="AH124" s="2" t="s">
        <v>658</v>
      </c>
      <c r="AI124" s="8">
        <f>AJ124*55.845/1000</f>
        <v>5.8637250000000002E-2</v>
      </c>
      <c r="AJ124" s="16">
        <v>1.05</v>
      </c>
      <c r="AK124" s="8">
        <f t="shared" si="47"/>
        <v>5.8637250000000002E-3</v>
      </c>
      <c r="AL124" s="15">
        <f>AM124*26.98/1000</f>
        <v>0.18454320000000002</v>
      </c>
      <c r="AM124" s="16">
        <v>6.84</v>
      </c>
      <c r="AN124" s="8">
        <f t="shared" si="49"/>
        <v>1.8454320000000003E-2</v>
      </c>
      <c r="AO124" s="2" t="s">
        <v>48</v>
      </c>
      <c r="AP124" s="72">
        <v>21.496500000000001</v>
      </c>
      <c r="AQ124" s="70" t="s">
        <v>752</v>
      </c>
      <c r="AR124" s="71">
        <v>41.737499999999997</v>
      </c>
      <c r="AS124" s="71">
        <v>35.036999999999999</v>
      </c>
      <c r="AT124" s="71">
        <v>21.971</v>
      </c>
      <c r="AU124" s="70" t="s">
        <v>752</v>
      </c>
      <c r="AV124" s="16">
        <f t="shared" si="31"/>
        <v>98.745499999999993</v>
      </c>
      <c r="AW124" s="18">
        <v>45</v>
      </c>
      <c r="AX124" s="13">
        <f t="shared" si="43"/>
        <v>0.45</v>
      </c>
      <c r="AY124" s="8" t="s">
        <v>49</v>
      </c>
      <c r="AZ124" s="16">
        <f>0.45/0.04</f>
        <v>11.25</v>
      </c>
      <c r="BA124" s="16" t="s">
        <v>55</v>
      </c>
      <c r="BB124" s="8">
        <v>1.25</v>
      </c>
      <c r="BC124" s="8" t="s">
        <v>55</v>
      </c>
      <c r="BD124" s="24">
        <f>(10^(0.8)*AX124)</f>
        <v>2.8393080501608705</v>
      </c>
      <c r="BE124" s="15">
        <f t="shared" si="32"/>
        <v>6.3095734448019343</v>
      </c>
      <c r="BF124" s="15">
        <f t="shared" si="33"/>
        <v>0.80000000000000016</v>
      </c>
      <c r="BG124" s="8">
        <f t="shared" si="34"/>
        <v>0.45321251377534383</v>
      </c>
      <c r="BH124" s="2" t="s">
        <v>820</v>
      </c>
      <c r="BI124" s="2"/>
      <c r="BJ124" s="2"/>
      <c r="BK124" s="2"/>
      <c r="BL124" s="2"/>
      <c r="BM124" s="20"/>
      <c r="BN124" s="20"/>
      <c r="BO124" s="2"/>
    </row>
    <row r="125" spans="1:67" s="14" customFormat="1" x14ac:dyDescent="0.3">
      <c r="A125" s="20">
        <v>125</v>
      </c>
      <c r="B125" s="2" t="s">
        <v>181</v>
      </c>
      <c r="C125" s="2">
        <v>2020</v>
      </c>
      <c r="D125" s="2" t="s">
        <v>203</v>
      </c>
      <c r="E125" s="10" t="s">
        <v>787</v>
      </c>
      <c r="F125" s="20" t="s">
        <v>29</v>
      </c>
      <c r="G125" s="2" t="s">
        <v>62</v>
      </c>
      <c r="H125" s="2" t="str">
        <f>'PFAS Properties'!$B$29</f>
        <v>PFBA</v>
      </c>
      <c r="I125" s="2" t="str">
        <f>'PFAS Properties'!$C$29</f>
        <v>PFCA</v>
      </c>
      <c r="J125" s="2" t="str">
        <f>'PFAS Properties'!$D$29</f>
        <v>C4HF7O2</v>
      </c>
      <c r="K125" s="25">
        <f>'PFAS Properties'!$P$29</f>
        <v>213.9864</v>
      </c>
      <c r="L125" s="2">
        <f>'PFAS Properties'!$X$29</f>
        <v>-0.2</v>
      </c>
      <c r="M125" s="2" t="str">
        <f>'PFAS Properties'!$Y$29</f>
        <v>-</v>
      </c>
      <c r="N125" s="33">
        <v>0</v>
      </c>
      <c r="O125" s="33">
        <v>0</v>
      </c>
      <c r="P125" s="33">
        <v>0</v>
      </c>
      <c r="Q125" s="33">
        <f t="shared" si="39"/>
        <v>0.99999998004737722</v>
      </c>
      <c r="R125" s="33">
        <v>0</v>
      </c>
      <c r="S125" s="33">
        <f t="shared" si="40"/>
        <v>1.995262275158161E-8</v>
      </c>
      <c r="T125" s="8">
        <f t="shared" si="42"/>
        <v>1</v>
      </c>
      <c r="U125" s="33">
        <f t="shared" si="25"/>
        <v>0</v>
      </c>
      <c r="V125" s="33">
        <f t="shared" si="26"/>
        <v>-0.99999998004737722</v>
      </c>
      <c r="W125" s="33">
        <f t="shared" si="27"/>
        <v>212.98640001995261</v>
      </c>
      <c r="X125" s="33">
        <v>96485</v>
      </c>
      <c r="Y125" s="16">
        <f t="shared" si="28"/>
        <v>-453.01013616753204</v>
      </c>
      <c r="Z125" s="16">
        <v>4</v>
      </c>
      <c r="AA125" s="16">
        <v>7</v>
      </c>
      <c r="AB125" s="8">
        <f t="shared" si="29"/>
        <v>0.36090225563909772</v>
      </c>
      <c r="AC125" s="16">
        <f t="shared" si="30"/>
        <v>62.153482651233901</v>
      </c>
      <c r="AD125" s="20">
        <f>'PFAS Properties'!$W$29</f>
        <v>3</v>
      </c>
      <c r="AE125" s="8">
        <f>'PFAS Properties'!$S$29</f>
        <v>6.1376705372367555</v>
      </c>
      <c r="AF125" s="2">
        <f>'PFAS Properties'!$V$29</f>
        <v>2.2000000000000002</v>
      </c>
      <c r="AG125" s="24">
        <v>7.5</v>
      </c>
      <c r="AH125" s="2" t="s">
        <v>183</v>
      </c>
      <c r="AI125" s="2" t="s">
        <v>661</v>
      </c>
      <c r="AJ125" s="2" t="s">
        <v>661</v>
      </c>
      <c r="AK125" s="2" t="s">
        <v>661</v>
      </c>
      <c r="AL125" s="2" t="s">
        <v>661</v>
      </c>
      <c r="AM125" s="2" t="s">
        <v>661</v>
      </c>
      <c r="AN125" s="2" t="s">
        <v>661</v>
      </c>
      <c r="AO125" s="2" t="s">
        <v>661</v>
      </c>
      <c r="AP125" s="15">
        <v>41.4</v>
      </c>
      <c r="AQ125" s="2" t="s">
        <v>661</v>
      </c>
      <c r="AR125" s="16">
        <v>16.899999999999999</v>
      </c>
      <c r="AS125" s="16">
        <v>17.5</v>
      </c>
      <c r="AT125" s="16">
        <v>65.599999999999994</v>
      </c>
      <c r="AU125" s="2" t="s">
        <v>661</v>
      </c>
      <c r="AV125" s="16">
        <f t="shared" si="31"/>
        <v>100</v>
      </c>
      <c r="AW125" s="18">
        <v>0.7</v>
      </c>
      <c r="AX125" s="13">
        <f t="shared" si="43"/>
        <v>6.9999999999999993E-3</v>
      </c>
      <c r="AY125" s="13" t="s">
        <v>184</v>
      </c>
      <c r="AZ125" s="16">
        <f t="shared" ref="AZ125:AZ134" si="51">0.8/0.008</f>
        <v>100</v>
      </c>
      <c r="BA125" s="16" t="s">
        <v>55</v>
      </c>
      <c r="BB125" s="16">
        <v>5</v>
      </c>
      <c r="BC125" s="16" t="s">
        <v>55</v>
      </c>
      <c r="BD125" s="18">
        <v>0.44</v>
      </c>
      <c r="BE125" s="15">
        <f t="shared" si="32"/>
        <v>62.857142857142861</v>
      </c>
      <c r="BF125" s="15">
        <f t="shared" si="33"/>
        <v>1.7983546364719307</v>
      </c>
      <c r="BG125" s="8">
        <f t="shared" si="34"/>
        <v>-0.35654732351381258</v>
      </c>
      <c r="BH125" s="13" t="s">
        <v>345</v>
      </c>
      <c r="BI125" s="2"/>
      <c r="BJ125" s="2"/>
      <c r="BK125" s="2"/>
      <c r="BL125" s="2"/>
      <c r="BM125" s="20"/>
      <c r="BN125" s="20"/>
      <c r="BO125" s="2"/>
    </row>
    <row r="126" spans="1:67" s="14" customFormat="1" x14ac:dyDescent="0.3">
      <c r="A126" s="20">
        <v>126</v>
      </c>
      <c r="B126" s="2" t="s">
        <v>181</v>
      </c>
      <c r="C126" s="2">
        <v>2020</v>
      </c>
      <c r="D126" s="2" t="s">
        <v>203</v>
      </c>
      <c r="E126" s="10" t="s">
        <v>787</v>
      </c>
      <c r="F126" s="20" t="s">
        <v>29</v>
      </c>
      <c r="G126" s="2" t="s">
        <v>57</v>
      </c>
      <c r="H126" s="2" t="str">
        <f>'PFAS Properties'!$B$29</f>
        <v>PFBA</v>
      </c>
      <c r="I126" s="2" t="str">
        <f>'PFAS Properties'!$C$29</f>
        <v>PFCA</v>
      </c>
      <c r="J126" s="2" t="str">
        <f>'PFAS Properties'!$D$29</f>
        <v>C4HF7O2</v>
      </c>
      <c r="K126" s="25">
        <f>'PFAS Properties'!$P$29</f>
        <v>213.9864</v>
      </c>
      <c r="L126" s="2">
        <f>'PFAS Properties'!$X$29</f>
        <v>-0.2</v>
      </c>
      <c r="M126" s="2" t="str">
        <f>'PFAS Properties'!$Y$29</f>
        <v>-</v>
      </c>
      <c r="N126" s="33">
        <v>0</v>
      </c>
      <c r="O126" s="33">
        <v>0</v>
      </c>
      <c r="P126" s="33">
        <v>0</v>
      </c>
      <c r="Q126" s="33">
        <f t="shared" si="39"/>
        <v>0.99999990000001004</v>
      </c>
      <c r="R126" s="33">
        <v>0</v>
      </c>
      <c r="S126" s="33">
        <f t="shared" si="40"/>
        <v>9.9999990000001005E-8</v>
      </c>
      <c r="T126" s="8">
        <f t="shared" si="42"/>
        <v>1</v>
      </c>
      <c r="U126" s="33">
        <f t="shared" si="25"/>
        <v>0</v>
      </c>
      <c r="V126" s="33">
        <f t="shared" si="26"/>
        <v>-0.99999990000001004</v>
      </c>
      <c r="W126" s="33">
        <f t="shared" si="27"/>
        <v>212.98640010000003</v>
      </c>
      <c r="X126" s="33">
        <v>96485</v>
      </c>
      <c r="Y126" s="16">
        <f t="shared" si="28"/>
        <v>-453.01009973500629</v>
      </c>
      <c r="Z126" s="16">
        <v>4</v>
      </c>
      <c r="AA126" s="16">
        <v>7</v>
      </c>
      <c r="AB126" s="8">
        <f t="shared" si="29"/>
        <v>0.36090225563909772</v>
      </c>
      <c r="AC126" s="16">
        <f t="shared" si="30"/>
        <v>62.153482651233901</v>
      </c>
      <c r="AD126" s="20">
        <f>'PFAS Properties'!$W$29</f>
        <v>3</v>
      </c>
      <c r="AE126" s="8">
        <f>'PFAS Properties'!$S$29</f>
        <v>6.1376705372367555</v>
      </c>
      <c r="AF126" s="2">
        <f>'PFAS Properties'!$V$29</f>
        <v>2.2000000000000002</v>
      </c>
      <c r="AG126" s="24">
        <v>6.8</v>
      </c>
      <c r="AH126" s="2" t="s">
        <v>183</v>
      </c>
      <c r="AI126" s="2" t="s">
        <v>661</v>
      </c>
      <c r="AJ126" s="2" t="s">
        <v>661</v>
      </c>
      <c r="AK126" s="2" t="s">
        <v>661</v>
      </c>
      <c r="AL126" s="2" t="s">
        <v>661</v>
      </c>
      <c r="AM126" s="2" t="s">
        <v>661</v>
      </c>
      <c r="AN126" s="2" t="s">
        <v>661</v>
      </c>
      <c r="AO126" s="2" t="s">
        <v>661</v>
      </c>
      <c r="AP126" s="15">
        <v>7.1</v>
      </c>
      <c r="AQ126" s="2" t="s">
        <v>661</v>
      </c>
      <c r="AR126" s="16">
        <v>48.9</v>
      </c>
      <c r="AS126" s="16">
        <v>27</v>
      </c>
      <c r="AT126" s="16">
        <v>24.2</v>
      </c>
      <c r="AU126" s="2" t="s">
        <v>661</v>
      </c>
      <c r="AV126" s="16">
        <f t="shared" si="31"/>
        <v>100.10000000000001</v>
      </c>
      <c r="AW126" s="18">
        <v>0.37</v>
      </c>
      <c r="AX126" s="13">
        <f t="shared" si="43"/>
        <v>3.7000000000000002E-3</v>
      </c>
      <c r="AY126" s="13" t="s">
        <v>184</v>
      </c>
      <c r="AZ126" s="16">
        <f t="shared" si="51"/>
        <v>100</v>
      </c>
      <c r="BA126" s="16" t="s">
        <v>55</v>
      </c>
      <c r="BB126" s="16">
        <v>5</v>
      </c>
      <c r="BC126" s="16" t="s">
        <v>55</v>
      </c>
      <c r="BD126" s="20">
        <v>0.41</v>
      </c>
      <c r="BE126" s="15">
        <f t="shared" si="32"/>
        <v>110.81081081081079</v>
      </c>
      <c r="BF126" s="15">
        <f t="shared" si="33"/>
        <v>2.0445821326527405</v>
      </c>
      <c r="BG126" s="8">
        <f t="shared" si="34"/>
        <v>-0.38721614328026455</v>
      </c>
      <c r="BH126" s="13" t="s">
        <v>345</v>
      </c>
      <c r="BI126" s="2"/>
      <c r="BJ126" s="2"/>
      <c r="BK126" s="2"/>
      <c r="BL126" s="2"/>
      <c r="BM126" s="20"/>
      <c r="BN126" s="20"/>
      <c r="BO126" s="2"/>
    </row>
    <row r="127" spans="1:67" s="14" customFormat="1" x14ac:dyDescent="0.3">
      <c r="A127" s="20">
        <v>127</v>
      </c>
      <c r="B127" s="2" t="s">
        <v>181</v>
      </c>
      <c r="C127" s="2">
        <v>2020</v>
      </c>
      <c r="D127" s="2" t="s">
        <v>203</v>
      </c>
      <c r="E127" s="10" t="s">
        <v>787</v>
      </c>
      <c r="F127" s="20" t="s">
        <v>29</v>
      </c>
      <c r="G127" s="2" t="s">
        <v>58</v>
      </c>
      <c r="H127" s="2" t="str">
        <f>'PFAS Properties'!$B$29</f>
        <v>PFBA</v>
      </c>
      <c r="I127" s="2" t="str">
        <f>'PFAS Properties'!$C$29</f>
        <v>PFCA</v>
      </c>
      <c r="J127" s="2" t="str">
        <f>'PFAS Properties'!$D$29</f>
        <v>C4HF7O2</v>
      </c>
      <c r="K127" s="25">
        <f>'PFAS Properties'!$P$29</f>
        <v>213.9864</v>
      </c>
      <c r="L127" s="2">
        <f>'PFAS Properties'!$X$29</f>
        <v>-0.2</v>
      </c>
      <c r="M127" s="2" t="str">
        <f>'PFAS Properties'!$Y$29</f>
        <v>-</v>
      </c>
      <c r="N127" s="33">
        <v>0</v>
      </c>
      <c r="O127" s="33">
        <v>0</v>
      </c>
      <c r="P127" s="33">
        <v>0</v>
      </c>
      <c r="Q127" s="33">
        <f t="shared" si="39"/>
        <v>0.99999960189298798</v>
      </c>
      <c r="R127" s="33">
        <v>0</v>
      </c>
      <c r="S127" s="33">
        <f t="shared" si="40"/>
        <v>3.9810701206424001E-7</v>
      </c>
      <c r="T127" s="8">
        <f t="shared" si="42"/>
        <v>1</v>
      </c>
      <c r="U127" s="33">
        <f t="shared" si="25"/>
        <v>0</v>
      </c>
      <c r="V127" s="33">
        <f t="shared" si="26"/>
        <v>-0.99999960189298798</v>
      </c>
      <c r="W127" s="33">
        <f t="shared" si="27"/>
        <v>212.98640039810704</v>
      </c>
      <c r="X127" s="33">
        <v>96485</v>
      </c>
      <c r="Y127" s="16">
        <f t="shared" si="28"/>
        <v>-453.0099640554443</v>
      </c>
      <c r="Z127" s="16">
        <v>4</v>
      </c>
      <c r="AA127" s="16">
        <v>7</v>
      </c>
      <c r="AB127" s="8">
        <f t="shared" si="29"/>
        <v>0.36090225563909772</v>
      </c>
      <c r="AC127" s="16">
        <f t="shared" si="30"/>
        <v>62.153482651233901</v>
      </c>
      <c r="AD127" s="20">
        <f>'PFAS Properties'!$W$29</f>
        <v>3</v>
      </c>
      <c r="AE127" s="8">
        <f>'PFAS Properties'!$S$29</f>
        <v>6.1376705372367555</v>
      </c>
      <c r="AF127" s="2">
        <f>'PFAS Properties'!$V$29</f>
        <v>2.2000000000000002</v>
      </c>
      <c r="AG127" s="24">
        <v>6.2</v>
      </c>
      <c r="AH127" s="2" t="s">
        <v>183</v>
      </c>
      <c r="AI127" s="2" t="s">
        <v>661</v>
      </c>
      <c r="AJ127" s="2" t="s">
        <v>661</v>
      </c>
      <c r="AK127" s="2" t="s">
        <v>661</v>
      </c>
      <c r="AL127" s="2" t="s">
        <v>661</v>
      </c>
      <c r="AM127" s="2" t="s">
        <v>661</v>
      </c>
      <c r="AN127" s="2" t="s">
        <v>661</v>
      </c>
      <c r="AO127" s="2" t="s">
        <v>661</v>
      </c>
      <c r="AP127" s="15">
        <v>8</v>
      </c>
      <c r="AQ127" s="2" t="s">
        <v>661</v>
      </c>
      <c r="AR127" s="16">
        <v>51.44</v>
      </c>
      <c r="AS127" s="16">
        <v>10.17</v>
      </c>
      <c r="AT127" s="16">
        <v>38.380000000000003</v>
      </c>
      <c r="AU127" s="2" t="s">
        <v>661</v>
      </c>
      <c r="AV127" s="16">
        <f t="shared" si="31"/>
        <v>99.990000000000009</v>
      </c>
      <c r="AW127" s="18">
        <v>0.08</v>
      </c>
      <c r="AX127" s="13">
        <f t="shared" si="43"/>
        <v>8.0000000000000004E-4</v>
      </c>
      <c r="AY127" s="8" t="s">
        <v>184</v>
      </c>
      <c r="AZ127" s="16">
        <f t="shared" si="51"/>
        <v>100</v>
      </c>
      <c r="BA127" s="16" t="s">
        <v>55</v>
      </c>
      <c r="BB127" s="16">
        <v>5</v>
      </c>
      <c r="BC127" s="16" t="s">
        <v>55</v>
      </c>
      <c r="BD127" s="20">
        <v>0.32</v>
      </c>
      <c r="BE127" s="16">
        <f t="shared" si="32"/>
        <v>400</v>
      </c>
      <c r="BF127" s="59">
        <f t="shared" si="33"/>
        <v>2.6020599913279625</v>
      </c>
      <c r="BG127" s="8">
        <f t="shared" si="34"/>
        <v>-0.49485002168009401</v>
      </c>
      <c r="BH127" s="13" t="s">
        <v>345</v>
      </c>
      <c r="BI127" s="2"/>
      <c r="BJ127" s="2"/>
      <c r="BK127" s="2"/>
      <c r="BL127" s="2"/>
      <c r="BM127" s="20"/>
      <c r="BN127" s="20"/>
      <c r="BO127" s="2"/>
    </row>
    <row r="128" spans="1:67" s="14" customFormat="1" x14ac:dyDescent="0.3">
      <c r="A128" s="20">
        <v>128</v>
      </c>
      <c r="B128" s="2" t="s">
        <v>181</v>
      </c>
      <c r="C128" s="2">
        <v>2020</v>
      </c>
      <c r="D128" s="2" t="s">
        <v>203</v>
      </c>
      <c r="E128" s="10" t="s">
        <v>787</v>
      </c>
      <c r="F128" s="20" t="s">
        <v>29</v>
      </c>
      <c r="G128" s="2" t="s">
        <v>59</v>
      </c>
      <c r="H128" s="2" t="str">
        <f>'PFAS Properties'!$B$29</f>
        <v>PFBA</v>
      </c>
      <c r="I128" s="2" t="str">
        <f>'PFAS Properties'!$C$29</f>
        <v>PFCA</v>
      </c>
      <c r="J128" s="2" t="str">
        <f>'PFAS Properties'!$D$29</f>
        <v>C4HF7O2</v>
      </c>
      <c r="K128" s="25">
        <f>'PFAS Properties'!$P$29</f>
        <v>213.9864</v>
      </c>
      <c r="L128" s="2">
        <f>'PFAS Properties'!$X$29</f>
        <v>-0.2</v>
      </c>
      <c r="M128" s="2" t="str">
        <f>'PFAS Properties'!$Y$29</f>
        <v>-</v>
      </c>
      <c r="N128" s="33">
        <v>0</v>
      </c>
      <c r="O128" s="33">
        <v>0</v>
      </c>
      <c r="P128" s="33">
        <v>0</v>
      </c>
      <c r="Q128" s="33">
        <f t="shared" si="39"/>
        <v>0.99999998741074603</v>
      </c>
      <c r="R128" s="33">
        <v>0</v>
      </c>
      <c r="S128" s="33">
        <f t="shared" si="40"/>
        <v>1.258925395945232E-8</v>
      </c>
      <c r="T128" s="8">
        <f t="shared" si="42"/>
        <v>1</v>
      </c>
      <c r="U128" s="33">
        <f t="shared" si="25"/>
        <v>0</v>
      </c>
      <c r="V128" s="33">
        <f t="shared" si="26"/>
        <v>-0.99999998741074603</v>
      </c>
      <c r="W128" s="33">
        <f t="shared" si="27"/>
        <v>212.98640001258926</v>
      </c>
      <c r="X128" s="33">
        <v>96485</v>
      </c>
      <c r="Y128" s="16">
        <f t="shared" si="28"/>
        <v>-453.01013951887433</v>
      </c>
      <c r="Z128" s="16">
        <v>4</v>
      </c>
      <c r="AA128" s="16">
        <v>7</v>
      </c>
      <c r="AB128" s="8">
        <f t="shared" si="29"/>
        <v>0.36090225563909772</v>
      </c>
      <c r="AC128" s="16">
        <f t="shared" si="30"/>
        <v>62.153482651233901</v>
      </c>
      <c r="AD128" s="20">
        <f>'PFAS Properties'!$W$29</f>
        <v>3</v>
      </c>
      <c r="AE128" s="8">
        <f>'PFAS Properties'!$S$29</f>
        <v>6.1376705372367555</v>
      </c>
      <c r="AF128" s="2">
        <f>'PFAS Properties'!$V$29</f>
        <v>2.2000000000000002</v>
      </c>
      <c r="AG128" s="24">
        <v>7.7</v>
      </c>
      <c r="AH128" s="2" t="s">
        <v>183</v>
      </c>
      <c r="AI128" s="2" t="s">
        <v>661</v>
      </c>
      <c r="AJ128" s="2" t="s">
        <v>661</v>
      </c>
      <c r="AK128" s="2" t="s">
        <v>661</v>
      </c>
      <c r="AL128" s="2" t="s">
        <v>661</v>
      </c>
      <c r="AM128" s="2" t="s">
        <v>661</v>
      </c>
      <c r="AN128" s="2" t="s">
        <v>661</v>
      </c>
      <c r="AO128" s="2" t="s">
        <v>661</v>
      </c>
      <c r="AP128" s="15">
        <v>4.8</v>
      </c>
      <c r="AQ128" s="2" t="s">
        <v>661</v>
      </c>
      <c r="AR128" s="16">
        <v>46</v>
      </c>
      <c r="AS128" s="16">
        <v>37</v>
      </c>
      <c r="AT128" s="16">
        <v>17</v>
      </c>
      <c r="AU128" s="2" t="s">
        <v>661</v>
      </c>
      <c r="AV128" s="16">
        <f t="shared" si="31"/>
        <v>100</v>
      </c>
      <c r="AW128" s="18">
        <v>0.25</v>
      </c>
      <c r="AX128" s="13">
        <f t="shared" si="43"/>
        <v>2.5000000000000001E-3</v>
      </c>
      <c r="AY128" s="13" t="s">
        <v>184</v>
      </c>
      <c r="AZ128" s="16">
        <f t="shared" si="51"/>
        <v>100</v>
      </c>
      <c r="BA128" s="16" t="s">
        <v>55</v>
      </c>
      <c r="BB128" s="16">
        <v>5</v>
      </c>
      <c r="BC128" s="16" t="s">
        <v>55</v>
      </c>
      <c r="BD128" s="18">
        <v>0.2</v>
      </c>
      <c r="BE128" s="15">
        <f t="shared" si="32"/>
        <v>80</v>
      </c>
      <c r="BF128" s="15">
        <f t="shared" si="33"/>
        <v>1.9030899869919435</v>
      </c>
      <c r="BG128" s="8">
        <f t="shared" si="34"/>
        <v>-0.69897000433601875</v>
      </c>
      <c r="BH128" s="13" t="s">
        <v>345</v>
      </c>
      <c r="BI128" s="2"/>
      <c r="BJ128" s="2"/>
      <c r="BK128" s="2"/>
      <c r="BL128" s="2"/>
      <c r="BM128" s="20"/>
      <c r="BN128" s="20"/>
      <c r="BO128" s="2"/>
    </row>
    <row r="129" spans="1:67" s="14" customFormat="1" x14ac:dyDescent="0.3">
      <c r="A129" s="20">
        <v>129</v>
      </c>
      <c r="B129" s="2" t="s">
        <v>181</v>
      </c>
      <c r="C129" s="2">
        <v>2020</v>
      </c>
      <c r="D129" s="2" t="s">
        <v>203</v>
      </c>
      <c r="E129" s="22" t="s">
        <v>787</v>
      </c>
      <c r="F129" s="20" t="s">
        <v>29</v>
      </c>
      <c r="G129" s="2" t="s">
        <v>61</v>
      </c>
      <c r="H129" s="2" t="str">
        <f>'PFAS Properties'!$B$29</f>
        <v>PFBA</v>
      </c>
      <c r="I129" s="2" t="str">
        <f>'PFAS Properties'!$C$29</f>
        <v>PFCA</v>
      </c>
      <c r="J129" s="2" t="str">
        <f>'PFAS Properties'!$D$29</f>
        <v>C4HF7O2</v>
      </c>
      <c r="K129" s="25">
        <f>'PFAS Properties'!$P$29</f>
        <v>213.9864</v>
      </c>
      <c r="L129" s="2">
        <f>'PFAS Properties'!$X$29</f>
        <v>-0.2</v>
      </c>
      <c r="M129" s="2" t="str">
        <f>'PFAS Properties'!$Y$29</f>
        <v>-</v>
      </c>
      <c r="N129" s="33">
        <v>0</v>
      </c>
      <c r="O129" s="33">
        <v>0</v>
      </c>
      <c r="P129" s="33">
        <v>0</v>
      </c>
      <c r="Q129" s="33">
        <f t="shared" si="39"/>
        <v>0.99999997488113634</v>
      </c>
      <c r="R129" s="33">
        <v>0</v>
      </c>
      <c r="S129" s="33">
        <f t="shared" si="40"/>
        <v>2.5118863684138424E-8</v>
      </c>
      <c r="T129" s="8">
        <f t="shared" si="42"/>
        <v>1</v>
      </c>
      <c r="U129" s="33">
        <f t="shared" ref="U129:U189" si="52">((1*N129)+(1*O129)+(1*P129))</f>
        <v>0</v>
      </c>
      <c r="V129" s="33">
        <f t="shared" ref="V129:V189" si="53">-((1*O129)+(2*P129)+(1*Q129)+(2*R129))</f>
        <v>-0.99999997488113634</v>
      </c>
      <c r="W129" s="33">
        <f t="shared" ref="W129:W189" si="54">(N129*(K129+1))+(O129*K129)+(P129*(K129-1))+(Q129*(K129-1))+(R129*(K129-2))+(S129*K129)</f>
        <v>212.98640002511888</v>
      </c>
      <c r="X129" s="33">
        <v>96485</v>
      </c>
      <c r="Y129" s="16">
        <f t="shared" ref="Y129:Y189" si="55">((V129+U129)/W129)*X129</f>
        <v>-453.01013381618418</v>
      </c>
      <c r="Z129" s="16">
        <v>4</v>
      </c>
      <c r="AA129" s="16">
        <v>7</v>
      </c>
      <c r="AB129" s="8">
        <f t="shared" ref="AB129:AB189" si="56">(Z129/AA129)*(12/19)</f>
        <v>0.36090225563909772</v>
      </c>
      <c r="AC129" s="16">
        <f t="shared" ref="AC129:AC189" si="57">((AA129*19)/K129)*100</f>
        <v>62.153482651233901</v>
      </c>
      <c r="AD129" s="20">
        <f>'PFAS Properties'!$W$29</f>
        <v>3</v>
      </c>
      <c r="AE129" s="8">
        <f>'PFAS Properties'!$S$29</f>
        <v>6.1376705372367555</v>
      </c>
      <c r="AF129" s="2">
        <f>'PFAS Properties'!$V$29</f>
        <v>2.2000000000000002</v>
      </c>
      <c r="AG129" s="24">
        <v>7.4</v>
      </c>
      <c r="AH129" s="2" t="s">
        <v>183</v>
      </c>
      <c r="AI129" s="2" t="s">
        <v>661</v>
      </c>
      <c r="AJ129" s="2" t="s">
        <v>661</v>
      </c>
      <c r="AK129" s="2" t="s">
        <v>661</v>
      </c>
      <c r="AL129" s="2" t="s">
        <v>661</v>
      </c>
      <c r="AM129" s="2" t="s">
        <v>661</v>
      </c>
      <c r="AN129" s="2" t="s">
        <v>661</v>
      </c>
      <c r="AO129" s="2" t="s">
        <v>661</v>
      </c>
      <c r="AP129" s="15">
        <v>29.6</v>
      </c>
      <c r="AQ129" s="2" t="s">
        <v>661</v>
      </c>
      <c r="AR129" s="16">
        <v>39.799999999999997</v>
      </c>
      <c r="AS129" s="16">
        <v>7.7</v>
      </c>
      <c r="AT129" s="16">
        <v>52.5</v>
      </c>
      <c r="AU129" s="2" t="s">
        <v>661</v>
      </c>
      <c r="AV129" s="16">
        <f t="shared" ref="AV129:AV143" si="58">SUM(AR129:AT129)</f>
        <v>100</v>
      </c>
      <c r="AW129" s="18">
        <v>2.23</v>
      </c>
      <c r="AX129" s="13">
        <f t="shared" si="43"/>
        <v>2.23E-2</v>
      </c>
      <c r="AY129" s="8" t="s">
        <v>184</v>
      </c>
      <c r="AZ129" s="16">
        <f t="shared" si="51"/>
        <v>100</v>
      </c>
      <c r="BA129" s="16" t="s">
        <v>55</v>
      </c>
      <c r="BB129" s="16">
        <v>5</v>
      </c>
      <c r="BC129" s="16" t="s">
        <v>55</v>
      </c>
      <c r="BD129" s="20">
        <v>0.31</v>
      </c>
      <c r="BE129" s="15">
        <f t="shared" ref="BE129:BE189" si="59">BD129/AX129</f>
        <v>13.901345291479821</v>
      </c>
      <c r="BF129" s="15">
        <f t="shared" ref="BF129:BF189" si="60">LOG(BE129)</f>
        <v>1.143056830786112</v>
      </c>
      <c r="BG129" s="8">
        <f t="shared" ref="BG129:BG189" si="61">LOG(BD129)</f>
        <v>-0.50863830616572736</v>
      </c>
      <c r="BH129" s="13" t="s">
        <v>345</v>
      </c>
      <c r="BI129" s="2"/>
      <c r="BJ129" s="2"/>
      <c r="BK129" s="2"/>
      <c r="BL129" s="2"/>
      <c r="BM129" s="20"/>
      <c r="BN129" s="20"/>
      <c r="BO129" s="2"/>
    </row>
    <row r="130" spans="1:67" s="14" customFormat="1" x14ac:dyDescent="0.3">
      <c r="A130" s="20">
        <v>130</v>
      </c>
      <c r="B130" s="2" t="s">
        <v>181</v>
      </c>
      <c r="C130" s="2">
        <v>2020</v>
      </c>
      <c r="D130" s="2" t="s">
        <v>203</v>
      </c>
      <c r="E130" s="10" t="s">
        <v>787</v>
      </c>
      <c r="F130" s="20" t="s">
        <v>29</v>
      </c>
      <c r="G130" s="2" t="s">
        <v>60</v>
      </c>
      <c r="H130" s="2" t="str">
        <f>'PFAS Properties'!$B$29</f>
        <v>PFBA</v>
      </c>
      <c r="I130" s="2" t="str">
        <f>'PFAS Properties'!$C$29</f>
        <v>PFCA</v>
      </c>
      <c r="J130" s="2" t="str">
        <f>'PFAS Properties'!$D$29</f>
        <v>C4HF7O2</v>
      </c>
      <c r="K130" s="25">
        <f>'PFAS Properties'!$P$29</f>
        <v>213.9864</v>
      </c>
      <c r="L130" s="2">
        <f>'PFAS Properties'!$X$29</f>
        <v>-0.2</v>
      </c>
      <c r="M130" s="2" t="str">
        <f>'PFAS Properties'!$Y$29</f>
        <v>-</v>
      </c>
      <c r="N130" s="33">
        <v>0</v>
      </c>
      <c r="O130" s="33">
        <v>0</v>
      </c>
      <c r="P130" s="33">
        <v>0</v>
      </c>
      <c r="Q130" s="33">
        <f t="shared" si="39"/>
        <v>0.99999998741074603</v>
      </c>
      <c r="R130" s="33">
        <v>0</v>
      </c>
      <c r="S130" s="33">
        <f t="shared" si="40"/>
        <v>1.258925395945232E-8</v>
      </c>
      <c r="T130" s="8">
        <f t="shared" si="42"/>
        <v>1</v>
      </c>
      <c r="U130" s="33">
        <f t="shared" si="52"/>
        <v>0</v>
      </c>
      <c r="V130" s="33">
        <f t="shared" si="53"/>
        <v>-0.99999998741074603</v>
      </c>
      <c r="W130" s="33">
        <f t="shared" si="54"/>
        <v>212.98640001258926</v>
      </c>
      <c r="X130" s="33">
        <v>96485</v>
      </c>
      <c r="Y130" s="16">
        <f t="shared" si="55"/>
        <v>-453.01013951887433</v>
      </c>
      <c r="Z130" s="16">
        <v>4</v>
      </c>
      <c r="AA130" s="16">
        <v>7</v>
      </c>
      <c r="AB130" s="8">
        <f t="shared" si="56"/>
        <v>0.36090225563909772</v>
      </c>
      <c r="AC130" s="16">
        <f t="shared" si="57"/>
        <v>62.153482651233901</v>
      </c>
      <c r="AD130" s="20">
        <f>'PFAS Properties'!$W$29</f>
        <v>3</v>
      </c>
      <c r="AE130" s="8">
        <f>'PFAS Properties'!$S$29</f>
        <v>6.1376705372367555</v>
      </c>
      <c r="AF130" s="2">
        <f>'PFAS Properties'!$V$29</f>
        <v>2.2000000000000002</v>
      </c>
      <c r="AG130" s="24">
        <v>7.7</v>
      </c>
      <c r="AH130" s="2" t="s">
        <v>183</v>
      </c>
      <c r="AI130" s="2" t="s">
        <v>661</v>
      </c>
      <c r="AJ130" s="2" t="s">
        <v>661</v>
      </c>
      <c r="AK130" s="2" t="s">
        <v>661</v>
      </c>
      <c r="AL130" s="2" t="s">
        <v>661</v>
      </c>
      <c r="AM130" s="2" t="s">
        <v>661</v>
      </c>
      <c r="AN130" s="2" t="s">
        <v>661</v>
      </c>
      <c r="AO130" s="2" t="s">
        <v>661</v>
      </c>
      <c r="AP130" s="15">
        <v>21.63</v>
      </c>
      <c r="AQ130" s="2" t="s">
        <v>661</v>
      </c>
      <c r="AR130" s="16">
        <v>70</v>
      </c>
      <c r="AS130" s="16">
        <v>11</v>
      </c>
      <c r="AT130" s="16">
        <v>19</v>
      </c>
      <c r="AU130" s="2" t="s">
        <v>661</v>
      </c>
      <c r="AV130" s="16">
        <f t="shared" si="58"/>
        <v>100</v>
      </c>
      <c r="AW130" s="18">
        <v>4.9000000000000004</v>
      </c>
      <c r="AX130" s="13">
        <f t="shared" si="43"/>
        <v>4.9000000000000002E-2</v>
      </c>
      <c r="AY130" s="8" t="s">
        <v>184</v>
      </c>
      <c r="AZ130" s="16">
        <f t="shared" si="51"/>
        <v>100</v>
      </c>
      <c r="BA130" s="16" t="s">
        <v>55</v>
      </c>
      <c r="BB130" s="16">
        <v>5</v>
      </c>
      <c r="BC130" s="16" t="s">
        <v>55</v>
      </c>
      <c r="BD130" s="20">
        <v>0.47</v>
      </c>
      <c r="BE130" s="15">
        <f t="shared" si="59"/>
        <v>9.5918367346938762</v>
      </c>
      <c r="BF130" s="15">
        <f t="shared" si="60"/>
        <v>0.98190177790720379</v>
      </c>
      <c r="BG130" s="8">
        <f t="shared" si="61"/>
        <v>-0.32790214206428259</v>
      </c>
      <c r="BH130" s="13" t="s">
        <v>345</v>
      </c>
      <c r="BI130" s="2"/>
      <c r="BJ130" s="2"/>
      <c r="BK130" s="2"/>
      <c r="BL130" s="2"/>
      <c r="BM130" s="20"/>
      <c r="BN130" s="20"/>
      <c r="BO130" s="2"/>
    </row>
    <row r="131" spans="1:67" s="14" customFormat="1" x14ac:dyDescent="0.3">
      <c r="A131" s="20">
        <v>131</v>
      </c>
      <c r="B131" s="2" t="s">
        <v>181</v>
      </c>
      <c r="C131" s="2">
        <v>2020</v>
      </c>
      <c r="D131" s="2" t="s">
        <v>203</v>
      </c>
      <c r="E131" s="10" t="s">
        <v>787</v>
      </c>
      <c r="F131" s="20" t="s">
        <v>29</v>
      </c>
      <c r="G131" s="2" t="s">
        <v>77</v>
      </c>
      <c r="H131" s="2" t="str">
        <f>'PFAS Properties'!$B$29</f>
        <v>PFBA</v>
      </c>
      <c r="I131" s="2" t="str">
        <f>'PFAS Properties'!$C$29</f>
        <v>PFCA</v>
      </c>
      <c r="J131" s="2" t="str">
        <f>'PFAS Properties'!$D$29</f>
        <v>C4HF7O2</v>
      </c>
      <c r="K131" s="25">
        <f>'PFAS Properties'!$P$29</f>
        <v>213.9864</v>
      </c>
      <c r="L131" s="2">
        <f>'PFAS Properties'!$X$29</f>
        <v>-0.2</v>
      </c>
      <c r="M131" s="2" t="str">
        <f>'PFAS Properties'!$Y$29</f>
        <v>-</v>
      </c>
      <c r="N131" s="33">
        <v>0</v>
      </c>
      <c r="O131" s="33">
        <v>0</v>
      </c>
      <c r="P131" s="33">
        <v>0</v>
      </c>
      <c r="Q131" s="33">
        <f t="shared" si="39"/>
        <v>0.99999998741074603</v>
      </c>
      <c r="R131" s="33">
        <v>0</v>
      </c>
      <c r="S131" s="33">
        <f t="shared" si="40"/>
        <v>1.258925395945232E-8</v>
      </c>
      <c r="T131" s="8">
        <f t="shared" si="42"/>
        <v>1</v>
      </c>
      <c r="U131" s="33">
        <f t="shared" si="52"/>
        <v>0</v>
      </c>
      <c r="V131" s="33">
        <f t="shared" si="53"/>
        <v>-0.99999998741074603</v>
      </c>
      <c r="W131" s="33">
        <f t="shared" si="54"/>
        <v>212.98640001258926</v>
      </c>
      <c r="X131" s="33">
        <v>96485</v>
      </c>
      <c r="Y131" s="16">
        <f t="shared" si="55"/>
        <v>-453.01013951887433</v>
      </c>
      <c r="Z131" s="16">
        <v>4</v>
      </c>
      <c r="AA131" s="16">
        <v>7</v>
      </c>
      <c r="AB131" s="8">
        <f t="shared" si="56"/>
        <v>0.36090225563909772</v>
      </c>
      <c r="AC131" s="16">
        <f t="shared" si="57"/>
        <v>62.153482651233901</v>
      </c>
      <c r="AD131" s="20">
        <f>'PFAS Properties'!$W$29</f>
        <v>3</v>
      </c>
      <c r="AE131" s="8">
        <f>'PFAS Properties'!$S$29</f>
        <v>6.1376705372367555</v>
      </c>
      <c r="AF131" s="2">
        <f>'PFAS Properties'!$V$29</f>
        <v>2.2000000000000002</v>
      </c>
      <c r="AG131" s="24">
        <v>7.7</v>
      </c>
      <c r="AH131" s="2" t="s">
        <v>183</v>
      </c>
      <c r="AI131" s="2" t="s">
        <v>661</v>
      </c>
      <c r="AJ131" s="2" t="s">
        <v>661</v>
      </c>
      <c r="AK131" s="2" t="s">
        <v>661</v>
      </c>
      <c r="AL131" s="2" t="s">
        <v>661</v>
      </c>
      <c r="AM131" s="2" t="s">
        <v>661</v>
      </c>
      <c r="AN131" s="2" t="s">
        <v>661</v>
      </c>
      <c r="AO131" s="2" t="s">
        <v>661</v>
      </c>
      <c r="AP131" s="15">
        <v>7.8</v>
      </c>
      <c r="AQ131" s="2" t="s">
        <v>661</v>
      </c>
      <c r="AR131" s="16">
        <v>48.9</v>
      </c>
      <c r="AS131" s="16">
        <v>32.6</v>
      </c>
      <c r="AT131" s="16">
        <v>18.5</v>
      </c>
      <c r="AU131" s="2" t="s">
        <v>661</v>
      </c>
      <c r="AV131" s="16">
        <f t="shared" si="58"/>
        <v>100</v>
      </c>
      <c r="AW131" s="18">
        <v>0.13</v>
      </c>
      <c r="AX131" s="13">
        <f t="shared" si="43"/>
        <v>1.2999999999999999E-3</v>
      </c>
      <c r="AY131" s="8" t="s">
        <v>184</v>
      </c>
      <c r="AZ131" s="16">
        <f t="shared" si="51"/>
        <v>100</v>
      </c>
      <c r="BA131" s="16" t="s">
        <v>55</v>
      </c>
      <c r="BB131" s="16">
        <v>5</v>
      </c>
      <c r="BC131" s="16" t="s">
        <v>55</v>
      </c>
      <c r="BD131" s="20">
        <v>0.22</v>
      </c>
      <c r="BE131" s="15">
        <f t="shared" si="59"/>
        <v>169.23076923076923</v>
      </c>
      <c r="BF131" s="15">
        <f t="shared" si="60"/>
        <v>2.2284793285153697</v>
      </c>
      <c r="BG131" s="8">
        <f t="shared" si="61"/>
        <v>-0.65757731917779372</v>
      </c>
      <c r="BH131" s="13" t="s">
        <v>345</v>
      </c>
      <c r="BI131" s="2"/>
      <c r="BJ131" s="2"/>
      <c r="BK131" s="2"/>
      <c r="BL131" s="2"/>
      <c r="BM131" s="20"/>
      <c r="BN131" s="20"/>
      <c r="BO131" s="2"/>
    </row>
    <row r="132" spans="1:67" s="14" customFormat="1" x14ac:dyDescent="0.3">
      <c r="A132" s="20">
        <v>132</v>
      </c>
      <c r="B132" s="2" t="s">
        <v>181</v>
      </c>
      <c r="C132" s="2">
        <v>2020</v>
      </c>
      <c r="D132" s="2" t="s">
        <v>203</v>
      </c>
      <c r="E132" s="10" t="s">
        <v>787</v>
      </c>
      <c r="F132" s="20" t="s">
        <v>29</v>
      </c>
      <c r="G132" s="2" t="s">
        <v>182</v>
      </c>
      <c r="H132" s="2" t="str">
        <f>'PFAS Properties'!$B$29</f>
        <v>PFBA</v>
      </c>
      <c r="I132" s="2" t="str">
        <f>'PFAS Properties'!$C$29</f>
        <v>PFCA</v>
      </c>
      <c r="J132" s="2" t="str">
        <f>'PFAS Properties'!$D$29</f>
        <v>C4HF7O2</v>
      </c>
      <c r="K132" s="25">
        <f>'PFAS Properties'!$P$29</f>
        <v>213.9864</v>
      </c>
      <c r="L132" s="2">
        <f>'PFAS Properties'!$X$29</f>
        <v>-0.2</v>
      </c>
      <c r="M132" s="2" t="str">
        <f>'PFAS Properties'!$Y$29</f>
        <v>-</v>
      </c>
      <c r="N132" s="33">
        <v>0</v>
      </c>
      <c r="O132" s="33">
        <v>0</v>
      </c>
      <c r="P132" s="33">
        <v>0</v>
      </c>
      <c r="Q132" s="33">
        <f t="shared" si="39"/>
        <v>0.99999998004737722</v>
      </c>
      <c r="R132" s="33">
        <v>0</v>
      </c>
      <c r="S132" s="33">
        <f t="shared" si="40"/>
        <v>1.995262275158161E-8</v>
      </c>
      <c r="T132" s="8">
        <f t="shared" si="42"/>
        <v>1</v>
      </c>
      <c r="U132" s="33">
        <f t="shared" si="52"/>
        <v>0</v>
      </c>
      <c r="V132" s="33">
        <f t="shared" si="53"/>
        <v>-0.99999998004737722</v>
      </c>
      <c r="W132" s="33">
        <f t="shared" si="54"/>
        <v>212.98640001995261</v>
      </c>
      <c r="X132" s="33">
        <v>96485</v>
      </c>
      <c r="Y132" s="16">
        <f t="shared" si="55"/>
        <v>-453.01013616753204</v>
      </c>
      <c r="Z132" s="16">
        <v>4</v>
      </c>
      <c r="AA132" s="16">
        <v>7</v>
      </c>
      <c r="AB132" s="8">
        <f t="shared" si="56"/>
        <v>0.36090225563909772</v>
      </c>
      <c r="AC132" s="16">
        <f t="shared" si="57"/>
        <v>62.153482651233901</v>
      </c>
      <c r="AD132" s="20">
        <f>'PFAS Properties'!$W$29</f>
        <v>3</v>
      </c>
      <c r="AE132" s="8">
        <f>'PFAS Properties'!$S$29</f>
        <v>6.1376705372367555</v>
      </c>
      <c r="AF132" s="2">
        <f>'PFAS Properties'!$V$29</f>
        <v>2.2000000000000002</v>
      </c>
      <c r="AG132" s="24">
        <v>7.5</v>
      </c>
      <c r="AH132" s="2" t="s">
        <v>183</v>
      </c>
      <c r="AI132" s="2" t="s">
        <v>661</v>
      </c>
      <c r="AJ132" s="2" t="s">
        <v>661</v>
      </c>
      <c r="AK132" s="2" t="s">
        <v>661</v>
      </c>
      <c r="AL132" s="2" t="s">
        <v>661</v>
      </c>
      <c r="AM132" s="2" t="s">
        <v>661</v>
      </c>
      <c r="AN132" s="2" t="s">
        <v>661</v>
      </c>
      <c r="AO132" s="2" t="s">
        <v>661</v>
      </c>
      <c r="AP132" s="15">
        <v>2.2799999999999998</v>
      </c>
      <c r="AQ132" s="2" t="s">
        <v>661</v>
      </c>
      <c r="AR132" s="16">
        <v>93</v>
      </c>
      <c r="AS132" s="16">
        <v>1</v>
      </c>
      <c r="AT132" s="16">
        <v>5</v>
      </c>
      <c r="AU132" s="2" t="s">
        <v>661</v>
      </c>
      <c r="AV132" s="16">
        <f t="shared" si="58"/>
        <v>99</v>
      </c>
      <c r="AW132" s="18">
        <v>0.4</v>
      </c>
      <c r="AX132" s="13">
        <f t="shared" si="43"/>
        <v>4.0000000000000001E-3</v>
      </c>
      <c r="AY132" s="8" t="s">
        <v>184</v>
      </c>
      <c r="AZ132" s="16">
        <f t="shared" si="51"/>
        <v>100</v>
      </c>
      <c r="BA132" s="16" t="s">
        <v>55</v>
      </c>
      <c r="BB132" s="16">
        <v>5</v>
      </c>
      <c r="BC132" s="16" t="s">
        <v>55</v>
      </c>
      <c r="BD132" s="20">
        <v>0.06</v>
      </c>
      <c r="BE132" s="15">
        <f t="shared" si="59"/>
        <v>15</v>
      </c>
      <c r="BF132" s="15">
        <f t="shared" si="60"/>
        <v>1.1760912590556813</v>
      </c>
      <c r="BG132" s="8">
        <f t="shared" si="61"/>
        <v>-1.2218487496163564</v>
      </c>
      <c r="BH132" s="13" t="s">
        <v>345</v>
      </c>
      <c r="BI132" s="2"/>
      <c r="BJ132" s="2"/>
      <c r="BK132" s="2"/>
      <c r="BL132" s="2"/>
      <c r="BM132" s="20"/>
      <c r="BN132" s="20"/>
      <c r="BO132" s="2"/>
    </row>
    <row r="133" spans="1:67" s="14" customFormat="1" x14ac:dyDescent="0.3">
      <c r="A133" s="20">
        <v>133</v>
      </c>
      <c r="B133" s="2" t="s">
        <v>181</v>
      </c>
      <c r="C133" s="2">
        <v>2020</v>
      </c>
      <c r="D133" s="2" t="s">
        <v>203</v>
      </c>
      <c r="E133" s="10" t="s">
        <v>787</v>
      </c>
      <c r="F133" s="20" t="s">
        <v>29</v>
      </c>
      <c r="G133" s="2" t="s">
        <v>78</v>
      </c>
      <c r="H133" s="2" t="str">
        <f>'PFAS Properties'!$B$29</f>
        <v>PFBA</v>
      </c>
      <c r="I133" s="2" t="str">
        <f>'PFAS Properties'!$C$29</f>
        <v>PFCA</v>
      </c>
      <c r="J133" s="2" t="str">
        <f>'PFAS Properties'!$D$29</f>
        <v>C4HF7O2</v>
      </c>
      <c r="K133" s="25">
        <f>'PFAS Properties'!$P$29</f>
        <v>213.9864</v>
      </c>
      <c r="L133" s="2">
        <f>'PFAS Properties'!$X$29</f>
        <v>-0.2</v>
      </c>
      <c r="M133" s="2" t="str">
        <f>'PFAS Properties'!$Y$29</f>
        <v>-</v>
      </c>
      <c r="N133" s="33">
        <v>0</v>
      </c>
      <c r="O133" s="33">
        <v>0</v>
      </c>
      <c r="P133" s="33">
        <v>0</v>
      </c>
      <c r="Q133" s="33">
        <f t="shared" si="39"/>
        <v>0.99999994988127916</v>
      </c>
      <c r="R133" s="33">
        <v>0</v>
      </c>
      <c r="S133" s="33">
        <f t="shared" si="40"/>
        <v>5.011872085084086E-8</v>
      </c>
      <c r="T133" s="8">
        <f t="shared" si="42"/>
        <v>1</v>
      </c>
      <c r="U133" s="33">
        <f t="shared" si="52"/>
        <v>0</v>
      </c>
      <c r="V133" s="33">
        <f t="shared" si="53"/>
        <v>-0.99999994988127916</v>
      </c>
      <c r="W133" s="33">
        <f t="shared" si="54"/>
        <v>212.98640005011873</v>
      </c>
      <c r="X133" s="33">
        <v>96485</v>
      </c>
      <c r="Y133" s="16">
        <f t="shared" si="55"/>
        <v>-453.01012243782202</v>
      </c>
      <c r="Z133" s="16">
        <v>4</v>
      </c>
      <c r="AA133" s="16">
        <v>7</v>
      </c>
      <c r="AB133" s="8">
        <f t="shared" si="56"/>
        <v>0.36090225563909772</v>
      </c>
      <c r="AC133" s="16">
        <f t="shared" si="57"/>
        <v>62.153482651233901</v>
      </c>
      <c r="AD133" s="20">
        <f>'PFAS Properties'!$W$29</f>
        <v>3</v>
      </c>
      <c r="AE133" s="8">
        <f>'PFAS Properties'!$S$29</f>
        <v>6.1376705372367555</v>
      </c>
      <c r="AF133" s="2">
        <f>'PFAS Properties'!$V$29</f>
        <v>2.2000000000000002</v>
      </c>
      <c r="AG133" s="24">
        <v>7.1</v>
      </c>
      <c r="AH133" s="2" t="s">
        <v>183</v>
      </c>
      <c r="AI133" s="2" t="s">
        <v>661</v>
      </c>
      <c r="AJ133" s="2" t="s">
        <v>661</v>
      </c>
      <c r="AK133" s="2" t="s">
        <v>661</v>
      </c>
      <c r="AL133" s="2" t="s">
        <v>661</v>
      </c>
      <c r="AM133" s="2" t="s">
        <v>661</v>
      </c>
      <c r="AN133" s="2" t="s">
        <v>661</v>
      </c>
      <c r="AO133" s="2" t="s">
        <v>661</v>
      </c>
      <c r="AP133" s="15">
        <v>17.420000000000002</v>
      </c>
      <c r="AQ133" s="2" t="s">
        <v>661</v>
      </c>
      <c r="AR133" s="16">
        <v>48.86</v>
      </c>
      <c r="AS133" s="16">
        <v>16.05</v>
      </c>
      <c r="AT133" s="16">
        <v>35.090000000000003</v>
      </c>
      <c r="AU133" s="2" t="s">
        <v>661</v>
      </c>
      <c r="AV133" s="16">
        <f t="shared" si="58"/>
        <v>100</v>
      </c>
      <c r="AW133" s="18">
        <v>1.19</v>
      </c>
      <c r="AX133" s="13">
        <f t="shared" si="43"/>
        <v>1.1899999999999999E-2</v>
      </c>
      <c r="AY133" s="8" t="s">
        <v>184</v>
      </c>
      <c r="AZ133" s="16">
        <f t="shared" si="51"/>
        <v>100</v>
      </c>
      <c r="BA133" s="16" t="s">
        <v>55</v>
      </c>
      <c r="BB133" s="16">
        <v>5</v>
      </c>
      <c r="BC133" s="16" t="s">
        <v>55</v>
      </c>
      <c r="BD133" s="20">
        <v>0.23</v>
      </c>
      <c r="BE133" s="15">
        <f t="shared" si="59"/>
        <v>19.327731092436977</v>
      </c>
      <c r="BF133" s="15">
        <f t="shared" si="60"/>
        <v>1.2861808746250623</v>
      </c>
      <c r="BG133" s="8">
        <f t="shared" si="61"/>
        <v>-0.63827216398240705</v>
      </c>
      <c r="BH133" s="13" t="s">
        <v>345</v>
      </c>
      <c r="BI133" s="2"/>
      <c r="BJ133" s="2"/>
      <c r="BK133" s="2"/>
      <c r="BL133" s="2"/>
      <c r="BM133" s="20"/>
      <c r="BN133" s="20"/>
      <c r="BO133" s="2"/>
    </row>
    <row r="134" spans="1:67" s="14" customFormat="1" x14ac:dyDescent="0.3">
      <c r="A134" s="20">
        <v>134</v>
      </c>
      <c r="B134" s="2" t="s">
        <v>181</v>
      </c>
      <c r="C134" s="2">
        <v>2020</v>
      </c>
      <c r="D134" s="2" t="s">
        <v>203</v>
      </c>
      <c r="E134" s="10" t="s">
        <v>787</v>
      </c>
      <c r="F134" s="20" t="s">
        <v>29</v>
      </c>
      <c r="G134" s="2" t="s">
        <v>98</v>
      </c>
      <c r="H134" s="2" t="str">
        <f>'PFAS Properties'!$B$29</f>
        <v>PFBA</v>
      </c>
      <c r="I134" s="2" t="str">
        <f>'PFAS Properties'!$C$29</f>
        <v>PFCA</v>
      </c>
      <c r="J134" s="2" t="str">
        <f>'PFAS Properties'!$D$29</f>
        <v>C4HF7O2</v>
      </c>
      <c r="K134" s="25">
        <f>'PFAS Properties'!$P$29</f>
        <v>213.9864</v>
      </c>
      <c r="L134" s="2">
        <f>'PFAS Properties'!$X$29</f>
        <v>-0.2</v>
      </c>
      <c r="M134" s="2" t="str">
        <f>'PFAS Properties'!$Y$29</f>
        <v>-</v>
      </c>
      <c r="N134" s="33">
        <v>0</v>
      </c>
      <c r="O134" s="33">
        <v>0</v>
      </c>
      <c r="P134" s="33">
        <v>0</v>
      </c>
      <c r="Q134" s="33">
        <f t="shared" si="39"/>
        <v>0.99999974881141995</v>
      </c>
      <c r="R134" s="33">
        <v>0</v>
      </c>
      <c r="S134" s="33">
        <f t="shared" si="40"/>
        <v>2.5118858005523878E-7</v>
      </c>
      <c r="T134" s="8">
        <f t="shared" si="42"/>
        <v>1</v>
      </c>
      <c r="U134" s="33">
        <f t="shared" si="52"/>
        <v>0</v>
      </c>
      <c r="V134" s="33">
        <f t="shared" si="53"/>
        <v>-0.99999974881141995</v>
      </c>
      <c r="W134" s="33">
        <f t="shared" si="54"/>
        <v>212.9864002511886</v>
      </c>
      <c r="X134" s="33">
        <v>96485</v>
      </c>
      <c r="Y134" s="16">
        <f t="shared" si="55"/>
        <v>-453.01003092347167</v>
      </c>
      <c r="Z134" s="16">
        <v>4</v>
      </c>
      <c r="AA134" s="16">
        <v>7</v>
      </c>
      <c r="AB134" s="8">
        <f t="shared" si="56"/>
        <v>0.36090225563909772</v>
      </c>
      <c r="AC134" s="16">
        <f t="shared" si="57"/>
        <v>62.153482651233901</v>
      </c>
      <c r="AD134" s="20">
        <f>'PFAS Properties'!$W$29</f>
        <v>3</v>
      </c>
      <c r="AE134" s="8">
        <f>'PFAS Properties'!$S$29</f>
        <v>6.1376705372367555</v>
      </c>
      <c r="AF134" s="2">
        <f>'PFAS Properties'!$V$29</f>
        <v>2.2000000000000002</v>
      </c>
      <c r="AG134" s="24">
        <v>6.4</v>
      </c>
      <c r="AH134" s="2" t="s">
        <v>183</v>
      </c>
      <c r="AI134" s="2" t="s">
        <v>661</v>
      </c>
      <c r="AJ134" s="2" t="s">
        <v>661</v>
      </c>
      <c r="AK134" s="2" t="s">
        <v>661</v>
      </c>
      <c r="AL134" s="2" t="s">
        <v>661</v>
      </c>
      <c r="AM134" s="2" t="s">
        <v>661</v>
      </c>
      <c r="AN134" s="2" t="s">
        <v>661</v>
      </c>
      <c r="AO134" s="2" t="s">
        <v>661</v>
      </c>
      <c r="AP134" s="15">
        <v>16.54</v>
      </c>
      <c r="AQ134" s="2" t="s">
        <v>661</v>
      </c>
      <c r="AR134" s="16">
        <v>29.38</v>
      </c>
      <c r="AS134" s="16">
        <v>13.9</v>
      </c>
      <c r="AT134" s="16">
        <v>56.71</v>
      </c>
      <c r="AU134" s="2" t="s">
        <v>661</v>
      </c>
      <c r="AV134" s="16">
        <f t="shared" si="58"/>
        <v>99.990000000000009</v>
      </c>
      <c r="AW134" s="18">
        <v>0.17</v>
      </c>
      <c r="AX134" s="13">
        <f t="shared" si="43"/>
        <v>1.7000000000000001E-3</v>
      </c>
      <c r="AY134" s="8" t="s">
        <v>184</v>
      </c>
      <c r="AZ134" s="16">
        <f t="shared" si="51"/>
        <v>100</v>
      </c>
      <c r="BA134" s="16" t="s">
        <v>55</v>
      </c>
      <c r="BB134" s="16">
        <v>5</v>
      </c>
      <c r="BC134" s="16" t="s">
        <v>55</v>
      </c>
      <c r="BD134" s="18">
        <v>0.3</v>
      </c>
      <c r="BE134" s="15">
        <f t="shared" si="59"/>
        <v>176.47058823529409</v>
      </c>
      <c r="BF134" s="15">
        <f t="shared" si="60"/>
        <v>2.2466723333413885</v>
      </c>
      <c r="BG134" s="8">
        <f t="shared" si="61"/>
        <v>-0.52287874528033762</v>
      </c>
      <c r="BH134" s="13" t="s">
        <v>345</v>
      </c>
      <c r="BI134" s="2"/>
      <c r="BJ134" s="2"/>
      <c r="BK134" s="2"/>
      <c r="BL134" s="2"/>
      <c r="BM134" s="20"/>
      <c r="BN134" s="20"/>
      <c r="BO134" s="2"/>
    </row>
    <row r="135" spans="1:67" s="14" customFormat="1" x14ac:dyDescent="0.3">
      <c r="A135" s="20">
        <v>135</v>
      </c>
      <c r="B135" s="2" t="s">
        <v>202</v>
      </c>
      <c r="C135" s="2">
        <v>2019</v>
      </c>
      <c r="D135" s="2" t="s">
        <v>199</v>
      </c>
      <c r="E135" s="10" t="s">
        <v>791</v>
      </c>
      <c r="F135" s="20" t="s">
        <v>29</v>
      </c>
      <c r="G135" s="2" t="s">
        <v>39</v>
      </c>
      <c r="H135" s="2" t="str">
        <f>'PFAS Properties'!$B$30</f>
        <v>PFPeA</v>
      </c>
      <c r="I135" s="2" t="str">
        <f>'PFAS Properties'!$C$30</f>
        <v>PFCA</v>
      </c>
      <c r="J135" s="2" t="str">
        <f>'PFAS Properties'!$D$30</f>
        <v>C5HF9O2</v>
      </c>
      <c r="K135" s="25">
        <f>'PFAS Properties'!$P$30</f>
        <v>263.98320000000001</v>
      </c>
      <c r="L135" s="2">
        <f>'PFAS Properties'!$X$30</f>
        <v>-0.2</v>
      </c>
      <c r="M135" s="2" t="str">
        <f>'PFAS Properties'!$Y$30</f>
        <v>-</v>
      </c>
      <c r="N135" s="33">
        <v>0</v>
      </c>
      <c r="O135" s="33">
        <v>0</v>
      </c>
      <c r="P135" s="33">
        <v>0</v>
      </c>
      <c r="Q135" s="33">
        <f t="shared" si="39"/>
        <v>0.9999964518786969</v>
      </c>
      <c r="R135" s="33">
        <v>0</v>
      </c>
      <c r="S135" s="33">
        <f t="shared" si="40"/>
        <v>3.5481213031263005E-6</v>
      </c>
      <c r="T135" s="8">
        <f t="shared" si="42"/>
        <v>1</v>
      </c>
      <c r="U135" s="33">
        <f t="shared" si="52"/>
        <v>0</v>
      </c>
      <c r="V135" s="33">
        <f t="shared" si="53"/>
        <v>-0.9999964518786969</v>
      </c>
      <c r="W135" s="33">
        <f t="shared" si="54"/>
        <v>262.98320354812131</v>
      </c>
      <c r="X135" s="33">
        <v>96485</v>
      </c>
      <c r="Y135" s="16">
        <f t="shared" si="55"/>
        <v>-366.88524726204071</v>
      </c>
      <c r="Z135" s="16">
        <v>5</v>
      </c>
      <c r="AA135" s="16">
        <v>9</v>
      </c>
      <c r="AB135" s="8">
        <f t="shared" si="56"/>
        <v>0.35087719298245612</v>
      </c>
      <c r="AC135" s="16">
        <f t="shared" si="57"/>
        <v>64.776849435873189</v>
      </c>
      <c r="AD135" s="20">
        <f>'PFAS Properties'!$W$30</f>
        <v>4</v>
      </c>
      <c r="AE135" s="8">
        <f>'PFAS Properties'!$S$30</f>
        <v>5.2933625547114458</v>
      </c>
      <c r="AF135" s="2">
        <f>'PFAS Properties'!$V$30</f>
        <v>2.9</v>
      </c>
      <c r="AG135" s="24">
        <v>5.25</v>
      </c>
      <c r="AH135" s="2" t="s">
        <v>661</v>
      </c>
      <c r="AI135" s="2" t="s">
        <v>661</v>
      </c>
      <c r="AJ135" s="2" t="s">
        <v>661</v>
      </c>
      <c r="AK135" s="2" t="s">
        <v>661</v>
      </c>
      <c r="AL135" s="2" t="s">
        <v>661</v>
      </c>
      <c r="AM135" s="2" t="s">
        <v>661</v>
      </c>
      <c r="AN135" s="2" t="s">
        <v>661</v>
      </c>
      <c r="AO135" s="2" t="s">
        <v>661</v>
      </c>
      <c r="AP135" s="72">
        <v>5.7023166666666656</v>
      </c>
      <c r="AQ135" s="70" t="s">
        <v>752</v>
      </c>
      <c r="AR135" s="16">
        <v>100</v>
      </c>
      <c r="AS135" s="16">
        <v>0</v>
      </c>
      <c r="AT135" s="16">
        <v>0</v>
      </c>
      <c r="AU135" s="2" t="s">
        <v>661</v>
      </c>
      <c r="AV135" s="16">
        <f t="shared" si="58"/>
        <v>100</v>
      </c>
      <c r="AW135" s="18">
        <v>0.4</v>
      </c>
      <c r="AX135" s="13">
        <f t="shared" si="43"/>
        <v>4.0000000000000001E-3</v>
      </c>
      <c r="AY135" s="13" t="s">
        <v>658</v>
      </c>
      <c r="AZ135" s="16">
        <f>2/0.01</f>
        <v>200</v>
      </c>
      <c r="BA135" s="16" t="s">
        <v>55</v>
      </c>
      <c r="BB135" s="16">
        <v>1</v>
      </c>
      <c r="BC135" s="16">
        <v>1000</v>
      </c>
      <c r="BD135" s="18">
        <v>0.21</v>
      </c>
      <c r="BE135" s="15">
        <f t="shared" si="59"/>
        <v>52.5</v>
      </c>
      <c r="BF135" s="8">
        <f t="shared" si="60"/>
        <v>1.7201593034059568</v>
      </c>
      <c r="BG135" s="8">
        <f t="shared" si="61"/>
        <v>-0.6777807052660807</v>
      </c>
      <c r="BH135" s="2" t="s">
        <v>605</v>
      </c>
      <c r="BI135" s="13"/>
      <c r="BJ135" s="13"/>
      <c r="BK135" s="13"/>
      <c r="BL135" s="13"/>
      <c r="BM135" s="17"/>
      <c r="BN135" s="17"/>
      <c r="BO135" s="2"/>
    </row>
    <row r="136" spans="1:67" s="14" customFormat="1" x14ac:dyDescent="0.3">
      <c r="A136" s="20">
        <v>136</v>
      </c>
      <c r="B136" s="2" t="s">
        <v>202</v>
      </c>
      <c r="C136" s="2">
        <v>2019</v>
      </c>
      <c r="D136" s="2" t="s">
        <v>199</v>
      </c>
      <c r="E136" s="10" t="s">
        <v>791</v>
      </c>
      <c r="F136" s="20" t="s">
        <v>29</v>
      </c>
      <c r="G136" s="2" t="s">
        <v>43</v>
      </c>
      <c r="H136" s="2" t="str">
        <f>'PFAS Properties'!$B$30</f>
        <v>PFPeA</v>
      </c>
      <c r="I136" s="2" t="str">
        <f>'PFAS Properties'!$C$30</f>
        <v>PFCA</v>
      </c>
      <c r="J136" s="2" t="str">
        <f>'PFAS Properties'!$D$30</f>
        <v>C5HF9O2</v>
      </c>
      <c r="K136" s="25">
        <f>'PFAS Properties'!$P$30</f>
        <v>263.98320000000001</v>
      </c>
      <c r="L136" s="2">
        <f>'PFAS Properties'!$X$30</f>
        <v>-0.2</v>
      </c>
      <c r="M136" s="2" t="str">
        <f>'PFAS Properties'!$Y$30</f>
        <v>-</v>
      </c>
      <c r="N136" s="33">
        <v>0</v>
      </c>
      <c r="O136" s="33">
        <v>0</v>
      </c>
      <c r="P136" s="33">
        <v>0</v>
      </c>
      <c r="Q136" s="33">
        <f t="shared" si="39"/>
        <v>0.99999865103893715</v>
      </c>
      <c r="R136" s="33">
        <v>0</v>
      </c>
      <c r="S136" s="33">
        <f t="shared" si="40"/>
        <v>1.3489610628932487E-6</v>
      </c>
      <c r="T136" s="8">
        <f t="shared" si="42"/>
        <v>1</v>
      </c>
      <c r="U136" s="33">
        <f t="shared" si="52"/>
        <v>0</v>
      </c>
      <c r="V136" s="33">
        <f t="shared" si="53"/>
        <v>-0.99999865103893715</v>
      </c>
      <c r="W136" s="33">
        <f t="shared" si="54"/>
        <v>262.98320134896107</v>
      </c>
      <c r="X136" s="33">
        <v>96485</v>
      </c>
      <c r="Y136" s="16">
        <f t="shared" si="55"/>
        <v>-366.88605717238528</v>
      </c>
      <c r="Z136" s="16">
        <v>5</v>
      </c>
      <c r="AA136" s="16">
        <v>9</v>
      </c>
      <c r="AB136" s="8">
        <f t="shared" si="56"/>
        <v>0.35087719298245612</v>
      </c>
      <c r="AC136" s="16">
        <f t="shared" si="57"/>
        <v>64.776849435873189</v>
      </c>
      <c r="AD136" s="20">
        <f>'PFAS Properties'!$W$30</f>
        <v>4</v>
      </c>
      <c r="AE136" s="8">
        <f>'PFAS Properties'!$S$30</f>
        <v>5.2933625547114458</v>
      </c>
      <c r="AF136" s="2">
        <f>'PFAS Properties'!$V$30</f>
        <v>2.9</v>
      </c>
      <c r="AG136" s="24">
        <v>5.67</v>
      </c>
      <c r="AH136" s="2" t="s">
        <v>661</v>
      </c>
      <c r="AI136" s="15" t="s">
        <v>661</v>
      </c>
      <c r="AJ136" s="16" t="s">
        <v>661</v>
      </c>
      <c r="AK136" s="2" t="s">
        <v>661</v>
      </c>
      <c r="AL136" s="15" t="s">
        <v>661</v>
      </c>
      <c r="AM136" s="16" t="s">
        <v>661</v>
      </c>
      <c r="AN136" s="2" t="s">
        <v>661</v>
      </c>
      <c r="AO136" s="2" t="s">
        <v>661</v>
      </c>
      <c r="AP136" s="72">
        <v>9.2037666666666649</v>
      </c>
      <c r="AQ136" s="70" t="s">
        <v>752</v>
      </c>
      <c r="AR136" s="16">
        <v>71</v>
      </c>
      <c r="AS136" s="16">
        <v>24</v>
      </c>
      <c r="AT136" s="16">
        <v>5</v>
      </c>
      <c r="AU136" s="2" t="s">
        <v>661</v>
      </c>
      <c r="AV136" s="16">
        <f t="shared" si="58"/>
        <v>100</v>
      </c>
      <c r="AW136" s="18">
        <v>0.93</v>
      </c>
      <c r="AX136" s="13">
        <f t="shared" si="43"/>
        <v>9.300000000000001E-3</v>
      </c>
      <c r="AY136" s="13" t="s">
        <v>658</v>
      </c>
      <c r="AZ136" s="16">
        <f>2/0.01</f>
        <v>200</v>
      </c>
      <c r="BA136" s="16" t="s">
        <v>55</v>
      </c>
      <c r="BB136" s="16">
        <v>1</v>
      </c>
      <c r="BC136" s="16">
        <v>1000</v>
      </c>
      <c r="BD136" s="18">
        <v>0.23</v>
      </c>
      <c r="BE136" s="15">
        <f t="shared" si="59"/>
        <v>24.731182795698924</v>
      </c>
      <c r="BF136" s="8">
        <f t="shared" si="60"/>
        <v>1.3932448874636578</v>
      </c>
      <c r="BG136" s="8">
        <f t="shared" si="61"/>
        <v>-0.63827216398240705</v>
      </c>
      <c r="BH136" s="2" t="s">
        <v>605</v>
      </c>
      <c r="BI136" s="13"/>
      <c r="BJ136" s="13"/>
      <c r="BK136" s="13"/>
      <c r="BL136" s="13"/>
      <c r="BM136" s="17"/>
      <c r="BN136" s="17"/>
      <c r="BO136" s="2"/>
    </row>
    <row r="137" spans="1:67" s="14" customFormat="1" x14ac:dyDescent="0.3">
      <c r="A137" s="20">
        <v>137</v>
      </c>
      <c r="B137" s="2" t="s">
        <v>204</v>
      </c>
      <c r="C137" s="2">
        <v>2013</v>
      </c>
      <c r="D137" s="2" t="s">
        <v>203</v>
      </c>
      <c r="E137" s="10" t="s">
        <v>792</v>
      </c>
      <c r="F137" s="20" t="s">
        <v>29</v>
      </c>
      <c r="G137" s="2" t="s">
        <v>46</v>
      </c>
      <c r="H137" s="2" t="str">
        <f>'PFAS Properties'!$B$30</f>
        <v>PFPeA</v>
      </c>
      <c r="I137" s="2" t="str">
        <f>'PFAS Properties'!$C$30</f>
        <v>PFCA</v>
      </c>
      <c r="J137" s="2" t="str">
        <f>'PFAS Properties'!$D$30</f>
        <v>C5HF9O2</v>
      </c>
      <c r="K137" s="25">
        <f>'PFAS Properties'!$P$30</f>
        <v>263.98320000000001</v>
      </c>
      <c r="L137" s="2">
        <f>'PFAS Properties'!$X$30</f>
        <v>-0.2</v>
      </c>
      <c r="M137" s="2" t="str">
        <f>'PFAS Properties'!$Y$30</f>
        <v>-</v>
      </c>
      <c r="N137" s="33">
        <v>0</v>
      </c>
      <c r="O137" s="33">
        <v>0</v>
      </c>
      <c r="P137" s="33">
        <v>0</v>
      </c>
      <c r="Q137" s="33">
        <f t="shared" si="39"/>
        <v>0.99999949881301753</v>
      </c>
      <c r="R137" s="33">
        <v>0</v>
      </c>
      <c r="S137" s="33">
        <f t="shared" si="40"/>
        <v>5.0118698243875488E-7</v>
      </c>
      <c r="T137" s="8">
        <f t="shared" si="42"/>
        <v>1</v>
      </c>
      <c r="U137" s="33">
        <f t="shared" si="52"/>
        <v>0</v>
      </c>
      <c r="V137" s="33">
        <f t="shared" si="53"/>
        <v>-0.99999949881301753</v>
      </c>
      <c r="W137" s="33">
        <f t="shared" si="54"/>
        <v>262.98320050118696</v>
      </c>
      <c r="X137" s="33">
        <v>96485</v>
      </c>
      <c r="Y137" s="16">
        <f t="shared" si="55"/>
        <v>-366.88636939201945</v>
      </c>
      <c r="Z137" s="16">
        <v>5</v>
      </c>
      <c r="AA137" s="16">
        <v>9</v>
      </c>
      <c r="AB137" s="8">
        <f t="shared" si="56"/>
        <v>0.35087719298245612</v>
      </c>
      <c r="AC137" s="16">
        <f t="shared" si="57"/>
        <v>64.776849435873189</v>
      </c>
      <c r="AD137" s="20">
        <f>'PFAS Properties'!$W$30</f>
        <v>4</v>
      </c>
      <c r="AE137" s="8">
        <f>'PFAS Properties'!$S$30</f>
        <v>5.2933625547114458</v>
      </c>
      <c r="AF137" s="2">
        <f>'PFAS Properties'!$V$30</f>
        <v>2.9</v>
      </c>
      <c r="AG137" s="24">
        <v>6.1</v>
      </c>
      <c r="AH137" s="2" t="s">
        <v>661</v>
      </c>
      <c r="AI137" s="15">
        <v>2.21</v>
      </c>
      <c r="AJ137" s="16">
        <f>AI137*1000/55.845</f>
        <v>39.573820395738203</v>
      </c>
      <c r="AK137" s="8">
        <f>AI137/10</f>
        <v>0.221</v>
      </c>
      <c r="AL137" s="15">
        <v>0.93</v>
      </c>
      <c r="AM137" s="16">
        <f>AL137*1000/26.98</f>
        <v>34.469977761304669</v>
      </c>
      <c r="AN137" s="8">
        <f>AL137/10</f>
        <v>9.2999999999999999E-2</v>
      </c>
      <c r="AO137" s="15" t="s">
        <v>41</v>
      </c>
      <c r="AP137" s="72">
        <v>14.27683666666667</v>
      </c>
      <c r="AQ137" s="2" t="s">
        <v>752</v>
      </c>
      <c r="AR137" s="16">
        <v>81</v>
      </c>
      <c r="AS137" s="16">
        <v>1</v>
      </c>
      <c r="AT137" s="16">
        <v>9</v>
      </c>
      <c r="AU137" s="16" t="s">
        <v>661</v>
      </c>
      <c r="AV137" s="16">
        <f t="shared" si="58"/>
        <v>91</v>
      </c>
      <c r="AW137" s="18">
        <v>1.7</v>
      </c>
      <c r="AX137" s="13">
        <f t="shared" si="43"/>
        <v>1.7000000000000001E-2</v>
      </c>
      <c r="AY137" s="13" t="s">
        <v>42</v>
      </c>
      <c r="AZ137" s="16">
        <f>15/0.04</f>
        <v>375</v>
      </c>
      <c r="BA137" s="16" t="s">
        <v>55</v>
      </c>
      <c r="BB137" s="15">
        <v>0.5</v>
      </c>
      <c r="BC137" s="16">
        <v>1000</v>
      </c>
      <c r="BD137" s="18">
        <v>0.24</v>
      </c>
      <c r="BE137" s="15">
        <f t="shared" si="59"/>
        <v>14.117647058823527</v>
      </c>
      <c r="BF137" s="8">
        <f t="shared" si="60"/>
        <v>1.149762320333332</v>
      </c>
      <c r="BG137" s="8">
        <f t="shared" si="61"/>
        <v>-0.61978875828839397</v>
      </c>
      <c r="BH137" s="13" t="s">
        <v>844</v>
      </c>
      <c r="BI137" s="15"/>
      <c r="BJ137" s="13"/>
      <c r="BK137" s="15"/>
      <c r="BL137" s="15"/>
      <c r="BM137" s="18"/>
      <c r="BN137" s="8"/>
      <c r="BO137" s="24"/>
    </row>
    <row r="138" spans="1:67" s="14" customFormat="1" x14ac:dyDescent="0.3">
      <c r="A138" s="20">
        <v>138</v>
      </c>
      <c r="B138" s="2" t="s">
        <v>204</v>
      </c>
      <c r="C138" s="2">
        <v>2013</v>
      </c>
      <c r="D138" s="2" t="s">
        <v>203</v>
      </c>
      <c r="E138" s="10" t="s">
        <v>792</v>
      </c>
      <c r="F138" s="20" t="s">
        <v>29</v>
      </c>
      <c r="G138" s="2" t="s">
        <v>50</v>
      </c>
      <c r="H138" s="2" t="str">
        <f>'PFAS Properties'!$B$30</f>
        <v>PFPeA</v>
      </c>
      <c r="I138" s="2" t="str">
        <f>'PFAS Properties'!$C$30</f>
        <v>PFCA</v>
      </c>
      <c r="J138" s="2" t="str">
        <f>'PFAS Properties'!$D$30</f>
        <v>C5HF9O2</v>
      </c>
      <c r="K138" s="25">
        <f>'PFAS Properties'!$P$30</f>
        <v>263.98320000000001</v>
      </c>
      <c r="L138" s="2">
        <f>'PFAS Properties'!$X$30</f>
        <v>-0.2</v>
      </c>
      <c r="M138" s="2" t="str">
        <f>'PFAS Properties'!$Y$30</f>
        <v>-</v>
      </c>
      <c r="N138" s="33">
        <v>0</v>
      </c>
      <c r="O138" s="33">
        <v>0</v>
      </c>
      <c r="P138" s="33">
        <v>0</v>
      </c>
      <c r="Q138" s="33">
        <f t="shared" si="39"/>
        <v>0.99999999000000006</v>
      </c>
      <c r="R138" s="33">
        <v>0</v>
      </c>
      <c r="S138" s="33">
        <f t="shared" si="40"/>
        <v>9.9999999000000002E-9</v>
      </c>
      <c r="T138" s="8">
        <f t="shared" si="42"/>
        <v>1</v>
      </c>
      <c r="U138" s="33">
        <f t="shared" si="52"/>
        <v>0</v>
      </c>
      <c r="V138" s="33">
        <f t="shared" si="53"/>
        <v>-0.99999999000000006</v>
      </c>
      <c r="W138" s="33">
        <f t="shared" si="54"/>
        <v>262.98320000999996</v>
      </c>
      <c r="X138" s="33">
        <v>96485</v>
      </c>
      <c r="Y138" s="16">
        <f t="shared" si="55"/>
        <v>-366.88655028717102</v>
      </c>
      <c r="Z138" s="16">
        <v>5</v>
      </c>
      <c r="AA138" s="16">
        <v>9</v>
      </c>
      <c r="AB138" s="8">
        <f t="shared" si="56"/>
        <v>0.35087719298245612</v>
      </c>
      <c r="AC138" s="16">
        <f t="shared" si="57"/>
        <v>64.776849435873189</v>
      </c>
      <c r="AD138" s="20">
        <f>'PFAS Properties'!$W$30</f>
        <v>4</v>
      </c>
      <c r="AE138" s="8">
        <f>'PFAS Properties'!$S$30</f>
        <v>5.2933625547114458</v>
      </c>
      <c r="AF138" s="2">
        <f>'PFAS Properties'!$V$30</f>
        <v>2.9</v>
      </c>
      <c r="AG138" s="24">
        <v>7.8</v>
      </c>
      <c r="AH138" s="2" t="s">
        <v>661</v>
      </c>
      <c r="AI138" s="15">
        <v>6.14</v>
      </c>
      <c r="AJ138" s="16">
        <f>AI138/10</f>
        <v>0.61399999999999999</v>
      </c>
      <c r="AK138" s="8">
        <f>AI138/10</f>
        <v>0.61399999999999999</v>
      </c>
      <c r="AL138" s="15">
        <v>1.67</v>
      </c>
      <c r="AM138" s="15">
        <f>AL138/10</f>
        <v>0.16699999999999998</v>
      </c>
      <c r="AN138" s="8">
        <f>AL138/10</f>
        <v>0.16699999999999998</v>
      </c>
      <c r="AO138" s="15" t="s">
        <v>41</v>
      </c>
      <c r="AP138" s="72">
        <v>6.4956666666666676</v>
      </c>
      <c r="AQ138" s="2" t="s">
        <v>752</v>
      </c>
      <c r="AR138" s="16">
        <v>33</v>
      </c>
      <c r="AS138" s="16">
        <v>42</v>
      </c>
      <c r="AT138" s="16">
        <v>25</v>
      </c>
      <c r="AU138" s="16" t="s">
        <v>661</v>
      </c>
      <c r="AV138" s="16">
        <f t="shared" si="58"/>
        <v>100</v>
      </c>
      <c r="AW138" s="18">
        <v>4.5</v>
      </c>
      <c r="AX138" s="13">
        <f t="shared" si="43"/>
        <v>4.4999999999999998E-2</v>
      </c>
      <c r="AY138" s="13" t="s">
        <v>42</v>
      </c>
      <c r="AZ138" s="16">
        <f>15/0.04</f>
        <v>375</v>
      </c>
      <c r="BA138" s="16" t="s">
        <v>55</v>
      </c>
      <c r="BB138" s="15">
        <v>0.5</v>
      </c>
      <c r="BC138" s="16">
        <v>1000</v>
      </c>
      <c r="BD138" s="18">
        <v>0.36</v>
      </c>
      <c r="BE138" s="15">
        <f t="shared" si="59"/>
        <v>8</v>
      </c>
      <c r="BF138" s="8">
        <f t="shared" si="60"/>
        <v>0.90308998699194354</v>
      </c>
      <c r="BG138" s="8">
        <f t="shared" si="61"/>
        <v>-0.44369749923271273</v>
      </c>
      <c r="BH138" s="13" t="s">
        <v>844</v>
      </c>
      <c r="BI138" s="15"/>
      <c r="BJ138" s="13"/>
      <c r="BK138" s="15"/>
      <c r="BL138" s="16"/>
      <c r="BM138" s="18"/>
      <c r="BN138" s="8"/>
      <c r="BO138" s="24"/>
    </row>
    <row r="139" spans="1:67" s="14" customFormat="1" x14ac:dyDescent="0.3">
      <c r="A139" s="20">
        <v>139</v>
      </c>
      <c r="B139" s="2" t="s">
        <v>204</v>
      </c>
      <c r="C139" s="2">
        <v>2013</v>
      </c>
      <c r="D139" s="2" t="s">
        <v>203</v>
      </c>
      <c r="E139" s="10" t="s">
        <v>792</v>
      </c>
      <c r="F139" s="20" t="s">
        <v>29</v>
      </c>
      <c r="G139" s="2" t="s">
        <v>40</v>
      </c>
      <c r="H139" s="2" t="str">
        <f>'PFAS Properties'!$B$30</f>
        <v>PFPeA</v>
      </c>
      <c r="I139" s="2" t="str">
        <f>'PFAS Properties'!$C$30</f>
        <v>PFCA</v>
      </c>
      <c r="J139" s="2" t="str">
        <f>'PFAS Properties'!$D$30</f>
        <v>C5HF9O2</v>
      </c>
      <c r="K139" s="25">
        <f>'PFAS Properties'!$P$30</f>
        <v>263.98320000000001</v>
      </c>
      <c r="L139" s="2">
        <f>'PFAS Properties'!$X$30</f>
        <v>-0.2</v>
      </c>
      <c r="M139" s="2" t="str">
        <f>'PFAS Properties'!$Y$30</f>
        <v>-</v>
      </c>
      <c r="N139" s="33">
        <v>0</v>
      </c>
      <c r="O139" s="33">
        <v>0</v>
      </c>
      <c r="P139" s="33">
        <v>0</v>
      </c>
      <c r="Q139" s="33">
        <f t="shared" si="39"/>
        <v>0.99999601894414336</v>
      </c>
      <c r="R139" s="33">
        <v>0</v>
      </c>
      <c r="S139" s="33">
        <f t="shared" si="40"/>
        <v>3.981055856666137E-6</v>
      </c>
      <c r="T139" s="8">
        <f t="shared" si="42"/>
        <v>1</v>
      </c>
      <c r="U139" s="33">
        <f t="shared" si="52"/>
        <v>0</v>
      </c>
      <c r="V139" s="33">
        <f t="shared" si="53"/>
        <v>-0.99999601894414336</v>
      </c>
      <c r="W139" s="33">
        <f t="shared" si="54"/>
        <v>262.98320398105591</v>
      </c>
      <c r="X139" s="33">
        <v>96485</v>
      </c>
      <c r="Y139" s="16">
        <f t="shared" si="55"/>
        <v>-366.88508782019392</v>
      </c>
      <c r="Z139" s="16">
        <v>5</v>
      </c>
      <c r="AA139" s="16">
        <v>9</v>
      </c>
      <c r="AB139" s="8">
        <f t="shared" si="56"/>
        <v>0.35087719298245612</v>
      </c>
      <c r="AC139" s="16">
        <f t="shared" si="57"/>
        <v>64.776849435873189</v>
      </c>
      <c r="AD139" s="20">
        <f>'PFAS Properties'!$W$30</f>
        <v>4</v>
      </c>
      <c r="AE139" s="8">
        <f>'PFAS Properties'!$S$30</f>
        <v>5.2933625547114458</v>
      </c>
      <c r="AF139" s="2">
        <f>'PFAS Properties'!$V$30</f>
        <v>2.9</v>
      </c>
      <c r="AG139" s="24">
        <v>5.2</v>
      </c>
      <c r="AH139" s="2" t="s">
        <v>661</v>
      </c>
      <c r="AI139" s="15">
        <v>24.17</v>
      </c>
      <c r="AJ139" s="16">
        <f>AI139*1000/55.845</f>
        <v>432.80508550452146</v>
      </c>
      <c r="AK139" s="8">
        <f>AI139/10</f>
        <v>2.4170000000000003</v>
      </c>
      <c r="AL139" s="15">
        <v>3.99</v>
      </c>
      <c r="AM139" s="16">
        <f>AL139*1000/26.98</f>
        <v>147.88732394366198</v>
      </c>
      <c r="AN139" s="8">
        <f>AL139/10</f>
        <v>0.39900000000000002</v>
      </c>
      <c r="AO139" s="15" t="s">
        <v>41</v>
      </c>
      <c r="AP139" s="72">
        <v>12.009766666666669</v>
      </c>
      <c r="AQ139" s="2" t="s">
        <v>752</v>
      </c>
      <c r="AR139" s="16">
        <v>47</v>
      </c>
      <c r="AS139" s="16">
        <v>20</v>
      </c>
      <c r="AT139" s="16">
        <v>33</v>
      </c>
      <c r="AU139" s="16" t="s">
        <v>661</v>
      </c>
      <c r="AV139" s="16">
        <f t="shared" si="58"/>
        <v>100</v>
      </c>
      <c r="AW139" s="18">
        <v>0.8</v>
      </c>
      <c r="AX139" s="13">
        <f t="shared" si="43"/>
        <v>8.0000000000000002E-3</v>
      </c>
      <c r="AY139" s="13" t="s">
        <v>42</v>
      </c>
      <c r="AZ139" s="16">
        <f>15/0.04</f>
        <v>375</v>
      </c>
      <c r="BA139" s="16" t="s">
        <v>55</v>
      </c>
      <c r="BB139" s="15">
        <v>0.5</v>
      </c>
      <c r="BC139" s="16">
        <v>1000</v>
      </c>
      <c r="BD139" s="18">
        <v>0.53</v>
      </c>
      <c r="BE139" s="15">
        <f t="shared" si="59"/>
        <v>66.25</v>
      </c>
      <c r="BF139" s="8">
        <f t="shared" si="60"/>
        <v>1.8211858826088454</v>
      </c>
      <c r="BG139" s="8">
        <f t="shared" si="61"/>
        <v>-0.27572413039921095</v>
      </c>
      <c r="BH139" s="13" t="s">
        <v>844</v>
      </c>
      <c r="BI139" s="15"/>
      <c r="BJ139" s="13"/>
      <c r="BK139" s="15"/>
      <c r="BL139" s="16"/>
      <c r="BM139" s="18"/>
      <c r="BN139" s="8"/>
      <c r="BO139" s="24"/>
    </row>
    <row r="140" spans="1:67" s="14" customFormat="1" x14ac:dyDescent="0.3">
      <c r="A140" s="20">
        <v>140</v>
      </c>
      <c r="B140" s="2" t="s">
        <v>195</v>
      </c>
      <c r="C140" s="2">
        <v>2018</v>
      </c>
      <c r="D140" s="2" t="s">
        <v>199</v>
      </c>
      <c r="E140" s="10" t="s">
        <v>795</v>
      </c>
      <c r="F140" s="20" t="s">
        <v>29</v>
      </c>
      <c r="G140" s="2" t="s">
        <v>47</v>
      </c>
      <c r="H140" s="2" t="str">
        <f>'PFAS Properties'!$B$30</f>
        <v>PFPeA</v>
      </c>
      <c r="I140" s="2" t="str">
        <f>'PFAS Properties'!$C$30</f>
        <v>PFCA</v>
      </c>
      <c r="J140" s="2" t="str">
        <f>'PFAS Properties'!$D$30</f>
        <v>C5HF9O2</v>
      </c>
      <c r="K140" s="25">
        <f>'PFAS Properties'!$P$30</f>
        <v>263.98320000000001</v>
      </c>
      <c r="L140" s="2">
        <f>'PFAS Properties'!$X$30</f>
        <v>-0.2</v>
      </c>
      <c r="M140" s="2" t="str">
        <f>'PFAS Properties'!$Y$30</f>
        <v>-</v>
      </c>
      <c r="N140" s="33">
        <v>0</v>
      </c>
      <c r="O140" s="33">
        <v>0</v>
      </c>
      <c r="P140" s="33">
        <v>0</v>
      </c>
      <c r="Q140" s="33">
        <f t="shared" si="39"/>
        <v>0.99998004777494953</v>
      </c>
      <c r="R140" s="33">
        <v>0</v>
      </c>
      <c r="S140" s="33">
        <f t="shared" si="40"/>
        <v>1.9952225050461341E-5</v>
      </c>
      <c r="T140" s="8">
        <f t="shared" si="42"/>
        <v>1</v>
      </c>
      <c r="U140" s="33">
        <f t="shared" si="52"/>
        <v>0</v>
      </c>
      <c r="V140" s="33">
        <f t="shared" si="53"/>
        <v>-0.99998004777494953</v>
      </c>
      <c r="W140" s="33">
        <f t="shared" si="54"/>
        <v>262.98321995222506</v>
      </c>
      <c r="X140" s="33">
        <v>96485</v>
      </c>
      <c r="Y140" s="16">
        <f t="shared" si="55"/>
        <v>-366.87920593220218</v>
      </c>
      <c r="Z140" s="16">
        <v>5</v>
      </c>
      <c r="AA140" s="16">
        <v>9</v>
      </c>
      <c r="AB140" s="8">
        <f t="shared" si="56"/>
        <v>0.35087719298245612</v>
      </c>
      <c r="AC140" s="16">
        <f t="shared" si="57"/>
        <v>64.776849435873189</v>
      </c>
      <c r="AD140" s="20">
        <f>'PFAS Properties'!$W$30</f>
        <v>4</v>
      </c>
      <c r="AE140" s="8">
        <f>'PFAS Properties'!$S$30</f>
        <v>5.2933625547114458</v>
      </c>
      <c r="AF140" s="2">
        <f>'PFAS Properties'!$V$30</f>
        <v>2.9</v>
      </c>
      <c r="AG140" s="24">
        <v>4.5</v>
      </c>
      <c r="AH140" s="2" t="s">
        <v>658</v>
      </c>
      <c r="AI140" s="8">
        <f>AJ140*55.845/1000</f>
        <v>5.8637250000000002E-2</v>
      </c>
      <c r="AJ140" s="16">
        <v>1.05</v>
      </c>
      <c r="AK140" s="8">
        <f t="shared" ref="AK140:AK142" si="62">AI140/10</f>
        <v>5.8637250000000002E-3</v>
      </c>
      <c r="AL140" s="15">
        <f>AM140*26.98/1000</f>
        <v>0.18454320000000002</v>
      </c>
      <c r="AM140" s="16">
        <v>6.84</v>
      </c>
      <c r="AN140" s="8">
        <f t="shared" ref="AN140:AN142" si="63">AL140/10</f>
        <v>1.8454320000000003E-2</v>
      </c>
      <c r="AO140" s="2" t="s">
        <v>48</v>
      </c>
      <c r="AP140" s="72">
        <v>21.496500000000001</v>
      </c>
      <c r="AQ140" s="70" t="s">
        <v>752</v>
      </c>
      <c r="AR140" s="71">
        <v>41.737499999999997</v>
      </c>
      <c r="AS140" s="71">
        <v>35.036999999999999</v>
      </c>
      <c r="AT140" s="71">
        <v>21.971</v>
      </c>
      <c r="AU140" s="70" t="s">
        <v>752</v>
      </c>
      <c r="AV140" s="16">
        <f t="shared" si="58"/>
        <v>98.745499999999993</v>
      </c>
      <c r="AW140" s="18">
        <v>45</v>
      </c>
      <c r="AX140" s="13">
        <f t="shared" si="43"/>
        <v>0.45</v>
      </c>
      <c r="AY140" s="8" t="s">
        <v>49</v>
      </c>
      <c r="AZ140" s="16">
        <f>0.45/0.04</f>
        <v>11.25</v>
      </c>
      <c r="BA140" s="16" t="s">
        <v>55</v>
      </c>
      <c r="BB140" s="8">
        <v>1.25</v>
      </c>
      <c r="BC140" s="8" t="s">
        <v>55</v>
      </c>
      <c r="BD140" s="24">
        <f>(10^(1.3)*AX140)</f>
        <v>8.9786804173599624</v>
      </c>
      <c r="BE140" s="15">
        <f t="shared" si="59"/>
        <v>19.952623149688804</v>
      </c>
      <c r="BF140" s="8">
        <f t="shared" si="60"/>
        <v>1.3000000000000003</v>
      </c>
      <c r="BG140" s="8">
        <f t="shared" si="61"/>
        <v>0.95321251377534388</v>
      </c>
      <c r="BH140" s="2" t="s">
        <v>821</v>
      </c>
      <c r="BI140" s="2"/>
      <c r="BJ140" s="2"/>
      <c r="BK140" s="15"/>
      <c r="BL140" s="2"/>
      <c r="BM140" s="20"/>
      <c r="BN140" s="20"/>
      <c r="BO140" s="2"/>
    </row>
    <row r="141" spans="1:67" s="14" customFormat="1" x14ac:dyDescent="0.3">
      <c r="A141" s="20">
        <v>141</v>
      </c>
      <c r="B141" s="2" t="s">
        <v>214</v>
      </c>
      <c r="C141" s="2">
        <v>2022</v>
      </c>
      <c r="D141" s="2" t="s">
        <v>201</v>
      </c>
      <c r="E141" s="10" t="s">
        <v>808</v>
      </c>
      <c r="F141" s="20" t="s">
        <v>29</v>
      </c>
      <c r="G141" s="2" t="s">
        <v>215</v>
      </c>
      <c r="H141" s="2" t="str">
        <f>'PFAS Properties'!$B$30</f>
        <v>PFPeA</v>
      </c>
      <c r="I141" s="2" t="str">
        <f>'PFAS Properties'!$C$30</f>
        <v>PFCA</v>
      </c>
      <c r="J141" s="2" t="str">
        <f>'PFAS Properties'!$D$30</f>
        <v>C5HF9O2</v>
      </c>
      <c r="K141" s="25">
        <f>'PFAS Properties'!$P$30</f>
        <v>263.98320000000001</v>
      </c>
      <c r="L141" s="2">
        <f>'PFAS Properties'!$X$30</f>
        <v>-0.2</v>
      </c>
      <c r="M141" s="2" t="str">
        <f>'PFAS Properties'!$Y$30</f>
        <v>-</v>
      </c>
      <c r="N141" s="33">
        <v>0</v>
      </c>
      <c r="O141" s="33">
        <v>0</v>
      </c>
      <c r="P141" s="33">
        <v>0</v>
      </c>
      <c r="Q141" s="33">
        <f t="shared" si="39"/>
        <v>0.99999000009999905</v>
      </c>
      <c r="R141" s="33">
        <v>0</v>
      </c>
      <c r="S141" s="33">
        <f t="shared" si="40"/>
        <v>9.9999000009999908E-6</v>
      </c>
      <c r="T141" s="8">
        <f t="shared" si="42"/>
        <v>1</v>
      </c>
      <c r="U141" s="33">
        <f t="shared" si="52"/>
        <v>0</v>
      </c>
      <c r="V141" s="33">
        <f t="shared" si="53"/>
        <v>-0.99999000009999905</v>
      </c>
      <c r="W141" s="33">
        <f t="shared" si="54"/>
        <v>262.9832099999</v>
      </c>
      <c r="X141" s="33">
        <v>96485</v>
      </c>
      <c r="Y141" s="16">
        <f t="shared" si="55"/>
        <v>-366.88287119046538</v>
      </c>
      <c r="Z141" s="16">
        <v>5</v>
      </c>
      <c r="AA141" s="16">
        <v>9</v>
      </c>
      <c r="AB141" s="8">
        <f t="shared" si="56"/>
        <v>0.35087719298245612</v>
      </c>
      <c r="AC141" s="16">
        <f t="shared" si="57"/>
        <v>64.776849435873189</v>
      </c>
      <c r="AD141" s="20">
        <f>'PFAS Properties'!$W$30</f>
        <v>4</v>
      </c>
      <c r="AE141" s="8">
        <f>'PFAS Properties'!$S$30</f>
        <v>5.2933625547114458</v>
      </c>
      <c r="AF141" s="2">
        <f>'PFAS Properties'!$V$30</f>
        <v>2.9</v>
      </c>
      <c r="AG141" s="24">
        <v>4.8</v>
      </c>
      <c r="AH141" s="2" t="s">
        <v>216</v>
      </c>
      <c r="AI141" s="2">
        <v>8.3000000000000007</v>
      </c>
      <c r="AJ141" s="15">
        <f>AI141*1000/55.845</f>
        <v>148.62566030978601</v>
      </c>
      <c r="AK141" s="15">
        <f t="shared" si="62"/>
        <v>0.83000000000000007</v>
      </c>
      <c r="AL141" s="15">
        <v>7.85</v>
      </c>
      <c r="AM141" s="15">
        <f>AL141*1000/26.98</f>
        <v>290.95626389918459</v>
      </c>
      <c r="AN141" s="15">
        <f t="shared" si="63"/>
        <v>0.78499999999999992</v>
      </c>
      <c r="AO141" s="15" t="s">
        <v>217</v>
      </c>
      <c r="AP141" s="72">
        <v>15.34083666666667</v>
      </c>
      <c r="AQ141" s="70" t="s">
        <v>752</v>
      </c>
      <c r="AR141" s="16">
        <v>32</v>
      </c>
      <c r="AS141" s="16">
        <v>40</v>
      </c>
      <c r="AT141" s="16">
        <v>28</v>
      </c>
      <c r="AU141" s="2" t="s">
        <v>661</v>
      </c>
      <c r="AV141" s="16">
        <f t="shared" si="58"/>
        <v>100</v>
      </c>
      <c r="AW141" s="18">
        <v>4.9000000000000004</v>
      </c>
      <c r="AX141" s="13">
        <f t="shared" si="43"/>
        <v>4.9000000000000002E-2</v>
      </c>
      <c r="AY141" s="8" t="s">
        <v>218</v>
      </c>
      <c r="AZ141" s="16">
        <f>1.5/0.075</f>
        <v>20</v>
      </c>
      <c r="BA141" s="16" t="s">
        <v>55</v>
      </c>
      <c r="BB141" s="16">
        <v>10</v>
      </c>
      <c r="BC141" s="16" t="s">
        <v>55</v>
      </c>
      <c r="BD141" s="20">
        <v>0.54</v>
      </c>
      <c r="BE141" s="15">
        <f t="shared" si="59"/>
        <v>11.020408163265307</v>
      </c>
      <c r="BF141" s="8">
        <f t="shared" si="60"/>
        <v>1.0421976797944548</v>
      </c>
      <c r="BG141" s="8">
        <f t="shared" si="61"/>
        <v>-0.26760624017703144</v>
      </c>
      <c r="BH141" s="2" t="s">
        <v>379</v>
      </c>
      <c r="BI141" s="2"/>
      <c r="BJ141" s="2"/>
      <c r="BK141" s="15"/>
      <c r="BL141" s="2"/>
      <c r="BM141" s="20"/>
      <c r="BN141" s="20"/>
      <c r="BO141" s="2"/>
    </row>
    <row r="142" spans="1:67" s="14" customFormat="1" x14ac:dyDescent="0.3">
      <c r="A142" s="20">
        <v>142</v>
      </c>
      <c r="B142" s="2" t="s">
        <v>214</v>
      </c>
      <c r="C142" s="2">
        <v>2022</v>
      </c>
      <c r="D142" s="2" t="s">
        <v>201</v>
      </c>
      <c r="E142" s="10" t="s">
        <v>808</v>
      </c>
      <c r="F142" s="20" t="s">
        <v>29</v>
      </c>
      <c r="G142" s="2" t="s">
        <v>233</v>
      </c>
      <c r="H142" s="2" t="str">
        <f>'PFAS Properties'!$B$30</f>
        <v>PFPeA</v>
      </c>
      <c r="I142" s="2" t="str">
        <f>'PFAS Properties'!$C$30</f>
        <v>PFCA</v>
      </c>
      <c r="J142" s="2" t="str">
        <f>'PFAS Properties'!$D$30</f>
        <v>C5HF9O2</v>
      </c>
      <c r="K142" s="25">
        <f>'PFAS Properties'!$P$30</f>
        <v>263.98320000000001</v>
      </c>
      <c r="L142" s="2">
        <f>'PFAS Properties'!$X$30</f>
        <v>-0.2</v>
      </c>
      <c r="M142" s="2" t="str">
        <f>'PFAS Properties'!$Y$30</f>
        <v>-</v>
      </c>
      <c r="N142" s="33">
        <v>0</v>
      </c>
      <c r="O142" s="33">
        <v>0</v>
      </c>
      <c r="P142" s="33">
        <v>0</v>
      </c>
      <c r="Q142" s="33">
        <f t="shared" ref="Q142:Q199" si="64">(10^(AG142-L142))/(1+(10^(AG142-L142)))</f>
        <v>0.9999992056723962</v>
      </c>
      <c r="R142" s="33">
        <v>0</v>
      </c>
      <c r="S142" s="33">
        <f t="shared" ref="S142:S199" si="65">(1/(1+(10^(AG142-L142))))</f>
        <v>7.9432760376743655E-7</v>
      </c>
      <c r="T142" s="8">
        <f t="shared" si="42"/>
        <v>1</v>
      </c>
      <c r="U142" s="33">
        <f t="shared" si="52"/>
        <v>0</v>
      </c>
      <c r="V142" s="33">
        <f t="shared" si="53"/>
        <v>-0.9999992056723962</v>
      </c>
      <c r="W142" s="33">
        <f t="shared" si="54"/>
        <v>262.98320079432762</v>
      </c>
      <c r="X142" s="33">
        <v>96485</v>
      </c>
      <c r="Y142" s="16">
        <f t="shared" si="55"/>
        <v>-366.88626143370851</v>
      </c>
      <c r="Z142" s="16">
        <v>5</v>
      </c>
      <c r="AA142" s="16">
        <v>9</v>
      </c>
      <c r="AB142" s="8">
        <f t="shared" si="56"/>
        <v>0.35087719298245612</v>
      </c>
      <c r="AC142" s="16">
        <f t="shared" si="57"/>
        <v>64.776849435873189</v>
      </c>
      <c r="AD142" s="20">
        <f>'PFAS Properties'!$W$30</f>
        <v>4</v>
      </c>
      <c r="AE142" s="8">
        <f>'PFAS Properties'!$S$30</f>
        <v>5.2933625547114458</v>
      </c>
      <c r="AF142" s="2">
        <f>'PFAS Properties'!$V$30</f>
        <v>2.9</v>
      </c>
      <c r="AG142" s="24">
        <v>5.9</v>
      </c>
      <c r="AH142" s="2" t="s">
        <v>216</v>
      </c>
      <c r="AI142" s="2">
        <v>1.4</v>
      </c>
      <c r="AJ142" s="15">
        <f>AI142*1000/55.845</f>
        <v>25.069388485988004</v>
      </c>
      <c r="AK142" s="15">
        <f t="shared" si="62"/>
        <v>0.13999999999999999</v>
      </c>
      <c r="AL142" s="15">
        <v>0.92</v>
      </c>
      <c r="AM142" s="15">
        <f>AL142*1000/26.98</f>
        <v>34.099332839140104</v>
      </c>
      <c r="AN142" s="15">
        <f t="shared" si="63"/>
        <v>9.1999999999999998E-2</v>
      </c>
      <c r="AO142" s="15" t="s">
        <v>217</v>
      </c>
      <c r="AP142" s="72">
        <v>15.34083666666667</v>
      </c>
      <c r="AQ142" s="70" t="s">
        <v>752</v>
      </c>
      <c r="AR142" s="16">
        <v>37</v>
      </c>
      <c r="AS142" s="16">
        <v>22</v>
      </c>
      <c r="AT142" s="16">
        <v>41</v>
      </c>
      <c r="AU142" s="2" t="s">
        <v>661</v>
      </c>
      <c r="AV142" s="16">
        <f t="shared" si="58"/>
        <v>100</v>
      </c>
      <c r="AW142" s="18">
        <v>2.6</v>
      </c>
      <c r="AX142" s="13">
        <f t="shared" si="43"/>
        <v>2.6000000000000002E-2</v>
      </c>
      <c r="AY142" s="8" t="s">
        <v>218</v>
      </c>
      <c r="AZ142" s="16">
        <f>1.5/0.075</f>
        <v>20</v>
      </c>
      <c r="BA142" s="16" t="s">
        <v>55</v>
      </c>
      <c r="BB142" s="16">
        <v>10</v>
      </c>
      <c r="BC142" s="16" t="s">
        <v>55</v>
      </c>
      <c r="BD142" s="20">
        <v>0.13</v>
      </c>
      <c r="BE142" s="15">
        <f t="shared" si="59"/>
        <v>5</v>
      </c>
      <c r="BF142" s="8">
        <f t="shared" si="60"/>
        <v>0.69897000433601886</v>
      </c>
      <c r="BG142" s="8">
        <f t="shared" si="61"/>
        <v>-0.88605664769316317</v>
      </c>
      <c r="BH142" s="2" t="s">
        <v>380</v>
      </c>
      <c r="BI142" s="2"/>
      <c r="BJ142" s="2"/>
      <c r="BK142" s="15"/>
      <c r="BL142" s="2"/>
      <c r="BM142" s="20"/>
      <c r="BN142" s="20"/>
      <c r="BO142" s="2"/>
    </row>
    <row r="143" spans="1:67" s="14" customFormat="1" x14ac:dyDescent="0.3">
      <c r="A143" s="20">
        <v>143</v>
      </c>
      <c r="B143" s="2" t="s">
        <v>206</v>
      </c>
      <c r="C143" s="2">
        <v>2020</v>
      </c>
      <c r="D143" s="2" t="s">
        <v>201</v>
      </c>
      <c r="E143" s="10" t="s">
        <v>793</v>
      </c>
      <c r="F143" s="20" t="s">
        <v>29</v>
      </c>
      <c r="G143" s="2" t="s">
        <v>44</v>
      </c>
      <c r="H143" s="2" t="str">
        <f>'PFAS Properties'!$B$30</f>
        <v>PFPeA</v>
      </c>
      <c r="I143" s="2" t="str">
        <f>'PFAS Properties'!$C$30</f>
        <v>PFCA</v>
      </c>
      <c r="J143" s="2" t="str">
        <f>'PFAS Properties'!$D$30</f>
        <v>C5HF9O2</v>
      </c>
      <c r="K143" s="25">
        <f>'PFAS Properties'!$P$30</f>
        <v>263.98320000000001</v>
      </c>
      <c r="L143" s="2">
        <f>'PFAS Properties'!$X$30</f>
        <v>-0.2</v>
      </c>
      <c r="M143" s="2" t="str">
        <f>'PFAS Properties'!$Y$30</f>
        <v>-</v>
      </c>
      <c r="N143" s="33">
        <v>0</v>
      </c>
      <c r="O143" s="33">
        <v>0</v>
      </c>
      <c r="P143" s="33">
        <v>0</v>
      </c>
      <c r="Q143" s="33">
        <f t="shared" si="64"/>
        <v>0.99999999000000006</v>
      </c>
      <c r="R143" s="33">
        <v>0</v>
      </c>
      <c r="S143" s="33">
        <f t="shared" si="65"/>
        <v>9.9999999000000002E-9</v>
      </c>
      <c r="T143" s="8">
        <f t="shared" si="42"/>
        <v>1</v>
      </c>
      <c r="U143" s="33">
        <f t="shared" si="52"/>
        <v>0</v>
      </c>
      <c r="V143" s="33">
        <f t="shared" si="53"/>
        <v>-0.99999999000000006</v>
      </c>
      <c r="W143" s="33">
        <f t="shared" si="54"/>
        <v>262.98320000999996</v>
      </c>
      <c r="X143" s="33">
        <v>96485</v>
      </c>
      <c r="Y143" s="16">
        <f t="shared" si="55"/>
        <v>-366.88655028717102</v>
      </c>
      <c r="Z143" s="16">
        <v>5</v>
      </c>
      <c r="AA143" s="16">
        <v>9</v>
      </c>
      <c r="AB143" s="8">
        <f t="shared" si="56"/>
        <v>0.35087719298245612</v>
      </c>
      <c r="AC143" s="16">
        <f t="shared" si="57"/>
        <v>64.776849435873189</v>
      </c>
      <c r="AD143" s="20">
        <f>'PFAS Properties'!$W$30</f>
        <v>4</v>
      </c>
      <c r="AE143" s="8">
        <f>'PFAS Properties'!$S$30</f>
        <v>5.2933625547114458</v>
      </c>
      <c r="AF143" s="2">
        <f>'PFAS Properties'!$V$30</f>
        <v>2.9</v>
      </c>
      <c r="AG143" s="24">
        <v>7.8</v>
      </c>
      <c r="AH143" s="2" t="s">
        <v>661</v>
      </c>
      <c r="AI143" s="2" t="s">
        <v>661</v>
      </c>
      <c r="AJ143" s="2" t="s">
        <v>661</v>
      </c>
      <c r="AK143" s="2" t="s">
        <v>661</v>
      </c>
      <c r="AL143" s="2" t="s">
        <v>661</v>
      </c>
      <c r="AM143" s="2" t="s">
        <v>661</v>
      </c>
      <c r="AN143" s="2" t="s">
        <v>661</v>
      </c>
      <c r="AO143" s="2" t="s">
        <v>661</v>
      </c>
      <c r="AP143" s="72">
        <v>11.17476666666666</v>
      </c>
      <c r="AQ143" s="70" t="s">
        <v>752</v>
      </c>
      <c r="AR143" s="16">
        <v>47</v>
      </c>
      <c r="AS143" s="16">
        <v>38</v>
      </c>
      <c r="AT143" s="16">
        <v>15</v>
      </c>
      <c r="AU143" s="16" t="s">
        <v>661</v>
      </c>
      <c r="AV143" s="16">
        <f t="shared" si="58"/>
        <v>100</v>
      </c>
      <c r="AW143" s="18">
        <v>1.43</v>
      </c>
      <c r="AX143" s="13">
        <f t="shared" si="43"/>
        <v>1.43E-2</v>
      </c>
      <c r="AY143" s="8" t="s">
        <v>45</v>
      </c>
      <c r="AZ143" s="16">
        <f>5/0.025</f>
        <v>200</v>
      </c>
      <c r="BA143" s="16" t="s">
        <v>55</v>
      </c>
      <c r="BB143" s="16">
        <v>10</v>
      </c>
      <c r="BC143" s="16">
        <v>100</v>
      </c>
      <c r="BD143" s="20">
        <v>0.57999999999999996</v>
      </c>
      <c r="BE143" s="15">
        <f t="shared" si="59"/>
        <v>40.559440559440553</v>
      </c>
      <c r="BF143" s="8">
        <f t="shared" si="60"/>
        <v>1.6080919560978755</v>
      </c>
      <c r="BG143" s="8">
        <f t="shared" si="61"/>
        <v>-0.23657200643706275</v>
      </c>
      <c r="BH143" s="13" t="s">
        <v>836</v>
      </c>
      <c r="BI143" s="8"/>
      <c r="BJ143" s="13"/>
      <c r="BK143" s="15"/>
      <c r="BL143" s="8"/>
      <c r="BM143" s="18"/>
      <c r="BN143" s="8"/>
      <c r="BO143" s="24"/>
    </row>
    <row r="144" spans="1:67" s="2" customFormat="1" x14ac:dyDescent="0.3">
      <c r="A144" s="20">
        <v>147</v>
      </c>
      <c r="B144" s="2" t="s">
        <v>720</v>
      </c>
      <c r="C144" s="2">
        <v>2019</v>
      </c>
      <c r="D144" s="2" t="s">
        <v>201</v>
      </c>
      <c r="E144" s="10" t="s">
        <v>797</v>
      </c>
      <c r="F144" s="20" t="s">
        <v>29</v>
      </c>
      <c r="G144" s="2" t="s">
        <v>713</v>
      </c>
      <c r="H144" s="2" t="str">
        <f>'PFAS Properties'!$B$30</f>
        <v>PFPeA</v>
      </c>
      <c r="I144" s="2" t="str">
        <f>'PFAS Properties'!$C$30</f>
        <v>PFCA</v>
      </c>
      <c r="J144" s="2" t="str">
        <f>'PFAS Properties'!$D$30</f>
        <v>C5HF9O2</v>
      </c>
      <c r="K144" s="25">
        <f>'PFAS Properties'!$P$30</f>
        <v>263.98320000000001</v>
      </c>
      <c r="L144" s="2">
        <f>'PFAS Properties'!$X$30</f>
        <v>-0.2</v>
      </c>
      <c r="M144" s="2" t="str">
        <f>'PFAS Properties'!$Y$30</f>
        <v>-</v>
      </c>
      <c r="N144" s="33">
        <v>0</v>
      </c>
      <c r="O144" s="33">
        <v>0</v>
      </c>
      <c r="P144" s="33">
        <v>0</v>
      </c>
      <c r="Q144" s="33">
        <f t="shared" si="64"/>
        <v>0.9999984511857799</v>
      </c>
      <c r="R144" s="33">
        <v>0</v>
      </c>
      <c r="S144" s="33">
        <f t="shared" si="65"/>
        <v>1.5488142200832729E-6</v>
      </c>
      <c r="T144" s="8">
        <f t="shared" si="42"/>
        <v>1</v>
      </c>
      <c r="U144" s="33">
        <f t="shared" si="52"/>
        <v>0</v>
      </c>
      <c r="V144" s="33">
        <f t="shared" si="53"/>
        <v>-0.9999984511857799</v>
      </c>
      <c r="W144" s="33">
        <f t="shared" si="54"/>
        <v>262.98320154881424</v>
      </c>
      <c r="X144" s="33">
        <v>96485</v>
      </c>
      <c r="Y144" s="16">
        <f t="shared" si="55"/>
        <v>-366.88598357013581</v>
      </c>
      <c r="Z144" s="16">
        <v>5</v>
      </c>
      <c r="AA144" s="16">
        <v>9</v>
      </c>
      <c r="AB144" s="8">
        <f t="shared" si="56"/>
        <v>0.35087719298245612</v>
      </c>
      <c r="AC144" s="16">
        <f t="shared" si="57"/>
        <v>64.776849435873189</v>
      </c>
      <c r="AD144" s="20">
        <f>'PFAS Properties'!$W$30</f>
        <v>4</v>
      </c>
      <c r="AE144" s="8">
        <f>'PFAS Properties'!$S$30</f>
        <v>5.2933625547114458</v>
      </c>
      <c r="AF144" s="2">
        <f>'PFAS Properties'!$V$30</f>
        <v>2.9</v>
      </c>
      <c r="AG144" s="24">
        <v>5.61</v>
      </c>
      <c r="AH144" s="2" t="s">
        <v>652</v>
      </c>
      <c r="AI144" s="15">
        <f>9.1*2*55.845/159.69</f>
        <v>6.3647003569415741</v>
      </c>
      <c r="AJ144" s="16">
        <f t="shared" ref="AJ144:AJ149" si="66">AI144*1000/55.845</f>
        <v>113.97081846076773</v>
      </c>
      <c r="AK144" s="15">
        <f t="shared" ref="AK144:AK149" si="67">AI144/10</f>
        <v>0.63647003569415739</v>
      </c>
      <c r="AL144" s="15">
        <f>22.3*2*26.98/101.96</f>
        <v>11.801765398195371</v>
      </c>
      <c r="AM144" s="16">
        <f>AL144*1000/26.98</f>
        <v>437.42644174185961</v>
      </c>
      <c r="AN144" s="15">
        <f t="shared" ref="AN144:AN149" si="68">AL144/10</f>
        <v>1.1801765398195372</v>
      </c>
      <c r="AO144" s="15" t="s">
        <v>41</v>
      </c>
      <c r="AP144" s="2">
        <v>11</v>
      </c>
      <c r="AQ144" s="2" t="s">
        <v>652</v>
      </c>
      <c r="AR144" s="16">
        <v>40.700000000000003</v>
      </c>
      <c r="AS144" s="2">
        <v>23.3</v>
      </c>
      <c r="AT144" s="2">
        <v>36</v>
      </c>
      <c r="AU144" s="2" t="s">
        <v>652</v>
      </c>
      <c r="AV144" s="16">
        <f t="shared" ref="AV144:AV149" si="69">SUM(AR144:AT144)</f>
        <v>100</v>
      </c>
      <c r="AW144" s="18">
        <v>3.82</v>
      </c>
      <c r="AX144" s="13">
        <f t="shared" si="43"/>
        <v>3.8199999999999998E-2</v>
      </c>
      <c r="AY144" s="16" t="s">
        <v>750</v>
      </c>
      <c r="AZ144" s="16">
        <f>5/0.04</f>
        <v>125</v>
      </c>
      <c r="BA144" s="16" t="s">
        <v>55</v>
      </c>
      <c r="BB144" s="16">
        <f t="shared" ref="BB144:BB149" si="70">50*K144/1000</f>
        <v>13.199159999999999</v>
      </c>
      <c r="BC144" s="16">
        <f t="shared" ref="BC144:BC149" si="71">1000*K144/1000</f>
        <v>263.98320000000001</v>
      </c>
      <c r="BD144" s="18">
        <f t="shared" ref="BD144:BD149" si="72">BO144</f>
        <v>0.297357806760568</v>
      </c>
      <c r="BE144" s="16">
        <f t="shared" si="59"/>
        <v>7.7842357790724614</v>
      </c>
      <c r="BF144" s="16">
        <f t="shared" si="60"/>
        <v>0.89121598193646812</v>
      </c>
      <c r="BG144" s="8">
        <f t="shared" si="61"/>
        <v>-0.5267206551518232</v>
      </c>
      <c r="BH144" s="13" t="s">
        <v>782</v>
      </c>
      <c r="BI144" s="16">
        <f>10^1.1298</f>
        <v>13.483418052460824</v>
      </c>
      <c r="BJ144" s="16" t="s">
        <v>329</v>
      </c>
      <c r="BK144" s="8">
        <v>0.71860000000000002</v>
      </c>
      <c r="BL144" s="16">
        <f t="shared" ref="BL144:BL149" si="73">(BI144*K144/1000)/(BI144*(K144^BK144)/1000)</f>
        <v>4.8021040699938258</v>
      </c>
      <c r="BM144" s="25">
        <f>'PFAS Properties'!$U$30</f>
        <v>19650</v>
      </c>
      <c r="BN144" s="16">
        <f t="shared" ref="BN144:BN149" si="74">(BL144*(BM144^BK144))</f>
        <v>5843.0809028451613</v>
      </c>
      <c r="BO144" s="18">
        <f t="shared" ref="BO144:BO149" si="75">BN144/BM144</f>
        <v>0.297357806760568</v>
      </c>
    </row>
    <row r="145" spans="1:67" s="14" customFormat="1" x14ac:dyDescent="0.3">
      <c r="A145" s="20">
        <v>148</v>
      </c>
      <c r="B145" s="2" t="s">
        <v>720</v>
      </c>
      <c r="C145" s="2">
        <v>2019</v>
      </c>
      <c r="D145" s="2" t="s">
        <v>201</v>
      </c>
      <c r="E145" s="22" t="s">
        <v>797</v>
      </c>
      <c r="F145" s="20" t="s">
        <v>29</v>
      </c>
      <c r="G145" s="2" t="s">
        <v>714</v>
      </c>
      <c r="H145" s="2" t="str">
        <f>'PFAS Properties'!$B$30</f>
        <v>PFPeA</v>
      </c>
      <c r="I145" s="2" t="str">
        <f>'PFAS Properties'!$C$30</f>
        <v>PFCA</v>
      </c>
      <c r="J145" s="2" t="str">
        <f>'PFAS Properties'!$D$30</f>
        <v>C5HF9O2</v>
      </c>
      <c r="K145" s="25">
        <f>'PFAS Properties'!$P$30</f>
        <v>263.98320000000001</v>
      </c>
      <c r="L145" s="2">
        <f>'PFAS Properties'!$X$30</f>
        <v>-0.2</v>
      </c>
      <c r="M145" s="2" t="str">
        <f>'PFAS Properties'!$Y$30</f>
        <v>-</v>
      </c>
      <c r="N145" s="33">
        <v>0</v>
      </c>
      <c r="O145" s="33">
        <v>0</v>
      </c>
      <c r="P145" s="33">
        <v>0</v>
      </c>
      <c r="Q145" s="33">
        <f t="shared" si="64"/>
        <v>0.99997048877867123</v>
      </c>
      <c r="R145" s="33">
        <v>0</v>
      </c>
      <c r="S145" s="33">
        <f t="shared" si="65"/>
        <v>2.9511221328777069E-5</v>
      </c>
      <c r="T145" s="8">
        <f t="shared" si="42"/>
        <v>1</v>
      </c>
      <c r="U145" s="33">
        <f t="shared" si="52"/>
        <v>0</v>
      </c>
      <c r="V145" s="33">
        <f t="shared" si="53"/>
        <v>-0.99997048877867123</v>
      </c>
      <c r="W145" s="33">
        <f t="shared" si="54"/>
        <v>262.98322951122134</v>
      </c>
      <c r="X145" s="33">
        <v>96485</v>
      </c>
      <c r="Y145" s="16">
        <f t="shared" si="55"/>
        <v>-366.87568552995219</v>
      </c>
      <c r="Z145" s="16">
        <v>5</v>
      </c>
      <c r="AA145" s="16">
        <v>9</v>
      </c>
      <c r="AB145" s="8">
        <f t="shared" si="56"/>
        <v>0.35087719298245612</v>
      </c>
      <c r="AC145" s="16">
        <f t="shared" si="57"/>
        <v>64.776849435873189</v>
      </c>
      <c r="AD145" s="20">
        <f>'PFAS Properties'!$W$30</f>
        <v>4</v>
      </c>
      <c r="AE145" s="8">
        <f>'PFAS Properties'!$S$30</f>
        <v>5.2933625547114458</v>
      </c>
      <c r="AF145" s="2">
        <f>'PFAS Properties'!$V$30</f>
        <v>2.9</v>
      </c>
      <c r="AG145" s="24">
        <v>4.33</v>
      </c>
      <c r="AH145" s="2" t="s">
        <v>652</v>
      </c>
      <c r="AI145" s="15">
        <f>4.25*2*55.845/159.69</f>
        <v>2.9725248919782077</v>
      </c>
      <c r="AJ145" s="16">
        <f t="shared" si="66"/>
        <v>53.228129500908004</v>
      </c>
      <c r="AK145" s="15">
        <f t="shared" si="67"/>
        <v>0.29725248919782077</v>
      </c>
      <c r="AL145" s="15">
        <f>4.49*2*26.98/101.96</f>
        <v>2.3762298940761086</v>
      </c>
      <c r="AM145" s="16">
        <f t="shared" ref="AM145:AM149" si="76">AL145*1000/26.98</f>
        <v>88.073754413495507</v>
      </c>
      <c r="AN145" s="15">
        <f t="shared" si="68"/>
        <v>0.23762298940761087</v>
      </c>
      <c r="AO145" s="15" t="s">
        <v>41</v>
      </c>
      <c r="AP145" s="2">
        <v>19</v>
      </c>
      <c r="AQ145" s="2" t="s">
        <v>652</v>
      </c>
      <c r="AR145" s="16">
        <v>46.7</v>
      </c>
      <c r="AS145" s="2">
        <v>50</v>
      </c>
      <c r="AT145" s="16">
        <v>3.3</v>
      </c>
      <c r="AU145" s="2" t="s">
        <v>652</v>
      </c>
      <c r="AV145" s="16">
        <f t="shared" si="69"/>
        <v>100</v>
      </c>
      <c r="AW145" s="18">
        <v>0.52</v>
      </c>
      <c r="AX145" s="13">
        <f t="shared" si="43"/>
        <v>5.1999999999999998E-3</v>
      </c>
      <c r="AY145" s="16" t="s">
        <v>750</v>
      </c>
      <c r="AZ145" s="16">
        <f t="shared" ref="AZ145:AZ149" si="77">5/0.04</f>
        <v>125</v>
      </c>
      <c r="BA145" s="16" t="s">
        <v>55</v>
      </c>
      <c r="BB145" s="16">
        <f t="shared" si="70"/>
        <v>13.199159999999999</v>
      </c>
      <c r="BC145" s="16">
        <f t="shared" si="71"/>
        <v>263.98320000000001</v>
      </c>
      <c r="BD145" s="18">
        <f t="shared" si="72"/>
        <v>0.49554833048530611</v>
      </c>
      <c r="BE145" s="16">
        <f t="shared" si="59"/>
        <v>95.297755862558873</v>
      </c>
      <c r="BF145" s="16">
        <f t="shared" si="60"/>
        <v>1.9790826736920233</v>
      </c>
      <c r="BG145" s="8">
        <f t="shared" si="61"/>
        <v>-0.30491398267317765</v>
      </c>
      <c r="BH145" s="13" t="s">
        <v>782</v>
      </c>
      <c r="BI145" s="16">
        <f>10^0.7736</f>
        <v>5.9374504730219533</v>
      </c>
      <c r="BJ145" s="16" t="s">
        <v>329</v>
      </c>
      <c r="BK145" s="8">
        <v>0.83709999999999996</v>
      </c>
      <c r="BL145" s="16">
        <f t="shared" si="73"/>
        <v>2.4801318949469331</v>
      </c>
      <c r="BM145" s="25">
        <f>'PFAS Properties'!$U$30</f>
        <v>19650</v>
      </c>
      <c r="BN145" s="16">
        <f t="shared" si="74"/>
        <v>9737.5246940362649</v>
      </c>
      <c r="BO145" s="18">
        <f t="shared" si="75"/>
        <v>0.49554833048530611</v>
      </c>
    </row>
    <row r="146" spans="1:67" s="14" customFormat="1" x14ac:dyDescent="0.3">
      <c r="A146" s="20">
        <v>149</v>
      </c>
      <c r="B146" s="2" t="s">
        <v>720</v>
      </c>
      <c r="C146" s="2">
        <v>2019</v>
      </c>
      <c r="D146" s="2" t="s">
        <v>201</v>
      </c>
      <c r="E146" s="10" t="s">
        <v>797</v>
      </c>
      <c r="F146" s="20" t="s">
        <v>29</v>
      </c>
      <c r="G146" s="2" t="s">
        <v>715</v>
      </c>
      <c r="H146" s="2" t="str">
        <f>'PFAS Properties'!$B$30</f>
        <v>PFPeA</v>
      </c>
      <c r="I146" s="2" t="str">
        <f>'PFAS Properties'!$C$30</f>
        <v>PFCA</v>
      </c>
      <c r="J146" s="2" t="str">
        <f>'PFAS Properties'!$D$30</f>
        <v>C5HF9O2</v>
      </c>
      <c r="K146" s="25">
        <f>'PFAS Properties'!$P$30</f>
        <v>263.98320000000001</v>
      </c>
      <c r="L146" s="2">
        <f>'PFAS Properties'!$X$30</f>
        <v>-0.2</v>
      </c>
      <c r="M146" s="2" t="str">
        <f>'PFAS Properties'!$Y$30</f>
        <v>-</v>
      </c>
      <c r="N146" s="33">
        <v>0</v>
      </c>
      <c r="O146" s="33">
        <v>0</v>
      </c>
      <c r="P146" s="33">
        <v>0</v>
      </c>
      <c r="Q146" s="33">
        <f t="shared" si="64"/>
        <v>0.99986512190629506</v>
      </c>
      <c r="R146" s="33">
        <v>0</v>
      </c>
      <c r="S146" s="33">
        <f t="shared" si="65"/>
        <v>1.3487809370495705E-4</v>
      </c>
      <c r="T146" s="8">
        <f t="shared" si="42"/>
        <v>1</v>
      </c>
      <c r="U146" s="33">
        <f t="shared" si="52"/>
        <v>0</v>
      </c>
      <c r="V146" s="33">
        <f t="shared" si="53"/>
        <v>-0.99986512190629506</v>
      </c>
      <c r="W146" s="33">
        <f t="shared" si="54"/>
        <v>262.98333487809373</v>
      </c>
      <c r="X146" s="33">
        <v>96485</v>
      </c>
      <c r="Y146" s="16">
        <f t="shared" si="55"/>
        <v>-366.83688086870069</v>
      </c>
      <c r="Z146" s="16">
        <v>5</v>
      </c>
      <c r="AA146" s="16">
        <v>9</v>
      </c>
      <c r="AB146" s="8">
        <f t="shared" si="56"/>
        <v>0.35087719298245612</v>
      </c>
      <c r="AC146" s="16">
        <f t="shared" si="57"/>
        <v>64.776849435873189</v>
      </c>
      <c r="AD146" s="20">
        <f>'PFAS Properties'!$W$30</f>
        <v>4</v>
      </c>
      <c r="AE146" s="8">
        <f>'PFAS Properties'!$S$30</f>
        <v>5.2933625547114458</v>
      </c>
      <c r="AF146" s="2">
        <f>'PFAS Properties'!$V$30</f>
        <v>2.9</v>
      </c>
      <c r="AG146" s="24">
        <v>3.67</v>
      </c>
      <c r="AH146" s="2" t="s">
        <v>652</v>
      </c>
      <c r="AI146" s="15">
        <f>1.51*2*55.845/159.69</f>
        <v>1.056120608679316</v>
      </c>
      <c r="AJ146" s="16">
        <f t="shared" si="66"/>
        <v>18.911641305028493</v>
      </c>
      <c r="AK146" s="15">
        <f t="shared" si="67"/>
        <v>0.1056120608679316</v>
      </c>
      <c r="AL146" s="15">
        <f>1.01*2*26.98/101.96</f>
        <v>0.53451941938014913</v>
      </c>
      <c r="AM146" s="16">
        <f t="shared" si="76"/>
        <v>19.811690859160453</v>
      </c>
      <c r="AN146" s="15">
        <f t="shared" si="68"/>
        <v>5.3451941938014912E-2</v>
      </c>
      <c r="AO146" s="15" t="s">
        <v>41</v>
      </c>
      <c r="AP146" s="2">
        <v>6.57</v>
      </c>
      <c r="AQ146" s="2" t="s">
        <v>652</v>
      </c>
      <c r="AR146" s="16">
        <v>59.3</v>
      </c>
      <c r="AS146" s="16">
        <v>21.3</v>
      </c>
      <c r="AT146" s="16">
        <v>19.399999999999999</v>
      </c>
      <c r="AU146" s="2" t="s">
        <v>652</v>
      </c>
      <c r="AV146" s="16">
        <f t="shared" si="69"/>
        <v>100</v>
      </c>
      <c r="AW146" s="18">
        <v>0.25800000000000001</v>
      </c>
      <c r="AX146" s="13">
        <f t="shared" si="43"/>
        <v>2.5800000000000003E-3</v>
      </c>
      <c r="AY146" s="16" t="s">
        <v>750</v>
      </c>
      <c r="AZ146" s="16">
        <f t="shared" si="77"/>
        <v>125</v>
      </c>
      <c r="BA146" s="16" t="s">
        <v>55</v>
      </c>
      <c r="BB146" s="16">
        <f t="shared" si="70"/>
        <v>13.199159999999999</v>
      </c>
      <c r="BC146" s="16">
        <f t="shared" si="71"/>
        <v>263.98320000000001</v>
      </c>
      <c r="BD146" s="18">
        <f t="shared" si="72"/>
        <v>0.46874859013386433</v>
      </c>
      <c r="BE146" s="16">
        <f t="shared" si="59"/>
        <v>181.68550005188538</v>
      </c>
      <c r="BF146" s="16">
        <f t="shared" si="60"/>
        <v>2.2593202685368037</v>
      </c>
      <c r="BG146" s="8">
        <f t="shared" si="61"/>
        <v>-0.3290600254999661</v>
      </c>
      <c r="BH146" s="13" t="s">
        <v>782</v>
      </c>
      <c r="BI146" s="16">
        <f>10^0.6883</f>
        <v>4.8786537919747781</v>
      </c>
      <c r="BJ146" s="16" t="s">
        <v>329</v>
      </c>
      <c r="BK146" s="8">
        <v>0.82420000000000004</v>
      </c>
      <c r="BL146" s="16">
        <f t="shared" si="73"/>
        <v>2.6650975596715014</v>
      </c>
      <c r="BM146" s="25">
        <f>'PFAS Properties'!$U$30</f>
        <v>19650</v>
      </c>
      <c r="BN146" s="16">
        <f t="shared" si="74"/>
        <v>9210.9097961304342</v>
      </c>
      <c r="BO146" s="18">
        <f t="shared" si="75"/>
        <v>0.46874859013386433</v>
      </c>
    </row>
    <row r="147" spans="1:67" s="14" customFormat="1" x14ac:dyDescent="0.3">
      <c r="A147" s="20">
        <v>150</v>
      </c>
      <c r="B147" s="2" t="s">
        <v>720</v>
      </c>
      <c r="C147" s="2">
        <v>2019</v>
      </c>
      <c r="D147" s="2" t="s">
        <v>201</v>
      </c>
      <c r="E147" s="10" t="s">
        <v>797</v>
      </c>
      <c r="F147" s="20" t="s">
        <v>29</v>
      </c>
      <c r="G147" s="2" t="s">
        <v>716</v>
      </c>
      <c r="H147" s="2" t="str">
        <f>'PFAS Properties'!$B$30</f>
        <v>PFPeA</v>
      </c>
      <c r="I147" s="2" t="str">
        <f>'PFAS Properties'!$C$30</f>
        <v>PFCA</v>
      </c>
      <c r="J147" s="2" t="str">
        <f>'PFAS Properties'!$D$30</f>
        <v>C5HF9O2</v>
      </c>
      <c r="K147" s="25">
        <f>'PFAS Properties'!$P$30</f>
        <v>263.98320000000001</v>
      </c>
      <c r="L147" s="2">
        <f>'PFAS Properties'!$X$30</f>
        <v>-0.2</v>
      </c>
      <c r="M147" s="2" t="str">
        <f>'PFAS Properties'!$Y$30</f>
        <v>-</v>
      </c>
      <c r="N147" s="33">
        <v>0</v>
      </c>
      <c r="O147" s="33">
        <v>0</v>
      </c>
      <c r="P147" s="33">
        <v>0</v>
      </c>
      <c r="Q147" s="33">
        <f t="shared" si="64"/>
        <v>0.99998554581121912</v>
      </c>
      <c r="R147" s="33">
        <v>0</v>
      </c>
      <c r="S147" s="33">
        <f t="shared" si="65"/>
        <v>1.4454188780866098E-5</v>
      </c>
      <c r="T147" s="8">
        <f t="shared" si="42"/>
        <v>1</v>
      </c>
      <c r="U147" s="33">
        <f t="shared" si="52"/>
        <v>0</v>
      </c>
      <c r="V147" s="33">
        <f t="shared" si="53"/>
        <v>-0.99998554581121912</v>
      </c>
      <c r="W147" s="33">
        <f t="shared" si="54"/>
        <v>262.98321445418878</v>
      </c>
      <c r="X147" s="33">
        <v>96485</v>
      </c>
      <c r="Y147" s="16">
        <f t="shared" si="55"/>
        <v>-366.88123075780095</v>
      </c>
      <c r="Z147" s="16">
        <v>5</v>
      </c>
      <c r="AA147" s="16">
        <v>9</v>
      </c>
      <c r="AB147" s="8">
        <f t="shared" si="56"/>
        <v>0.35087719298245612</v>
      </c>
      <c r="AC147" s="16">
        <f t="shared" si="57"/>
        <v>64.776849435873189</v>
      </c>
      <c r="AD147" s="20">
        <f>'PFAS Properties'!$W$30</f>
        <v>4</v>
      </c>
      <c r="AE147" s="8">
        <f>'PFAS Properties'!$S$30</f>
        <v>5.2933625547114458</v>
      </c>
      <c r="AF147" s="2">
        <f>'PFAS Properties'!$V$30</f>
        <v>2.9</v>
      </c>
      <c r="AG147" s="24">
        <v>4.6399999999999997</v>
      </c>
      <c r="AH147" s="2" t="s">
        <v>652</v>
      </c>
      <c r="AI147" s="15">
        <f>6.69*2*55.845/159.69</f>
        <v>4.6791038887845202</v>
      </c>
      <c r="AJ147" s="16">
        <f t="shared" si="66"/>
        <v>83.787337967311657</v>
      </c>
      <c r="AK147" s="15">
        <f t="shared" si="67"/>
        <v>0.46791038887845204</v>
      </c>
      <c r="AL147" s="15">
        <f>14.7*2*26.98/101.96</f>
        <v>7.7796390741467247</v>
      </c>
      <c r="AM147" s="16">
        <f t="shared" si="76"/>
        <v>288.34837191055317</v>
      </c>
      <c r="AN147" s="15">
        <f t="shared" si="68"/>
        <v>0.77796390741467247</v>
      </c>
      <c r="AO147" s="15" t="s">
        <v>41</v>
      </c>
      <c r="AP147" s="2">
        <v>19.600000000000001</v>
      </c>
      <c r="AQ147" s="2" t="s">
        <v>652</v>
      </c>
      <c r="AR147" s="2">
        <v>42</v>
      </c>
      <c r="AS147" s="16">
        <v>36.700000000000003</v>
      </c>
      <c r="AT147" s="16">
        <v>21.3</v>
      </c>
      <c r="AU147" s="2" t="s">
        <v>652</v>
      </c>
      <c r="AV147" s="16">
        <f t="shared" si="69"/>
        <v>100</v>
      </c>
      <c r="AW147" s="18">
        <v>0.92800000000000005</v>
      </c>
      <c r="AX147" s="13">
        <f t="shared" si="43"/>
        <v>9.2800000000000001E-3</v>
      </c>
      <c r="AY147" s="16" t="s">
        <v>750</v>
      </c>
      <c r="AZ147" s="16">
        <f t="shared" si="77"/>
        <v>125</v>
      </c>
      <c r="BA147" s="16" t="s">
        <v>55</v>
      </c>
      <c r="BB147" s="16">
        <f t="shared" si="70"/>
        <v>13.199159999999999</v>
      </c>
      <c r="BC147" s="16">
        <f t="shared" si="71"/>
        <v>263.98320000000001</v>
      </c>
      <c r="BD147" s="18">
        <f t="shared" si="72"/>
        <v>0.262307292368131</v>
      </c>
      <c r="BE147" s="16">
        <f t="shared" si="59"/>
        <v>28.26587202242791</v>
      </c>
      <c r="BF147" s="16">
        <f t="shared" si="60"/>
        <v>1.4512623882991154</v>
      </c>
      <c r="BG147" s="8">
        <f t="shared" si="61"/>
        <v>-0.58118963548202263</v>
      </c>
      <c r="BH147" s="13" t="s">
        <v>782</v>
      </c>
      <c r="BI147" s="16">
        <f>10^1.0379</f>
        <v>10.911890519552035</v>
      </c>
      <c r="BJ147" s="16" t="s">
        <v>329</v>
      </c>
      <c r="BK147" s="8">
        <v>0.6895</v>
      </c>
      <c r="BL147" s="16">
        <f t="shared" si="73"/>
        <v>5.6480617703469571</v>
      </c>
      <c r="BM147" s="25">
        <f>'PFAS Properties'!$U$30</f>
        <v>19650</v>
      </c>
      <c r="BN147" s="16">
        <f t="shared" si="74"/>
        <v>5154.3382950337736</v>
      </c>
      <c r="BO147" s="18">
        <f t="shared" si="75"/>
        <v>0.262307292368131</v>
      </c>
    </row>
    <row r="148" spans="1:67" s="14" customFormat="1" x14ac:dyDescent="0.3">
      <c r="A148" s="20">
        <v>151</v>
      </c>
      <c r="B148" s="2" t="s">
        <v>720</v>
      </c>
      <c r="C148" s="2">
        <v>2019</v>
      </c>
      <c r="D148" s="2" t="s">
        <v>201</v>
      </c>
      <c r="E148" s="10" t="s">
        <v>797</v>
      </c>
      <c r="F148" s="20" t="s">
        <v>29</v>
      </c>
      <c r="G148" s="2" t="s">
        <v>717</v>
      </c>
      <c r="H148" s="2" t="str">
        <f>'PFAS Properties'!$B$30</f>
        <v>PFPeA</v>
      </c>
      <c r="I148" s="2" t="str">
        <f>'PFAS Properties'!$C$30</f>
        <v>PFCA</v>
      </c>
      <c r="J148" s="2" t="str">
        <f>'PFAS Properties'!$D$30</f>
        <v>C5HF9O2</v>
      </c>
      <c r="K148" s="25">
        <f>'PFAS Properties'!$P$30</f>
        <v>263.98320000000001</v>
      </c>
      <c r="L148" s="2">
        <f>'PFAS Properties'!$X$30</f>
        <v>-0.2</v>
      </c>
      <c r="M148" s="2" t="str">
        <f>'PFAS Properties'!$Y$30</f>
        <v>-</v>
      </c>
      <c r="N148" s="33">
        <v>0</v>
      </c>
      <c r="O148" s="33">
        <v>0</v>
      </c>
      <c r="P148" s="33">
        <v>0</v>
      </c>
      <c r="Q148" s="33">
        <f t="shared" si="64"/>
        <v>0.99995533363595812</v>
      </c>
      <c r="R148" s="33">
        <v>0</v>
      </c>
      <c r="S148" s="33">
        <f t="shared" si="65"/>
        <v>4.4666364041902332E-5</v>
      </c>
      <c r="T148" s="8">
        <f t="shared" si="42"/>
        <v>1</v>
      </c>
      <c r="U148" s="33">
        <f t="shared" si="52"/>
        <v>0</v>
      </c>
      <c r="V148" s="33">
        <f t="shared" si="53"/>
        <v>-0.99995533363595812</v>
      </c>
      <c r="W148" s="33">
        <f t="shared" si="54"/>
        <v>262.98324466636404</v>
      </c>
      <c r="X148" s="33">
        <v>96485</v>
      </c>
      <c r="Y148" s="16">
        <f t="shared" si="55"/>
        <v>-366.87010417057741</v>
      </c>
      <c r="Z148" s="16">
        <v>5</v>
      </c>
      <c r="AA148" s="16">
        <v>9</v>
      </c>
      <c r="AB148" s="8">
        <f t="shared" si="56"/>
        <v>0.35087719298245612</v>
      </c>
      <c r="AC148" s="16">
        <f t="shared" si="57"/>
        <v>64.776849435873189</v>
      </c>
      <c r="AD148" s="20">
        <f>'PFAS Properties'!$W$30</f>
        <v>4</v>
      </c>
      <c r="AE148" s="8">
        <f>'PFAS Properties'!$S$30</f>
        <v>5.2933625547114458</v>
      </c>
      <c r="AF148" s="2">
        <f>'PFAS Properties'!$V$30</f>
        <v>2.9</v>
      </c>
      <c r="AG148" s="24">
        <v>4.1500000000000004</v>
      </c>
      <c r="AH148" s="2" t="s">
        <v>652</v>
      </c>
      <c r="AI148" s="15">
        <f>5.68*2*55.845/159.69</f>
        <v>3.9726920909261692</v>
      </c>
      <c r="AJ148" s="16">
        <f t="shared" si="66"/>
        <v>71.137829544742928</v>
      </c>
      <c r="AK148" s="15">
        <f t="shared" si="67"/>
        <v>0.39726920909261693</v>
      </c>
      <c r="AL148" s="15">
        <f>9.78*2*26.98/101.96</f>
        <v>5.1758415064731267</v>
      </c>
      <c r="AM148" s="16">
        <f t="shared" si="76"/>
        <v>191.83993723028641</v>
      </c>
      <c r="AN148" s="15">
        <f t="shared" si="68"/>
        <v>0.51758415064731267</v>
      </c>
      <c r="AO148" s="15" t="s">
        <v>41</v>
      </c>
      <c r="AP148" s="2">
        <v>9.76</v>
      </c>
      <c r="AQ148" s="2" t="s">
        <v>652</v>
      </c>
      <c r="AR148" s="16">
        <v>49.3</v>
      </c>
      <c r="AS148" s="16">
        <v>39.4</v>
      </c>
      <c r="AT148" s="16">
        <v>11.3</v>
      </c>
      <c r="AU148" s="2" t="s">
        <v>652</v>
      </c>
      <c r="AV148" s="16">
        <f t="shared" si="69"/>
        <v>99.999999999999986</v>
      </c>
      <c r="AW148" s="18">
        <v>2.48</v>
      </c>
      <c r="AX148" s="13">
        <f t="shared" si="43"/>
        <v>2.4799999999999999E-2</v>
      </c>
      <c r="AY148" s="16" t="s">
        <v>750</v>
      </c>
      <c r="AZ148" s="16">
        <f t="shared" si="77"/>
        <v>125</v>
      </c>
      <c r="BA148" s="16" t="s">
        <v>55</v>
      </c>
      <c r="BB148" s="16">
        <f t="shared" si="70"/>
        <v>13.199159999999999</v>
      </c>
      <c r="BC148" s="16">
        <f t="shared" si="71"/>
        <v>263.98320000000001</v>
      </c>
      <c r="BD148" s="18">
        <f t="shared" si="72"/>
        <v>0.43657162080158596</v>
      </c>
      <c r="BE148" s="16">
        <f t="shared" si="59"/>
        <v>17.603694387160726</v>
      </c>
      <c r="BF148" s="16">
        <f t="shared" si="60"/>
        <v>1.2456038202907145</v>
      </c>
      <c r="BG148" s="8">
        <f t="shared" si="61"/>
        <v>-0.35994449888306929</v>
      </c>
      <c r="BH148" s="13" t="s">
        <v>782</v>
      </c>
      <c r="BI148" s="16">
        <f>10^0.8774</f>
        <v>7.5404974948530761</v>
      </c>
      <c r="BJ148" s="16" t="s">
        <v>329</v>
      </c>
      <c r="BK148" s="8">
        <v>0.80769999999999997</v>
      </c>
      <c r="BL148" s="16">
        <f t="shared" si="73"/>
        <v>2.9219253775856617</v>
      </c>
      <c r="BM148" s="25">
        <f>'PFAS Properties'!$U$30</f>
        <v>19650</v>
      </c>
      <c r="BN148" s="16">
        <f t="shared" si="74"/>
        <v>8578.6323487511636</v>
      </c>
      <c r="BO148" s="18">
        <f t="shared" si="75"/>
        <v>0.43657162080158596</v>
      </c>
    </row>
    <row r="149" spans="1:67" s="14" customFormat="1" x14ac:dyDescent="0.3">
      <c r="A149" s="20">
        <v>152</v>
      </c>
      <c r="B149" s="2" t="s">
        <v>720</v>
      </c>
      <c r="C149" s="2">
        <v>2019</v>
      </c>
      <c r="D149" s="2" t="s">
        <v>201</v>
      </c>
      <c r="E149" s="10" t="s">
        <v>797</v>
      </c>
      <c r="F149" s="20" t="s">
        <v>29</v>
      </c>
      <c r="G149" s="2" t="s">
        <v>718</v>
      </c>
      <c r="H149" s="2" t="str">
        <f>'PFAS Properties'!$B$30</f>
        <v>PFPeA</v>
      </c>
      <c r="I149" s="2" t="str">
        <f>'PFAS Properties'!$C$30</f>
        <v>PFCA</v>
      </c>
      <c r="J149" s="2" t="str">
        <f>'PFAS Properties'!$D$30</f>
        <v>C5HF9O2</v>
      </c>
      <c r="K149" s="25">
        <f>'PFAS Properties'!$P$30</f>
        <v>263.98320000000001</v>
      </c>
      <c r="L149" s="2">
        <f>'PFAS Properties'!$X$30</f>
        <v>-0.2</v>
      </c>
      <c r="M149" s="2" t="str">
        <f>'PFAS Properties'!$Y$30</f>
        <v>-</v>
      </c>
      <c r="N149" s="33">
        <v>0</v>
      </c>
      <c r="O149" s="33">
        <v>0</v>
      </c>
      <c r="P149" s="33">
        <v>0</v>
      </c>
      <c r="Q149" s="33">
        <f t="shared" si="64"/>
        <v>0.99991872355478106</v>
      </c>
      <c r="R149" s="33">
        <v>0</v>
      </c>
      <c r="S149" s="33">
        <f t="shared" si="65"/>
        <v>8.1276445218917993E-5</v>
      </c>
      <c r="T149" s="8">
        <f t="shared" si="42"/>
        <v>1</v>
      </c>
      <c r="U149" s="33">
        <f t="shared" si="52"/>
        <v>0</v>
      </c>
      <c r="V149" s="33">
        <f t="shared" si="53"/>
        <v>-0.99991872355478106</v>
      </c>
      <c r="W149" s="33">
        <f t="shared" si="54"/>
        <v>262.98328127644527</v>
      </c>
      <c r="X149" s="33">
        <v>96485</v>
      </c>
      <c r="Y149" s="16">
        <f t="shared" si="55"/>
        <v>-366.85662135596851</v>
      </c>
      <c r="Z149" s="16">
        <v>5</v>
      </c>
      <c r="AA149" s="16">
        <v>9</v>
      </c>
      <c r="AB149" s="8">
        <f t="shared" si="56"/>
        <v>0.35087719298245612</v>
      </c>
      <c r="AC149" s="16">
        <f t="shared" si="57"/>
        <v>64.776849435873189</v>
      </c>
      <c r="AD149" s="20">
        <f>'PFAS Properties'!$W$30</f>
        <v>4</v>
      </c>
      <c r="AE149" s="8">
        <f>'PFAS Properties'!$S$30</f>
        <v>5.2933625547114458</v>
      </c>
      <c r="AF149" s="2">
        <f>'PFAS Properties'!$V$30</f>
        <v>2.9</v>
      </c>
      <c r="AG149" s="24">
        <v>3.89</v>
      </c>
      <c r="AH149" s="2" t="s">
        <v>652</v>
      </c>
      <c r="AI149" s="15">
        <f>2.95*2*55.845/159.69</f>
        <v>2.0632819838436971</v>
      </c>
      <c r="AJ149" s="16">
        <f t="shared" si="66"/>
        <v>36.946584006512616</v>
      </c>
      <c r="AK149" s="15">
        <f t="shared" si="67"/>
        <v>0.20632819838436972</v>
      </c>
      <c r="AL149" s="15">
        <f>0.634*2*26.98/101.96</f>
        <v>0.33553001176932129</v>
      </c>
      <c r="AM149" s="16">
        <f t="shared" si="76"/>
        <v>12.436249509611612</v>
      </c>
      <c r="AN149" s="15">
        <f t="shared" si="68"/>
        <v>3.3553001176932128E-2</v>
      </c>
      <c r="AO149" s="15" t="s">
        <v>41</v>
      </c>
      <c r="AP149" s="2">
        <v>2.89</v>
      </c>
      <c r="AQ149" s="2" t="s">
        <v>652</v>
      </c>
      <c r="AR149" s="2">
        <v>60</v>
      </c>
      <c r="AS149" s="2">
        <v>16</v>
      </c>
      <c r="AT149" s="2">
        <v>24</v>
      </c>
      <c r="AU149" s="2" t="s">
        <v>652</v>
      </c>
      <c r="AV149" s="16">
        <f t="shared" si="69"/>
        <v>100</v>
      </c>
      <c r="AW149" s="18">
        <v>0.99299999999999999</v>
      </c>
      <c r="AX149" s="13">
        <f t="shared" si="43"/>
        <v>9.9299999999999996E-3</v>
      </c>
      <c r="AY149" s="16" t="s">
        <v>750</v>
      </c>
      <c r="AZ149" s="16">
        <f t="shared" si="77"/>
        <v>125</v>
      </c>
      <c r="BA149" s="16" t="s">
        <v>55</v>
      </c>
      <c r="BB149" s="16">
        <f t="shared" si="70"/>
        <v>13.199159999999999</v>
      </c>
      <c r="BC149" s="16">
        <f t="shared" si="71"/>
        <v>263.98320000000001</v>
      </c>
      <c r="BD149" s="18">
        <f t="shared" si="72"/>
        <v>0.35027345241725832</v>
      </c>
      <c r="BE149" s="16">
        <f t="shared" si="59"/>
        <v>35.274265097407685</v>
      </c>
      <c r="BF149" s="16">
        <f t="shared" si="60"/>
        <v>1.5474579744472137</v>
      </c>
      <c r="BG149" s="8">
        <f t="shared" si="61"/>
        <v>-0.45559277705740509</v>
      </c>
      <c r="BH149" s="13" t="s">
        <v>782</v>
      </c>
      <c r="BI149" s="16">
        <f>10^0.8178</f>
        <v>6.5735504445489665</v>
      </c>
      <c r="BJ149" s="16" t="s">
        <v>329</v>
      </c>
      <c r="BK149" s="8">
        <v>0.75660000000000005</v>
      </c>
      <c r="BL149" s="16">
        <f t="shared" si="73"/>
        <v>3.885184690694877</v>
      </c>
      <c r="BM149" s="25">
        <f>'PFAS Properties'!$U$30</f>
        <v>19650</v>
      </c>
      <c r="BN149" s="16">
        <f t="shared" si="74"/>
        <v>6882.8733399991261</v>
      </c>
      <c r="BO149" s="18">
        <f t="shared" si="75"/>
        <v>0.35027345241725832</v>
      </c>
    </row>
    <row r="150" spans="1:67" s="14" customFormat="1" x14ac:dyDescent="0.3">
      <c r="A150" s="20">
        <v>153</v>
      </c>
      <c r="B150" s="2" t="s">
        <v>181</v>
      </c>
      <c r="C150" s="2">
        <v>2020</v>
      </c>
      <c r="D150" s="2" t="s">
        <v>203</v>
      </c>
      <c r="E150" s="10" t="s">
        <v>787</v>
      </c>
      <c r="F150" s="20" t="s">
        <v>29</v>
      </c>
      <c r="G150" s="2" t="s">
        <v>62</v>
      </c>
      <c r="H150" s="2" t="str">
        <f>'PFAS Properties'!$B$30</f>
        <v>PFPeA</v>
      </c>
      <c r="I150" s="2" t="str">
        <f>'PFAS Properties'!$C$30</f>
        <v>PFCA</v>
      </c>
      <c r="J150" s="2" t="str">
        <f>'PFAS Properties'!$D$30</f>
        <v>C5HF9O2</v>
      </c>
      <c r="K150" s="25">
        <f>'PFAS Properties'!$P$30</f>
        <v>263.98320000000001</v>
      </c>
      <c r="L150" s="2">
        <f>'PFAS Properties'!$X$30</f>
        <v>-0.2</v>
      </c>
      <c r="M150" s="2" t="str">
        <f>'PFAS Properties'!$Y$30</f>
        <v>-</v>
      </c>
      <c r="N150" s="33">
        <v>0</v>
      </c>
      <c r="O150" s="33">
        <v>0</v>
      </c>
      <c r="P150" s="33">
        <v>0</v>
      </c>
      <c r="Q150" s="33">
        <f t="shared" si="64"/>
        <v>0.99999998004737722</v>
      </c>
      <c r="R150" s="33">
        <v>0</v>
      </c>
      <c r="S150" s="33">
        <f t="shared" si="65"/>
        <v>1.995262275158161E-8</v>
      </c>
      <c r="T150" s="8">
        <f t="shared" si="42"/>
        <v>1</v>
      </c>
      <c r="U150" s="33">
        <f t="shared" si="52"/>
        <v>0</v>
      </c>
      <c r="V150" s="33">
        <f t="shared" si="53"/>
        <v>-0.99999998004737722</v>
      </c>
      <c r="W150" s="33">
        <f t="shared" si="54"/>
        <v>262.98320001995262</v>
      </c>
      <c r="X150" s="33">
        <v>96485</v>
      </c>
      <c r="Y150" s="16">
        <f t="shared" si="55"/>
        <v>-366.88654662180267</v>
      </c>
      <c r="Z150" s="16">
        <v>5</v>
      </c>
      <c r="AA150" s="16">
        <v>9</v>
      </c>
      <c r="AB150" s="8">
        <f t="shared" si="56"/>
        <v>0.35087719298245612</v>
      </c>
      <c r="AC150" s="16">
        <f t="shared" si="57"/>
        <v>64.776849435873189</v>
      </c>
      <c r="AD150" s="20">
        <f>'PFAS Properties'!$W$30</f>
        <v>4</v>
      </c>
      <c r="AE150" s="8">
        <f>'PFAS Properties'!$S$30</f>
        <v>5.2933625547114458</v>
      </c>
      <c r="AF150" s="2">
        <f>'PFAS Properties'!$V$30</f>
        <v>2.9</v>
      </c>
      <c r="AG150" s="24">
        <v>7.5</v>
      </c>
      <c r="AH150" s="2" t="s">
        <v>183</v>
      </c>
      <c r="AI150" s="2" t="s">
        <v>661</v>
      </c>
      <c r="AJ150" s="2" t="s">
        <v>661</v>
      </c>
      <c r="AK150" s="2" t="s">
        <v>661</v>
      </c>
      <c r="AL150" s="2" t="s">
        <v>661</v>
      </c>
      <c r="AM150" s="2" t="s">
        <v>661</v>
      </c>
      <c r="AN150" s="2" t="s">
        <v>661</v>
      </c>
      <c r="AO150" s="2" t="s">
        <v>661</v>
      </c>
      <c r="AP150" s="15">
        <v>41.4</v>
      </c>
      <c r="AQ150" s="2" t="s">
        <v>661</v>
      </c>
      <c r="AR150" s="16">
        <v>16.899999999999999</v>
      </c>
      <c r="AS150" s="16">
        <v>17.5</v>
      </c>
      <c r="AT150" s="16">
        <v>65.599999999999994</v>
      </c>
      <c r="AU150" s="2" t="s">
        <v>661</v>
      </c>
      <c r="AV150" s="16">
        <f t="shared" ref="AV150:AV210" si="78">SUM(AR150:AT150)</f>
        <v>100</v>
      </c>
      <c r="AW150" s="18">
        <v>0.7</v>
      </c>
      <c r="AX150" s="13">
        <v>6.9999999999999993E-3</v>
      </c>
      <c r="AY150" s="13" t="s">
        <v>184</v>
      </c>
      <c r="AZ150" s="16">
        <v>100</v>
      </c>
      <c r="BA150" s="16" t="s">
        <v>55</v>
      </c>
      <c r="BB150" s="16">
        <v>5</v>
      </c>
      <c r="BC150" s="16" t="s">
        <v>55</v>
      </c>
      <c r="BD150" s="18">
        <v>0.36</v>
      </c>
      <c r="BE150" s="15">
        <f t="shared" si="59"/>
        <v>51.428571428571431</v>
      </c>
      <c r="BF150" s="8">
        <f t="shared" si="60"/>
        <v>1.7112044607530303</v>
      </c>
      <c r="BG150" s="8">
        <f t="shared" si="61"/>
        <v>-0.44369749923271273</v>
      </c>
      <c r="BH150" s="13" t="s">
        <v>345</v>
      </c>
      <c r="BI150" s="2"/>
      <c r="BJ150" s="2"/>
      <c r="BK150" s="15"/>
      <c r="BL150" s="2"/>
      <c r="BM150" s="20"/>
      <c r="BN150" s="20"/>
      <c r="BO150" s="2"/>
    </row>
    <row r="151" spans="1:67" s="14" customFormat="1" x14ac:dyDescent="0.3">
      <c r="A151" s="20">
        <v>154</v>
      </c>
      <c r="B151" s="2" t="s">
        <v>181</v>
      </c>
      <c r="C151" s="2">
        <v>2020</v>
      </c>
      <c r="D151" s="2" t="s">
        <v>203</v>
      </c>
      <c r="E151" s="10" t="s">
        <v>787</v>
      </c>
      <c r="F151" s="20" t="s">
        <v>29</v>
      </c>
      <c r="G151" s="2" t="s">
        <v>57</v>
      </c>
      <c r="H151" s="2" t="str">
        <f>'PFAS Properties'!$B$30</f>
        <v>PFPeA</v>
      </c>
      <c r="I151" s="2" t="str">
        <f>'PFAS Properties'!$C$30</f>
        <v>PFCA</v>
      </c>
      <c r="J151" s="2" t="str">
        <f>'PFAS Properties'!$D$30</f>
        <v>C5HF9O2</v>
      </c>
      <c r="K151" s="25">
        <f>'PFAS Properties'!$P$30</f>
        <v>263.98320000000001</v>
      </c>
      <c r="L151" s="2">
        <f>'PFAS Properties'!$X$30</f>
        <v>-0.2</v>
      </c>
      <c r="M151" s="2" t="str">
        <f>'PFAS Properties'!$Y$30</f>
        <v>-</v>
      </c>
      <c r="N151" s="33">
        <v>0</v>
      </c>
      <c r="O151" s="33">
        <v>0</v>
      </c>
      <c r="P151" s="33">
        <v>0</v>
      </c>
      <c r="Q151" s="33">
        <f t="shared" si="64"/>
        <v>0.99999990000001004</v>
      </c>
      <c r="R151" s="33">
        <v>0</v>
      </c>
      <c r="S151" s="33">
        <f t="shared" si="65"/>
        <v>9.9999990000001005E-8</v>
      </c>
      <c r="T151" s="8">
        <f t="shared" ref="T151:T211" si="79">SUM(N151:S151)</f>
        <v>1</v>
      </c>
      <c r="U151" s="33">
        <f t="shared" si="52"/>
        <v>0</v>
      </c>
      <c r="V151" s="33">
        <f t="shared" si="53"/>
        <v>-0.99999990000001004</v>
      </c>
      <c r="W151" s="33">
        <f t="shared" si="54"/>
        <v>262.98320009999998</v>
      </c>
      <c r="X151" s="33">
        <v>96485</v>
      </c>
      <c r="Y151" s="16">
        <f t="shared" si="55"/>
        <v>-366.88651714182623</v>
      </c>
      <c r="Z151" s="16">
        <v>5</v>
      </c>
      <c r="AA151" s="16">
        <v>9</v>
      </c>
      <c r="AB151" s="8">
        <f t="shared" si="56"/>
        <v>0.35087719298245612</v>
      </c>
      <c r="AC151" s="16">
        <f t="shared" si="57"/>
        <v>64.776849435873189</v>
      </c>
      <c r="AD151" s="20">
        <f>'PFAS Properties'!$W$30</f>
        <v>4</v>
      </c>
      <c r="AE151" s="8">
        <f>'PFAS Properties'!$S$30</f>
        <v>5.2933625547114458</v>
      </c>
      <c r="AF151" s="2">
        <f>'PFAS Properties'!$V$30</f>
        <v>2.9</v>
      </c>
      <c r="AG151" s="24">
        <v>6.8</v>
      </c>
      <c r="AH151" s="2" t="s">
        <v>183</v>
      </c>
      <c r="AI151" s="2" t="s">
        <v>661</v>
      </c>
      <c r="AJ151" s="2" t="s">
        <v>661</v>
      </c>
      <c r="AK151" s="2" t="s">
        <v>661</v>
      </c>
      <c r="AL151" s="2" t="s">
        <v>661</v>
      </c>
      <c r="AM151" s="2" t="s">
        <v>661</v>
      </c>
      <c r="AN151" s="2" t="s">
        <v>661</v>
      </c>
      <c r="AO151" s="2" t="s">
        <v>661</v>
      </c>
      <c r="AP151" s="15">
        <v>7.1</v>
      </c>
      <c r="AQ151" s="2" t="s">
        <v>661</v>
      </c>
      <c r="AR151" s="16">
        <v>48.9</v>
      </c>
      <c r="AS151" s="16">
        <v>27</v>
      </c>
      <c r="AT151" s="16">
        <v>24.2</v>
      </c>
      <c r="AU151" s="2" t="s">
        <v>661</v>
      </c>
      <c r="AV151" s="16">
        <f t="shared" si="78"/>
        <v>100.10000000000001</v>
      </c>
      <c r="AW151" s="18">
        <v>0.37</v>
      </c>
      <c r="AX151" s="13">
        <v>3.7000000000000002E-3</v>
      </c>
      <c r="AY151" s="13" t="s">
        <v>184</v>
      </c>
      <c r="AZ151" s="16">
        <v>100</v>
      </c>
      <c r="BA151" s="16" t="s">
        <v>55</v>
      </c>
      <c r="BB151" s="16">
        <v>5</v>
      </c>
      <c r="BC151" s="16" t="s">
        <v>55</v>
      </c>
      <c r="BD151" s="20">
        <v>0.35</v>
      </c>
      <c r="BE151" s="15">
        <f t="shared" si="59"/>
        <v>94.594594594594582</v>
      </c>
      <c r="BF151" s="8">
        <f t="shared" si="60"/>
        <v>1.9758663202832807</v>
      </c>
      <c r="BG151" s="8">
        <f t="shared" si="61"/>
        <v>-0.45593195564972439</v>
      </c>
      <c r="BH151" s="13" t="s">
        <v>345</v>
      </c>
      <c r="BI151" s="2"/>
      <c r="BJ151" s="2"/>
      <c r="BK151" s="15"/>
      <c r="BL151" s="2"/>
      <c r="BM151" s="20"/>
      <c r="BN151" s="20"/>
      <c r="BO151" s="2"/>
    </row>
    <row r="152" spans="1:67" s="14" customFormat="1" x14ac:dyDescent="0.3">
      <c r="A152" s="20">
        <v>155</v>
      </c>
      <c r="B152" s="2" t="s">
        <v>181</v>
      </c>
      <c r="C152" s="2">
        <v>2020</v>
      </c>
      <c r="D152" s="2" t="s">
        <v>203</v>
      </c>
      <c r="E152" s="10" t="s">
        <v>787</v>
      </c>
      <c r="F152" s="20" t="s">
        <v>29</v>
      </c>
      <c r="G152" s="2" t="s">
        <v>58</v>
      </c>
      <c r="H152" s="2" t="str">
        <f>'PFAS Properties'!$B$30</f>
        <v>PFPeA</v>
      </c>
      <c r="I152" s="2" t="str">
        <f>'PFAS Properties'!$C$30</f>
        <v>PFCA</v>
      </c>
      <c r="J152" s="2" t="str">
        <f>'PFAS Properties'!$D$30</f>
        <v>C5HF9O2</v>
      </c>
      <c r="K152" s="25">
        <f>'PFAS Properties'!$P$30</f>
        <v>263.98320000000001</v>
      </c>
      <c r="L152" s="2">
        <f>'PFAS Properties'!$X$30</f>
        <v>-0.2</v>
      </c>
      <c r="M152" s="2" t="str">
        <f>'PFAS Properties'!$Y$30</f>
        <v>-</v>
      </c>
      <c r="N152" s="33">
        <v>0</v>
      </c>
      <c r="O152" s="33">
        <v>0</v>
      </c>
      <c r="P152" s="33">
        <v>0</v>
      </c>
      <c r="Q152" s="33">
        <f t="shared" si="64"/>
        <v>0.99999960189298798</v>
      </c>
      <c r="R152" s="33">
        <v>0</v>
      </c>
      <c r="S152" s="33">
        <f t="shared" si="65"/>
        <v>3.9810701206424001E-7</v>
      </c>
      <c r="T152" s="8">
        <f t="shared" si="79"/>
        <v>1</v>
      </c>
      <c r="U152" s="33">
        <f t="shared" si="52"/>
        <v>0</v>
      </c>
      <c r="V152" s="33">
        <f t="shared" si="53"/>
        <v>-0.99999960189298798</v>
      </c>
      <c r="W152" s="33">
        <f t="shared" si="54"/>
        <v>262.98320039810704</v>
      </c>
      <c r="X152" s="33">
        <v>96485</v>
      </c>
      <c r="Y152" s="16">
        <f t="shared" si="55"/>
        <v>-366.88640735448075</v>
      </c>
      <c r="Z152" s="16">
        <v>5</v>
      </c>
      <c r="AA152" s="16">
        <v>9</v>
      </c>
      <c r="AB152" s="8">
        <f t="shared" si="56"/>
        <v>0.35087719298245612</v>
      </c>
      <c r="AC152" s="16">
        <f t="shared" si="57"/>
        <v>64.776849435873189</v>
      </c>
      <c r="AD152" s="20">
        <f>'PFAS Properties'!$W$30</f>
        <v>4</v>
      </c>
      <c r="AE152" s="8">
        <f>'PFAS Properties'!$S$30</f>
        <v>5.2933625547114458</v>
      </c>
      <c r="AF152" s="2">
        <f>'PFAS Properties'!$V$30</f>
        <v>2.9</v>
      </c>
      <c r="AG152" s="24">
        <v>6.2</v>
      </c>
      <c r="AH152" s="2" t="s">
        <v>183</v>
      </c>
      <c r="AI152" s="2" t="s">
        <v>661</v>
      </c>
      <c r="AJ152" s="2" t="s">
        <v>661</v>
      </c>
      <c r="AK152" s="2" t="s">
        <v>661</v>
      </c>
      <c r="AL152" s="2" t="s">
        <v>661</v>
      </c>
      <c r="AM152" s="2" t="s">
        <v>661</v>
      </c>
      <c r="AN152" s="2" t="s">
        <v>661</v>
      </c>
      <c r="AO152" s="2" t="s">
        <v>661</v>
      </c>
      <c r="AP152" s="15">
        <v>8</v>
      </c>
      <c r="AQ152" s="2" t="s">
        <v>661</v>
      </c>
      <c r="AR152" s="16">
        <v>51.44</v>
      </c>
      <c r="AS152" s="16">
        <v>10.17</v>
      </c>
      <c r="AT152" s="16">
        <v>38.380000000000003</v>
      </c>
      <c r="AU152" s="2" t="s">
        <v>661</v>
      </c>
      <c r="AV152" s="16">
        <f t="shared" si="78"/>
        <v>99.990000000000009</v>
      </c>
      <c r="AW152" s="18">
        <v>0.08</v>
      </c>
      <c r="AX152" s="13">
        <v>8.0000000000000004E-4</v>
      </c>
      <c r="AY152" s="8" t="s">
        <v>184</v>
      </c>
      <c r="AZ152" s="16">
        <v>100</v>
      </c>
      <c r="BA152" s="16" t="s">
        <v>55</v>
      </c>
      <c r="BB152" s="16">
        <v>5</v>
      </c>
      <c r="BC152" s="16" t="s">
        <v>55</v>
      </c>
      <c r="BD152" s="20">
        <v>0.24</v>
      </c>
      <c r="BE152" s="15">
        <f t="shared" si="59"/>
        <v>300</v>
      </c>
      <c r="BF152" s="8">
        <f t="shared" si="60"/>
        <v>2.4771212547196626</v>
      </c>
      <c r="BG152" s="8">
        <f t="shared" si="61"/>
        <v>-0.61978875828839397</v>
      </c>
      <c r="BH152" s="13" t="s">
        <v>345</v>
      </c>
      <c r="BI152" s="2"/>
      <c r="BJ152" s="2"/>
      <c r="BK152" s="15"/>
      <c r="BL152" s="2"/>
      <c r="BM152" s="20"/>
      <c r="BN152" s="20"/>
      <c r="BO152" s="2"/>
    </row>
    <row r="153" spans="1:67" s="14" customFormat="1" x14ac:dyDescent="0.3">
      <c r="A153" s="20">
        <v>156</v>
      </c>
      <c r="B153" s="2" t="s">
        <v>181</v>
      </c>
      <c r="C153" s="2">
        <v>2020</v>
      </c>
      <c r="D153" s="2" t="s">
        <v>203</v>
      </c>
      <c r="E153" s="10" t="s">
        <v>787</v>
      </c>
      <c r="F153" s="20" t="s">
        <v>29</v>
      </c>
      <c r="G153" s="2" t="s">
        <v>59</v>
      </c>
      <c r="H153" s="2" t="str">
        <f>'PFAS Properties'!$B$30</f>
        <v>PFPeA</v>
      </c>
      <c r="I153" s="2" t="str">
        <f>'PFAS Properties'!$C$30</f>
        <v>PFCA</v>
      </c>
      <c r="J153" s="2" t="str">
        <f>'PFAS Properties'!$D$30</f>
        <v>C5HF9O2</v>
      </c>
      <c r="K153" s="25">
        <f>'PFAS Properties'!$P$30</f>
        <v>263.98320000000001</v>
      </c>
      <c r="L153" s="2">
        <f>'PFAS Properties'!$X$30</f>
        <v>-0.2</v>
      </c>
      <c r="M153" s="2" t="str">
        <f>'PFAS Properties'!$Y$30</f>
        <v>-</v>
      </c>
      <c r="N153" s="33">
        <v>0</v>
      </c>
      <c r="O153" s="33">
        <v>0</v>
      </c>
      <c r="P153" s="33">
        <v>0</v>
      </c>
      <c r="Q153" s="33">
        <f t="shared" si="64"/>
        <v>0.99999998741074603</v>
      </c>
      <c r="R153" s="33">
        <v>0</v>
      </c>
      <c r="S153" s="33">
        <f t="shared" si="65"/>
        <v>1.258925395945232E-8</v>
      </c>
      <c r="T153" s="8">
        <f t="shared" si="79"/>
        <v>1</v>
      </c>
      <c r="U153" s="33">
        <f t="shared" si="52"/>
        <v>0</v>
      </c>
      <c r="V153" s="33">
        <f t="shared" si="53"/>
        <v>-0.99999998741074603</v>
      </c>
      <c r="W153" s="33">
        <f t="shared" si="54"/>
        <v>262.98320001258929</v>
      </c>
      <c r="X153" s="33">
        <v>96485</v>
      </c>
      <c r="Y153" s="16">
        <f t="shared" si="55"/>
        <v>-366.88654933359618</v>
      </c>
      <c r="Z153" s="16">
        <v>5</v>
      </c>
      <c r="AA153" s="16">
        <v>9</v>
      </c>
      <c r="AB153" s="8">
        <f t="shared" si="56"/>
        <v>0.35087719298245612</v>
      </c>
      <c r="AC153" s="16">
        <f t="shared" si="57"/>
        <v>64.776849435873189</v>
      </c>
      <c r="AD153" s="20">
        <f>'PFAS Properties'!$W$30</f>
        <v>4</v>
      </c>
      <c r="AE153" s="8">
        <f>'PFAS Properties'!$S$30</f>
        <v>5.2933625547114458</v>
      </c>
      <c r="AF153" s="2">
        <f>'PFAS Properties'!$V$30</f>
        <v>2.9</v>
      </c>
      <c r="AG153" s="24">
        <v>7.7</v>
      </c>
      <c r="AH153" s="2" t="s">
        <v>183</v>
      </c>
      <c r="AI153" s="2" t="s">
        <v>661</v>
      </c>
      <c r="AJ153" s="2" t="s">
        <v>661</v>
      </c>
      <c r="AK153" s="2" t="s">
        <v>661</v>
      </c>
      <c r="AL153" s="2" t="s">
        <v>661</v>
      </c>
      <c r="AM153" s="2" t="s">
        <v>661</v>
      </c>
      <c r="AN153" s="2" t="s">
        <v>661</v>
      </c>
      <c r="AO153" s="2" t="s">
        <v>661</v>
      </c>
      <c r="AP153" s="15">
        <v>4.8</v>
      </c>
      <c r="AQ153" s="2" t="s">
        <v>661</v>
      </c>
      <c r="AR153" s="16">
        <v>46</v>
      </c>
      <c r="AS153" s="16">
        <v>37</v>
      </c>
      <c r="AT153" s="16">
        <v>17</v>
      </c>
      <c r="AU153" s="2" t="s">
        <v>661</v>
      </c>
      <c r="AV153" s="16">
        <f t="shared" si="78"/>
        <v>100</v>
      </c>
      <c r="AW153" s="18">
        <v>0.25</v>
      </c>
      <c r="AX153" s="13">
        <v>2.5000000000000001E-3</v>
      </c>
      <c r="AY153" s="13" t="s">
        <v>184</v>
      </c>
      <c r="AZ153" s="16">
        <v>100</v>
      </c>
      <c r="BA153" s="16" t="s">
        <v>55</v>
      </c>
      <c r="BB153" s="16">
        <v>5</v>
      </c>
      <c r="BC153" s="16" t="s">
        <v>55</v>
      </c>
      <c r="BD153" s="18">
        <v>0.15</v>
      </c>
      <c r="BE153" s="15">
        <f t="shared" si="59"/>
        <v>60</v>
      </c>
      <c r="BF153" s="8">
        <f t="shared" si="60"/>
        <v>1.7781512503836436</v>
      </c>
      <c r="BG153" s="8">
        <f t="shared" si="61"/>
        <v>-0.82390874094431876</v>
      </c>
      <c r="BH153" s="13" t="s">
        <v>345</v>
      </c>
      <c r="BI153" s="2"/>
      <c r="BJ153" s="2"/>
      <c r="BK153" s="15"/>
      <c r="BL153" s="2"/>
      <c r="BM153" s="20"/>
      <c r="BN153" s="20"/>
      <c r="BO153" s="2"/>
    </row>
    <row r="154" spans="1:67" s="14" customFormat="1" x14ac:dyDescent="0.3">
      <c r="A154" s="20">
        <v>157</v>
      </c>
      <c r="B154" s="2" t="s">
        <v>181</v>
      </c>
      <c r="C154" s="2">
        <v>2020</v>
      </c>
      <c r="D154" s="2" t="s">
        <v>203</v>
      </c>
      <c r="E154" s="10" t="s">
        <v>787</v>
      </c>
      <c r="F154" s="20" t="s">
        <v>29</v>
      </c>
      <c r="G154" s="2" t="s">
        <v>61</v>
      </c>
      <c r="H154" s="2" t="str">
        <f>'PFAS Properties'!$B$30</f>
        <v>PFPeA</v>
      </c>
      <c r="I154" s="2" t="str">
        <f>'PFAS Properties'!$C$30</f>
        <v>PFCA</v>
      </c>
      <c r="J154" s="2" t="str">
        <f>'PFAS Properties'!$D$30</f>
        <v>C5HF9O2</v>
      </c>
      <c r="K154" s="25">
        <f>'PFAS Properties'!$P$30</f>
        <v>263.98320000000001</v>
      </c>
      <c r="L154" s="2">
        <f>'PFAS Properties'!$X$30</f>
        <v>-0.2</v>
      </c>
      <c r="M154" s="2" t="str">
        <f>'PFAS Properties'!$Y$30</f>
        <v>-</v>
      </c>
      <c r="N154" s="33">
        <v>0</v>
      </c>
      <c r="O154" s="33">
        <v>0</v>
      </c>
      <c r="P154" s="33">
        <v>0</v>
      </c>
      <c r="Q154" s="33">
        <f t="shared" si="64"/>
        <v>0.99999997488113634</v>
      </c>
      <c r="R154" s="33">
        <v>0</v>
      </c>
      <c r="S154" s="33">
        <f t="shared" si="65"/>
        <v>2.5118863684138424E-8</v>
      </c>
      <c r="T154" s="8">
        <f t="shared" si="79"/>
        <v>1</v>
      </c>
      <c r="U154" s="33">
        <f t="shared" si="52"/>
        <v>0</v>
      </c>
      <c r="V154" s="33">
        <f t="shared" si="53"/>
        <v>-0.99999997488113634</v>
      </c>
      <c r="W154" s="33">
        <f t="shared" si="54"/>
        <v>262.98320002511889</v>
      </c>
      <c r="X154" s="33">
        <v>96485</v>
      </c>
      <c r="Y154" s="16">
        <f t="shared" si="55"/>
        <v>-366.8865447191709</v>
      </c>
      <c r="Z154" s="16">
        <v>5</v>
      </c>
      <c r="AA154" s="16">
        <v>9</v>
      </c>
      <c r="AB154" s="8">
        <f t="shared" si="56"/>
        <v>0.35087719298245612</v>
      </c>
      <c r="AC154" s="16">
        <f t="shared" si="57"/>
        <v>64.776849435873189</v>
      </c>
      <c r="AD154" s="20">
        <f>'PFAS Properties'!$W$30</f>
        <v>4</v>
      </c>
      <c r="AE154" s="8">
        <f>'PFAS Properties'!$S$30</f>
        <v>5.2933625547114458</v>
      </c>
      <c r="AF154" s="2">
        <f>'PFAS Properties'!$V$30</f>
        <v>2.9</v>
      </c>
      <c r="AG154" s="24">
        <v>7.4</v>
      </c>
      <c r="AH154" s="2" t="s">
        <v>183</v>
      </c>
      <c r="AI154" s="2" t="s">
        <v>661</v>
      </c>
      <c r="AJ154" s="2" t="s">
        <v>661</v>
      </c>
      <c r="AK154" s="2" t="s">
        <v>661</v>
      </c>
      <c r="AL154" s="2" t="s">
        <v>661</v>
      </c>
      <c r="AM154" s="2" t="s">
        <v>661</v>
      </c>
      <c r="AN154" s="2" t="s">
        <v>661</v>
      </c>
      <c r="AO154" s="2" t="s">
        <v>661</v>
      </c>
      <c r="AP154" s="15">
        <v>29.6</v>
      </c>
      <c r="AQ154" s="2" t="s">
        <v>661</v>
      </c>
      <c r="AR154" s="16">
        <v>39.799999999999997</v>
      </c>
      <c r="AS154" s="16">
        <v>7.7</v>
      </c>
      <c r="AT154" s="16">
        <v>52.5</v>
      </c>
      <c r="AU154" s="2" t="s">
        <v>661</v>
      </c>
      <c r="AV154" s="16">
        <f t="shared" si="78"/>
        <v>100</v>
      </c>
      <c r="AW154" s="18">
        <v>2.23</v>
      </c>
      <c r="AX154" s="13">
        <v>2.23E-2</v>
      </c>
      <c r="AY154" s="8" t="s">
        <v>184</v>
      </c>
      <c r="AZ154" s="16">
        <v>100</v>
      </c>
      <c r="BA154" s="16" t="s">
        <v>55</v>
      </c>
      <c r="BB154" s="16">
        <v>5</v>
      </c>
      <c r="BC154" s="16" t="s">
        <v>55</v>
      </c>
      <c r="BD154" s="20">
        <v>0.31</v>
      </c>
      <c r="BE154" s="15">
        <f t="shared" si="59"/>
        <v>13.901345291479821</v>
      </c>
      <c r="BF154" s="8">
        <f t="shared" si="60"/>
        <v>1.143056830786112</v>
      </c>
      <c r="BG154" s="8">
        <f t="shared" si="61"/>
        <v>-0.50863830616572736</v>
      </c>
      <c r="BH154" s="13" t="s">
        <v>345</v>
      </c>
      <c r="BI154" s="2"/>
      <c r="BJ154" s="2"/>
      <c r="BK154" s="15"/>
      <c r="BL154" s="2"/>
      <c r="BM154" s="20"/>
      <c r="BN154" s="20"/>
      <c r="BO154" s="2"/>
    </row>
    <row r="155" spans="1:67" s="14" customFormat="1" x14ac:dyDescent="0.3">
      <c r="A155" s="20">
        <v>158</v>
      </c>
      <c r="B155" s="2" t="s">
        <v>181</v>
      </c>
      <c r="C155" s="2">
        <v>2020</v>
      </c>
      <c r="D155" s="2" t="s">
        <v>203</v>
      </c>
      <c r="E155" s="10" t="s">
        <v>787</v>
      </c>
      <c r="F155" s="20" t="s">
        <v>29</v>
      </c>
      <c r="G155" s="2" t="s">
        <v>60</v>
      </c>
      <c r="H155" s="2" t="str">
        <f>'PFAS Properties'!$B$30</f>
        <v>PFPeA</v>
      </c>
      <c r="I155" s="2" t="str">
        <f>'PFAS Properties'!$C$30</f>
        <v>PFCA</v>
      </c>
      <c r="J155" s="2" t="str">
        <f>'PFAS Properties'!$D$30</f>
        <v>C5HF9O2</v>
      </c>
      <c r="K155" s="25">
        <f>'PFAS Properties'!$P$30</f>
        <v>263.98320000000001</v>
      </c>
      <c r="L155" s="2">
        <f>'PFAS Properties'!$X$30</f>
        <v>-0.2</v>
      </c>
      <c r="M155" s="2" t="str">
        <f>'PFAS Properties'!$Y$30</f>
        <v>-</v>
      </c>
      <c r="N155" s="33">
        <v>0</v>
      </c>
      <c r="O155" s="33">
        <v>0</v>
      </c>
      <c r="P155" s="33">
        <v>0</v>
      </c>
      <c r="Q155" s="33">
        <f t="shared" si="64"/>
        <v>0.99999998741074603</v>
      </c>
      <c r="R155" s="33">
        <v>0</v>
      </c>
      <c r="S155" s="33">
        <f t="shared" si="65"/>
        <v>1.258925395945232E-8</v>
      </c>
      <c r="T155" s="8">
        <f t="shared" si="79"/>
        <v>1</v>
      </c>
      <c r="U155" s="33">
        <f t="shared" si="52"/>
        <v>0</v>
      </c>
      <c r="V155" s="33">
        <f t="shared" si="53"/>
        <v>-0.99999998741074603</v>
      </c>
      <c r="W155" s="33">
        <f t="shared" si="54"/>
        <v>262.98320001258929</v>
      </c>
      <c r="X155" s="33">
        <v>96485</v>
      </c>
      <c r="Y155" s="16">
        <f t="shared" si="55"/>
        <v>-366.88654933359618</v>
      </c>
      <c r="Z155" s="16">
        <v>5</v>
      </c>
      <c r="AA155" s="16">
        <v>9</v>
      </c>
      <c r="AB155" s="8">
        <f t="shared" si="56"/>
        <v>0.35087719298245612</v>
      </c>
      <c r="AC155" s="16">
        <f t="shared" si="57"/>
        <v>64.776849435873189</v>
      </c>
      <c r="AD155" s="20">
        <f>'PFAS Properties'!$W$30</f>
        <v>4</v>
      </c>
      <c r="AE155" s="8">
        <f>'PFAS Properties'!$S$30</f>
        <v>5.2933625547114458</v>
      </c>
      <c r="AF155" s="2">
        <f>'PFAS Properties'!$V$30</f>
        <v>2.9</v>
      </c>
      <c r="AG155" s="24">
        <v>7.7</v>
      </c>
      <c r="AH155" s="2" t="s">
        <v>183</v>
      </c>
      <c r="AI155" s="2" t="s">
        <v>661</v>
      </c>
      <c r="AJ155" s="2" t="s">
        <v>661</v>
      </c>
      <c r="AK155" s="2" t="s">
        <v>661</v>
      </c>
      <c r="AL155" s="2" t="s">
        <v>661</v>
      </c>
      <c r="AM155" s="2" t="s">
        <v>661</v>
      </c>
      <c r="AN155" s="2" t="s">
        <v>661</v>
      </c>
      <c r="AO155" s="2" t="s">
        <v>661</v>
      </c>
      <c r="AP155" s="15">
        <v>21.63</v>
      </c>
      <c r="AQ155" s="2" t="s">
        <v>661</v>
      </c>
      <c r="AR155" s="16">
        <v>70</v>
      </c>
      <c r="AS155" s="16">
        <v>11</v>
      </c>
      <c r="AT155" s="16">
        <v>19</v>
      </c>
      <c r="AU155" s="2" t="s">
        <v>661</v>
      </c>
      <c r="AV155" s="16">
        <f t="shared" si="78"/>
        <v>100</v>
      </c>
      <c r="AW155" s="18">
        <v>4.9000000000000004</v>
      </c>
      <c r="AX155" s="13">
        <v>4.9000000000000002E-2</v>
      </c>
      <c r="AY155" s="8" t="s">
        <v>184</v>
      </c>
      <c r="AZ155" s="16">
        <v>100</v>
      </c>
      <c r="BA155" s="16" t="s">
        <v>55</v>
      </c>
      <c r="BB155" s="16">
        <v>5</v>
      </c>
      <c r="BC155" s="16" t="s">
        <v>55</v>
      </c>
      <c r="BD155" s="20">
        <v>0.44</v>
      </c>
      <c r="BE155" s="15">
        <f t="shared" si="59"/>
        <v>8.9795918367346932</v>
      </c>
      <c r="BF155" s="8">
        <f t="shared" si="60"/>
        <v>0.95325659645767369</v>
      </c>
      <c r="BG155" s="8">
        <f t="shared" si="61"/>
        <v>-0.35654732351381258</v>
      </c>
      <c r="BH155" s="13" t="s">
        <v>345</v>
      </c>
      <c r="BI155" s="2"/>
      <c r="BJ155" s="2"/>
      <c r="BK155" s="15"/>
      <c r="BL155" s="2"/>
      <c r="BM155" s="20"/>
      <c r="BN155" s="20"/>
      <c r="BO155" s="2"/>
    </row>
    <row r="156" spans="1:67" s="14" customFormat="1" x14ac:dyDescent="0.3">
      <c r="A156" s="20">
        <v>159</v>
      </c>
      <c r="B156" s="2" t="s">
        <v>181</v>
      </c>
      <c r="C156" s="2">
        <v>2020</v>
      </c>
      <c r="D156" s="2" t="s">
        <v>203</v>
      </c>
      <c r="E156" s="10" t="s">
        <v>787</v>
      </c>
      <c r="F156" s="20" t="s">
        <v>29</v>
      </c>
      <c r="G156" s="2" t="s">
        <v>77</v>
      </c>
      <c r="H156" s="2" t="str">
        <f>'PFAS Properties'!$B$30</f>
        <v>PFPeA</v>
      </c>
      <c r="I156" s="2" t="str">
        <f>'PFAS Properties'!$C$30</f>
        <v>PFCA</v>
      </c>
      <c r="J156" s="2" t="str">
        <f>'PFAS Properties'!$D$30</f>
        <v>C5HF9O2</v>
      </c>
      <c r="K156" s="25">
        <f>'PFAS Properties'!$P$30</f>
        <v>263.98320000000001</v>
      </c>
      <c r="L156" s="2">
        <f>'PFAS Properties'!$X$30</f>
        <v>-0.2</v>
      </c>
      <c r="M156" s="2" t="str">
        <f>'PFAS Properties'!$Y$30</f>
        <v>-</v>
      </c>
      <c r="N156" s="33">
        <v>0</v>
      </c>
      <c r="O156" s="33">
        <v>0</v>
      </c>
      <c r="P156" s="33">
        <v>0</v>
      </c>
      <c r="Q156" s="33">
        <f t="shared" si="64"/>
        <v>0.99999998741074603</v>
      </c>
      <c r="R156" s="33">
        <v>0</v>
      </c>
      <c r="S156" s="33">
        <f t="shared" si="65"/>
        <v>1.258925395945232E-8</v>
      </c>
      <c r="T156" s="8">
        <f t="shared" si="79"/>
        <v>1</v>
      </c>
      <c r="U156" s="33">
        <f t="shared" si="52"/>
        <v>0</v>
      </c>
      <c r="V156" s="33">
        <f t="shared" si="53"/>
        <v>-0.99999998741074603</v>
      </c>
      <c r="W156" s="33">
        <f t="shared" si="54"/>
        <v>262.98320001258929</v>
      </c>
      <c r="X156" s="33">
        <v>96485</v>
      </c>
      <c r="Y156" s="16">
        <f t="shared" si="55"/>
        <v>-366.88654933359618</v>
      </c>
      <c r="Z156" s="16">
        <v>5</v>
      </c>
      <c r="AA156" s="16">
        <v>9</v>
      </c>
      <c r="AB156" s="8">
        <f t="shared" si="56"/>
        <v>0.35087719298245612</v>
      </c>
      <c r="AC156" s="16">
        <f t="shared" si="57"/>
        <v>64.776849435873189</v>
      </c>
      <c r="AD156" s="20">
        <f>'PFAS Properties'!$W$30</f>
        <v>4</v>
      </c>
      <c r="AE156" s="8">
        <f>'PFAS Properties'!$S$30</f>
        <v>5.2933625547114458</v>
      </c>
      <c r="AF156" s="2">
        <f>'PFAS Properties'!$V$30</f>
        <v>2.9</v>
      </c>
      <c r="AG156" s="24">
        <v>7.7</v>
      </c>
      <c r="AH156" s="2" t="s">
        <v>183</v>
      </c>
      <c r="AI156" s="2" t="s">
        <v>661</v>
      </c>
      <c r="AJ156" s="2" t="s">
        <v>661</v>
      </c>
      <c r="AK156" s="2" t="s">
        <v>661</v>
      </c>
      <c r="AL156" s="2" t="s">
        <v>661</v>
      </c>
      <c r="AM156" s="2" t="s">
        <v>661</v>
      </c>
      <c r="AN156" s="2" t="s">
        <v>661</v>
      </c>
      <c r="AO156" s="2" t="s">
        <v>661</v>
      </c>
      <c r="AP156" s="15">
        <v>7.8</v>
      </c>
      <c r="AQ156" s="2" t="s">
        <v>661</v>
      </c>
      <c r="AR156" s="16">
        <v>48.9</v>
      </c>
      <c r="AS156" s="16">
        <v>32.6</v>
      </c>
      <c r="AT156" s="16">
        <v>18.5</v>
      </c>
      <c r="AU156" s="2" t="s">
        <v>661</v>
      </c>
      <c r="AV156" s="16">
        <f t="shared" si="78"/>
        <v>100</v>
      </c>
      <c r="AW156" s="18">
        <v>0.13</v>
      </c>
      <c r="AX156" s="13">
        <v>1.2999999999999999E-3</v>
      </c>
      <c r="AY156" s="8" t="s">
        <v>184</v>
      </c>
      <c r="AZ156" s="16">
        <v>100</v>
      </c>
      <c r="BA156" s="16" t="s">
        <v>55</v>
      </c>
      <c r="BB156" s="16">
        <v>5</v>
      </c>
      <c r="BC156" s="16" t="s">
        <v>55</v>
      </c>
      <c r="BD156" s="18">
        <v>0.2</v>
      </c>
      <c r="BE156" s="15">
        <f t="shared" si="59"/>
        <v>153.84615384615387</v>
      </c>
      <c r="BF156" s="8">
        <f t="shared" si="60"/>
        <v>2.1870866433571443</v>
      </c>
      <c r="BG156" s="8">
        <f t="shared" si="61"/>
        <v>-0.69897000433601875</v>
      </c>
      <c r="BH156" s="13" t="s">
        <v>345</v>
      </c>
      <c r="BI156" s="2"/>
      <c r="BJ156" s="2"/>
      <c r="BK156" s="15"/>
      <c r="BL156" s="2"/>
      <c r="BM156" s="20"/>
      <c r="BN156" s="20"/>
      <c r="BO156" s="2"/>
    </row>
    <row r="157" spans="1:67" s="14" customFormat="1" x14ac:dyDescent="0.3">
      <c r="A157" s="20">
        <v>160</v>
      </c>
      <c r="B157" s="2" t="s">
        <v>181</v>
      </c>
      <c r="C157" s="2">
        <v>2020</v>
      </c>
      <c r="D157" s="2" t="s">
        <v>203</v>
      </c>
      <c r="E157" s="10" t="s">
        <v>787</v>
      </c>
      <c r="F157" s="20" t="s">
        <v>29</v>
      </c>
      <c r="G157" s="2" t="s">
        <v>182</v>
      </c>
      <c r="H157" s="2" t="str">
        <f>'PFAS Properties'!$B$30</f>
        <v>PFPeA</v>
      </c>
      <c r="I157" s="2" t="str">
        <f>'PFAS Properties'!$C$30</f>
        <v>PFCA</v>
      </c>
      <c r="J157" s="2" t="str">
        <f>'PFAS Properties'!$D$30</f>
        <v>C5HF9O2</v>
      </c>
      <c r="K157" s="25">
        <f>'PFAS Properties'!$P$30</f>
        <v>263.98320000000001</v>
      </c>
      <c r="L157" s="2">
        <f>'PFAS Properties'!$X$30</f>
        <v>-0.2</v>
      </c>
      <c r="M157" s="2" t="str">
        <f>'PFAS Properties'!$Y$30</f>
        <v>-</v>
      </c>
      <c r="N157" s="33">
        <v>0</v>
      </c>
      <c r="O157" s="33">
        <v>0</v>
      </c>
      <c r="P157" s="33">
        <v>0</v>
      </c>
      <c r="Q157" s="33">
        <f t="shared" si="64"/>
        <v>0.99999998004737722</v>
      </c>
      <c r="R157" s="33">
        <v>0</v>
      </c>
      <c r="S157" s="33">
        <f t="shared" si="65"/>
        <v>1.995262275158161E-8</v>
      </c>
      <c r="T157" s="8">
        <f t="shared" si="79"/>
        <v>1</v>
      </c>
      <c r="U157" s="33">
        <f t="shared" si="52"/>
        <v>0</v>
      </c>
      <c r="V157" s="33">
        <f t="shared" si="53"/>
        <v>-0.99999998004737722</v>
      </c>
      <c r="W157" s="33">
        <f t="shared" si="54"/>
        <v>262.98320001995262</v>
      </c>
      <c r="X157" s="33">
        <v>96485</v>
      </c>
      <c r="Y157" s="16">
        <f t="shared" si="55"/>
        <v>-366.88654662180267</v>
      </c>
      <c r="Z157" s="16">
        <v>5</v>
      </c>
      <c r="AA157" s="16">
        <v>9</v>
      </c>
      <c r="AB157" s="8">
        <f t="shared" si="56"/>
        <v>0.35087719298245612</v>
      </c>
      <c r="AC157" s="16">
        <f t="shared" si="57"/>
        <v>64.776849435873189</v>
      </c>
      <c r="AD157" s="20">
        <f>'PFAS Properties'!$W$30</f>
        <v>4</v>
      </c>
      <c r="AE157" s="8">
        <f>'PFAS Properties'!$S$30</f>
        <v>5.2933625547114458</v>
      </c>
      <c r="AF157" s="2">
        <f>'PFAS Properties'!$V$30</f>
        <v>2.9</v>
      </c>
      <c r="AG157" s="24">
        <v>7.5</v>
      </c>
      <c r="AH157" s="2" t="s">
        <v>183</v>
      </c>
      <c r="AI157" s="2" t="s">
        <v>661</v>
      </c>
      <c r="AJ157" s="2" t="s">
        <v>661</v>
      </c>
      <c r="AK157" s="2" t="s">
        <v>661</v>
      </c>
      <c r="AL157" s="2" t="s">
        <v>661</v>
      </c>
      <c r="AM157" s="2" t="s">
        <v>661</v>
      </c>
      <c r="AN157" s="2" t="s">
        <v>661</v>
      </c>
      <c r="AO157" s="2" t="s">
        <v>661</v>
      </c>
      <c r="AP157" s="15">
        <v>2.2799999999999998</v>
      </c>
      <c r="AQ157" s="2" t="s">
        <v>661</v>
      </c>
      <c r="AR157" s="16">
        <v>93</v>
      </c>
      <c r="AS157" s="16">
        <v>1</v>
      </c>
      <c r="AT157" s="16">
        <v>5</v>
      </c>
      <c r="AU157" s="2" t="s">
        <v>661</v>
      </c>
      <c r="AV157" s="16">
        <f t="shared" si="78"/>
        <v>99</v>
      </c>
      <c r="AW157" s="18">
        <v>0.4</v>
      </c>
      <c r="AX157" s="13">
        <v>4.0000000000000001E-3</v>
      </c>
      <c r="AY157" s="8" t="s">
        <v>184</v>
      </c>
      <c r="AZ157" s="16">
        <v>100</v>
      </c>
      <c r="BA157" s="16" t="s">
        <v>55</v>
      </c>
      <c r="BB157" s="16">
        <v>5</v>
      </c>
      <c r="BC157" s="16" t="s">
        <v>55</v>
      </c>
      <c r="BD157" s="20">
        <v>0.04</v>
      </c>
      <c r="BE157" s="15">
        <f t="shared" si="59"/>
        <v>10</v>
      </c>
      <c r="BF157" s="8">
        <f t="shared" si="60"/>
        <v>1</v>
      </c>
      <c r="BG157" s="8">
        <f t="shared" si="61"/>
        <v>-1.3979400086720375</v>
      </c>
      <c r="BH157" s="13" t="s">
        <v>345</v>
      </c>
      <c r="BI157" s="2"/>
      <c r="BJ157" s="2"/>
      <c r="BK157" s="15"/>
      <c r="BL157" s="2"/>
      <c r="BM157" s="20"/>
      <c r="BN157" s="20"/>
      <c r="BO157" s="2"/>
    </row>
    <row r="158" spans="1:67" s="14" customFormat="1" x14ac:dyDescent="0.3">
      <c r="A158" s="20">
        <v>161</v>
      </c>
      <c r="B158" s="2" t="s">
        <v>181</v>
      </c>
      <c r="C158" s="2">
        <v>2020</v>
      </c>
      <c r="D158" s="2" t="s">
        <v>203</v>
      </c>
      <c r="E158" s="10" t="s">
        <v>787</v>
      </c>
      <c r="F158" s="20" t="s">
        <v>29</v>
      </c>
      <c r="G158" s="2" t="s">
        <v>78</v>
      </c>
      <c r="H158" s="2" t="str">
        <f>'PFAS Properties'!$B$30</f>
        <v>PFPeA</v>
      </c>
      <c r="I158" s="2" t="str">
        <f>'PFAS Properties'!$C$30</f>
        <v>PFCA</v>
      </c>
      <c r="J158" s="2" t="str">
        <f>'PFAS Properties'!$D$30</f>
        <v>C5HF9O2</v>
      </c>
      <c r="K158" s="25">
        <f>'PFAS Properties'!$P$30</f>
        <v>263.98320000000001</v>
      </c>
      <c r="L158" s="2">
        <f>'PFAS Properties'!$X$30</f>
        <v>-0.2</v>
      </c>
      <c r="M158" s="2" t="str">
        <f>'PFAS Properties'!$Y$30</f>
        <v>-</v>
      </c>
      <c r="N158" s="33">
        <v>0</v>
      </c>
      <c r="O158" s="33">
        <v>0</v>
      </c>
      <c r="P158" s="33">
        <v>0</v>
      </c>
      <c r="Q158" s="33">
        <f t="shared" si="64"/>
        <v>0.99999994988127916</v>
      </c>
      <c r="R158" s="33">
        <v>0</v>
      </c>
      <c r="S158" s="33">
        <f t="shared" si="65"/>
        <v>5.011872085084086E-8</v>
      </c>
      <c r="T158" s="8">
        <f t="shared" si="79"/>
        <v>1</v>
      </c>
      <c r="U158" s="33">
        <f t="shared" si="52"/>
        <v>0</v>
      </c>
      <c r="V158" s="33">
        <f t="shared" si="53"/>
        <v>-0.99999994988127916</v>
      </c>
      <c r="W158" s="33">
        <f t="shared" si="54"/>
        <v>262.98320005011874</v>
      </c>
      <c r="X158" s="33">
        <v>96485</v>
      </c>
      <c r="Y158" s="16">
        <f t="shared" si="55"/>
        <v>-366.88653551218226</v>
      </c>
      <c r="Z158" s="16">
        <v>5</v>
      </c>
      <c r="AA158" s="16">
        <v>9</v>
      </c>
      <c r="AB158" s="8">
        <f t="shared" si="56"/>
        <v>0.35087719298245612</v>
      </c>
      <c r="AC158" s="16">
        <f t="shared" si="57"/>
        <v>64.776849435873189</v>
      </c>
      <c r="AD158" s="20">
        <f>'PFAS Properties'!$W$30</f>
        <v>4</v>
      </c>
      <c r="AE158" s="8">
        <f>'PFAS Properties'!$S$30</f>
        <v>5.2933625547114458</v>
      </c>
      <c r="AF158" s="2">
        <f>'PFAS Properties'!$V$30</f>
        <v>2.9</v>
      </c>
      <c r="AG158" s="24">
        <v>7.1</v>
      </c>
      <c r="AH158" s="2" t="s">
        <v>183</v>
      </c>
      <c r="AI158" s="2" t="s">
        <v>661</v>
      </c>
      <c r="AJ158" s="2" t="s">
        <v>661</v>
      </c>
      <c r="AK158" s="2" t="s">
        <v>661</v>
      </c>
      <c r="AL158" s="2" t="s">
        <v>661</v>
      </c>
      <c r="AM158" s="2" t="s">
        <v>661</v>
      </c>
      <c r="AN158" s="2" t="s">
        <v>661</v>
      </c>
      <c r="AO158" s="2" t="s">
        <v>661</v>
      </c>
      <c r="AP158" s="15">
        <v>17.420000000000002</v>
      </c>
      <c r="AQ158" s="2" t="s">
        <v>661</v>
      </c>
      <c r="AR158" s="16">
        <v>48.86</v>
      </c>
      <c r="AS158" s="16">
        <v>16.05</v>
      </c>
      <c r="AT158" s="16">
        <v>35.090000000000003</v>
      </c>
      <c r="AU158" s="2" t="s">
        <v>661</v>
      </c>
      <c r="AV158" s="16">
        <f t="shared" si="78"/>
        <v>100</v>
      </c>
      <c r="AW158" s="18">
        <v>1.19</v>
      </c>
      <c r="AX158" s="13">
        <v>1.1899999999999999E-2</v>
      </c>
      <c r="AY158" s="8" t="s">
        <v>184</v>
      </c>
      <c r="AZ158" s="16">
        <v>100</v>
      </c>
      <c r="BA158" s="16" t="s">
        <v>55</v>
      </c>
      <c r="BB158" s="16">
        <v>5</v>
      </c>
      <c r="BC158" s="16" t="s">
        <v>55</v>
      </c>
      <c r="BD158" s="18">
        <v>0.2</v>
      </c>
      <c r="BE158" s="15">
        <f t="shared" si="59"/>
        <v>16.806722689075631</v>
      </c>
      <c r="BF158" s="8">
        <f t="shared" si="60"/>
        <v>1.2254830342714504</v>
      </c>
      <c r="BG158" s="8">
        <f t="shared" si="61"/>
        <v>-0.69897000433601875</v>
      </c>
      <c r="BH158" s="13" t="s">
        <v>345</v>
      </c>
      <c r="BI158" s="2"/>
      <c r="BJ158" s="2"/>
      <c r="BK158" s="15"/>
      <c r="BL158" s="2"/>
      <c r="BM158" s="20"/>
      <c r="BN158" s="20"/>
      <c r="BO158" s="2"/>
    </row>
    <row r="159" spans="1:67" s="14" customFormat="1" x14ac:dyDescent="0.3">
      <c r="A159" s="20">
        <v>162</v>
      </c>
      <c r="B159" s="2" t="s">
        <v>181</v>
      </c>
      <c r="C159" s="2">
        <v>2020</v>
      </c>
      <c r="D159" s="2" t="s">
        <v>203</v>
      </c>
      <c r="E159" s="10" t="s">
        <v>787</v>
      </c>
      <c r="F159" s="20" t="s">
        <v>29</v>
      </c>
      <c r="G159" s="2" t="s">
        <v>98</v>
      </c>
      <c r="H159" s="2" t="str">
        <f>'PFAS Properties'!$B$30</f>
        <v>PFPeA</v>
      </c>
      <c r="I159" s="2" t="str">
        <f>'PFAS Properties'!$C$30</f>
        <v>PFCA</v>
      </c>
      <c r="J159" s="2" t="str">
        <f>'PFAS Properties'!$D$30</f>
        <v>C5HF9O2</v>
      </c>
      <c r="K159" s="25">
        <f>'PFAS Properties'!$P$30</f>
        <v>263.98320000000001</v>
      </c>
      <c r="L159" s="2">
        <f>'PFAS Properties'!$X$30</f>
        <v>-0.2</v>
      </c>
      <c r="M159" s="2" t="str">
        <f>'PFAS Properties'!$Y$30</f>
        <v>-</v>
      </c>
      <c r="N159" s="33">
        <v>0</v>
      </c>
      <c r="O159" s="33">
        <v>0</v>
      </c>
      <c r="P159" s="33">
        <v>0</v>
      </c>
      <c r="Q159" s="33">
        <f t="shared" si="64"/>
        <v>0.99999974881141995</v>
      </c>
      <c r="R159" s="33">
        <v>0</v>
      </c>
      <c r="S159" s="33">
        <f t="shared" si="65"/>
        <v>2.5118858005523878E-7</v>
      </c>
      <c r="T159" s="8">
        <f t="shared" si="79"/>
        <v>1</v>
      </c>
      <c r="U159" s="33">
        <f t="shared" si="52"/>
        <v>0</v>
      </c>
      <c r="V159" s="33">
        <f t="shared" si="53"/>
        <v>-0.99999974881141995</v>
      </c>
      <c r="W159" s="33">
        <f t="shared" si="54"/>
        <v>262.98320025118858</v>
      </c>
      <c r="X159" s="33">
        <v>96485</v>
      </c>
      <c r="Y159" s="16">
        <f t="shared" si="55"/>
        <v>-366.88646146184306</v>
      </c>
      <c r="Z159" s="16">
        <v>5</v>
      </c>
      <c r="AA159" s="16">
        <v>9</v>
      </c>
      <c r="AB159" s="8">
        <f t="shared" si="56"/>
        <v>0.35087719298245612</v>
      </c>
      <c r="AC159" s="16">
        <f t="shared" si="57"/>
        <v>64.776849435873189</v>
      </c>
      <c r="AD159" s="20">
        <f>'PFAS Properties'!$W$30</f>
        <v>4</v>
      </c>
      <c r="AE159" s="8">
        <f>'PFAS Properties'!$S$30</f>
        <v>5.2933625547114458</v>
      </c>
      <c r="AF159" s="2">
        <f>'PFAS Properties'!$V$30</f>
        <v>2.9</v>
      </c>
      <c r="AG159" s="24">
        <v>6.4</v>
      </c>
      <c r="AH159" s="2" t="s">
        <v>183</v>
      </c>
      <c r="AI159" s="2" t="s">
        <v>661</v>
      </c>
      <c r="AJ159" s="2" t="s">
        <v>661</v>
      </c>
      <c r="AK159" s="2" t="s">
        <v>661</v>
      </c>
      <c r="AL159" s="2" t="s">
        <v>661</v>
      </c>
      <c r="AM159" s="2" t="s">
        <v>661</v>
      </c>
      <c r="AN159" s="2" t="s">
        <v>661</v>
      </c>
      <c r="AO159" s="2" t="s">
        <v>661</v>
      </c>
      <c r="AP159" s="15">
        <v>16.54</v>
      </c>
      <c r="AQ159" s="2" t="s">
        <v>661</v>
      </c>
      <c r="AR159" s="16">
        <v>29.38</v>
      </c>
      <c r="AS159" s="16">
        <v>13.9</v>
      </c>
      <c r="AT159" s="16">
        <v>56.71</v>
      </c>
      <c r="AU159" s="2" t="s">
        <v>661</v>
      </c>
      <c r="AV159" s="16">
        <f t="shared" si="78"/>
        <v>99.990000000000009</v>
      </c>
      <c r="AW159" s="18">
        <v>0.17</v>
      </c>
      <c r="AX159" s="13">
        <v>1.7000000000000001E-3</v>
      </c>
      <c r="AY159" s="8" t="s">
        <v>184</v>
      </c>
      <c r="AZ159" s="16">
        <v>100</v>
      </c>
      <c r="BA159" s="16" t="s">
        <v>55</v>
      </c>
      <c r="BB159" s="16">
        <v>5</v>
      </c>
      <c r="BC159" s="16" t="s">
        <v>55</v>
      </c>
      <c r="BD159" s="20">
        <v>0.28000000000000003</v>
      </c>
      <c r="BE159" s="15">
        <f t="shared" si="59"/>
        <v>164.70588235294119</v>
      </c>
      <c r="BF159" s="8">
        <f t="shared" si="60"/>
        <v>2.2167091099639453</v>
      </c>
      <c r="BG159" s="8">
        <f t="shared" si="61"/>
        <v>-0.55284196865778079</v>
      </c>
      <c r="BH159" s="13" t="s">
        <v>345</v>
      </c>
      <c r="BI159" s="2"/>
      <c r="BJ159" s="2"/>
      <c r="BK159" s="15"/>
      <c r="BL159" s="2"/>
      <c r="BM159" s="20"/>
      <c r="BN159" s="20"/>
      <c r="BO159" s="2"/>
    </row>
    <row r="160" spans="1:67" s="14" customFormat="1" x14ac:dyDescent="0.3">
      <c r="A160" s="20">
        <v>163</v>
      </c>
      <c r="B160" s="2" t="s">
        <v>202</v>
      </c>
      <c r="C160" s="2">
        <v>2019</v>
      </c>
      <c r="D160" s="2" t="s">
        <v>199</v>
      </c>
      <c r="E160" s="10" t="s">
        <v>791</v>
      </c>
      <c r="F160" s="20" t="s">
        <v>29</v>
      </c>
      <c r="G160" s="2" t="s">
        <v>39</v>
      </c>
      <c r="H160" s="2" t="str">
        <f>'PFAS Properties'!$B$31</f>
        <v>PFHxA</v>
      </c>
      <c r="I160" s="2" t="str">
        <f>'PFAS Properties'!$C$31</f>
        <v>PFCA</v>
      </c>
      <c r="J160" s="2" t="str">
        <f>'PFAS Properties'!$D$31</f>
        <v>C6HF11O2</v>
      </c>
      <c r="K160" s="25">
        <f>'PFAS Properties'!$P$31</f>
        <v>313.97999999999996</v>
      </c>
      <c r="L160" s="2">
        <f>'PFAS Properties'!$X$31</f>
        <v>-0.2</v>
      </c>
      <c r="M160" s="2" t="str">
        <f>'PFAS Properties'!$Y$31</f>
        <v>-</v>
      </c>
      <c r="N160" s="33">
        <v>0</v>
      </c>
      <c r="O160" s="33">
        <v>0</v>
      </c>
      <c r="P160" s="33">
        <v>0</v>
      </c>
      <c r="Q160" s="33">
        <f t="shared" si="64"/>
        <v>0.9999964518786969</v>
      </c>
      <c r="R160" s="33">
        <v>0</v>
      </c>
      <c r="S160" s="33">
        <f t="shared" si="65"/>
        <v>3.5481213031263005E-6</v>
      </c>
      <c r="T160" s="8">
        <f t="shared" si="79"/>
        <v>1</v>
      </c>
      <c r="U160" s="33">
        <f t="shared" si="52"/>
        <v>0</v>
      </c>
      <c r="V160" s="33">
        <f t="shared" si="53"/>
        <v>-0.9999964518786969</v>
      </c>
      <c r="W160" s="33">
        <f t="shared" si="54"/>
        <v>312.98000354812132</v>
      </c>
      <c r="X160" s="33">
        <v>96485</v>
      </c>
      <c r="Y160" s="16">
        <f t="shared" si="55"/>
        <v>-308.27738694392775</v>
      </c>
      <c r="Z160" s="16">
        <v>6</v>
      </c>
      <c r="AA160" s="16">
        <v>11</v>
      </c>
      <c r="AB160" s="8">
        <f t="shared" si="56"/>
        <v>0.34449760765550236</v>
      </c>
      <c r="AC160" s="16">
        <f t="shared" si="57"/>
        <v>66.564749347092175</v>
      </c>
      <c r="AD160" s="20">
        <f>'PFAS Properties'!$W$31</f>
        <v>5</v>
      </c>
      <c r="AE160" s="8">
        <f>'PFAS Properties'!$S$31</f>
        <v>4.4332896851950254</v>
      </c>
      <c r="AF160" s="15">
        <f>'PFAS Properties'!$V$31</f>
        <v>3.6</v>
      </c>
      <c r="AG160" s="24">
        <v>5.25</v>
      </c>
      <c r="AH160" s="2" t="s">
        <v>661</v>
      </c>
      <c r="AI160" s="2" t="s">
        <v>661</v>
      </c>
      <c r="AJ160" s="2" t="s">
        <v>661</v>
      </c>
      <c r="AK160" s="2" t="s">
        <v>661</v>
      </c>
      <c r="AL160" s="2" t="s">
        <v>661</v>
      </c>
      <c r="AM160" s="2" t="s">
        <v>661</v>
      </c>
      <c r="AN160" s="2" t="s">
        <v>661</v>
      </c>
      <c r="AO160" s="2" t="s">
        <v>661</v>
      </c>
      <c r="AP160" s="72">
        <v>5.7023166666666656</v>
      </c>
      <c r="AQ160" s="70" t="s">
        <v>752</v>
      </c>
      <c r="AR160" s="16">
        <v>100</v>
      </c>
      <c r="AS160" s="16">
        <v>0</v>
      </c>
      <c r="AT160" s="16">
        <v>0</v>
      </c>
      <c r="AU160" s="2" t="s">
        <v>661</v>
      </c>
      <c r="AV160" s="16">
        <f t="shared" si="78"/>
        <v>100</v>
      </c>
      <c r="AW160" s="18">
        <v>0.4</v>
      </c>
      <c r="AX160" s="13">
        <f t="shared" ref="AX160:AX175" si="80">AW160/100</f>
        <v>4.0000000000000001E-3</v>
      </c>
      <c r="AY160" s="13" t="s">
        <v>658</v>
      </c>
      <c r="AZ160" s="16">
        <f>2/0.01</f>
        <v>200</v>
      </c>
      <c r="BA160" s="16" t="s">
        <v>55</v>
      </c>
      <c r="BB160" s="16">
        <v>1</v>
      </c>
      <c r="BC160" s="16">
        <v>1000</v>
      </c>
      <c r="BD160" s="18">
        <v>0.28000000000000003</v>
      </c>
      <c r="BE160" s="15">
        <f t="shared" si="59"/>
        <v>70</v>
      </c>
      <c r="BF160" s="8">
        <f t="shared" si="60"/>
        <v>1.8450980400142569</v>
      </c>
      <c r="BG160" s="8">
        <f t="shared" si="61"/>
        <v>-0.55284196865778079</v>
      </c>
      <c r="BH160" s="2" t="s">
        <v>605</v>
      </c>
      <c r="BI160" s="13"/>
      <c r="BJ160" s="13"/>
      <c r="BK160" s="15"/>
      <c r="BL160" s="13"/>
      <c r="BM160" s="17"/>
      <c r="BN160" s="17"/>
      <c r="BO160" s="2"/>
    </row>
    <row r="161" spans="1:67" s="14" customFormat="1" x14ac:dyDescent="0.3">
      <c r="A161" s="20">
        <v>164</v>
      </c>
      <c r="B161" s="2" t="s">
        <v>202</v>
      </c>
      <c r="C161" s="2">
        <v>2019</v>
      </c>
      <c r="D161" s="2" t="s">
        <v>199</v>
      </c>
      <c r="E161" s="10" t="s">
        <v>791</v>
      </c>
      <c r="F161" s="20" t="s">
        <v>29</v>
      </c>
      <c r="G161" s="2" t="s">
        <v>43</v>
      </c>
      <c r="H161" s="2" t="str">
        <f>'PFAS Properties'!$B$31</f>
        <v>PFHxA</v>
      </c>
      <c r="I161" s="2" t="str">
        <f>'PFAS Properties'!$C$31</f>
        <v>PFCA</v>
      </c>
      <c r="J161" s="2" t="str">
        <f>'PFAS Properties'!$D$31</f>
        <v>C6HF11O2</v>
      </c>
      <c r="K161" s="25">
        <f>'PFAS Properties'!$P$31</f>
        <v>313.97999999999996</v>
      </c>
      <c r="L161" s="2">
        <f>'PFAS Properties'!$X$31</f>
        <v>-0.2</v>
      </c>
      <c r="M161" s="2" t="str">
        <f>'PFAS Properties'!$Y$31</f>
        <v>-</v>
      </c>
      <c r="N161" s="33">
        <v>0</v>
      </c>
      <c r="O161" s="33">
        <v>0</v>
      </c>
      <c r="P161" s="33">
        <v>0</v>
      </c>
      <c r="Q161" s="33">
        <f t="shared" si="64"/>
        <v>0.99999865103893715</v>
      </c>
      <c r="R161" s="33">
        <v>0</v>
      </c>
      <c r="S161" s="33">
        <f t="shared" si="65"/>
        <v>1.3489610628932487E-6</v>
      </c>
      <c r="T161" s="8">
        <f t="shared" si="79"/>
        <v>1</v>
      </c>
      <c r="U161" s="33">
        <f t="shared" si="52"/>
        <v>0</v>
      </c>
      <c r="V161" s="33">
        <f t="shared" si="53"/>
        <v>-0.99999865103893715</v>
      </c>
      <c r="W161" s="33">
        <f t="shared" si="54"/>
        <v>312.98000134896103</v>
      </c>
      <c r="X161" s="33">
        <v>96485</v>
      </c>
      <c r="Y161" s="16">
        <f t="shared" si="55"/>
        <v>-308.27806706382756</v>
      </c>
      <c r="Z161" s="16">
        <v>6</v>
      </c>
      <c r="AA161" s="16">
        <v>11</v>
      </c>
      <c r="AB161" s="8">
        <f t="shared" si="56"/>
        <v>0.34449760765550236</v>
      </c>
      <c r="AC161" s="16">
        <f t="shared" si="57"/>
        <v>66.564749347092175</v>
      </c>
      <c r="AD161" s="20">
        <f>'PFAS Properties'!$W$31</f>
        <v>5</v>
      </c>
      <c r="AE161" s="8">
        <f>'PFAS Properties'!$S$31</f>
        <v>4.4332896851950254</v>
      </c>
      <c r="AF161" s="15">
        <f>'PFAS Properties'!$V$31</f>
        <v>3.6</v>
      </c>
      <c r="AG161" s="24">
        <v>5.67</v>
      </c>
      <c r="AH161" s="2" t="s">
        <v>661</v>
      </c>
      <c r="AI161" s="15" t="s">
        <v>661</v>
      </c>
      <c r="AJ161" s="16" t="s">
        <v>661</v>
      </c>
      <c r="AK161" s="2" t="s">
        <v>661</v>
      </c>
      <c r="AL161" s="15" t="s">
        <v>661</v>
      </c>
      <c r="AM161" s="16" t="s">
        <v>661</v>
      </c>
      <c r="AN161" s="2" t="s">
        <v>661</v>
      </c>
      <c r="AO161" s="2" t="s">
        <v>661</v>
      </c>
      <c r="AP161" s="72">
        <v>9.2037666666666649</v>
      </c>
      <c r="AQ161" s="70" t="s">
        <v>752</v>
      </c>
      <c r="AR161" s="16">
        <v>71</v>
      </c>
      <c r="AS161" s="16">
        <v>24</v>
      </c>
      <c r="AT161" s="16">
        <v>5</v>
      </c>
      <c r="AU161" s="2" t="s">
        <v>661</v>
      </c>
      <c r="AV161" s="16">
        <f t="shared" si="78"/>
        <v>100</v>
      </c>
      <c r="AW161" s="18">
        <v>0.93</v>
      </c>
      <c r="AX161" s="13">
        <f t="shared" si="80"/>
        <v>9.300000000000001E-3</v>
      </c>
      <c r="AY161" s="13" t="s">
        <v>658</v>
      </c>
      <c r="AZ161" s="16">
        <f>2/0.01</f>
        <v>200</v>
      </c>
      <c r="BA161" s="16" t="s">
        <v>55</v>
      </c>
      <c r="BB161" s="16">
        <v>1</v>
      </c>
      <c r="BC161" s="16">
        <v>1000</v>
      </c>
      <c r="BD161" s="18">
        <v>0.38</v>
      </c>
      <c r="BE161" s="15">
        <f t="shared" si="59"/>
        <v>40.86021505376344</v>
      </c>
      <c r="BF161" s="8">
        <f t="shared" si="60"/>
        <v>1.6113006480628751</v>
      </c>
      <c r="BG161" s="8">
        <f t="shared" si="61"/>
        <v>-0.42021640338318983</v>
      </c>
      <c r="BH161" s="2" t="s">
        <v>605</v>
      </c>
      <c r="BI161" s="13"/>
      <c r="BJ161" s="13"/>
      <c r="BK161" s="15"/>
      <c r="BL161" s="13"/>
      <c r="BM161" s="17"/>
      <c r="BN161" s="17"/>
      <c r="BO161" s="2"/>
    </row>
    <row r="162" spans="1:67" s="14" customFormat="1" x14ac:dyDescent="0.3">
      <c r="A162" s="20">
        <v>165</v>
      </c>
      <c r="B162" s="2" t="s">
        <v>204</v>
      </c>
      <c r="C162" s="2">
        <v>2013</v>
      </c>
      <c r="D162" s="2" t="s">
        <v>203</v>
      </c>
      <c r="E162" s="10" t="s">
        <v>792</v>
      </c>
      <c r="F162" s="20" t="s">
        <v>29</v>
      </c>
      <c r="G162" s="2" t="s">
        <v>46</v>
      </c>
      <c r="H162" s="2" t="str">
        <f>'PFAS Properties'!$B$31</f>
        <v>PFHxA</v>
      </c>
      <c r="I162" s="2" t="str">
        <f>'PFAS Properties'!$C$31</f>
        <v>PFCA</v>
      </c>
      <c r="J162" s="2" t="str">
        <f>'PFAS Properties'!$D$31</f>
        <v>C6HF11O2</v>
      </c>
      <c r="K162" s="25">
        <f>'PFAS Properties'!$P$31</f>
        <v>313.97999999999996</v>
      </c>
      <c r="L162" s="2">
        <f>'PFAS Properties'!$X$31</f>
        <v>-0.2</v>
      </c>
      <c r="M162" s="2" t="str">
        <f>'PFAS Properties'!$Y$31</f>
        <v>-</v>
      </c>
      <c r="N162" s="33">
        <v>0</v>
      </c>
      <c r="O162" s="33">
        <v>0</v>
      </c>
      <c r="P162" s="33">
        <v>0</v>
      </c>
      <c r="Q162" s="33">
        <f t="shared" si="64"/>
        <v>0.99999949881301753</v>
      </c>
      <c r="R162" s="33">
        <v>0</v>
      </c>
      <c r="S162" s="33">
        <f t="shared" si="65"/>
        <v>5.0118698243875488E-7</v>
      </c>
      <c r="T162" s="8">
        <f t="shared" si="79"/>
        <v>1</v>
      </c>
      <c r="U162" s="33">
        <f t="shared" si="52"/>
        <v>0</v>
      </c>
      <c r="V162" s="33">
        <f t="shared" si="53"/>
        <v>-0.99999949881301753</v>
      </c>
      <c r="W162" s="33">
        <f t="shared" si="54"/>
        <v>312.98000050118696</v>
      </c>
      <c r="X162" s="33">
        <v>96485</v>
      </c>
      <c r="Y162" s="16">
        <f t="shared" si="55"/>
        <v>-308.27832924937348</v>
      </c>
      <c r="Z162" s="16">
        <v>6</v>
      </c>
      <c r="AA162" s="16">
        <v>11</v>
      </c>
      <c r="AB162" s="8">
        <f t="shared" si="56"/>
        <v>0.34449760765550236</v>
      </c>
      <c r="AC162" s="16">
        <f t="shared" si="57"/>
        <v>66.564749347092175</v>
      </c>
      <c r="AD162" s="20">
        <f>'PFAS Properties'!$W$31</f>
        <v>5</v>
      </c>
      <c r="AE162" s="8">
        <f>'PFAS Properties'!$S$31</f>
        <v>4.4332896851950254</v>
      </c>
      <c r="AF162" s="15">
        <f>'PFAS Properties'!$V$31</f>
        <v>3.6</v>
      </c>
      <c r="AG162" s="24">
        <v>6.1</v>
      </c>
      <c r="AH162" s="2" t="s">
        <v>661</v>
      </c>
      <c r="AI162" s="15">
        <v>2.21</v>
      </c>
      <c r="AJ162" s="16">
        <f>AI162*1000/55.845</f>
        <v>39.573820395738203</v>
      </c>
      <c r="AK162" s="8">
        <f>AI162/10</f>
        <v>0.221</v>
      </c>
      <c r="AL162" s="15">
        <v>0.93</v>
      </c>
      <c r="AM162" s="16">
        <f>AL162*1000/26.98</f>
        <v>34.469977761304669</v>
      </c>
      <c r="AN162" s="8">
        <f>AL162/10</f>
        <v>9.2999999999999999E-2</v>
      </c>
      <c r="AO162" s="15" t="s">
        <v>41</v>
      </c>
      <c r="AP162" s="72">
        <v>14.27683666666667</v>
      </c>
      <c r="AQ162" s="2" t="s">
        <v>752</v>
      </c>
      <c r="AR162" s="16">
        <v>81</v>
      </c>
      <c r="AS162" s="16">
        <v>1</v>
      </c>
      <c r="AT162" s="16">
        <v>9</v>
      </c>
      <c r="AU162" s="16" t="s">
        <v>661</v>
      </c>
      <c r="AV162" s="16">
        <f t="shared" si="78"/>
        <v>91</v>
      </c>
      <c r="AW162" s="18">
        <v>1.7</v>
      </c>
      <c r="AX162" s="13">
        <f t="shared" si="80"/>
        <v>1.7000000000000001E-2</v>
      </c>
      <c r="AY162" s="13" t="s">
        <v>42</v>
      </c>
      <c r="AZ162" s="16">
        <f>15/0.04</f>
        <v>375</v>
      </c>
      <c r="BA162" s="16" t="s">
        <v>55</v>
      </c>
      <c r="BB162" s="15">
        <v>0.5</v>
      </c>
      <c r="BC162" s="16">
        <v>1000</v>
      </c>
      <c r="BD162" s="18">
        <v>0.24</v>
      </c>
      <c r="BE162" s="15">
        <f t="shared" si="59"/>
        <v>14.117647058823527</v>
      </c>
      <c r="BF162" s="8">
        <f t="shared" si="60"/>
        <v>1.149762320333332</v>
      </c>
      <c r="BG162" s="8">
        <f t="shared" si="61"/>
        <v>-0.61978875828839397</v>
      </c>
      <c r="BH162" s="13" t="s">
        <v>844</v>
      </c>
      <c r="BI162" s="13"/>
      <c r="BJ162" s="13"/>
      <c r="BK162" s="15"/>
      <c r="BL162" s="8"/>
      <c r="BM162" s="18"/>
      <c r="BN162" s="8"/>
      <c r="BO162" s="24"/>
    </row>
    <row r="163" spans="1:67" s="14" customFormat="1" x14ac:dyDescent="0.3">
      <c r="A163" s="20">
        <v>166</v>
      </c>
      <c r="B163" s="2" t="s">
        <v>204</v>
      </c>
      <c r="C163" s="2">
        <v>2013</v>
      </c>
      <c r="D163" s="2" t="s">
        <v>203</v>
      </c>
      <c r="E163" s="10" t="s">
        <v>792</v>
      </c>
      <c r="F163" s="20" t="s">
        <v>29</v>
      </c>
      <c r="G163" s="2" t="s">
        <v>50</v>
      </c>
      <c r="H163" s="2" t="str">
        <f>'PFAS Properties'!$B$31</f>
        <v>PFHxA</v>
      </c>
      <c r="I163" s="2" t="str">
        <f>'PFAS Properties'!$C$31</f>
        <v>PFCA</v>
      </c>
      <c r="J163" s="2" t="str">
        <f>'PFAS Properties'!$D$31</f>
        <v>C6HF11O2</v>
      </c>
      <c r="K163" s="25">
        <f>'PFAS Properties'!$P$31</f>
        <v>313.97999999999996</v>
      </c>
      <c r="L163" s="2">
        <f>'PFAS Properties'!$X$31</f>
        <v>-0.2</v>
      </c>
      <c r="M163" s="2" t="str">
        <f>'PFAS Properties'!$Y$31</f>
        <v>-</v>
      </c>
      <c r="N163" s="33">
        <v>0</v>
      </c>
      <c r="O163" s="33">
        <v>0</v>
      </c>
      <c r="P163" s="33">
        <v>0</v>
      </c>
      <c r="Q163" s="33">
        <f t="shared" si="64"/>
        <v>0.99999999000000006</v>
      </c>
      <c r="R163" s="33">
        <v>0</v>
      </c>
      <c r="S163" s="33">
        <f t="shared" si="65"/>
        <v>9.9999999000000002E-9</v>
      </c>
      <c r="T163" s="8">
        <f t="shared" si="79"/>
        <v>1</v>
      </c>
      <c r="U163" s="33">
        <f t="shared" si="52"/>
        <v>0</v>
      </c>
      <c r="V163" s="33">
        <f t="shared" si="53"/>
        <v>-0.99999999000000006</v>
      </c>
      <c r="W163" s="33">
        <f t="shared" si="54"/>
        <v>312.98000000999991</v>
      </c>
      <c r="X163" s="33">
        <v>96485</v>
      </c>
      <c r="Y163" s="16">
        <f t="shared" si="55"/>
        <v>-308.27848115556026</v>
      </c>
      <c r="Z163" s="16">
        <v>6</v>
      </c>
      <c r="AA163" s="16">
        <v>11</v>
      </c>
      <c r="AB163" s="8">
        <f t="shared" si="56"/>
        <v>0.34449760765550236</v>
      </c>
      <c r="AC163" s="16">
        <f t="shared" si="57"/>
        <v>66.564749347092175</v>
      </c>
      <c r="AD163" s="20">
        <f>'PFAS Properties'!$W$31</f>
        <v>5</v>
      </c>
      <c r="AE163" s="8">
        <f>'PFAS Properties'!$S$31</f>
        <v>4.4332896851950254</v>
      </c>
      <c r="AF163" s="15">
        <f>'PFAS Properties'!$V$31</f>
        <v>3.6</v>
      </c>
      <c r="AG163" s="24">
        <v>7.8</v>
      </c>
      <c r="AH163" s="2" t="s">
        <v>661</v>
      </c>
      <c r="AI163" s="15">
        <v>6.14</v>
      </c>
      <c r="AJ163" s="16">
        <f>AI163/10</f>
        <v>0.61399999999999999</v>
      </c>
      <c r="AK163" s="8">
        <f>AI163/10</f>
        <v>0.61399999999999999</v>
      </c>
      <c r="AL163" s="15">
        <v>1.67</v>
      </c>
      <c r="AM163" s="15">
        <f>AL163/10</f>
        <v>0.16699999999999998</v>
      </c>
      <c r="AN163" s="8">
        <f>AL163/10</f>
        <v>0.16699999999999998</v>
      </c>
      <c r="AO163" s="15" t="s">
        <v>41</v>
      </c>
      <c r="AP163" s="72">
        <v>6.4956666666666676</v>
      </c>
      <c r="AQ163" s="2" t="s">
        <v>752</v>
      </c>
      <c r="AR163" s="16">
        <v>33</v>
      </c>
      <c r="AS163" s="16">
        <v>42</v>
      </c>
      <c r="AT163" s="16">
        <v>25</v>
      </c>
      <c r="AU163" s="16" t="s">
        <v>661</v>
      </c>
      <c r="AV163" s="16">
        <f t="shared" si="78"/>
        <v>100</v>
      </c>
      <c r="AW163" s="18">
        <v>4.5</v>
      </c>
      <c r="AX163" s="13">
        <f t="shared" si="80"/>
        <v>4.4999999999999998E-2</v>
      </c>
      <c r="AY163" s="13" t="s">
        <v>42</v>
      </c>
      <c r="AZ163" s="16">
        <f>15/0.04</f>
        <v>375</v>
      </c>
      <c r="BA163" s="16" t="s">
        <v>55</v>
      </c>
      <c r="BB163" s="15">
        <v>0.5</v>
      </c>
      <c r="BC163" s="16">
        <v>1000</v>
      </c>
      <c r="BD163" s="18">
        <v>0.36</v>
      </c>
      <c r="BE163" s="15">
        <f t="shared" si="59"/>
        <v>8</v>
      </c>
      <c r="BF163" s="8">
        <f t="shared" si="60"/>
        <v>0.90308998699194354</v>
      </c>
      <c r="BG163" s="8">
        <f t="shared" si="61"/>
        <v>-0.44369749923271273</v>
      </c>
      <c r="BH163" s="13" t="s">
        <v>844</v>
      </c>
      <c r="BI163" s="13"/>
      <c r="BJ163" s="13"/>
      <c r="BK163" s="15"/>
      <c r="BL163" s="8"/>
      <c r="BM163" s="18"/>
      <c r="BN163" s="8"/>
      <c r="BO163" s="24"/>
    </row>
    <row r="164" spans="1:67" s="14" customFormat="1" x14ac:dyDescent="0.3">
      <c r="A164" s="20">
        <v>167</v>
      </c>
      <c r="B164" s="2" t="s">
        <v>204</v>
      </c>
      <c r="C164" s="2">
        <v>2013</v>
      </c>
      <c r="D164" s="2" t="s">
        <v>203</v>
      </c>
      <c r="E164" s="10" t="s">
        <v>792</v>
      </c>
      <c r="F164" s="20" t="s">
        <v>29</v>
      </c>
      <c r="G164" s="2" t="s">
        <v>40</v>
      </c>
      <c r="H164" s="2" t="str">
        <f>'PFAS Properties'!$B$31</f>
        <v>PFHxA</v>
      </c>
      <c r="I164" s="2" t="str">
        <f>'PFAS Properties'!$C$31</f>
        <v>PFCA</v>
      </c>
      <c r="J164" s="2" t="str">
        <f>'PFAS Properties'!$D$31</f>
        <v>C6HF11O2</v>
      </c>
      <c r="K164" s="25">
        <f>'PFAS Properties'!$P$31</f>
        <v>313.97999999999996</v>
      </c>
      <c r="L164" s="2">
        <f>'PFAS Properties'!$X$31</f>
        <v>-0.2</v>
      </c>
      <c r="M164" s="2" t="str">
        <f>'PFAS Properties'!$Y$31</f>
        <v>-</v>
      </c>
      <c r="N164" s="33">
        <v>0</v>
      </c>
      <c r="O164" s="33">
        <v>0</v>
      </c>
      <c r="P164" s="33">
        <v>0</v>
      </c>
      <c r="Q164" s="33">
        <f t="shared" si="64"/>
        <v>0.99999601894414336</v>
      </c>
      <c r="R164" s="33">
        <v>0</v>
      </c>
      <c r="S164" s="33">
        <f t="shared" si="65"/>
        <v>3.981055856666137E-6</v>
      </c>
      <c r="T164" s="8">
        <f t="shared" si="79"/>
        <v>1</v>
      </c>
      <c r="U164" s="33">
        <f t="shared" si="52"/>
        <v>0</v>
      </c>
      <c r="V164" s="33">
        <f t="shared" si="53"/>
        <v>-0.99999601894414336</v>
      </c>
      <c r="W164" s="33">
        <f t="shared" si="54"/>
        <v>312.98000398105586</v>
      </c>
      <c r="X164" s="33">
        <v>96485</v>
      </c>
      <c r="Y164" s="16">
        <f t="shared" si="55"/>
        <v>-308.27725305309195</v>
      </c>
      <c r="Z164" s="16">
        <v>6</v>
      </c>
      <c r="AA164" s="16">
        <v>11</v>
      </c>
      <c r="AB164" s="8">
        <f t="shared" si="56"/>
        <v>0.34449760765550236</v>
      </c>
      <c r="AC164" s="16">
        <f t="shared" si="57"/>
        <v>66.564749347092175</v>
      </c>
      <c r="AD164" s="20">
        <f>'PFAS Properties'!$W$31</f>
        <v>5</v>
      </c>
      <c r="AE164" s="8">
        <f>'PFAS Properties'!$S$31</f>
        <v>4.4332896851950254</v>
      </c>
      <c r="AF164" s="15">
        <f>'PFAS Properties'!$V$31</f>
        <v>3.6</v>
      </c>
      <c r="AG164" s="24">
        <v>5.2</v>
      </c>
      <c r="AH164" s="2" t="s">
        <v>661</v>
      </c>
      <c r="AI164" s="15">
        <v>24.17</v>
      </c>
      <c r="AJ164" s="16">
        <f>AI164*1000/55.845</f>
        <v>432.80508550452146</v>
      </c>
      <c r="AK164" s="8">
        <f>AI164/10</f>
        <v>2.4170000000000003</v>
      </c>
      <c r="AL164" s="15">
        <v>3.99</v>
      </c>
      <c r="AM164" s="16">
        <f>AL164*1000/26.98</f>
        <v>147.88732394366198</v>
      </c>
      <c r="AN164" s="8">
        <f>AL164/10</f>
        <v>0.39900000000000002</v>
      </c>
      <c r="AO164" s="15" t="s">
        <v>41</v>
      </c>
      <c r="AP164" s="72">
        <v>12.009766666666669</v>
      </c>
      <c r="AQ164" s="2" t="s">
        <v>752</v>
      </c>
      <c r="AR164" s="16">
        <v>47</v>
      </c>
      <c r="AS164" s="16">
        <v>20</v>
      </c>
      <c r="AT164" s="16">
        <v>33</v>
      </c>
      <c r="AU164" s="16" t="s">
        <v>661</v>
      </c>
      <c r="AV164" s="16">
        <f t="shared" si="78"/>
        <v>100</v>
      </c>
      <c r="AW164" s="18">
        <v>0.8</v>
      </c>
      <c r="AX164" s="13">
        <f t="shared" si="80"/>
        <v>8.0000000000000002E-3</v>
      </c>
      <c r="AY164" s="13" t="s">
        <v>42</v>
      </c>
      <c r="AZ164" s="16">
        <f>15/0.04</f>
        <v>375</v>
      </c>
      <c r="BA164" s="16" t="s">
        <v>55</v>
      </c>
      <c r="BB164" s="15">
        <v>0.5</v>
      </c>
      <c r="BC164" s="16">
        <v>1000</v>
      </c>
      <c r="BD164" s="18">
        <v>0.53</v>
      </c>
      <c r="BE164" s="15">
        <f t="shared" si="59"/>
        <v>66.25</v>
      </c>
      <c r="BF164" s="8">
        <f t="shared" si="60"/>
        <v>1.8211858826088454</v>
      </c>
      <c r="BG164" s="8">
        <f t="shared" si="61"/>
        <v>-0.27572413039921095</v>
      </c>
      <c r="BH164" s="13" t="s">
        <v>844</v>
      </c>
      <c r="BI164" s="13"/>
      <c r="BJ164" s="13"/>
      <c r="BK164" s="15"/>
      <c r="BL164" s="8"/>
      <c r="BM164" s="18"/>
      <c r="BN164" s="8"/>
      <c r="BO164" s="24"/>
    </row>
    <row r="165" spans="1:67" s="14" customFormat="1" x14ac:dyDescent="0.3">
      <c r="A165" s="20">
        <v>168</v>
      </c>
      <c r="B165" s="2" t="s">
        <v>206</v>
      </c>
      <c r="C165" s="2">
        <v>2020</v>
      </c>
      <c r="D165" s="2" t="s">
        <v>201</v>
      </c>
      <c r="E165" s="10" t="s">
        <v>793</v>
      </c>
      <c r="F165" s="20" t="s">
        <v>29</v>
      </c>
      <c r="G165" s="2" t="s">
        <v>44</v>
      </c>
      <c r="H165" s="2" t="str">
        <f>'PFAS Properties'!$B$31</f>
        <v>PFHxA</v>
      </c>
      <c r="I165" s="2" t="str">
        <f>'PFAS Properties'!$C$31</f>
        <v>PFCA</v>
      </c>
      <c r="J165" s="2" t="str">
        <f>'PFAS Properties'!$D$31</f>
        <v>C6HF11O2</v>
      </c>
      <c r="K165" s="25">
        <f>'PFAS Properties'!$P$31</f>
        <v>313.97999999999996</v>
      </c>
      <c r="L165" s="2">
        <f>'PFAS Properties'!$X$31</f>
        <v>-0.2</v>
      </c>
      <c r="M165" s="2" t="str">
        <f>'PFAS Properties'!$Y$31</f>
        <v>-</v>
      </c>
      <c r="N165" s="33">
        <v>0</v>
      </c>
      <c r="O165" s="33">
        <v>0</v>
      </c>
      <c r="P165" s="33">
        <v>0</v>
      </c>
      <c r="Q165" s="33">
        <f t="shared" si="64"/>
        <v>0.99999999000000006</v>
      </c>
      <c r="R165" s="33">
        <v>0</v>
      </c>
      <c r="S165" s="33">
        <f t="shared" si="65"/>
        <v>9.9999999000000002E-9</v>
      </c>
      <c r="T165" s="8">
        <f t="shared" si="79"/>
        <v>1</v>
      </c>
      <c r="U165" s="33">
        <f t="shared" si="52"/>
        <v>0</v>
      </c>
      <c r="V165" s="33">
        <f t="shared" si="53"/>
        <v>-0.99999999000000006</v>
      </c>
      <c r="W165" s="33">
        <f t="shared" si="54"/>
        <v>312.98000000999991</v>
      </c>
      <c r="X165" s="33">
        <v>96485</v>
      </c>
      <c r="Y165" s="16">
        <f t="shared" si="55"/>
        <v>-308.27848115556026</v>
      </c>
      <c r="Z165" s="16">
        <v>6</v>
      </c>
      <c r="AA165" s="16">
        <v>11</v>
      </c>
      <c r="AB165" s="8">
        <f t="shared" si="56"/>
        <v>0.34449760765550236</v>
      </c>
      <c r="AC165" s="16">
        <f t="shared" si="57"/>
        <v>66.564749347092175</v>
      </c>
      <c r="AD165" s="20">
        <f>'PFAS Properties'!$W$31</f>
        <v>5</v>
      </c>
      <c r="AE165" s="8">
        <f>'PFAS Properties'!$S$31</f>
        <v>4.4332896851950254</v>
      </c>
      <c r="AF165" s="15">
        <f>'PFAS Properties'!$V$31</f>
        <v>3.6</v>
      </c>
      <c r="AG165" s="24">
        <v>7.8</v>
      </c>
      <c r="AH165" s="2" t="s">
        <v>661</v>
      </c>
      <c r="AI165" s="2" t="s">
        <v>661</v>
      </c>
      <c r="AJ165" s="2" t="s">
        <v>661</v>
      </c>
      <c r="AK165" s="2" t="s">
        <v>661</v>
      </c>
      <c r="AL165" s="2" t="s">
        <v>661</v>
      </c>
      <c r="AM165" s="2" t="s">
        <v>661</v>
      </c>
      <c r="AN165" s="2" t="s">
        <v>661</v>
      </c>
      <c r="AO165" s="2" t="s">
        <v>661</v>
      </c>
      <c r="AP165" s="72">
        <v>11.17476666666666</v>
      </c>
      <c r="AQ165" s="70" t="s">
        <v>752</v>
      </c>
      <c r="AR165" s="16">
        <v>47</v>
      </c>
      <c r="AS165" s="16">
        <v>38</v>
      </c>
      <c r="AT165" s="16">
        <v>15</v>
      </c>
      <c r="AU165" s="16" t="s">
        <v>661</v>
      </c>
      <c r="AV165" s="16">
        <f t="shared" si="78"/>
        <v>100</v>
      </c>
      <c r="AW165" s="18">
        <v>1.43</v>
      </c>
      <c r="AX165" s="13">
        <f t="shared" si="80"/>
        <v>1.43E-2</v>
      </c>
      <c r="AY165" s="8" t="s">
        <v>45</v>
      </c>
      <c r="AZ165" s="16">
        <f>5/0.025</f>
        <v>200</v>
      </c>
      <c r="BA165" s="16" t="s">
        <v>55</v>
      </c>
      <c r="BB165" s="16">
        <v>10</v>
      </c>
      <c r="BC165" s="16">
        <v>100</v>
      </c>
      <c r="BD165" s="20">
        <v>0.96</v>
      </c>
      <c r="BE165" s="15">
        <f t="shared" si="59"/>
        <v>67.132867132867133</v>
      </c>
      <c r="BF165" s="8">
        <f t="shared" si="60"/>
        <v>1.8269351955745066</v>
      </c>
      <c r="BG165" s="8">
        <f t="shared" si="61"/>
        <v>-1.7728766960431602E-2</v>
      </c>
      <c r="BH165" s="13" t="s">
        <v>836</v>
      </c>
      <c r="BI165" s="8"/>
      <c r="BJ165" s="13"/>
      <c r="BK165" s="15"/>
      <c r="BL165" s="8"/>
      <c r="BM165" s="18"/>
      <c r="BN165" s="8"/>
      <c r="BO165" s="24"/>
    </row>
    <row r="166" spans="1:67" s="14" customFormat="1" x14ac:dyDescent="0.3">
      <c r="A166" s="20">
        <v>169</v>
      </c>
      <c r="B166" s="2" t="s">
        <v>200</v>
      </c>
      <c r="C166" s="2">
        <v>2021</v>
      </c>
      <c r="D166" s="2" t="s">
        <v>201</v>
      </c>
      <c r="E166" s="10" t="s">
        <v>794</v>
      </c>
      <c r="F166" s="20" t="s">
        <v>29</v>
      </c>
      <c r="G166" s="2" t="s">
        <v>30</v>
      </c>
      <c r="H166" s="2" t="str">
        <f>'PFAS Properties'!$B$31</f>
        <v>PFHxA</v>
      </c>
      <c r="I166" s="2" t="str">
        <f>'PFAS Properties'!$C$31</f>
        <v>PFCA</v>
      </c>
      <c r="J166" s="2" t="str">
        <f>'PFAS Properties'!$D$31</f>
        <v>C6HF11O2</v>
      </c>
      <c r="K166" s="25">
        <f>'PFAS Properties'!$P$31</f>
        <v>313.97999999999996</v>
      </c>
      <c r="L166" s="2">
        <f>'PFAS Properties'!$X$31</f>
        <v>-0.2</v>
      </c>
      <c r="M166" s="2" t="str">
        <f>'PFAS Properties'!$Y$31</f>
        <v>-</v>
      </c>
      <c r="N166" s="33">
        <v>0</v>
      </c>
      <c r="O166" s="33">
        <v>0</v>
      </c>
      <c r="P166" s="33">
        <v>0</v>
      </c>
      <c r="Q166" s="33">
        <f t="shared" si="64"/>
        <v>0.99999800474166611</v>
      </c>
      <c r="R166" s="33">
        <v>0</v>
      </c>
      <c r="S166" s="33">
        <f t="shared" si="65"/>
        <v>1.9952583339051124E-6</v>
      </c>
      <c r="T166" s="8">
        <f t="shared" si="79"/>
        <v>1</v>
      </c>
      <c r="U166" s="33">
        <f t="shared" si="52"/>
        <v>0</v>
      </c>
      <c r="V166" s="33">
        <f t="shared" si="53"/>
        <v>-0.99999800474166611</v>
      </c>
      <c r="W166" s="33">
        <f t="shared" si="54"/>
        <v>312.98000199525831</v>
      </c>
      <c r="X166" s="33">
        <v>96485</v>
      </c>
      <c r="Y166" s="16">
        <f t="shared" si="55"/>
        <v>-308.27786718769789</v>
      </c>
      <c r="Z166" s="16">
        <v>6</v>
      </c>
      <c r="AA166" s="16">
        <v>11</v>
      </c>
      <c r="AB166" s="8">
        <f t="shared" si="56"/>
        <v>0.34449760765550236</v>
      </c>
      <c r="AC166" s="16">
        <f t="shared" si="57"/>
        <v>66.564749347092175</v>
      </c>
      <c r="AD166" s="20">
        <f>'PFAS Properties'!$W$31</f>
        <v>5</v>
      </c>
      <c r="AE166" s="8">
        <f>'PFAS Properties'!$S$31</f>
        <v>4.4332896851950254</v>
      </c>
      <c r="AF166" s="15">
        <f>'PFAS Properties'!$V$31</f>
        <v>3.6</v>
      </c>
      <c r="AG166" s="24">
        <v>5.5</v>
      </c>
      <c r="AH166" s="2" t="s">
        <v>834</v>
      </c>
      <c r="AI166" s="15">
        <v>1.0129999999999999</v>
      </c>
      <c r="AJ166" s="16">
        <f t="shared" ref="AJ166:AJ172" si="81">AI166*1000/55.845</f>
        <v>18.13949324021846</v>
      </c>
      <c r="AK166" s="8">
        <f t="shared" ref="AK166:AK175" si="82">AI166/10</f>
        <v>0.10129999999999999</v>
      </c>
      <c r="AL166" s="15">
        <v>0.40400000000000003</v>
      </c>
      <c r="AM166" s="16">
        <f t="shared" ref="AM166:AM172" si="83">AL166*1000/26.98</f>
        <v>14.974054855448481</v>
      </c>
      <c r="AN166" s="8">
        <f t="shared" ref="AN166:AN175" si="84">AL166/10</f>
        <v>4.0400000000000005E-2</v>
      </c>
      <c r="AO166" s="15" t="s">
        <v>31</v>
      </c>
      <c r="AP166" s="15">
        <v>23.4</v>
      </c>
      <c r="AQ166" s="16" t="s">
        <v>689</v>
      </c>
      <c r="AR166" s="16">
        <v>54.4</v>
      </c>
      <c r="AS166" s="16">
        <v>35</v>
      </c>
      <c r="AT166" s="16">
        <v>10.6</v>
      </c>
      <c r="AU166" s="16" t="s">
        <v>664</v>
      </c>
      <c r="AV166" s="16">
        <f t="shared" si="78"/>
        <v>100</v>
      </c>
      <c r="AW166" s="18">
        <v>1.6</v>
      </c>
      <c r="AX166" s="13">
        <f t="shared" si="80"/>
        <v>1.6E-2</v>
      </c>
      <c r="AY166" s="8" t="s">
        <v>32</v>
      </c>
      <c r="AZ166" s="16">
        <f t="shared" ref="AZ166:AZ172" si="85">3/0.03</f>
        <v>100</v>
      </c>
      <c r="BA166" s="16" t="s">
        <v>55</v>
      </c>
      <c r="BB166" s="16">
        <v>30</v>
      </c>
      <c r="BC166" s="16" t="s">
        <v>55</v>
      </c>
      <c r="BD166" s="20">
        <v>2.9</v>
      </c>
      <c r="BE166" s="15">
        <f t="shared" si="59"/>
        <v>181.25</v>
      </c>
      <c r="BF166" s="8">
        <f t="shared" si="60"/>
        <v>2.2582780152430315</v>
      </c>
      <c r="BG166" s="8">
        <f t="shared" si="61"/>
        <v>0.46239799789895608</v>
      </c>
      <c r="BH166" s="2" t="s">
        <v>841</v>
      </c>
      <c r="BI166" s="2"/>
      <c r="BJ166" s="2"/>
      <c r="BK166" s="2"/>
      <c r="BL166" s="2"/>
      <c r="BM166" s="20"/>
      <c r="BN166" s="20"/>
      <c r="BO166" s="2"/>
    </row>
    <row r="167" spans="1:67" s="14" customFormat="1" x14ac:dyDescent="0.3">
      <c r="A167" s="20">
        <v>170</v>
      </c>
      <c r="B167" s="2" t="s">
        <v>200</v>
      </c>
      <c r="C167" s="2">
        <v>2021</v>
      </c>
      <c r="D167" s="2" t="s">
        <v>201</v>
      </c>
      <c r="E167" s="10" t="s">
        <v>794</v>
      </c>
      <c r="F167" s="20" t="s">
        <v>29</v>
      </c>
      <c r="G167" s="2" t="s">
        <v>33</v>
      </c>
      <c r="H167" s="2" t="str">
        <f>'PFAS Properties'!$B$31</f>
        <v>PFHxA</v>
      </c>
      <c r="I167" s="2" t="str">
        <f>'PFAS Properties'!$C$31</f>
        <v>PFCA</v>
      </c>
      <c r="J167" s="2" t="str">
        <f>'PFAS Properties'!$D$31</f>
        <v>C6HF11O2</v>
      </c>
      <c r="K167" s="25">
        <f>'PFAS Properties'!$P$31</f>
        <v>313.97999999999996</v>
      </c>
      <c r="L167" s="2">
        <f>'PFAS Properties'!$X$31</f>
        <v>-0.2</v>
      </c>
      <c r="M167" s="2" t="str">
        <f>'PFAS Properties'!$Y$31</f>
        <v>-</v>
      </c>
      <c r="N167" s="33">
        <v>0</v>
      </c>
      <c r="O167" s="33">
        <v>0</v>
      </c>
      <c r="P167" s="33">
        <v>0</v>
      </c>
      <c r="Q167" s="33">
        <f t="shared" si="64"/>
        <v>0.99999999369042658</v>
      </c>
      <c r="R167" s="33">
        <v>0</v>
      </c>
      <c r="S167" s="33">
        <f t="shared" si="65"/>
        <v>6.3095734049912165E-9</v>
      </c>
      <c r="T167" s="8">
        <f t="shared" si="79"/>
        <v>1</v>
      </c>
      <c r="U167" s="33">
        <f t="shared" si="52"/>
        <v>0</v>
      </c>
      <c r="V167" s="33">
        <f t="shared" si="53"/>
        <v>-0.99999999369042658</v>
      </c>
      <c r="W167" s="33">
        <f t="shared" si="54"/>
        <v>312.98000000630952</v>
      </c>
      <c r="X167" s="33">
        <v>96485</v>
      </c>
      <c r="Y167" s="16">
        <f t="shared" si="55"/>
        <v>-308.2784822968743</v>
      </c>
      <c r="Z167" s="16">
        <v>6</v>
      </c>
      <c r="AA167" s="16">
        <v>11</v>
      </c>
      <c r="AB167" s="8">
        <f t="shared" si="56"/>
        <v>0.34449760765550236</v>
      </c>
      <c r="AC167" s="16">
        <f t="shared" si="57"/>
        <v>66.564749347092175</v>
      </c>
      <c r="AD167" s="20">
        <f>'PFAS Properties'!$W$31</f>
        <v>5</v>
      </c>
      <c r="AE167" s="8">
        <f>'PFAS Properties'!$S$31</f>
        <v>4.4332896851950254</v>
      </c>
      <c r="AF167" s="15">
        <f>'PFAS Properties'!$V$31</f>
        <v>3.6</v>
      </c>
      <c r="AG167" s="24">
        <v>8</v>
      </c>
      <c r="AH167" s="2" t="s">
        <v>834</v>
      </c>
      <c r="AI167" s="15">
        <v>2.9660000000000002</v>
      </c>
      <c r="AJ167" s="16">
        <f t="shared" si="81"/>
        <v>53.111290178171728</v>
      </c>
      <c r="AK167" s="8">
        <f t="shared" si="82"/>
        <v>0.29660000000000003</v>
      </c>
      <c r="AL167" s="15">
        <v>0.23</v>
      </c>
      <c r="AM167" s="16">
        <f t="shared" si="83"/>
        <v>8.5248332097850259</v>
      </c>
      <c r="AN167" s="8">
        <f t="shared" si="84"/>
        <v>2.3E-2</v>
      </c>
      <c r="AO167" s="15" t="s">
        <v>31</v>
      </c>
      <c r="AP167" s="15">
        <v>87.3</v>
      </c>
      <c r="AQ167" s="16" t="s">
        <v>689</v>
      </c>
      <c r="AR167" s="16">
        <v>12.2</v>
      </c>
      <c r="AS167" s="16">
        <v>54.3</v>
      </c>
      <c r="AT167" s="16">
        <v>33.5</v>
      </c>
      <c r="AU167" s="16" t="s">
        <v>664</v>
      </c>
      <c r="AV167" s="16">
        <f t="shared" si="78"/>
        <v>100</v>
      </c>
      <c r="AW167" s="18">
        <v>7.7</v>
      </c>
      <c r="AX167" s="13">
        <f t="shared" si="80"/>
        <v>7.6999999999999999E-2</v>
      </c>
      <c r="AY167" s="8" t="s">
        <v>32</v>
      </c>
      <c r="AZ167" s="16">
        <f t="shared" si="85"/>
        <v>100</v>
      </c>
      <c r="BA167" s="16" t="s">
        <v>55</v>
      </c>
      <c r="BB167" s="16">
        <v>30</v>
      </c>
      <c r="BC167" s="16" t="s">
        <v>55</v>
      </c>
      <c r="BD167" s="20">
        <v>2.5</v>
      </c>
      <c r="BE167" s="15">
        <f t="shared" si="59"/>
        <v>32.467532467532465</v>
      </c>
      <c r="BF167" s="8">
        <f t="shared" si="60"/>
        <v>1.5114492834995557</v>
      </c>
      <c r="BG167" s="8">
        <f t="shared" si="61"/>
        <v>0.3979400086720376</v>
      </c>
      <c r="BH167" s="2" t="s">
        <v>841</v>
      </c>
      <c r="BI167" s="2"/>
      <c r="BJ167" s="2"/>
      <c r="BK167" s="2"/>
      <c r="BL167" s="2"/>
      <c r="BM167" s="2"/>
      <c r="BN167" s="2"/>
      <c r="BO167" s="2"/>
    </row>
    <row r="168" spans="1:67" s="14" customFormat="1" x14ac:dyDescent="0.3">
      <c r="A168" s="20">
        <v>171</v>
      </c>
      <c r="B168" s="2" t="s">
        <v>200</v>
      </c>
      <c r="C168" s="2">
        <v>2021</v>
      </c>
      <c r="D168" s="2" t="s">
        <v>201</v>
      </c>
      <c r="E168" s="10" t="s">
        <v>794</v>
      </c>
      <c r="F168" s="20" t="s">
        <v>29</v>
      </c>
      <c r="G168" s="2" t="s">
        <v>34</v>
      </c>
      <c r="H168" s="2" t="str">
        <f>'PFAS Properties'!$B$31</f>
        <v>PFHxA</v>
      </c>
      <c r="I168" s="2" t="str">
        <f>'PFAS Properties'!$C$31</f>
        <v>PFCA</v>
      </c>
      <c r="J168" s="2" t="str">
        <f>'PFAS Properties'!$D$31</f>
        <v>C6HF11O2</v>
      </c>
      <c r="K168" s="25">
        <f>'PFAS Properties'!$P$31</f>
        <v>313.97999999999996</v>
      </c>
      <c r="L168" s="2">
        <f>'PFAS Properties'!$X$31</f>
        <v>-0.2</v>
      </c>
      <c r="M168" s="2" t="str">
        <f>'PFAS Properties'!$Y$31</f>
        <v>-</v>
      </c>
      <c r="N168" s="33">
        <v>0</v>
      </c>
      <c r="O168" s="33">
        <v>0</v>
      </c>
      <c r="P168" s="33">
        <v>0</v>
      </c>
      <c r="Q168" s="33">
        <f t="shared" si="64"/>
        <v>0.99999601894414336</v>
      </c>
      <c r="R168" s="33">
        <v>0</v>
      </c>
      <c r="S168" s="33">
        <f t="shared" si="65"/>
        <v>3.981055856666137E-6</v>
      </c>
      <c r="T168" s="8">
        <f t="shared" si="79"/>
        <v>1</v>
      </c>
      <c r="U168" s="33">
        <f t="shared" si="52"/>
        <v>0</v>
      </c>
      <c r="V168" s="33">
        <f t="shared" si="53"/>
        <v>-0.99999601894414336</v>
      </c>
      <c r="W168" s="33">
        <f t="shared" si="54"/>
        <v>312.98000398105586</v>
      </c>
      <c r="X168" s="33">
        <v>96485</v>
      </c>
      <c r="Y168" s="16">
        <f t="shared" si="55"/>
        <v>-308.27725305309195</v>
      </c>
      <c r="Z168" s="16">
        <v>6</v>
      </c>
      <c r="AA168" s="16">
        <v>11</v>
      </c>
      <c r="AB168" s="8">
        <f t="shared" si="56"/>
        <v>0.34449760765550236</v>
      </c>
      <c r="AC168" s="16">
        <f t="shared" si="57"/>
        <v>66.564749347092175</v>
      </c>
      <c r="AD168" s="20">
        <f>'PFAS Properties'!$W$31</f>
        <v>5</v>
      </c>
      <c r="AE168" s="8">
        <f>'PFAS Properties'!$S$31</f>
        <v>4.4332896851950254</v>
      </c>
      <c r="AF168" s="15">
        <f>'PFAS Properties'!$V$31</f>
        <v>3.6</v>
      </c>
      <c r="AG168" s="24">
        <v>5.2</v>
      </c>
      <c r="AH168" s="2" t="s">
        <v>834</v>
      </c>
      <c r="AI168" s="15">
        <v>4.5149999999999997</v>
      </c>
      <c r="AJ168" s="16">
        <f t="shared" si="81"/>
        <v>80.848777867311313</v>
      </c>
      <c r="AK168" s="8">
        <f t="shared" si="82"/>
        <v>0.45149999999999996</v>
      </c>
      <c r="AL168" s="15">
        <v>0.377</v>
      </c>
      <c r="AM168" s="16">
        <f t="shared" si="83"/>
        <v>13.973313565604151</v>
      </c>
      <c r="AN168" s="8">
        <f t="shared" si="84"/>
        <v>3.7699999999999997E-2</v>
      </c>
      <c r="AO168" s="15" t="s">
        <v>31</v>
      </c>
      <c r="AP168" s="15">
        <v>44.3</v>
      </c>
      <c r="AQ168" s="16" t="s">
        <v>689</v>
      </c>
      <c r="AR168" s="16">
        <v>41.3</v>
      </c>
      <c r="AS168" s="16">
        <v>39.799999999999997</v>
      </c>
      <c r="AT168" s="16">
        <v>18.899999999999999</v>
      </c>
      <c r="AU168" s="16" t="s">
        <v>664</v>
      </c>
      <c r="AV168" s="16">
        <f t="shared" si="78"/>
        <v>100</v>
      </c>
      <c r="AW168" s="18">
        <v>9.4</v>
      </c>
      <c r="AX168" s="13">
        <f t="shared" si="80"/>
        <v>9.4E-2</v>
      </c>
      <c r="AY168" s="8" t="s">
        <v>32</v>
      </c>
      <c r="AZ168" s="16">
        <f t="shared" si="85"/>
        <v>100</v>
      </c>
      <c r="BA168" s="16" t="s">
        <v>55</v>
      </c>
      <c r="BB168" s="16">
        <v>30</v>
      </c>
      <c r="BC168" s="16" t="s">
        <v>55</v>
      </c>
      <c r="BD168" s="20">
        <v>1.2</v>
      </c>
      <c r="BE168" s="15">
        <f t="shared" si="59"/>
        <v>12.76595744680851</v>
      </c>
      <c r="BF168" s="8">
        <f t="shared" si="60"/>
        <v>1.1060533924479261</v>
      </c>
      <c r="BG168" s="8">
        <f t="shared" si="61"/>
        <v>7.9181246047624818E-2</v>
      </c>
      <c r="BH168" s="2" t="s">
        <v>841</v>
      </c>
      <c r="BI168" s="2"/>
      <c r="BJ168" s="2"/>
      <c r="BK168" s="2"/>
      <c r="BL168" s="2"/>
      <c r="BM168" s="2"/>
      <c r="BN168" s="2"/>
      <c r="BO168" s="2"/>
    </row>
    <row r="169" spans="1:67" s="14" customFormat="1" x14ac:dyDescent="0.3">
      <c r="A169" s="20">
        <v>172</v>
      </c>
      <c r="B169" s="2" t="s">
        <v>200</v>
      </c>
      <c r="C169" s="2">
        <v>2021</v>
      </c>
      <c r="D169" s="2" t="s">
        <v>201</v>
      </c>
      <c r="E169" s="10" t="s">
        <v>794</v>
      </c>
      <c r="F169" s="20" t="s">
        <v>29</v>
      </c>
      <c r="G169" s="2" t="s">
        <v>35</v>
      </c>
      <c r="H169" s="2" t="str">
        <f>'PFAS Properties'!$B$31</f>
        <v>PFHxA</v>
      </c>
      <c r="I169" s="2" t="str">
        <f>'PFAS Properties'!$C$31</f>
        <v>PFCA</v>
      </c>
      <c r="J169" s="2" t="str">
        <f>'PFAS Properties'!$D$31</f>
        <v>C6HF11O2</v>
      </c>
      <c r="K169" s="25">
        <f>'PFAS Properties'!$P$31</f>
        <v>313.97999999999996</v>
      </c>
      <c r="L169" s="2">
        <f>'PFAS Properties'!$X$31</f>
        <v>-0.2</v>
      </c>
      <c r="M169" s="2" t="str">
        <f>'PFAS Properties'!$Y$31</f>
        <v>-</v>
      </c>
      <c r="N169" s="33">
        <v>0</v>
      </c>
      <c r="O169" s="33">
        <v>0</v>
      </c>
      <c r="P169" s="33">
        <v>0</v>
      </c>
      <c r="Q169" s="33">
        <f t="shared" si="64"/>
        <v>0.99999900000099995</v>
      </c>
      <c r="R169" s="33">
        <v>0</v>
      </c>
      <c r="S169" s="33">
        <f t="shared" si="65"/>
        <v>9.9999900000100006E-7</v>
      </c>
      <c r="T169" s="8">
        <f t="shared" si="79"/>
        <v>1</v>
      </c>
      <c r="U169" s="33">
        <f t="shared" si="52"/>
        <v>0</v>
      </c>
      <c r="V169" s="33">
        <f t="shared" si="53"/>
        <v>-0.99999900000099995</v>
      </c>
      <c r="W169" s="33">
        <f t="shared" si="54"/>
        <v>312.98000099999899</v>
      </c>
      <c r="X169" s="33">
        <v>96485</v>
      </c>
      <c r="Y169" s="16">
        <f t="shared" si="55"/>
        <v>-308.27817498504254</v>
      </c>
      <c r="Z169" s="16">
        <v>6</v>
      </c>
      <c r="AA169" s="16">
        <v>11</v>
      </c>
      <c r="AB169" s="8">
        <f t="shared" si="56"/>
        <v>0.34449760765550236</v>
      </c>
      <c r="AC169" s="16">
        <f t="shared" si="57"/>
        <v>66.564749347092175</v>
      </c>
      <c r="AD169" s="20">
        <f>'PFAS Properties'!$W$31</f>
        <v>5</v>
      </c>
      <c r="AE169" s="8">
        <f>'PFAS Properties'!$S$31</f>
        <v>4.4332896851950254</v>
      </c>
      <c r="AF169" s="15">
        <f>'PFAS Properties'!$V$31</f>
        <v>3.6</v>
      </c>
      <c r="AG169" s="24">
        <v>5.8</v>
      </c>
      <c r="AH169" s="2" t="s">
        <v>834</v>
      </c>
      <c r="AI169" s="15">
        <v>6.5019999999999998</v>
      </c>
      <c r="AJ169" s="16">
        <f t="shared" si="81"/>
        <v>116.42940281135286</v>
      </c>
      <c r="AK169" s="8">
        <f t="shared" si="82"/>
        <v>0.6502</v>
      </c>
      <c r="AL169" s="15">
        <v>1.732</v>
      </c>
      <c r="AM169" s="16">
        <f t="shared" si="83"/>
        <v>64.195700518902896</v>
      </c>
      <c r="AN169" s="8">
        <f t="shared" si="84"/>
        <v>0.17319999999999999</v>
      </c>
      <c r="AO169" s="15" t="s">
        <v>31</v>
      </c>
      <c r="AP169" s="15">
        <v>90</v>
      </c>
      <c r="AQ169" s="16" t="s">
        <v>689</v>
      </c>
      <c r="AR169" s="16">
        <v>46</v>
      </c>
      <c r="AS169" s="16">
        <v>51</v>
      </c>
      <c r="AT169" s="16">
        <v>3</v>
      </c>
      <c r="AU169" s="16" t="s">
        <v>664</v>
      </c>
      <c r="AV169" s="16">
        <f t="shared" si="78"/>
        <v>100</v>
      </c>
      <c r="AW169" s="18">
        <v>27</v>
      </c>
      <c r="AX169" s="13">
        <f t="shared" si="80"/>
        <v>0.27</v>
      </c>
      <c r="AY169" s="8" t="s">
        <v>32</v>
      </c>
      <c r="AZ169" s="16">
        <f t="shared" si="85"/>
        <v>100</v>
      </c>
      <c r="BA169" s="16" t="s">
        <v>55</v>
      </c>
      <c r="BB169" s="16">
        <v>50</v>
      </c>
      <c r="BC169" s="16" t="s">
        <v>55</v>
      </c>
      <c r="BD169" s="20">
        <v>2.6</v>
      </c>
      <c r="BE169" s="15">
        <f t="shared" si="59"/>
        <v>9.6296296296296298</v>
      </c>
      <c r="BF169" s="8">
        <f t="shared" si="60"/>
        <v>0.98360958381183061</v>
      </c>
      <c r="BG169" s="8">
        <f t="shared" si="61"/>
        <v>0.41497334797081797</v>
      </c>
      <c r="BH169" s="2" t="s">
        <v>841</v>
      </c>
      <c r="BI169" s="2"/>
      <c r="BJ169" s="2"/>
      <c r="BK169" s="2"/>
      <c r="BL169" s="2"/>
      <c r="BM169" s="2"/>
      <c r="BN169" s="2"/>
      <c r="BO169" s="2"/>
    </row>
    <row r="170" spans="1:67" s="14" customFormat="1" x14ac:dyDescent="0.3">
      <c r="A170" s="20">
        <v>173</v>
      </c>
      <c r="B170" s="2" t="s">
        <v>200</v>
      </c>
      <c r="C170" s="2">
        <v>2021</v>
      </c>
      <c r="D170" s="2" t="s">
        <v>201</v>
      </c>
      <c r="E170" s="10" t="s">
        <v>794</v>
      </c>
      <c r="F170" s="20" t="s">
        <v>29</v>
      </c>
      <c r="G170" s="2" t="s">
        <v>36</v>
      </c>
      <c r="H170" s="2" t="str">
        <f>'PFAS Properties'!$B$31</f>
        <v>PFHxA</v>
      </c>
      <c r="I170" s="2" t="str">
        <f>'PFAS Properties'!$C$31</f>
        <v>PFCA</v>
      </c>
      <c r="J170" s="2" t="str">
        <f>'PFAS Properties'!$D$31</f>
        <v>C6HF11O2</v>
      </c>
      <c r="K170" s="25">
        <f>'PFAS Properties'!$P$31</f>
        <v>313.97999999999996</v>
      </c>
      <c r="L170" s="2">
        <f>'PFAS Properties'!$X$31</f>
        <v>-0.2</v>
      </c>
      <c r="M170" s="2" t="str">
        <f>'PFAS Properties'!$Y$31</f>
        <v>-</v>
      </c>
      <c r="N170" s="33">
        <v>0</v>
      </c>
      <c r="O170" s="33">
        <v>0</v>
      </c>
      <c r="P170" s="33">
        <v>0</v>
      </c>
      <c r="Q170" s="33">
        <f t="shared" si="64"/>
        <v>0.99999874107617315</v>
      </c>
      <c r="R170" s="33">
        <v>0</v>
      </c>
      <c r="S170" s="33">
        <f t="shared" si="65"/>
        <v>1.2589238269029671E-6</v>
      </c>
      <c r="T170" s="8">
        <f t="shared" si="79"/>
        <v>1</v>
      </c>
      <c r="U170" s="33">
        <f t="shared" si="52"/>
        <v>0</v>
      </c>
      <c r="V170" s="33">
        <f t="shared" si="53"/>
        <v>-0.99999874107617315</v>
      </c>
      <c r="W170" s="33">
        <f t="shared" si="54"/>
        <v>312.98000125892383</v>
      </c>
      <c r="X170" s="33">
        <v>96485</v>
      </c>
      <c r="Y170" s="16">
        <f t="shared" si="55"/>
        <v>-308.27809490905469</v>
      </c>
      <c r="Z170" s="16">
        <v>6</v>
      </c>
      <c r="AA170" s="16">
        <v>11</v>
      </c>
      <c r="AB170" s="8">
        <f t="shared" si="56"/>
        <v>0.34449760765550236</v>
      </c>
      <c r="AC170" s="16">
        <f t="shared" si="57"/>
        <v>66.564749347092175</v>
      </c>
      <c r="AD170" s="20">
        <f>'PFAS Properties'!$W$31</f>
        <v>5</v>
      </c>
      <c r="AE170" s="8">
        <f>'PFAS Properties'!$S$31</f>
        <v>4.4332896851950254</v>
      </c>
      <c r="AF170" s="15">
        <f>'PFAS Properties'!$V$31</f>
        <v>3.6</v>
      </c>
      <c r="AG170" s="24">
        <v>5.7</v>
      </c>
      <c r="AH170" s="2" t="s">
        <v>834</v>
      </c>
      <c r="AI170" s="15">
        <v>12.358000000000001</v>
      </c>
      <c r="AJ170" s="16">
        <f t="shared" si="81"/>
        <v>221.29107350702839</v>
      </c>
      <c r="AK170" s="8">
        <f t="shared" si="82"/>
        <v>1.2358</v>
      </c>
      <c r="AL170" s="15">
        <v>1.0269999999999999</v>
      </c>
      <c r="AM170" s="16">
        <f t="shared" si="83"/>
        <v>38.065233506300963</v>
      </c>
      <c r="AN170" s="8">
        <f t="shared" si="84"/>
        <v>0.10269999999999999</v>
      </c>
      <c r="AO170" s="15" t="s">
        <v>31</v>
      </c>
      <c r="AP170" s="15">
        <v>103</v>
      </c>
      <c r="AQ170" s="16" t="s">
        <v>689</v>
      </c>
      <c r="AR170" s="16">
        <v>35</v>
      </c>
      <c r="AS170" s="16">
        <v>63</v>
      </c>
      <c r="AT170" s="16">
        <v>2</v>
      </c>
      <c r="AU170" s="16" t="s">
        <v>664</v>
      </c>
      <c r="AV170" s="16">
        <f t="shared" si="78"/>
        <v>100</v>
      </c>
      <c r="AW170" s="18">
        <v>32</v>
      </c>
      <c r="AX170" s="13">
        <f t="shared" si="80"/>
        <v>0.32</v>
      </c>
      <c r="AY170" s="8" t="s">
        <v>32</v>
      </c>
      <c r="AZ170" s="16">
        <f t="shared" si="85"/>
        <v>100</v>
      </c>
      <c r="BA170" s="16" t="s">
        <v>55</v>
      </c>
      <c r="BB170" s="16">
        <v>50</v>
      </c>
      <c r="BC170" s="16" t="s">
        <v>55</v>
      </c>
      <c r="BD170" s="20">
        <v>5.4</v>
      </c>
      <c r="BE170" s="15">
        <f t="shared" si="59"/>
        <v>16.875</v>
      </c>
      <c r="BF170" s="8">
        <f t="shared" si="60"/>
        <v>1.2272437815030626</v>
      </c>
      <c r="BG170" s="8">
        <f t="shared" si="61"/>
        <v>0.7323937598229685</v>
      </c>
      <c r="BH170" s="2" t="s">
        <v>841</v>
      </c>
      <c r="BI170" s="2"/>
      <c r="BJ170" s="2"/>
      <c r="BK170" s="2"/>
      <c r="BL170" s="2"/>
      <c r="BM170" s="20"/>
      <c r="BN170" s="20"/>
      <c r="BO170" s="2"/>
    </row>
    <row r="171" spans="1:67" s="14" customFormat="1" x14ac:dyDescent="0.3">
      <c r="A171" s="20">
        <v>174</v>
      </c>
      <c r="B171" s="2" t="s">
        <v>200</v>
      </c>
      <c r="C171" s="2">
        <v>2021</v>
      </c>
      <c r="D171" s="2" t="s">
        <v>201</v>
      </c>
      <c r="E171" s="10" t="s">
        <v>794</v>
      </c>
      <c r="F171" s="20" t="s">
        <v>29</v>
      </c>
      <c r="G171" s="2" t="s">
        <v>37</v>
      </c>
      <c r="H171" s="2" t="str">
        <f>'PFAS Properties'!$B$31</f>
        <v>PFHxA</v>
      </c>
      <c r="I171" s="2" t="str">
        <f>'PFAS Properties'!$C$31</f>
        <v>PFCA</v>
      </c>
      <c r="J171" s="2" t="str">
        <f>'PFAS Properties'!$D$31</f>
        <v>C6HF11O2</v>
      </c>
      <c r="K171" s="25">
        <f>'PFAS Properties'!$P$31</f>
        <v>313.97999999999996</v>
      </c>
      <c r="L171" s="2">
        <f>'PFAS Properties'!$X$31</f>
        <v>-0.2</v>
      </c>
      <c r="M171" s="2" t="str">
        <f>'PFAS Properties'!$Y$31</f>
        <v>-</v>
      </c>
      <c r="N171" s="33">
        <v>0</v>
      </c>
      <c r="O171" s="33">
        <v>0</v>
      </c>
      <c r="P171" s="33">
        <v>0</v>
      </c>
      <c r="Q171" s="33">
        <f t="shared" si="64"/>
        <v>0.99999874107617315</v>
      </c>
      <c r="R171" s="33">
        <v>0</v>
      </c>
      <c r="S171" s="33">
        <f t="shared" si="65"/>
        <v>1.2589238269029671E-6</v>
      </c>
      <c r="T171" s="8">
        <f t="shared" si="79"/>
        <v>1</v>
      </c>
      <c r="U171" s="33">
        <f t="shared" si="52"/>
        <v>0</v>
      </c>
      <c r="V171" s="33">
        <f t="shared" si="53"/>
        <v>-0.99999874107617315</v>
      </c>
      <c r="W171" s="33">
        <f t="shared" si="54"/>
        <v>312.98000125892383</v>
      </c>
      <c r="X171" s="33">
        <v>96485</v>
      </c>
      <c r="Y171" s="16">
        <f t="shared" si="55"/>
        <v>-308.27809490905469</v>
      </c>
      <c r="Z171" s="16">
        <v>6</v>
      </c>
      <c r="AA171" s="16">
        <v>11</v>
      </c>
      <c r="AB171" s="8">
        <f t="shared" si="56"/>
        <v>0.34449760765550236</v>
      </c>
      <c r="AC171" s="16">
        <f t="shared" si="57"/>
        <v>66.564749347092175</v>
      </c>
      <c r="AD171" s="20">
        <f>'PFAS Properties'!$W$31</f>
        <v>5</v>
      </c>
      <c r="AE171" s="8">
        <f>'PFAS Properties'!$S$31</f>
        <v>4.4332896851950254</v>
      </c>
      <c r="AF171" s="15">
        <f>'PFAS Properties'!$V$31</f>
        <v>3.6</v>
      </c>
      <c r="AG171" s="24">
        <v>5.7</v>
      </c>
      <c r="AH171" s="2" t="s">
        <v>834</v>
      </c>
      <c r="AI171" s="15">
        <v>10.64</v>
      </c>
      <c r="AJ171" s="16">
        <f t="shared" si="81"/>
        <v>190.52735249350883</v>
      </c>
      <c r="AK171" s="8">
        <f t="shared" si="82"/>
        <v>1.0640000000000001</v>
      </c>
      <c r="AL171" s="15">
        <v>0.16700000000000001</v>
      </c>
      <c r="AM171" s="16">
        <f t="shared" si="83"/>
        <v>6.1897702001482582</v>
      </c>
      <c r="AN171" s="8">
        <f t="shared" si="84"/>
        <v>1.67E-2</v>
      </c>
      <c r="AO171" s="15" t="s">
        <v>31</v>
      </c>
      <c r="AP171" s="15">
        <v>140</v>
      </c>
      <c r="AQ171" s="16" t="s">
        <v>689</v>
      </c>
      <c r="AR171" s="16">
        <v>20.7</v>
      </c>
      <c r="AS171" s="16">
        <v>78</v>
      </c>
      <c r="AT171" s="16">
        <v>1.3</v>
      </c>
      <c r="AU171" s="16" t="s">
        <v>664</v>
      </c>
      <c r="AV171" s="16">
        <f t="shared" si="78"/>
        <v>100</v>
      </c>
      <c r="AW171" s="18">
        <v>39</v>
      </c>
      <c r="AX171" s="13">
        <f t="shared" si="80"/>
        <v>0.39</v>
      </c>
      <c r="AY171" s="8" t="s">
        <v>32</v>
      </c>
      <c r="AZ171" s="16">
        <f t="shared" si="85"/>
        <v>100</v>
      </c>
      <c r="BA171" s="16" t="s">
        <v>55</v>
      </c>
      <c r="BB171" s="16">
        <v>50</v>
      </c>
      <c r="BC171" s="16" t="s">
        <v>55</v>
      </c>
      <c r="BD171" s="20">
        <v>5.0999999999999996</v>
      </c>
      <c r="BE171" s="15">
        <f t="shared" si="59"/>
        <v>13.076923076923075</v>
      </c>
      <c r="BF171" s="8">
        <f t="shared" si="60"/>
        <v>1.1165055690714372</v>
      </c>
      <c r="BG171" s="8">
        <f t="shared" si="61"/>
        <v>0.70757017609793638</v>
      </c>
      <c r="BH171" s="2" t="s">
        <v>841</v>
      </c>
      <c r="BI171" s="2"/>
      <c r="BJ171" s="2"/>
      <c r="BK171" s="2"/>
      <c r="BL171" s="2"/>
      <c r="BM171" s="20"/>
      <c r="BN171" s="20"/>
      <c r="BO171" s="2"/>
    </row>
    <row r="172" spans="1:67" s="14" customFormat="1" x14ac:dyDescent="0.3">
      <c r="A172" s="20">
        <v>175</v>
      </c>
      <c r="B172" s="2" t="s">
        <v>200</v>
      </c>
      <c r="C172" s="2">
        <v>2021</v>
      </c>
      <c r="D172" s="2" t="s">
        <v>201</v>
      </c>
      <c r="E172" s="10" t="s">
        <v>794</v>
      </c>
      <c r="F172" s="20" t="s">
        <v>29</v>
      </c>
      <c r="G172" s="2" t="s">
        <v>38</v>
      </c>
      <c r="H172" s="2" t="str">
        <f>'PFAS Properties'!$B$31</f>
        <v>PFHxA</v>
      </c>
      <c r="I172" s="2" t="str">
        <f>'PFAS Properties'!$C$31</f>
        <v>PFCA</v>
      </c>
      <c r="J172" s="2" t="str">
        <f>'PFAS Properties'!$D$31</f>
        <v>C6HF11O2</v>
      </c>
      <c r="K172" s="25">
        <f>'PFAS Properties'!$P$31</f>
        <v>313.97999999999996</v>
      </c>
      <c r="L172" s="2">
        <f>'PFAS Properties'!$X$31</f>
        <v>-0.2</v>
      </c>
      <c r="M172" s="2" t="str">
        <f>'PFAS Properties'!$Y$31</f>
        <v>-</v>
      </c>
      <c r="N172" s="33">
        <v>0</v>
      </c>
      <c r="O172" s="33">
        <v>0</v>
      </c>
      <c r="P172" s="33">
        <v>0</v>
      </c>
      <c r="Q172" s="33">
        <f t="shared" si="64"/>
        <v>0.99999874107617315</v>
      </c>
      <c r="R172" s="33">
        <v>0</v>
      </c>
      <c r="S172" s="33">
        <f t="shared" si="65"/>
        <v>1.2589238269029671E-6</v>
      </c>
      <c r="T172" s="8">
        <f t="shared" si="79"/>
        <v>1</v>
      </c>
      <c r="U172" s="33">
        <f t="shared" si="52"/>
        <v>0</v>
      </c>
      <c r="V172" s="33">
        <f t="shared" si="53"/>
        <v>-0.99999874107617315</v>
      </c>
      <c r="W172" s="33">
        <f t="shared" si="54"/>
        <v>312.98000125892383</v>
      </c>
      <c r="X172" s="33">
        <v>96485</v>
      </c>
      <c r="Y172" s="16">
        <f t="shared" si="55"/>
        <v>-308.27809490905469</v>
      </c>
      <c r="Z172" s="16">
        <v>6</v>
      </c>
      <c r="AA172" s="16">
        <v>11</v>
      </c>
      <c r="AB172" s="8">
        <f t="shared" si="56"/>
        <v>0.34449760765550236</v>
      </c>
      <c r="AC172" s="16">
        <f t="shared" si="57"/>
        <v>66.564749347092175</v>
      </c>
      <c r="AD172" s="20">
        <f>'PFAS Properties'!$W$31</f>
        <v>5</v>
      </c>
      <c r="AE172" s="8">
        <f>'PFAS Properties'!$S$31</f>
        <v>4.4332896851950254</v>
      </c>
      <c r="AF172" s="15">
        <f>'PFAS Properties'!$V$31</f>
        <v>3.6</v>
      </c>
      <c r="AG172" s="24">
        <v>5.7</v>
      </c>
      <c r="AH172" s="2" t="s">
        <v>834</v>
      </c>
      <c r="AI172" s="15">
        <v>19.667999999999999</v>
      </c>
      <c r="AJ172" s="16">
        <f t="shared" si="81"/>
        <v>352.18909481600861</v>
      </c>
      <c r="AK172" s="8">
        <f t="shared" si="82"/>
        <v>1.9667999999999999</v>
      </c>
      <c r="AL172" s="15">
        <v>0.48099999999999998</v>
      </c>
      <c r="AM172" s="16">
        <f t="shared" si="83"/>
        <v>17.828020756115642</v>
      </c>
      <c r="AN172" s="8">
        <f t="shared" si="84"/>
        <v>4.8099999999999997E-2</v>
      </c>
      <c r="AO172" s="15" t="s">
        <v>31</v>
      </c>
      <c r="AP172" s="15">
        <v>114</v>
      </c>
      <c r="AQ172" s="16" t="s">
        <v>689</v>
      </c>
      <c r="AR172" s="16">
        <v>20</v>
      </c>
      <c r="AS172" s="16">
        <v>78.900000000000006</v>
      </c>
      <c r="AT172" s="16">
        <v>1.1000000000000001</v>
      </c>
      <c r="AU172" s="16" t="s">
        <v>664</v>
      </c>
      <c r="AV172" s="16">
        <f t="shared" si="78"/>
        <v>100</v>
      </c>
      <c r="AW172" s="18">
        <v>41</v>
      </c>
      <c r="AX172" s="13">
        <f t="shared" si="80"/>
        <v>0.41</v>
      </c>
      <c r="AY172" s="8" t="s">
        <v>32</v>
      </c>
      <c r="AZ172" s="16">
        <f t="shared" si="85"/>
        <v>100</v>
      </c>
      <c r="BA172" s="16" t="s">
        <v>55</v>
      </c>
      <c r="BB172" s="16">
        <v>50</v>
      </c>
      <c r="BC172" s="16" t="s">
        <v>55</v>
      </c>
      <c r="BD172" s="20">
        <v>6.5</v>
      </c>
      <c r="BE172" s="15">
        <f t="shared" si="59"/>
        <v>15.853658536585368</v>
      </c>
      <c r="BF172" s="8">
        <f t="shared" si="60"/>
        <v>1.2001294999231202</v>
      </c>
      <c r="BG172" s="8">
        <f t="shared" si="61"/>
        <v>0.81291335664285558</v>
      </c>
      <c r="BH172" s="2" t="s">
        <v>841</v>
      </c>
      <c r="BI172" s="2"/>
      <c r="BJ172" s="2"/>
      <c r="BK172" s="2"/>
      <c r="BL172" s="2"/>
      <c r="BM172" s="20"/>
      <c r="BN172" s="20"/>
      <c r="BO172" s="2"/>
    </row>
    <row r="173" spans="1:67" s="14" customFormat="1" x14ac:dyDescent="0.3">
      <c r="A173" s="20">
        <v>176</v>
      </c>
      <c r="B173" s="2" t="s">
        <v>195</v>
      </c>
      <c r="C173" s="2">
        <v>2018</v>
      </c>
      <c r="D173" s="2" t="s">
        <v>199</v>
      </c>
      <c r="E173" s="10" t="s">
        <v>795</v>
      </c>
      <c r="F173" s="20" t="s">
        <v>29</v>
      </c>
      <c r="G173" s="2" t="s">
        <v>47</v>
      </c>
      <c r="H173" s="2" t="str">
        <f>'PFAS Properties'!$B$31</f>
        <v>PFHxA</v>
      </c>
      <c r="I173" s="2" t="str">
        <f>'PFAS Properties'!$C$31</f>
        <v>PFCA</v>
      </c>
      <c r="J173" s="2" t="str">
        <f>'PFAS Properties'!$D$31</f>
        <v>C6HF11O2</v>
      </c>
      <c r="K173" s="25">
        <f>'PFAS Properties'!$P$31</f>
        <v>313.97999999999996</v>
      </c>
      <c r="L173" s="2">
        <f>'PFAS Properties'!$X$31</f>
        <v>-0.2</v>
      </c>
      <c r="M173" s="2" t="str">
        <f>'PFAS Properties'!$Y$31</f>
        <v>-</v>
      </c>
      <c r="N173" s="33">
        <v>0</v>
      </c>
      <c r="O173" s="33">
        <v>0</v>
      </c>
      <c r="P173" s="33">
        <v>0</v>
      </c>
      <c r="Q173" s="33">
        <f t="shared" si="64"/>
        <v>0.99998004777494953</v>
      </c>
      <c r="R173" s="33">
        <v>0</v>
      </c>
      <c r="S173" s="33">
        <f t="shared" si="65"/>
        <v>1.9952225050461341E-5</v>
      </c>
      <c r="T173" s="8">
        <f t="shared" si="79"/>
        <v>1</v>
      </c>
      <c r="U173" s="33">
        <f t="shared" si="52"/>
        <v>0</v>
      </c>
      <c r="V173" s="33">
        <f t="shared" si="53"/>
        <v>-0.99998004777494953</v>
      </c>
      <c r="W173" s="33">
        <f t="shared" si="54"/>
        <v>312.98001995222501</v>
      </c>
      <c r="X173" s="33">
        <v>96485</v>
      </c>
      <c r="Y173" s="16">
        <f t="shared" si="55"/>
        <v>-308.2723137543851</v>
      </c>
      <c r="Z173" s="16">
        <v>6</v>
      </c>
      <c r="AA173" s="16">
        <v>11</v>
      </c>
      <c r="AB173" s="8">
        <f t="shared" si="56"/>
        <v>0.34449760765550236</v>
      </c>
      <c r="AC173" s="16">
        <f t="shared" si="57"/>
        <v>66.564749347092175</v>
      </c>
      <c r="AD173" s="20">
        <f>'PFAS Properties'!$W$31</f>
        <v>5</v>
      </c>
      <c r="AE173" s="8">
        <f>'PFAS Properties'!$S$31</f>
        <v>4.4332896851950254</v>
      </c>
      <c r="AF173" s="15">
        <f>'PFAS Properties'!$V$31</f>
        <v>3.6</v>
      </c>
      <c r="AG173" s="24">
        <v>4.5</v>
      </c>
      <c r="AH173" s="2" t="s">
        <v>658</v>
      </c>
      <c r="AI173" s="8">
        <f>AJ173*55.845/1000</f>
        <v>5.8637250000000002E-2</v>
      </c>
      <c r="AJ173" s="16">
        <v>1.05</v>
      </c>
      <c r="AK173" s="8">
        <f t="shared" si="82"/>
        <v>5.8637250000000002E-3</v>
      </c>
      <c r="AL173" s="15">
        <f>AM173*26.98/1000</f>
        <v>0.18454320000000002</v>
      </c>
      <c r="AM173" s="16">
        <v>6.84</v>
      </c>
      <c r="AN173" s="8">
        <f t="shared" si="84"/>
        <v>1.8454320000000003E-2</v>
      </c>
      <c r="AO173" s="2" t="s">
        <v>48</v>
      </c>
      <c r="AP173" s="72">
        <v>21.496500000000001</v>
      </c>
      <c r="AQ173" s="70" t="s">
        <v>752</v>
      </c>
      <c r="AR173" s="71">
        <v>41.737499999999997</v>
      </c>
      <c r="AS173" s="71">
        <v>35.036999999999999</v>
      </c>
      <c r="AT173" s="71">
        <v>21.971</v>
      </c>
      <c r="AU173" s="70" t="s">
        <v>752</v>
      </c>
      <c r="AV173" s="16">
        <f t="shared" si="78"/>
        <v>98.745499999999993</v>
      </c>
      <c r="AW173" s="18">
        <v>45</v>
      </c>
      <c r="AX173" s="13">
        <f t="shared" si="80"/>
        <v>0.45</v>
      </c>
      <c r="AY173" s="8" t="s">
        <v>49</v>
      </c>
      <c r="AZ173" s="16">
        <f>0.45/0.04</f>
        <v>11.25</v>
      </c>
      <c r="BA173" s="16" t="s">
        <v>55</v>
      </c>
      <c r="BB173" s="8">
        <v>1.25</v>
      </c>
      <c r="BC173" s="8" t="s">
        <v>55</v>
      </c>
      <c r="BD173" s="25">
        <f>(10^(1.2)*AX173)</f>
        <v>7.1320193660750117</v>
      </c>
      <c r="BE173" s="15">
        <f t="shared" si="59"/>
        <v>15.848931924611136</v>
      </c>
      <c r="BF173" s="8">
        <f t="shared" si="60"/>
        <v>1.2</v>
      </c>
      <c r="BG173" s="8">
        <f t="shared" si="61"/>
        <v>0.85321251377534379</v>
      </c>
      <c r="BH173" s="2" t="s">
        <v>821</v>
      </c>
      <c r="BI173" s="2"/>
      <c r="BJ173" s="2"/>
      <c r="BK173" s="2"/>
      <c r="BL173" s="2"/>
      <c r="BM173" s="20"/>
      <c r="BN173" s="20"/>
      <c r="BO173" s="2"/>
    </row>
    <row r="174" spans="1:67" s="14" customFormat="1" x14ac:dyDescent="0.3">
      <c r="A174" s="20">
        <v>177</v>
      </c>
      <c r="B174" s="2" t="s">
        <v>214</v>
      </c>
      <c r="C174" s="2">
        <v>2022</v>
      </c>
      <c r="D174" s="2" t="s">
        <v>201</v>
      </c>
      <c r="E174" s="10" t="s">
        <v>808</v>
      </c>
      <c r="F174" s="20" t="s">
        <v>29</v>
      </c>
      <c r="G174" s="2" t="s">
        <v>215</v>
      </c>
      <c r="H174" s="2" t="str">
        <f>'PFAS Properties'!$B$31</f>
        <v>PFHxA</v>
      </c>
      <c r="I174" s="2" t="str">
        <f>'PFAS Properties'!$C$31</f>
        <v>PFCA</v>
      </c>
      <c r="J174" s="2" t="str">
        <f>'PFAS Properties'!$D$31</f>
        <v>C6HF11O2</v>
      </c>
      <c r="K174" s="25">
        <f>'PFAS Properties'!$P$31</f>
        <v>313.97999999999996</v>
      </c>
      <c r="L174" s="2">
        <f>'PFAS Properties'!$X$31</f>
        <v>-0.2</v>
      </c>
      <c r="M174" s="2" t="str">
        <f>'PFAS Properties'!$Y$31</f>
        <v>-</v>
      </c>
      <c r="N174" s="33">
        <v>0</v>
      </c>
      <c r="O174" s="33">
        <v>0</v>
      </c>
      <c r="P174" s="33">
        <v>0</v>
      </c>
      <c r="Q174" s="33">
        <f t="shared" si="64"/>
        <v>0.99999000009999905</v>
      </c>
      <c r="R174" s="33">
        <v>0</v>
      </c>
      <c r="S174" s="33">
        <f t="shared" si="65"/>
        <v>9.9999000009999908E-6</v>
      </c>
      <c r="T174" s="8">
        <f t="shared" si="79"/>
        <v>1</v>
      </c>
      <c r="U174" s="33">
        <f t="shared" si="52"/>
        <v>0</v>
      </c>
      <c r="V174" s="33">
        <f t="shared" si="53"/>
        <v>-0.99999000009999905</v>
      </c>
      <c r="W174" s="33">
        <f t="shared" si="54"/>
        <v>312.98000999989995</v>
      </c>
      <c r="X174" s="33">
        <v>96485</v>
      </c>
      <c r="Y174" s="16">
        <f t="shared" si="55"/>
        <v>-308.275391644595</v>
      </c>
      <c r="Z174" s="16">
        <v>6</v>
      </c>
      <c r="AA174" s="16">
        <v>11</v>
      </c>
      <c r="AB174" s="8">
        <f t="shared" si="56"/>
        <v>0.34449760765550236</v>
      </c>
      <c r="AC174" s="16">
        <f t="shared" si="57"/>
        <v>66.564749347092175</v>
      </c>
      <c r="AD174" s="20">
        <f>'PFAS Properties'!$W$31</f>
        <v>5</v>
      </c>
      <c r="AE174" s="8">
        <f>'PFAS Properties'!$S$31</f>
        <v>4.4332896851950254</v>
      </c>
      <c r="AF174" s="15">
        <f>'PFAS Properties'!$V$31</f>
        <v>3.6</v>
      </c>
      <c r="AG174" s="24">
        <v>4.8</v>
      </c>
      <c r="AH174" s="2" t="s">
        <v>216</v>
      </c>
      <c r="AI174" s="2">
        <v>8.3000000000000007</v>
      </c>
      <c r="AJ174" s="15">
        <f>AI174*1000/55.845</f>
        <v>148.62566030978601</v>
      </c>
      <c r="AK174" s="15">
        <f t="shared" si="82"/>
        <v>0.83000000000000007</v>
      </c>
      <c r="AL174" s="15">
        <v>7.85</v>
      </c>
      <c r="AM174" s="15">
        <f>AL174*1000/26.98</f>
        <v>290.95626389918459</v>
      </c>
      <c r="AN174" s="15">
        <f t="shared" si="84"/>
        <v>0.78499999999999992</v>
      </c>
      <c r="AO174" s="15" t="s">
        <v>217</v>
      </c>
      <c r="AP174" s="72">
        <v>15.34083666666667</v>
      </c>
      <c r="AQ174" s="70" t="s">
        <v>752</v>
      </c>
      <c r="AR174" s="16">
        <v>32</v>
      </c>
      <c r="AS174" s="16">
        <v>40</v>
      </c>
      <c r="AT174" s="16">
        <v>28</v>
      </c>
      <c r="AU174" s="2" t="s">
        <v>661</v>
      </c>
      <c r="AV174" s="16">
        <f t="shared" si="78"/>
        <v>100</v>
      </c>
      <c r="AW174" s="18">
        <v>4.9000000000000004</v>
      </c>
      <c r="AX174" s="13">
        <f t="shared" si="80"/>
        <v>4.9000000000000002E-2</v>
      </c>
      <c r="AY174" s="8" t="s">
        <v>218</v>
      </c>
      <c r="AZ174" s="16">
        <f>1.5/0.075</f>
        <v>20</v>
      </c>
      <c r="BA174" s="16" t="s">
        <v>55</v>
      </c>
      <c r="BB174" s="16">
        <v>10</v>
      </c>
      <c r="BC174" s="16" t="s">
        <v>55</v>
      </c>
      <c r="BD174" s="20">
        <v>0.42</v>
      </c>
      <c r="BE174" s="15">
        <f t="shared" si="59"/>
        <v>8.5714285714285712</v>
      </c>
      <c r="BF174" s="8">
        <f t="shared" si="60"/>
        <v>0.93305321036938682</v>
      </c>
      <c r="BG174" s="8">
        <f t="shared" si="61"/>
        <v>-0.37675070960209955</v>
      </c>
      <c r="BH174" s="2" t="s">
        <v>380</v>
      </c>
      <c r="BI174" s="2"/>
      <c r="BJ174" s="2"/>
      <c r="BK174" s="2"/>
      <c r="BL174" s="2"/>
      <c r="BM174" s="20"/>
      <c r="BN174" s="20"/>
      <c r="BO174" s="2"/>
    </row>
    <row r="175" spans="1:67" s="14" customFormat="1" x14ac:dyDescent="0.3">
      <c r="A175" s="20">
        <v>178</v>
      </c>
      <c r="B175" s="2" t="s">
        <v>214</v>
      </c>
      <c r="C175" s="2">
        <v>2022</v>
      </c>
      <c r="D175" s="2" t="s">
        <v>201</v>
      </c>
      <c r="E175" s="10" t="s">
        <v>808</v>
      </c>
      <c r="F175" s="20" t="s">
        <v>29</v>
      </c>
      <c r="G175" s="2" t="s">
        <v>233</v>
      </c>
      <c r="H175" s="2" t="str">
        <f>'PFAS Properties'!$B$31</f>
        <v>PFHxA</v>
      </c>
      <c r="I175" s="2" t="str">
        <f>'PFAS Properties'!$C$31</f>
        <v>PFCA</v>
      </c>
      <c r="J175" s="2" t="str">
        <f>'PFAS Properties'!$D$31</f>
        <v>C6HF11O2</v>
      </c>
      <c r="K175" s="25">
        <f>'PFAS Properties'!$P$31</f>
        <v>313.97999999999996</v>
      </c>
      <c r="L175" s="2">
        <f>'PFAS Properties'!$X$31</f>
        <v>-0.2</v>
      </c>
      <c r="M175" s="2" t="str">
        <f>'PFAS Properties'!$Y$31</f>
        <v>-</v>
      </c>
      <c r="N175" s="33">
        <v>0</v>
      </c>
      <c r="O175" s="33">
        <v>0</v>
      </c>
      <c r="P175" s="33">
        <v>0</v>
      </c>
      <c r="Q175" s="33">
        <f t="shared" si="64"/>
        <v>0.9999992056723962</v>
      </c>
      <c r="R175" s="33">
        <v>0</v>
      </c>
      <c r="S175" s="33">
        <f t="shared" si="65"/>
        <v>7.9432760376743655E-7</v>
      </c>
      <c r="T175" s="8">
        <f t="shared" si="79"/>
        <v>1</v>
      </c>
      <c r="U175" s="33">
        <f t="shared" si="52"/>
        <v>0</v>
      </c>
      <c r="V175" s="33">
        <f t="shared" si="53"/>
        <v>-0.9999992056723962</v>
      </c>
      <c r="W175" s="33">
        <f t="shared" si="54"/>
        <v>312.98000079432751</v>
      </c>
      <c r="X175" s="33">
        <v>96485</v>
      </c>
      <c r="Y175" s="16">
        <f t="shared" si="55"/>
        <v>-308.27823859169041</v>
      </c>
      <c r="Z175" s="16">
        <v>6</v>
      </c>
      <c r="AA175" s="16">
        <v>11</v>
      </c>
      <c r="AB175" s="8">
        <f t="shared" si="56"/>
        <v>0.34449760765550236</v>
      </c>
      <c r="AC175" s="16">
        <f t="shared" si="57"/>
        <v>66.564749347092175</v>
      </c>
      <c r="AD175" s="20">
        <f>'PFAS Properties'!$W$31</f>
        <v>5</v>
      </c>
      <c r="AE175" s="8">
        <f>'PFAS Properties'!$S$31</f>
        <v>4.4332896851950254</v>
      </c>
      <c r="AF175" s="15">
        <f>'PFAS Properties'!$V$31</f>
        <v>3.6</v>
      </c>
      <c r="AG175" s="24">
        <v>5.9</v>
      </c>
      <c r="AH175" s="2" t="s">
        <v>216</v>
      </c>
      <c r="AI175" s="2">
        <v>1.4</v>
      </c>
      <c r="AJ175" s="15">
        <f>AI175*1000/55.845</f>
        <v>25.069388485988004</v>
      </c>
      <c r="AK175" s="15">
        <f t="shared" si="82"/>
        <v>0.13999999999999999</v>
      </c>
      <c r="AL175" s="15">
        <v>0.92</v>
      </c>
      <c r="AM175" s="15">
        <f>AL175*1000/26.98</f>
        <v>34.099332839140104</v>
      </c>
      <c r="AN175" s="15">
        <f t="shared" si="84"/>
        <v>9.1999999999999998E-2</v>
      </c>
      <c r="AO175" s="15" t="s">
        <v>217</v>
      </c>
      <c r="AP175" s="72">
        <v>15.34083666666667</v>
      </c>
      <c r="AQ175" s="70" t="s">
        <v>752</v>
      </c>
      <c r="AR175" s="16">
        <v>37</v>
      </c>
      <c r="AS175" s="16">
        <v>22</v>
      </c>
      <c r="AT175" s="16">
        <v>41</v>
      </c>
      <c r="AU175" s="2" t="s">
        <v>661</v>
      </c>
      <c r="AV175" s="16">
        <f t="shared" si="78"/>
        <v>100</v>
      </c>
      <c r="AW175" s="18">
        <v>2.6</v>
      </c>
      <c r="AX175" s="13">
        <f t="shared" si="80"/>
        <v>2.6000000000000002E-2</v>
      </c>
      <c r="AY175" s="8" t="s">
        <v>218</v>
      </c>
      <c r="AZ175" s="16">
        <f>1.5/0.075</f>
        <v>20</v>
      </c>
      <c r="BA175" s="16" t="s">
        <v>55</v>
      </c>
      <c r="BB175" s="16">
        <v>10</v>
      </c>
      <c r="BC175" s="16" t="s">
        <v>55</v>
      </c>
      <c r="BD175" s="20">
        <v>0.17</v>
      </c>
      <c r="BE175" s="15">
        <f t="shared" si="59"/>
        <v>6.5384615384615383</v>
      </c>
      <c r="BF175" s="8">
        <f t="shared" si="60"/>
        <v>0.81547557340745591</v>
      </c>
      <c r="BG175" s="8">
        <f t="shared" si="61"/>
        <v>-0.769551078621726</v>
      </c>
      <c r="BH175" s="2" t="s">
        <v>380</v>
      </c>
      <c r="BI175" s="2"/>
      <c r="BJ175" s="2"/>
      <c r="BK175" s="2"/>
      <c r="BL175" s="2"/>
      <c r="BM175" s="20"/>
      <c r="BN175" s="20"/>
      <c r="BO175" s="2"/>
    </row>
    <row r="176" spans="1:67" s="14" customFormat="1" x14ac:dyDescent="0.3">
      <c r="A176" s="20">
        <v>179</v>
      </c>
      <c r="B176" s="2" t="s">
        <v>181</v>
      </c>
      <c r="C176" s="2">
        <v>2020</v>
      </c>
      <c r="D176" s="2" t="s">
        <v>203</v>
      </c>
      <c r="E176" s="10" t="s">
        <v>787</v>
      </c>
      <c r="F176" s="20" t="s">
        <v>29</v>
      </c>
      <c r="G176" s="2" t="s">
        <v>62</v>
      </c>
      <c r="H176" s="2" t="str">
        <f>'PFAS Properties'!$B$31</f>
        <v>PFHxA</v>
      </c>
      <c r="I176" s="2" t="str">
        <f>'PFAS Properties'!$C$31</f>
        <v>PFCA</v>
      </c>
      <c r="J176" s="2" t="str">
        <f>'PFAS Properties'!$D$31</f>
        <v>C6HF11O2</v>
      </c>
      <c r="K176" s="25">
        <f>'PFAS Properties'!$P$31</f>
        <v>313.97999999999996</v>
      </c>
      <c r="L176" s="2">
        <f>'PFAS Properties'!$X$31</f>
        <v>-0.2</v>
      </c>
      <c r="M176" s="2" t="str">
        <f>'PFAS Properties'!$Y$31</f>
        <v>-</v>
      </c>
      <c r="N176" s="33">
        <v>0</v>
      </c>
      <c r="O176" s="33">
        <v>0</v>
      </c>
      <c r="P176" s="33">
        <v>0</v>
      </c>
      <c r="Q176" s="33">
        <f t="shared" si="64"/>
        <v>0.99999998004737722</v>
      </c>
      <c r="R176" s="33">
        <v>0</v>
      </c>
      <c r="S176" s="33">
        <f t="shared" si="65"/>
        <v>1.995262275158161E-8</v>
      </c>
      <c r="T176" s="8">
        <f t="shared" si="79"/>
        <v>1</v>
      </c>
      <c r="U176" s="33">
        <f t="shared" si="52"/>
        <v>0</v>
      </c>
      <c r="V176" s="33">
        <f t="shared" si="53"/>
        <v>-0.99999998004737722</v>
      </c>
      <c r="W176" s="33">
        <f t="shared" si="54"/>
        <v>312.98000001995257</v>
      </c>
      <c r="X176" s="33">
        <v>96485</v>
      </c>
      <c r="Y176" s="16">
        <f t="shared" si="55"/>
        <v>-308.27847807757763</v>
      </c>
      <c r="Z176" s="16">
        <v>6</v>
      </c>
      <c r="AA176" s="16">
        <v>11</v>
      </c>
      <c r="AB176" s="8">
        <f t="shared" si="56"/>
        <v>0.34449760765550236</v>
      </c>
      <c r="AC176" s="16">
        <f t="shared" si="57"/>
        <v>66.564749347092175</v>
      </c>
      <c r="AD176" s="20">
        <f>'PFAS Properties'!$W$31</f>
        <v>5</v>
      </c>
      <c r="AE176" s="8">
        <f>'PFAS Properties'!$S$31</f>
        <v>4.4332896851950254</v>
      </c>
      <c r="AF176" s="15">
        <f>'PFAS Properties'!$V$31</f>
        <v>3.6</v>
      </c>
      <c r="AG176" s="24">
        <v>7.5</v>
      </c>
      <c r="AH176" s="2" t="s">
        <v>183</v>
      </c>
      <c r="AI176" s="2" t="s">
        <v>661</v>
      </c>
      <c r="AJ176" s="2" t="s">
        <v>661</v>
      </c>
      <c r="AK176" s="2" t="s">
        <v>661</v>
      </c>
      <c r="AL176" s="2" t="s">
        <v>661</v>
      </c>
      <c r="AM176" s="2" t="s">
        <v>661</v>
      </c>
      <c r="AN176" s="2" t="s">
        <v>661</v>
      </c>
      <c r="AO176" s="2" t="s">
        <v>661</v>
      </c>
      <c r="AP176" s="15">
        <v>41.4</v>
      </c>
      <c r="AQ176" s="2" t="s">
        <v>661</v>
      </c>
      <c r="AR176" s="16">
        <v>16.899999999999999</v>
      </c>
      <c r="AS176" s="16">
        <v>17.5</v>
      </c>
      <c r="AT176" s="16">
        <v>65.599999999999994</v>
      </c>
      <c r="AU176" s="2" t="s">
        <v>661</v>
      </c>
      <c r="AV176" s="16">
        <f t="shared" si="78"/>
        <v>100</v>
      </c>
      <c r="AW176" s="18">
        <v>0.7</v>
      </c>
      <c r="AX176" s="13">
        <v>6.9999999999999993E-3</v>
      </c>
      <c r="AY176" s="13" t="s">
        <v>184</v>
      </c>
      <c r="AZ176" s="16">
        <f t="shared" ref="AZ176:AZ185" si="86">0.8/0.008</f>
        <v>100</v>
      </c>
      <c r="BA176" s="16" t="s">
        <v>55</v>
      </c>
      <c r="BB176" s="16">
        <v>5</v>
      </c>
      <c r="BC176" s="16" t="s">
        <v>55</v>
      </c>
      <c r="BD176" s="18">
        <v>0.39</v>
      </c>
      <c r="BE176" s="15">
        <f t="shared" si="59"/>
        <v>55.714285714285722</v>
      </c>
      <c r="BF176" s="8">
        <f t="shared" si="60"/>
        <v>1.7459665670122424</v>
      </c>
      <c r="BG176" s="8">
        <f t="shared" si="61"/>
        <v>-0.40893539297350079</v>
      </c>
      <c r="BH176" s="13" t="s">
        <v>345</v>
      </c>
      <c r="BI176" s="13"/>
      <c r="BJ176" s="13"/>
      <c r="BK176" s="13"/>
      <c r="BL176" s="13"/>
      <c r="BM176" s="17"/>
      <c r="BN176" s="17"/>
      <c r="BO176" s="2"/>
    </row>
    <row r="177" spans="1:67" s="14" customFormat="1" x14ac:dyDescent="0.3">
      <c r="A177" s="20">
        <v>180</v>
      </c>
      <c r="B177" s="2" t="s">
        <v>181</v>
      </c>
      <c r="C177" s="2">
        <v>2020</v>
      </c>
      <c r="D177" s="2" t="s">
        <v>203</v>
      </c>
      <c r="E177" s="10" t="s">
        <v>787</v>
      </c>
      <c r="F177" s="20" t="s">
        <v>29</v>
      </c>
      <c r="G177" s="2" t="s">
        <v>57</v>
      </c>
      <c r="H177" s="2" t="str">
        <f>'PFAS Properties'!$B$31</f>
        <v>PFHxA</v>
      </c>
      <c r="I177" s="2" t="str">
        <f>'PFAS Properties'!$C$31</f>
        <v>PFCA</v>
      </c>
      <c r="J177" s="2" t="str">
        <f>'PFAS Properties'!$D$31</f>
        <v>C6HF11O2</v>
      </c>
      <c r="K177" s="25">
        <f>'PFAS Properties'!$P$31</f>
        <v>313.97999999999996</v>
      </c>
      <c r="L177" s="2">
        <f>'PFAS Properties'!$X$31</f>
        <v>-0.2</v>
      </c>
      <c r="M177" s="2" t="str">
        <f>'PFAS Properties'!$Y$31</f>
        <v>-</v>
      </c>
      <c r="N177" s="33">
        <v>0</v>
      </c>
      <c r="O177" s="33">
        <v>0</v>
      </c>
      <c r="P177" s="33">
        <v>0</v>
      </c>
      <c r="Q177" s="33">
        <f t="shared" si="64"/>
        <v>0.99999990000001004</v>
      </c>
      <c r="R177" s="33">
        <v>0</v>
      </c>
      <c r="S177" s="33">
        <f t="shared" si="65"/>
        <v>9.9999990000001005E-8</v>
      </c>
      <c r="T177" s="8">
        <f t="shared" si="79"/>
        <v>1</v>
      </c>
      <c r="U177" s="33">
        <f t="shared" si="52"/>
        <v>0</v>
      </c>
      <c r="V177" s="33">
        <f t="shared" si="53"/>
        <v>-0.99999990000001004</v>
      </c>
      <c r="W177" s="33">
        <f t="shared" si="54"/>
        <v>312.98000009999993</v>
      </c>
      <c r="X177" s="33">
        <v>96485</v>
      </c>
      <c r="Y177" s="16">
        <f t="shared" si="55"/>
        <v>-308.27845332185171</v>
      </c>
      <c r="Z177" s="16">
        <v>6</v>
      </c>
      <c r="AA177" s="16">
        <v>11</v>
      </c>
      <c r="AB177" s="8">
        <f t="shared" si="56"/>
        <v>0.34449760765550236</v>
      </c>
      <c r="AC177" s="16">
        <f t="shared" si="57"/>
        <v>66.564749347092175</v>
      </c>
      <c r="AD177" s="20">
        <f>'PFAS Properties'!$W$31</f>
        <v>5</v>
      </c>
      <c r="AE177" s="8">
        <f>'PFAS Properties'!$S$31</f>
        <v>4.4332896851950254</v>
      </c>
      <c r="AF177" s="15">
        <f>'PFAS Properties'!$V$31</f>
        <v>3.6</v>
      </c>
      <c r="AG177" s="24">
        <v>6.8</v>
      </c>
      <c r="AH177" s="2" t="s">
        <v>183</v>
      </c>
      <c r="AI177" s="2" t="s">
        <v>661</v>
      </c>
      <c r="AJ177" s="2" t="s">
        <v>661</v>
      </c>
      <c r="AK177" s="2" t="s">
        <v>661</v>
      </c>
      <c r="AL177" s="2" t="s">
        <v>661</v>
      </c>
      <c r="AM177" s="2" t="s">
        <v>661</v>
      </c>
      <c r="AN177" s="2" t="s">
        <v>661</v>
      </c>
      <c r="AO177" s="2" t="s">
        <v>661</v>
      </c>
      <c r="AP177" s="15">
        <v>7.1</v>
      </c>
      <c r="AQ177" s="2" t="s">
        <v>661</v>
      </c>
      <c r="AR177" s="16">
        <v>48.9</v>
      </c>
      <c r="AS177" s="16">
        <v>27</v>
      </c>
      <c r="AT177" s="16">
        <v>24.2</v>
      </c>
      <c r="AU177" s="2" t="s">
        <v>661</v>
      </c>
      <c r="AV177" s="16">
        <f t="shared" si="78"/>
        <v>100.10000000000001</v>
      </c>
      <c r="AW177" s="18">
        <v>0.37</v>
      </c>
      <c r="AX177" s="13">
        <v>3.7000000000000002E-3</v>
      </c>
      <c r="AY177" s="13" t="s">
        <v>184</v>
      </c>
      <c r="AZ177" s="16">
        <f t="shared" si="86"/>
        <v>100</v>
      </c>
      <c r="BA177" s="16" t="s">
        <v>55</v>
      </c>
      <c r="BB177" s="16">
        <v>5</v>
      </c>
      <c r="BC177" s="16" t="s">
        <v>55</v>
      </c>
      <c r="BD177" s="20">
        <v>0.35</v>
      </c>
      <c r="BE177" s="15">
        <f t="shared" si="59"/>
        <v>94.594594594594582</v>
      </c>
      <c r="BF177" s="8">
        <f t="shared" si="60"/>
        <v>1.9758663202832807</v>
      </c>
      <c r="BG177" s="8">
        <f t="shared" si="61"/>
        <v>-0.45593195564972439</v>
      </c>
      <c r="BH177" s="13" t="s">
        <v>345</v>
      </c>
      <c r="BI177" s="13"/>
      <c r="BJ177" s="13"/>
      <c r="BK177" s="13"/>
      <c r="BL177" s="13"/>
      <c r="BM177" s="17"/>
      <c r="BN177" s="17"/>
      <c r="BO177" s="2"/>
    </row>
    <row r="178" spans="1:67" s="14" customFormat="1" x14ac:dyDescent="0.3">
      <c r="A178" s="20">
        <v>181</v>
      </c>
      <c r="B178" s="2" t="s">
        <v>181</v>
      </c>
      <c r="C178" s="2">
        <v>2020</v>
      </c>
      <c r="D178" s="2" t="s">
        <v>203</v>
      </c>
      <c r="E178" s="10" t="s">
        <v>787</v>
      </c>
      <c r="F178" s="20" t="s">
        <v>29</v>
      </c>
      <c r="G178" s="2" t="s">
        <v>58</v>
      </c>
      <c r="H178" s="2" t="str">
        <f>'PFAS Properties'!$B$31</f>
        <v>PFHxA</v>
      </c>
      <c r="I178" s="2" t="str">
        <f>'PFAS Properties'!$C$31</f>
        <v>PFCA</v>
      </c>
      <c r="J178" s="2" t="str">
        <f>'PFAS Properties'!$D$31</f>
        <v>C6HF11O2</v>
      </c>
      <c r="K178" s="25">
        <f>'PFAS Properties'!$P$31</f>
        <v>313.97999999999996</v>
      </c>
      <c r="L178" s="2">
        <f>'PFAS Properties'!$X$31</f>
        <v>-0.2</v>
      </c>
      <c r="M178" s="2" t="str">
        <f>'PFAS Properties'!$Y$31</f>
        <v>-</v>
      </c>
      <c r="N178" s="33">
        <v>0</v>
      </c>
      <c r="O178" s="33">
        <v>0</v>
      </c>
      <c r="P178" s="33">
        <v>0</v>
      </c>
      <c r="Q178" s="33">
        <f t="shared" si="64"/>
        <v>0.99999960189298798</v>
      </c>
      <c r="R178" s="33">
        <v>0</v>
      </c>
      <c r="S178" s="33">
        <f t="shared" si="65"/>
        <v>3.9810701206424001E-7</v>
      </c>
      <c r="T178" s="8">
        <f t="shared" si="79"/>
        <v>1</v>
      </c>
      <c r="U178" s="33">
        <f t="shared" si="52"/>
        <v>0</v>
      </c>
      <c r="V178" s="33">
        <f t="shared" si="53"/>
        <v>-0.99999960189298798</v>
      </c>
      <c r="W178" s="33">
        <f t="shared" si="54"/>
        <v>312.98000039810699</v>
      </c>
      <c r="X178" s="33">
        <v>96485</v>
      </c>
      <c r="Y178" s="16">
        <f t="shared" si="55"/>
        <v>-308.27836112824195</v>
      </c>
      <c r="Z178" s="16">
        <v>6</v>
      </c>
      <c r="AA178" s="16">
        <v>11</v>
      </c>
      <c r="AB178" s="8">
        <f t="shared" si="56"/>
        <v>0.34449760765550236</v>
      </c>
      <c r="AC178" s="16">
        <f t="shared" si="57"/>
        <v>66.564749347092175</v>
      </c>
      <c r="AD178" s="20">
        <f>'PFAS Properties'!$W$31</f>
        <v>5</v>
      </c>
      <c r="AE178" s="8">
        <f>'PFAS Properties'!$S$31</f>
        <v>4.4332896851950254</v>
      </c>
      <c r="AF178" s="15">
        <f>'PFAS Properties'!$V$31</f>
        <v>3.6</v>
      </c>
      <c r="AG178" s="24">
        <v>6.2</v>
      </c>
      <c r="AH178" s="2" t="s">
        <v>183</v>
      </c>
      <c r="AI178" s="2" t="s">
        <v>661</v>
      </c>
      <c r="AJ178" s="2" t="s">
        <v>661</v>
      </c>
      <c r="AK178" s="2" t="s">
        <v>661</v>
      </c>
      <c r="AL178" s="2" t="s">
        <v>661</v>
      </c>
      <c r="AM178" s="2" t="s">
        <v>661</v>
      </c>
      <c r="AN178" s="2" t="s">
        <v>661</v>
      </c>
      <c r="AO178" s="2" t="s">
        <v>661</v>
      </c>
      <c r="AP178" s="15">
        <v>8</v>
      </c>
      <c r="AQ178" s="2" t="s">
        <v>661</v>
      </c>
      <c r="AR178" s="16">
        <v>51.44</v>
      </c>
      <c r="AS178" s="16">
        <v>10.17</v>
      </c>
      <c r="AT178" s="16">
        <v>38.380000000000003</v>
      </c>
      <c r="AU178" s="2" t="s">
        <v>661</v>
      </c>
      <c r="AV178" s="16">
        <f t="shared" si="78"/>
        <v>99.990000000000009</v>
      </c>
      <c r="AW178" s="18">
        <v>0.08</v>
      </c>
      <c r="AX178" s="13">
        <v>8.0000000000000004E-4</v>
      </c>
      <c r="AY178" s="8" t="s">
        <v>184</v>
      </c>
      <c r="AZ178" s="16">
        <f t="shared" si="86"/>
        <v>100</v>
      </c>
      <c r="BA178" s="16" t="s">
        <v>55</v>
      </c>
      <c r="BB178" s="16">
        <v>5</v>
      </c>
      <c r="BC178" s="16" t="s">
        <v>55</v>
      </c>
      <c r="BD178" s="20">
        <v>0.24</v>
      </c>
      <c r="BE178" s="15">
        <f t="shared" si="59"/>
        <v>300</v>
      </c>
      <c r="BF178" s="8">
        <f t="shared" si="60"/>
        <v>2.4771212547196626</v>
      </c>
      <c r="BG178" s="8">
        <f t="shared" si="61"/>
        <v>-0.61978875828839397</v>
      </c>
      <c r="BH178" s="13" t="s">
        <v>345</v>
      </c>
      <c r="BI178" s="13"/>
      <c r="BJ178" s="13"/>
      <c r="BK178" s="13"/>
      <c r="BL178" s="13"/>
      <c r="BM178" s="17"/>
      <c r="BN178" s="17"/>
      <c r="BO178" s="2"/>
    </row>
    <row r="179" spans="1:67" s="14" customFormat="1" x14ac:dyDescent="0.3">
      <c r="A179" s="20">
        <v>182</v>
      </c>
      <c r="B179" s="2" t="s">
        <v>181</v>
      </c>
      <c r="C179" s="2">
        <v>2020</v>
      </c>
      <c r="D179" s="2" t="s">
        <v>203</v>
      </c>
      <c r="E179" s="10" t="s">
        <v>787</v>
      </c>
      <c r="F179" s="20" t="s">
        <v>29</v>
      </c>
      <c r="G179" s="2" t="s">
        <v>59</v>
      </c>
      <c r="H179" s="2" t="str">
        <f>'PFAS Properties'!$B$31</f>
        <v>PFHxA</v>
      </c>
      <c r="I179" s="2" t="str">
        <f>'PFAS Properties'!$C$31</f>
        <v>PFCA</v>
      </c>
      <c r="J179" s="2" t="str">
        <f>'PFAS Properties'!$D$31</f>
        <v>C6HF11O2</v>
      </c>
      <c r="K179" s="25">
        <f>'PFAS Properties'!$P$31</f>
        <v>313.97999999999996</v>
      </c>
      <c r="L179" s="2">
        <f>'PFAS Properties'!$X$31</f>
        <v>-0.2</v>
      </c>
      <c r="M179" s="2" t="str">
        <f>'PFAS Properties'!$Y$31</f>
        <v>-</v>
      </c>
      <c r="N179" s="33">
        <v>0</v>
      </c>
      <c r="O179" s="33">
        <v>0</v>
      </c>
      <c r="P179" s="33">
        <v>0</v>
      </c>
      <c r="Q179" s="33">
        <f t="shared" si="64"/>
        <v>0.99999998741074603</v>
      </c>
      <c r="R179" s="33">
        <v>0</v>
      </c>
      <c r="S179" s="33">
        <f t="shared" si="65"/>
        <v>1.258925395945232E-8</v>
      </c>
      <c r="T179" s="8">
        <f t="shared" si="79"/>
        <v>1</v>
      </c>
      <c r="U179" s="33">
        <f t="shared" si="52"/>
        <v>0</v>
      </c>
      <c r="V179" s="33">
        <f t="shared" si="53"/>
        <v>-0.99999998741074603</v>
      </c>
      <c r="W179" s="33">
        <f t="shared" si="54"/>
        <v>312.98000001258924</v>
      </c>
      <c r="X179" s="33">
        <v>96485</v>
      </c>
      <c r="Y179" s="16">
        <f t="shared" si="55"/>
        <v>-308.27848035479849</v>
      </c>
      <c r="Z179" s="16">
        <v>6</v>
      </c>
      <c r="AA179" s="16">
        <v>11</v>
      </c>
      <c r="AB179" s="8">
        <f t="shared" si="56"/>
        <v>0.34449760765550236</v>
      </c>
      <c r="AC179" s="16">
        <f t="shared" si="57"/>
        <v>66.564749347092175</v>
      </c>
      <c r="AD179" s="20">
        <f>'PFAS Properties'!$W$31</f>
        <v>5</v>
      </c>
      <c r="AE179" s="8">
        <f>'PFAS Properties'!$S$31</f>
        <v>4.4332896851950254</v>
      </c>
      <c r="AF179" s="15">
        <f>'PFAS Properties'!$V$31</f>
        <v>3.6</v>
      </c>
      <c r="AG179" s="24">
        <v>7.7</v>
      </c>
      <c r="AH179" s="2" t="s">
        <v>183</v>
      </c>
      <c r="AI179" s="2" t="s">
        <v>661</v>
      </c>
      <c r="AJ179" s="2" t="s">
        <v>661</v>
      </c>
      <c r="AK179" s="2" t="s">
        <v>661</v>
      </c>
      <c r="AL179" s="2" t="s">
        <v>661</v>
      </c>
      <c r="AM179" s="2" t="s">
        <v>661</v>
      </c>
      <c r="AN179" s="2" t="s">
        <v>661</v>
      </c>
      <c r="AO179" s="2" t="s">
        <v>661</v>
      </c>
      <c r="AP179" s="15">
        <v>4.8</v>
      </c>
      <c r="AQ179" s="2" t="s">
        <v>661</v>
      </c>
      <c r="AR179" s="16">
        <v>46</v>
      </c>
      <c r="AS179" s="16">
        <v>37</v>
      </c>
      <c r="AT179" s="16">
        <v>17</v>
      </c>
      <c r="AU179" s="2" t="s">
        <v>661</v>
      </c>
      <c r="AV179" s="16">
        <f t="shared" si="78"/>
        <v>100</v>
      </c>
      <c r="AW179" s="18">
        <v>0.25</v>
      </c>
      <c r="AX179" s="13">
        <v>2.5000000000000001E-3</v>
      </c>
      <c r="AY179" s="13" t="s">
        <v>184</v>
      </c>
      <c r="AZ179" s="16">
        <f t="shared" si="86"/>
        <v>100</v>
      </c>
      <c r="BA179" s="16" t="s">
        <v>55</v>
      </c>
      <c r="BB179" s="16">
        <v>5</v>
      </c>
      <c r="BC179" s="16" t="s">
        <v>55</v>
      </c>
      <c r="BD179" s="18">
        <v>0.17</v>
      </c>
      <c r="BE179" s="15">
        <f t="shared" si="59"/>
        <v>68</v>
      </c>
      <c r="BF179" s="8">
        <f t="shared" si="60"/>
        <v>1.8325089127062364</v>
      </c>
      <c r="BG179" s="8">
        <f t="shared" si="61"/>
        <v>-0.769551078621726</v>
      </c>
      <c r="BH179" s="13" t="s">
        <v>345</v>
      </c>
      <c r="BI179" s="13"/>
      <c r="BJ179" s="13"/>
      <c r="BK179" s="13"/>
      <c r="BL179" s="13"/>
      <c r="BM179" s="17"/>
      <c r="BN179" s="17"/>
      <c r="BO179" s="2"/>
    </row>
    <row r="180" spans="1:67" s="14" customFormat="1" x14ac:dyDescent="0.3">
      <c r="A180" s="20">
        <v>183</v>
      </c>
      <c r="B180" s="2" t="s">
        <v>181</v>
      </c>
      <c r="C180" s="2">
        <v>2020</v>
      </c>
      <c r="D180" s="2" t="s">
        <v>203</v>
      </c>
      <c r="E180" s="10" t="s">
        <v>787</v>
      </c>
      <c r="F180" s="20" t="s">
        <v>29</v>
      </c>
      <c r="G180" s="2" t="s">
        <v>61</v>
      </c>
      <c r="H180" s="2" t="str">
        <f>'PFAS Properties'!$B$31</f>
        <v>PFHxA</v>
      </c>
      <c r="I180" s="2" t="str">
        <f>'PFAS Properties'!$C$31</f>
        <v>PFCA</v>
      </c>
      <c r="J180" s="2" t="str">
        <f>'PFAS Properties'!$D$31</f>
        <v>C6HF11O2</v>
      </c>
      <c r="K180" s="25">
        <f>'PFAS Properties'!$P$31</f>
        <v>313.97999999999996</v>
      </c>
      <c r="L180" s="2">
        <f>'PFAS Properties'!$X$31</f>
        <v>-0.2</v>
      </c>
      <c r="M180" s="2" t="str">
        <f>'PFAS Properties'!$Y$31</f>
        <v>-</v>
      </c>
      <c r="N180" s="33">
        <v>0</v>
      </c>
      <c r="O180" s="33">
        <v>0</v>
      </c>
      <c r="P180" s="33">
        <v>0</v>
      </c>
      <c r="Q180" s="33">
        <f t="shared" si="64"/>
        <v>0.99999997488113634</v>
      </c>
      <c r="R180" s="33">
        <v>0</v>
      </c>
      <c r="S180" s="33">
        <f t="shared" si="65"/>
        <v>2.5118863684138424E-8</v>
      </c>
      <c r="T180" s="8">
        <f t="shared" si="79"/>
        <v>1</v>
      </c>
      <c r="U180" s="33">
        <f t="shared" si="52"/>
        <v>0</v>
      </c>
      <c r="V180" s="33">
        <f t="shared" si="53"/>
        <v>-0.99999997488113634</v>
      </c>
      <c r="W180" s="33">
        <f t="shared" si="54"/>
        <v>312.98000002511884</v>
      </c>
      <c r="X180" s="33">
        <v>96485</v>
      </c>
      <c r="Y180" s="16">
        <f t="shared" si="55"/>
        <v>-308.27847647984805</v>
      </c>
      <c r="Z180" s="16">
        <v>6</v>
      </c>
      <c r="AA180" s="16">
        <v>11</v>
      </c>
      <c r="AB180" s="8">
        <f t="shared" si="56"/>
        <v>0.34449760765550236</v>
      </c>
      <c r="AC180" s="16">
        <f t="shared" si="57"/>
        <v>66.564749347092175</v>
      </c>
      <c r="AD180" s="20">
        <f>'PFAS Properties'!$W$31</f>
        <v>5</v>
      </c>
      <c r="AE180" s="8">
        <f>'PFAS Properties'!$S$31</f>
        <v>4.4332896851950254</v>
      </c>
      <c r="AF180" s="15">
        <f>'PFAS Properties'!$V$31</f>
        <v>3.6</v>
      </c>
      <c r="AG180" s="24">
        <v>7.4</v>
      </c>
      <c r="AH180" s="2" t="s">
        <v>183</v>
      </c>
      <c r="AI180" s="2" t="s">
        <v>661</v>
      </c>
      <c r="AJ180" s="2" t="s">
        <v>661</v>
      </c>
      <c r="AK180" s="2" t="s">
        <v>661</v>
      </c>
      <c r="AL180" s="2" t="s">
        <v>661</v>
      </c>
      <c r="AM180" s="2" t="s">
        <v>661</v>
      </c>
      <c r="AN180" s="2" t="s">
        <v>661</v>
      </c>
      <c r="AO180" s="2" t="s">
        <v>661</v>
      </c>
      <c r="AP180" s="15">
        <v>29.6</v>
      </c>
      <c r="AQ180" s="2" t="s">
        <v>661</v>
      </c>
      <c r="AR180" s="16">
        <v>39.799999999999997</v>
      </c>
      <c r="AS180" s="16">
        <v>7.7</v>
      </c>
      <c r="AT180" s="16">
        <v>52.5</v>
      </c>
      <c r="AU180" s="2" t="s">
        <v>661</v>
      </c>
      <c r="AV180" s="16">
        <f t="shared" si="78"/>
        <v>100</v>
      </c>
      <c r="AW180" s="18">
        <v>2.23</v>
      </c>
      <c r="AX180" s="13">
        <v>2.23E-2</v>
      </c>
      <c r="AY180" s="8" t="s">
        <v>184</v>
      </c>
      <c r="AZ180" s="16">
        <f t="shared" si="86"/>
        <v>100</v>
      </c>
      <c r="BA180" s="16" t="s">
        <v>55</v>
      </c>
      <c r="BB180" s="16">
        <v>5</v>
      </c>
      <c r="BC180" s="16" t="s">
        <v>55</v>
      </c>
      <c r="BD180" s="20">
        <v>0.31</v>
      </c>
      <c r="BE180" s="15">
        <f t="shared" si="59"/>
        <v>13.901345291479821</v>
      </c>
      <c r="BF180" s="8">
        <f t="shared" si="60"/>
        <v>1.143056830786112</v>
      </c>
      <c r="BG180" s="8">
        <f t="shared" si="61"/>
        <v>-0.50863830616572736</v>
      </c>
      <c r="BH180" s="13" t="s">
        <v>345</v>
      </c>
      <c r="BI180" s="13"/>
      <c r="BJ180" s="13"/>
      <c r="BK180" s="13"/>
      <c r="BL180" s="13"/>
      <c r="BM180" s="17"/>
      <c r="BN180" s="17"/>
      <c r="BO180" s="2"/>
    </row>
    <row r="181" spans="1:67" s="14" customFormat="1" x14ac:dyDescent="0.3">
      <c r="A181" s="20">
        <v>184</v>
      </c>
      <c r="B181" s="2" t="s">
        <v>181</v>
      </c>
      <c r="C181" s="2">
        <v>2020</v>
      </c>
      <c r="D181" s="2" t="s">
        <v>203</v>
      </c>
      <c r="E181" s="10" t="s">
        <v>787</v>
      </c>
      <c r="F181" s="20" t="s">
        <v>29</v>
      </c>
      <c r="G181" s="2" t="s">
        <v>60</v>
      </c>
      <c r="H181" s="2" t="str">
        <f>'PFAS Properties'!$B$31</f>
        <v>PFHxA</v>
      </c>
      <c r="I181" s="2" t="str">
        <f>'PFAS Properties'!$C$31</f>
        <v>PFCA</v>
      </c>
      <c r="J181" s="2" t="str">
        <f>'PFAS Properties'!$D$31</f>
        <v>C6HF11O2</v>
      </c>
      <c r="K181" s="25">
        <f>'PFAS Properties'!$P$31</f>
        <v>313.97999999999996</v>
      </c>
      <c r="L181" s="2">
        <f>'PFAS Properties'!$X$31</f>
        <v>-0.2</v>
      </c>
      <c r="M181" s="2" t="str">
        <f>'PFAS Properties'!$Y$31</f>
        <v>-</v>
      </c>
      <c r="N181" s="33">
        <v>0</v>
      </c>
      <c r="O181" s="33">
        <v>0</v>
      </c>
      <c r="P181" s="33">
        <v>0</v>
      </c>
      <c r="Q181" s="33">
        <f t="shared" si="64"/>
        <v>0.99999998741074603</v>
      </c>
      <c r="R181" s="33">
        <v>0</v>
      </c>
      <c r="S181" s="33">
        <f t="shared" si="65"/>
        <v>1.258925395945232E-8</v>
      </c>
      <c r="T181" s="8">
        <f t="shared" si="79"/>
        <v>1</v>
      </c>
      <c r="U181" s="33">
        <f t="shared" si="52"/>
        <v>0</v>
      </c>
      <c r="V181" s="33">
        <f t="shared" si="53"/>
        <v>-0.99999998741074603</v>
      </c>
      <c r="W181" s="33">
        <f t="shared" si="54"/>
        <v>312.98000001258924</v>
      </c>
      <c r="X181" s="33">
        <v>96485</v>
      </c>
      <c r="Y181" s="16">
        <f t="shared" si="55"/>
        <v>-308.27848035479849</v>
      </c>
      <c r="Z181" s="16">
        <v>6</v>
      </c>
      <c r="AA181" s="16">
        <v>11</v>
      </c>
      <c r="AB181" s="8">
        <f t="shared" si="56"/>
        <v>0.34449760765550236</v>
      </c>
      <c r="AC181" s="16">
        <f t="shared" si="57"/>
        <v>66.564749347092175</v>
      </c>
      <c r="AD181" s="20">
        <f>'PFAS Properties'!$W$31</f>
        <v>5</v>
      </c>
      <c r="AE181" s="8">
        <f>'PFAS Properties'!$S$31</f>
        <v>4.4332896851950254</v>
      </c>
      <c r="AF181" s="15">
        <f>'PFAS Properties'!$V$31</f>
        <v>3.6</v>
      </c>
      <c r="AG181" s="24">
        <v>7.7</v>
      </c>
      <c r="AH181" s="2" t="s">
        <v>183</v>
      </c>
      <c r="AI181" s="2" t="s">
        <v>661</v>
      </c>
      <c r="AJ181" s="2" t="s">
        <v>661</v>
      </c>
      <c r="AK181" s="2" t="s">
        <v>661</v>
      </c>
      <c r="AL181" s="2" t="s">
        <v>661</v>
      </c>
      <c r="AM181" s="2" t="s">
        <v>661</v>
      </c>
      <c r="AN181" s="2" t="s">
        <v>661</v>
      </c>
      <c r="AO181" s="2" t="s">
        <v>661</v>
      </c>
      <c r="AP181" s="15">
        <v>21.63</v>
      </c>
      <c r="AQ181" s="2" t="s">
        <v>661</v>
      </c>
      <c r="AR181" s="16">
        <v>70</v>
      </c>
      <c r="AS181" s="16">
        <v>11</v>
      </c>
      <c r="AT181" s="16">
        <v>19</v>
      </c>
      <c r="AU181" s="2" t="s">
        <v>661</v>
      </c>
      <c r="AV181" s="16">
        <f t="shared" si="78"/>
        <v>100</v>
      </c>
      <c r="AW181" s="18">
        <v>4.9000000000000004</v>
      </c>
      <c r="AX181" s="13">
        <v>4.9000000000000002E-2</v>
      </c>
      <c r="AY181" s="8" t="s">
        <v>184</v>
      </c>
      <c r="AZ181" s="16">
        <f t="shared" si="86"/>
        <v>100</v>
      </c>
      <c r="BA181" s="16" t="s">
        <v>55</v>
      </c>
      <c r="BB181" s="16">
        <v>5</v>
      </c>
      <c r="BC181" s="16" t="s">
        <v>55</v>
      </c>
      <c r="BD181" s="20">
        <v>0.52</v>
      </c>
      <c r="BE181" s="15">
        <f t="shared" si="59"/>
        <v>10.612244897959183</v>
      </c>
      <c r="BF181" s="8">
        <f t="shared" si="60"/>
        <v>1.0258072636062854</v>
      </c>
      <c r="BG181" s="8">
        <f t="shared" si="61"/>
        <v>-0.28399665636520083</v>
      </c>
      <c r="BH181" s="13" t="s">
        <v>345</v>
      </c>
      <c r="BI181" s="13"/>
      <c r="BJ181" s="13"/>
      <c r="BK181" s="13"/>
      <c r="BL181" s="13"/>
      <c r="BM181" s="17"/>
      <c r="BN181" s="17"/>
      <c r="BO181" s="2"/>
    </row>
    <row r="182" spans="1:67" s="14" customFormat="1" x14ac:dyDescent="0.3">
      <c r="A182" s="20">
        <v>185</v>
      </c>
      <c r="B182" s="2" t="s">
        <v>181</v>
      </c>
      <c r="C182" s="2">
        <v>2020</v>
      </c>
      <c r="D182" s="2" t="s">
        <v>203</v>
      </c>
      <c r="E182" s="10" t="s">
        <v>787</v>
      </c>
      <c r="F182" s="20" t="s">
        <v>29</v>
      </c>
      <c r="G182" s="2" t="s">
        <v>77</v>
      </c>
      <c r="H182" s="2" t="str">
        <f>'PFAS Properties'!$B$31</f>
        <v>PFHxA</v>
      </c>
      <c r="I182" s="2" t="str">
        <f>'PFAS Properties'!$C$31</f>
        <v>PFCA</v>
      </c>
      <c r="J182" s="2" t="str">
        <f>'PFAS Properties'!$D$31</f>
        <v>C6HF11O2</v>
      </c>
      <c r="K182" s="25">
        <f>'PFAS Properties'!$P$31</f>
        <v>313.97999999999996</v>
      </c>
      <c r="L182" s="2">
        <f>'PFAS Properties'!$X$31</f>
        <v>-0.2</v>
      </c>
      <c r="M182" s="2" t="str">
        <f>'PFAS Properties'!$Y$31</f>
        <v>-</v>
      </c>
      <c r="N182" s="33">
        <v>0</v>
      </c>
      <c r="O182" s="33">
        <v>0</v>
      </c>
      <c r="P182" s="33">
        <v>0</v>
      </c>
      <c r="Q182" s="33">
        <f t="shared" si="64"/>
        <v>0.99999998741074603</v>
      </c>
      <c r="R182" s="33">
        <v>0</v>
      </c>
      <c r="S182" s="33">
        <f t="shared" si="65"/>
        <v>1.258925395945232E-8</v>
      </c>
      <c r="T182" s="8">
        <f t="shared" si="79"/>
        <v>1</v>
      </c>
      <c r="U182" s="33">
        <f t="shared" si="52"/>
        <v>0</v>
      </c>
      <c r="V182" s="33">
        <f t="shared" si="53"/>
        <v>-0.99999998741074603</v>
      </c>
      <c r="W182" s="33">
        <f t="shared" si="54"/>
        <v>312.98000001258924</v>
      </c>
      <c r="X182" s="33">
        <v>96485</v>
      </c>
      <c r="Y182" s="16">
        <f t="shared" si="55"/>
        <v>-308.27848035479849</v>
      </c>
      <c r="Z182" s="16">
        <v>6</v>
      </c>
      <c r="AA182" s="16">
        <v>11</v>
      </c>
      <c r="AB182" s="8">
        <f t="shared" si="56"/>
        <v>0.34449760765550236</v>
      </c>
      <c r="AC182" s="16">
        <f t="shared" si="57"/>
        <v>66.564749347092175</v>
      </c>
      <c r="AD182" s="20">
        <f>'PFAS Properties'!$W$31</f>
        <v>5</v>
      </c>
      <c r="AE182" s="8">
        <f>'PFAS Properties'!$S$31</f>
        <v>4.4332896851950254</v>
      </c>
      <c r="AF182" s="15">
        <f>'PFAS Properties'!$V$31</f>
        <v>3.6</v>
      </c>
      <c r="AG182" s="24">
        <v>7.7</v>
      </c>
      <c r="AH182" s="2" t="s">
        <v>183</v>
      </c>
      <c r="AI182" s="2" t="s">
        <v>661</v>
      </c>
      <c r="AJ182" s="2" t="s">
        <v>661</v>
      </c>
      <c r="AK182" s="2" t="s">
        <v>661</v>
      </c>
      <c r="AL182" s="2" t="s">
        <v>661</v>
      </c>
      <c r="AM182" s="2" t="s">
        <v>661</v>
      </c>
      <c r="AN182" s="2" t="s">
        <v>661</v>
      </c>
      <c r="AO182" s="2" t="s">
        <v>661</v>
      </c>
      <c r="AP182" s="15">
        <v>7.8</v>
      </c>
      <c r="AQ182" s="2" t="s">
        <v>661</v>
      </c>
      <c r="AR182" s="16">
        <v>48.9</v>
      </c>
      <c r="AS182" s="16">
        <v>32.6</v>
      </c>
      <c r="AT182" s="16">
        <v>18.5</v>
      </c>
      <c r="AU182" s="2" t="s">
        <v>661</v>
      </c>
      <c r="AV182" s="16">
        <f t="shared" si="78"/>
        <v>100</v>
      </c>
      <c r="AW182" s="18">
        <v>0.13</v>
      </c>
      <c r="AX182" s="13">
        <v>1.2999999999999999E-3</v>
      </c>
      <c r="AY182" s="8" t="s">
        <v>184</v>
      </c>
      <c r="AZ182" s="16">
        <f t="shared" si="86"/>
        <v>100</v>
      </c>
      <c r="BA182" s="16" t="s">
        <v>55</v>
      </c>
      <c r="BB182" s="16">
        <v>5</v>
      </c>
      <c r="BC182" s="16" t="s">
        <v>55</v>
      </c>
      <c r="BD182" s="20">
        <v>0.21</v>
      </c>
      <c r="BE182" s="15">
        <f t="shared" si="59"/>
        <v>161.53846153846155</v>
      </c>
      <c r="BF182" s="8">
        <f t="shared" si="60"/>
        <v>2.2082759424270826</v>
      </c>
      <c r="BG182" s="8">
        <f t="shared" si="61"/>
        <v>-0.6777807052660807</v>
      </c>
      <c r="BH182" s="13" t="s">
        <v>345</v>
      </c>
      <c r="BI182" s="13"/>
      <c r="BJ182" s="13"/>
      <c r="BK182" s="13"/>
      <c r="BL182" s="13"/>
      <c r="BM182" s="17"/>
      <c r="BN182" s="17"/>
      <c r="BO182" s="2"/>
    </row>
    <row r="183" spans="1:67" s="14" customFormat="1" x14ac:dyDescent="0.3">
      <c r="A183" s="20">
        <v>186</v>
      </c>
      <c r="B183" s="2" t="s">
        <v>181</v>
      </c>
      <c r="C183" s="2">
        <v>2020</v>
      </c>
      <c r="D183" s="2" t="s">
        <v>203</v>
      </c>
      <c r="E183" s="10" t="s">
        <v>787</v>
      </c>
      <c r="F183" s="20" t="s">
        <v>29</v>
      </c>
      <c r="G183" s="2" t="s">
        <v>182</v>
      </c>
      <c r="H183" s="2" t="str">
        <f>'PFAS Properties'!$B$31</f>
        <v>PFHxA</v>
      </c>
      <c r="I183" s="2" t="str">
        <f>'PFAS Properties'!$C$31</f>
        <v>PFCA</v>
      </c>
      <c r="J183" s="2" t="str">
        <f>'PFAS Properties'!$D$31</f>
        <v>C6HF11O2</v>
      </c>
      <c r="K183" s="25">
        <f>'PFAS Properties'!$P$31</f>
        <v>313.97999999999996</v>
      </c>
      <c r="L183" s="2">
        <f>'PFAS Properties'!$X$31</f>
        <v>-0.2</v>
      </c>
      <c r="M183" s="2" t="str">
        <f>'PFAS Properties'!$Y$31</f>
        <v>-</v>
      </c>
      <c r="N183" s="33">
        <v>0</v>
      </c>
      <c r="O183" s="33">
        <v>0</v>
      </c>
      <c r="P183" s="33">
        <v>0</v>
      </c>
      <c r="Q183" s="33">
        <f t="shared" si="64"/>
        <v>0.99999998004737722</v>
      </c>
      <c r="R183" s="33">
        <v>0</v>
      </c>
      <c r="S183" s="33">
        <f t="shared" si="65"/>
        <v>1.995262275158161E-8</v>
      </c>
      <c r="T183" s="8">
        <f t="shared" si="79"/>
        <v>1</v>
      </c>
      <c r="U183" s="33">
        <f t="shared" si="52"/>
        <v>0</v>
      </c>
      <c r="V183" s="33">
        <f t="shared" si="53"/>
        <v>-0.99999998004737722</v>
      </c>
      <c r="W183" s="33">
        <f t="shared" si="54"/>
        <v>312.98000001995257</v>
      </c>
      <c r="X183" s="33">
        <v>96485</v>
      </c>
      <c r="Y183" s="16">
        <f t="shared" si="55"/>
        <v>-308.27847807757763</v>
      </c>
      <c r="Z183" s="16">
        <v>6</v>
      </c>
      <c r="AA183" s="16">
        <v>11</v>
      </c>
      <c r="AB183" s="8">
        <f t="shared" si="56"/>
        <v>0.34449760765550236</v>
      </c>
      <c r="AC183" s="16">
        <f t="shared" si="57"/>
        <v>66.564749347092175</v>
      </c>
      <c r="AD183" s="20">
        <f>'PFAS Properties'!$W$31</f>
        <v>5</v>
      </c>
      <c r="AE183" s="8">
        <f>'PFAS Properties'!$S$31</f>
        <v>4.4332896851950254</v>
      </c>
      <c r="AF183" s="15">
        <f>'PFAS Properties'!$V$31</f>
        <v>3.6</v>
      </c>
      <c r="AG183" s="24">
        <v>7.5</v>
      </c>
      <c r="AH183" s="2" t="s">
        <v>183</v>
      </c>
      <c r="AI183" s="2" t="s">
        <v>661</v>
      </c>
      <c r="AJ183" s="2" t="s">
        <v>661</v>
      </c>
      <c r="AK183" s="2" t="s">
        <v>661</v>
      </c>
      <c r="AL183" s="2" t="s">
        <v>661</v>
      </c>
      <c r="AM183" s="2" t="s">
        <v>661</v>
      </c>
      <c r="AN183" s="2" t="s">
        <v>661</v>
      </c>
      <c r="AO183" s="2" t="s">
        <v>661</v>
      </c>
      <c r="AP183" s="15">
        <v>2.2799999999999998</v>
      </c>
      <c r="AQ183" s="2" t="s">
        <v>661</v>
      </c>
      <c r="AR183" s="16">
        <v>93</v>
      </c>
      <c r="AS183" s="16">
        <v>1</v>
      </c>
      <c r="AT183" s="16">
        <v>5</v>
      </c>
      <c r="AU183" s="2" t="s">
        <v>661</v>
      </c>
      <c r="AV183" s="16">
        <f t="shared" si="78"/>
        <v>99</v>
      </c>
      <c r="AW183" s="18">
        <v>0.4</v>
      </c>
      <c r="AX183" s="13">
        <v>4.0000000000000001E-3</v>
      </c>
      <c r="AY183" s="8" t="s">
        <v>184</v>
      </c>
      <c r="AZ183" s="16">
        <f t="shared" si="86"/>
        <v>100</v>
      </c>
      <c r="BA183" s="16" t="s">
        <v>55</v>
      </c>
      <c r="BB183" s="16">
        <v>5</v>
      </c>
      <c r="BC183" s="16" t="s">
        <v>55</v>
      </c>
      <c r="BD183" s="20">
        <v>0.05</v>
      </c>
      <c r="BE183" s="15">
        <f t="shared" si="59"/>
        <v>12.5</v>
      </c>
      <c r="BF183" s="8">
        <f t="shared" si="60"/>
        <v>1.0969100130080565</v>
      </c>
      <c r="BG183" s="8">
        <f t="shared" si="61"/>
        <v>-1.3010299956639813</v>
      </c>
      <c r="BH183" s="13" t="s">
        <v>345</v>
      </c>
      <c r="BI183" s="13"/>
      <c r="BJ183" s="13"/>
      <c r="BK183" s="13"/>
      <c r="BL183" s="13"/>
      <c r="BM183" s="17"/>
      <c r="BN183" s="17"/>
      <c r="BO183" s="2"/>
    </row>
    <row r="184" spans="1:67" s="14" customFormat="1" x14ac:dyDescent="0.3">
      <c r="A184" s="20">
        <v>187</v>
      </c>
      <c r="B184" s="2" t="s">
        <v>181</v>
      </c>
      <c r="C184" s="2">
        <v>2020</v>
      </c>
      <c r="D184" s="2" t="s">
        <v>203</v>
      </c>
      <c r="E184" s="10" t="s">
        <v>787</v>
      </c>
      <c r="F184" s="20" t="s">
        <v>29</v>
      </c>
      <c r="G184" s="2" t="s">
        <v>78</v>
      </c>
      <c r="H184" s="2" t="str">
        <f>'PFAS Properties'!$B$31</f>
        <v>PFHxA</v>
      </c>
      <c r="I184" s="2" t="str">
        <f>'PFAS Properties'!$C$31</f>
        <v>PFCA</v>
      </c>
      <c r="J184" s="2" t="str">
        <f>'PFAS Properties'!$D$31</f>
        <v>C6HF11O2</v>
      </c>
      <c r="K184" s="25">
        <f>'PFAS Properties'!$P$31</f>
        <v>313.97999999999996</v>
      </c>
      <c r="L184" s="2">
        <f>'PFAS Properties'!$X$31</f>
        <v>-0.2</v>
      </c>
      <c r="M184" s="2" t="str">
        <f>'PFAS Properties'!$Y$31</f>
        <v>-</v>
      </c>
      <c r="N184" s="33">
        <v>0</v>
      </c>
      <c r="O184" s="33">
        <v>0</v>
      </c>
      <c r="P184" s="33">
        <v>0</v>
      </c>
      <c r="Q184" s="33">
        <f t="shared" si="64"/>
        <v>0.99999994988127916</v>
      </c>
      <c r="R184" s="33">
        <v>0</v>
      </c>
      <c r="S184" s="33">
        <f t="shared" si="65"/>
        <v>5.011872085084086E-8</v>
      </c>
      <c r="T184" s="8">
        <f t="shared" si="79"/>
        <v>1</v>
      </c>
      <c r="U184" s="33">
        <f t="shared" si="52"/>
        <v>0</v>
      </c>
      <c r="V184" s="33">
        <f t="shared" si="53"/>
        <v>-0.99999994988127916</v>
      </c>
      <c r="W184" s="33">
        <f t="shared" si="54"/>
        <v>312.98000005011869</v>
      </c>
      <c r="X184" s="33">
        <v>96485</v>
      </c>
      <c r="Y184" s="16">
        <f t="shared" si="55"/>
        <v>-308.27846874830567</v>
      </c>
      <c r="Z184" s="16">
        <v>6</v>
      </c>
      <c r="AA184" s="16">
        <v>11</v>
      </c>
      <c r="AB184" s="8">
        <f t="shared" si="56"/>
        <v>0.34449760765550236</v>
      </c>
      <c r="AC184" s="16">
        <f t="shared" si="57"/>
        <v>66.564749347092175</v>
      </c>
      <c r="AD184" s="20">
        <f>'PFAS Properties'!$W$31</f>
        <v>5</v>
      </c>
      <c r="AE184" s="8">
        <f>'PFAS Properties'!$S$31</f>
        <v>4.4332896851950254</v>
      </c>
      <c r="AF184" s="15">
        <f>'PFAS Properties'!$V$31</f>
        <v>3.6</v>
      </c>
      <c r="AG184" s="24">
        <v>7.1</v>
      </c>
      <c r="AH184" s="2" t="s">
        <v>183</v>
      </c>
      <c r="AI184" s="2" t="s">
        <v>661</v>
      </c>
      <c r="AJ184" s="2" t="s">
        <v>661</v>
      </c>
      <c r="AK184" s="2" t="s">
        <v>661</v>
      </c>
      <c r="AL184" s="2" t="s">
        <v>661</v>
      </c>
      <c r="AM184" s="2" t="s">
        <v>661</v>
      </c>
      <c r="AN184" s="2" t="s">
        <v>661</v>
      </c>
      <c r="AO184" s="2" t="s">
        <v>661</v>
      </c>
      <c r="AP184" s="15">
        <v>17.420000000000002</v>
      </c>
      <c r="AQ184" s="2" t="s">
        <v>661</v>
      </c>
      <c r="AR184" s="16">
        <v>48.86</v>
      </c>
      <c r="AS184" s="16">
        <v>16.05</v>
      </c>
      <c r="AT184" s="16">
        <v>35.090000000000003</v>
      </c>
      <c r="AU184" s="2" t="s">
        <v>661</v>
      </c>
      <c r="AV184" s="16">
        <f t="shared" si="78"/>
        <v>100</v>
      </c>
      <c r="AW184" s="18">
        <v>1.19</v>
      </c>
      <c r="AX184" s="13">
        <v>1.1899999999999999E-2</v>
      </c>
      <c r="AY184" s="8" t="s">
        <v>184</v>
      </c>
      <c r="AZ184" s="16">
        <f t="shared" si="86"/>
        <v>100</v>
      </c>
      <c r="BA184" s="16" t="s">
        <v>55</v>
      </c>
      <c r="BB184" s="16">
        <v>5</v>
      </c>
      <c r="BC184" s="16" t="s">
        <v>55</v>
      </c>
      <c r="BD184" s="20">
        <v>0.22</v>
      </c>
      <c r="BE184" s="15">
        <f t="shared" si="59"/>
        <v>18.487394957983195</v>
      </c>
      <c r="BF184" s="8">
        <f t="shared" si="60"/>
        <v>1.2668757194296756</v>
      </c>
      <c r="BG184" s="8">
        <f t="shared" si="61"/>
        <v>-0.65757731917779372</v>
      </c>
      <c r="BH184" s="13" t="s">
        <v>345</v>
      </c>
      <c r="BI184" s="13"/>
      <c r="BJ184" s="13"/>
      <c r="BK184" s="13"/>
      <c r="BL184" s="13"/>
      <c r="BM184" s="17"/>
      <c r="BN184" s="17"/>
      <c r="BO184" s="2"/>
    </row>
    <row r="185" spans="1:67" s="14" customFormat="1" x14ac:dyDescent="0.3">
      <c r="A185" s="20">
        <v>188</v>
      </c>
      <c r="B185" s="2" t="s">
        <v>181</v>
      </c>
      <c r="C185" s="2">
        <v>2020</v>
      </c>
      <c r="D185" s="2" t="s">
        <v>203</v>
      </c>
      <c r="E185" s="10" t="s">
        <v>787</v>
      </c>
      <c r="F185" s="20" t="s">
        <v>29</v>
      </c>
      <c r="G185" s="2" t="s">
        <v>98</v>
      </c>
      <c r="H185" s="2" t="str">
        <f>'PFAS Properties'!$B$31</f>
        <v>PFHxA</v>
      </c>
      <c r="I185" s="2" t="str">
        <f>'PFAS Properties'!$C$31</f>
        <v>PFCA</v>
      </c>
      <c r="J185" s="2" t="str">
        <f>'PFAS Properties'!$D$31</f>
        <v>C6HF11O2</v>
      </c>
      <c r="K185" s="25">
        <f>'PFAS Properties'!$P$31</f>
        <v>313.97999999999996</v>
      </c>
      <c r="L185" s="2">
        <f>'PFAS Properties'!$X$31</f>
        <v>-0.2</v>
      </c>
      <c r="M185" s="2" t="str">
        <f>'PFAS Properties'!$Y$31</f>
        <v>-</v>
      </c>
      <c r="N185" s="33">
        <v>0</v>
      </c>
      <c r="O185" s="33">
        <v>0</v>
      </c>
      <c r="P185" s="33">
        <v>0</v>
      </c>
      <c r="Q185" s="33">
        <f t="shared" si="64"/>
        <v>0.99999974881141995</v>
      </c>
      <c r="R185" s="33">
        <v>0</v>
      </c>
      <c r="S185" s="33">
        <f t="shared" si="65"/>
        <v>2.5118858005523878E-7</v>
      </c>
      <c r="T185" s="8">
        <f t="shared" si="79"/>
        <v>1</v>
      </c>
      <c r="U185" s="33">
        <f t="shared" si="52"/>
        <v>0</v>
      </c>
      <c r="V185" s="33">
        <f t="shared" si="53"/>
        <v>-0.99999974881141995</v>
      </c>
      <c r="W185" s="33">
        <f t="shared" si="54"/>
        <v>312.98000025118853</v>
      </c>
      <c r="X185" s="33">
        <v>96485</v>
      </c>
      <c r="Y185" s="16">
        <f t="shared" si="55"/>
        <v>-308.2784065647449</v>
      </c>
      <c r="Z185" s="16">
        <v>6</v>
      </c>
      <c r="AA185" s="16">
        <v>11</v>
      </c>
      <c r="AB185" s="8">
        <f t="shared" si="56"/>
        <v>0.34449760765550236</v>
      </c>
      <c r="AC185" s="16">
        <f t="shared" si="57"/>
        <v>66.564749347092175</v>
      </c>
      <c r="AD185" s="20">
        <f>'PFAS Properties'!$W$31</f>
        <v>5</v>
      </c>
      <c r="AE185" s="8">
        <f>'PFAS Properties'!$S$31</f>
        <v>4.4332896851950254</v>
      </c>
      <c r="AF185" s="15">
        <f>'PFAS Properties'!$V$31</f>
        <v>3.6</v>
      </c>
      <c r="AG185" s="24">
        <v>6.4</v>
      </c>
      <c r="AH185" s="2" t="s">
        <v>183</v>
      </c>
      <c r="AI185" s="2" t="s">
        <v>661</v>
      </c>
      <c r="AJ185" s="2" t="s">
        <v>661</v>
      </c>
      <c r="AK185" s="2" t="s">
        <v>661</v>
      </c>
      <c r="AL185" s="2" t="s">
        <v>661</v>
      </c>
      <c r="AM185" s="2" t="s">
        <v>661</v>
      </c>
      <c r="AN185" s="2" t="s">
        <v>661</v>
      </c>
      <c r="AO185" s="2" t="s">
        <v>661</v>
      </c>
      <c r="AP185" s="15">
        <v>16.54</v>
      </c>
      <c r="AQ185" s="2" t="s">
        <v>661</v>
      </c>
      <c r="AR185" s="16">
        <v>29.38</v>
      </c>
      <c r="AS185" s="16">
        <v>13.9</v>
      </c>
      <c r="AT185" s="16">
        <v>56.71</v>
      </c>
      <c r="AU185" s="2" t="s">
        <v>661</v>
      </c>
      <c r="AV185" s="16">
        <f t="shared" si="78"/>
        <v>99.990000000000009</v>
      </c>
      <c r="AW185" s="18">
        <v>0.17</v>
      </c>
      <c r="AX185" s="13">
        <v>1.7000000000000001E-3</v>
      </c>
      <c r="AY185" s="8" t="s">
        <v>184</v>
      </c>
      <c r="AZ185" s="16">
        <f t="shared" si="86"/>
        <v>100</v>
      </c>
      <c r="BA185" s="16" t="s">
        <v>55</v>
      </c>
      <c r="BB185" s="16">
        <v>5</v>
      </c>
      <c r="BC185" s="16" t="s">
        <v>55</v>
      </c>
      <c r="BD185" s="20">
        <v>0.28999999999999998</v>
      </c>
      <c r="BE185" s="15">
        <f t="shared" si="59"/>
        <v>170.58823529411762</v>
      </c>
      <c r="BF185" s="8">
        <f t="shared" si="60"/>
        <v>2.231949076520682</v>
      </c>
      <c r="BG185" s="8">
        <f t="shared" si="61"/>
        <v>-0.53760200210104392</v>
      </c>
      <c r="BH185" s="13" t="s">
        <v>345</v>
      </c>
      <c r="BI185" s="13"/>
      <c r="BJ185" s="13"/>
      <c r="BK185" s="13"/>
      <c r="BL185" s="13"/>
      <c r="BM185" s="17"/>
      <c r="BN185" s="17"/>
      <c r="BO185" s="2"/>
    </row>
    <row r="186" spans="1:67" s="14" customFormat="1" x14ac:dyDescent="0.3">
      <c r="A186" s="20">
        <v>189</v>
      </c>
      <c r="B186" s="2" t="s">
        <v>202</v>
      </c>
      <c r="C186" s="2">
        <v>2019</v>
      </c>
      <c r="D186" s="2" t="s">
        <v>199</v>
      </c>
      <c r="E186" s="10" t="s">
        <v>791</v>
      </c>
      <c r="F186" s="20" t="s">
        <v>29</v>
      </c>
      <c r="G186" s="2" t="s">
        <v>39</v>
      </c>
      <c r="H186" s="2" t="str">
        <f>'PFAS Properties'!$B$32</f>
        <v>PFHpA</v>
      </c>
      <c r="I186" s="2" t="str">
        <f>'PFAS Properties'!$C$32</f>
        <v>PFCA</v>
      </c>
      <c r="J186" s="2" t="str">
        <f>'PFAS Properties'!$D$32</f>
        <v>C7HF13O2</v>
      </c>
      <c r="K186" s="25">
        <f>'PFAS Properties'!$P$32</f>
        <v>363.97679999999997</v>
      </c>
      <c r="L186" s="2">
        <f>'PFAS Properties'!$X$32</f>
        <v>-0.2</v>
      </c>
      <c r="M186" s="2" t="str">
        <f>'PFAS Properties'!$Y$32</f>
        <v>-</v>
      </c>
      <c r="N186" s="33">
        <v>0</v>
      </c>
      <c r="O186" s="33">
        <v>0</v>
      </c>
      <c r="P186" s="33">
        <v>0</v>
      </c>
      <c r="Q186" s="33">
        <f t="shared" si="64"/>
        <v>0.9999964518786969</v>
      </c>
      <c r="R186" s="33">
        <v>0</v>
      </c>
      <c r="S186" s="33">
        <f t="shared" si="65"/>
        <v>3.5481213031263005E-6</v>
      </c>
      <c r="T186" s="8">
        <f t="shared" si="79"/>
        <v>1</v>
      </c>
      <c r="U186" s="33">
        <f t="shared" si="52"/>
        <v>0</v>
      </c>
      <c r="V186" s="33">
        <f t="shared" si="53"/>
        <v>-0.9999964518786969</v>
      </c>
      <c r="W186" s="33">
        <f t="shared" si="54"/>
        <v>362.97680354812127</v>
      </c>
      <c r="X186" s="33">
        <v>96485</v>
      </c>
      <c r="Y186" s="16">
        <f t="shared" si="55"/>
        <v>-265.81494111020987</v>
      </c>
      <c r="Z186" s="16">
        <v>7</v>
      </c>
      <c r="AA186" s="16">
        <v>13</v>
      </c>
      <c r="AB186" s="8">
        <f t="shared" si="56"/>
        <v>0.34008097165991902</v>
      </c>
      <c r="AC186" s="16">
        <f t="shared" si="57"/>
        <v>67.861468093570807</v>
      </c>
      <c r="AD186" s="20">
        <f>'PFAS Properties'!$W$32</f>
        <v>6</v>
      </c>
      <c r="AE186" s="8">
        <f>'PFAS Properties'!$S$32</f>
        <v>3.5619357633137811</v>
      </c>
      <c r="AF186" s="15">
        <f>'PFAS Properties'!$V$32</f>
        <v>4.3</v>
      </c>
      <c r="AG186" s="24">
        <v>5.25</v>
      </c>
      <c r="AH186" s="2" t="s">
        <v>661</v>
      </c>
      <c r="AI186" s="2" t="s">
        <v>661</v>
      </c>
      <c r="AJ186" s="2" t="s">
        <v>661</v>
      </c>
      <c r="AK186" s="2" t="s">
        <v>661</v>
      </c>
      <c r="AL186" s="2" t="s">
        <v>661</v>
      </c>
      <c r="AM186" s="2" t="s">
        <v>661</v>
      </c>
      <c r="AN186" s="2" t="s">
        <v>661</v>
      </c>
      <c r="AO186" s="2" t="s">
        <v>661</v>
      </c>
      <c r="AP186" s="72">
        <v>5.7023166666666656</v>
      </c>
      <c r="AQ186" s="70" t="s">
        <v>752</v>
      </c>
      <c r="AR186" s="16">
        <v>100</v>
      </c>
      <c r="AS186" s="16">
        <v>0</v>
      </c>
      <c r="AT186" s="16">
        <v>0</v>
      </c>
      <c r="AU186" s="2" t="s">
        <v>661</v>
      </c>
      <c r="AV186" s="16">
        <f t="shared" si="78"/>
        <v>100</v>
      </c>
      <c r="AW186" s="18">
        <v>0.4</v>
      </c>
      <c r="AX186" s="13">
        <f t="shared" ref="AX186:AX199" si="87">AW186/100</f>
        <v>4.0000000000000001E-3</v>
      </c>
      <c r="AY186" s="13" t="s">
        <v>658</v>
      </c>
      <c r="AZ186" s="16">
        <f>2/0.01</f>
        <v>200</v>
      </c>
      <c r="BA186" s="16" t="s">
        <v>55</v>
      </c>
      <c r="BB186" s="16">
        <v>1</v>
      </c>
      <c r="BC186" s="16">
        <v>1000</v>
      </c>
      <c r="BD186" s="18">
        <v>0.56000000000000005</v>
      </c>
      <c r="BE186" s="15">
        <f t="shared" si="59"/>
        <v>140</v>
      </c>
      <c r="BF186" s="8">
        <f t="shared" si="60"/>
        <v>2.1461280356782382</v>
      </c>
      <c r="BG186" s="8">
        <f t="shared" si="61"/>
        <v>-0.25181197299379954</v>
      </c>
      <c r="BH186" s="13" t="s">
        <v>272</v>
      </c>
      <c r="BI186" s="13"/>
      <c r="BJ186" s="13"/>
      <c r="BK186" s="13"/>
      <c r="BL186" s="13"/>
      <c r="BM186" s="17"/>
      <c r="BN186" s="17"/>
      <c r="BO186" s="2"/>
    </row>
    <row r="187" spans="1:67" s="14" customFormat="1" x14ac:dyDescent="0.3">
      <c r="A187" s="20">
        <v>190</v>
      </c>
      <c r="B187" s="2" t="s">
        <v>202</v>
      </c>
      <c r="C187" s="2">
        <v>2019</v>
      </c>
      <c r="D187" s="2" t="s">
        <v>199</v>
      </c>
      <c r="E187" s="10" t="s">
        <v>791</v>
      </c>
      <c r="F187" s="20" t="s">
        <v>29</v>
      </c>
      <c r="G187" s="2" t="s">
        <v>43</v>
      </c>
      <c r="H187" s="2" t="str">
        <f>'PFAS Properties'!$B$32</f>
        <v>PFHpA</v>
      </c>
      <c r="I187" s="2" t="str">
        <f>'PFAS Properties'!$C$32</f>
        <v>PFCA</v>
      </c>
      <c r="J187" s="2" t="str">
        <f>'PFAS Properties'!$D$32</f>
        <v>C7HF13O2</v>
      </c>
      <c r="K187" s="25">
        <f>'PFAS Properties'!$P$32</f>
        <v>363.97679999999997</v>
      </c>
      <c r="L187" s="2">
        <f>'PFAS Properties'!$X$32</f>
        <v>-0.2</v>
      </c>
      <c r="M187" s="2" t="str">
        <f>'PFAS Properties'!$Y$32</f>
        <v>-</v>
      </c>
      <c r="N187" s="33">
        <v>0</v>
      </c>
      <c r="O187" s="33">
        <v>0</v>
      </c>
      <c r="P187" s="33">
        <v>0</v>
      </c>
      <c r="Q187" s="33">
        <f t="shared" si="64"/>
        <v>0.99999865103893715</v>
      </c>
      <c r="R187" s="33">
        <v>0</v>
      </c>
      <c r="S187" s="33">
        <f t="shared" si="65"/>
        <v>1.3489610628932487E-6</v>
      </c>
      <c r="T187" s="8">
        <f t="shared" si="79"/>
        <v>1</v>
      </c>
      <c r="U187" s="33">
        <f t="shared" si="52"/>
        <v>0</v>
      </c>
      <c r="V187" s="33">
        <f t="shared" si="53"/>
        <v>-0.99999865103893715</v>
      </c>
      <c r="W187" s="33">
        <f t="shared" si="54"/>
        <v>362.97680134896103</v>
      </c>
      <c r="X187" s="33">
        <v>96485</v>
      </c>
      <c r="Y187" s="16">
        <f t="shared" si="55"/>
        <v>-265.81552729242492</v>
      </c>
      <c r="Z187" s="16">
        <v>7</v>
      </c>
      <c r="AA187" s="16">
        <v>13</v>
      </c>
      <c r="AB187" s="8">
        <f t="shared" si="56"/>
        <v>0.34008097165991902</v>
      </c>
      <c r="AC187" s="16">
        <f t="shared" si="57"/>
        <v>67.861468093570807</v>
      </c>
      <c r="AD187" s="20">
        <f>'PFAS Properties'!$W$32</f>
        <v>6</v>
      </c>
      <c r="AE187" s="8">
        <f>'PFAS Properties'!$S$32</f>
        <v>3.5619357633137811</v>
      </c>
      <c r="AF187" s="15">
        <f>'PFAS Properties'!$V$32</f>
        <v>4.3</v>
      </c>
      <c r="AG187" s="24">
        <v>5.67</v>
      </c>
      <c r="AH187" s="2" t="s">
        <v>661</v>
      </c>
      <c r="AI187" s="15" t="s">
        <v>661</v>
      </c>
      <c r="AJ187" s="16" t="s">
        <v>661</v>
      </c>
      <c r="AK187" s="2" t="s">
        <v>661</v>
      </c>
      <c r="AL187" s="15" t="s">
        <v>661</v>
      </c>
      <c r="AM187" s="16" t="s">
        <v>661</v>
      </c>
      <c r="AN187" s="2" t="s">
        <v>661</v>
      </c>
      <c r="AO187" s="2" t="s">
        <v>661</v>
      </c>
      <c r="AP187" s="72">
        <v>9.2037666666666649</v>
      </c>
      <c r="AQ187" s="70" t="s">
        <v>752</v>
      </c>
      <c r="AR187" s="16">
        <v>71</v>
      </c>
      <c r="AS187" s="16">
        <v>24</v>
      </c>
      <c r="AT187" s="16">
        <v>5</v>
      </c>
      <c r="AU187" s="2" t="s">
        <v>661</v>
      </c>
      <c r="AV187" s="16">
        <f t="shared" si="78"/>
        <v>100</v>
      </c>
      <c r="AW187" s="18">
        <v>0.93</v>
      </c>
      <c r="AX187" s="13">
        <f t="shared" si="87"/>
        <v>9.300000000000001E-3</v>
      </c>
      <c r="AY187" s="13" t="s">
        <v>658</v>
      </c>
      <c r="AZ187" s="16">
        <f>2/0.01</f>
        <v>200</v>
      </c>
      <c r="BA187" s="16" t="s">
        <v>55</v>
      </c>
      <c r="BB187" s="16">
        <v>1</v>
      </c>
      <c r="BC187" s="16">
        <v>1000</v>
      </c>
      <c r="BD187" s="18">
        <v>2</v>
      </c>
      <c r="BE187" s="15">
        <f t="shared" si="59"/>
        <v>215.05376344086019</v>
      </c>
      <c r="BF187" s="8">
        <f t="shared" si="60"/>
        <v>2.332547047110046</v>
      </c>
      <c r="BG187" s="8">
        <f t="shared" si="61"/>
        <v>0.3010299956639812</v>
      </c>
      <c r="BH187" s="13" t="s">
        <v>272</v>
      </c>
      <c r="BI187" s="13"/>
      <c r="BJ187" s="13"/>
      <c r="BK187" s="13"/>
      <c r="BL187" s="13"/>
      <c r="BM187" s="17"/>
      <c r="BN187" s="17"/>
      <c r="BO187" s="2"/>
    </row>
    <row r="188" spans="1:67" s="14" customFormat="1" x14ac:dyDescent="0.3">
      <c r="A188" s="20">
        <v>191</v>
      </c>
      <c r="B188" s="2" t="s">
        <v>204</v>
      </c>
      <c r="C188" s="2">
        <v>2013</v>
      </c>
      <c r="D188" s="2" t="s">
        <v>203</v>
      </c>
      <c r="E188" s="10" t="s">
        <v>792</v>
      </c>
      <c r="F188" s="20" t="s">
        <v>29</v>
      </c>
      <c r="G188" s="2" t="s">
        <v>46</v>
      </c>
      <c r="H188" s="2" t="str">
        <f>'PFAS Properties'!$B$32</f>
        <v>PFHpA</v>
      </c>
      <c r="I188" s="2" t="str">
        <f>'PFAS Properties'!$C$32</f>
        <v>PFCA</v>
      </c>
      <c r="J188" s="2" t="str">
        <f>'PFAS Properties'!$D$32</f>
        <v>C7HF13O2</v>
      </c>
      <c r="K188" s="25">
        <f>'PFAS Properties'!$P$32</f>
        <v>363.97679999999997</v>
      </c>
      <c r="L188" s="2">
        <f>'PFAS Properties'!$X$32</f>
        <v>-0.2</v>
      </c>
      <c r="M188" s="2" t="str">
        <f>'PFAS Properties'!$Y$32</f>
        <v>-</v>
      </c>
      <c r="N188" s="33">
        <v>0</v>
      </c>
      <c r="O188" s="33">
        <v>0</v>
      </c>
      <c r="P188" s="33">
        <v>0</v>
      </c>
      <c r="Q188" s="33">
        <f t="shared" si="64"/>
        <v>0.99999949881301753</v>
      </c>
      <c r="R188" s="33">
        <v>0</v>
      </c>
      <c r="S188" s="33">
        <f t="shared" si="65"/>
        <v>5.0118698243875488E-7</v>
      </c>
      <c r="T188" s="8">
        <f t="shared" si="79"/>
        <v>1</v>
      </c>
      <c r="U188" s="33">
        <f t="shared" si="52"/>
        <v>0</v>
      </c>
      <c r="V188" s="33">
        <f t="shared" si="53"/>
        <v>-0.99999949881301753</v>
      </c>
      <c r="W188" s="33">
        <f t="shared" si="54"/>
        <v>362.97680050118691</v>
      </c>
      <c r="X188" s="33">
        <v>96485</v>
      </c>
      <c r="Y188" s="16">
        <f t="shared" si="55"/>
        <v>-265.81575326508641</v>
      </c>
      <c r="Z188" s="16">
        <v>7</v>
      </c>
      <c r="AA188" s="16">
        <v>13</v>
      </c>
      <c r="AB188" s="8">
        <f t="shared" si="56"/>
        <v>0.34008097165991902</v>
      </c>
      <c r="AC188" s="16">
        <f t="shared" si="57"/>
        <v>67.861468093570807</v>
      </c>
      <c r="AD188" s="20">
        <f>'PFAS Properties'!$W$32</f>
        <v>6</v>
      </c>
      <c r="AE188" s="8">
        <f>'PFAS Properties'!$S$32</f>
        <v>3.5619357633137811</v>
      </c>
      <c r="AF188" s="15">
        <f>'PFAS Properties'!$V$32</f>
        <v>4.3</v>
      </c>
      <c r="AG188" s="24">
        <v>6.1</v>
      </c>
      <c r="AH188" s="2" t="s">
        <v>661</v>
      </c>
      <c r="AI188" s="15">
        <v>2.21</v>
      </c>
      <c r="AJ188" s="16">
        <f>AI188*1000/55.845</f>
        <v>39.573820395738203</v>
      </c>
      <c r="AK188" s="8">
        <f>AI188/10</f>
        <v>0.221</v>
      </c>
      <c r="AL188" s="15">
        <v>0.93</v>
      </c>
      <c r="AM188" s="16">
        <f>AL188*1000/26.98</f>
        <v>34.469977761304669</v>
      </c>
      <c r="AN188" s="8">
        <f>AL188/10</f>
        <v>9.2999999999999999E-2</v>
      </c>
      <c r="AO188" s="15" t="s">
        <v>41</v>
      </c>
      <c r="AP188" s="72">
        <v>14.27683666666667</v>
      </c>
      <c r="AQ188" s="2" t="s">
        <v>752</v>
      </c>
      <c r="AR188" s="16">
        <v>81</v>
      </c>
      <c r="AS188" s="16">
        <v>1</v>
      </c>
      <c r="AT188" s="16">
        <v>9</v>
      </c>
      <c r="AU188" s="16" t="s">
        <v>661</v>
      </c>
      <c r="AV188" s="16">
        <f t="shared" si="78"/>
        <v>91</v>
      </c>
      <c r="AW188" s="18">
        <v>1.7</v>
      </c>
      <c r="AX188" s="13">
        <f t="shared" si="87"/>
        <v>1.7000000000000001E-2</v>
      </c>
      <c r="AY188" s="13" t="s">
        <v>42</v>
      </c>
      <c r="AZ188" s="16">
        <f>15/0.04</f>
        <v>375</v>
      </c>
      <c r="BA188" s="16" t="s">
        <v>55</v>
      </c>
      <c r="BB188" s="15">
        <v>0.5</v>
      </c>
      <c r="BC188" s="16">
        <v>1000</v>
      </c>
      <c r="BD188" s="18">
        <v>0.19</v>
      </c>
      <c r="BE188" s="15">
        <f t="shared" si="59"/>
        <v>11.176470588235293</v>
      </c>
      <c r="BF188" s="8">
        <f t="shared" si="60"/>
        <v>1.048304679574555</v>
      </c>
      <c r="BG188" s="8">
        <f t="shared" si="61"/>
        <v>-0.72124639904717103</v>
      </c>
      <c r="BH188" s="13" t="s">
        <v>844</v>
      </c>
      <c r="BI188" s="13"/>
      <c r="BJ188" s="13"/>
      <c r="BK188" s="15"/>
      <c r="BL188" s="8"/>
      <c r="BM188" s="18"/>
      <c r="BN188" s="8"/>
      <c r="BO188" s="24"/>
    </row>
    <row r="189" spans="1:67" s="14" customFormat="1" x14ac:dyDescent="0.3">
      <c r="A189" s="20">
        <v>192</v>
      </c>
      <c r="B189" s="2" t="s">
        <v>204</v>
      </c>
      <c r="C189" s="2">
        <v>2013</v>
      </c>
      <c r="D189" s="2" t="s">
        <v>203</v>
      </c>
      <c r="E189" s="10" t="s">
        <v>792</v>
      </c>
      <c r="F189" s="20" t="s">
        <v>29</v>
      </c>
      <c r="G189" s="2" t="s">
        <v>50</v>
      </c>
      <c r="H189" s="2" t="str">
        <f>'PFAS Properties'!$B$32</f>
        <v>PFHpA</v>
      </c>
      <c r="I189" s="2" t="str">
        <f>'PFAS Properties'!$C$32</f>
        <v>PFCA</v>
      </c>
      <c r="J189" s="2" t="str">
        <f>'PFAS Properties'!$D$32</f>
        <v>C7HF13O2</v>
      </c>
      <c r="K189" s="25">
        <f>'PFAS Properties'!$P$32</f>
        <v>363.97679999999997</v>
      </c>
      <c r="L189" s="2">
        <f>'PFAS Properties'!$X$32</f>
        <v>-0.2</v>
      </c>
      <c r="M189" s="2" t="str">
        <f>'PFAS Properties'!$Y$32</f>
        <v>-</v>
      </c>
      <c r="N189" s="33">
        <v>0</v>
      </c>
      <c r="O189" s="33">
        <v>0</v>
      </c>
      <c r="P189" s="33">
        <v>0</v>
      </c>
      <c r="Q189" s="33">
        <f t="shared" si="64"/>
        <v>0.99999999000000006</v>
      </c>
      <c r="R189" s="33">
        <v>0</v>
      </c>
      <c r="S189" s="33">
        <f t="shared" si="65"/>
        <v>9.9999999000000002E-9</v>
      </c>
      <c r="T189" s="8">
        <f t="shared" si="79"/>
        <v>1</v>
      </c>
      <c r="U189" s="33">
        <f t="shared" si="52"/>
        <v>0</v>
      </c>
      <c r="V189" s="33">
        <f t="shared" si="53"/>
        <v>-0.99999999000000006</v>
      </c>
      <c r="W189" s="33">
        <f t="shared" si="54"/>
        <v>362.97680000999992</v>
      </c>
      <c r="X189" s="33">
        <v>96485</v>
      </c>
      <c r="Y189" s="16">
        <f t="shared" si="55"/>
        <v>-265.81588419009665</v>
      </c>
      <c r="Z189" s="16">
        <v>7</v>
      </c>
      <c r="AA189" s="16">
        <v>13</v>
      </c>
      <c r="AB189" s="8">
        <f t="shared" si="56"/>
        <v>0.34008097165991902</v>
      </c>
      <c r="AC189" s="16">
        <f t="shared" si="57"/>
        <v>67.861468093570807</v>
      </c>
      <c r="AD189" s="20">
        <f>'PFAS Properties'!$W$32</f>
        <v>6</v>
      </c>
      <c r="AE189" s="8">
        <f>'PFAS Properties'!$S$32</f>
        <v>3.5619357633137811</v>
      </c>
      <c r="AF189" s="15">
        <f>'PFAS Properties'!$V$32</f>
        <v>4.3</v>
      </c>
      <c r="AG189" s="24">
        <v>7.8</v>
      </c>
      <c r="AH189" s="2" t="s">
        <v>661</v>
      </c>
      <c r="AI189" s="15">
        <v>6.14</v>
      </c>
      <c r="AJ189" s="16">
        <f>AI189/10</f>
        <v>0.61399999999999999</v>
      </c>
      <c r="AK189" s="8">
        <f>AI189/10</f>
        <v>0.61399999999999999</v>
      </c>
      <c r="AL189" s="15">
        <v>1.67</v>
      </c>
      <c r="AM189" s="15">
        <f>AL189/10</f>
        <v>0.16699999999999998</v>
      </c>
      <c r="AN189" s="8">
        <f>AL189/10</f>
        <v>0.16699999999999998</v>
      </c>
      <c r="AO189" s="15" t="s">
        <v>41</v>
      </c>
      <c r="AP189" s="72">
        <v>6.4956666666666676</v>
      </c>
      <c r="AQ189" s="2" t="s">
        <v>752</v>
      </c>
      <c r="AR189" s="16">
        <v>33</v>
      </c>
      <c r="AS189" s="16">
        <v>42</v>
      </c>
      <c r="AT189" s="16">
        <v>25</v>
      </c>
      <c r="AU189" s="16" t="s">
        <v>661</v>
      </c>
      <c r="AV189" s="16">
        <f t="shared" si="78"/>
        <v>100</v>
      </c>
      <c r="AW189" s="18">
        <v>4.5</v>
      </c>
      <c r="AX189" s="13">
        <f t="shared" si="87"/>
        <v>4.4999999999999998E-2</v>
      </c>
      <c r="AY189" s="13" t="s">
        <v>42</v>
      </c>
      <c r="AZ189" s="16">
        <f>15/0.04</f>
        <v>375</v>
      </c>
      <c r="BA189" s="16" t="s">
        <v>55</v>
      </c>
      <c r="BB189" s="15">
        <v>0.5</v>
      </c>
      <c r="BC189" s="16">
        <v>1000</v>
      </c>
      <c r="BD189" s="18">
        <v>0.49</v>
      </c>
      <c r="BE189" s="15">
        <f t="shared" si="59"/>
        <v>10.888888888888889</v>
      </c>
      <c r="BF189" s="8">
        <f t="shared" si="60"/>
        <v>1.0369835662531699</v>
      </c>
      <c r="BG189" s="8">
        <f t="shared" si="61"/>
        <v>-0.30980391997148632</v>
      </c>
      <c r="BH189" s="13" t="s">
        <v>844</v>
      </c>
      <c r="BI189" s="13"/>
      <c r="BJ189" s="13"/>
      <c r="BK189" s="15"/>
      <c r="BL189" s="8"/>
      <c r="BM189" s="18"/>
      <c r="BN189" s="8"/>
      <c r="BO189" s="24"/>
    </row>
    <row r="190" spans="1:67" s="14" customFormat="1" x14ac:dyDescent="0.3">
      <c r="A190" s="20">
        <v>193</v>
      </c>
      <c r="B190" s="2" t="s">
        <v>204</v>
      </c>
      <c r="C190" s="2">
        <v>2013</v>
      </c>
      <c r="D190" s="2" t="s">
        <v>203</v>
      </c>
      <c r="E190" s="10" t="s">
        <v>792</v>
      </c>
      <c r="F190" s="20" t="s">
        <v>29</v>
      </c>
      <c r="G190" s="2" t="s">
        <v>40</v>
      </c>
      <c r="H190" s="2" t="str">
        <f>'PFAS Properties'!$B$32</f>
        <v>PFHpA</v>
      </c>
      <c r="I190" s="2" t="str">
        <f>'PFAS Properties'!$C$32</f>
        <v>PFCA</v>
      </c>
      <c r="J190" s="2" t="str">
        <f>'PFAS Properties'!$D$32</f>
        <v>C7HF13O2</v>
      </c>
      <c r="K190" s="25">
        <f>'PFAS Properties'!$P$32</f>
        <v>363.97679999999997</v>
      </c>
      <c r="L190" s="2">
        <f>'PFAS Properties'!$X$32</f>
        <v>-0.2</v>
      </c>
      <c r="M190" s="2" t="str">
        <f>'PFAS Properties'!$Y$32</f>
        <v>-</v>
      </c>
      <c r="N190" s="33">
        <v>0</v>
      </c>
      <c r="O190" s="33">
        <v>0</v>
      </c>
      <c r="P190" s="33">
        <v>0</v>
      </c>
      <c r="Q190" s="33">
        <f t="shared" si="64"/>
        <v>0.99999601894414336</v>
      </c>
      <c r="R190" s="33">
        <v>0</v>
      </c>
      <c r="S190" s="33">
        <f t="shared" si="65"/>
        <v>3.981055856666137E-6</v>
      </c>
      <c r="T190" s="8">
        <f t="shared" si="79"/>
        <v>1</v>
      </c>
      <c r="U190" s="33">
        <f t="shared" ref="U190:U250" si="88">((1*N190)+(1*O190)+(1*P190))</f>
        <v>0</v>
      </c>
      <c r="V190" s="33">
        <f t="shared" ref="V190:V250" si="89">-((1*O190)+(2*P190)+(1*Q190)+(2*R190))</f>
        <v>-0.99999601894414336</v>
      </c>
      <c r="W190" s="33">
        <f t="shared" ref="W190:W250" si="90">(N190*(K190+1))+(O190*K190)+(P190*(K190-1))+(Q190*(K190-1))+(R190*(K190-2))+(S190*K190)</f>
        <v>362.97680398105581</v>
      </c>
      <c r="X190" s="33">
        <v>96485</v>
      </c>
      <c r="Y190" s="16">
        <f t="shared" ref="Y190:Y250" si="91">((V190+U190)/W190)*X190</f>
        <v>-265.81482571228247</v>
      </c>
      <c r="Z190" s="16">
        <v>7</v>
      </c>
      <c r="AA190" s="16">
        <v>13</v>
      </c>
      <c r="AB190" s="8">
        <f t="shared" ref="AB190:AB250" si="92">(Z190/AA190)*(12/19)</f>
        <v>0.34008097165991902</v>
      </c>
      <c r="AC190" s="16">
        <f t="shared" ref="AC190:AC250" si="93">((AA190*19)/K190)*100</f>
        <v>67.861468093570807</v>
      </c>
      <c r="AD190" s="20">
        <f>'PFAS Properties'!$W$32</f>
        <v>6</v>
      </c>
      <c r="AE190" s="8">
        <f>'PFAS Properties'!$S$32</f>
        <v>3.5619357633137811</v>
      </c>
      <c r="AF190" s="15">
        <f>'PFAS Properties'!$V$32</f>
        <v>4.3</v>
      </c>
      <c r="AG190" s="24">
        <v>5.2</v>
      </c>
      <c r="AH190" s="2" t="s">
        <v>661</v>
      </c>
      <c r="AI190" s="15">
        <v>24.17</v>
      </c>
      <c r="AJ190" s="16">
        <f>AI190*1000/55.845</f>
        <v>432.80508550452146</v>
      </c>
      <c r="AK190" s="8">
        <f>AI190/10</f>
        <v>2.4170000000000003</v>
      </c>
      <c r="AL190" s="15">
        <v>3.99</v>
      </c>
      <c r="AM190" s="16">
        <f>AL190*1000/26.98</f>
        <v>147.88732394366198</v>
      </c>
      <c r="AN190" s="8">
        <f>AL190/10</f>
        <v>0.39900000000000002</v>
      </c>
      <c r="AO190" s="15" t="s">
        <v>41</v>
      </c>
      <c r="AP190" s="72">
        <v>12.009766666666669</v>
      </c>
      <c r="AQ190" s="2" t="s">
        <v>752</v>
      </c>
      <c r="AR190" s="16">
        <v>47</v>
      </c>
      <c r="AS190" s="16">
        <v>20</v>
      </c>
      <c r="AT190" s="16">
        <v>33</v>
      </c>
      <c r="AU190" s="16" t="s">
        <v>661</v>
      </c>
      <c r="AV190" s="16">
        <f t="shared" si="78"/>
        <v>100</v>
      </c>
      <c r="AW190" s="18">
        <v>0.8</v>
      </c>
      <c r="AX190" s="13">
        <f t="shared" si="87"/>
        <v>8.0000000000000002E-3</v>
      </c>
      <c r="AY190" s="13" t="s">
        <v>42</v>
      </c>
      <c r="AZ190" s="16">
        <f>15/0.04</f>
        <v>375</v>
      </c>
      <c r="BA190" s="16" t="s">
        <v>55</v>
      </c>
      <c r="BB190" s="15">
        <v>0.5</v>
      </c>
      <c r="BC190" s="16">
        <v>1000</v>
      </c>
      <c r="BD190" s="18">
        <v>0.33</v>
      </c>
      <c r="BE190" s="15">
        <f t="shared" ref="BE190:BE250" si="94">BD190/AX190</f>
        <v>41.25</v>
      </c>
      <c r="BF190" s="8">
        <f t="shared" ref="BF190:BF250" si="95">LOG(BE190)</f>
        <v>1.615423952885944</v>
      </c>
      <c r="BG190" s="8">
        <f t="shared" ref="BG190:BG250" si="96">LOG(BD190)</f>
        <v>-0.48148606012211248</v>
      </c>
      <c r="BH190" s="13" t="s">
        <v>844</v>
      </c>
      <c r="BI190" s="13"/>
      <c r="BJ190" s="13"/>
      <c r="BK190" s="15"/>
      <c r="BL190" s="8"/>
      <c r="BM190" s="18"/>
      <c r="BN190" s="8"/>
      <c r="BO190" s="24"/>
    </row>
    <row r="191" spans="1:67" s="14" customFormat="1" x14ac:dyDescent="0.3">
      <c r="A191" s="20">
        <v>194</v>
      </c>
      <c r="B191" s="2" t="s">
        <v>210</v>
      </c>
      <c r="C191" s="2">
        <v>2010</v>
      </c>
      <c r="D191" s="2" t="s">
        <v>209</v>
      </c>
      <c r="E191" s="10" t="s">
        <v>208</v>
      </c>
      <c r="F191" s="20" t="s">
        <v>29</v>
      </c>
      <c r="G191" s="2" t="s">
        <v>52</v>
      </c>
      <c r="H191" s="2" t="str">
        <f>'PFAS Properties'!$B$32</f>
        <v>PFHpA</v>
      </c>
      <c r="I191" s="2" t="str">
        <f>'PFAS Properties'!$C$32</f>
        <v>PFCA</v>
      </c>
      <c r="J191" s="2" t="str">
        <f>'PFAS Properties'!$D$32</f>
        <v>C7HF13O2</v>
      </c>
      <c r="K191" s="25">
        <f>'PFAS Properties'!$P$32</f>
        <v>363.97679999999997</v>
      </c>
      <c r="L191" s="2">
        <f>'PFAS Properties'!$X$32</f>
        <v>-0.2</v>
      </c>
      <c r="M191" s="2" t="str">
        <f>'PFAS Properties'!$Y$32</f>
        <v>-</v>
      </c>
      <c r="N191" s="33">
        <v>0</v>
      </c>
      <c r="O191" s="33">
        <v>0</v>
      </c>
      <c r="P191" s="33">
        <v>0</v>
      </c>
      <c r="Q191" s="33">
        <f t="shared" si="64"/>
        <v>0.99999998415106828</v>
      </c>
      <c r="R191" s="33">
        <v>0</v>
      </c>
      <c r="S191" s="33">
        <f t="shared" si="65"/>
        <v>1.5848931673422493E-8</v>
      </c>
      <c r="T191" s="8">
        <f t="shared" si="79"/>
        <v>1</v>
      </c>
      <c r="U191" s="33">
        <f t="shared" si="88"/>
        <v>0</v>
      </c>
      <c r="V191" s="33">
        <f t="shared" si="89"/>
        <v>-0.99999998415106828</v>
      </c>
      <c r="W191" s="33">
        <f t="shared" si="90"/>
        <v>362.97680001584894</v>
      </c>
      <c r="X191" s="33">
        <v>96485</v>
      </c>
      <c r="Y191" s="16">
        <f t="shared" si="91"/>
        <v>-265.81588263107426</v>
      </c>
      <c r="Z191" s="16">
        <v>7</v>
      </c>
      <c r="AA191" s="16">
        <v>13</v>
      </c>
      <c r="AB191" s="8">
        <f t="shared" si="92"/>
        <v>0.34008097165991902</v>
      </c>
      <c r="AC191" s="16">
        <f t="shared" si="93"/>
        <v>67.861468093570807</v>
      </c>
      <c r="AD191" s="20">
        <f>'PFAS Properties'!$W$32</f>
        <v>6</v>
      </c>
      <c r="AE191" s="8">
        <f>'PFAS Properties'!$S$32</f>
        <v>3.5619357633137811</v>
      </c>
      <c r="AF191" s="15">
        <f>'PFAS Properties'!$V$32</f>
        <v>4.3</v>
      </c>
      <c r="AG191" s="24">
        <v>7.6</v>
      </c>
      <c r="AH191" s="2" t="s">
        <v>661</v>
      </c>
      <c r="AI191" s="2">
        <v>8.1199999999999992</v>
      </c>
      <c r="AJ191" s="15">
        <f>AI191*1000/55.845</f>
        <v>145.40245321873041</v>
      </c>
      <c r="AK191" s="8">
        <f t="shared" ref="AK191:AK195" si="97">AI191/10</f>
        <v>0.81199999999999994</v>
      </c>
      <c r="AL191" s="2">
        <v>1.294</v>
      </c>
      <c r="AM191" s="15">
        <f>AL191*1000/26.98</f>
        <v>47.961452928094886</v>
      </c>
      <c r="AN191" s="8">
        <f t="shared" ref="AN191:AN195" si="98">AL191/10</f>
        <v>0.12940000000000002</v>
      </c>
      <c r="AO191" s="15" t="s">
        <v>41</v>
      </c>
      <c r="AP191" s="72">
        <v>5.6985666666666646</v>
      </c>
      <c r="AQ191" s="70" t="s">
        <v>752</v>
      </c>
      <c r="AR191" s="2">
        <v>41</v>
      </c>
      <c r="AS191" s="2">
        <v>22</v>
      </c>
      <c r="AT191" s="2">
        <v>37</v>
      </c>
      <c r="AU191" s="16" t="s">
        <v>661</v>
      </c>
      <c r="AV191" s="16">
        <f t="shared" si="78"/>
        <v>100</v>
      </c>
      <c r="AW191" s="18">
        <v>0.42</v>
      </c>
      <c r="AX191" s="13">
        <f t="shared" si="87"/>
        <v>4.1999999999999997E-3</v>
      </c>
      <c r="AY191" s="13" t="s">
        <v>53</v>
      </c>
      <c r="AZ191" s="16">
        <f>12/0.025</f>
        <v>480</v>
      </c>
      <c r="BA191" s="16" t="s">
        <v>55</v>
      </c>
      <c r="BB191" s="8">
        <v>0.02</v>
      </c>
      <c r="BC191" s="8">
        <v>1</v>
      </c>
      <c r="BD191" s="18">
        <v>0.63</v>
      </c>
      <c r="BE191" s="15">
        <f t="shared" si="94"/>
        <v>150</v>
      </c>
      <c r="BF191" s="8">
        <f t="shared" si="95"/>
        <v>2.1760912590556813</v>
      </c>
      <c r="BG191" s="8">
        <f t="shared" si="96"/>
        <v>-0.20065945054641829</v>
      </c>
      <c r="BH191" s="13" t="s">
        <v>837</v>
      </c>
      <c r="BI191" s="13"/>
      <c r="BJ191" s="13"/>
      <c r="BK191" s="13"/>
      <c r="BL191" s="13"/>
      <c r="BM191" s="17"/>
      <c r="BN191" s="17"/>
      <c r="BO191" s="2"/>
    </row>
    <row r="192" spans="1:67" s="14" customFormat="1" x14ac:dyDescent="0.3">
      <c r="A192" s="20">
        <v>195</v>
      </c>
      <c r="B192" s="2" t="s">
        <v>210</v>
      </c>
      <c r="C192" s="2">
        <v>2010</v>
      </c>
      <c r="D192" s="2" t="s">
        <v>209</v>
      </c>
      <c r="E192" s="10" t="s">
        <v>208</v>
      </c>
      <c r="F192" s="20" t="s">
        <v>29</v>
      </c>
      <c r="G192" s="2" t="s">
        <v>54</v>
      </c>
      <c r="H192" s="2" t="str">
        <f>'PFAS Properties'!$B$32</f>
        <v>PFHpA</v>
      </c>
      <c r="I192" s="2" t="str">
        <f>'PFAS Properties'!$C$32</f>
        <v>PFCA</v>
      </c>
      <c r="J192" s="2" t="str">
        <f>'PFAS Properties'!$D$32</f>
        <v>C7HF13O2</v>
      </c>
      <c r="K192" s="25">
        <f>'PFAS Properties'!$P$32</f>
        <v>363.97679999999997</v>
      </c>
      <c r="L192" s="2">
        <f>'PFAS Properties'!$X$32</f>
        <v>-0.2</v>
      </c>
      <c r="M192" s="2" t="str">
        <f>'PFAS Properties'!$Y$32</f>
        <v>-</v>
      </c>
      <c r="N192" s="33">
        <v>0</v>
      </c>
      <c r="O192" s="33">
        <v>0</v>
      </c>
      <c r="P192" s="33">
        <v>0</v>
      </c>
      <c r="Q192" s="33">
        <f t="shared" si="64"/>
        <v>0.99999949881301753</v>
      </c>
      <c r="R192" s="33">
        <v>0</v>
      </c>
      <c r="S192" s="33">
        <f t="shared" si="65"/>
        <v>5.0118698243875488E-7</v>
      </c>
      <c r="T192" s="8">
        <f t="shared" si="79"/>
        <v>1</v>
      </c>
      <c r="U192" s="33">
        <f t="shared" si="88"/>
        <v>0</v>
      </c>
      <c r="V192" s="33">
        <f t="shared" si="89"/>
        <v>-0.99999949881301753</v>
      </c>
      <c r="W192" s="33">
        <f t="shared" si="90"/>
        <v>362.97680050118691</v>
      </c>
      <c r="X192" s="33">
        <v>96485</v>
      </c>
      <c r="Y192" s="16">
        <f t="shared" si="91"/>
        <v>-265.81575326508641</v>
      </c>
      <c r="Z192" s="16">
        <v>7</v>
      </c>
      <c r="AA192" s="16">
        <v>13</v>
      </c>
      <c r="AB192" s="8">
        <f t="shared" si="92"/>
        <v>0.34008097165991902</v>
      </c>
      <c r="AC192" s="16">
        <f t="shared" si="93"/>
        <v>67.861468093570807</v>
      </c>
      <c r="AD192" s="20">
        <f>'PFAS Properties'!$W$32</f>
        <v>6</v>
      </c>
      <c r="AE192" s="8">
        <f>'PFAS Properties'!$S$32</f>
        <v>3.5619357633137811</v>
      </c>
      <c r="AF192" s="15">
        <f>'PFAS Properties'!$V$32</f>
        <v>4.3</v>
      </c>
      <c r="AG192" s="24">
        <v>6.1</v>
      </c>
      <c r="AH192" s="2" t="s">
        <v>661</v>
      </c>
      <c r="AI192" s="2">
        <v>2.73</v>
      </c>
      <c r="AJ192" s="15">
        <f>AI192*1000/55.845</f>
        <v>48.885307547676604</v>
      </c>
      <c r="AK192" s="8">
        <f t="shared" si="97"/>
        <v>0.27300000000000002</v>
      </c>
      <c r="AL192" s="2">
        <v>2.6320000000000001</v>
      </c>
      <c r="AM192" s="15">
        <f>AL192*1000/26.98</f>
        <v>97.553743513713854</v>
      </c>
      <c r="AN192" s="8">
        <f t="shared" si="98"/>
        <v>0.26319999999999999</v>
      </c>
      <c r="AO192" s="15" t="s">
        <v>41</v>
      </c>
      <c r="AP192" s="72">
        <v>12.81991666666667</v>
      </c>
      <c r="AQ192" s="70" t="s">
        <v>752</v>
      </c>
      <c r="AR192" s="2">
        <v>94</v>
      </c>
      <c r="AS192" s="2">
        <v>1</v>
      </c>
      <c r="AT192" s="2">
        <v>5</v>
      </c>
      <c r="AU192" s="16" t="s">
        <v>661</v>
      </c>
      <c r="AV192" s="16">
        <f t="shared" si="78"/>
        <v>100</v>
      </c>
      <c r="AW192" s="18">
        <v>1</v>
      </c>
      <c r="AX192" s="13">
        <f t="shared" si="87"/>
        <v>0.01</v>
      </c>
      <c r="AY192" s="13" t="s">
        <v>53</v>
      </c>
      <c r="AZ192" s="16">
        <f>12/0.025</f>
        <v>480</v>
      </c>
      <c r="BA192" s="16" t="s">
        <v>55</v>
      </c>
      <c r="BB192" s="8">
        <v>0.02</v>
      </c>
      <c r="BC192" s="8">
        <v>1</v>
      </c>
      <c r="BD192" s="18">
        <v>0.63</v>
      </c>
      <c r="BE192" s="15">
        <f t="shared" si="94"/>
        <v>63</v>
      </c>
      <c r="BF192" s="8">
        <f t="shared" si="95"/>
        <v>1.7993405494535817</v>
      </c>
      <c r="BG192" s="8">
        <f t="shared" si="96"/>
        <v>-0.20065945054641829</v>
      </c>
      <c r="BH192" s="13" t="s">
        <v>837</v>
      </c>
      <c r="BI192" s="13"/>
      <c r="BJ192" s="13"/>
      <c r="BK192" s="13"/>
      <c r="BL192" s="13"/>
      <c r="BM192" s="17"/>
      <c r="BN192" s="17"/>
      <c r="BO192" s="2"/>
    </row>
    <row r="193" spans="1:67" s="14" customFormat="1" x14ac:dyDescent="0.3">
      <c r="A193" s="20">
        <v>196</v>
      </c>
      <c r="B193" s="2" t="s">
        <v>195</v>
      </c>
      <c r="C193" s="2">
        <v>2018</v>
      </c>
      <c r="D193" s="2" t="s">
        <v>199</v>
      </c>
      <c r="E193" s="10" t="s">
        <v>795</v>
      </c>
      <c r="F193" s="20" t="s">
        <v>29</v>
      </c>
      <c r="G193" s="2" t="s">
        <v>47</v>
      </c>
      <c r="H193" s="2" t="str">
        <f>'PFAS Properties'!$B$32</f>
        <v>PFHpA</v>
      </c>
      <c r="I193" s="2" t="str">
        <f>'PFAS Properties'!$C$32</f>
        <v>PFCA</v>
      </c>
      <c r="J193" s="2" t="str">
        <f>'PFAS Properties'!$D$32</f>
        <v>C7HF13O2</v>
      </c>
      <c r="K193" s="25">
        <f>'PFAS Properties'!$P$32</f>
        <v>363.97679999999997</v>
      </c>
      <c r="L193" s="2">
        <f>'PFAS Properties'!$X$32</f>
        <v>-0.2</v>
      </c>
      <c r="M193" s="2" t="str">
        <f>'PFAS Properties'!$Y$32</f>
        <v>-</v>
      </c>
      <c r="N193" s="33">
        <v>0</v>
      </c>
      <c r="O193" s="33">
        <v>0</v>
      </c>
      <c r="P193" s="33">
        <v>0</v>
      </c>
      <c r="Q193" s="33">
        <f t="shared" si="64"/>
        <v>0.99998004777494953</v>
      </c>
      <c r="R193" s="33">
        <v>0</v>
      </c>
      <c r="S193" s="33">
        <f t="shared" si="65"/>
        <v>1.9952225050461341E-5</v>
      </c>
      <c r="T193" s="8">
        <f t="shared" si="79"/>
        <v>1</v>
      </c>
      <c r="U193" s="33">
        <f t="shared" si="88"/>
        <v>0</v>
      </c>
      <c r="V193" s="33">
        <f t="shared" si="89"/>
        <v>-0.99998004777494953</v>
      </c>
      <c r="W193" s="33">
        <f t="shared" si="90"/>
        <v>362.97681995222501</v>
      </c>
      <c r="X193" s="33">
        <v>96485</v>
      </c>
      <c r="Y193" s="16">
        <f t="shared" si="91"/>
        <v>-265.81056862602162</v>
      </c>
      <c r="Z193" s="16">
        <v>7</v>
      </c>
      <c r="AA193" s="16">
        <v>13</v>
      </c>
      <c r="AB193" s="8">
        <f t="shared" si="92"/>
        <v>0.34008097165991902</v>
      </c>
      <c r="AC193" s="16">
        <f t="shared" si="93"/>
        <v>67.861468093570807</v>
      </c>
      <c r="AD193" s="20">
        <f>'PFAS Properties'!$W$32</f>
        <v>6</v>
      </c>
      <c r="AE193" s="8">
        <f>'PFAS Properties'!$S$32</f>
        <v>3.5619357633137811</v>
      </c>
      <c r="AF193" s="15">
        <f>'PFAS Properties'!$V$32</f>
        <v>4.3</v>
      </c>
      <c r="AG193" s="24">
        <v>4.5</v>
      </c>
      <c r="AH193" s="2" t="s">
        <v>658</v>
      </c>
      <c r="AI193" s="8">
        <f>AJ193*55.845/1000</f>
        <v>5.8637250000000002E-2</v>
      </c>
      <c r="AJ193" s="16">
        <v>1.05</v>
      </c>
      <c r="AK193" s="8">
        <f t="shared" si="97"/>
        <v>5.8637250000000002E-3</v>
      </c>
      <c r="AL193" s="15">
        <f>AM193*26.98/1000</f>
        <v>0.18454320000000002</v>
      </c>
      <c r="AM193" s="16">
        <v>6.84</v>
      </c>
      <c r="AN193" s="8">
        <f t="shared" si="98"/>
        <v>1.8454320000000003E-2</v>
      </c>
      <c r="AO193" s="2" t="s">
        <v>48</v>
      </c>
      <c r="AP193" s="72">
        <v>21.496500000000001</v>
      </c>
      <c r="AQ193" s="70" t="s">
        <v>752</v>
      </c>
      <c r="AR193" s="71">
        <v>41.737499999999997</v>
      </c>
      <c r="AS193" s="71">
        <v>35.036999999999999</v>
      </c>
      <c r="AT193" s="71">
        <v>21.971</v>
      </c>
      <c r="AU193" s="70" t="s">
        <v>752</v>
      </c>
      <c r="AV193" s="16">
        <f t="shared" si="78"/>
        <v>98.745499999999993</v>
      </c>
      <c r="AW193" s="18">
        <v>45</v>
      </c>
      <c r="AX193" s="13">
        <f t="shared" si="87"/>
        <v>0.45</v>
      </c>
      <c r="AY193" s="8" t="s">
        <v>49</v>
      </c>
      <c r="AZ193" s="16">
        <f>0.45/0.04</f>
        <v>11.25</v>
      </c>
      <c r="BA193" s="16" t="s">
        <v>55</v>
      </c>
      <c r="BB193" s="8">
        <v>1.25</v>
      </c>
      <c r="BC193" s="8" t="s">
        <v>55</v>
      </c>
      <c r="BD193" s="25">
        <f>(10^(1.6)*AX193)</f>
        <v>17.914822674907391</v>
      </c>
      <c r="BE193" s="15">
        <f t="shared" si="94"/>
        <v>39.810717055349755</v>
      </c>
      <c r="BF193" s="8">
        <f t="shared" si="95"/>
        <v>1.6000000000000003</v>
      </c>
      <c r="BG193" s="8">
        <f t="shared" si="96"/>
        <v>1.253212513775344</v>
      </c>
      <c r="BH193" s="2" t="s">
        <v>821</v>
      </c>
      <c r="BI193" s="13"/>
      <c r="BJ193" s="13"/>
      <c r="BK193" s="13"/>
      <c r="BL193" s="13"/>
      <c r="BM193" s="18"/>
      <c r="BN193" s="18"/>
      <c r="BO193" s="2"/>
    </row>
    <row r="194" spans="1:67" s="14" customFormat="1" x14ac:dyDescent="0.3">
      <c r="A194" s="20">
        <v>197</v>
      </c>
      <c r="B194" s="2" t="s">
        <v>195</v>
      </c>
      <c r="C194" s="2">
        <v>2022</v>
      </c>
      <c r="D194" s="2" t="s">
        <v>199</v>
      </c>
      <c r="E194" s="22" t="s">
        <v>798</v>
      </c>
      <c r="F194" s="20" t="s">
        <v>29</v>
      </c>
      <c r="G194" s="2" t="s">
        <v>237</v>
      </c>
      <c r="H194" s="2" t="str">
        <f>'PFAS Properties'!$B$32</f>
        <v>PFHpA</v>
      </c>
      <c r="I194" s="2" t="str">
        <f>'PFAS Properties'!$C$32</f>
        <v>PFCA</v>
      </c>
      <c r="J194" s="2" t="str">
        <f>'PFAS Properties'!$D$32</f>
        <v>C7HF13O2</v>
      </c>
      <c r="K194" s="25">
        <f>'PFAS Properties'!$P$32</f>
        <v>363.97679999999997</v>
      </c>
      <c r="L194" s="2">
        <f>'PFAS Properties'!$X$32</f>
        <v>-0.2</v>
      </c>
      <c r="M194" s="2" t="str">
        <f>'PFAS Properties'!$Y$32</f>
        <v>-</v>
      </c>
      <c r="N194" s="33">
        <v>0</v>
      </c>
      <c r="O194" s="33">
        <v>0</v>
      </c>
      <c r="P194" s="33">
        <v>0</v>
      </c>
      <c r="Q194" s="33">
        <f t="shared" si="64"/>
        <v>0.99984153579563773</v>
      </c>
      <c r="R194" s="33">
        <v>0</v>
      </c>
      <c r="S194" s="33">
        <f t="shared" si="65"/>
        <v>1.5846420436223696E-4</v>
      </c>
      <c r="T194" s="8">
        <f t="shared" si="79"/>
        <v>1</v>
      </c>
      <c r="U194" s="33">
        <f t="shared" si="88"/>
        <v>0</v>
      </c>
      <c r="V194" s="33">
        <f t="shared" si="89"/>
        <v>-0.99984153579563773</v>
      </c>
      <c r="W194" s="33">
        <f t="shared" si="90"/>
        <v>362.97695846420436</v>
      </c>
      <c r="X194" s="33">
        <v>96485</v>
      </c>
      <c r="Y194" s="16">
        <f t="shared" si="91"/>
        <v>-265.77364852418214</v>
      </c>
      <c r="Z194" s="16">
        <v>7</v>
      </c>
      <c r="AA194" s="16">
        <v>13</v>
      </c>
      <c r="AB194" s="8">
        <f t="shared" si="92"/>
        <v>0.34008097165991902</v>
      </c>
      <c r="AC194" s="16">
        <f t="shared" si="93"/>
        <v>67.861468093570807</v>
      </c>
      <c r="AD194" s="20">
        <f>'PFAS Properties'!$W$32</f>
        <v>6</v>
      </c>
      <c r="AE194" s="8">
        <f>'PFAS Properties'!$S$32</f>
        <v>3.5619357633137811</v>
      </c>
      <c r="AF194" s="15">
        <f>'PFAS Properties'!$V$32</f>
        <v>4.3</v>
      </c>
      <c r="AG194" s="24">
        <v>3.6</v>
      </c>
      <c r="AH194" s="2" t="s">
        <v>832</v>
      </c>
      <c r="AI194" s="8">
        <f>(6.8*55.845)/1000</f>
        <v>0.37974599999999997</v>
      </c>
      <c r="AJ194" s="15">
        <f>AI194*1000/55.845</f>
        <v>6.8</v>
      </c>
      <c r="AK194" s="8">
        <f t="shared" si="97"/>
        <v>3.7974599999999997E-2</v>
      </c>
      <c r="AL194" s="8">
        <f>(4*26.982)/1000</f>
        <v>0.107928</v>
      </c>
      <c r="AM194" s="15">
        <f>AL194*1000/55.845</f>
        <v>1.932634971796938</v>
      </c>
      <c r="AN194" s="8">
        <f t="shared" si="98"/>
        <v>1.07928E-2</v>
      </c>
      <c r="AO194" s="2" t="s">
        <v>86</v>
      </c>
      <c r="AP194" s="72">
        <v>21.496500000000001</v>
      </c>
      <c r="AQ194" s="70" t="s">
        <v>752</v>
      </c>
      <c r="AR194" s="71">
        <v>41.737499999999997</v>
      </c>
      <c r="AS194" s="71">
        <v>35.037000000000013</v>
      </c>
      <c r="AT194" s="71">
        <v>21.971</v>
      </c>
      <c r="AU194" s="70" t="s">
        <v>752</v>
      </c>
      <c r="AV194" s="16">
        <f t="shared" si="78"/>
        <v>98.745500000000021</v>
      </c>
      <c r="AW194" s="18">
        <v>44.9</v>
      </c>
      <c r="AX194" s="13">
        <f t="shared" si="87"/>
        <v>0.44900000000000001</v>
      </c>
      <c r="AY194" s="8" t="s">
        <v>240</v>
      </c>
      <c r="AZ194" s="16">
        <f>0.75/0.03</f>
        <v>25</v>
      </c>
      <c r="BA194" s="16" t="s">
        <v>55</v>
      </c>
      <c r="BB194" s="16">
        <f>22*K194/1000</f>
        <v>8.0074895999999995</v>
      </c>
      <c r="BC194" s="16" t="s">
        <v>55</v>
      </c>
      <c r="BD194" s="25">
        <f>(10^(2.12)*AX194)</f>
        <v>59.189727561182742</v>
      </c>
      <c r="BE194" s="15">
        <f t="shared" si="94"/>
        <v>131.82567385564084</v>
      </c>
      <c r="BF194" s="8">
        <f t="shared" si="95"/>
        <v>2.1200000000000006</v>
      </c>
      <c r="BG194" s="8">
        <f t="shared" si="96"/>
        <v>1.7722463410033236</v>
      </c>
      <c r="BH194" s="2" t="s">
        <v>646</v>
      </c>
      <c r="BI194" s="16"/>
      <c r="BJ194" s="13"/>
      <c r="BK194" s="13"/>
      <c r="BL194" s="8"/>
      <c r="BM194" s="18"/>
      <c r="BN194" s="8"/>
      <c r="BO194" s="24"/>
    </row>
    <row r="195" spans="1:67" s="14" customFormat="1" x14ac:dyDescent="0.3">
      <c r="A195" s="20">
        <v>198</v>
      </c>
      <c r="B195" s="2" t="s">
        <v>195</v>
      </c>
      <c r="C195" s="2">
        <v>2022</v>
      </c>
      <c r="D195" s="2" t="s">
        <v>199</v>
      </c>
      <c r="E195" s="22" t="s">
        <v>798</v>
      </c>
      <c r="F195" s="20" t="s">
        <v>29</v>
      </c>
      <c r="G195" s="2" t="s">
        <v>239</v>
      </c>
      <c r="H195" s="2" t="str">
        <f>'PFAS Properties'!$B$32</f>
        <v>PFHpA</v>
      </c>
      <c r="I195" s="2" t="str">
        <f>'PFAS Properties'!$C$32</f>
        <v>PFCA</v>
      </c>
      <c r="J195" s="2" t="str">
        <f>'PFAS Properties'!$D$32</f>
        <v>C7HF13O2</v>
      </c>
      <c r="K195" s="25">
        <f>'PFAS Properties'!$P$32</f>
        <v>363.97679999999997</v>
      </c>
      <c r="L195" s="2">
        <f>'PFAS Properties'!$X$32</f>
        <v>-0.2</v>
      </c>
      <c r="M195" s="2" t="str">
        <f>'PFAS Properties'!$Y$32</f>
        <v>-</v>
      </c>
      <c r="N195" s="33">
        <v>0</v>
      </c>
      <c r="O195" s="33">
        <v>0</v>
      </c>
      <c r="P195" s="33">
        <v>0</v>
      </c>
      <c r="Q195" s="33">
        <f t="shared" si="64"/>
        <v>0.99993690824637249</v>
      </c>
      <c r="R195" s="33">
        <v>0</v>
      </c>
      <c r="S195" s="33">
        <f t="shared" si="65"/>
        <v>6.3091753627486543E-5</v>
      </c>
      <c r="T195" s="8">
        <f t="shared" si="79"/>
        <v>1</v>
      </c>
      <c r="U195" s="33">
        <f t="shared" si="88"/>
        <v>0</v>
      </c>
      <c r="V195" s="33">
        <f t="shared" si="89"/>
        <v>-0.99993690824637249</v>
      </c>
      <c r="W195" s="33">
        <f t="shared" si="90"/>
        <v>362.97686309175356</v>
      </c>
      <c r="X195" s="33">
        <v>96485</v>
      </c>
      <c r="Y195" s="16">
        <f t="shared" si="91"/>
        <v>-265.79906986458042</v>
      </c>
      <c r="Z195" s="16">
        <v>7</v>
      </c>
      <c r="AA195" s="16">
        <v>13</v>
      </c>
      <c r="AB195" s="8">
        <f t="shared" si="92"/>
        <v>0.34008097165991902</v>
      </c>
      <c r="AC195" s="16">
        <f t="shared" si="93"/>
        <v>67.861468093570807</v>
      </c>
      <c r="AD195" s="20">
        <f>'PFAS Properties'!$W$32</f>
        <v>6</v>
      </c>
      <c r="AE195" s="8">
        <f>'PFAS Properties'!$S$32</f>
        <v>3.5619357633137811</v>
      </c>
      <c r="AF195" s="15">
        <f>'PFAS Properties'!$V$32</f>
        <v>4.3</v>
      </c>
      <c r="AG195" s="24">
        <v>4</v>
      </c>
      <c r="AH195" s="2" t="s">
        <v>832</v>
      </c>
      <c r="AI195" s="8">
        <f>(5*55.845)/1000</f>
        <v>0.279225</v>
      </c>
      <c r="AJ195" s="15">
        <f>AI195*1000/55.845</f>
        <v>5.0000000000000009</v>
      </c>
      <c r="AK195" s="8">
        <f t="shared" si="97"/>
        <v>2.7922499999999999E-2</v>
      </c>
      <c r="AL195" s="8">
        <f>(15*26.982)/1000</f>
        <v>0.40473000000000003</v>
      </c>
      <c r="AM195" s="15">
        <f>AL195*1000/55.845</f>
        <v>7.2473811442385179</v>
      </c>
      <c r="AN195" s="8">
        <f t="shared" si="98"/>
        <v>4.0473000000000002E-2</v>
      </c>
      <c r="AO195" s="2" t="s">
        <v>86</v>
      </c>
      <c r="AP195" s="72">
        <v>21.496500000000001</v>
      </c>
      <c r="AQ195" s="70" t="s">
        <v>752</v>
      </c>
      <c r="AR195" s="71">
        <v>41.737499999999997</v>
      </c>
      <c r="AS195" s="71">
        <v>35.036999999999999</v>
      </c>
      <c r="AT195" s="71">
        <v>21.971</v>
      </c>
      <c r="AU195" s="70" t="s">
        <v>752</v>
      </c>
      <c r="AV195" s="16">
        <f t="shared" si="78"/>
        <v>98.745499999999993</v>
      </c>
      <c r="AW195" s="18">
        <v>53.6</v>
      </c>
      <c r="AX195" s="13">
        <f t="shared" si="87"/>
        <v>0.53600000000000003</v>
      </c>
      <c r="AY195" s="8" t="s">
        <v>240</v>
      </c>
      <c r="AZ195" s="16">
        <f>0.75/0.03</f>
        <v>25</v>
      </c>
      <c r="BA195" s="16" t="s">
        <v>55</v>
      </c>
      <c r="BB195" s="16">
        <f>22*K195/1000</f>
        <v>8.0074895999999995</v>
      </c>
      <c r="BC195" s="16" t="s">
        <v>55</v>
      </c>
      <c r="BD195" s="25">
        <f>(10^(1.94)*AX195)</f>
        <v>46.683648421645927</v>
      </c>
      <c r="BE195" s="15">
        <f t="shared" si="94"/>
        <v>87.096358995608071</v>
      </c>
      <c r="BF195" s="8">
        <f t="shared" si="95"/>
        <v>1.94</v>
      </c>
      <c r="BG195" s="8">
        <f t="shared" si="96"/>
        <v>1.6691647896927702</v>
      </c>
      <c r="BH195" s="2" t="s">
        <v>646</v>
      </c>
      <c r="BI195" s="16"/>
      <c r="BJ195" s="13"/>
      <c r="BK195" s="13"/>
      <c r="BL195" s="8"/>
      <c r="BM195" s="18"/>
      <c r="BN195" s="8"/>
      <c r="BO195" s="24"/>
    </row>
    <row r="196" spans="1:67" s="14" customFormat="1" x14ac:dyDescent="0.3">
      <c r="A196" s="20">
        <v>199</v>
      </c>
      <c r="B196" s="2" t="s">
        <v>211</v>
      </c>
      <c r="C196" s="2">
        <v>2019</v>
      </c>
      <c r="D196" s="2" t="s">
        <v>212</v>
      </c>
      <c r="E196" s="10" t="s">
        <v>213</v>
      </c>
      <c r="F196" s="20" t="s">
        <v>29</v>
      </c>
      <c r="G196" s="2" t="s">
        <v>55</v>
      </c>
      <c r="H196" s="2" t="str">
        <f>'PFAS Properties'!$B$32</f>
        <v>PFHpA</v>
      </c>
      <c r="I196" s="2" t="str">
        <f>'PFAS Properties'!$C$32</f>
        <v>PFCA</v>
      </c>
      <c r="J196" s="2" t="str">
        <f>'PFAS Properties'!$D$32</f>
        <v>C7HF13O2</v>
      </c>
      <c r="K196" s="25">
        <f>'PFAS Properties'!$P$32</f>
        <v>363.97679999999997</v>
      </c>
      <c r="L196" s="2">
        <f>'PFAS Properties'!$X$32</f>
        <v>-0.2</v>
      </c>
      <c r="M196" s="2" t="str">
        <f>'PFAS Properties'!$Y$32</f>
        <v>-</v>
      </c>
      <c r="N196" s="33">
        <v>0</v>
      </c>
      <c r="O196" s="33">
        <v>0</v>
      </c>
      <c r="P196" s="33">
        <v>0</v>
      </c>
      <c r="Q196" s="33">
        <f t="shared" si="64"/>
        <v>0.99999993690426958</v>
      </c>
      <c r="R196" s="33">
        <v>0</v>
      </c>
      <c r="S196" s="33">
        <f t="shared" si="65"/>
        <v>6.3095730466947729E-8</v>
      </c>
      <c r="T196" s="8">
        <f t="shared" si="79"/>
        <v>1</v>
      </c>
      <c r="U196" s="33">
        <f t="shared" si="88"/>
        <v>0</v>
      </c>
      <c r="V196" s="33">
        <f t="shared" si="89"/>
        <v>-0.99999993690426958</v>
      </c>
      <c r="W196" s="33">
        <f t="shared" si="90"/>
        <v>362.97680006309571</v>
      </c>
      <c r="X196" s="33">
        <v>96485</v>
      </c>
      <c r="Y196" s="16">
        <f t="shared" si="91"/>
        <v>-265.81587003752475</v>
      </c>
      <c r="Z196" s="16">
        <v>7</v>
      </c>
      <c r="AA196" s="16">
        <v>13</v>
      </c>
      <c r="AB196" s="8">
        <f t="shared" si="92"/>
        <v>0.34008097165991902</v>
      </c>
      <c r="AC196" s="16">
        <f t="shared" si="93"/>
        <v>67.861468093570807</v>
      </c>
      <c r="AD196" s="20">
        <f>'PFAS Properties'!$W$32</f>
        <v>6</v>
      </c>
      <c r="AE196" s="8">
        <f>'PFAS Properties'!$S$32</f>
        <v>3.5619357633137811</v>
      </c>
      <c r="AF196" s="15">
        <f>'PFAS Properties'!$V$32</f>
        <v>4.3</v>
      </c>
      <c r="AG196" s="24">
        <v>7</v>
      </c>
      <c r="AH196" s="2" t="s">
        <v>661</v>
      </c>
      <c r="AI196" s="2" t="s">
        <v>661</v>
      </c>
      <c r="AJ196" s="2" t="s">
        <v>661</v>
      </c>
      <c r="AK196" s="2" t="s">
        <v>661</v>
      </c>
      <c r="AL196" s="2" t="s">
        <v>661</v>
      </c>
      <c r="AM196" s="2" t="s">
        <v>661</v>
      </c>
      <c r="AN196" s="2" t="s">
        <v>661</v>
      </c>
      <c r="AO196" s="2" t="s">
        <v>661</v>
      </c>
      <c r="AP196" s="37">
        <f>(26.31+26.59+27.81)/3</f>
        <v>26.903333333333332</v>
      </c>
      <c r="AQ196" s="16" t="s">
        <v>661</v>
      </c>
      <c r="AR196" s="71">
        <v>31.549399999999999</v>
      </c>
      <c r="AS196" s="71">
        <v>38.265099999999997</v>
      </c>
      <c r="AT196" s="71">
        <v>30.404799999999991</v>
      </c>
      <c r="AU196" s="70" t="s">
        <v>752</v>
      </c>
      <c r="AV196" s="16">
        <f t="shared" si="78"/>
        <v>100.21929999999999</v>
      </c>
      <c r="AW196" s="18">
        <f>(1.55+1.44+1.34)/3</f>
        <v>1.4433333333333334</v>
      </c>
      <c r="AX196" s="13">
        <f t="shared" si="87"/>
        <v>1.4433333333333333E-2</v>
      </c>
      <c r="AY196" s="8" t="s">
        <v>829</v>
      </c>
      <c r="AZ196" s="16">
        <f>5/0.01</f>
        <v>500</v>
      </c>
      <c r="BA196" s="16" t="s">
        <v>55</v>
      </c>
      <c r="BB196" s="16">
        <v>10</v>
      </c>
      <c r="BC196" s="16">
        <v>100</v>
      </c>
      <c r="BD196" s="20">
        <v>0.43</v>
      </c>
      <c r="BE196" s="15">
        <f t="shared" si="94"/>
        <v>29.792147806004621</v>
      </c>
      <c r="BF196" s="8">
        <f t="shared" si="95"/>
        <v>1.4741018139458835</v>
      </c>
      <c r="BG196" s="8">
        <f t="shared" si="96"/>
        <v>-0.36653154442041347</v>
      </c>
      <c r="BH196" s="2" t="s">
        <v>837</v>
      </c>
      <c r="BI196" s="13"/>
      <c r="BJ196" s="13"/>
      <c r="BK196" s="13"/>
      <c r="BL196" s="13"/>
      <c r="BM196" s="17"/>
      <c r="BN196" s="17"/>
      <c r="BO196" s="2"/>
    </row>
    <row r="197" spans="1:67" s="14" customFormat="1" x14ac:dyDescent="0.3">
      <c r="A197" s="20">
        <v>200</v>
      </c>
      <c r="B197" s="2" t="s">
        <v>206</v>
      </c>
      <c r="C197" s="2">
        <v>2020</v>
      </c>
      <c r="D197" s="2" t="s">
        <v>201</v>
      </c>
      <c r="E197" s="10" t="s">
        <v>793</v>
      </c>
      <c r="F197" s="20" t="s">
        <v>29</v>
      </c>
      <c r="G197" s="2" t="s">
        <v>44</v>
      </c>
      <c r="H197" s="2" t="str">
        <f>'PFAS Properties'!$B$32</f>
        <v>PFHpA</v>
      </c>
      <c r="I197" s="2" t="str">
        <f>'PFAS Properties'!$C$32</f>
        <v>PFCA</v>
      </c>
      <c r="J197" s="2" t="str">
        <f>'PFAS Properties'!$D$32</f>
        <v>C7HF13O2</v>
      </c>
      <c r="K197" s="25">
        <f>'PFAS Properties'!$P$32</f>
        <v>363.97679999999997</v>
      </c>
      <c r="L197" s="2">
        <f>'PFAS Properties'!$X$32</f>
        <v>-0.2</v>
      </c>
      <c r="M197" s="2" t="str">
        <f>'PFAS Properties'!$Y$32</f>
        <v>-</v>
      </c>
      <c r="N197" s="33">
        <v>0</v>
      </c>
      <c r="O197" s="33">
        <v>0</v>
      </c>
      <c r="P197" s="33">
        <v>0</v>
      </c>
      <c r="Q197" s="33">
        <f t="shared" si="64"/>
        <v>0.99999999000000006</v>
      </c>
      <c r="R197" s="33">
        <v>0</v>
      </c>
      <c r="S197" s="33">
        <f t="shared" si="65"/>
        <v>9.9999999000000002E-9</v>
      </c>
      <c r="T197" s="8">
        <f t="shared" si="79"/>
        <v>1</v>
      </c>
      <c r="U197" s="33">
        <f t="shared" si="88"/>
        <v>0</v>
      </c>
      <c r="V197" s="33">
        <f t="shared" si="89"/>
        <v>-0.99999999000000006</v>
      </c>
      <c r="W197" s="33">
        <f t="shared" si="90"/>
        <v>362.97680000999992</v>
      </c>
      <c r="X197" s="33">
        <v>96485</v>
      </c>
      <c r="Y197" s="16">
        <f t="shared" si="91"/>
        <v>-265.81588419009665</v>
      </c>
      <c r="Z197" s="16">
        <v>7</v>
      </c>
      <c r="AA197" s="16">
        <v>13</v>
      </c>
      <c r="AB197" s="8">
        <f t="shared" si="92"/>
        <v>0.34008097165991902</v>
      </c>
      <c r="AC197" s="16">
        <f t="shared" si="93"/>
        <v>67.861468093570807</v>
      </c>
      <c r="AD197" s="20">
        <f>'PFAS Properties'!$W$32</f>
        <v>6</v>
      </c>
      <c r="AE197" s="8">
        <f>'PFAS Properties'!$S$32</f>
        <v>3.5619357633137811</v>
      </c>
      <c r="AF197" s="15">
        <f>'PFAS Properties'!$V$32</f>
        <v>4.3</v>
      </c>
      <c r="AG197" s="24">
        <v>7.8</v>
      </c>
      <c r="AH197" s="2" t="s">
        <v>661</v>
      </c>
      <c r="AI197" s="2" t="s">
        <v>661</v>
      </c>
      <c r="AJ197" s="2" t="s">
        <v>661</v>
      </c>
      <c r="AK197" s="2" t="s">
        <v>661</v>
      </c>
      <c r="AL197" s="2" t="s">
        <v>661</v>
      </c>
      <c r="AM197" s="2" t="s">
        <v>661</v>
      </c>
      <c r="AN197" s="2" t="s">
        <v>661</v>
      </c>
      <c r="AO197" s="2" t="s">
        <v>661</v>
      </c>
      <c r="AP197" s="72">
        <v>11.17476666666666</v>
      </c>
      <c r="AQ197" s="70" t="s">
        <v>752</v>
      </c>
      <c r="AR197" s="16">
        <v>47</v>
      </c>
      <c r="AS197" s="16">
        <v>38</v>
      </c>
      <c r="AT197" s="16">
        <v>15</v>
      </c>
      <c r="AU197" s="16" t="s">
        <v>661</v>
      </c>
      <c r="AV197" s="16">
        <f t="shared" si="78"/>
        <v>100</v>
      </c>
      <c r="AW197" s="18">
        <v>1.43</v>
      </c>
      <c r="AX197" s="13">
        <f t="shared" si="87"/>
        <v>1.43E-2</v>
      </c>
      <c r="AY197" s="8" t="s">
        <v>45</v>
      </c>
      <c r="AZ197" s="16">
        <f>5/0.025</f>
        <v>200</v>
      </c>
      <c r="BA197" s="16" t="s">
        <v>55</v>
      </c>
      <c r="BB197" s="16">
        <v>10</v>
      </c>
      <c r="BC197" s="16">
        <v>100</v>
      </c>
      <c r="BD197" s="20">
        <v>1.64</v>
      </c>
      <c r="BE197" s="15">
        <f t="shared" si="94"/>
        <v>114.68531468531468</v>
      </c>
      <c r="BF197" s="8">
        <f t="shared" si="95"/>
        <v>2.0595078105826361</v>
      </c>
      <c r="BG197" s="8">
        <f t="shared" si="96"/>
        <v>0.21484384804769785</v>
      </c>
      <c r="BH197" s="2" t="s">
        <v>837</v>
      </c>
      <c r="BI197" s="8"/>
      <c r="BJ197" s="13"/>
      <c r="BK197" s="15"/>
      <c r="BL197" s="8"/>
      <c r="BM197" s="18"/>
      <c r="BN197" s="8"/>
      <c r="BO197" s="24"/>
    </row>
    <row r="198" spans="1:67" s="14" customFormat="1" x14ac:dyDescent="0.3">
      <c r="A198" s="20">
        <v>201</v>
      </c>
      <c r="B198" s="2" t="s">
        <v>214</v>
      </c>
      <c r="C198" s="2">
        <v>2022</v>
      </c>
      <c r="D198" s="2" t="s">
        <v>201</v>
      </c>
      <c r="E198" s="10" t="s">
        <v>808</v>
      </c>
      <c r="F198" s="20" t="s">
        <v>29</v>
      </c>
      <c r="G198" s="2" t="s">
        <v>215</v>
      </c>
      <c r="H198" s="2" t="str">
        <f>'PFAS Properties'!$B$32</f>
        <v>PFHpA</v>
      </c>
      <c r="I198" s="2" t="str">
        <f>'PFAS Properties'!$C$32</f>
        <v>PFCA</v>
      </c>
      <c r="J198" s="2" t="str">
        <f>'PFAS Properties'!$D$32</f>
        <v>C7HF13O2</v>
      </c>
      <c r="K198" s="25">
        <f>'PFAS Properties'!$P$32</f>
        <v>363.97679999999997</v>
      </c>
      <c r="L198" s="2">
        <f>'PFAS Properties'!$X$32</f>
        <v>-0.2</v>
      </c>
      <c r="M198" s="2" t="str">
        <f>'PFAS Properties'!$Y$32</f>
        <v>-</v>
      </c>
      <c r="N198" s="33">
        <v>0</v>
      </c>
      <c r="O198" s="33">
        <v>0</v>
      </c>
      <c r="P198" s="33">
        <v>0</v>
      </c>
      <c r="Q198" s="33">
        <f t="shared" si="64"/>
        <v>0.99999000009999905</v>
      </c>
      <c r="R198" s="33">
        <v>0</v>
      </c>
      <c r="S198" s="33">
        <f t="shared" si="65"/>
        <v>9.9999000009999908E-6</v>
      </c>
      <c r="T198" s="8">
        <f t="shared" si="79"/>
        <v>1</v>
      </c>
      <c r="U198" s="33">
        <f t="shared" si="88"/>
        <v>0</v>
      </c>
      <c r="V198" s="33">
        <f t="shared" si="89"/>
        <v>-0.99999000009999905</v>
      </c>
      <c r="W198" s="33">
        <f t="shared" si="90"/>
        <v>362.97680999989996</v>
      </c>
      <c r="X198" s="33">
        <v>96485</v>
      </c>
      <c r="Y198" s="16">
        <f t="shared" si="91"/>
        <v>-265.81322140021842</v>
      </c>
      <c r="Z198" s="16">
        <v>7</v>
      </c>
      <c r="AA198" s="16">
        <v>13</v>
      </c>
      <c r="AB198" s="8">
        <f t="shared" si="92"/>
        <v>0.34008097165991902</v>
      </c>
      <c r="AC198" s="16">
        <f t="shared" si="93"/>
        <v>67.861468093570807</v>
      </c>
      <c r="AD198" s="20">
        <f>'PFAS Properties'!$W$32</f>
        <v>6</v>
      </c>
      <c r="AE198" s="8">
        <f>'PFAS Properties'!$S$32</f>
        <v>3.5619357633137811</v>
      </c>
      <c r="AF198" s="15">
        <f>'PFAS Properties'!$V$32</f>
        <v>4.3</v>
      </c>
      <c r="AG198" s="24">
        <v>4.8</v>
      </c>
      <c r="AH198" s="2" t="s">
        <v>216</v>
      </c>
      <c r="AI198" s="2">
        <v>8.3000000000000007</v>
      </c>
      <c r="AJ198" s="15">
        <f>AI198*1000/55.845</f>
        <v>148.62566030978601</v>
      </c>
      <c r="AK198" s="15">
        <f>AI198/10</f>
        <v>0.83000000000000007</v>
      </c>
      <c r="AL198" s="15">
        <v>7.85</v>
      </c>
      <c r="AM198" s="15">
        <f>AL198*1000/26.98</f>
        <v>290.95626389918459</v>
      </c>
      <c r="AN198" s="15">
        <f>AL198/10</f>
        <v>0.78499999999999992</v>
      </c>
      <c r="AO198" s="15" t="s">
        <v>217</v>
      </c>
      <c r="AP198" s="72">
        <v>15.34083666666667</v>
      </c>
      <c r="AQ198" s="70" t="s">
        <v>752</v>
      </c>
      <c r="AR198" s="16">
        <v>32</v>
      </c>
      <c r="AS198" s="16">
        <v>40</v>
      </c>
      <c r="AT198" s="16">
        <v>28</v>
      </c>
      <c r="AU198" s="2" t="s">
        <v>661</v>
      </c>
      <c r="AV198" s="16">
        <f t="shared" si="78"/>
        <v>100</v>
      </c>
      <c r="AW198" s="18">
        <v>4.9000000000000004</v>
      </c>
      <c r="AX198" s="13">
        <f t="shared" si="87"/>
        <v>4.9000000000000002E-2</v>
      </c>
      <c r="AY198" s="8" t="s">
        <v>218</v>
      </c>
      <c r="AZ198" s="16">
        <f>1.5/0.075</f>
        <v>20</v>
      </c>
      <c r="BA198" s="16" t="s">
        <v>55</v>
      </c>
      <c r="BB198" s="16">
        <v>10</v>
      </c>
      <c r="BC198" s="16" t="s">
        <v>55</v>
      </c>
      <c r="BD198" s="20">
        <v>1.17</v>
      </c>
      <c r="BE198" s="15">
        <f t="shared" si="94"/>
        <v>23.877551020408159</v>
      </c>
      <c r="BF198" s="8">
        <f t="shared" si="95"/>
        <v>1.3779897817176479</v>
      </c>
      <c r="BG198" s="8">
        <f t="shared" si="96"/>
        <v>6.8185861746161619E-2</v>
      </c>
      <c r="BH198" s="2" t="s">
        <v>380</v>
      </c>
      <c r="BI198" s="2"/>
      <c r="BJ198" s="2"/>
      <c r="BK198" s="2"/>
      <c r="BL198" s="2"/>
      <c r="BM198" s="20"/>
      <c r="BN198" s="20"/>
      <c r="BO198" s="2"/>
    </row>
    <row r="199" spans="1:67" s="14" customFormat="1" x14ac:dyDescent="0.3">
      <c r="A199" s="20">
        <v>202</v>
      </c>
      <c r="B199" s="2" t="s">
        <v>214</v>
      </c>
      <c r="C199" s="2">
        <v>2022</v>
      </c>
      <c r="D199" s="2" t="s">
        <v>201</v>
      </c>
      <c r="E199" s="10" t="s">
        <v>808</v>
      </c>
      <c r="F199" s="20" t="s">
        <v>29</v>
      </c>
      <c r="G199" s="2" t="s">
        <v>233</v>
      </c>
      <c r="H199" s="2" t="str">
        <f>'PFAS Properties'!$B$32</f>
        <v>PFHpA</v>
      </c>
      <c r="I199" s="2" t="str">
        <f>'PFAS Properties'!$C$32</f>
        <v>PFCA</v>
      </c>
      <c r="J199" s="2" t="str">
        <f>'PFAS Properties'!$D$32</f>
        <v>C7HF13O2</v>
      </c>
      <c r="K199" s="25">
        <f>'PFAS Properties'!$P$32</f>
        <v>363.97679999999997</v>
      </c>
      <c r="L199" s="2">
        <f>'PFAS Properties'!$X$32</f>
        <v>-0.2</v>
      </c>
      <c r="M199" s="2" t="str">
        <f>'PFAS Properties'!$Y$32</f>
        <v>-</v>
      </c>
      <c r="N199" s="33">
        <v>0</v>
      </c>
      <c r="O199" s="33">
        <v>0</v>
      </c>
      <c r="P199" s="33">
        <v>0</v>
      </c>
      <c r="Q199" s="33">
        <f t="shared" si="64"/>
        <v>0.9999992056723962</v>
      </c>
      <c r="R199" s="33">
        <v>0</v>
      </c>
      <c r="S199" s="33">
        <f t="shared" si="65"/>
        <v>7.9432760376743655E-7</v>
      </c>
      <c r="T199" s="8">
        <f t="shared" si="79"/>
        <v>1</v>
      </c>
      <c r="U199" s="33">
        <f t="shared" si="88"/>
        <v>0</v>
      </c>
      <c r="V199" s="33">
        <f t="shared" si="89"/>
        <v>-0.9999992056723962</v>
      </c>
      <c r="W199" s="33">
        <f t="shared" si="90"/>
        <v>362.97680079432757</v>
      </c>
      <c r="X199" s="33">
        <v>96485</v>
      </c>
      <c r="Y199" s="16">
        <f t="shared" si="91"/>
        <v>-265.81567512897914</v>
      </c>
      <c r="Z199" s="16">
        <v>7</v>
      </c>
      <c r="AA199" s="16">
        <v>13</v>
      </c>
      <c r="AB199" s="8">
        <f t="shared" si="92"/>
        <v>0.34008097165991902</v>
      </c>
      <c r="AC199" s="16">
        <f t="shared" si="93"/>
        <v>67.861468093570807</v>
      </c>
      <c r="AD199" s="20">
        <f>'PFAS Properties'!$W$32</f>
        <v>6</v>
      </c>
      <c r="AE199" s="8">
        <f>'PFAS Properties'!$S$32</f>
        <v>3.5619357633137811</v>
      </c>
      <c r="AF199" s="15">
        <f>'PFAS Properties'!$V$32</f>
        <v>4.3</v>
      </c>
      <c r="AG199" s="24">
        <v>5.9</v>
      </c>
      <c r="AH199" s="2" t="s">
        <v>216</v>
      </c>
      <c r="AI199" s="2">
        <v>1.4</v>
      </c>
      <c r="AJ199" s="15">
        <f>AI199*1000/55.845</f>
        <v>25.069388485988004</v>
      </c>
      <c r="AK199" s="15">
        <f>AI199/10</f>
        <v>0.13999999999999999</v>
      </c>
      <c r="AL199" s="15">
        <v>0.92</v>
      </c>
      <c r="AM199" s="15">
        <f>AL199*1000/26.98</f>
        <v>34.099332839140104</v>
      </c>
      <c r="AN199" s="15">
        <f>AL199/10</f>
        <v>9.1999999999999998E-2</v>
      </c>
      <c r="AO199" s="15" t="s">
        <v>217</v>
      </c>
      <c r="AP199" s="72">
        <v>15.34083666666667</v>
      </c>
      <c r="AQ199" s="70" t="s">
        <v>752</v>
      </c>
      <c r="AR199" s="16">
        <v>37</v>
      </c>
      <c r="AS199" s="16">
        <v>22</v>
      </c>
      <c r="AT199" s="16">
        <v>41</v>
      </c>
      <c r="AU199" s="2" t="s">
        <v>661</v>
      </c>
      <c r="AV199" s="16">
        <f t="shared" si="78"/>
        <v>100</v>
      </c>
      <c r="AW199" s="18">
        <v>2.6</v>
      </c>
      <c r="AX199" s="13">
        <f t="shared" si="87"/>
        <v>2.6000000000000002E-2</v>
      </c>
      <c r="AY199" s="8" t="s">
        <v>218</v>
      </c>
      <c r="AZ199" s="16">
        <f>1.5/0.075</f>
        <v>20</v>
      </c>
      <c r="BA199" s="16" t="s">
        <v>55</v>
      </c>
      <c r="BB199" s="16">
        <v>10</v>
      </c>
      <c r="BC199" s="16" t="s">
        <v>55</v>
      </c>
      <c r="BD199" s="20">
        <v>0.17</v>
      </c>
      <c r="BE199" s="15">
        <f t="shared" si="94"/>
        <v>6.5384615384615383</v>
      </c>
      <c r="BF199" s="8">
        <f t="shared" si="95"/>
        <v>0.81547557340745591</v>
      </c>
      <c r="BG199" s="8">
        <f t="shared" si="96"/>
        <v>-0.769551078621726</v>
      </c>
      <c r="BH199" s="2" t="s">
        <v>380</v>
      </c>
      <c r="BI199" s="2"/>
      <c r="BJ199" s="2"/>
      <c r="BK199" s="2"/>
      <c r="BL199" s="2"/>
      <c r="BM199" s="20"/>
      <c r="BN199" s="20"/>
      <c r="BO199" s="2"/>
    </row>
    <row r="200" spans="1:67" s="14" customFormat="1" x14ac:dyDescent="0.3">
      <c r="A200" s="20">
        <v>206</v>
      </c>
      <c r="B200" s="2" t="s">
        <v>181</v>
      </c>
      <c r="C200" s="2">
        <v>2020</v>
      </c>
      <c r="D200" s="2" t="s">
        <v>203</v>
      </c>
      <c r="E200" s="10" t="s">
        <v>787</v>
      </c>
      <c r="F200" s="20" t="s">
        <v>29</v>
      </c>
      <c r="G200" s="2" t="s">
        <v>62</v>
      </c>
      <c r="H200" s="2" t="str">
        <f>'PFAS Properties'!$B$32</f>
        <v>PFHpA</v>
      </c>
      <c r="I200" s="2" t="str">
        <f>'PFAS Properties'!$C$32</f>
        <v>PFCA</v>
      </c>
      <c r="J200" s="2" t="str">
        <f>'PFAS Properties'!$D$32</f>
        <v>C7HF13O2</v>
      </c>
      <c r="K200" s="25">
        <f>'PFAS Properties'!$P$32</f>
        <v>363.97679999999997</v>
      </c>
      <c r="L200" s="2">
        <f>'PFAS Properties'!$X$32</f>
        <v>-0.2</v>
      </c>
      <c r="M200" s="2" t="str">
        <f>'PFAS Properties'!$Y$32</f>
        <v>-</v>
      </c>
      <c r="N200" s="33">
        <v>0</v>
      </c>
      <c r="O200" s="33">
        <v>0</v>
      </c>
      <c r="P200" s="33">
        <v>0</v>
      </c>
      <c r="Q200" s="33">
        <f t="shared" ref="Q200:Q263" si="99">(10^(AG200-L200))/(1+(10^(AG200-L200)))</f>
        <v>0.99999998004737722</v>
      </c>
      <c r="R200" s="33">
        <v>0</v>
      </c>
      <c r="S200" s="33">
        <f t="shared" ref="S200:S263" si="100">(1/(1+(10^(AG200-L200))))</f>
        <v>1.995262275158161E-8</v>
      </c>
      <c r="T200" s="8">
        <f t="shared" si="79"/>
        <v>1</v>
      </c>
      <c r="U200" s="33">
        <f t="shared" si="88"/>
        <v>0</v>
      </c>
      <c r="V200" s="33">
        <f t="shared" si="89"/>
        <v>-0.99999998004737722</v>
      </c>
      <c r="W200" s="33">
        <f t="shared" si="90"/>
        <v>362.97680001995258</v>
      </c>
      <c r="X200" s="33">
        <v>96485</v>
      </c>
      <c r="Y200" s="16">
        <f t="shared" si="91"/>
        <v>-265.81588153724283</v>
      </c>
      <c r="Z200" s="16">
        <v>7</v>
      </c>
      <c r="AA200" s="16">
        <v>13</v>
      </c>
      <c r="AB200" s="8">
        <f t="shared" si="92"/>
        <v>0.34008097165991902</v>
      </c>
      <c r="AC200" s="16">
        <f t="shared" si="93"/>
        <v>67.861468093570807</v>
      </c>
      <c r="AD200" s="20">
        <f>'PFAS Properties'!$W$32</f>
        <v>6</v>
      </c>
      <c r="AE200" s="8">
        <f>'PFAS Properties'!$S$32</f>
        <v>3.5619357633137811</v>
      </c>
      <c r="AF200" s="15">
        <f>'PFAS Properties'!$V$32</f>
        <v>4.3</v>
      </c>
      <c r="AG200" s="24">
        <v>7.5</v>
      </c>
      <c r="AH200" s="2" t="s">
        <v>183</v>
      </c>
      <c r="AI200" s="2" t="s">
        <v>661</v>
      </c>
      <c r="AJ200" s="2" t="s">
        <v>661</v>
      </c>
      <c r="AK200" s="2" t="s">
        <v>661</v>
      </c>
      <c r="AL200" s="2" t="s">
        <v>661</v>
      </c>
      <c r="AM200" s="2" t="s">
        <v>661</v>
      </c>
      <c r="AN200" s="2" t="s">
        <v>661</v>
      </c>
      <c r="AO200" s="2" t="s">
        <v>661</v>
      </c>
      <c r="AP200" s="15">
        <v>41.4</v>
      </c>
      <c r="AQ200" s="2" t="s">
        <v>661</v>
      </c>
      <c r="AR200" s="16">
        <v>16.899999999999999</v>
      </c>
      <c r="AS200" s="16">
        <v>17.5</v>
      </c>
      <c r="AT200" s="16">
        <v>65.599999999999994</v>
      </c>
      <c r="AU200" s="2" t="s">
        <v>661</v>
      </c>
      <c r="AV200" s="16">
        <f t="shared" si="78"/>
        <v>100</v>
      </c>
      <c r="AW200" s="18">
        <v>0.7</v>
      </c>
      <c r="AX200" s="13">
        <v>6.9999999999999993E-3</v>
      </c>
      <c r="AY200" s="13" t="s">
        <v>184</v>
      </c>
      <c r="AZ200" s="16">
        <v>100</v>
      </c>
      <c r="BA200" s="16" t="s">
        <v>55</v>
      </c>
      <c r="BB200" s="16">
        <v>5</v>
      </c>
      <c r="BC200" s="16" t="s">
        <v>55</v>
      </c>
      <c r="BD200" s="18">
        <v>0.55000000000000004</v>
      </c>
      <c r="BE200" s="15">
        <f t="shared" si="94"/>
        <v>78.571428571428584</v>
      </c>
      <c r="BF200" s="8">
        <f t="shared" si="95"/>
        <v>1.8952646494799872</v>
      </c>
      <c r="BG200" s="8">
        <f t="shared" si="96"/>
        <v>-0.25963731050575611</v>
      </c>
      <c r="BH200" s="13" t="s">
        <v>345</v>
      </c>
      <c r="BI200" s="13"/>
      <c r="BJ200" s="13"/>
      <c r="BK200" s="13"/>
      <c r="BL200" s="13"/>
      <c r="BM200" s="17"/>
      <c r="BN200" s="17"/>
      <c r="BO200" s="2"/>
    </row>
    <row r="201" spans="1:67" s="14" customFormat="1" x14ac:dyDescent="0.3">
      <c r="A201" s="20">
        <v>207</v>
      </c>
      <c r="B201" s="2" t="s">
        <v>181</v>
      </c>
      <c r="C201" s="2">
        <v>2020</v>
      </c>
      <c r="D201" s="2" t="s">
        <v>203</v>
      </c>
      <c r="E201" s="10" t="s">
        <v>787</v>
      </c>
      <c r="F201" s="20" t="s">
        <v>29</v>
      </c>
      <c r="G201" s="2" t="s">
        <v>57</v>
      </c>
      <c r="H201" s="2" t="str">
        <f>'PFAS Properties'!$B$32</f>
        <v>PFHpA</v>
      </c>
      <c r="I201" s="2" t="str">
        <f>'PFAS Properties'!$C$32</f>
        <v>PFCA</v>
      </c>
      <c r="J201" s="2" t="str">
        <f>'PFAS Properties'!$D$32</f>
        <v>C7HF13O2</v>
      </c>
      <c r="K201" s="25">
        <f>'PFAS Properties'!$P$32</f>
        <v>363.97679999999997</v>
      </c>
      <c r="L201" s="2">
        <f>'PFAS Properties'!$X$32</f>
        <v>-0.2</v>
      </c>
      <c r="M201" s="2" t="str">
        <f>'PFAS Properties'!$Y$32</f>
        <v>-</v>
      </c>
      <c r="N201" s="33">
        <v>0</v>
      </c>
      <c r="O201" s="33">
        <v>0</v>
      </c>
      <c r="P201" s="33">
        <v>0</v>
      </c>
      <c r="Q201" s="33">
        <f t="shared" si="99"/>
        <v>0.99999990000001004</v>
      </c>
      <c r="R201" s="33">
        <v>0</v>
      </c>
      <c r="S201" s="33">
        <f t="shared" si="100"/>
        <v>9.9999990000001005E-8</v>
      </c>
      <c r="T201" s="8">
        <f t="shared" si="79"/>
        <v>1</v>
      </c>
      <c r="U201" s="33">
        <f t="shared" si="88"/>
        <v>0</v>
      </c>
      <c r="V201" s="33">
        <f t="shared" si="89"/>
        <v>-0.99999990000001004</v>
      </c>
      <c r="W201" s="33">
        <f t="shared" si="90"/>
        <v>362.97680009999999</v>
      </c>
      <c r="X201" s="33">
        <v>96485</v>
      </c>
      <c r="Y201" s="16">
        <f t="shared" si="91"/>
        <v>-265.81586020076048</v>
      </c>
      <c r="Z201" s="16">
        <v>7</v>
      </c>
      <c r="AA201" s="16">
        <v>13</v>
      </c>
      <c r="AB201" s="8">
        <f t="shared" si="92"/>
        <v>0.34008097165991902</v>
      </c>
      <c r="AC201" s="16">
        <f t="shared" si="93"/>
        <v>67.861468093570807</v>
      </c>
      <c r="AD201" s="20">
        <f>'PFAS Properties'!$W$32</f>
        <v>6</v>
      </c>
      <c r="AE201" s="8">
        <f>'PFAS Properties'!$S$32</f>
        <v>3.5619357633137811</v>
      </c>
      <c r="AF201" s="15">
        <f>'PFAS Properties'!$V$32</f>
        <v>4.3</v>
      </c>
      <c r="AG201" s="24">
        <v>6.8</v>
      </c>
      <c r="AH201" s="2" t="s">
        <v>183</v>
      </c>
      <c r="AI201" s="2" t="s">
        <v>661</v>
      </c>
      <c r="AJ201" s="2" t="s">
        <v>661</v>
      </c>
      <c r="AK201" s="2" t="s">
        <v>661</v>
      </c>
      <c r="AL201" s="2" t="s">
        <v>661</v>
      </c>
      <c r="AM201" s="2" t="s">
        <v>661</v>
      </c>
      <c r="AN201" s="2" t="s">
        <v>661</v>
      </c>
      <c r="AO201" s="2" t="s">
        <v>661</v>
      </c>
      <c r="AP201" s="15">
        <v>7.1</v>
      </c>
      <c r="AQ201" s="2" t="s">
        <v>661</v>
      </c>
      <c r="AR201" s="16">
        <v>48.9</v>
      </c>
      <c r="AS201" s="16">
        <v>27</v>
      </c>
      <c r="AT201" s="16">
        <v>24.2</v>
      </c>
      <c r="AU201" s="2" t="s">
        <v>661</v>
      </c>
      <c r="AV201" s="16">
        <f t="shared" si="78"/>
        <v>100.10000000000001</v>
      </c>
      <c r="AW201" s="18">
        <v>0.37</v>
      </c>
      <c r="AX201" s="13">
        <v>3.7000000000000002E-3</v>
      </c>
      <c r="AY201" s="13" t="s">
        <v>184</v>
      </c>
      <c r="AZ201" s="16">
        <v>100</v>
      </c>
      <c r="BA201" s="16" t="s">
        <v>55</v>
      </c>
      <c r="BB201" s="16">
        <v>5</v>
      </c>
      <c r="BC201" s="16" t="s">
        <v>55</v>
      </c>
      <c r="BD201" s="20">
        <v>0.61</v>
      </c>
      <c r="BE201" s="15">
        <f t="shared" si="94"/>
        <v>164.86486486486484</v>
      </c>
      <c r="BF201" s="8">
        <f t="shared" si="95"/>
        <v>2.2171281109437722</v>
      </c>
      <c r="BG201" s="8">
        <f t="shared" si="96"/>
        <v>-0.21467016498923297</v>
      </c>
      <c r="BH201" s="13" t="s">
        <v>345</v>
      </c>
      <c r="BI201" s="13"/>
      <c r="BJ201" s="13"/>
      <c r="BK201" s="13"/>
      <c r="BL201" s="13"/>
      <c r="BM201" s="17"/>
      <c r="BN201" s="17"/>
      <c r="BO201" s="2"/>
    </row>
    <row r="202" spans="1:67" s="14" customFormat="1" x14ac:dyDescent="0.3">
      <c r="A202" s="20">
        <v>208</v>
      </c>
      <c r="B202" s="2" t="s">
        <v>181</v>
      </c>
      <c r="C202" s="2">
        <v>2020</v>
      </c>
      <c r="D202" s="2" t="s">
        <v>203</v>
      </c>
      <c r="E202" s="10" t="s">
        <v>787</v>
      </c>
      <c r="F202" s="20" t="s">
        <v>29</v>
      </c>
      <c r="G202" s="2" t="s">
        <v>58</v>
      </c>
      <c r="H202" s="2" t="str">
        <f>'PFAS Properties'!$B$32</f>
        <v>PFHpA</v>
      </c>
      <c r="I202" s="2" t="str">
        <f>'PFAS Properties'!$C$32</f>
        <v>PFCA</v>
      </c>
      <c r="J202" s="2" t="str">
        <f>'PFAS Properties'!$D$32</f>
        <v>C7HF13O2</v>
      </c>
      <c r="K202" s="25">
        <f>'PFAS Properties'!$P$32</f>
        <v>363.97679999999997</v>
      </c>
      <c r="L202" s="2">
        <f>'PFAS Properties'!$X$32</f>
        <v>-0.2</v>
      </c>
      <c r="M202" s="2" t="str">
        <f>'PFAS Properties'!$Y$32</f>
        <v>-</v>
      </c>
      <c r="N202" s="33">
        <v>0</v>
      </c>
      <c r="O202" s="33">
        <v>0</v>
      </c>
      <c r="P202" s="33">
        <v>0</v>
      </c>
      <c r="Q202" s="33">
        <f t="shared" si="99"/>
        <v>0.99999960189298798</v>
      </c>
      <c r="R202" s="33">
        <v>0</v>
      </c>
      <c r="S202" s="33">
        <f t="shared" si="100"/>
        <v>3.9810701206424001E-7</v>
      </c>
      <c r="T202" s="8">
        <f t="shared" si="79"/>
        <v>1</v>
      </c>
      <c r="U202" s="33">
        <f t="shared" si="88"/>
        <v>0</v>
      </c>
      <c r="V202" s="33">
        <f t="shared" si="89"/>
        <v>-0.99999960189298798</v>
      </c>
      <c r="W202" s="33">
        <f t="shared" si="90"/>
        <v>362.97680039810695</v>
      </c>
      <c r="X202" s="33">
        <v>96485</v>
      </c>
      <c r="Y202" s="16">
        <f t="shared" si="91"/>
        <v>-265.81578074086781</v>
      </c>
      <c r="Z202" s="16">
        <v>7</v>
      </c>
      <c r="AA202" s="16">
        <v>13</v>
      </c>
      <c r="AB202" s="8">
        <f t="shared" si="92"/>
        <v>0.34008097165991902</v>
      </c>
      <c r="AC202" s="16">
        <f t="shared" si="93"/>
        <v>67.861468093570807</v>
      </c>
      <c r="AD202" s="20">
        <f>'PFAS Properties'!$W$32</f>
        <v>6</v>
      </c>
      <c r="AE202" s="8">
        <f>'PFAS Properties'!$S$32</f>
        <v>3.5619357633137811</v>
      </c>
      <c r="AF202" s="15">
        <f>'PFAS Properties'!$V$32</f>
        <v>4.3</v>
      </c>
      <c r="AG202" s="24">
        <v>6.2</v>
      </c>
      <c r="AH202" s="2" t="s">
        <v>183</v>
      </c>
      <c r="AI202" s="2" t="s">
        <v>661</v>
      </c>
      <c r="AJ202" s="2" t="s">
        <v>661</v>
      </c>
      <c r="AK202" s="2" t="s">
        <v>661</v>
      </c>
      <c r="AL202" s="2" t="s">
        <v>661</v>
      </c>
      <c r="AM202" s="2" t="s">
        <v>661</v>
      </c>
      <c r="AN202" s="2" t="s">
        <v>661</v>
      </c>
      <c r="AO202" s="2" t="s">
        <v>661</v>
      </c>
      <c r="AP202" s="15">
        <v>8</v>
      </c>
      <c r="AQ202" s="2" t="s">
        <v>661</v>
      </c>
      <c r="AR202" s="16">
        <v>51.44</v>
      </c>
      <c r="AS202" s="16">
        <v>10.17</v>
      </c>
      <c r="AT202" s="16">
        <v>38.380000000000003</v>
      </c>
      <c r="AU202" s="2" t="s">
        <v>661</v>
      </c>
      <c r="AV202" s="16">
        <f t="shared" si="78"/>
        <v>99.990000000000009</v>
      </c>
      <c r="AW202" s="18">
        <v>0.08</v>
      </c>
      <c r="AX202" s="13">
        <v>8.0000000000000004E-4</v>
      </c>
      <c r="AY202" s="8" t="s">
        <v>184</v>
      </c>
      <c r="AZ202" s="16">
        <v>100</v>
      </c>
      <c r="BA202" s="16" t="s">
        <v>55</v>
      </c>
      <c r="BB202" s="16">
        <v>5</v>
      </c>
      <c r="BC202" s="16" t="s">
        <v>55</v>
      </c>
      <c r="BD202" s="20">
        <v>0.5</v>
      </c>
      <c r="BE202" s="15">
        <f t="shared" si="94"/>
        <v>625</v>
      </c>
      <c r="BF202" s="8">
        <f t="shared" si="95"/>
        <v>2.7958800173440754</v>
      </c>
      <c r="BG202" s="8">
        <f t="shared" si="96"/>
        <v>-0.3010299956639812</v>
      </c>
      <c r="BH202" s="13" t="s">
        <v>345</v>
      </c>
      <c r="BI202" s="13"/>
      <c r="BJ202" s="13"/>
      <c r="BK202" s="13"/>
      <c r="BL202" s="13"/>
      <c r="BM202" s="17"/>
      <c r="BN202" s="17"/>
      <c r="BO202" s="2"/>
    </row>
    <row r="203" spans="1:67" s="14" customFormat="1" x14ac:dyDescent="0.3">
      <c r="A203" s="20">
        <v>209</v>
      </c>
      <c r="B203" s="2" t="s">
        <v>181</v>
      </c>
      <c r="C203" s="2">
        <v>2020</v>
      </c>
      <c r="D203" s="2" t="s">
        <v>203</v>
      </c>
      <c r="E203" s="10" t="s">
        <v>787</v>
      </c>
      <c r="F203" s="20" t="s">
        <v>29</v>
      </c>
      <c r="G203" s="2" t="s">
        <v>59</v>
      </c>
      <c r="H203" s="2" t="str">
        <f>'PFAS Properties'!$B$32</f>
        <v>PFHpA</v>
      </c>
      <c r="I203" s="2" t="str">
        <f>'PFAS Properties'!$C$32</f>
        <v>PFCA</v>
      </c>
      <c r="J203" s="2" t="str">
        <f>'PFAS Properties'!$D$32</f>
        <v>C7HF13O2</v>
      </c>
      <c r="K203" s="25">
        <f>'PFAS Properties'!$P$32</f>
        <v>363.97679999999997</v>
      </c>
      <c r="L203" s="2">
        <f>'PFAS Properties'!$X$32</f>
        <v>-0.2</v>
      </c>
      <c r="M203" s="2" t="str">
        <f>'PFAS Properties'!$Y$32</f>
        <v>-</v>
      </c>
      <c r="N203" s="33">
        <v>0</v>
      </c>
      <c r="O203" s="33">
        <v>0</v>
      </c>
      <c r="P203" s="33">
        <v>0</v>
      </c>
      <c r="Q203" s="33">
        <f t="shared" si="99"/>
        <v>0.99999998741074603</v>
      </c>
      <c r="R203" s="33">
        <v>0</v>
      </c>
      <c r="S203" s="33">
        <f t="shared" si="100"/>
        <v>1.258925395945232E-8</v>
      </c>
      <c r="T203" s="8">
        <f t="shared" si="79"/>
        <v>1</v>
      </c>
      <c r="U203" s="33">
        <f t="shared" si="88"/>
        <v>0</v>
      </c>
      <c r="V203" s="33">
        <f t="shared" si="89"/>
        <v>-0.99999998741074603</v>
      </c>
      <c r="W203" s="33">
        <f t="shared" si="90"/>
        <v>362.97680001258919</v>
      </c>
      <c r="X203" s="33">
        <v>96485</v>
      </c>
      <c r="Y203" s="16">
        <f t="shared" si="91"/>
        <v>-265.81588349993558</v>
      </c>
      <c r="Z203" s="16">
        <v>7</v>
      </c>
      <c r="AA203" s="16">
        <v>13</v>
      </c>
      <c r="AB203" s="8">
        <f t="shared" si="92"/>
        <v>0.34008097165991902</v>
      </c>
      <c r="AC203" s="16">
        <f t="shared" si="93"/>
        <v>67.861468093570807</v>
      </c>
      <c r="AD203" s="20">
        <f>'PFAS Properties'!$W$32</f>
        <v>6</v>
      </c>
      <c r="AE203" s="8">
        <f>'PFAS Properties'!$S$32</f>
        <v>3.5619357633137811</v>
      </c>
      <c r="AF203" s="15">
        <f>'PFAS Properties'!$V$32</f>
        <v>4.3</v>
      </c>
      <c r="AG203" s="24">
        <v>7.7</v>
      </c>
      <c r="AH203" s="2" t="s">
        <v>183</v>
      </c>
      <c r="AI203" s="2" t="s">
        <v>661</v>
      </c>
      <c r="AJ203" s="2" t="s">
        <v>661</v>
      </c>
      <c r="AK203" s="2" t="s">
        <v>661</v>
      </c>
      <c r="AL203" s="2" t="s">
        <v>661</v>
      </c>
      <c r="AM203" s="2" t="s">
        <v>661</v>
      </c>
      <c r="AN203" s="2" t="s">
        <v>661</v>
      </c>
      <c r="AO203" s="2" t="s">
        <v>661</v>
      </c>
      <c r="AP203" s="15">
        <v>4.8</v>
      </c>
      <c r="AQ203" s="2" t="s">
        <v>661</v>
      </c>
      <c r="AR203" s="16">
        <v>46</v>
      </c>
      <c r="AS203" s="16">
        <v>37</v>
      </c>
      <c r="AT203" s="16">
        <v>17</v>
      </c>
      <c r="AU203" s="2" t="s">
        <v>661</v>
      </c>
      <c r="AV203" s="16">
        <f t="shared" si="78"/>
        <v>100</v>
      </c>
      <c r="AW203" s="18">
        <v>0.25</v>
      </c>
      <c r="AX203" s="13">
        <v>2.5000000000000001E-3</v>
      </c>
      <c r="AY203" s="13" t="s">
        <v>184</v>
      </c>
      <c r="AZ203" s="16">
        <v>100</v>
      </c>
      <c r="BA203" s="16" t="s">
        <v>55</v>
      </c>
      <c r="BB203" s="16">
        <v>5</v>
      </c>
      <c r="BC203" s="16" t="s">
        <v>55</v>
      </c>
      <c r="BD203" s="18">
        <v>0.46</v>
      </c>
      <c r="BE203" s="15">
        <f t="shared" si="94"/>
        <v>184</v>
      </c>
      <c r="BF203" s="8">
        <f t="shared" si="95"/>
        <v>2.2648178230095364</v>
      </c>
      <c r="BG203" s="8">
        <f t="shared" si="96"/>
        <v>-0.33724216831842591</v>
      </c>
      <c r="BH203" s="13" t="s">
        <v>345</v>
      </c>
      <c r="BI203" s="13"/>
      <c r="BJ203" s="13"/>
      <c r="BK203" s="13"/>
      <c r="BL203" s="13"/>
      <c r="BM203" s="17"/>
      <c r="BN203" s="17"/>
      <c r="BO203" s="2"/>
    </row>
    <row r="204" spans="1:67" s="14" customFormat="1" x14ac:dyDescent="0.3">
      <c r="A204" s="20">
        <v>210</v>
      </c>
      <c r="B204" s="2" t="s">
        <v>181</v>
      </c>
      <c r="C204" s="2">
        <v>2020</v>
      </c>
      <c r="D204" s="2" t="s">
        <v>203</v>
      </c>
      <c r="E204" s="10" t="s">
        <v>787</v>
      </c>
      <c r="F204" s="20" t="s">
        <v>29</v>
      </c>
      <c r="G204" s="2" t="s">
        <v>61</v>
      </c>
      <c r="H204" s="2" t="str">
        <f>'PFAS Properties'!$B$32</f>
        <v>PFHpA</v>
      </c>
      <c r="I204" s="2" t="str">
        <f>'PFAS Properties'!$C$32</f>
        <v>PFCA</v>
      </c>
      <c r="J204" s="2" t="str">
        <f>'PFAS Properties'!$D$32</f>
        <v>C7HF13O2</v>
      </c>
      <c r="K204" s="25">
        <f>'PFAS Properties'!$P$32</f>
        <v>363.97679999999997</v>
      </c>
      <c r="L204" s="2">
        <f>'PFAS Properties'!$X$32</f>
        <v>-0.2</v>
      </c>
      <c r="M204" s="2" t="str">
        <f>'PFAS Properties'!$Y$32</f>
        <v>-</v>
      </c>
      <c r="N204" s="33">
        <v>0</v>
      </c>
      <c r="O204" s="33">
        <v>0</v>
      </c>
      <c r="P204" s="33">
        <v>0</v>
      </c>
      <c r="Q204" s="33">
        <f t="shared" si="99"/>
        <v>0.99999997488113634</v>
      </c>
      <c r="R204" s="33">
        <v>0</v>
      </c>
      <c r="S204" s="33">
        <f t="shared" si="100"/>
        <v>2.5118863684138424E-8</v>
      </c>
      <c r="T204" s="8">
        <f t="shared" si="79"/>
        <v>1</v>
      </c>
      <c r="U204" s="33">
        <f t="shared" si="88"/>
        <v>0</v>
      </c>
      <c r="V204" s="33">
        <f t="shared" si="89"/>
        <v>-0.99999997488113634</v>
      </c>
      <c r="W204" s="33">
        <f t="shared" si="90"/>
        <v>362.97680002511885</v>
      </c>
      <c r="X204" s="33">
        <v>96485</v>
      </c>
      <c r="Y204" s="16">
        <f t="shared" si="91"/>
        <v>-265.81588016019055</v>
      </c>
      <c r="Z204" s="16">
        <v>7</v>
      </c>
      <c r="AA204" s="16">
        <v>13</v>
      </c>
      <c r="AB204" s="8">
        <f t="shared" si="92"/>
        <v>0.34008097165991902</v>
      </c>
      <c r="AC204" s="16">
        <f t="shared" si="93"/>
        <v>67.861468093570807</v>
      </c>
      <c r="AD204" s="20">
        <f>'PFAS Properties'!$W$32</f>
        <v>6</v>
      </c>
      <c r="AE204" s="8">
        <f>'PFAS Properties'!$S$32</f>
        <v>3.5619357633137811</v>
      </c>
      <c r="AF204" s="15">
        <f>'PFAS Properties'!$V$32</f>
        <v>4.3</v>
      </c>
      <c r="AG204" s="24">
        <v>7.4</v>
      </c>
      <c r="AH204" s="2" t="s">
        <v>183</v>
      </c>
      <c r="AI204" s="2" t="s">
        <v>661</v>
      </c>
      <c r="AJ204" s="2" t="s">
        <v>661</v>
      </c>
      <c r="AK204" s="2" t="s">
        <v>661</v>
      </c>
      <c r="AL204" s="2" t="s">
        <v>661</v>
      </c>
      <c r="AM204" s="2" t="s">
        <v>661</v>
      </c>
      <c r="AN204" s="2" t="s">
        <v>661</v>
      </c>
      <c r="AO204" s="2" t="s">
        <v>661</v>
      </c>
      <c r="AP204" s="15">
        <v>29.6</v>
      </c>
      <c r="AQ204" s="2" t="s">
        <v>661</v>
      </c>
      <c r="AR204" s="16">
        <v>39.799999999999997</v>
      </c>
      <c r="AS204" s="16">
        <v>7.7</v>
      </c>
      <c r="AT204" s="16">
        <v>52.5</v>
      </c>
      <c r="AU204" s="2" t="s">
        <v>661</v>
      </c>
      <c r="AV204" s="16">
        <f t="shared" si="78"/>
        <v>100</v>
      </c>
      <c r="AW204" s="18">
        <v>2.23</v>
      </c>
      <c r="AX204" s="13">
        <v>2.23E-2</v>
      </c>
      <c r="AY204" s="8" t="s">
        <v>184</v>
      </c>
      <c r="AZ204" s="16">
        <v>100</v>
      </c>
      <c r="BA204" s="16" t="s">
        <v>55</v>
      </c>
      <c r="BB204" s="16">
        <v>5</v>
      </c>
      <c r="BC204" s="16" t="s">
        <v>55</v>
      </c>
      <c r="BD204" s="20">
        <v>0.55000000000000004</v>
      </c>
      <c r="BE204" s="15">
        <f t="shared" si="94"/>
        <v>24.663677130044846</v>
      </c>
      <c r="BF204" s="8">
        <f t="shared" si="95"/>
        <v>1.3920578264460832</v>
      </c>
      <c r="BG204" s="8">
        <f t="shared" si="96"/>
        <v>-0.25963731050575611</v>
      </c>
      <c r="BH204" s="13" t="s">
        <v>345</v>
      </c>
      <c r="BI204" s="13"/>
      <c r="BJ204" s="13"/>
      <c r="BK204" s="13"/>
      <c r="BL204" s="13"/>
      <c r="BM204" s="17"/>
      <c r="BN204" s="17"/>
      <c r="BO204" s="2"/>
    </row>
    <row r="205" spans="1:67" s="14" customFormat="1" x14ac:dyDescent="0.3">
      <c r="A205" s="20">
        <v>211</v>
      </c>
      <c r="B205" s="2" t="s">
        <v>181</v>
      </c>
      <c r="C205" s="2">
        <v>2020</v>
      </c>
      <c r="D205" s="2" t="s">
        <v>203</v>
      </c>
      <c r="E205" s="10" t="s">
        <v>787</v>
      </c>
      <c r="F205" s="20" t="s">
        <v>29</v>
      </c>
      <c r="G205" s="2" t="s">
        <v>60</v>
      </c>
      <c r="H205" s="2" t="str">
        <f>'PFAS Properties'!$B$32</f>
        <v>PFHpA</v>
      </c>
      <c r="I205" s="2" t="str">
        <f>'PFAS Properties'!$C$32</f>
        <v>PFCA</v>
      </c>
      <c r="J205" s="2" t="str">
        <f>'PFAS Properties'!$D$32</f>
        <v>C7HF13O2</v>
      </c>
      <c r="K205" s="25">
        <f>'PFAS Properties'!$P$32</f>
        <v>363.97679999999997</v>
      </c>
      <c r="L205" s="2">
        <f>'PFAS Properties'!$X$32</f>
        <v>-0.2</v>
      </c>
      <c r="M205" s="2" t="str">
        <f>'PFAS Properties'!$Y$32</f>
        <v>-</v>
      </c>
      <c r="N205" s="33">
        <v>0</v>
      </c>
      <c r="O205" s="33">
        <v>0</v>
      </c>
      <c r="P205" s="33">
        <v>0</v>
      </c>
      <c r="Q205" s="33">
        <f t="shared" si="99"/>
        <v>0.99999998741074603</v>
      </c>
      <c r="R205" s="33">
        <v>0</v>
      </c>
      <c r="S205" s="33">
        <f t="shared" si="100"/>
        <v>1.258925395945232E-8</v>
      </c>
      <c r="T205" s="8">
        <f t="shared" si="79"/>
        <v>1</v>
      </c>
      <c r="U205" s="33">
        <f t="shared" si="88"/>
        <v>0</v>
      </c>
      <c r="V205" s="33">
        <f t="shared" si="89"/>
        <v>-0.99999998741074603</v>
      </c>
      <c r="W205" s="33">
        <f t="shared" si="90"/>
        <v>362.97680001258919</v>
      </c>
      <c r="X205" s="33">
        <v>96485</v>
      </c>
      <c r="Y205" s="16">
        <f t="shared" si="91"/>
        <v>-265.81588349993558</v>
      </c>
      <c r="Z205" s="16">
        <v>7</v>
      </c>
      <c r="AA205" s="16">
        <v>13</v>
      </c>
      <c r="AB205" s="8">
        <f t="shared" si="92"/>
        <v>0.34008097165991902</v>
      </c>
      <c r="AC205" s="16">
        <f t="shared" si="93"/>
        <v>67.861468093570807</v>
      </c>
      <c r="AD205" s="20">
        <f>'PFAS Properties'!$W$32</f>
        <v>6</v>
      </c>
      <c r="AE205" s="8">
        <f>'PFAS Properties'!$S$32</f>
        <v>3.5619357633137811</v>
      </c>
      <c r="AF205" s="15">
        <f>'PFAS Properties'!$V$32</f>
        <v>4.3</v>
      </c>
      <c r="AG205" s="24">
        <v>7.7</v>
      </c>
      <c r="AH205" s="2" t="s">
        <v>183</v>
      </c>
      <c r="AI205" s="2" t="s">
        <v>661</v>
      </c>
      <c r="AJ205" s="2" t="s">
        <v>661</v>
      </c>
      <c r="AK205" s="2" t="s">
        <v>661</v>
      </c>
      <c r="AL205" s="2" t="s">
        <v>661</v>
      </c>
      <c r="AM205" s="2" t="s">
        <v>661</v>
      </c>
      <c r="AN205" s="2" t="s">
        <v>661</v>
      </c>
      <c r="AO205" s="2" t="s">
        <v>661</v>
      </c>
      <c r="AP205" s="15">
        <v>21.63</v>
      </c>
      <c r="AQ205" s="2" t="s">
        <v>661</v>
      </c>
      <c r="AR205" s="16">
        <v>70</v>
      </c>
      <c r="AS205" s="16">
        <v>11</v>
      </c>
      <c r="AT205" s="16">
        <v>19</v>
      </c>
      <c r="AU205" s="2" t="s">
        <v>661</v>
      </c>
      <c r="AV205" s="16">
        <f t="shared" si="78"/>
        <v>100</v>
      </c>
      <c r="AW205" s="18">
        <v>4.9000000000000004</v>
      </c>
      <c r="AX205" s="13">
        <v>4.9000000000000002E-2</v>
      </c>
      <c r="AY205" s="8" t="s">
        <v>184</v>
      </c>
      <c r="AZ205" s="16">
        <v>100</v>
      </c>
      <c r="BA205" s="16" t="s">
        <v>55</v>
      </c>
      <c r="BB205" s="16">
        <v>5</v>
      </c>
      <c r="BC205" s="16" t="s">
        <v>55</v>
      </c>
      <c r="BD205" s="20">
        <v>1.41</v>
      </c>
      <c r="BE205" s="15">
        <f t="shared" si="94"/>
        <v>28.77551020408163</v>
      </c>
      <c r="BF205" s="8">
        <f t="shared" si="95"/>
        <v>1.4590230326268663</v>
      </c>
      <c r="BG205" s="8">
        <f t="shared" si="96"/>
        <v>0.14921911265537988</v>
      </c>
      <c r="BH205" s="13" t="s">
        <v>345</v>
      </c>
      <c r="BI205" s="13"/>
      <c r="BJ205" s="13"/>
      <c r="BK205" s="13"/>
      <c r="BL205" s="13"/>
      <c r="BM205" s="17"/>
      <c r="BN205" s="17"/>
      <c r="BO205" s="2"/>
    </row>
    <row r="206" spans="1:67" s="14" customFormat="1" x14ac:dyDescent="0.3">
      <c r="A206" s="20">
        <v>212</v>
      </c>
      <c r="B206" s="2" t="s">
        <v>181</v>
      </c>
      <c r="C206" s="2">
        <v>2020</v>
      </c>
      <c r="D206" s="2" t="s">
        <v>203</v>
      </c>
      <c r="E206" s="10" t="s">
        <v>787</v>
      </c>
      <c r="F206" s="20" t="s">
        <v>29</v>
      </c>
      <c r="G206" s="2" t="s">
        <v>77</v>
      </c>
      <c r="H206" s="2" t="str">
        <f>'PFAS Properties'!$B$32</f>
        <v>PFHpA</v>
      </c>
      <c r="I206" s="2" t="str">
        <f>'PFAS Properties'!$C$32</f>
        <v>PFCA</v>
      </c>
      <c r="J206" s="2" t="str">
        <f>'PFAS Properties'!$D$32</f>
        <v>C7HF13O2</v>
      </c>
      <c r="K206" s="25">
        <f>'PFAS Properties'!$P$32</f>
        <v>363.97679999999997</v>
      </c>
      <c r="L206" s="2">
        <f>'PFAS Properties'!$X$32</f>
        <v>-0.2</v>
      </c>
      <c r="M206" s="2" t="str">
        <f>'PFAS Properties'!$Y$32</f>
        <v>-</v>
      </c>
      <c r="N206" s="33">
        <v>0</v>
      </c>
      <c r="O206" s="33">
        <v>0</v>
      </c>
      <c r="P206" s="33">
        <v>0</v>
      </c>
      <c r="Q206" s="33">
        <f t="shared" si="99"/>
        <v>0.99999998741074603</v>
      </c>
      <c r="R206" s="33">
        <v>0</v>
      </c>
      <c r="S206" s="33">
        <f t="shared" si="100"/>
        <v>1.258925395945232E-8</v>
      </c>
      <c r="T206" s="8">
        <f t="shared" si="79"/>
        <v>1</v>
      </c>
      <c r="U206" s="33">
        <f t="shared" si="88"/>
        <v>0</v>
      </c>
      <c r="V206" s="33">
        <f t="shared" si="89"/>
        <v>-0.99999998741074603</v>
      </c>
      <c r="W206" s="33">
        <f t="shared" si="90"/>
        <v>362.97680001258919</v>
      </c>
      <c r="X206" s="33">
        <v>96485</v>
      </c>
      <c r="Y206" s="16">
        <f t="shared" si="91"/>
        <v>-265.81588349993558</v>
      </c>
      <c r="Z206" s="16">
        <v>7</v>
      </c>
      <c r="AA206" s="16">
        <v>13</v>
      </c>
      <c r="AB206" s="8">
        <f t="shared" si="92"/>
        <v>0.34008097165991902</v>
      </c>
      <c r="AC206" s="16">
        <f t="shared" si="93"/>
        <v>67.861468093570807</v>
      </c>
      <c r="AD206" s="20">
        <f>'PFAS Properties'!$W$32</f>
        <v>6</v>
      </c>
      <c r="AE206" s="8">
        <f>'PFAS Properties'!$S$32</f>
        <v>3.5619357633137811</v>
      </c>
      <c r="AF206" s="15">
        <f>'PFAS Properties'!$V$32</f>
        <v>4.3</v>
      </c>
      <c r="AG206" s="24">
        <v>7.7</v>
      </c>
      <c r="AH206" s="2" t="s">
        <v>183</v>
      </c>
      <c r="AI206" s="2" t="s">
        <v>661</v>
      </c>
      <c r="AJ206" s="2" t="s">
        <v>661</v>
      </c>
      <c r="AK206" s="2" t="s">
        <v>661</v>
      </c>
      <c r="AL206" s="2" t="s">
        <v>661</v>
      </c>
      <c r="AM206" s="2" t="s">
        <v>661</v>
      </c>
      <c r="AN206" s="2" t="s">
        <v>661</v>
      </c>
      <c r="AO206" s="2" t="s">
        <v>661</v>
      </c>
      <c r="AP206" s="15">
        <v>7.8</v>
      </c>
      <c r="AQ206" s="2" t="s">
        <v>661</v>
      </c>
      <c r="AR206" s="16">
        <v>48.9</v>
      </c>
      <c r="AS206" s="16">
        <v>32.6</v>
      </c>
      <c r="AT206" s="16">
        <v>18.5</v>
      </c>
      <c r="AU206" s="2" t="s">
        <v>661</v>
      </c>
      <c r="AV206" s="16">
        <f t="shared" si="78"/>
        <v>100</v>
      </c>
      <c r="AW206" s="18">
        <v>0.13</v>
      </c>
      <c r="AX206" s="13">
        <v>1.2999999999999999E-3</v>
      </c>
      <c r="AY206" s="8" t="s">
        <v>184</v>
      </c>
      <c r="AZ206" s="16">
        <v>100</v>
      </c>
      <c r="BA206" s="16" t="s">
        <v>55</v>
      </c>
      <c r="BB206" s="16">
        <v>5</v>
      </c>
      <c r="BC206" s="16" t="s">
        <v>55</v>
      </c>
      <c r="BD206" s="20">
        <v>0.47</v>
      </c>
      <c r="BE206" s="15">
        <f t="shared" si="94"/>
        <v>361.53846153846155</v>
      </c>
      <c r="BF206" s="8">
        <f t="shared" si="95"/>
        <v>2.5581545056288806</v>
      </c>
      <c r="BG206" s="8">
        <f t="shared" si="96"/>
        <v>-0.32790214206428259</v>
      </c>
      <c r="BH206" s="13" t="s">
        <v>345</v>
      </c>
      <c r="BI206" s="13"/>
      <c r="BJ206" s="13"/>
      <c r="BK206" s="13"/>
      <c r="BL206" s="13"/>
      <c r="BM206" s="17"/>
      <c r="BN206" s="17"/>
      <c r="BO206" s="2"/>
    </row>
    <row r="207" spans="1:67" s="14" customFormat="1" x14ac:dyDescent="0.3">
      <c r="A207" s="20">
        <v>213</v>
      </c>
      <c r="B207" s="2" t="s">
        <v>181</v>
      </c>
      <c r="C207" s="2">
        <v>2020</v>
      </c>
      <c r="D207" s="2" t="s">
        <v>203</v>
      </c>
      <c r="E207" s="10" t="s">
        <v>787</v>
      </c>
      <c r="F207" s="20" t="s">
        <v>29</v>
      </c>
      <c r="G207" s="2" t="s">
        <v>182</v>
      </c>
      <c r="H207" s="2" t="str">
        <f>'PFAS Properties'!$B$32</f>
        <v>PFHpA</v>
      </c>
      <c r="I207" s="2" t="str">
        <f>'PFAS Properties'!$C$32</f>
        <v>PFCA</v>
      </c>
      <c r="J207" s="2" t="str">
        <f>'PFAS Properties'!$D$32</f>
        <v>C7HF13O2</v>
      </c>
      <c r="K207" s="25">
        <f>'PFAS Properties'!$P$32</f>
        <v>363.97679999999997</v>
      </c>
      <c r="L207" s="2">
        <f>'PFAS Properties'!$X$32</f>
        <v>-0.2</v>
      </c>
      <c r="M207" s="2" t="str">
        <f>'PFAS Properties'!$Y$32</f>
        <v>-</v>
      </c>
      <c r="N207" s="33">
        <v>0</v>
      </c>
      <c r="O207" s="33">
        <v>0</v>
      </c>
      <c r="P207" s="33">
        <v>0</v>
      </c>
      <c r="Q207" s="33">
        <f t="shared" si="99"/>
        <v>0.99999998004737722</v>
      </c>
      <c r="R207" s="33">
        <v>0</v>
      </c>
      <c r="S207" s="33">
        <f t="shared" si="100"/>
        <v>1.995262275158161E-8</v>
      </c>
      <c r="T207" s="8">
        <f t="shared" si="79"/>
        <v>1</v>
      </c>
      <c r="U207" s="33">
        <f t="shared" si="88"/>
        <v>0</v>
      </c>
      <c r="V207" s="33">
        <f t="shared" si="89"/>
        <v>-0.99999998004737722</v>
      </c>
      <c r="W207" s="33">
        <f t="shared" si="90"/>
        <v>362.97680001995258</v>
      </c>
      <c r="X207" s="33">
        <v>96485</v>
      </c>
      <c r="Y207" s="16">
        <f t="shared" si="91"/>
        <v>-265.81588153724283</v>
      </c>
      <c r="Z207" s="16">
        <v>7</v>
      </c>
      <c r="AA207" s="16">
        <v>13</v>
      </c>
      <c r="AB207" s="8">
        <f t="shared" si="92"/>
        <v>0.34008097165991902</v>
      </c>
      <c r="AC207" s="16">
        <f t="shared" si="93"/>
        <v>67.861468093570807</v>
      </c>
      <c r="AD207" s="20">
        <f>'PFAS Properties'!$W$32</f>
        <v>6</v>
      </c>
      <c r="AE207" s="8">
        <f>'PFAS Properties'!$S$32</f>
        <v>3.5619357633137811</v>
      </c>
      <c r="AF207" s="15">
        <f>'PFAS Properties'!$V$32</f>
        <v>4.3</v>
      </c>
      <c r="AG207" s="24">
        <v>7.5</v>
      </c>
      <c r="AH207" s="2" t="s">
        <v>183</v>
      </c>
      <c r="AI207" s="2" t="s">
        <v>661</v>
      </c>
      <c r="AJ207" s="2" t="s">
        <v>661</v>
      </c>
      <c r="AK207" s="2" t="s">
        <v>661</v>
      </c>
      <c r="AL207" s="2" t="s">
        <v>661</v>
      </c>
      <c r="AM207" s="2" t="s">
        <v>661</v>
      </c>
      <c r="AN207" s="2" t="s">
        <v>661</v>
      </c>
      <c r="AO207" s="2" t="s">
        <v>661</v>
      </c>
      <c r="AP207" s="15">
        <v>2.2799999999999998</v>
      </c>
      <c r="AQ207" s="2" t="s">
        <v>661</v>
      </c>
      <c r="AR207" s="16">
        <v>93</v>
      </c>
      <c r="AS207" s="16">
        <v>1</v>
      </c>
      <c r="AT207" s="16">
        <v>5</v>
      </c>
      <c r="AU207" s="2" t="s">
        <v>661</v>
      </c>
      <c r="AV207" s="16">
        <f t="shared" si="78"/>
        <v>99</v>
      </c>
      <c r="AW207" s="18">
        <v>0.4</v>
      </c>
      <c r="AX207" s="13">
        <v>4.0000000000000001E-3</v>
      </c>
      <c r="AY207" s="8" t="s">
        <v>184</v>
      </c>
      <c r="AZ207" s="16">
        <v>100</v>
      </c>
      <c r="BA207" s="16" t="s">
        <v>55</v>
      </c>
      <c r="BB207" s="16">
        <v>5</v>
      </c>
      <c r="BC207" s="16" t="s">
        <v>55</v>
      </c>
      <c r="BD207" s="20">
        <v>0.3</v>
      </c>
      <c r="BE207" s="15">
        <f t="shared" si="94"/>
        <v>75</v>
      </c>
      <c r="BF207" s="8">
        <f t="shared" si="95"/>
        <v>1.8750612633917001</v>
      </c>
      <c r="BG207" s="8">
        <f t="shared" si="96"/>
        <v>-0.52287874528033762</v>
      </c>
      <c r="BH207" s="13" t="s">
        <v>345</v>
      </c>
      <c r="BI207" s="13"/>
      <c r="BJ207" s="13"/>
      <c r="BK207" s="13"/>
      <c r="BL207" s="13"/>
      <c r="BM207" s="17"/>
      <c r="BN207" s="17"/>
      <c r="BO207" s="2"/>
    </row>
    <row r="208" spans="1:67" s="14" customFormat="1" x14ac:dyDescent="0.3">
      <c r="A208" s="20">
        <v>214</v>
      </c>
      <c r="B208" s="2" t="s">
        <v>181</v>
      </c>
      <c r="C208" s="2">
        <v>2020</v>
      </c>
      <c r="D208" s="2" t="s">
        <v>203</v>
      </c>
      <c r="E208" s="10" t="s">
        <v>787</v>
      </c>
      <c r="F208" s="20" t="s">
        <v>29</v>
      </c>
      <c r="G208" s="2" t="s">
        <v>78</v>
      </c>
      <c r="H208" s="2" t="str">
        <f>'PFAS Properties'!$B$32</f>
        <v>PFHpA</v>
      </c>
      <c r="I208" s="2" t="str">
        <f>'PFAS Properties'!$C$32</f>
        <v>PFCA</v>
      </c>
      <c r="J208" s="2" t="str">
        <f>'PFAS Properties'!$D$32</f>
        <v>C7HF13O2</v>
      </c>
      <c r="K208" s="25">
        <f>'PFAS Properties'!$P$32</f>
        <v>363.97679999999997</v>
      </c>
      <c r="L208" s="2">
        <f>'PFAS Properties'!$X$32</f>
        <v>-0.2</v>
      </c>
      <c r="M208" s="2" t="str">
        <f>'PFAS Properties'!$Y$32</f>
        <v>-</v>
      </c>
      <c r="N208" s="33">
        <v>0</v>
      </c>
      <c r="O208" s="33">
        <v>0</v>
      </c>
      <c r="P208" s="33">
        <v>0</v>
      </c>
      <c r="Q208" s="33">
        <f t="shared" si="99"/>
        <v>0.99999994988127916</v>
      </c>
      <c r="R208" s="33">
        <v>0</v>
      </c>
      <c r="S208" s="33">
        <f t="shared" si="100"/>
        <v>5.011872085084086E-8</v>
      </c>
      <c r="T208" s="8">
        <f t="shared" si="79"/>
        <v>1</v>
      </c>
      <c r="U208" s="33">
        <f t="shared" si="88"/>
        <v>0</v>
      </c>
      <c r="V208" s="33">
        <f t="shared" si="89"/>
        <v>-0.99999994988127916</v>
      </c>
      <c r="W208" s="33">
        <f t="shared" si="90"/>
        <v>362.9768000501187</v>
      </c>
      <c r="X208" s="33">
        <v>96485</v>
      </c>
      <c r="Y208" s="16">
        <f t="shared" si="91"/>
        <v>-265.81587349652341</v>
      </c>
      <c r="Z208" s="16">
        <v>7</v>
      </c>
      <c r="AA208" s="16">
        <v>13</v>
      </c>
      <c r="AB208" s="8">
        <f t="shared" si="92"/>
        <v>0.34008097165991902</v>
      </c>
      <c r="AC208" s="16">
        <f t="shared" si="93"/>
        <v>67.861468093570807</v>
      </c>
      <c r="AD208" s="20">
        <f>'PFAS Properties'!$W$32</f>
        <v>6</v>
      </c>
      <c r="AE208" s="8">
        <f>'PFAS Properties'!$S$32</f>
        <v>3.5619357633137811</v>
      </c>
      <c r="AF208" s="15">
        <f>'PFAS Properties'!$V$32</f>
        <v>4.3</v>
      </c>
      <c r="AG208" s="24">
        <v>7.1</v>
      </c>
      <c r="AH208" s="2" t="s">
        <v>183</v>
      </c>
      <c r="AI208" s="2" t="s">
        <v>661</v>
      </c>
      <c r="AJ208" s="2" t="s">
        <v>661</v>
      </c>
      <c r="AK208" s="2" t="s">
        <v>661</v>
      </c>
      <c r="AL208" s="2" t="s">
        <v>661</v>
      </c>
      <c r="AM208" s="2" t="s">
        <v>661</v>
      </c>
      <c r="AN208" s="2" t="s">
        <v>661</v>
      </c>
      <c r="AO208" s="2" t="s">
        <v>661</v>
      </c>
      <c r="AP208" s="15">
        <v>17.420000000000002</v>
      </c>
      <c r="AQ208" s="2" t="s">
        <v>661</v>
      </c>
      <c r="AR208" s="16">
        <v>48.86</v>
      </c>
      <c r="AS208" s="16">
        <v>16.05</v>
      </c>
      <c r="AT208" s="16">
        <v>35.090000000000003</v>
      </c>
      <c r="AU208" s="2" t="s">
        <v>661</v>
      </c>
      <c r="AV208" s="16">
        <f t="shared" si="78"/>
        <v>100</v>
      </c>
      <c r="AW208" s="18">
        <v>1.19</v>
      </c>
      <c r="AX208" s="13">
        <v>1.1899999999999999E-2</v>
      </c>
      <c r="AY208" s="8" t="s">
        <v>184</v>
      </c>
      <c r="AZ208" s="16">
        <v>100</v>
      </c>
      <c r="BA208" s="16" t="s">
        <v>55</v>
      </c>
      <c r="BB208" s="16">
        <v>5</v>
      </c>
      <c r="BC208" s="16" t="s">
        <v>55</v>
      </c>
      <c r="BD208" s="20">
        <v>1.92</v>
      </c>
      <c r="BE208" s="15">
        <f t="shared" si="94"/>
        <v>161.34453781512605</v>
      </c>
      <c r="BF208" s="8">
        <f t="shared" si="95"/>
        <v>2.2077542673110186</v>
      </c>
      <c r="BG208" s="8">
        <f t="shared" si="96"/>
        <v>0.28330122870354957</v>
      </c>
      <c r="BH208" s="13" t="s">
        <v>345</v>
      </c>
      <c r="BI208" s="13"/>
      <c r="BJ208" s="13"/>
      <c r="BK208" s="13"/>
      <c r="BL208" s="13"/>
      <c r="BM208" s="17"/>
      <c r="BN208" s="17"/>
      <c r="BO208" s="2"/>
    </row>
    <row r="209" spans="1:67" s="14" customFormat="1" x14ac:dyDescent="0.3">
      <c r="A209" s="20">
        <v>215</v>
      </c>
      <c r="B209" s="2" t="s">
        <v>181</v>
      </c>
      <c r="C209" s="2">
        <v>2020</v>
      </c>
      <c r="D209" s="2" t="s">
        <v>203</v>
      </c>
      <c r="E209" s="10" t="s">
        <v>787</v>
      </c>
      <c r="F209" s="20" t="s">
        <v>29</v>
      </c>
      <c r="G209" s="2" t="s">
        <v>98</v>
      </c>
      <c r="H209" s="2" t="str">
        <f>'PFAS Properties'!$B$32</f>
        <v>PFHpA</v>
      </c>
      <c r="I209" s="2" t="str">
        <f>'PFAS Properties'!$C$32</f>
        <v>PFCA</v>
      </c>
      <c r="J209" s="2" t="str">
        <f>'PFAS Properties'!$D$32</f>
        <v>C7HF13O2</v>
      </c>
      <c r="K209" s="25">
        <f>'PFAS Properties'!$P$32</f>
        <v>363.97679999999997</v>
      </c>
      <c r="L209" s="2">
        <f>'PFAS Properties'!$X$32</f>
        <v>-0.2</v>
      </c>
      <c r="M209" s="2" t="str">
        <f>'PFAS Properties'!$Y$32</f>
        <v>-</v>
      </c>
      <c r="N209" s="33">
        <v>0</v>
      </c>
      <c r="O209" s="33">
        <v>0</v>
      </c>
      <c r="P209" s="33">
        <v>0</v>
      </c>
      <c r="Q209" s="33">
        <f t="shared" si="99"/>
        <v>0.99999974881141995</v>
      </c>
      <c r="R209" s="33">
        <v>0</v>
      </c>
      <c r="S209" s="33">
        <f t="shared" si="100"/>
        <v>2.5118858005523878E-7</v>
      </c>
      <c r="T209" s="8">
        <f t="shared" si="79"/>
        <v>1</v>
      </c>
      <c r="U209" s="33">
        <f t="shared" si="88"/>
        <v>0</v>
      </c>
      <c r="V209" s="33">
        <f t="shared" si="89"/>
        <v>-0.99999974881141995</v>
      </c>
      <c r="W209" s="33">
        <f t="shared" si="90"/>
        <v>362.97680025118854</v>
      </c>
      <c r="X209" s="33">
        <v>96485</v>
      </c>
      <c r="Y209" s="16">
        <f t="shared" si="91"/>
        <v>-265.81581990171264</v>
      </c>
      <c r="Z209" s="16">
        <v>7</v>
      </c>
      <c r="AA209" s="16">
        <v>13</v>
      </c>
      <c r="AB209" s="8">
        <f t="shared" si="92"/>
        <v>0.34008097165991902</v>
      </c>
      <c r="AC209" s="16">
        <f t="shared" si="93"/>
        <v>67.861468093570807</v>
      </c>
      <c r="AD209" s="20">
        <f>'PFAS Properties'!$W$32</f>
        <v>6</v>
      </c>
      <c r="AE209" s="8">
        <f>'PFAS Properties'!$S$32</f>
        <v>3.5619357633137811</v>
      </c>
      <c r="AF209" s="15">
        <f>'PFAS Properties'!$V$32</f>
        <v>4.3</v>
      </c>
      <c r="AG209" s="24">
        <v>6.4</v>
      </c>
      <c r="AH209" s="2" t="s">
        <v>183</v>
      </c>
      <c r="AI209" s="2" t="s">
        <v>661</v>
      </c>
      <c r="AJ209" s="2" t="s">
        <v>661</v>
      </c>
      <c r="AK209" s="2" t="s">
        <v>661</v>
      </c>
      <c r="AL209" s="2" t="s">
        <v>661</v>
      </c>
      <c r="AM209" s="2" t="s">
        <v>661</v>
      </c>
      <c r="AN209" s="2" t="s">
        <v>661</v>
      </c>
      <c r="AO209" s="2" t="s">
        <v>661</v>
      </c>
      <c r="AP209" s="15">
        <v>16.54</v>
      </c>
      <c r="AQ209" s="2" t="s">
        <v>661</v>
      </c>
      <c r="AR209" s="16">
        <v>29.38</v>
      </c>
      <c r="AS209" s="16">
        <v>13.9</v>
      </c>
      <c r="AT209" s="16">
        <v>56.71</v>
      </c>
      <c r="AU209" s="2" t="s">
        <v>661</v>
      </c>
      <c r="AV209" s="16">
        <f t="shared" si="78"/>
        <v>99.990000000000009</v>
      </c>
      <c r="AW209" s="18">
        <v>0.17</v>
      </c>
      <c r="AX209" s="13">
        <v>1.7000000000000001E-3</v>
      </c>
      <c r="AY209" s="8" t="s">
        <v>184</v>
      </c>
      <c r="AZ209" s="16">
        <v>100</v>
      </c>
      <c r="BA209" s="16" t="s">
        <v>55</v>
      </c>
      <c r="BB209" s="16">
        <v>5</v>
      </c>
      <c r="BC209" s="16" t="s">
        <v>55</v>
      </c>
      <c r="BD209" s="20">
        <v>0.84</v>
      </c>
      <c r="BE209" s="15">
        <f t="shared" si="94"/>
        <v>494.11764705882348</v>
      </c>
      <c r="BF209" s="8">
        <f t="shared" si="95"/>
        <v>2.6938303646836075</v>
      </c>
      <c r="BG209" s="8">
        <f t="shared" si="96"/>
        <v>-7.5720713938118356E-2</v>
      </c>
      <c r="BH209" s="13" t="s">
        <v>345</v>
      </c>
      <c r="BI209" s="13"/>
      <c r="BJ209" s="13"/>
      <c r="BK209" s="13"/>
      <c r="BL209" s="13"/>
      <c r="BM209" s="17"/>
      <c r="BN209" s="17"/>
      <c r="BO209" s="2"/>
    </row>
    <row r="210" spans="1:67" s="14" customFormat="1" x14ac:dyDescent="0.3">
      <c r="A210" s="20">
        <v>216</v>
      </c>
      <c r="B210" s="2" t="s">
        <v>224</v>
      </c>
      <c r="C210" s="2">
        <v>2013</v>
      </c>
      <c r="D210" s="2" t="s">
        <v>223</v>
      </c>
      <c r="E210" s="10" t="s">
        <v>222</v>
      </c>
      <c r="F210" s="20" t="s">
        <v>29</v>
      </c>
      <c r="G210" s="2" t="s">
        <v>88</v>
      </c>
      <c r="H210" s="2" t="str">
        <f>'PFAS Properties'!$B$33</f>
        <v>PFOA</v>
      </c>
      <c r="I210" s="2" t="str">
        <f>'PFAS Properties'!$C$33</f>
        <v>PFCA</v>
      </c>
      <c r="J210" s="2" t="str">
        <f>'PFAS Properties'!$D$33</f>
        <v>C8HF15O2</v>
      </c>
      <c r="K210" s="25">
        <f>'PFAS Properties'!$P$33</f>
        <v>413.97359999999998</v>
      </c>
      <c r="L210" s="2">
        <f>'PFAS Properties'!$X$33</f>
        <v>-0.2</v>
      </c>
      <c r="M210" s="2" t="str">
        <f>'PFAS Properties'!$Y$33</f>
        <v>-</v>
      </c>
      <c r="N210" s="33">
        <v>0</v>
      </c>
      <c r="O210" s="33">
        <v>0</v>
      </c>
      <c r="P210" s="33">
        <v>0</v>
      </c>
      <c r="Q210" s="33">
        <f t="shared" si="99"/>
        <v>0.99999981048223863</v>
      </c>
      <c r="R210" s="33">
        <v>0</v>
      </c>
      <c r="S210" s="33">
        <f t="shared" si="100"/>
        <v>1.8951776134415075E-7</v>
      </c>
      <c r="T210" s="8">
        <f t="shared" si="79"/>
        <v>1</v>
      </c>
      <c r="U210" s="33">
        <f t="shared" si="88"/>
        <v>0</v>
      </c>
      <c r="V210" s="33">
        <f t="shared" si="89"/>
        <v>-0.99999981048223863</v>
      </c>
      <c r="W210" s="33">
        <f t="shared" si="90"/>
        <v>412.9736001895177</v>
      </c>
      <c r="X210" s="33">
        <v>96485</v>
      </c>
      <c r="Y210" s="16">
        <f t="shared" si="91"/>
        <v>-233.63474486044839</v>
      </c>
      <c r="Z210" s="16">
        <v>8</v>
      </c>
      <c r="AA210" s="16">
        <v>15</v>
      </c>
      <c r="AB210" s="8">
        <f t="shared" si="92"/>
        <v>0.33684210526315789</v>
      </c>
      <c r="AC210" s="16">
        <f t="shared" si="93"/>
        <v>68.844969824162703</v>
      </c>
      <c r="AD210" s="20">
        <f>'PFAS Properties'!$W$33</f>
        <v>7</v>
      </c>
      <c r="AE210" s="8">
        <f>'PFAS Properties'!$S$33</f>
        <v>2.6821450763738319</v>
      </c>
      <c r="AF210" s="15">
        <f>'PFAS Properties'!$V$33</f>
        <v>4.9000000000000004</v>
      </c>
      <c r="AG210" s="124">
        <v>6.5223499999999994</v>
      </c>
      <c r="AH210" s="70" t="s">
        <v>752</v>
      </c>
      <c r="AI210" s="2" t="s">
        <v>661</v>
      </c>
      <c r="AJ210" s="2" t="s">
        <v>661</v>
      </c>
      <c r="AK210" s="2" t="s">
        <v>661</v>
      </c>
      <c r="AL210" s="2" t="s">
        <v>661</v>
      </c>
      <c r="AM210" s="2" t="s">
        <v>661</v>
      </c>
      <c r="AN210" s="2" t="s">
        <v>661</v>
      </c>
      <c r="AO210" s="2" t="s">
        <v>661</v>
      </c>
      <c r="AP210" s="16">
        <v>12.5</v>
      </c>
      <c r="AQ210" s="16" t="s">
        <v>661</v>
      </c>
      <c r="AR210" s="71">
        <v>26.547000000000001</v>
      </c>
      <c r="AS210" s="71">
        <v>46.607999999999997</v>
      </c>
      <c r="AT210" s="71">
        <v>26.966000000000001</v>
      </c>
      <c r="AU210" s="70" t="s">
        <v>752</v>
      </c>
      <c r="AV210" s="16">
        <f t="shared" si="78"/>
        <v>100.12100000000001</v>
      </c>
      <c r="AW210" s="18">
        <v>2.5</v>
      </c>
      <c r="AX210" s="13">
        <f t="shared" ref="AX210:AX216" si="101">AW210/100</f>
        <v>2.5000000000000001E-2</v>
      </c>
      <c r="AY210" s="12" t="s">
        <v>839</v>
      </c>
      <c r="AZ210" s="16">
        <f>4/0.04</f>
        <v>100</v>
      </c>
      <c r="BA210" s="16" t="s">
        <v>55</v>
      </c>
      <c r="BB210" s="16">
        <v>5</v>
      </c>
      <c r="BC210" s="16">
        <v>100</v>
      </c>
      <c r="BD210" s="18">
        <v>3.53</v>
      </c>
      <c r="BE210" s="15">
        <f t="shared" si="94"/>
        <v>141.19999999999999</v>
      </c>
      <c r="BF210" s="8">
        <f t="shared" si="95"/>
        <v>2.1498346967157849</v>
      </c>
      <c r="BG210" s="8">
        <f t="shared" si="96"/>
        <v>0.54777470538782258</v>
      </c>
      <c r="BH210" s="13" t="s">
        <v>837</v>
      </c>
      <c r="BI210" s="13"/>
      <c r="BJ210" s="13"/>
      <c r="BK210" s="13"/>
      <c r="BL210" s="13"/>
      <c r="BM210" s="17"/>
      <c r="BN210" s="17"/>
      <c r="BO210" s="2"/>
    </row>
    <row r="211" spans="1:67" s="14" customFormat="1" x14ac:dyDescent="0.3">
      <c r="A211" s="20">
        <v>217</v>
      </c>
      <c r="B211" s="2" t="s">
        <v>224</v>
      </c>
      <c r="C211" s="2">
        <v>2013</v>
      </c>
      <c r="D211" s="2" t="s">
        <v>223</v>
      </c>
      <c r="E211" s="10" t="s">
        <v>222</v>
      </c>
      <c r="F211" s="20" t="s">
        <v>29</v>
      </c>
      <c r="G211" s="2" t="s">
        <v>89</v>
      </c>
      <c r="H211" s="2" t="str">
        <f>'PFAS Properties'!$B$33</f>
        <v>PFOA</v>
      </c>
      <c r="I211" s="2" t="str">
        <f>'PFAS Properties'!$C$33</f>
        <v>PFCA</v>
      </c>
      <c r="J211" s="2" t="str">
        <f>'PFAS Properties'!$D$33</f>
        <v>C8HF15O2</v>
      </c>
      <c r="K211" s="25">
        <f>'PFAS Properties'!$P$33</f>
        <v>413.97359999999998</v>
      </c>
      <c r="L211" s="2">
        <f>'PFAS Properties'!$X$33</f>
        <v>-0.2</v>
      </c>
      <c r="M211" s="2" t="str">
        <f>'PFAS Properties'!$Y$33</f>
        <v>-</v>
      </c>
      <c r="N211" s="33">
        <v>0</v>
      </c>
      <c r="O211" s="33">
        <v>0</v>
      </c>
      <c r="P211" s="33">
        <v>0</v>
      </c>
      <c r="Q211" s="33">
        <f t="shared" si="99"/>
        <v>0.99999893891655389</v>
      </c>
      <c r="R211" s="33">
        <v>0</v>
      </c>
      <c r="S211" s="33">
        <f t="shared" si="100"/>
        <v>1.0610834460811781E-6</v>
      </c>
      <c r="T211" s="8">
        <f t="shared" si="79"/>
        <v>1</v>
      </c>
      <c r="U211" s="33">
        <f t="shared" si="88"/>
        <v>0</v>
      </c>
      <c r="V211" s="33">
        <f t="shared" si="89"/>
        <v>-0.99999893891655389</v>
      </c>
      <c r="W211" s="33">
        <f t="shared" si="90"/>
        <v>412.9736010610834</v>
      </c>
      <c r="X211" s="33">
        <v>96485</v>
      </c>
      <c r="Y211" s="16">
        <f t="shared" si="91"/>
        <v>-233.63454073930626</v>
      </c>
      <c r="Z211" s="16">
        <v>8</v>
      </c>
      <c r="AA211" s="16">
        <v>15</v>
      </c>
      <c r="AB211" s="8">
        <f t="shared" si="92"/>
        <v>0.33684210526315789</v>
      </c>
      <c r="AC211" s="16">
        <f t="shared" si="93"/>
        <v>68.844969824162703</v>
      </c>
      <c r="AD211" s="20">
        <f>'PFAS Properties'!$W$33</f>
        <v>7</v>
      </c>
      <c r="AE211" s="8">
        <f>'PFAS Properties'!$S$33</f>
        <v>2.6821450763738319</v>
      </c>
      <c r="AF211" s="15">
        <f>'PFAS Properties'!$V$33</f>
        <v>4.9000000000000004</v>
      </c>
      <c r="AG211" s="124">
        <v>5.7742499999999994</v>
      </c>
      <c r="AH211" s="70" t="s">
        <v>752</v>
      </c>
      <c r="AI211" s="2" t="s">
        <v>661</v>
      </c>
      <c r="AJ211" s="2" t="s">
        <v>661</v>
      </c>
      <c r="AK211" s="2" t="s">
        <v>661</v>
      </c>
      <c r="AL211" s="2" t="s">
        <v>661</v>
      </c>
      <c r="AM211" s="2" t="s">
        <v>661</v>
      </c>
      <c r="AN211" s="2" t="s">
        <v>661</v>
      </c>
      <c r="AO211" s="2" t="s">
        <v>661</v>
      </c>
      <c r="AP211" s="16">
        <v>3.22</v>
      </c>
      <c r="AQ211" s="16" t="s">
        <v>661</v>
      </c>
      <c r="AR211" s="71">
        <v>45.194833330000002</v>
      </c>
      <c r="AS211" s="71">
        <v>33.740666670000003</v>
      </c>
      <c r="AT211" s="71">
        <v>20.621500000000001</v>
      </c>
      <c r="AU211" s="70" t="s">
        <v>752</v>
      </c>
      <c r="AV211" s="16">
        <f t="shared" ref="AV211:AV222" si="102">SUM(AR211:AT211)</f>
        <v>99.557000000000002</v>
      </c>
      <c r="AW211" s="18">
        <v>5.2</v>
      </c>
      <c r="AX211" s="13">
        <f t="shared" si="101"/>
        <v>5.2000000000000005E-2</v>
      </c>
      <c r="AY211" s="12" t="s">
        <v>839</v>
      </c>
      <c r="AZ211" s="16">
        <f>4/0.04</f>
        <v>100</v>
      </c>
      <c r="BA211" s="16" t="s">
        <v>55</v>
      </c>
      <c r="BB211" s="16">
        <v>5</v>
      </c>
      <c r="BC211" s="16">
        <v>100</v>
      </c>
      <c r="BD211" s="18">
        <v>5.07</v>
      </c>
      <c r="BE211" s="15">
        <f t="shared" si="94"/>
        <v>97.5</v>
      </c>
      <c r="BF211" s="8">
        <f t="shared" si="95"/>
        <v>1.9890046156985368</v>
      </c>
      <c r="BG211" s="8">
        <f t="shared" si="96"/>
        <v>0.70500795933333604</v>
      </c>
      <c r="BH211" s="13" t="s">
        <v>837</v>
      </c>
      <c r="BI211" s="13"/>
      <c r="BJ211" s="13"/>
      <c r="BK211" s="13"/>
      <c r="BL211" s="13"/>
      <c r="BM211" s="17"/>
      <c r="BN211" s="17"/>
      <c r="BO211" s="2"/>
    </row>
    <row r="212" spans="1:67" s="14" customFormat="1" x14ac:dyDescent="0.3">
      <c r="A212" s="20">
        <v>218</v>
      </c>
      <c r="B212" s="2" t="s">
        <v>224</v>
      </c>
      <c r="C212" s="2">
        <v>2013</v>
      </c>
      <c r="D212" s="2" t="s">
        <v>223</v>
      </c>
      <c r="E212" s="10" t="s">
        <v>222</v>
      </c>
      <c r="F212" s="20" t="s">
        <v>29</v>
      </c>
      <c r="G212" s="2" t="s">
        <v>90</v>
      </c>
      <c r="H212" s="2" t="str">
        <f>'PFAS Properties'!$B$33</f>
        <v>PFOA</v>
      </c>
      <c r="I212" s="2" t="str">
        <f>'PFAS Properties'!$C$33</f>
        <v>PFCA</v>
      </c>
      <c r="J212" s="2" t="str">
        <f>'PFAS Properties'!$D$33</f>
        <v>C8HF15O2</v>
      </c>
      <c r="K212" s="25">
        <f>'PFAS Properties'!$P$33</f>
        <v>413.97359999999998</v>
      </c>
      <c r="L212" s="2">
        <f>'PFAS Properties'!$X$33</f>
        <v>-0.2</v>
      </c>
      <c r="M212" s="2" t="str">
        <f>'PFAS Properties'!$Y$33</f>
        <v>-</v>
      </c>
      <c r="N212" s="33">
        <v>0</v>
      </c>
      <c r="O212" s="33">
        <v>0</v>
      </c>
      <c r="P212" s="33">
        <v>0</v>
      </c>
      <c r="Q212" s="33">
        <f t="shared" si="99"/>
        <v>0.99999816431058886</v>
      </c>
      <c r="R212" s="33">
        <v>0</v>
      </c>
      <c r="S212" s="33">
        <f t="shared" si="100"/>
        <v>1.8356894111370159E-6</v>
      </c>
      <c r="T212" s="8">
        <f t="shared" ref="T212:T275" si="103">SUM(N212:S212)</f>
        <v>1</v>
      </c>
      <c r="U212" s="33">
        <f t="shared" si="88"/>
        <v>0</v>
      </c>
      <c r="V212" s="33">
        <f t="shared" si="89"/>
        <v>-0.99999816431058886</v>
      </c>
      <c r="W212" s="33">
        <f t="shared" si="90"/>
        <v>412.97360183568935</v>
      </c>
      <c r="X212" s="33">
        <v>96485</v>
      </c>
      <c r="Y212" s="16">
        <f t="shared" si="91"/>
        <v>-233.63435932618225</v>
      </c>
      <c r="Z212" s="16">
        <v>8</v>
      </c>
      <c r="AA212" s="16">
        <v>15</v>
      </c>
      <c r="AB212" s="8">
        <f t="shared" si="92"/>
        <v>0.33684210526315789</v>
      </c>
      <c r="AC212" s="16">
        <f t="shared" si="93"/>
        <v>68.844969824162703</v>
      </c>
      <c r="AD212" s="20">
        <f>'PFAS Properties'!$W$33</f>
        <v>7</v>
      </c>
      <c r="AE212" s="8">
        <f>'PFAS Properties'!$S$33</f>
        <v>2.6821450763738319</v>
      </c>
      <c r="AF212" s="15">
        <f>'PFAS Properties'!$V$33</f>
        <v>4.9000000000000004</v>
      </c>
      <c r="AG212" s="124">
        <v>5.5362</v>
      </c>
      <c r="AH212" s="70" t="s">
        <v>752</v>
      </c>
      <c r="AI212" s="2" t="s">
        <v>661</v>
      </c>
      <c r="AJ212" s="2" t="s">
        <v>661</v>
      </c>
      <c r="AK212" s="2" t="s">
        <v>661</v>
      </c>
      <c r="AL212" s="2" t="s">
        <v>661</v>
      </c>
      <c r="AM212" s="2" t="s">
        <v>661</v>
      </c>
      <c r="AN212" s="2" t="s">
        <v>661</v>
      </c>
      <c r="AO212" s="2" t="s">
        <v>661</v>
      </c>
      <c r="AP212" s="16">
        <v>3.83</v>
      </c>
      <c r="AQ212" s="16" t="s">
        <v>661</v>
      </c>
      <c r="AR212" s="71">
        <v>41.968833330000002</v>
      </c>
      <c r="AS212" s="71">
        <v>36.729166669999998</v>
      </c>
      <c r="AT212" s="71">
        <v>22.0915</v>
      </c>
      <c r="AU212" s="70" t="s">
        <v>752</v>
      </c>
      <c r="AV212" s="16">
        <f t="shared" si="102"/>
        <v>100.7895</v>
      </c>
      <c r="AW212" s="18">
        <v>16</v>
      </c>
      <c r="AX212" s="13">
        <f t="shared" si="101"/>
        <v>0.16</v>
      </c>
      <c r="AY212" s="12" t="s">
        <v>839</v>
      </c>
      <c r="AZ212" s="16">
        <f>4/0.04</f>
        <v>100</v>
      </c>
      <c r="BA212" s="16" t="s">
        <v>55</v>
      </c>
      <c r="BB212" s="16">
        <v>5</v>
      </c>
      <c r="BC212" s="16">
        <v>100</v>
      </c>
      <c r="BD212" s="18">
        <v>16.100000000000001</v>
      </c>
      <c r="BE212" s="15">
        <f t="shared" si="94"/>
        <v>100.625</v>
      </c>
      <c r="BF212" s="8">
        <f t="shared" si="95"/>
        <v>2.002705893375925</v>
      </c>
      <c r="BG212" s="8">
        <f t="shared" si="96"/>
        <v>1.2068258760318498</v>
      </c>
      <c r="BH212" s="13" t="s">
        <v>837</v>
      </c>
      <c r="BI212" s="13"/>
      <c r="BJ212" s="13"/>
      <c r="BK212" s="13"/>
      <c r="BL212" s="13"/>
      <c r="BM212" s="17"/>
      <c r="BN212" s="17"/>
      <c r="BO212" s="2"/>
    </row>
    <row r="213" spans="1:67" s="14" customFormat="1" x14ac:dyDescent="0.3">
      <c r="A213" s="20">
        <v>219</v>
      </c>
      <c r="B213" s="2" t="s">
        <v>224</v>
      </c>
      <c r="C213" s="2">
        <v>2013</v>
      </c>
      <c r="D213" s="2" t="s">
        <v>223</v>
      </c>
      <c r="E213" s="10" t="s">
        <v>222</v>
      </c>
      <c r="F213" s="20" t="s">
        <v>29</v>
      </c>
      <c r="G213" s="2" t="s">
        <v>91</v>
      </c>
      <c r="H213" s="2" t="str">
        <f>'PFAS Properties'!$B$33</f>
        <v>PFOA</v>
      </c>
      <c r="I213" s="2" t="str">
        <f>'PFAS Properties'!$C$33</f>
        <v>PFCA</v>
      </c>
      <c r="J213" s="2" t="str">
        <f>'PFAS Properties'!$D$33</f>
        <v>C8HF15O2</v>
      </c>
      <c r="K213" s="25">
        <f>'PFAS Properties'!$P$33</f>
        <v>413.97359999999998</v>
      </c>
      <c r="L213" s="2">
        <f>'PFAS Properties'!$X$33</f>
        <v>-0.2</v>
      </c>
      <c r="M213" s="2" t="str">
        <f>'PFAS Properties'!$Y$33</f>
        <v>-</v>
      </c>
      <c r="N213" s="33">
        <v>0</v>
      </c>
      <c r="O213" s="33">
        <v>0</v>
      </c>
      <c r="P213" s="33">
        <v>0</v>
      </c>
      <c r="Q213" s="33">
        <f t="shared" si="99"/>
        <v>0.99999985060022789</v>
      </c>
      <c r="R213" s="33">
        <v>0</v>
      </c>
      <c r="S213" s="33">
        <f t="shared" si="100"/>
        <v>1.4939977214322707E-7</v>
      </c>
      <c r="T213" s="8">
        <f t="shared" si="103"/>
        <v>1</v>
      </c>
      <c r="U213" s="33">
        <f t="shared" si="88"/>
        <v>0</v>
      </c>
      <c r="V213" s="33">
        <f t="shared" si="89"/>
        <v>-0.99999985060022789</v>
      </c>
      <c r="W213" s="33">
        <f t="shared" si="90"/>
        <v>412.97360014939977</v>
      </c>
      <c r="X213" s="33">
        <v>96485</v>
      </c>
      <c r="Y213" s="16">
        <f t="shared" si="91"/>
        <v>-233.63475425610258</v>
      </c>
      <c r="Z213" s="16">
        <v>8</v>
      </c>
      <c r="AA213" s="16">
        <v>15</v>
      </c>
      <c r="AB213" s="8">
        <f t="shared" si="92"/>
        <v>0.33684210526315789</v>
      </c>
      <c r="AC213" s="16">
        <f t="shared" si="93"/>
        <v>68.844969824162703</v>
      </c>
      <c r="AD213" s="20">
        <f>'PFAS Properties'!$W$33</f>
        <v>7</v>
      </c>
      <c r="AE213" s="8">
        <f>'PFAS Properties'!$S$33</f>
        <v>2.6821450763738319</v>
      </c>
      <c r="AF213" s="15">
        <f>'PFAS Properties'!$V$33</f>
        <v>4.9000000000000004</v>
      </c>
      <c r="AG213" s="124">
        <v>6.6256500000000003</v>
      </c>
      <c r="AH213" s="70" t="s">
        <v>752</v>
      </c>
      <c r="AI213" s="2" t="s">
        <v>661</v>
      </c>
      <c r="AJ213" s="2" t="s">
        <v>661</v>
      </c>
      <c r="AK213" s="2" t="s">
        <v>661</v>
      </c>
      <c r="AL213" s="2" t="s">
        <v>661</v>
      </c>
      <c r="AM213" s="2" t="s">
        <v>661</v>
      </c>
      <c r="AN213" s="2" t="s">
        <v>661</v>
      </c>
      <c r="AO213" s="2" t="s">
        <v>661</v>
      </c>
      <c r="AP213" s="16">
        <v>6.13</v>
      </c>
      <c r="AQ213" s="16" t="s">
        <v>661</v>
      </c>
      <c r="AR213" s="71">
        <v>40.693150000000003</v>
      </c>
      <c r="AS213" s="71">
        <v>35.505099999999999</v>
      </c>
      <c r="AT213" s="71">
        <v>24.210599999999999</v>
      </c>
      <c r="AU213" s="70" t="s">
        <v>752</v>
      </c>
      <c r="AV213" s="16">
        <f t="shared" si="102"/>
        <v>100.40885</v>
      </c>
      <c r="AW213" s="18">
        <v>0.52</v>
      </c>
      <c r="AX213" s="13">
        <f t="shared" si="101"/>
        <v>5.1999999999999998E-3</v>
      </c>
      <c r="AY213" s="12" t="s">
        <v>839</v>
      </c>
      <c r="AZ213" s="16">
        <f>4/0.04</f>
        <v>100</v>
      </c>
      <c r="BA213" s="16" t="s">
        <v>55</v>
      </c>
      <c r="BB213" s="16">
        <v>5</v>
      </c>
      <c r="BC213" s="16">
        <v>100</v>
      </c>
      <c r="BD213" s="18">
        <v>2.33</v>
      </c>
      <c r="BE213" s="15">
        <f t="shared" si="94"/>
        <v>448.07692307692309</v>
      </c>
      <c r="BF213" s="8">
        <f t="shared" si="95"/>
        <v>2.6513525773912199</v>
      </c>
      <c r="BG213" s="8">
        <f t="shared" si="96"/>
        <v>0.36735592102601899</v>
      </c>
      <c r="BH213" s="13" t="s">
        <v>837</v>
      </c>
      <c r="BI213" s="13"/>
      <c r="BJ213" s="13"/>
      <c r="BK213" s="13"/>
      <c r="BL213" s="13"/>
      <c r="BM213" s="17"/>
      <c r="BN213" s="17"/>
      <c r="BO213" s="2"/>
    </row>
    <row r="214" spans="1:67" s="14" customFormat="1" x14ac:dyDescent="0.3">
      <c r="A214" s="20">
        <v>220</v>
      </c>
      <c r="B214" s="2" t="s">
        <v>224</v>
      </c>
      <c r="C214" s="2">
        <v>2013</v>
      </c>
      <c r="D214" s="2" t="s">
        <v>223</v>
      </c>
      <c r="E214" s="10" t="s">
        <v>222</v>
      </c>
      <c r="F214" s="20" t="s">
        <v>29</v>
      </c>
      <c r="G214" s="2" t="s">
        <v>92</v>
      </c>
      <c r="H214" s="2" t="str">
        <f>'PFAS Properties'!$B$33</f>
        <v>PFOA</v>
      </c>
      <c r="I214" s="2" t="str">
        <f>'PFAS Properties'!$C$33</f>
        <v>PFCA</v>
      </c>
      <c r="J214" s="2" t="str">
        <f>'PFAS Properties'!$D$33</f>
        <v>C8HF15O2</v>
      </c>
      <c r="K214" s="25">
        <f>'PFAS Properties'!$P$33</f>
        <v>413.97359999999998</v>
      </c>
      <c r="L214" s="2">
        <f>'PFAS Properties'!$X$33</f>
        <v>-0.2</v>
      </c>
      <c r="M214" s="2" t="str">
        <f>'PFAS Properties'!$Y$33</f>
        <v>-</v>
      </c>
      <c r="N214" s="33">
        <v>0</v>
      </c>
      <c r="O214" s="33">
        <v>0</v>
      </c>
      <c r="P214" s="33">
        <v>0</v>
      </c>
      <c r="Q214" s="33">
        <f t="shared" si="99"/>
        <v>0.99999991550131251</v>
      </c>
      <c r="R214" s="33">
        <v>0</v>
      </c>
      <c r="S214" s="33">
        <f t="shared" si="100"/>
        <v>8.4498687520175583E-8</v>
      </c>
      <c r="T214" s="8">
        <f t="shared" si="103"/>
        <v>1</v>
      </c>
      <c r="U214" s="33">
        <f t="shared" si="88"/>
        <v>0</v>
      </c>
      <c r="V214" s="33">
        <f t="shared" si="89"/>
        <v>-0.99999991550131251</v>
      </c>
      <c r="W214" s="33">
        <f t="shared" si="90"/>
        <v>412.97360008449863</v>
      </c>
      <c r="X214" s="33">
        <v>96485</v>
      </c>
      <c r="Y214" s="16">
        <f t="shared" si="91"/>
        <v>-233.63476945597085</v>
      </c>
      <c r="Z214" s="16">
        <v>8</v>
      </c>
      <c r="AA214" s="16">
        <v>15</v>
      </c>
      <c r="AB214" s="8">
        <f t="shared" si="92"/>
        <v>0.33684210526315789</v>
      </c>
      <c r="AC214" s="16">
        <f t="shared" si="93"/>
        <v>68.844969824162703</v>
      </c>
      <c r="AD214" s="20">
        <f>'PFAS Properties'!$W$33</f>
        <v>7</v>
      </c>
      <c r="AE214" s="8">
        <f>'PFAS Properties'!$S$33</f>
        <v>2.6821450763738319</v>
      </c>
      <c r="AF214" s="15">
        <f>'PFAS Properties'!$V$33</f>
        <v>4.9000000000000004</v>
      </c>
      <c r="AG214" s="124">
        <v>6.873149999999999</v>
      </c>
      <c r="AH214" s="70" t="s">
        <v>752</v>
      </c>
      <c r="AI214" s="2" t="s">
        <v>661</v>
      </c>
      <c r="AJ214" s="2" t="s">
        <v>661</v>
      </c>
      <c r="AK214" s="2" t="s">
        <v>661</v>
      </c>
      <c r="AL214" s="2" t="s">
        <v>661</v>
      </c>
      <c r="AM214" s="2" t="s">
        <v>661</v>
      </c>
      <c r="AN214" s="2" t="s">
        <v>661</v>
      </c>
      <c r="AO214" s="2" t="s">
        <v>661</v>
      </c>
      <c r="AP214" s="16">
        <v>44.5</v>
      </c>
      <c r="AQ214" s="16" t="s">
        <v>661</v>
      </c>
      <c r="AR214" s="71">
        <v>34.828400000000002</v>
      </c>
      <c r="AS214" s="71">
        <v>33.0246</v>
      </c>
      <c r="AT214" s="71">
        <v>31.369299999999999</v>
      </c>
      <c r="AU214" s="70" t="s">
        <v>752</v>
      </c>
      <c r="AV214" s="16">
        <f t="shared" si="102"/>
        <v>99.222300000000004</v>
      </c>
      <c r="AW214" s="18">
        <v>2.1</v>
      </c>
      <c r="AX214" s="13">
        <f t="shared" si="101"/>
        <v>2.1000000000000001E-2</v>
      </c>
      <c r="AY214" s="12" t="s">
        <v>839</v>
      </c>
      <c r="AZ214" s="16">
        <f>4/0.04</f>
        <v>100</v>
      </c>
      <c r="BA214" s="16" t="s">
        <v>55</v>
      </c>
      <c r="BB214" s="16">
        <v>5</v>
      </c>
      <c r="BC214" s="16">
        <v>100</v>
      </c>
      <c r="BD214" s="18">
        <v>3.08</v>
      </c>
      <c r="BE214" s="15">
        <f t="shared" si="94"/>
        <v>146.66666666666666</v>
      </c>
      <c r="BF214" s="8">
        <f t="shared" si="95"/>
        <v>2.1663314217665248</v>
      </c>
      <c r="BG214" s="8">
        <f t="shared" si="96"/>
        <v>0.48855071650044429</v>
      </c>
      <c r="BH214" s="13" t="s">
        <v>837</v>
      </c>
      <c r="BI214" s="13"/>
      <c r="BJ214" s="13"/>
      <c r="BK214" s="13"/>
      <c r="BL214" s="13"/>
      <c r="BM214" s="17"/>
      <c r="BN214" s="17"/>
      <c r="BO214" s="2"/>
    </row>
    <row r="215" spans="1:67" s="14" customFormat="1" x14ac:dyDescent="0.3">
      <c r="A215" s="20">
        <v>221</v>
      </c>
      <c r="B215" s="2" t="s">
        <v>210</v>
      </c>
      <c r="C215" s="2">
        <v>2010</v>
      </c>
      <c r="D215" s="2" t="s">
        <v>209</v>
      </c>
      <c r="E215" s="10" t="s">
        <v>208</v>
      </c>
      <c r="F215" s="20" t="s">
        <v>29</v>
      </c>
      <c r="G215" s="2" t="s">
        <v>52</v>
      </c>
      <c r="H215" s="2" t="str">
        <f>'PFAS Properties'!$B$33</f>
        <v>PFOA</v>
      </c>
      <c r="I215" s="2" t="str">
        <f>'PFAS Properties'!$C$33</f>
        <v>PFCA</v>
      </c>
      <c r="J215" s="2" t="str">
        <f>'PFAS Properties'!$D$33</f>
        <v>C8HF15O2</v>
      </c>
      <c r="K215" s="25">
        <f>'PFAS Properties'!$P$33</f>
        <v>413.97359999999998</v>
      </c>
      <c r="L215" s="2">
        <f>'PFAS Properties'!$X$33</f>
        <v>-0.2</v>
      </c>
      <c r="M215" s="2" t="str">
        <f>'PFAS Properties'!$Y$33</f>
        <v>-</v>
      </c>
      <c r="N215" s="33">
        <v>0</v>
      </c>
      <c r="O215" s="33">
        <v>0</v>
      </c>
      <c r="P215" s="33">
        <v>0</v>
      </c>
      <c r="Q215" s="33">
        <f t="shared" si="99"/>
        <v>0.99999998415106828</v>
      </c>
      <c r="R215" s="33">
        <v>0</v>
      </c>
      <c r="S215" s="33">
        <f t="shared" si="100"/>
        <v>1.5848931673422493E-8</v>
      </c>
      <c r="T215" s="8">
        <f t="shared" si="103"/>
        <v>1</v>
      </c>
      <c r="U215" s="33">
        <f t="shared" si="88"/>
        <v>0</v>
      </c>
      <c r="V215" s="33">
        <f t="shared" si="89"/>
        <v>-0.99999998415106828</v>
      </c>
      <c r="W215" s="33">
        <f t="shared" si="90"/>
        <v>412.97360001584889</v>
      </c>
      <c r="X215" s="33">
        <v>96485</v>
      </c>
      <c r="Y215" s="16">
        <f t="shared" si="91"/>
        <v>-233.63478553377979</v>
      </c>
      <c r="Z215" s="16">
        <v>8</v>
      </c>
      <c r="AA215" s="16">
        <v>15</v>
      </c>
      <c r="AB215" s="8">
        <f t="shared" si="92"/>
        <v>0.33684210526315789</v>
      </c>
      <c r="AC215" s="16">
        <f t="shared" si="93"/>
        <v>68.844969824162703</v>
      </c>
      <c r="AD215" s="20">
        <f>'PFAS Properties'!$W$33</f>
        <v>7</v>
      </c>
      <c r="AE215" s="8">
        <f>'PFAS Properties'!$S$33</f>
        <v>2.6821450763738319</v>
      </c>
      <c r="AF215" s="15">
        <f>'PFAS Properties'!$V$33</f>
        <v>4.9000000000000004</v>
      </c>
      <c r="AG215" s="24">
        <v>7.6</v>
      </c>
      <c r="AH215" s="2" t="s">
        <v>661</v>
      </c>
      <c r="AI215" s="2">
        <v>8.1199999999999992</v>
      </c>
      <c r="AJ215" s="15">
        <f>AI215*1000/55.845</f>
        <v>145.40245321873041</v>
      </c>
      <c r="AK215" s="8">
        <f>AI215/10</f>
        <v>0.81199999999999994</v>
      </c>
      <c r="AL215" s="2">
        <v>1.294</v>
      </c>
      <c r="AM215" s="15">
        <f>AL215*1000/26.98</f>
        <v>47.961452928094886</v>
      </c>
      <c r="AN215" s="8">
        <f>AL215/10</f>
        <v>0.12940000000000002</v>
      </c>
      <c r="AO215" s="15" t="s">
        <v>41</v>
      </c>
      <c r="AP215" s="72">
        <v>5.6985666666666646</v>
      </c>
      <c r="AQ215" s="70" t="s">
        <v>752</v>
      </c>
      <c r="AR215" s="2">
        <v>41</v>
      </c>
      <c r="AS215" s="2">
        <v>22</v>
      </c>
      <c r="AT215" s="2">
        <v>37</v>
      </c>
      <c r="AU215" s="2" t="s">
        <v>661</v>
      </c>
      <c r="AV215" s="16">
        <f t="shared" si="102"/>
        <v>100</v>
      </c>
      <c r="AW215" s="18">
        <v>0.42</v>
      </c>
      <c r="AX215" s="13">
        <f t="shared" si="101"/>
        <v>4.1999999999999997E-3</v>
      </c>
      <c r="AY215" s="13" t="s">
        <v>53</v>
      </c>
      <c r="AZ215" s="16">
        <f>12/0.025</f>
        <v>480</v>
      </c>
      <c r="BA215" s="16" t="s">
        <v>55</v>
      </c>
      <c r="BB215" s="8">
        <v>0.02</v>
      </c>
      <c r="BC215" s="8">
        <v>1</v>
      </c>
      <c r="BD215" s="18">
        <v>1.8</v>
      </c>
      <c r="BE215" s="15">
        <f t="shared" si="94"/>
        <v>428.57142857142861</v>
      </c>
      <c r="BF215" s="8">
        <f t="shared" si="95"/>
        <v>2.6320232147054057</v>
      </c>
      <c r="BG215" s="8">
        <f t="shared" si="96"/>
        <v>0.25527250510330607</v>
      </c>
      <c r="BH215" s="13" t="s">
        <v>837</v>
      </c>
      <c r="BI215" s="13"/>
      <c r="BJ215" s="13"/>
      <c r="BK215" s="13"/>
      <c r="BL215" s="13"/>
      <c r="BM215" s="17"/>
      <c r="BN215" s="17"/>
      <c r="BO215" s="2"/>
    </row>
    <row r="216" spans="1:67" s="14" customFormat="1" x14ac:dyDescent="0.3">
      <c r="A216" s="20">
        <v>222</v>
      </c>
      <c r="B216" s="2" t="s">
        <v>210</v>
      </c>
      <c r="C216" s="2">
        <v>2010</v>
      </c>
      <c r="D216" s="2" t="s">
        <v>209</v>
      </c>
      <c r="E216" s="10" t="s">
        <v>208</v>
      </c>
      <c r="F216" s="20" t="s">
        <v>29</v>
      </c>
      <c r="G216" s="2" t="s">
        <v>54</v>
      </c>
      <c r="H216" s="2" t="str">
        <f>'PFAS Properties'!$B$33</f>
        <v>PFOA</v>
      </c>
      <c r="I216" s="2" t="str">
        <f>'PFAS Properties'!$C$33</f>
        <v>PFCA</v>
      </c>
      <c r="J216" s="2" t="str">
        <f>'PFAS Properties'!$D$33</f>
        <v>C8HF15O2</v>
      </c>
      <c r="K216" s="25">
        <f>'PFAS Properties'!$P$33</f>
        <v>413.97359999999998</v>
      </c>
      <c r="L216" s="2">
        <f>'PFAS Properties'!$X$33</f>
        <v>-0.2</v>
      </c>
      <c r="M216" s="2" t="str">
        <f>'PFAS Properties'!$Y$33</f>
        <v>-</v>
      </c>
      <c r="N216" s="33">
        <v>0</v>
      </c>
      <c r="O216" s="33">
        <v>0</v>
      </c>
      <c r="P216" s="33">
        <v>0</v>
      </c>
      <c r="Q216" s="33">
        <f t="shared" si="99"/>
        <v>0.99999949881301753</v>
      </c>
      <c r="R216" s="33">
        <v>0</v>
      </c>
      <c r="S216" s="33">
        <f t="shared" si="100"/>
        <v>5.0118698243875488E-7</v>
      </c>
      <c r="T216" s="8">
        <f t="shared" si="103"/>
        <v>1</v>
      </c>
      <c r="U216" s="33">
        <f t="shared" si="88"/>
        <v>0</v>
      </c>
      <c r="V216" s="33">
        <f t="shared" si="89"/>
        <v>-0.99999949881301753</v>
      </c>
      <c r="W216" s="33">
        <f t="shared" si="90"/>
        <v>412.97360050118692</v>
      </c>
      <c r="X216" s="33">
        <v>96485</v>
      </c>
      <c r="Y216" s="16">
        <f t="shared" si="91"/>
        <v>-233.63467186735267</v>
      </c>
      <c r="Z216" s="16">
        <v>8</v>
      </c>
      <c r="AA216" s="16">
        <v>15</v>
      </c>
      <c r="AB216" s="8">
        <f t="shared" si="92"/>
        <v>0.33684210526315789</v>
      </c>
      <c r="AC216" s="16">
        <f t="shared" si="93"/>
        <v>68.844969824162703</v>
      </c>
      <c r="AD216" s="20">
        <f>'PFAS Properties'!$W$33</f>
        <v>7</v>
      </c>
      <c r="AE216" s="8">
        <f>'PFAS Properties'!$S$33</f>
        <v>2.6821450763738319</v>
      </c>
      <c r="AF216" s="15">
        <f>'PFAS Properties'!$V$33</f>
        <v>4.9000000000000004</v>
      </c>
      <c r="AG216" s="24">
        <v>6.1</v>
      </c>
      <c r="AH216" s="2" t="s">
        <v>661</v>
      </c>
      <c r="AI216" s="2">
        <v>2.73</v>
      </c>
      <c r="AJ216" s="15">
        <f>AI216*1000/55.845</f>
        <v>48.885307547676604</v>
      </c>
      <c r="AK216" s="8">
        <f>AI216/10</f>
        <v>0.27300000000000002</v>
      </c>
      <c r="AL216" s="2">
        <v>2.6320000000000001</v>
      </c>
      <c r="AM216" s="15">
        <f>AL216*1000/26.98</f>
        <v>97.553743513713854</v>
      </c>
      <c r="AN216" s="8">
        <f>AL216/10</f>
        <v>0.26319999999999999</v>
      </c>
      <c r="AO216" s="15" t="s">
        <v>41</v>
      </c>
      <c r="AP216" s="72">
        <v>12.81991666666667</v>
      </c>
      <c r="AQ216" s="70" t="s">
        <v>752</v>
      </c>
      <c r="AR216" s="2">
        <v>94</v>
      </c>
      <c r="AS216" s="2">
        <v>1</v>
      </c>
      <c r="AT216" s="2">
        <v>5</v>
      </c>
      <c r="AU216" s="2" t="s">
        <v>661</v>
      </c>
      <c r="AV216" s="16">
        <f t="shared" si="102"/>
        <v>100</v>
      </c>
      <c r="AW216" s="18">
        <v>1</v>
      </c>
      <c r="AX216" s="13">
        <f t="shared" si="101"/>
        <v>0.01</v>
      </c>
      <c r="AY216" s="13" t="s">
        <v>53</v>
      </c>
      <c r="AZ216" s="16">
        <f>12/0.025</f>
        <v>480</v>
      </c>
      <c r="BA216" s="16" t="s">
        <v>55</v>
      </c>
      <c r="BB216" s="8">
        <v>0.02</v>
      </c>
      <c r="BC216" s="8">
        <v>1</v>
      </c>
      <c r="BD216" s="18">
        <v>1.5</v>
      </c>
      <c r="BE216" s="15">
        <f t="shared" si="94"/>
        <v>150</v>
      </c>
      <c r="BF216" s="8">
        <f t="shared" si="95"/>
        <v>2.1760912590556813</v>
      </c>
      <c r="BG216" s="8">
        <f t="shared" si="96"/>
        <v>0.17609125905568124</v>
      </c>
      <c r="BH216" s="13" t="s">
        <v>837</v>
      </c>
      <c r="BI216" s="2"/>
      <c r="BJ216" s="2"/>
      <c r="BK216" s="2"/>
      <c r="BL216" s="2"/>
      <c r="BM216" s="2"/>
      <c r="BN216" s="2"/>
      <c r="BO216" s="2"/>
    </row>
    <row r="217" spans="1:67" s="14" customFormat="1" x14ac:dyDescent="0.3">
      <c r="A217" s="20">
        <v>223</v>
      </c>
      <c r="B217" s="2" t="s">
        <v>234</v>
      </c>
      <c r="C217" s="2">
        <v>2022</v>
      </c>
      <c r="D217" s="2" t="s">
        <v>205</v>
      </c>
      <c r="E217" s="10" t="s">
        <v>799</v>
      </c>
      <c r="F217" s="20" t="s">
        <v>63</v>
      </c>
      <c r="G217" s="2" t="s">
        <v>63</v>
      </c>
      <c r="H217" s="2" t="str">
        <f>'PFAS Properties'!$B$33</f>
        <v>PFOA</v>
      </c>
      <c r="I217" s="2" t="str">
        <f>'PFAS Properties'!$C$33</f>
        <v>PFCA</v>
      </c>
      <c r="J217" s="2" t="str">
        <f>'PFAS Properties'!$D$33</f>
        <v>C8HF15O2</v>
      </c>
      <c r="K217" s="25">
        <f>'PFAS Properties'!$P$33</f>
        <v>413.97359999999998</v>
      </c>
      <c r="L217" s="2">
        <f>'PFAS Properties'!$X$33</f>
        <v>-0.2</v>
      </c>
      <c r="M217" s="2" t="str">
        <f>'PFAS Properties'!$Y$33</f>
        <v>-</v>
      </c>
      <c r="N217" s="33">
        <v>0</v>
      </c>
      <c r="O217" s="33">
        <v>0</v>
      </c>
      <c r="P217" s="33">
        <v>0</v>
      </c>
      <c r="Q217" s="33">
        <f t="shared" si="99"/>
        <v>0.9999999939744042</v>
      </c>
      <c r="R217" s="33">
        <v>0</v>
      </c>
      <c r="S217" s="33">
        <f t="shared" si="100"/>
        <v>6.0255958244357746E-9</v>
      </c>
      <c r="T217" s="8">
        <f t="shared" si="103"/>
        <v>1</v>
      </c>
      <c r="U217" s="33">
        <f t="shared" si="88"/>
        <v>0</v>
      </c>
      <c r="V217" s="33">
        <f t="shared" si="89"/>
        <v>-0.9999999939744042</v>
      </c>
      <c r="W217" s="33">
        <f t="shared" si="90"/>
        <v>412.97360000602555</v>
      </c>
      <c r="X217" s="33">
        <v>96485</v>
      </c>
      <c r="Y217" s="16">
        <f t="shared" si="91"/>
        <v>-233.63478783441028</v>
      </c>
      <c r="Z217" s="16">
        <v>8</v>
      </c>
      <c r="AA217" s="16">
        <v>15</v>
      </c>
      <c r="AB217" s="8">
        <f t="shared" si="92"/>
        <v>0.33684210526315789</v>
      </c>
      <c r="AC217" s="16">
        <f t="shared" si="93"/>
        <v>68.844969824162703</v>
      </c>
      <c r="AD217" s="20">
        <f>'PFAS Properties'!$W$33</f>
        <v>7</v>
      </c>
      <c r="AE217" s="8">
        <f>'PFAS Properties'!$S$33</f>
        <v>2.6821450763738319</v>
      </c>
      <c r="AF217" s="15">
        <f>'PFAS Properties'!$V$33</f>
        <v>4.9000000000000004</v>
      </c>
      <c r="AG217" s="24">
        <v>8.02</v>
      </c>
      <c r="AH217" s="2" t="s">
        <v>661</v>
      </c>
      <c r="AI217" s="2" t="s">
        <v>661</v>
      </c>
      <c r="AJ217" s="2" t="s">
        <v>661</v>
      </c>
      <c r="AK217" s="2" t="s">
        <v>661</v>
      </c>
      <c r="AL217" s="2" t="s">
        <v>661</v>
      </c>
      <c r="AM217" s="2" t="s">
        <v>661</v>
      </c>
      <c r="AN217" s="2" t="s">
        <v>661</v>
      </c>
      <c r="AO217" s="2" t="s">
        <v>661</v>
      </c>
      <c r="AP217" s="72">
        <v>11.934691666666669</v>
      </c>
      <c r="AQ217" s="70" t="s">
        <v>752</v>
      </c>
      <c r="AR217" s="16">
        <v>6.34</v>
      </c>
      <c r="AS217" s="16">
        <v>85.56</v>
      </c>
      <c r="AT217" s="16">
        <v>8.08</v>
      </c>
      <c r="AU217" s="2" t="s">
        <v>661</v>
      </c>
      <c r="AV217" s="16">
        <f t="shared" si="102"/>
        <v>99.98</v>
      </c>
      <c r="AW217" s="18">
        <v>0.37</v>
      </c>
      <c r="AX217" s="13">
        <v>3.7000000000000002E-3</v>
      </c>
      <c r="AY217" s="13" t="s">
        <v>392</v>
      </c>
      <c r="AZ217" s="16">
        <f>1/0.02</f>
        <v>50</v>
      </c>
      <c r="BA217" s="16" t="s">
        <v>55</v>
      </c>
      <c r="BB217" s="16">
        <v>10</v>
      </c>
      <c r="BC217" s="16" t="s">
        <v>55</v>
      </c>
      <c r="BD217" s="18">
        <f>BO217</f>
        <v>1.2820298578406237</v>
      </c>
      <c r="BE217" s="15">
        <f t="shared" si="94"/>
        <v>346.49455617314152</v>
      </c>
      <c r="BF217" s="8">
        <f t="shared" si="95"/>
        <v>2.5396964157370396</v>
      </c>
      <c r="BG217" s="8">
        <f t="shared" si="96"/>
        <v>0.10789813980403469</v>
      </c>
      <c r="BH217" s="13" t="s">
        <v>782</v>
      </c>
      <c r="BI217" s="8">
        <v>1.44</v>
      </c>
      <c r="BJ217" s="13" t="s">
        <v>366</v>
      </c>
      <c r="BK217" s="8">
        <v>0.97</v>
      </c>
      <c r="BL217" s="15">
        <f>BI217</f>
        <v>1.44</v>
      </c>
      <c r="BM217" s="25">
        <f>'PFAS Properties'!$U$33</f>
        <v>48.1</v>
      </c>
      <c r="BN217" s="16">
        <f>(BL217*(BM217^BK217))</f>
        <v>61.665636162134</v>
      </c>
      <c r="BO217" s="24">
        <f>BN217/BM217</f>
        <v>1.2820298578406237</v>
      </c>
    </row>
    <row r="218" spans="1:67" s="14" customFormat="1" x14ac:dyDescent="0.3">
      <c r="A218" s="20">
        <v>224</v>
      </c>
      <c r="B218" s="2" t="s">
        <v>204</v>
      </c>
      <c r="C218" s="2">
        <v>2013</v>
      </c>
      <c r="D218" s="2" t="s">
        <v>203</v>
      </c>
      <c r="E218" s="10" t="s">
        <v>792</v>
      </c>
      <c r="F218" s="20" t="s">
        <v>29</v>
      </c>
      <c r="G218" s="2" t="s">
        <v>46</v>
      </c>
      <c r="H218" s="2" t="str">
        <f>'PFAS Properties'!$B$33</f>
        <v>PFOA</v>
      </c>
      <c r="I218" s="2" t="str">
        <f>'PFAS Properties'!$C$33</f>
        <v>PFCA</v>
      </c>
      <c r="J218" s="2" t="str">
        <f>'PFAS Properties'!$D$33</f>
        <v>C8HF15O2</v>
      </c>
      <c r="K218" s="25">
        <f>'PFAS Properties'!$P$33</f>
        <v>413.97359999999998</v>
      </c>
      <c r="L218" s="2">
        <f>'PFAS Properties'!$X$33</f>
        <v>-0.2</v>
      </c>
      <c r="M218" s="2" t="str">
        <f>'PFAS Properties'!$Y$33</f>
        <v>-</v>
      </c>
      <c r="N218" s="33">
        <v>0</v>
      </c>
      <c r="O218" s="33">
        <v>0</v>
      </c>
      <c r="P218" s="33">
        <v>0</v>
      </c>
      <c r="Q218" s="33">
        <f t="shared" si="99"/>
        <v>0.99999949881301753</v>
      </c>
      <c r="R218" s="33">
        <v>0</v>
      </c>
      <c r="S218" s="33">
        <f t="shared" si="100"/>
        <v>5.0118698243875488E-7</v>
      </c>
      <c r="T218" s="8">
        <f t="shared" si="103"/>
        <v>1</v>
      </c>
      <c r="U218" s="33">
        <f t="shared" si="88"/>
        <v>0</v>
      </c>
      <c r="V218" s="33">
        <f t="shared" si="89"/>
        <v>-0.99999949881301753</v>
      </c>
      <c r="W218" s="33">
        <f t="shared" si="90"/>
        <v>412.97360050118692</v>
      </c>
      <c r="X218" s="33">
        <v>96485</v>
      </c>
      <c r="Y218" s="16">
        <f t="shared" si="91"/>
        <v>-233.63467186735267</v>
      </c>
      <c r="Z218" s="16">
        <v>8</v>
      </c>
      <c r="AA218" s="16">
        <v>15</v>
      </c>
      <c r="AB218" s="8">
        <f t="shared" si="92"/>
        <v>0.33684210526315789</v>
      </c>
      <c r="AC218" s="16">
        <f t="shared" si="93"/>
        <v>68.844969824162703</v>
      </c>
      <c r="AD218" s="20">
        <f>'PFAS Properties'!$W$33</f>
        <v>7</v>
      </c>
      <c r="AE218" s="8">
        <f>'PFAS Properties'!$S$33</f>
        <v>2.6821450763738319</v>
      </c>
      <c r="AF218" s="15">
        <f>'PFAS Properties'!$V$33</f>
        <v>4.9000000000000004</v>
      </c>
      <c r="AG218" s="24">
        <v>6.1</v>
      </c>
      <c r="AH218" s="2" t="s">
        <v>661</v>
      </c>
      <c r="AI218" s="15">
        <v>2.21</v>
      </c>
      <c r="AJ218" s="16">
        <f>AI218*1000/55.845</f>
        <v>39.573820395738203</v>
      </c>
      <c r="AK218" s="8">
        <f>AI218/10</f>
        <v>0.221</v>
      </c>
      <c r="AL218" s="15">
        <v>0.93</v>
      </c>
      <c r="AM218" s="16">
        <f>AL218*1000/26.98</f>
        <v>34.469977761304669</v>
      </c>
      <c r="AN218" s="8">
        <f>AL218/10</f>
        <v>9.2999999999999999E-2</v>
      </c>
      <c r="AO218" s="15" t="s">
        <v>41</v>
      </c>
      <c r="AP218" s="72">
        <v>14.27683666666667</v>
      </c>
      <c r="AQ218" s="70" t="s">
        <v>752</v>
      </c>
      <c r="AR218" s="16">
        <v>81</v>
      </c>
      <c r="AS218" s="16">
        <v>1</v>
      </c>
      <c r="AT218" s="16">
        <v>9</v>
      </c>
      <c r="AU218" s="16" t="s">
        <v>661</v>
      </c>
      <c r="AV218" s="16">
        <f t="shared" ref="AV218:AV220" si="104">SUM(AR218:AT218)</f>
        <v>91</v>
      </c>
      <c r="AW218" s="18">
        <v>1.7</v>
      </c>
      <c r="AX218" s="13">
        <f t="shared" ref="AX218:AX281" si="105">AW218/100</f>
        <v>1.7000000000000001E-2</v>
      </c>
      <c r="AY218" s="13" t="s">
        <v>42</v>
      </c>
      <c r="AZ218" s="16">
        <f>15/0.04</f>
        <v>375</v>
      </c>
      <c r="BA218" s="16" t="s">
        <v>55</v>
      </c>
      <c r="BB218" s="15">
        <v>0.5</v>
      </c>
      <c r="BC218" s="16">
        <v>1000</v>
      </c>
      <c r="BD218" s="18">
        <v>0.74</v>
      </c>
      <c r="BE218" s="15">
        <f t="shared" si="94"/>
        <v>43.529411764705877</v>
      </c>
      <c r="BF218" s="8">
        <f t="shared" si="95"/>
        <v>1.6387827983527021</v>
      </c>
      <c r="BG218" s="8">
        <f t="shared" si="96"/>
        <v>-0.13076828026902382</v>
      </c>
      <c r="BH218" s="13" t="s">
        <v>844</v>
      </c>
      <c r="BI218" s="13"/>
      <c r="BJ218" s="13"/>
      <c r="BK218" s="8"/>
      <c r="BL218" s="8"/>
      <c r="BM218" s="18"/>
      <c r="BN218" s="8"/>
      <c r="BO218" s="24"/>
    </row>
    <row r="219" spans="1:67" s="14" customFormat="1" x14ac:dyDescent="0.3">
      <c r="A219" s="20">
        <v>225</v>
      </c>
      <c r="B219" s="2" t="s">
        <v>204</v>
      </c>
      <c r="C219" s="2">
        <v>2013</v>
      </c>
      <c r="D219" s="2" t="s">
        <v>203</v>
      </c>
      <c r="E219" s="10" t="s">
        <v>792</v>
      </c>
      <c r="F219" s="20" t="s">
        <v>29</v>
      </c>
      <c r="G219" s="2" t="s">
        <v>50</v>
      </c>
      <c r="H219" s="2" t="str">
        <f>'PFAS Properties'!$B$33</f>
        <v>PFOA</v>
      </c>
      <c r="I219" s="2" t="str">
        <f>'PFAS Properties'!$C$33</f>
        <v>PFCA</v>
      </c>
      <c r="J219" s="2" t="str">
        <f>'PFAS Properties'!$D$33</f>
        <v>C8HF15O2</v>
      </c>
      <c r="K219" s="25">
        <f>'PFAS Properties'!$P$33</f>
        <v>413.97359999999998</v>
      </c>
      <c r="L219" s="2">
        <f>'PFAS Properties'!$X$33</f>
        <v>-0.2</v>
      </c>
      <c r="M219" s="2" t="str">
        <f>'PFAS Properties'!$Y$33</f>
        <v>-</v>
      </c>
      <c r="N219" s="33">
        <v>0</v>
      </c>
      <c r="O219" s="33">
        <v>0</v>
      </c>
      <c r="P219" s="33">
        <v>0</v>
      </c>
      <c r="Q219" s="33">
        <f t="shared" si="99"/>
        <v>0.99999999000000006</v>
      </c>
      <c r="R219" s="33">
        <v>0</v>
      </c>
      <c r="S219" s="33">
        <f t="shared" si="100"/>
        <v>9.9999999000000002E-9</v>
      </c>
      <c r="T219" s="8">
        <f t="shared" si="103"/>
        <v>1</v>
      </c>
      <c r="U219" s="33">
        <f t="shared" si="88"/>
        <v>0</v>
      </c>
      <c r="V219" s="33">
        <f t="shared" si="89"/>
        <v>-0.99999999000000006</v>
      </c>
      <c r="W219" s="33">
        <f t="shared" si="90"/>
        <v>412.97360000999993</v>
      </c>
      <c r="X219" s="33">
        <v>96485</v>
      </c>
      <c r="Y219" s="16">
        <f t="shared" si="91"/>
        <v>-233.63478690360273</v>
      </c>
      <c r="Z219" s="16">
        <v>8</v>
      </c>
      <c r="AA219" s="16">
        <v>15</v>
      </c>
      <c r="AB219" s="8">
        <f t="shared" si="92"/>
        <v>0.33684210526315789</v>
      </c>
      <c r="AC219" s="16">
        <f t="shared" si="93"/>
        <v>68.844969824162703</v>
      </c>
      <c r="AD219" s="20">
        <f>'PFAS Properties'!$W$33</f>
        <v>7</v>
      </c>
      <c r="AE219" s="8">
        <f>'PFAS Properties'!$S$33</f>
        <v>2.6821450763738319</v>
      </c>
      <c r="AF219" s="15">
        <f>'PFAS Properties'!$V$33</f>
        <v>4.9000000000000004</v>
      </c>
      <c r="AG219" s="24">
        <v>7.8</v>
      </c>
      <c r="AH219" s="2" t="s">
        <v>661</v>
      </c>
      <c r="AI219" s="15">
        <v>6.14</v>
      </c>
      <c r="AJ219" s="16">
        <f>AI219/10</f>
        <v>0.61399999999999999</v>
      </c>
      <c r="AK219" s="8">
        <f>AI219/10</f>
        <v>0.61399999999999999</v>
      </c>
      <c r="AL219" s="15">
        <v>1.67</v>
      </c>
      <c r="AM219" s="16">
        <f>AL219/10</f>
        <v>0.16699999999999998</v>
      </c>
      <c r="AN219" s="8">
        <f>AL219/10</f>
        <v>0.16699999999999998</v>
      </c>
      <c r="AO219" s="15" t="s">
        <v>41</v>
      </c>
      <c r="AP219" s="72">
        <v>6.4956666666666676</v>
      </c>
      <c r="AQ219" s="2" t="s">
        <v>752</v>
      </c>
      <c r="AR219" s="16">
        <v>33</v>
      </c>
      <c r="AS219" s="16">
        <v>42</v>
      </c>
      <c r="AT219" s="16">
        <v>25</v>
      </c>
      <c r="AU219" s="16" t="s">
        <v>661</v>
      </c>
      <c r="AV219" s="16">
        <f t="shared" si="104"/>
        <v>100</v>
      </c>
      <c r="AW219" s="18">
        <v>4.5</v>
      </c>
      <c r="AX219" s="13">
        <f t="shared" si="105"/>
        <v>4.4999999999999998E-2</v>
      </c>
      <c r="AY219" s="13" t="s">
        <v>42</v>
      </c>
      <c r="AZ219" s="16">
        <f>15/0.04</f>
        <v>375</v>
      </c>
      <c r="BA219" s="16" t="s">
        <v>55</v>
      </c>
      <c r="BB219" s="15">
        <v>0.5</v>
      </c>
      <c r="BC219" s="16">
        <v>1000</v>
      </c>
      <c r="BD219" s="18">
        <v>3.48</v>
      </c>
      <c r="BE219" s="15">
        <f t="shared" si="94"/>
        <v>77.333333333333343</v>
      </c>
      <c r="BF219" s="8">
        <f t="shared" si="95"/>
        <v>1.8883667301712372</v>
      </c>
      <c r="BG219" s="8">
        <f t="shared" si="96"/>
        <v>0.54157924394658097</v>
      </c>
      <c r="BH219" s="13" t="s">
        <v>844</v>
      </c>
      <c r="BI219" s="13"/>
      <c r="BJ219" s="13"/>
      <c r="BK219" s="8"/>
      <c r="BL219" s="8"/>
      <c r="BM219" s="18"/>
      <c r="BN219" s="8"/>
      <c r="BO219" s="24"/>
    </row>
    <row r="220" spans="1:67" s="14" customFormat="1" x14ac:dyDescent="0.3">
      <c r="A220" s="20">
        <v>226</v>
      </c>
      <c r="B220" s="2" t="s">
        <v>204</v>
      </c>
      <c r="C220" s="2">
        <v>2013</v>
      </c>
      <c r="D220" s="2" t="s">
        <v>203</v>
      </c>
      <c r="E220" s="10" t="s">
        <v>792</v>
      </c>
      <c r="F220" s="20" t="s">
        <v>29</v>
      </c>
      <c r="G220" s="2" t="s">
        <v>40</v>
      </c>
      <c r="H220" s="2" t="str">
        <f>'PFAS Properties'!$B$33</f>
        <v>PFOA</v>
      </c>
      <c r="I220" s="2" t="str">
        <f>'PFAS Properties'!$C$33</f>
        <v>PFCA</v>
      </c>
      <c r="J220" s="2" t="str">
        <f>'PFAS Properties'!$D$33</f>
        <v>C8HF15O2</v>
      </c>
      <c r="K220" s="25">
        <f>'PFAS Properties'!$P$33</f>
        <v>413.97359999999998</v>
      </c>
      <c r="L220" s="2">
        <f>'PFAS Properties'!$X$33</f>
        <v>-0.2</v>
      </c>
      <c r="M220" s="2" t="str">
        <f>'PFAS Properties'!$Y$33</f>
        <v>-</v>
      </c>
      <c r="N220" s="33">
        <v>0</v>
      </c>
      <c r="O220" s="33">
        <v>0</v>
      </c>
      <c r="P220" s="33">
        <v>0</v>
      </c>
      <c r="Q220" s="33">
        <f t="shared" si="99"/>
        <v>0.99999601894414336</v>
      </c>
      <c r="R220" s="33">
        <v>0</v>
      </c>
      <c r="S220" s="33">
        <f t="shared" si="100"/>
        <v>3.981055856666137E-6</v>
      </c>
      <c r="T220" s="8">
        <f t="shared" si="103"/>
        <v>1</v>
      </c>
      <c r="U220" s="33">
        <f t="shared" si="88"/>
        <v>0</v>
      </c>
      <c r="V220" s="33">
        <f t="shared" si="89"/>
        <v>-0.99999601894414336</v>
      </c>
      <c r="W220" s="33">
        <f t="shared" si="90"/>
        <v>412.97360398105587</v>
      </c>
      <c r="X220" s="33">
        <v>96485</v>
      </c>
      <c r="Y220" s="16">
        <f t="shared" si="91"/>
        <v>-233.63385688023698</v>
      </c>
      <c r="Z220" s="16">
        <v>8</v>
      </c>
      <c r="AA220" s="16">
        <v>15</v>
      </c>
      <c r="AB220" s="8">
        <f t="shared" si="92"/>
        <v>0.33684210526315789</v>
      </c>
      <c r="AC220" s="16">
        <f t="shared" si="93"/>
        <v>68.844969824162703</v>
      </c>
      <c r="AD220" s="20">
        <f>'PFAS Properties'!$W$33</f>
        <v>7</v>
      </c>
      <c r="AE220" s="8">
        <f>'PFAS Properties'!$S$33</f>
        <v>2.6821450763738319</v>
      </c>
      <c r="AF220" s="15">
        <f>'PFAS Properties'!$V$33</f>
        <v>4.9000000000000004</v>
      </c>
      <c r="AG220" s="24">
        <v>5.2</v>
      </c>
      <c r="AH220" s="2" t="s">
        <v>661</v>
      </c>
      <c r="AI220" s="15">
        <v>24.17</v>
      </c>
      <c r="AJ220" s="16">
        <f>AI220*1000/55.845</f>
        <v>432.80508550452146</v>
      </c>
      <c r="AK220" s="8">
        <f>AI220/10</f>
        <v>2.4170000000000003</v>
      </c>
      <c r="AL220" s="15">
        <v>3.99</v>
      </c>
      <c r="AM220" s="16">
        <f>AL220*1000/26.98</f>
        <v>147.88732394366198</v>
      </c>
      <c r="AN220" s="8">
        <f>AL220/10</f>
        <v>0.39900000000000002</v>
      </c>
      <c r="AO220" s="15" t="s">
        <v>41</v>
      </c>
      <c r="AP220" s="72">
        <v>12.009766666666669</v>
      </c>
      <c r="AQ220" s="70" t="s">
        <v>752</v>
      </c>
      <c r="AR220" s="16">
        <v>47</v>
      </c>
      <c r="AS220" s="16">
        <v>20</v>
      </c>
      <c r="AT220" s="16">
        <v>33</v>
      </c>
      <c r="AU220" s="16" t="s">
        <v>661</v>
      </c>
      <c r="AV220" s="16">
        <f t="shared" si="104"/>
        <v>100</v>
      </c>
      <c r="AW220" s="18">
        <v>0.8</v>
      </c>
      <c r="AX220" s="13">
        <f t="shared" si="105"/>
        <v>8.0000000000000002E-3</v>
      </c>
      <c r="AY220" s="13" t="s">
        <v>42</v>
      </c>
      <c r="AZ220" s="16">
        <f>15/0.04</f>
        <v>375</v>
      </c>
      <c r="BA220" s="16" t="s">
        <v>55</v>
      </c>
      <c r="BB220" s="15">
        <v>0.5</v>
      </c>
      <c r="BC220" s="16">
        <v>1000</v>
      </c>
      <c r="BD220" s="18">
        <v>0.64</v>
      </c>
      <c r="BE220" s="15">
        <f t="shared" si="94"/>
        <v>80</v>
      </c>
      <c r="BF220" s="8">
        <f t="shared" si="95"/>
        <v>1.9030899869919435</v>
      </c>
      <c r="BG220" s="8">
        <f t="shared" si="96"/>
        <v>-0.19382002601611281</v>
      </c>
      <c r="BH220" s="13" t="s">
        <v>844</v>
      </c>
      <c r="BI220" s="13"/>
      <c r="BJ220" s="13"/>
      <c r="BK220" s="8"/>
      <c r="BL220" s="8"/>
      <c r="BM220" s="18"/>
      <c r="BN220" s="8"/>
      <c r="BO220" s="24"/>
    </row>
    <row r="221" spans="1:67" s="14" customFormat="1" x14ac:dyDescent="0.3">
      <c r="A221" s="20">
        <v>227</v>
      </c>
      <c r="B221" s="2" t="s">
        <v>873</v>
      </c>
      <c r="C221" s="2">
        <v>2006</v>
      </c>
      <c r="D221" s="2" t="s">
        <v>203</v>
      </c>
      <c r="E221" s="10" t="s">
        <v>225</v>
      </c>
      <c r="F221" s="20" t="s">
        <v>63</v>
      </c>
      <c r="G221" s="2">
        <v>1</v>
      </c>
      <c r="H221" s="2" t="str">
        <f>'PFAS Properties'!$B$33</f>
        <v>PFOA</v>
      </c>
      <c r="I221" s="2" t="str">
        <f>'PFAS Properties'!$C$33</f>
        <v>PFCA</v>
      </c>
      <c r="J221" s="2" t="str">
        <f>'PFAS Properties'!$D$33</f>
        <v>C8HF15O2</v>
      </c>
      <c r="K221" s="25">
        <f>'PFAS Properties'!$P$33</f>
        <v>413.97359999999998</v>
      </c>
      <c r="L221" s="2">
        <f>'PFAS Properties'!$X$33</f>
        <v>-0.2</v>
      </c>
      <c r="M221" s="2" t="str">
        <f>'PFAS Properties'!$Y$33</f>
        <v>-</v>
      </c>
      <c r="N221" s="33">
        <v>0</v>
      </c>
      <c r="O221" s="33">
        <v>0</v>
      </c>
      <c r="P221" s="33">
        <v>0</v>
      </c>
      <c r="Q221" s="33">
        <f t="shared" si="99"/>
        <v>0.99999993690426958</v>
      </c>
      <c r="R221" s="33">
        <v>0</v>
      </c>
      <c r="S221" s="33">
        <f t="shared" si="100"/>
        <v>6.3095730466947729E-8</v>
      </c>
      <c r="T221" s="8">
        <f t="shared" si="103"/>
        <v>1</v>
      </c>
      <c r="U221" s="33">
        <f t="shared" si="88"/>
        <v>0</v>
      </c>
      <c r="V221" s="33">
        <f t="shared" si="89"/>
        <v>-0.99999993690426958</v>
      </c>
      <c r="W221" s="33">
        <f t="shared" si="90"/>
        <v>412.97360006309572</v>
      </c>
      <c r="X221" s="33">
        <v>96485</v>
      </c>
      <c r="Y221" s="16">
        <f t="shared" si="91"/>
        <v>-233.63477446855464</v>
      </c>
      <c r="Z221" s="16">
        <v>8</v>
      </c>
      <c r="AA221" s="16">
        <v>15</v>
      </c>
      <c r="AB221" s="8">
        <f t="shared" si="92"/>
        <v>0.33684210526315789</v>
      </c>
      <c r="AC221" s="16">
        <f t="shared" si="93"/>
        <v>68.844969824162703</v>
      </c>
      <c r="AD221" s="20">
        <f>'PFAS Properties'!$W$33</f>
        <v>7</v>
      </c>
      <c r="AE221" s="8">
        <f>'PFAS Properties'!$S$33</f>
        <v>2.6821450763738319</v>
      </c>
      <c r="AF221" s="15">
        <f>'PFAS Properties'!$V$33</f>
        <v>4.9000000000000004</v>
      </c>
      <c r="AG221" s="24">
        <v>7</v>
      </c>
      <c r="AH221" s="2" t="s">
        <v>661</v>
      </c>
      <c r="AI221" s="15">
        <f>334*55.85/1000</f>
        <v>18.6539</v>
      </c>
      <c r="AJ221" s="16">
        <f>AI221*1000/55.845</f>
        <v>334.0299041991226</v>
      </c>
      <c r="AK221" s="8">
        <f>AI221/10</f>
        <v>1.8653900000000001</v>
      </c>
      <c r="AL221" s="15">
        <f>41*26.98/1000</f>
        <v>1.1061800000000002</v>
      </c>
      <c r="AM221" s="16">
        <f>AL221*1000/26.98</f>
        <v>41</v>
      </c>
      <c r="AN221" s="8">
        <f>AL221/10</f>
        <v>0.11061800000000002</v>
      </c>
      <c r="AO221" s="15" t="s">
        <v>93</v>
      </c>
      <c r="AP221" s="16">
        <v>38.6</v>
      </c>
      <c r="AQ221" s="2" t="s">
        <v>661</v>
      </c>
      <c r="AR221" s="2">
        <v>11</v>
      </c>
      <c r="AS221" s="2">
        <v>36</v>
      </c>
      <c r="AT221" s="2">
        <v>53</v>
      </c>
      <c r="AU221" s="2" t="s">
        <v>661</v>
      </c>
      <c r="AV221" s="16">
        <f t="shared" si="102"/>
        <v>100</v>
      </c>
      <c r="AW221" s="18">
        <v>2.48</v>
      </c>
      <c r="AX221" s="13">
        <f t="shared" si="105"/>
        <v>2.4799999999999999E-2</v>
      </c>
      <c r="AY221" s="13" t="s">
        <v>87</v>
      </c>
      <c r="AZ221" s="16">
        <f>5/0.05</f>
        <v>100</v>
      </c>
      <c r="BA221" s="16" t="s">
        <v>55</v>
      </c>
      <c r="BB221" s="15">
        <v>0.5</v>
      </c>
      <c r="BC221" s="16">
        <v>100</v>
      </c>
      <c r="BD221" s="18">
        <v>2.6</v>
      </c>
      <c r="BE221" s="15">
        <f t="shared" si="94"/>
        <v>104.83870967741936</v>
      </c>
      <c r="BF221" s="8">
        <f t="shared" si="95"/>
        <v>2.0205216671446018</v>
      </c>
      <c r="BG221" s="8">
        <f t="shared" si="96"/>
        <v>0.41497334797081797</v>
      </c>
      <c r="BH221" s="13" t="s">
        <v>844</v>
      </c>
      <c r="BI221" s="13"/>
      <c r="BJ221" s="13"/>
      <c r="BK221" s="8"/>
      <c r="BL221" s="8"/>
      <c r="BM221" s="18"/>
      <c r="BN221" s="8"/>
      <c r="BO221" s="24"/>
    </row>
    <row r="222" spans="1:67" s="14" customFormat="1" x14ac:dyDescent="0.3">
      <c r="A222" s="20">
        <v>228</v>
      </c>
      <c r="B222" s="2" t="s">
        <v>873</v>
      </c>
      <c r="C222" s="2">
        <v>2006</v>
      </c>
      <c r="D222" s="2" t="s">
        <v>203</v>
      </c>
      <c r="E222" s="10" t="s">
        <v>225</v>
      </c>
      <c r="F222" s="20" t="s">
        <v>63</v>
      </c>
      <c r="G222" s="2">
        <v>5</v>
      </c>
      <c r="H222" s="2" t="str">
        <f>'PFAS Properties'!$B$33</f>
        <v>PFOA</v>
      </c>
      <c r="I222" s="2" t="str">
        <f>'PFAS Properties'!$C$33</f>
        <v>PFCA</v>
      </c>
      <c r="J222" s="2" t="str">
        <f>'PFAS Properties'!$D$33</f>
        <v>C8HF15O2</v>
      </c>
      <c r="K222" s="25">
        <f>'PFAS Properties'!$P$33</f>
        <v>413.97359999999998</v>
      </c>
      <c r="L222" s="2">
        <f>'PFAS Properties'!$X$33</f>
        <v>-0.2</v>
      </c>
      <c r="M222" s="2" t="str">
        <f>'PFAS Properties'!$Y$33</f>
        <v>-</v>
      </c>
      <c r="N222" s="33">
        <v>0</v>
      </c>
      <c r="O222" s="33">
        <v>0</v>
      </c>
      <c r="P222" s="33">
        <v>0</v>
      </c>
      <c r="Q222" s="33">
        <f t="shared" si="99"/>
        <v>0.99999874107617315</v>
      </c>
      <c r="R222" s="33">
        <v>0</v>
      </c>
      <c r="S222" s="33">
        <f t="shared" si="100"/>
        <v>1.2589238269029671E-6</v>
      </c>
      <c r="T222" s="8">
        <f t="shared" si="103"/>
        <v>1</v>
      </c>
      <c r="U222" s="33">
        <f t="shared" si="88"/>
        <v>0</v>
      </c>
      <c r="V222" s="33">
        <f t="shared" si="89"/>
        <v>-0.99999874107617315</v>
      </c>
      <c r="W222" s="33">
        <f t="shared" si="90"/>
        <v>412.97360125892379</v>
      </c>
      <c r="X222" s="33">
        <v>96485</v>
      </c>
      <c r="Y222" s="16">
        <f t="shared" si="91"/>
        <v>-233.63449440498505</v>
      </c>
      <c r="Z222" s="16">
        <v>8</v>
      </c>
      <c r="AA222" s="16">
        <v>15</v>
      </c>
      <c r="AB222" s="8">
        <f t="shared" si="92"/>
        <v>0.33684210526315789</v>
      </c>
      <c r="AC222" s="16">
        <f t="shared" si="93"/>
        <v>68.844969824162703</v>
      </c>
      <c r="AD222" s="20">
        <f>'PFAS Properties'!$W$33</f>
        <v>7</v>
      </c>
      <c r="AE222" s="8">
        <f>'PFAS Properties'!$S$33</f>
        <v>2.6821450763738319</v>
      </c>
      <c r="AF222" s="15">
        <f>'PFAS Properties'!$V$33</f>
        <v>4.9000000000000004</v>
      </c>
      <c r="AG222" s="24">
        <v>5.7</v>
      </c>
      <c r="AH222" s="2" t="s">
        <v>661</v>
      </c>
      <c r="AI222" s="15">
        <f>268*55.85/1000</f>
        <v>14.9678</v>
      </c>
      <c r="AJ222" s="16">
        <f>AI222*1000/55.845</f>
        <v>268.02399498612232</v>
      </c>
      <c r="AK222" s="8">
        <f>AI222/10</f>
        <v>1.49678</v>
      </c>
      <c r="AL222" s="15">
        <f>90*26.98/1000</f>
        <v>2.4281999999999999</v>
      </c>
      <c r="AM222" s="16">
        <f>AL222*1000/26.98</f>
        <v>89.999999999999986</v>
      </c>
      <c r="AN222" s="8">
        <f>AL222/10</f>
        <v>0.24281999999999998</v>
      </c>
      <c r="AO222" s="15" t="s">
        <v>93</v>
      </c>
      <c r="AP222" s="16">
        <v>22.2</v>
      </c>
      <c r="AQ222" s="2" t="s">
        <v>661</v>
      </c>
      <c r="AR222" s="2">
        <v>80</v>
      </c>
      <c r="AS222" s="2">
        <v>15</v>
      </c>
      <c r="AT222" s="2">
        <v>5</v>
      </c>
      <c r="AU222" s="2" t="s">
        <v>661</v>
      </c>
      <c r="AV222" s="16">
        <f t="shared" si="102"/>
        <v>100</v>
      </c>
      <c r="AW222" s="18">
        <v>9.66</v>
      </c>
      <c r="AX222" s="13">
        <f t="shared" si="105"/>
        <v>9.6600000000000005E-2</v>
      </c>
      <c r="AY222" s="13" t="s">
        <v>87</v>
      </c>
      <c r="AZ222" s="16">
        <f>5/0.05</f>
        <v>100</v>
      </c>
      <c r="BA222" s="16" t="s">
        <v>55</v>
      </c>
      <c r="BB222" s="15">
        <v>0.5</v>
      </c>
      <c r="BC222" s="16">
        <v>100</v>
      </c>
      <c r="BD222" s="18">
        <v>11.93</v>
      </c>
      <c r="BE222" s="15">
        <f t="shared" si="94"/>
        <v>123.49896480331262</v>
      </c>
      <c r="BF222" s="8">
        <f t="shared" si="95"/>
        <v>2.0916633172548487</v>
      </c>
      <c r="BG222" s="8">
        <f t="shared" si="96"/>
        <v>1.0766404436703418</v>
      </c>
      <c r="BH222" s="13" t="s">
        <v>844</v>
      </c>
      <c r="BI222" s="13"/>
      <c r="BJ222" s="13"/>
      <c r="BK222" s="8"/>
      <c r="BL222" s="8"/>
      <c r="BM222" s="18"/>
      <c r="BN222" s="8"/>
      <c r="BO222" s="24"/>
    </row>
    <row r="223" spans="1:67" s="2" customFormat="1" x14ac:dyDescent="0.3">
      <c r="A223" s="20">
        <v>229</v>
      </c>
      <c r="B223" s="2" t="s">
        <v>720</v>
      </c>
      <c r="C223" s="2">
        <v>2019</v>
      </c>
      <c r="D223" s="2" t="s">
        <v>201</v>
      </c>
      <c r="E223" s="10" t="s">
        <v>797</v>
      </c>
      <c r="F223" s="20" t="s">
        <v>29</v>
      </c>
      <c r="G223" s="2" t="s">
        <v>713</v>
      </c>
      <c r="H223" s="2" t="str">
        <f>'PFAS Properties'!$B$33</f>
        <v>PFOA</v>
      </c>
      <c r="I223" s="2" t="str">
        <f>'PFAS Properties'!$C$33</f>
        <v>PFCA</v>
      </c>
      <c r="J223" s="2" t="str">
        <f>'PFAS Properties'!$D$33</f>
        <v>C8HF15O2</v>
      </c>
      <c r="K223" s="25">
        <f>'PFAS Properties'!$P$33</f>
        <v>413.97359999999998</v>
      </c>
      <c r="L223" s="2">
        <f>'PFAS Properties'!$X$33</f>
        <v>-0.2</v>
      </c>
      <c r="M223" s="2" t="str">
        <f>'PFAS Properties'!$Y$33</f>
        <v>-</v>
      </c>
      <c r="N223" s="33">
        <v>0</v>
      </c>
      <c r="O223" s="33">
        <v>0</v>
      </c>
      <c r="P223" s="33">
        <v>0</v>
      </c>
      <c r="Q223" s="33">
        <f t="shared" si="99"/>
        <v>0.9999984511857799</v>
      </c>
      <c r="R223" s="33">
        <v>0</v>
      </c>
      <c r="S223" s="33">
        <f t="shared" si="100"/>
        <v>1.5488142200832729E-6</v>
      </c>
      <c r="T223" s="8">
        <f t="shared" si="103"/>
        <v>1</v>
      </c>
      <c r="U223" s="33">
        <f t="shared" si="88"/>
        <v>0</v>
      </c>
      <c r="V223" s="33">
        <f t="shared" si="89"/>
        <v>-0.9999984511857799</v>
      </c>
      <c r="W223" s="33">
        <f t="shared" si="90"/>
        <v>412.97360154881414</v>
      </c>
      <c r="X223" s="33">
        <v>96485</v>
      </c>
      <c r="Y223" s="16">
        <f t="shared" si="91"/>
        <v>-233.63442651250267</v>
      </c>
      <c r="Z223" s="16">
        <v>8</v>
      </c>
      <c r="AA223" s="16">
        <v>15</v>
      </c>
      <c r="AB223" s="8">
        <f t="shared" si="92"/>
        <v>0.33684210526315789</v>
      </c>
      <c r="AC223" s="16">
        <f t="shared" si="93"/>
        <v>68.844969824162703</v>
      </c>
      <c r="AD223" s="20">
        <f>'PFAS Properties'!$W$33</f>
        <v>7</v>
      </c>
      <c r="AE223" s="8">
        <f>'PFAS Properties'!$S$33</f>
        <v>2.6821450763738319</v>
      </c>
      <c r="AF223" s="15">
        <f>'PFAS Properties'!$V$33</f>
        <v>4.9000000000000004</v>
      </c>
      <c r="AG223" s="24">
        <v>5.61</v>
      </c>
      <c r="AH223" s="2" t="s">
        <v>652</v>
      </c>
      <c r="AI223" s="15">
        <f>9.1*2*55.845/159.69</f>
        <v>6.3647003569415741</v>
      </c>
      <c r="AJ223" s="16">
        <f t="shared" ref="AJ223:AJ228" si="106">AI223*1000/55.845</f>
        <v>113.97081846076773</v>
      </c>
      <c r="AK223" s="15">
        <f t="shared" ref="AK223:AK228" si="107">AI223/10</f>
        <v>0.63647003569415739</v>
      </c>
      <c r="AL223" s="15">
        <f>22.3*2*26.98/101.96</f>
        <v>11.801765398195371</v>
      </c>
      <c r="AM223" s="16">
        <f>AL223*1000/26.98</f>
        <v>437.42644174185961</v>
      </c>
      <c r="AN223" s="15">
        <f t="shared" ref="AN223:AN228" si="108">AL223/10</f>
        <v>1.1801765398195372</v>
      </c>
      <c r="AO223" s="15" t="s">
        <v>41</v>
      </c>
      <c r="AP223" s="2">
        <v>11</v>
      </c>
      <c r="AQ223" s="2" t="s">
        <v>652</v>
      </c>
      <c r="AR223" s="2">
        <v>40.700000000000003</v>
      </c>
      <c r="AS223" s="2">
        <v>23.3</v>
      </c>
      <c r="AT223" s="2">
        <v>36</v>
      </c>
      <c r="AU223" s="2" t="s">
        <v>652</v>
      </c>
      <c r="AV223" s="16">
        <f t="shared" ref="AV223:AV286" si="109">SUM(AR223:AT223)</f>
        <v>100</v>
      </c>
      <c r="AW223" s="18">
        <v>3.82</v>
      </c>
      <c r="AX223" s="13">
        <f t="shared" si="105"/>
        <v>3.8199999999999998E-2</v>
      </c>
      <c r="AY223" s="16" t="s">
        <v>750</v>
      </c>
      <c r="AZ223" s="16">
        <f t="shared" ref="AZ223:AZ228" si="110">5/0.04</f>
        <v>125</v>
      </c>
      <c r="BA223" s="16" t="s">
        <v>55</v>
      </c>
      <c r="BB223" s="16">
        <f t="shared" ref="BB223:BB228" si="111">50*K223/1000</f>
        <v>20.69868</v>
      </c>
      <c r="BC223" s="16">
        <f t="shared" ref="BC223:BC228" si="112">1000*K223/1000</f>
        <v>413.97359999999998</v>
      </c>
      <c r="BD223" s="18">
        <f t="shared" ref="BD223:BD228" si="113">BO223</f>
        <v>2.6320763040501265</v>
      </c>
      <c r="BE223" s="16">
        <f t="shared" si="94"/>
        <v>68.902521048432632</v>
      </c>
      <c r="BF223" s="16">
        <f t="shared" si="95"/>
        <v>1.8382351124358207</v>
      </c>
      <c r="BG223" s="8">
        <f t="shared" si="96"/>
        <v>0.42029847534752945</v>
      </c>
      <c r="BH223" s="13" t="s">
        <v>782</v>
      </c>
      <c r="BI223" s="16">
        <f>10^1.8281</f>
        <v>67.313163272762523</v>
      </c>
      <c r="BJ223" s="16" t="s">
        <v>329</v>
      </c>
      <c r="BK223" s="8">
        <v>0.5504</v>
      </c>
      <c r="BL223" s="16">
        <f t="shared" ref="BL223:BL228" si="114">(BI223*K223/1000)/(BI223*(K223^BK223)/1000)</f>
        <v>15.017266975719876</v>
      </c>
      <c r="BM223" s="25">
        <f>'PFAS Properties'!$U$33</f>
        <v>48.1</v>
      </c>
      <c r="BN223" s="16">
        <f t="shared" ref="BN223:BN228" si="115">(BL223*(BM223^BK223))</f>
        <v>126.60287022481108</v>
      </c>
      <c r="BO223" s="24">
        <f t="shared" ref="BO223:BO228" si="116">BN223/BM223</f>
        <v>2.6320763040501265</v>
      </c>
    </row>
    <row r="224" spans="1:67" s="14" customFormat="1" x14ac:dyDescent="0.3">
      <c r="A224" s="20">
        <v>230</v>
      </c>
      <c r="B224" s="2" t="s">
        <v>720</v>
      </c>
      <c r="C224" s="2">
        <v>2019</v>
      </c>
      <c r="D224" s="2" t="s">
        <v>201</v>
      </c>
      <c r="E224" s="10" t="s">
        <v>797</v>
      </c>
      <c r="F224" s="20" t="s">
        <v>29</v>
      </c>
      <c r="G224" s="2" t="s">
        <v>714</v>
      </c>
      <c r="H224" s="2" t="str">
        <f>'PFAS Properties'!$B$33</f>
        <v>PFOA</v>
      </c>
      <c r="I224" s="2" t="str">
        <f>'PFAS Properties'!$C$33</f>
        <v>PFCA</v>
      </c>
      <c r="J224" s="2" t="str">
        <f>'PFAS Properties'!$D$33</f>
        <v>C8HF15O2</v>
      </c>
      <c r="K224" s="25">
        <f>'PFAS Properties'!$P$33</f>
        <v>413.97359999999998</v>
      </c>
      <c r="L224" s="2">
        <f>'PFAS Properties'!$X$33</f>
        <v>-0.2</v>
      </c>
      <c r="M224" s="2" t="str">
        <f>'PFAS Properties'!$Y$33</f>
        <v>-</v>
      </c>
      <c r="N224" s="33">
        <v>0</v>
      </c>
      <c r="O224" s="33">
        <v>0</v>
      </c>
      <c r="P224" s="33">
        <v>0</v>
      </c>
      <c r="Q224" s="33">
        <f t="shared" si="99"/>
        <v>0.99997048877867123</v>
      </c>
      <c r="R224" s="33">
        <v>0</v>
      </c>
      <c r="S224" s="33">
        <f t="shared" si="100"/>
        <v>2.9511221328777069E-5</v>
      </c>
      <c r="T224" s="8">
        <f t="shared" si="103"/>
        <v>1</v>
      </c>
      <c r="U224" s="33">
        <f t="shared" si="88"/>
        <v>0</v>
      </c>
      <c r="V224" s="33">
        <f t="shared" si="89"/>
        <v>-0.99997048877867123</v>
      </c>
      <c r="W224" s="33">
        <f t="shared" si="90"/>
        <v>412.9736295112213</v>
      </c>
      <c r="X224" s="33">
        <v>96485</v>
      </c>
      <c r="Y224" s="16">
        <f t="shared" si="91"/>
        <v>-233.62787770251197</v>
      </c>
      <c r="Z224" s="16">
        <v>8</v>
      </c>
      <c r="AA224" s="16">
        <v>15</v>
      </c>
      <c r="AB224" s="8">
        <f t="shared" si="92"/>
        <v>0.33684210526315789</v>
      </c>
      <c r="AC224" s="16">
        <f t="shared" si="93"/>
        <v>68.844969824162703</v>
      </c>
      <c r="AD224" s="20">
        <f>'PFAS Properties'!$W$33</f>
        <v>7</v>
      </c>
      <c r="AE224" s="8">
        <f>'PFAS Properties'!$S$33</f>
        <v>2.6821450763738319</v>
      </c>
      <c r="AF224" s="15">
        <f>'PFAS Properties'!$V$33</f>
        <v>4.9000000000000004</v>
      </c>
      <c r="AG224" s="24">
        <v>4.33</v>
      </c>
      <c r="AH224" s="2" t="s">
        <v>652</v>
      </c>
      <c r="AI224" s="15">
        <f>4.25*2*55.845/159.69</f>
        <v>2.9725248919782077</v>
      </c>
      <c r="AJ224" s="16">
        <f t="shared" si="106"/>
        <v>53.228129500908004</v>
      </c>
      <c r="AK224" s="15">
        <f t="shared" si="107"/>
        <v>0.29725248919782077</v>
      </c>
      <c r="AL224" s="15">
        <f>4.49*2*26.98/101.96</f>
        <v>2.3762298940761086</v>
      </c>
      <c r="AM224" s="16">
        <f t="shared" ref="AM224:AM228" si="117">AL224*1000/26.98</f>
        <v>88.073754413495507</v>
      </c>
      <c r="AN224" s="15">
        <f t="shared" si="108"/>
        <v>0.23762298940761087</v>
      </c>
      <c r="AO224" s="15" t="s">
        <v>41</v>
      </c>
      <c r="AP224" s="2">
        <v>19</v>
      </c>
      <c r="AQ224" s="2" t="s">
        <v>652</v>
      </c>
      <c r="AR224" s="2">
        <v>46.7</v>
      </c>
      <c r="AS224" s="2">
        <v>50</v>
      </c>
      <c r="AT224" s="2">
        <v>3.3</v>
      </c>
      <c r="AU224" s="2" t="s">
        <v>652</v>
      </c>
      <c r="AV224" s="16">
        <f t="shared" si="109"/>
        <v>100</v>
      </c>
      <c r="AW224" s="18">
        <v>0.52</v>
      </c>
      <c r="AX224" s="13">
        <f t="shared" si="105"/>
        <v>5.1999999999999998E-3</v>
      </c>
      <c r="AY224" s="16" t="s">
        <v>750</v>
      </c>
      <c r="AZ224" s="16">
        <f t="shared" si="110"/>
        <v>125</v>
      </c>
      <c r="BA224" s="16" t="s">
        <v>55</v>
      </c>
      <c r="BB224" s="16">
        <f t="shared" si="111"/>
        <v>20.69868</v>
      </c>
      <c r="BC224" s="16">
        <f t="shared" si="112"/>
        <v>413.97359999999998</v>
      </c>
      <c r="BD224" s="18">
        <f t="shared" si="113"/>
        <v>2.3146709943277841</v>
      </c>
      <c r="BE224" s="16">
        <f t="shared" si="94"/>
        <v>445.12903737072776</v>
      </c>
      <c r="BF224" s="16">
        <f t="shared" si="95"/>
        <v>2.6484859258002582</v>
      </c>
      <c r="BG224" s="8">
        <f t="shared" si="96"/>
        <v>0.36448926943505727</v>
      </c>
      <c r="BH224" s="13" t="s">
        <v>782</v>
      </c>
      <c r="BI224" s="16">
        <f>10^1.5785</f>
        <v>37.887853374843722</v>
      </c>
      <c r="BJ224" s="16" t="s">
        <v>329</v>
      </c>
      <c r="BK224" s="8">
        <v>0.61009999999999998</v>
      </c>
      <c r="BL224" s="16">
        <f t="shared" si="114"/>
        <v>10.479911971727654</v>
      </c>
      <c r="BM224" s="25">
        <f>'PFAS Properties'!$U$33</f>
        <v>48.1</v>
      </c>
      <c r="BN224" s="16">
        <f t="shared" si="115"/>
        <v>111.33567482716643</v>
      </c>
      <c r="BO224" s="24">
        <f t="shared" si="116"/>
        <v>2.3146709943277841</v>
      </c>
    </row>
    <row r="225" spans="1:67" s="14" customFormat="1" x14ac:dyDescent="0.3">
      <c r="A225" s="20">
        <v>231</v>
      </c>
      <c r="B225" s="2" t="s">
        <v>720</v>
      </c>
      <c r="C225" s="2">
        <v>2019</v>
      </c>
      <c r="D225" s="2" t="s">
        <v>201</v>
      </c>
      <c r="E225" s="10" t="s">
        <v>797</v>
      </c>
      <c r="F225" s="20" t="s">
        <v>29</v>
      </c>
      <c r="G225" s="2" t="s">
        <v>715</v>
      </c>
      <c r="H225" s="2" t="str">
        <f>'PFAS Properties'!$B$33</f>
        <v>PFOA</v>
      </c>
      <c r="I225" s="2" t="str">
        <f>'PFAS Properties'!$C$33</f>
        <v>PFCA</v>
      </c>
      <c r="J225" s="2" t="str">
        <f>'PFAS Properties'!$D$33</f>
        <v>C8HF15O2</v>
      </c>
      <c r="K225" s="25">
        <f>'PFAS Properties'!$P$33</f>
        <v>413.97359999999998</v>
      </c>
      <c r="L225" s="2">
        <f>'PFAS Properties'!$X$33</f>
        <v>-0.2</v>
      </c>
      <c r="M225" s="2" t="str">
        <f>'PFAS Properties'!$Y$33</f>
        <v>-</v>
      </c>
      <c r="N225" s="33">
        <v>0</v>
      </c>
      <c r="O225" s="33">
        <v>0</v>
      </c>
      <c r="P225" s="33">
        <v>0</v>
      </c>
      <c r="Q225" s="33">
        <f t="shared" si="99"/>
        <v>0.99986512190629506</v>
      </c>
      <c r="R225" s="33">
        <v>0</v>
      </c>
      <c r="S225" s="33">
        <f t="shared" si="100"/>
        <v>1.3487809370495705E-4</v>
      </c>
      <c r="T225" s="8">
        <f t="shared" si="103"/>
        <v>1</v>
      </c>
      <c r="U225" s="33">
        <f t="shared" si="88"/>
        <v>0</v>
      </c>
      <c r="V225" s="33">
        <f t="shared" si="89"/>
        <v>-0.99986512190629506</v>
      </c>
      <c r="W225" s="33">
        <f t="shared" si="90"/>
        <v>412.97373487809369</v>
      </c>
      <c r="X225" s="33">
        <v>96485</v>
      </c>
      <c r="Y225" s="16">
        <f t="shared" si="91"/>
        <v>-233.60320073528788</v>
      </c>
      <c r="Z225" s="16">
        <v>8</v>
      </c>
      <c r="AA225" s="16">
        <v>15</v>
      </c>
      <c r="AB225" s="8">
        <f t="shared" si="92"/>
        <v>0.33684210526315789</v>
      </c>
      <c r="AC225" s="16">
        <f t="shared" si="93"/>
        <v>68.844969824162703</v>
      </c>
      <c r="AD225" s="20">
        <f>'PFAS Properties'!$W$33</f>
        <v>7</v>
      </c>
      <c r="AE225" s="8">
        <f>'PFAS Properties'!$S$33</f>
        <v>2.6821450763738319</v>
      </c>
      <c r="AF225" s="15">
        <f>'PFAS Properties'!$V$33</f>
        <v>4.9000000000000004</v>
      </c>
      <c r="AG225" s="24">
        <v>3.67</v>
      </c>
      <c r="AH225" s="2" t="s">
        <v>652</v>
      </c>
      <c r="AI225" s="15">
        <f>1.51*2*55.845/159.69</f>
        <v>1.056120608679316</v>
      </c>
      <c r="AJ225" s="16">
        <f t="shared" si="106"/>
        <v>18.911641305028493</v>
      </c>
      <c r="AK225" s="15">
        <f t="shared" si="107"/>
        <v>0.1056120608679316</v>
      </c>
      <c r="AL225" s="15">
        <f>1.01*2*26.98/101.96</f>
        <v>0.53451941938014913</v>
      </c>
      <c r="AM225" s="16">
        <f t="shared" si="117"/>
        <v>19.811690859160453</v>
      </c>
      <c r="AN225" s="15">
        <f t="shared" si="108"/>
        <v>5.3451941938014912E-2</v>
      </c>
      <c r="AO225" s="15" t="s">
        <v>41</v>
      </c>
      <c r="AP225" s="2">
        <v>6.57</v>
      </c>
      <c r="AQ225" s="2" t="s">
        <v>652</v>
      </c>
      <c r="AR225" s="2">
        <v>59.3</v>
      </c>
      <c r="AS225" s="2">
        <v>21.3</v>
      </c>
      <c r="AT225" s="2">
        <v>19.399999999999999</v>
      </c>
      <c r="AU225" s="2" t="s">
        <v>652</v>
      </c>
      <c r="AV225" s="16">
        <f t="shared" si="109"/>
        <v>100</v>
      </c>
      <c r="AW225" s="18">
        <v>0.25800000000000001</v>
      </c>
      <c r="AX225" s="13">
        <f t="shared" si="105"/>
        <v>2.5800000000000003E-3</v>
      </c>
      <c r="AY225" s="16" t="s">
        <v>750</v>
      </c>
      <c r="AZ225" s="16">
        <f t="shared" si="110"/>
        <v>125</v>
      </c>
      <c r="BA225" s="16" t="s">
        <v>55</v>
      </c>
      <c r="BB225" s="16">
        <f t="shared" si="111"/>
        <v>20.69868</v>
      </c>
      <c r="BC225" s="16">
        <f t="shared" si="112"/>
        <v>413.97359999999998</v>
      </c>
      <c r="BD225" s="18">
        <f t="shared" si="113"/>
        <v>1.8927048354968559</v>
      </c>
      <c r="BE225" s="16">
        <f t="shared" si="94"/>
        <v>733.60652538637817</v>
      </c>
      <c r="BF225" s="16">
        <f t="shared" si="95"/>
        <v>2.8654631857027124</v>
      </c>
      <c r="BG225" s="8">
        <f t="shared" si="96"/>
        <v>0.27708289166594247</v>
      </c>
      <c r="BH225" s="13" t="s">
        <v>782</v>
      </c>
      <c r="BI225" s="16">
        <f>10^1.0948</f>
        <v>12.439416235583078</v>
      </c>
      <c r="BJ225" s="16" t="s">
        <v>329</v>
      </c>
      <c r="BK225" s="8">
        <v>0.7036</v>
      </c>
      <c r="BL225" s="16">
        <f t="shared" si="114"/>
        <v>5.9658275079952503</v>
      </c>
      <c r="BM225" s="25">
        <f>'PFAS Properties'!$U$33</f>
        <v>48.1</v>
      </c>
      <c r="BN225" s="16">
        <f t="shared" si="115"/>
        <v>91.039102587398773</v>
      </c>
      <c r="BO225" s="24">
        <f t="shared" si="116"/>
        <v>1.8927048354968559</v>
      </c>
    </row>
    <row r="226" spans="1:67" s="14" customFormat="1" x14ac:dyDescent="0.3">
      <c r="A226" s="20">
        <v>232</v>
      </c>
      <c r="B226" s="2" t="s">
        <v>720</v>
      </c>
      <c r="C226" s="2">
        <v>2019</v>
      </c>
      <c r="D226" s="2" t="s">
        <v>201</v>
      </c>
      <c r="E226" s="10" t="s">
        <v>797</v>
      </c>
      <c r="F226" s="20" t="s">
        <v>29</v>
      </c>
      <c r="G226" s="2" t="s">
        <v>716</v>
      </c>
      <c r="H226" s="2" t="str">
        <f>'PFAS Properties'!$B$33</f>
        <v>PFOA</v>
      </c>
      <c r="I226" s="2" t="str">
        <f>'PFAS Properties'!$C$33</f>
        <v>PFCA</v>
      </c>
      <c r="J226" s="2" t="str">
        <f>'PFAS Properties'!$D$33</f>
        <v>C8HF15O2</v>
      </c>
      <c r="K226" s="25">
        <f>'PFAS Properties'!$P$33</f>
        <v>413.97359999999998</v>
      </c>
      <c r="L226" s="2">
        <f>'PFAS Properties'!$X$33</f>
        <v>-0.2</v>
      </c>
      <c r="M226" s="2" t="str">
        <f>'PFAS Properties'!$Y$33</f>
        <v>-</v>
      </c>
      <c r="N226" s="33">
        <v>0</v>
      </c>
      <c r="O226" s="33">
        <v>0</v>
      </c>
      <c r="P226" s="33">
        <v>0</v>
      </c>
      <c r="Q226" s="33">
        <f t="shared" si="99"/>
        <v>0.99998554581121912</v>
      </c>
      <c r="R226" s="33">
        <v>0</v>
      </c>
      <c r="S226" s="33">
        <f t="shared" si="100"/>
        <v>1.4454188780866098E-5</v>
      </c>
      <c r="T226" s="8">
        <f t="shared" si="103"/>
        <v>1</v>
      </c>
      <c r="U226" s="33">
        <f t="shared" si="88"/>
        <v>0</v>
      </c>
      <c r="V226" s="33">
        <f t="shared" si="89"/>
        <v>-0.99998554581121912</v>
      </c>
      <c r="W226" s="33">
        <f t="shared" si="90"/>
        <v>412.97361445418875</v>
      </c>
      <c r="X226" s="33">
        <v>96485</v>
      </c>
      <c r="Y226" s="16">
        <f t="shared" si="91"/>
        <v>-233.63140406709547</v>
      </c>
      <c r="Z226" s="16">
        <v>8</v>
      </c>
      <c r="AA226" s="16">
        <v>15</v>
      </c>
      <c r="AB226" s="8">
        <f t="shared" si="92"/>
        <v>0.33684210526315789</v>
      </c>
      <c r="AC226" s="16">
        <f t="shared" si="93"/>
        <v>68.844969824162703</v>
      </c>
      <c r="AD226" s="20">
        <f>'PFAS Properties'!$W$33</f>
        <v>7</v>
      </c>
      <c r="AE226" s="8">
        <f>'PFAS Properties'!$S$33</f>
        <v>2.6821450763738319</v>
      </c>
      <c r="AF226" s="15">
        <f>'PFAS Properties'!$V$33</f>
        <v>4.9000000000000004</v>
      </c>
      <c r="AG226" s="24">
        <v>4.6399999999999997</v>
      </c>
      <c r="AH226" s="2" t="s">
        <v>652</v>
      </c>
      <c r="AI226" s="15">
        <f>6.69*2*55.845/159.69</f>
        <v>4.6791038887845202</v>
      </c>
      <c r="AJ226" s="16">
        <f t="shared" si="106"/>
        <v>83.787337967311657</v>
      </c>
      <c r="AK226" s="15">
        <f t="shared" si="107"/>
        <v>0.46791038887845204</v>
      </c>
      <c r="AL226" s="15">
        <f>14.7*2*26.98/101.96</f>
        <v>7.7796390741467247</v>
      </c>
      <c r="AM226" s="16">
        <f t="shared" si="117"/>
        <v>288.34837191055317</v>
      </c>
      <c r="AN226" s="15">
        <f t="shared" si="108"/>
        <v>0.77796390741467247</v>
      </c>
      <c r="AO226" s="15" t="s">
        <v>41</v>
      </c>
      <c r="AP226" s="2">
        <v>19.600000000000001</v>
      </c>
      <c r="AQ226" s="2" t="s">
        <v>652</v>
      </c>
      <c r="AR226" s="2">
        <v>42</v>
      </c>
      <c r="AS226" s="2">
        <v>36.700000000000003</v>
      </c>
      <c r="AT226" s="2">
        <v>21.3</v>
      </c>
      <c r="AU226" s="2" t="s">
        <v>652</v>
      </c>
      <c r="AV226" s="16">
        <f t="shared" si="109"/>
        <v>100</v>
      </c>
      <c r="AW226" s="18">
        <v>0.92800000000000005</v>
      </c>
      <c r="AX226" s="13">
        <f t="shared" si="105"/>
        <v>9.2800000000000001E-3</v>
      </c>
      <c r="AY226" s="16" t="s">
        <v>750</v>
      </c>
      <c r="AZ226" s="16">
        <f t="shared" si="110"/>
        <v>125</v>
      </c>
      <c r="BA226" s="16" t="s">
        <v>55</v>
      </c>
      <c r="BB226" s="16">
        <f t="shared" si="111"/>
        <v>20.69868</v>
      </c>
      <c r="BC226" s="16">
        <f t="shared" si="112"/>
        <v>413.97359999999998</v>
      </c>
      <c r="BD226" s="18">
        <f t="shared" si="113"/>
        <v>2.4071498742100945</v>
      </c>
      <c r="BE226" s="16">
        <f t="shared" si="94"/>
        <v>259.39115023815674</v>
      </c>
      <c r="BF226" s="16">
        <f t="shared" si="95"/>
        <v>2.4139551549851568</v>
      </c>
      <c r="BG226" s="8">
        <f t="shared" si="96"/>
        <v>0.38150313120401869</v>
      </c>
      <c r="BH226" s="13" t="s">
        <v>782</v>
      </c>
      <c r="BI226" s="16">
        <f>10^1.6327</f>
        <v>42.923981597047103</v>
      </c>
      <c r="BJ226" s="16" t="s">
        <v>329</v>
      </c>
      <c r="BK226" s="8">
        <v>0.59189999999999998</v>
      </c>
      <c r="BL226" s="16">
        <f t="shared" si="114"/>
        <v>11.694631371037</v>
      </c>
      <c r="BM226" s="25">
        <f>'PFAS Properties'!$U$33</f>
        <v>48.1</v>
      </c>
      <c r="BN226" s="16">
        <f t="shared" si="115"/>
        <v>115.78390894950556</v>
      </c>
      <c r="BO226" s="24">
        <f t="shared" si="116"/>
        <v>2.4071498742100945</v>
      </c>
    </row>
    <row r="227" spans="1:67" s="14" customFormat="1" x14ac:dyDescent="0.3">
      <c r="A227" s="20">
        <v>233</v>
      </c>
      <c r="B227" s="2" t="s">
        <v>720</v>
      </c>
      <c r="C227" s="2">
        <v>2019</v>
      </c>
      <c r="D227" s="2" t="s">
        <v>201</v>
      </c>
      <c r="E227" s="10" t="s">
        <v>797</v>
      </c>
      <c r="F227" s="20" t="s">
        <v>29</v>
      </c>
      <c r="G227" s="2" t="s">
        <v>717</v>
      </c>
      <c r="H227" s="2" t="str">
        <f>'PFAS Properties'!$B$33</f>
        <v>PFOA</v>
      </c>
      <c r="I227" s="2" t="str">
        <f>'PFAS Properties'!$C$33</f>
        <v>PFCA</v>
      </c>
      <c r="J227" s="2" t="str">
        <f>'PFAS Properties'!$D$33</f>
        <v>C8HF15O2</v>
      </c>
      <c r="K227" s="25">
        <f>'PFAS Properties'!$P$33</f>
        <v>413.97359999999998</v>
      </c>
      <c r="L227" s="2">
        <f>'PFAS Properties'!$X$33</f>
        <v>-0.2</v>
      </c>
      <c r="M227" s="2" t="str">
        <f>'PFAS Properties'!$Y$33</f>
        <v>-</v>
      </c>
      <c r="N227" s="33">
        <v>0</v>
      </c>
      <c r="O227" s="33">
        <v>0</v>
      </c>
      <c r="P227" s="33">
        <v>0</v>
      </c>
      <c r="Q227" s="33">
        <f t="shared" si="99"/>
        <v>0.99995533363595812</v>
      </c>
      <c r="R227" s="33">
        <v>0</v>
      </c>
      <c r="S227" s="33">
        <f t="shared" si="100"/>
        <v>4.4666364041902332E-5</v>
      </c>
      <c r="T227" s="8">
        <f t="shared" si="103"/>
        <v>1</v>
      </c>
      <c r="U227" s="33">
        <f t="shared" si="88"/>
        <v>0</v>
      </c>
      <c r="V227" s="33">
        <f t="shared" si="89"/>
        <v>-0.99995533363595812</v>
      </c>
      <c r="W227" s="33">
        <f t="shared" si="90"/>
        <v>412.97364466636401</v>
      </c>
      <c r="X227" s="33">
        <v>96485</v>
      </c>
      <c r="Y227" s="16">
        <f t="shared" si="91"/>
        <v>-233.62432836073813</v>
      </c>
      <c r="Z227" s="16">
        <v>8</v>
      </c>
      <c r="AA227" s="16">
        <v>15</v>
      </c>
      <c r="AB227" s="8">
        <f t="shared" si="92"/>
        <v>0.33684210526315789</v>
      </c>
      <c r="AC227" s="16">
        <f t="shared" si="93"/>
        <v>68.844969824162703</v>
      </c>
      <c r="AD227" s="20">
        <f>'PFAS Properties'!$W$33</f>
        <v>7</v>
      </c>
      <c r="AE227" s="8">
        <f>'PFAS Properties'!$S$33</f>
        <v>2.6821450763738319</v>
      </c>
      <c r="AF227" s="15">
        <f>'PFAS Properties'!$V$33</f>
        <v>4.9000000000000004</v>
      </c>
      <c r="AG227" s="24">
        <v>4.1500000000000004</v>
      </c>
      <c r="AH227" s="2" t="s">
        <v>652</v>
      </c>
      <c r="AI227" s="15">
        <f>5.68*2*55.845/159.69</f>
        <v>3.9726920909261692</v>
      </c>
      <c r="AJ227" s="16">
        <f t="shared" si="106"/>
        <v>71.137829544742928</v>
      </c>
      <c r="AK227" s="15">
        <f t="shared" si="107"/>
        <v>0.39726920909261693</v>
      </c>
      <c r="AL227" s="15">
        <f>9.78*2*26.98/101.96</f>
        <v>5.1758415064731267</v>
      </c>
      <c r="AM227" s="16">
        <f t="shared" si="117"/>
        <v>191.83993723028641</v>
      </c>
      <c r="AN227" s="15">
        <f t="shared" si="108"/>
        <v>0.51758415064731267</v>
      </c>
      <c r="AO227" s="15" t="s">
        <v>41</v>
      </c>
      <c r="AP227" s="2">
        <v>9.76</v>
      </c>
      <c r="AQ227" s="2" t="s">
        <v>652</v>
      </c>
      <c r="AR227" s="2">
        <v>49.3</v>
      </c>
      <c r="AS227" s="2">
        <v>39.4</v>
      </c>
      <c r="AT227" s="2">
        <v>11.3</v>
      </c>
      <c r="AU227" s="2" t="s">
        <v>652</v>
      </c>
      <c r="AV227" s="16">
        <f t="shared" si="109"/>
        <v>99.999999999999986</v>
      </c>
      <c r="AW227" s="18">
        <v>2.48</v>
      </c>
      <c r="AX227" s="13">
        <f t="shared" si="105"/>
        <v>2.4799999999999999E-2</v>
      </c>
      <c r="AY227" s="16" t="s">
        <v>750</v>
      </c>
      <c r="AZ227" s="16">
        <f t="shared" si="110"/>
        <v>125</v>
      </c>
      <c r="BA227" s="16" t="s">
        <v>55</v>
      </c>
      <c r="BB227" s="16">
        <f t="shared" si="111"/>
        <v>20.69868</v>
      </c>
      <c r="BC227" s="16">
        <f t="shared" si="112"/>
        <v>413.97359999999998</v>
      </c>
      <c r="BD227" s="18">
        <f t="shared" si="113"/>
        <v>2.1647917891389721</v>
      </c>
      <c r="BE227" s="16">
        <f t="shared" si="94"/>
        <v>87.289991497539205</v>
      </c>
      <c r="BF227" s="16">
        <f t="shared" si="95"/>
        <v>1.9409644511904511</v>
      </c>
      <c r="BG227" s="8">
        <f t="shared" si="96"/>
        <v>0.33541613201666731</v>
      </c>
      <c r="BH227" s="13" t="s">
        <v>782</v>
      </c>
      <c r="BI227" s="16">
        <f>10^1.6765</f>
        <v>47.478829094159771</v>
      </c>
      <c r="BJ227" s="16" t="s">
        <v>329</v>
      </c>
      <c r="BK227" s="8">
        <v>0.64119999999999999</v>
      </c>
      <c r="BL227" s="16">
        <f t="shared" si="114"/>
        <v>8.6889997638496261</v>
      </c>
      <c r="BM227" s="25">
        <f>'PFAS Properties'!$U$33</f>
        <v>48.1</v>
      </c>
      <c r="BN227" s="16">
        <f t="shared" si="115"/>
        <v>104.12648505758456</v>
      </c>
      <c r="BO227" s="24">
        <f t="shared" si="116"/>
        <v>2.1647917891389721</v>
      </c>
    </row>
    <row r="228" spans="1:67" s="14" customFormat="1" x14ac:dyDescent="0.3">
      <c r="A228" s="20">
        <v>234</v>
      </c>
      <c r="B228" s="2" t="s">
        <v>720</v>
      </c>
      <c r="C228" s="2">
        <v>2019</v>
      </c>
      <c r="D228" s="2" t="s">
        <v>201</v>
      </c>
      <c r="E228" s="10" t="s">
        <v>797</v>
      </c>
      <c r="F228" s="20" t="s">
        <v>29</v>
      </c>
      <c r="G228" s="2" t="s">
        <v>718</v>
      </c>
      <c r="H228" s="2" t="str">
        <f>'PFAS Properties'!$B$33</f>
        <v>PFOA</v>
      </c>
      <c r="I228" s="2" t="str">
        <f>'PFAS Properties'!$C$33</f>
        <v>PFCA</v>
      </c>
      <c r="J228" s="2" t="str">
        <f>'PFAS Properties'!$D$33</f>
        <v>C8HF15O2</v>
      </c>
      <c r="K228" s="25">
        <f>'PFAS Properties'!$P$33</f>
        <v>413.97359999999998</v>
      </c>
      <c r="L228" s="2">
        <f>'PFAS Properties'!$X$33</f>
        <v>-0.2</v>
      </c>
      <c r="M228" s="2" t="str">
        <f>'PFAS Properties'!$Y$33</f>
        <v>-</v>
      </c>
      <c r="N228" s="33">
        <v>0</v>
      </c>
      <c r="O228" s="33">
        <v>0</v>
      </c>
      <c r="P228" s="33">
        <v>0</v>
      </c>
      <c r="Q228" s="33">
        <f t="shared" si="99"/>
        <v>0.99991872355478106</v>
      </c>
      <c r="R228" s="33">
        <v>0</v>
      </c>
      <c r="S228" s="33">
        <f t="shared" si="100"/>
        <v>8.1276445218917993E-5</v>
      </c>
      <c r="T228" s="8">
        <f t="shared" si="103"/>
        <v>1</v>
      </c>
      <c r="U228" s="33">
        <f t="shared" si="88"/>
        <v>0</v>
      </c>
      <c r="V228" s="33">
        <f t="shared" si="89"/>
        <v>-0.99991872355478106</v>
      </c>
      <c r="W228" s="33">
        <f t="shared" si="90"/>
        <v>412.97368127644518</v>
      </c>
      <c r="X228" s="33">
        <v>96485</v>
      </c>
      <c r="Y228" s="16">
        <f t="shared" si="91"/>
        <v>-233.61575426304489</v>
      </c>
      <c r="Z228" s="16">
        <v>8</v>
      </c>
      <c r="AA228" s="16">
        <v>15</v>
      </c>
      <c r="AB228" s="8">
        <f t="shared" si="92"/>
        <v>0.33684210526315789</v>
      </c>
      <c r="AC228" s="16">
        <f t="shared" si="93"/>
        <v>68.844969824162703</v>
      </c>
      <c r="AD228" s="20">
        <f>'PFAS Properties'!$W$33</f>
        <v>7</v>
      </c>
      <c r="AE228" s="8">
        <f>'PFAS Properties'!$S$33</f>
        <v>2.6821450763738319</v>
      </c>
      <c r="AF228" s="15">
        <f>'PFAS Properties'!$V$33</f>
        <v>4.9000000000000004</v>
      </c>
      <c r="AG228" s="24">
        <v>3.89</v>
      </c>
      <c r="AH228" s="2" t="s">
        <v>652</v>
      </c>
      <c r="AI228" s="15">
        <f>2.95*2*55.845/159.69</f>
        <v>2.0632819838436971</v>
      </c>
      <c r="AJ228" s="16">
        <f t="shared" si="106"/>
        <v>36.946584006512616</v>
      </c>
      <c r="AK228" s="15">
        <f t="shared" si="107"/>
        <v>0.20632819838436972</v>
      </c>
      <c r="AL228" s="15">
        <f>0.634*2*26.98/101.96</f>
        <v>0.33553001176932129</v>
      </c>
      <c r="AM228" s="16">
        <f t="shared" si="117"/>
        <v>12.436249509611612</v>
      </c>
      <c r="AN228" s="15">
        <f t="shared" si="108"/>
        <v>3.3553001176932128E-2</v>
      </c>
      <c r="AO228" s="15" t="s">
        <v>41</v>
      </c>
      <c r="AP228" s="2">
        <v>2.89</v>
      </c>
      <c r="AQ228" s="2" t="s">
        <v>652</v>
      </c>
      <c r="AR228" s="2">
        <v>60</v>
      </c>
      <c r="AS228" s="2">
        <v>16</v>
      </c>
      <c r="AT228" s="2">
        <v>24</v>
      </c>
      <c r="AU228" s="2" t="s">
        <v>652</v>
      </c>
      <c r="AV228" s="16">
        <f t="shared" si="109"/>
        <v>100</v>
      </c>
      <c r="AW228" s="18">
        <v>0.99299999999999999</v>
      </c>
      <c r="AX228" s="13">
        <f t="shared" si="105"/>
        <v>9.9299999999999996E-3</v>
      </c>
      <c r="AY228" s="16" t="s">
        <v>750</v>
      </c>
      <c r="AZ228" s="16">
        <f t="shared" si="110"/>
        <v>125</v>
      </c>
      <c r="BA228" s="16" t="s">
        <v>55</v>
      </c>
      <c r="BB228" s="16">
        <f t="shared" si="111"/>
        <v>20.69868</v>
      </c>
      <c r="BC228" s="16">
        <f t="shared" si="112"/>
        <v>413.97359999999998</v>
      </c>
      <c r="BD228" s="18">
        <f t="shared" si="113"/>
        <v>2.2252659618075876</v>
      </c>
      <c r="BE228" s="16">
        <f t="shared" si="94"/>
        <v>224.09526302191216</v>
      </c>
      <c r="BF228" s="16">
        <f t="shared" si="95"/>
        <v>2.3504326764137424</v>
      </c>
      <c r="BG228" s="8">
        <f t="shared" si="96"/>
        <v>0.34738192490912356</v>
      </c>
      <c r="BH228" s="13" t="s">
        <v>782</v>
      </c>
      <c r="BI228" s="16">
        <f>10^1.4957</f>
        <v>31.311220745994902</v>
      </c>
      <c r="BJ228" s="16" t="s">
        <v>329</v>
      </c>
      <c r="BK228" s="8">
        <v>0.62839999999999996</v>
      </c>
      <c r="BL228" s="16">
        <f t="shared" si="114"/>
        <v>9.3857079264331134</v>
      </c>
      <c r="BM228" s="25">
        <f>'PFAS Properties'!$U$33</f>
        <v>48.1</v>
      </c>
      <c r="BN228" s="16">
        <f t="shared" si="115"/>
        <v>107.03529276294496</v>
      </c>
      <c r="BO228" s="24">
        <f t="shared" si="116"/>
        <v>2.2252659618075876</v>
      </c>
    </row>
    <row r="229" spans="1:67" s="14" customFormat="1" x14ac:dyDescent="0.3">
      <c r="A229" s="20">
        <v>235</v>
      </c>
      <c r="B229" s="2" t="s">
        <v>214</v>
      </c>
      <c r="C229" s="2">
        <v>2022</v>
      </c>
      <c r="D229" s="2" t="s">
        <v>201</v>
      </c>
      <c r="E229" s="10" t="s">
        <v>808</v>
      </c>
      <c r="F229" s="20" t="s">
        <v>29</v>
      </c>
      <c r="G229" s="2" t="s">
        <v>215</v>
      </c>
      <c r="H229" s="2" t="str">
        <f>'PFAS Properties'!$B$33</f>
        <v>PFOA</v>
      </c>
      <c r="I229" s="2" t="str">
        <f>'PFAS Properties'!$C$33</f>
        <v>PFCA</v>
      </c>
      <c r="J229" s="2" t="str">
        <f>'PFAS Properties'!$D$33</f>
        <v>C8HF15O2</v>
      </c>
      <c r="K229" s="25">
        <f>'PFAS Properties'!$P$33</f>
        <v>413.97359999999998</v>
      </c>
      <c r="L229" s="2">
        <f>'PFAS Properties'!$X$33</f>
        <v>-0.2</v>
      </c>
      <c r="M229" s="2" t="str">
        <f>'PFAS Properties'!$Y$33</f>
        <v>-</v>
      </c>
      <c r="N229" s="33">
        <v>0</v>
      </c>
      <c r="O229" s="33">
        <v>0</v>
      </c>
      <c r="P229" s="33">
        <v>0</v>
      </c>
      <c r="Q229" s="33">
        <f t="shared" si="99"/>
        <v>0.99999000009999905</v>
      </c>
      <c r="R229" s="33">
        <v>0</v>
      </c>
      <c r="S229" s="33">
        <f t="shared" si="100"/>
        <v>9.9999000009999908E-6</v>
      </c>
      <c r="T229" s="8">
        <f t="shared" si="103"/>
        <v>1</v>
      </c>
      <c r="U229" s="33">
        <f t="shared" si="88"/>
        <v>0</v>
      </c>
      <c r="V229" s="33">
        <f t="shared" si="89"/>
        <v>-0.99999000009999905</v>
      </c>
      <c r="W229" s="33">
        <f t="shared" si="90"/>
        <v>412.97360999990002</v>
      </c>
      <c r="X229" s="33">
        <v>96485</v>
      </c>
      <c r="Y229" s="16">
        <f t="shared" si="91"/>
        <v>-233.6324472638137</v>
      </c>
      <c r="Z229" s="16">
        <v>8</v>
      </c>
      <c r="AA229" s="16">
        <v>15</v>
      </c>
      <c r="AB229" s="8">
        <f t="shared" si="92"/>
        <v>0.33684210526315789</v>
      </c>
      <c r="AC229" s="16">
        <f t="shared" si="93"/>
        <v>68.844969824162703</v>
      </c>
      <c r="AD229" s="20">
        <f>'PFAS Properties'!$W$33</f>
        <v>7</v>
      </c>
      <c r="AE229" s="8">
        <f>'PFAS Properties'!$S$33</f>
        <v>2.6821450763738319</v>
      </c>
      <c r="AF229" s="15">
        <f>'PFAS Properties'!$V$33</f>
        <v>4.9000000000000004</v>
      </c>
      <c r="AG229" s="24">
        <v>4.8</v>
      </c>
      <c r="AH229" s="2" t="s">
        <v>216</v>
      </c>
      <c r="AI229" s="2">
        <v>8.3000000000000007</v>
      </c>
      <c r="AJ229" s="15">
        <f>AI229*1000/55.845</f>
        <v>148.62566030978601</v>
      </c>
      <c r="AK229" s="15">
        <f>AI229/10</f>
        <v>0.83000000000000007</v>
      </c>
      <c r="AL229" s="15">
        <v>7.85</v>
      </c>
      <c r="AM229" s="15">
        <f>AL229*1000/26.98</f>
        <v>290.95626389918459</v>
      </c>
      <c r="AN229" s="15">
        <f>AL229/10</f>
        <v>0.78499999999999992</v>
      </c>
      <c r="AO229" s="15" t="s">
        <v>217</v>
      </c>
      <c r="AP229" s="72">
        <v>15.34083666666667</v>
      </c>
      <c r="AQ229" s="70" t="s">
        <v>752</v>
      </c>
      <c r="AR229" s="16">
        <v>32</v>
      </c>
      <c r="AS229" s="16">
        <v>40</v>
      </c>
      <c r="AT229" s="16">
        <v>28</v>
      </c>
      <c r="AU229" s="2" t="s">
        <v>661</v>
      </c>
      <c r="AV229" s="16">
        <f t="shared" si="109"/>
        <v>100</v>
      </c>
      <c r="AW229" s="18">
        <v>4.9000000000000004</v>
      </c>
      <c r="AX229" s="13">
        <f t="shared" si="105"/>
        <v>4.9000000000000002E-2</v>
      </c>
      <c r="AY229" s="8" t="s">
        <v>218</v>
      </c>
      <c r="AZ229" s="16">
        <f>1.5/0.075</f>
        <v>20</v>
      </c>
      <c r="BA229" s="16" t="s">
        <v>55</v>
      </c>
      <c r="BB229" s="16">
        <v>10</v>
      </c>
      <c r="BC229" s="16" t="s">
        <v>55</v>
      </c>
      <c r="BD229" s="18">
        <v>4.2699999999999996</v>
      </c>
      <c r="BE229" s="15">
        <f t="shared" si="94"/>
        <v>87.142857142857125</v>
      </c>
      <c r="BF229" s="8">
        <f t="shared" si="95"/>
        <v>1.9402317949965102</v>
      </c>
      <c r="BG229" s="8">
        <f t="shared" si="96"/>
        <v>0.63042787502502384</v>
      </c>
      <c r="BH229" s="13" t="s">
        <v>380</v>
      </c>
      <c r="BI229" s="13"/>
      <c r="BJ229" s="13"/>
      <c r="BK229" s="13"/>
      <c r="BL229" s="13"/>
      <c r="BM229" s="17"/>
      <c r="BN229" s="17"/>
      <c r="BO229" s="2"/>
    </row>
    <row r="230" spans="1:67" s="14" customFormat="1" x14ac:dyDescent="0.3">
      <c r="A230" s="20">
        <v>236</v>
      </c>
      <c r="B230" s="2" t="s">
        <v>214</v>
      </c>
      <c r="C230" s="2">
        <v>2022</v>
      </c>
      <c r="D230" s="2" t="s">
        <v>201</v>
      </c>
      <c r="E230" s="10" t="s">
        <v>808</v>
      </c>
      <c r="F230" s="20" t="s">
        <v>29</v>
      </c>
      <c r="G230" s="2" t="s">
        <v>233</v>
      </c>
      <c r="H230" s="2" t="str">
        <f>'PFAS Properties'!$B$33</f>
        <v>PFOA</v>
      </c>
      <c r="I230" s="2" t="str">
        <f>'PFAS Properties'!$C$33</f>
        <v>PFCA</v>
      </c>
      <c r="J230" s="2" t="str">
        <f>'PFAS Properties'!$D$33</f>
        <v>C8HF15O2</v>
      </c>
      <c r="K230" s="25">
        <f>'PFAS Properties'!$P$33</f>
        <v>413.97359999999998</v>
      </c>
      <c r="L230" s="2">
        <f>'PFAS Properties'!$X$33</f>
        <v>-0.2</v>
      </c>
      <c r="M230" s="2" t="str">
        <f>'PFAS Properties'!$Y$33</f>
        <v>-</v>
      </c>
      <c r="N230" s="33">
        <v>0</v>
      </c>
      <c r="O230" s="33">
        <v>0</v>
      </c>
      <c r="P230" s="33">
        <v>0</v>
      </c>
      <c r="Q230" s="33">
        <f t="shared" si="99"/>
        <v>0.9999992056723962</v>
      </c>
      <c r="R230" s="33">
        <v>0</v>
      </c>
      <c r="S230" s="33">
        <f t="shared" si="100"/>
        <v>7.9432760376743655E-7</v>
      </c>
      <c r="T230" s="8">
        <f t="shared" si="103"/>
        <v>1</v>
      </c>
      <c r="U230" s="33">
        <f t="shared" si="88"/>
        <v>0</v>
      </c>
      <c r="V230" s="33">
        <f t="shared" si="89"/>
        <v>-0.9999992056723962</v>
      </c>
      <c r="W230" s="33">
        <f t="shared" si="90"/>
        <v>412.97360079432758</v>
      </c>
      <c r="X230" s="33">
        <v>96485</v>
      </c>
      <c r="Y230" s="16">
        <f t="shared" si="91"/>
        <v>-233.63460321366483</v>
      </c>
      <c r="Z230" s="16">
        <v>8</v>
      </c>
      <c r="AA230" s="16">
        <v>15</v>
      </c>
      <c r="AB230" s="8">
        <f t="shared" si="92"/>
        <v>0.33684210526315789</v>
      </c>
      <c r="AC230" s="16">
        <f t="shared" si="93"/>
        <v>68.844969824162703</v>
      </c>
      <c r="AD230" s="20">
        <f>'PFAS Properties'!$W$33</f>
        <v>7</v>
      </c>
      <c r="AE230" s="8">
        <f>'PFAS Properties'!$S$33</f>
        <v>2.6821450763738319</v>
      </c>
      <c r="AF230" s="15">
        <f>'PFAS Properties'!$V$33</f>
        <v>4.9000000000000004</v>
      </c>
      <c r="AG230" s="24">
        <v>5.9</v>
      </c>
      <c r="AH230" s="2" t="s">
        <v>216</v>
      </c>
      <c r="AI230" s="2">
        <v>1.4</v>
      </c>
      <c r="AJ230" s="15">
        <f>AI230*1000/55.845</f>
        <v>25.069388485988004</v>
      </c>
      <c r="AK230" s="15">
        <f>AI230/10</f>
        <v>0.13999999999999999</v>
      </c>
      <c r="AL230" s="15">
        <v>0.92</v>
      </c>
      <c r="AM230" s="15">
        <f>AL230*1000/26.98</f>
        <v>34.099332839140104</v>
      </c>
      <c r="AN230" s="15">
        <f>AL230/10</f>
        <v>9.1999999999999998E-2</v>
      </c>
      <c r="AO230" s="15" t="s">
        <v>217</v>
      </c>
      <c r="AP230" s="72">
        <v>15.34083666666667</v>
      </c>
      <c r="AQ230" s="70" t="s">
        <v>752</v>
      </c>
      <c r="AR230" s="16">
        <v>37</v>
      </c>
      <c r="AS230" s="16">
        <v>22</v>
      </c>
      <c r="AT230" s="16">
        <v>41</v>
      </c>
      <c r="AU230" s="2" t="s">
        <v>661</v>
      </c>
      <c r="AV230" s="16">
        <f t="shared" si="109"/>
        <v>100</v>
      </c>
      <c r="AW230" s="18">
        <v>2.6</v>
      </c>
      <c r="AX230" s="13">
        <f t="shared" si="105"/>
        <v>2.6000000000000002E-2</v>
      </c>
      <c r="AY230" s="8" t="s">
        <v>218</v>
      </c>
      <c r="AZ230" s="16">
        <f>1.5/0.075</f>
        <v>20</v>
      </c>
      <c r="BA230" s="16" t="s">
        <v>55</v>
      </c>
      <c r="BB230" s="16">
        <v>10</v>
      </c>
      <c r="BC230" s="16" t="s">
        <v>55</v>
      </c>
      <c r="BD230" s="18">
        <v>3.43</v>
      </c>
      <c r="BE230" s="15">
        <f t="shared" si="94"/>
        <v>131.92307692307691</v>
      </c>
      <c r="BF230" s="8">
        <f t="shared" si="95"/>
        <v>2.1203207720719526</v>
      </c>
      <c r="BG230" s="8">
        <f t="shared" si="96"/>
        <v>0.53529412004277055</v>
      </c>
      <c r="BH230" s="13" t="s">
        <v>380</v>
      </c>
      <c r="BI230" s="13"/>
      <c r="BJ230" s="13"/>
      <c r="BK230" s="13"/>
      <c r="BL230" s="13"/>
      <c r="BM230" s="17"/>
      <c r="BN230" s="17"/>
      <c r="BO230" s="2"/>
    </row>
    <row r="231" spans="1:67" s="14" customFormat="1" x14ac:dyDescent="0.3">
      <c r="A231" s="20">
        <v>237</v>
      </c>
      <c r="B231" s="2" t="s">
        <v>220</v>
      </c>
      <c r="C231" s="2">
        <v>2011</v>
      </c>
      <c r="D231" s="2" t="s">
        <v>227</v>
      </c>
      <c r="E231" s="10" t="s">
        <v>226</v>
      </c>
      <c r="F231" s="20" t="s">
        <v>63</v>
      </c>
      <c r="G231" s="2" t="s">
        <v>94</v>
      </c>
      <c r="H231" s="2" t="str">
        <f>'PFAS Properties'!$B$33</f>
        <v>PFOA</v>
      </c>
      <c r="I231" s="2" t="str">
        <f>'PFAS Properties'!$C$33</f>
        <v>PFCA</v>
      </c>
      <c r="J231" s="2" t="str">
        <f>'PFAS Properties'!$D$33</f>
        <v>C8HF15O2</v>
      </c>
      <c r="K231" s="25">
        <f>'PFAS Properties'!$P$33</f>
        <v>413.97359999999998</v>
      </c>
      <c r="L231" s="2">
        <f>'PFAS Properties'!$X$33</f>
        <v>-0.2</v>
      </c>
      <c r="M231" s="2" t="str">
        <f>'PFAS Properties'!$Y$33</f>
        <v>-</v>
      </c>
      <c r="N231" s="33">
        <v>0</v>
      </c>
      <c r="O231" s="33">
        <v>0</v>
      </c>
      <c r="P231" s="33">
        <v>0</v>
      </c>
      <c r="Q231" s="33">
        <f t="shared" si="99"/>
        <v>0.99999986476162572</v>
      </c>
      <c r="R231" s="33">
        <v>0</v>
      </c>
      <c r="S231" s="33">
        <f t="shared" si="100"/>
        <v>1.352383742358444E-7</v>
      </c>
      <c r="T231" s="8">
        <f t="shared" si="103"/>
        <v>1</v>
      </c>
      <c r="U231" s="33">
        <f t="shared" si="88"/>
        <v>0</v>
      </c>
      <c r="V231" s="33">
        <f t="shared" si="89"/>
        <v>-0.99999986476162572</v>
      </c>
      <c r="W231" s="33">
        <f t="shared" si="90"/>
        <v>412.97360013523837</v>
      </c>
      <c r="X231" s="33">
        <v>96485</v>
      </c>
      <c r="Y231" s="16">
        <f t="shared" si="91"/>
        <v>-233.63475757270942</v>
      </c>
      <c r="Z231" s="16">
        <v>8</v>
      </c>
      <c r="AA231" s="16">
        <v>15</v>
      </c>
      <c r="AB231" s="8">
        <f t="shared" si="92"/>
        <v>0.33684210526315789</v>
      </c>
      <c r="AC231" s="16">
        <f t="shared" si="93"/>
        <v>68.844969824162703</v>
      </c>
      <c r="AD231" s="20">
        <f>'PFAS Properties'!$W$33</f>
        <v>7</v>
      </c>
      <c r="AE231" s="8">
        <f>'PFAS Properties'!$S$33</f>
        <v>2.6821450763738319</v>
      </c>
      <c r="AF231" s="15">
        <f>'PFAS Properties'!$V$33</f>
        <v>4.9000000000000004</v>
      </c>
      <c r="AG231" s="124">
        <v>6.6688999999999998</v>
      </c>
      <c r="AH231" s="70" t="s">
        <v>752</v>
      </c>
      <c r="AI231" s="2" t="s">
        <v>661</v>
      </c>
      <c r="AJ231" s="2" t="s">
        <v>661</v>
      </c>
      <c r="AK231" s="2" t="s">
        <v>661</v>
      </c>
      <c r="AL231" s="2" t="s">
        <v>661</v>
      </c>
      <c r="AM231" s="2" t="s">
        <v>661</v>
      </c>
      <c r="AN231" s="2" t="s">
        <v>661</v>
      </c>
      <c r="AO231" s="2" t="s">
        <v>661</v>
      </c>
      <c r="AP231" s="72">
        <v>11.78125</v>
      </c>
      <c r="AQ231" s="70" t="s">
        <v>752</v>
      </c>
      <c r="AR231" s="71">
        <v>30.648</v>
      </c>
      <c r="AS231" s="71">
        <v>36.685000000000002</v>
      </c>
      <c r="AT231" s="71">
        <v>33.302500000000002</v>
      </c>
      <c r="AU231" s="70" t="s">
        <v>752</v>
      </c>
      <c r="AV231" s="16">
        <f t="shared" si="109"/>
        <v>100.63550000000001</v>
      </c>
      <c r="AW231" s="18">
        <v>0.21</v>
      </c>
      <c r="AX231" s="13">
        <f t="shared" si="105"/>
        <v>2.0999999999999999E-3</v>
      </c>
      <c r="AY231" s="13" t="s">
        <v>95</v>
      </c>
      <c r="AZ231" s="16">
        <f>1/0.005</f>
        <v>200</v>
      </c>
      <c r="BA231" s="16" t="s">
        <v>55</v>
      </c>
      <c r="BB231" s="16">
        <v>100</v>
      </c>
      <c r="BC231" s="16" t="s">
        <v>55</v>
      </c>
      <c r="BD231" s="18">
        <v>1.6</v>
      </c>
      <c r="BE231" s="15">
        <f t="shared" si="94"/>
        <v>761.90476190476204</v>
      </c>
      <c r="BF231" s="8">
        <f t="shared" si="95"/>
        <v>2.8819006879220055</v>
      </c>
      <c r="BG231" s="8">
        <f t="shared" si="96"/>
        <v>0.20411998265592479</v>
      </c>
      <c r="BH231" s="13" t="s">
        <v>840</v>
      </c>
      <c r="BI231" s="13"/>
      <c r="BJ231" s="13"/>
      <c r="BK231" s="13"/>
      <c r="BL231" s="13"/>
      <c r="BM231" s="17"/>
      <c r="BN231" s="17"/>
      <c r="BO231" s="2"/>
    </row>
    <row r="232" spans="1:67" s="14" customFormat="1" x14ac:dyDescent="0.3">
      <c r="A232" s="20">
        <v>238</v>
      </c>
      <c r="B232" s="2" t="s">
        <v>220</v>
      </c>
      <c r="C232" s="2">
        <v>2011</v>
      </c>
      <c r="D232" s="2" t="s">
        <v>227</v>
      </c>
      <c r="E232" s="10" t="s">
        <v>226</v>
      </c>
      <c r="F232" s="20" t="s">
        <v>63</v>
      </c>
      <c r="G232" s="2" t="s">
        <v>96</v>
      </c>
      <c r="H232" s="2" t="str">
        <f>'PFAS Properties'!$B$33</f>
        <v>PFOA</v>
      </c>
      <c r="I232" s="2" t="str">
        <f>'PFAS Properties'!$C$33</f>
        <v>PFCA</v>
      </c>
      <c r="J232" s="2" t="str">
        <f>'PFAS Properties'!$D$33</f>
        <v>C8HF15O2</v>
      </c>
      <c r="K232" s="25">
        <f>'PFAS Properties'!$P$33</f>
        <v>413.97359999999998</v>
      </c>
      <c r="L232" s="2">
        <f>'PFAS Properties'!$X$33</f>
        <v>-0.2</v>
      </c>
      <c r="M232" s="2" t="str">
        <f>'PFAS Properties'!$Y$33</f>
        <v>-</v>
      </c>
      <c r="N232" s="33">
        <v>0</v>
      </c>
      <c r="O232" s="33">
        <v>0</v>
      </c>
      <c r="P232" s="33">
        <v>0</v>
      </c>
      <c r="Q232" s="33">
        <f t="shared" si="99"/>
        <v>0.99999992399363424</v>
      </c>
      <c r="R232" s="33">
        <v>0</v>
      </c>
      <c r="S232" s="33">
        <f t="shared" si="100"/>
        <v>7.6006365712330383E-8</v>
      </c>
      <c r="T232" s="8">
        <f t="shared" si="103"/>
        <v>1</v>
      </c>
      <c r="U232" s="33">
        <f t="shared" si="88"/>
        <v>0</v>
      </c>
      <c r="V232" s="33">
        <f t="shared" si="89"/>
        <v>-0.99999992399363424</v>
      </c>
      <c r="W232" s="33">
        <f t="shared" si="90"/>
        <v>412.97360007600628</v>
      </c>
      <c r="X232" s="33">
        <v>96485</v>
      </c>
      <c r="Y232" s="16">
        <f t="shared" si="91"/>
        <v>-233.63477144487709</v>
      </c>
      <c r="Z232" s="16">
        <v>8</v>
      </c>
      <c r="AA232" s="16">
        <v>15</v>
      </c>
      <c r="AB232" s="8">
        <f t="shared" si="92"/>
        <v>0.33684210526315789</v>
      </c>
      <c r="AC232" s="16">
        <f t="shared" si="93"/>
        <v>68.844969824162703</v>
      </c>
      <c r="AD232" s="20">
        <f>'PFAS Properties'!$W$33</f>
        <v>7</v>
      </c>
      <c r="AE232" s="8">
        <f>'PFAS Properties'!$S$33</f>
        <v>2.6821450763738319</v>
      </c>
      <c r="AF232" s="15">
        <f>'PFAS Properties'!$V$33</f>
        <v>4.9000000000000004</v>
      </c>
      <c r="AG232" s="124">
        <v>6.919150000000001</v>
      </c>
      <c r="AH232" s="70" t="s">
        <v>752</v>
      </c>
      <c r="AI232" s="2" t="s">
        <v>661</v>
      </c>
      <c r="AJ232" s="2" t="s">
        <v>661</v>
      </c>
      <c r="AK232" s="2" t="s">
        <v>661</v>
      </c>
      <c r="AL232" s="2" t="s">
        <v>661</v>
      </c>
      <c r="AM232" s="2" t="s">
        <v>661</v>
      </c>
      <c r="AN232" s="2" t="s">
        <v>661</v>
      </c>
      <c r="AO232" s="2" t="s">
        <v>661</v>
      </c>
      <c r="AP232" s="72">
        <v>12.094250000000001</v>
      </c>
      <c r="AQ232" s="70" t="s">
        <v>752</v>
      </c>
      <c r="AR232" s="71">
        <v>38.112499999999997</v>
      </c>
      <c r="AS232" s="71">
        <v>31.469200000000001</v>
      </c>
      <c r="AT232" s="71">
        <v>29.446650000000002</v>
      </c>
      <c r="AU232" s="70" t="s">
        <v>752</v>
      </c>
      <c r="AV232" s="16">
        <f t="shared" si="109"/>
        <v>99.028350000000003</v>
      </c>
      <c r="AW232" s="18">
        <v>0.43</v>
      </c>
      <c r="AX232" s="13">
        <f t="shared" si="105"/>
        <v>4.3E-3</v>
      </c>
      <c r="AY232" s="13" t="s">
        <v>95</v>
      </c>
      <c r="AZ232" s="16">
        <f>1/0.005</f>
        <v>200</v>
      </c>
      <c r="BA232" s="16" t="s">
        <v>55</v>
      </c>
      <c r="BB232" s="16">
        <v>100</v>
      </c>
      <c r="BC232" s="16" t="s">
        <v>55</v>
      </c>
      <c r="BD232" s="18">
        <v>1.8</v>
      </c>
      <c r="BE232" s="15">
        <f t="shared" si="94"/>
        <v>418.60465116279073</v>
      </c>
      <c r="BF232" s="8">
        <f t="shared" si="95"/>
        <v>2.6218040495237194</v>
      </c>
      <c r="BG232" s="8">
        <f t="shared" si="96"/>
        <v>0.25527250510330607</v>
      </c>
      <c r="BH232" s="13" t="s">
        <v>840</v>
      </c>
      <c r="BI232" s="13"/>
      <c r="BJ232" s="13"/>
      <c r="BK232" s="13"/>
      <c r="BL232" s="13"/>
      <c r="BM232" s="17"/>
      <c r="BN232" s="17"/>
      <c r="BO232" s="2"/>
    </row>
    <row r="233" spans="1:67" s="14" customFormat="1" x14ac:dyDescent="0.3">
      <c r="A233" s="20">
        <v>239</v>
      </c>
      <c r="B233" s="2" t="s">
        <v>220</v>
      </c>
      <c r="C233" s="2">
        <v>2011</v>
      </c>
      <c r="D233" s="2" t="s">
        <v>227</v>
      </c>
      <c r="E233" s="10" t="s">
        <v>226</v>
      </c>
      <c r="F233" s="20" t="s">
        <v>63</v>
      </c>
      <c r="G233" s="2" t="s">
        <v>97</v>
      </c>
      <c r="H233" s="2" t="str">
        <f>'PFAS Properties'!$B$33</f>
        <v>PFOA</v>
      </c>
      <c r="I233" s="2" t="str">
        <f>'PFAS Properties'!$C$33</f>
        <v>PFCA</v>
      </c>
      <c r="J233" s="2" t="str">
        <f>'PFAS Properties'!$D$33</f>
        <v>C8HF15O2</v>
      </c>
      <c r="K233" s="25">
        <f>'PFAS Properties'!$P$33</f>
        <v>413.97359999999998</v>
      </c>
      <c r="L233" s="2">
        <f>'PFAS Properties'!$X$33</f>
        <v>-0.2</v>
      </c>
      <c r="M233" s="2" t="str">
        <f>'PFAS Properties'!$Y$33</f>
        <v>-</v>
      </c>
      <c r="N233" s="33">
        <v>0</v>
      </c>
      <c r="O233" s="33">
        <v>0</v>
      </c>
      <c r="P233" s="33">
        <v>0</v>
      </c>
      <c r="Q233" s="33">
        <f t="shared" si="99"/>
        <v>0.99999993076113025</v>
      </c>
      <c r="R233" s="33">
        <v>0</v>
      </c>
      <c r="S233" s="33">
        <f t="shared" si="100"/>
        <v>6.92388697593328E-8</v>
      </c>
      <c r="T233" s="8">
        <f t="shared" si="103"/>
        <v>1</v>
      </c>
      <c r="U233" s="33">
        <f t="shared" si="88"/>
        <v>0</v>
      </c>
      <c r="V233" s="33">
        <f t="shared" si="89"/>
        <v>-0.99999993076113025</v>
      </c>
      <c r="W233" s="33">
        <f t="shared" si="90"/>
        <v>412.9736000692389</v>
      </c>
      <c r="X233" s="33">
        <v>96485</v>
      </c>
      <c r="Y233" s="16">
        <f t="shared" si="91"/>
        <v>-233.63477302982812</v>
      </c>
      <c r="Z233" s="16">
        <v>8</v>
      </c>
      <c r="AA233" s="16">
        <v>15</v>
      </c>
      <c r="AB233" s="8">
        <f t="shared" si="92"/>
        <v>0.33684210526315789</v>
      </c>
      <c r="AC233" s="16">
        <f t="shared" si="93"/>
        <v>68.844969824162703</v>
      </c>
      <c r="AD233" s="20">
        <f>'PFAS Properties'!$W$33</f>
        <v>7</v>
      </c>
      <c r="AE233" s="8">
        <f>'PFAS Properties'!$S$33</f>
        <v>2.6821450763738319</v>
      </c>
      <c r="AF233" s="15">
        <f>'PFAS Properties'!$V$33</f>
        <v>4.9000000000000004</v>
      </c>
      <c r="AG233" s="124">
        <v>6.959649999999999</v>
      </c>
      <c r="AH233" s="70" t="s">
        <v>752</v>
      </c>
      <c r="AI233" s="2" t="s">
        <v>661</v>
      </c>
      <c r="AJ233" s="2" t="s">
        <v>661</v>
      </c>
      <c r="AK233" s="2" t="s">
        <v>661</v>
      </c>
      <c r="AL233" s="2" t="s">
        <v>661</v>
      </c>
      <c r="AM233" s="2" t="s">
        <v>661</v>
      </c>
      <c r="AN233" s="2" t="s">
        <v>661</v>
      </c>
      <c r="AO233" s="2" t="s">
        <v>661</v>
      </c>
      <c r="AP233" s="72">
        <v>10.6485</v>
      </c>
      <c r="AQ233" s="70" t="s">
        <v>752</v>
      </c>
      <c r="AR233" s="71">
        <v>38.113900000000001</v>
      </c>
      <c r="AS233" s="71">
        <v>32.762700000000002</v>
      </c>
      <c r="AT233" s="71">
        <v>28.4998</v>
      </c>
      <c r="AU233" s="70" t="s">
        <v>752</v>
      </c>
      <c r="AV233" s="16">
        <f t="shared" si="109"/>
        <v>99.37639999999999</v>
      </c>
      <c r="AW233" s="18">
        <v>0.54999999999999993</v>
      </c>
      <c r="AX233" s="13">
        <f t="shared" si="105"/>
        <v>5.4999999999999997E-3</v>
      </c>
      <c r="AY233" s="13" t="s">
        <v>95</v>
      </c>
      <c r="AZ233" s="16">
        <f>1/0.005</f>
        <v>200</v>
      </c>
      <c r="BA233" s="16" t="s">
        <v>55</v>
      </c>
      <c r="BB233" s="16">
        <v>100</v>
      </c>
      <c r="BC233" s="16" t="s">
        <v>55</v>
      </c>
      <c r="BD233" s="18">
        <v>2.65</v>
      </c>
      <c r="BE233" s="15">
        <f t="shared" si="94"/>
        <v>481.81818181818181</v>
      </c>
      <c r="BF233" s="8">
        <f t="shared" si="95"/>
        <v>2.6828831844425638</v>
      </c>
      <c r="BG233" s="8">
        <f t="shared" si="96"/>
        <v>0.42324587393680785</v>
      </c>
      <c r="BH233" s="13" t="s">
        <v>840</v>
      </c>
      <c r="BI233" s="13"/>
      <c r="BJ233" s="13"/>
      <c r="BK233" s="13"/>
      <c r="BL233" s="13"/>
      <c r="BM233" s="17"/>
      <c r="BN233" s="17"/>
      <c r="BO233" s="2"/>
    </row>
    <row r="234" spans="1:67" s="14" customFormat="1" x14ac:dyDescent="0.3">
      <c r="A234" s="20">
        <v>240</v>
      </c>
      <c r="B234" s="2" t="s">
        <v>228</v>
      </c>
      <c r="C234" s="2">
        <v>2017</v>
      </c>
      <c r="D234" s="2" t="s">
        <v>229</v>
      </c>
      <c r="E234" s="10" t="s">
        <v>809</v>
      </c>
      <c r="F234" s="20" t="s">
        <v>29</v>
      </c>
      <c r="G234" s="2" t="s">
        <v>98</v>
      </c>
      <c r="H234" s="2" t="str">
        <f>'PFAS Properties'!$B$33</f>
        <v>PFOA</v>
      </c>
      <c r="I234" s="2" t="str">
        <f>'PFAS Properties'!$C$33</f>
        <v>PFCA</v>
      </c>
      <c r="J234" s="2" t="str">
        <f>'PFAS Properties'!$D$33</f>
        <v>C8HF15O2</v>
      </c>
      <c r="K234" s="25">
        <f>'PFAS Properties'!$P$33</f>
        <v>413.97359999999998</v>
      </c>
      <c r="L234" s="2">
        <f>'PFAS Properties'!$X$33</f>
        <v>-0.2</v>
      </c>
      <c r="M234" s="2" t="str">
        <f>'PFAS Properties'!$Y$33</f>
        <v>-</v>
      </c>
      <c r="N234" s="33">
        <v>0</v>
      </c>
      <c r="O234" s="33">
        <v>0</v>
      </c>
      <c r="P234" s="33">
        <v>0</v>
      </c>
      <c r="Q234" s="33">
        <f t="shared" si="99"/>
        <v>0.99999912903716859</v>
      </c>
      <c r="R234" s="33">
        <v>0</v>
      </c>
      <c r="S234" s="33">
        <f t="shared" si="100"/>
        <v>8.709628313791642E-7</v>
      </c>
      <c r="T234" s="8">
        <f t="shared" si="103"/>
        <v>1</v>
      </c>
      <c r="U234" s="33">
        <f t="shared" si="88"/>
        <v>0</v>
      </c>
      <c r="V234" s="33">
        <f t="shared" si="89"/>
        <v>-0.99999912903716859</v>
      </c>
      <c r="W234" s="33">
        <f t="shared" si="90"/>
        <v>412.9736008709628</v>
      </c>
      <c r="X234" s="33">
        <v>96485</v>
      </c>
      <c r="Y234" s="16">
        <f t="shared" si="91"/>
        <v>-233.63458526565421</v>
      </c>
      <c r="Z234" s="16">
        <v>8</v>
      </c>
      <c r="AA234" s="16">
        <v>15</v>
      </c>
      <c r="AB234" s="8">
        <f t="shared" si="92"/>
        <v>0.33684210526315789</v>
      </c>
      <c r="AC234" s="16">
        <f t="shared" si="93"/>
        <v>68.844969824162703</v>
      </c>
      <c r="AD234" s="20">
        <f>'PFAS Properties'!$W$33</f>
        <v>7</v>
      </c>
      <c r="AE234" s="8">
        <f>'PFAS Properties'!$S$33</f>
        <v>2.6821450763738319</v>
      </c>
      <c r="AF234" s="15">
        <f>'PFAS Properties'!$V$33</f>
        <v>4.9000000000000004</v>
      </c>
      <c r="AG234" s="24">
        <v>5.86</v>
      </c>
      <c r="AH234" s="2" t="s">
        <v>661</v>
      </c>
      <c r="AI234" s="16">
        <f>3.21*2*55.84*1000/(100*159.69)</f>
        <v>22.449295510050725</v>
      </c>
      <c r="AJ234" s="16">
        <f t="shared" ref="AJ234:AJ243" si="118">AI234*1000/55.845</f>
        <v>401.99293598443415</v>
      </c>
      <c r="AK234" s="16">
        <f t="shared" ref="AK234:AK246" si="119">AI234/10</f>
        <v>2.2449295510050726</v>
      </c>
      <c r="AL234" s="16">
        <f>11.8*27*1000/(100*78)</f>
        <v>40.846153846153847</v>
      </c>
      <c r="AM234" s="16">
        <f t="shared" ref="AM234:AM243" si="120">AL234*1000/26.98</f>
        <v>1513.9419513029593</v>
      </c>
      <c r="AN234" s="16">
        <f t="shared" ref="AN234:AN246" si="121">AL234/10</f>
        <v>4.0846153846153843</v>
      </c>
      <c r="AO234" s="2" t="s">
        <v>99</v>
      </c>
      <c r="AP234" s="16">
        <v>10.3</v>
      </c>
      <c r="AQ234" s="16" t="s">
        <v>689</v>
      </c>
      <c r="AR234" s="16">
        <v>36.9</v>
      </c>
      <c r="AS234" s="16">
        <v>27.7</v>
      </c>
      <c r="AT234" s="16">
        <v>35.4</v>
      </c>
      <c r="AU234" s="16" t="s">
        <v>664</v>
      </c>
      <c r="AV234" s="16">
        <f t="shared" si="109"/>
        <v>100</v>
      </c>
      <c r="AW234" s="18">
        <v>0.52</v>
      </c>
      <c r="AX234" s="13">
        <f t="shared" si="105"/>
        <v>5.1999999999999998E-3</v>
      </c>
      <c r="AY234" s="13" t="s">
        <v>100</v>
      </c>
      <c r="AZ234" s="16">
        <f t="shared" ref="AZ234:AZ243" si="122">0.05/0.02</f>
        <v>2.5</v>
      </c>
      <c r="BA234" s="16" t="s">
        <v>55</v>
      </c>
      <c r="BB234" s="16">
        <v>10</v>
      </c>
      <c r="BC234" s="16">
        <v>500</v>
      </c>
      <c r="BD234" s="18">
        <v>0.48699999999999999</v>
      </c>
      <c r="BE234" s="15">
        <f t="shared" si="94"/>
        <v>93.65384615384616</v>
      </c>
      <c r="BF234" s="8">
        <f t="shared" si="95"/>
        <v>1.9715256175798352</v>
      </c>
      <c r="BG234" s="8">
        <f t="shared" si="96"/>
        <v>-0.3124710387853657</v>
      </c>
      <c r="BH234" s="13" t="s">
        <v>837</v>
      </c>
      <c r="BI234" s="13"/>
      <c r="BJ234" s="13"/>
      <c r="BK234" s="8"/>
      <c r="BL234" s="8"/>
      <c r="BM234" s="18"/>
      <c r="BN234" s="8"/>
      <c r="BO234" s="24"/>
    </row>
    <row r="235" spans="1:67" s="14" customFormat="1" x14ac:dyDescent="0.3">
      <c r="A235" s="20">
        <v>241</v>
      </c>
      <c r="B235" s="2" t="s">
        <v>228</v>
      </c>
      <c r="C235" s="2">
        <v>2017</v>
      </c>
      <c r="D235" s="2" t="s">
        <v>229</v>
      </c>
      <c r="E235" s="10" t="s">
        <v>809</v>
      </c>
      <c r="F235" s="20" t="s">
        <v>29</v>
      </c>
      <c r="G235" s="2" t="s">
        <v>101</v>
      </c>
      <c r="H235" s="2" t="str">
        <f>'PFAS Properties'!$B$33</f>
        <v>PFOA</v>
      </c>
      <c r="I235" s="2" t="str">
        <f>'PFAS Properties'!$C$33</f>
        <v>PFCA</v>
      </c>
      <c r="J235" s="2" t="str">
        <f>'PFAS Properties'!$D$33</f>
        <v>C8HF15O2</v>
      </c>
      <c r="K235" s="25">
        <f>'PFAS Properties'!$P$33</f>
        <v>413.97359999999998</v>
      </c>
      <c r="L235" s="2">
        <f>'PFAS Properties'!$X$33</f>
        <v>-0.2</v>
      </c>
      <c r="M235" s="2" t="str">
        <f>'PFAS Properties'!$Y$33</f>
        <v>-</v>
      </c>
      <c r="N235" s="33">
        <v>0</v>
      </c>
      <c r="O235" s="33">
        <v>0</v>
      </c>
      <c r="P235" s="33">
        <v>0</v>
      </c>
      <c r="Q235" s="33">
        <f t="shared" si="99"/>
        <v>0.99999994751925669</v>
      </c>
      <c r="R235" s="33">
        <v>0</v>
      </c>
      <c r="S235" s="33">
        <f t="shared" si="100"/>
        <v>5.2480743270748622E-8</v>
      </c>
      <c r="T235" s="8">
        <f t="shared" si="103"/>
        <v>1</v>
      </c>
      <c r="U235" s="33">
        <f t="shared" si="88"/>
        <v>0</v>
      </c>
      <c r="V235" s="33">
        <f t="shared" si="89"/>
        <v>-0.99999994751925669</v>
      </c>
      <c r="W235" s="33">
        <f t="shared" si="90"/>
        <v>412.97360005248072</v>
      </c>
      <c r="X235" s="33">
        <v>96485</v>
      </c>
      <c r="Y235" s="16">
        <f t="shared" si="91"/>
        <v>-233.63477695459025</v>
      </c>
      <c r="Z235" s="16">
        <v>8</v>
      </c>
      <c r="AA235" s="16">
        <v>15</v>
      </c>
      <c r="AB235" s="8">
        <f t="shared" si="92"/>
        <v>0.33684210526315789</v>
      </c>
      <c r="AC235" s="16">
        <f t="shared" si="93"/>
        <v>68.844969824162703</v>
      </c>
      <c r="AD235" s="20">
        <f>'PFAS Properties'!$W$33</f>
        <v>7</v>
      </c>
      <c r="AE235" s="8">
        <f>'PFAS Properties'!$S$33</f>
        <v>2.6821450763738319</v>
      </c>
      <c r="AF235" s="15">
        <f>'PFAS Properties'!$V$33</f>
        <v>4.9000000000000004</v>
      </c>
      <c r="AG235" s="24">
        <v>7.08</v>
      </c>
      <c r="AH235" s="2" t="s">
        <v>661</v>
      </c>
      <c r="AI235" s="16">
        <f>8.31*2*55.84*1000/(100*159.69)</f>
        <v>58.116400526019163</v>
      </c>
      <c r="AJ235" s="16">
        <f t="shared" si="118"/>
        <v>1040.67330156718</v>
      </c>
      <c r="AK235" s="16">
        <f t="shared" si="119"/>
        <v>5.8116400526019163</v>
      </c>
      <c r="AL235" s="16">
        <f>21.4*27*1000/(100*78)</f>
        <v>74.07692307692308</v>
      </c>
      <c r="AM235" s="16">
        <f t="shared" si="120"/>
        <v>2745.6235388036721</v>
      </c>
      <c r="AN235" s="16">
        <f t="shared" si="121"/>
        <v>7.407692307692308</v>
      </c>
      <c r="AO235" s="2" t="s">
        <v>99</v>
      </c>
      <c r="AP235" s="16">
        <v>7.26</v>
      </c>
      <c r="AQ235" s="16" t="s">
        <v>689</v>
      </c>
      <c r="AR235" s="16">
        <v>59.5</v>
      </c>
      <c r="AS235" s="16">
        <v>29.9</v>
      </c>
      <c r="AT235" s="16">
        <v>10.7</v>
      </c>
      <c r="AU235" s="16" t="s">
        <v>664</v>
      </c>
      <c r="AV235" s="16">
        <f t="shared" si="109"/>
        <v>100.10000000000001</v>
      </c>
      <c r="AW235" s="18">
        <v>1.05</v>
      </c>
      <c r="AX235" s="13">
        <f t="shared" si="105"/>
        <v>1.0500000000000001E-2</v>
      </c>
      <c r="AY235" s="13" t="s">
        <v>100</v>
      </c>
      <c r="AZ235" s="16">
        <f t="shared" si="122"/>
        <v>2.5</v>
      </c>
      <c r="BA235" s="16" t="s">
        <v>55</v>
      </c>
      <c r="BB235" s="16">
        <v>10</v>
      </c>
      <c r="BC235" s="16">
        <v>500</v>
      </c>
      <c r="BD235" s="18">
        <v>0.63900000000000001</v>
      </c>
      <c r="BE235" s="15">
        <f t="shared" si="94"/>
        <v>60.857142857142854</v>
      </c>
      <c r="BF235" s="8">
        <f t="shared" si="95"/>
        <v>1.7843115590884622</v>
      </c>
      <c r="BG235" s="8">
        <f t="shared" si="96"/>
        <v>-0.19449914184159983</v>
      </c>
      <c r="BH235" s="13" t="s">
        <v>837</v>
      </c>
      <c r="BI235" s="13"/>
      <c r="BJ235" s="13"/>
      <c r="BK235" s="8"/>
      <c r="BL235" s="8"/>
      <c r="BM235" s="18"/>
      <c r="BN235" s="8"/>
      <c r="BO235" s="24"/>
    </row>
    <row r="236" spans="1:67" s="14" customFormat="1" x14ac:dyDescent="0.3">
      <c r="A236" s="20">
        <v>242</v>
      </c>
      <c r="B236" s="2" t="s">
        <v>228</v>
      </c>
      <c r="C236" s="2">
        <v>2017</v>
      </c>
      <c r="D236" s="2" t="s">
        <v>229</v>
      </c>
      <c r="E236" s="10" t="s">
        <v>809</v>
      </c>
      <c r="F236" s="20" t="s">
        <v>29</v>
      </c>
      <c r="G236" s="2" t="s">
        <v>102</v>
      </c>
      <c r="H236" s="2" t="str">
        <f>'PFAS Properties'!$B$33</f>
        <v>PFOA</v>
      </c>
      <c r="I236" s="2" t="str">
        <f>'PFAS Properties'!$C$33</f>
        <v>PFCA</v>
      </c>
      <c r="J236" s="2" t="str">
        <f>'PFAS Properties'!$D$33</f>
        <v>C8HF15O2</v>
      </c>
      <c r="K236" s="25">
        <f>'PFAS Properties'!$P$33</f>
        <v>413.97359999999998</v>
      </c>
      <c r="L236" s="2">
        <f>'PFAS Properties'!$X$33</f>
        <v>-0.2</v>
      </c>
      <c r="M236" s="2" t="str">
        <f>'PFAS Properties'!$Y$33</f>
        <v>-</v>
      </c>
      <c r="N236" s="33">
        <v>0</v>
      </c>
      <c r="O236" s="33">
        <v>0</v>
      </c>
      <c r="P236" s="33">
        <v>0</v>
      </c>
      <c r="Q236" s="33">
        <f t="shared" si="99"/>
        <v>0.99999999837818987</v>
      </c>
      <c r="R236" s="33">
        <v>0</v>
      </c>
      <c r="S236" s="33">
        <f t="shared" si="100"/>
        <v>1.6218100947286599E-9</v>
      </c>
      <c r="T236" s="8">
        <f t="shared" si="103"/>
        <v>1</v>
      </c>
      <c r="U236" s="33">
        <f t="shared" si="88"/>
        <v>0</v>
      </c>
      <c r="V236" s="33">
        <f t="shared" si="89"/>
        <v>-0.99999999837818987</v>
      </c>
      <c r="W236" s="33">
        <f t="shared" si="90"/>
        <v>412.97360000162178</v>
      </c>
      <c r="X236" s="33">
        <v>96485</v>
      </c>
      <c r="Y236" s="16">
        <f t="shared" si="91"/>
        <v>-233.63478886577917</v>
      </c>
      <c r="Z236" s="16">
        <v>8</v>
      </c>
      <c r="AA236" s="16">
        <v>15</v>
      </c>
      <c r="AB236" s="8">
        <f t="shared" si="92"/>
        <v>0.33684210526315789</v>
      </c>
      <c r="AC236" s="16">
        <f t="shared" si="93"/>
        <v>68.844969824162703</v>
      </c>
      <c r="AD236" s="20">
        <f>'PFAS Properties'!$W$33</f>
        <v>7</v>
      </c>
      <c r="AE236" s="8">
        <f>'PFAS Properties'!$S$33</f>
        <v>2.6821450763738319</v>
      </c>
      <c r="AF236" s="15">
        <f>'PFAS Properties'!$V$33</f>
        <v>4.9000000000000004</v>
      </c>
      <c r="AG236" s="24">
        <v>8.59</v>
      </c>
      <c r="AH236" s="2" t="s">
        <v>661</v>
      </c>
      <c r="AI236" s="16">
        <f>4.45*2*55.84*1000/(100*159.69)</f>
        <v>31.12129751393325</v>
      </c>
      <c r="AJ236" s="16">
        <f t="shared" si="118"/>
        <v>557.27992683200375</v>
      </c>
      <c r="AK236" s="16">
        <f t="shared" si="119"/>
        <v>3.1121297513933248</v>
      </c>
      <c r="AL236" s="16">
        <f>12.1*27*1000/(100*78)</f>
        <v>41.884615384615387</v>
      </c>
      <c r="AM236" s="16">
        <f t="shared" si="120"/>
        <v>1552.4320009123569</v>
      </c>
      <c r="AN236" s="16">
        <f t="shared" si="121"/>
        <v>4.1884615384615387</v>
      </c>
      <c r="AO236" s="2" t="s">
        <v>99</v>
      </c>
      <c r="AP236" s="16">
        <v>9.41</v>
      </c>
      <c r="AQ236" s="16" t="s">
        <v>689</v>
      </c>
      <c r="AR236" s="16">
        <v>30.3</v>
      </c>
      <c r="AS236" s="16">
        <v>58.2</v>
      </c>
      <c r="AT236" s="16">
        <v>11.5</v>
      </c>
      <c r="AU236" s="16" t="s">
        <v>664</v>
      </c>
      <c r="AV236" s="16">
        <f t="shared" si="109"/>
        <v>100</v>
      </c>
      <c r="AW236" s="18">
        <v>1.48</v>
      </c>
      <c r="AX236" s="13">
        <f t="shared" si="105"/>
        <v>1.4800000000000001E-2</v>
      </c>
      <c r="AY236" s="13" t="s">
        <v>100</v>
      </c>
      <c r="AZ236" s="16">
        <f t="shared" si="122"/>
        <v>2.5</v>
      </c>
      <c r="BA236" s="16" t="s">
        <v>55</v>
      </c>
      <c r="BB236" s="16">
        <v>10</v>
      </c>
      <c r="BC236" s="16">
        <v>500</v>
      </c>
      <c r="BD236" s="18">
        <v>0.66100000000000003</v>
      </c>
      <c r="BE236" s="15">
        <f t="shared" si="94"/>
        <v>44.662162162162161</v>
      </c>
      <c r="BF236" s="8">
        <f t="shared" si="95"/>
        <v>1.6499397440906829</v>
      </c>
      <c r="BG236" s="8">
        <f t="shared" si="96"/>
        <v>-0.17979854051435976</v>
      </c>
      <c r="BH236" s="13" t="s">
        <v>837</v>
      </c>
      <c r="BI236" s="13"/>
      <c r="BJ236" s="13"/>
      <c r="BK236" s="8"/>
      <c r="BL236" s="8"/>
      <c r="BM236" s="18"/>
      <c r="BN236" s="8"/>
      <c r="BO236" s="24"/>
    </row>
    <row r="237" spans="1:67" s="14" customFormat="1" x14ac:dyDescent="0.3">
      <c r="A237" s="20">
        <v>243</v>
      </c>
      <c r="B237" s="2" t="s">
        <v>228</v>
      </c>
      <c r="C237" s="2">
        <v>2017</v>
      </c>
      <c r="D237" s="2" t="s">
        <v>229</v>
      </c>
      <c r="E237" s="10" t="s">
        <v>809</v>
      </c>
      <c r="F237" s="20" t="s">
        <v>29</v>
      </c>
      <c r="G237" s="2" t="s">
        <v>103</v>
      </c>
      <c r="H237" s="2" t="str">
        <f>'PFAS Properties'!$B$33</f>
        <v>PFOA</v>
      </c>
      <c r="I237" s="2" t="str">
        <f>'PFAS Properties'!$C$33</f>
        <v>PFCA</v>
      </c>
      <c r="J237" s="2" t="str">
        <f>'PFAS Properties'!$D$33</f>
        <v>C8HF15O2</v>
      </c>
      <c r="K237" s="25">
        <f>'PFAS Properties'!$P$33</f>
        <v>413.97359999999998</v>
      </c>
      <c r="L237" s="2">
        <f>'PFAS Properties'!$X$33</f>
        <v>-0.2</v>
      </c>
      <c r="M237" s="2" t="str">
        <f>'PFAS Properties'!$Y$33</f>
        <v>-</v>
      </c>
      <c r="N237" s="33">
        <v>0</v>
      </c>
      <c r="O237" s="33">
        <v>0</v>
      </c>
      <c r="P237" s="33">
        <v>0</v>
      </c>
      <c r="Q237" s="33">
        <f t="shared" si="99"/>
        <v>0.99999087997478209</v>
      </c>
      <c r="R237" s="33">
        <v>0</v>
      </c>
      <c r="S237" s="33">
        <f t="shared" si="100"/>
        <v>9.1200252179405431E-6</v>
      </c>
      <c r="T237" s="8">
        <f t="shared" si="103"/>
        <v>1</v>
      </c>
      <c r="U237" s="33">
        <f t="shared" si="88"/>
        <v>0</v>
      </c>
      <c r="V237" s="33">
        <f t="shared" si="89"/>
        <v>-0.99999087997478209</v>
      </c>
      <c r="W237" s="33">
        <f t="shared" si="90"/>
        <v>412.97360912002517</v>
      </c>
      <c r="X237" s="33">
        <v>96485</v>
      </c>
      <c r="Y237" s="16">
        <f t="shared" si="91"/>
        <v>-233.63265333094216</v>
      </c>
      <c r="Z237" s="16">
        <v>8</v>
      </c>
      <c r="AA237" s="16">
        <v>15</v>
      </c>
      <c r="AB237" s="8">
        <f t="shared" si="92"/>
        <v>0.33684210526315789</v>
      </c>
      <c r="AC237" s="16">
        <f t="shared" si="93"/>
        <v>68.844969824162703</v>
      </c>
      <c r="AD237" s="20">
        <f>'PFAS Properties'!$W$33</f>
        <v>7</v>
      </c>
      <c r="AE237" s="8">
        <f>'PFAS Properties'!$S$33</f>
        <v>2.6821450763738319</v>
      </c>
      <c r="AF237" s="15">
        <f>'PFAS Properties'!$V$33</f>
        <v>4.9000000000000004</v>
      </c>
      <c r="AG237" s="24">
        <v>4.84</v>
      </c>
      <c r="AH237" s="2" t="s">
        <v>661</v>
      </c>
      <c r="AI237" s="16">
        <f>6.45*2*55.84*1000/(100*159.69)</f>
        <v>45.108397520195382</v>
      </c>
      <c r="AJ237" s="16">
        <f t="shared" si="118"/>
        <v>807.74281529582561</v>
      </c>
      <c r="AK237" s="16">
        <f t="shared" si="119"/>
        <v>4.510839752019538</v>
      </c>
      <c r="AL237" s="16">
        <f>16*27*1000/(100*78)</f>
        <v>55.384615384615387</v>
      </c>
      <c r="AM237" s="16">
        <f t="shared" si="120"/>
        <v>2052.8026458345216</v>
      </c>
      <c r="AN237" s="16">
        <f t="shared" si="121"/>
        <v>5.5384615384615383</v>
      </c>
      <c r="AO237" s="2" t="s">
        <v>99</v>
      </c>
      <c r="AP237" s="16">
        <v>11.8</v>
      </c>
      <c r="AQ237" s="16" t="s">
        <v>689</v>
      </c>
      <c r="AR237" s="16">
        <v>37.6</v>
      </c>
      <c r="AS237" s="16">
        <v>39.700000000000003</v>
      </c>
      <c r="AT237" s="16">
        <v>22.7</v>
      </c>
      <c r="AU237" s="16" t="s">
        <v>664</v>
      </c>
      <c r="AV237" s="16">
        <f t="shared" si="109"/>
        <v>100.00000000000001</v>
      </c>
      <c r="AW237" s="18">
        <v>1.7</v>
      </c>
      <c r="AX237" s="13">
        <f t="shared" si="105"/>
        <v>1.7000000000000001E-2</v>
      </c>
      <c r="AY237" s="13" t="s">
        <v>100</v>
      </c>
      <c r="AZ237" s="16">
        <f t="shared" si="122"/>
        <v>2.5</v>
      </c>
      <c r="BA237" s="16" t="s">
        <v>55</v>
      </c>
      <c r="BB237" s="16">
        <v>10</v>
      </c>
      <c r="BC237" s="16">
        <v>500</v>
      </c>
      <c r="BD237" s="18">
        <v>0.77</v>
      </c>
      <c r="BE237" s="15">
        <f t="shared" si="94"/>
        <v>45.294117647058819</v>
      </c>
      <c r="BF237" s="8">
        <f t="shared" si="95"/>
        <v>1.656041803794208</v>
      </c>
      <c r="BG237" s="8">
        <f t="shared" si="96"/>
        <v>-0.11350927482751812</v>
      </c>
      <c r="BH237" s="13" t="s">
        <v>837</v>
      </c>
      <c r="BI237" s="13"/>
      <c r="BJ237" s="13"/>
      <c r="BK237" s="8"/>
      <c r="BL237" s="8"/>
      <c r="BM237" s="18"/>
      <c r="BN237" s="8"/>
      <c r="BO237" s="24"/>
    </row>
    <row r="238" spans="1:67" s="14" customFormat="1" x14ac:dyDescent="0.3">
      <c r="A238" s="20">
        <v>244</v>
      </c>
      <c r="B238" s="2" t="s">
        <v>228</v>
      </c>
      <c r="C238" s="2">
        <v>2017</v>
      </c>
      <c r="D238" s="2" t="s">
        <v>229</v>
      </c>
      <c r="E238" s="10" t="s">
        <v>809</v>
      </c>
      <c r="F238" s="20" t="s">
        <v>29</v>
      </c>
      <c r="G238" s="2" t="s">
        <v>104</v>
      </c>
      <c r="H238" s="2" t="str">
        <f>'PFAS Properties'!$B$33</f>
        <v>PFOA</v>
      </c>
      <c r="I238" s="2" t="str">
        <f>'PFAS Properties'!$C$33</f>
        <v>PFCA</v>
      </c>
      <c r="J238" s="2" t="str">
        <f>'PFAS Properties'!$D$33</f>
        <v>C8HF15O2</v>
      </c>
      <c r="K238" s="25">
        <f>'PFAS Properties'!$P$33</f>
        <v>413.97359999999998</v>
      </c>
      <c r="L238" s="2">
        <f>'PFAS Properties'!$X$33</f>
        <v>-0.2</v>
      </c>
      <c r="M238" s="2" t="str">
        <f>'PFAS Properties'!$Y$33</f>
        <v>-</v>
      </c>
      <c r="N238" s="33">
        <v>0</v>
      </c>
      <c r="O238" s="33">
        <v>0</v>
      </c>
      <c r="P238" s="33">
        <v>0</v>
      </c>
      <c r="Q238" s="33">
        <f t="shared" si="99"/>
        <v>0.99999997655771244</v>
      </c>
      <c r="R238" s="33">
        <v>0</v>
      </c>
      <c r="S238" s="33">
        <f t="shared" si="100"/>
        <v>2.344228760365832E-8</v>
      </c>
      <c r="T238" s="8">
        <f t="shared" si="103"/>
        <v>1</v>
      </c>
      <c r="U238" s="33">
        <f t="shared" si="88"/>
        <v>0</v>
      </c>
      <c r="V238" s="33">
        <f t="shared" si="89"/>
        <v>-0.99999997655771244</v>
      </c>
      <c r="W238" s="33">
        <f t="shared" si="90"/>
        <v>412.97360002344232</v>
      </c>
      <c r="X238" s="33">
        <v>96485</v>
      </c>
      <c r="Y238" s="16">
        <f t="shared" si="91"/>
        <v>-233.63478375541186</v>
      </c>
      <c r="Z238" s="16">
        <v>8</v>
      </c>
      <c r="AA238" s="16">
        <v>15</v>
      </c>
      <c r="AB238" s="8">
        <f t="shared" si="92"/>
        <v>0.33684210526315789</v>
      </c>
      <c r="AC238" s="16">
        <f t="shared" si="93"/>
        <v>68.844969824162703</v>
      </c>
      <c r="AD238" s="20">
        <f>'PFAS Properties'!$W$33</f>
        <v>7</v>
      </c>
      <c r="AE238" s="8">
        <f>'PFAS Properties'!$S$33</f>
        <v>2.6821450763738319</v>
      </c>
      <c r="AF238" s="15">
        <f>'PFAS Properties'!$V$33</f>
        <v>4.9000000000000004</v>
      </c>
      <c r="AG238" s="24">
        <v>7.43</v>
      </c>
      <c r="AH238" s="2" t="s">
        <v>661</v>
      </c>
      <c r="AI238" s="16">
        <f>5.59*2*55.84*1000/(100*159.69)</f>
        <v>39.093944517502656</v>
      </c>
      <c r="AJ238" s="16">
        <f t="shared" si="118"/>
        <v>700.04377325638211</v>
      </c>
      <c r="AK238" s="16">
        <f t="shared" si="119"/>
        <v>3.9093944517502655</v>
      </c>
      <c r="AL238" s="16">
        <f>14*27*1000/(100*78)</f>
        <v>48.46153846153846</v>
      </c>
      <c r="AM238" s="16">
        <f t="shared" si="120"/>
        <v>1796.202315105206</v>
      </c>
      <c r="AN238" s="16">
        <f t="shared" si="121"/>
        <v>4.8461538461538458</v>
      </c>
      <c r="AO238" s="2" t="s">
        <v>99</v>
      </c>
      <c r="AP238" s="16">
        <v>14.2</v>
      </c>
      <c r="AQ238" s="16" t="s">
        <v>689</v>
      </c>
      <c r="AR238" s="16">
        <v>30.1</v>
      </c>
      <c r="AS238" s="16">
        <v>51.2</v>
      </c>
      <c r="AT238" s="16">
        <v>18.7</v>
      </c>
      <c r="AU238" s="16" t="s">
        <v>664</v>
      </c>
      <c r="AV238" s="16">
        <f t="shared" si="109"/>
        <v>100.00000000000001</v>
      </c>
      <c r="AW238" s="18">
        <v>2.4700000000000002</v>
      </c>
      <c r="AX238" s="13">
        <f t="shared" si="105"/>
        <v>2.4700000000000003E-2</v>
      </c>
      <c r="AY238" s="13" t="s">
        <v>100</v>
      </c>
      <c r="AZ238" s="16">
        <f t="shared" si="122"/>
        <v>2.5</v>
      </c>
      <c r="BA238" s="16" t="s">
        <v>55</v>
      </c>
      <c r="BB238" s="16">
        <v>10</v>
      </c>
      <c r="BC238" s="16">
        <v>500</v>
      </c>
      <c r="BD238" s="18">
        <v>0.89100000000000001</v>
      </c>
      <c r="BE238" s="15">
        <f t="shared" si="94"/>
        <v>36.072874493927124</v>
      </c>
      <c r="BF238" s="8">
        <f t="shared" si="95"/>
        <v>1.5571807507772091</v>
      </c>
      <c r="BG238" s="8">
        <f t="shared" si="96"/>
        <v>-5.0122295963125202E-2</v>
      </c>
      <c r="BH238" s="13" t="s">
        <v>837</v>
      </c>
      <c r="BI238" s="13"/>
      <c r="BJ238" s="13"/>
      <c r="BK238" s="8"/>
      <c r="BL238" s="8"/>
      <c r="BM238" s="18"/>
      <c r="BN238" s="8"/>
      <c r="BO238" s="24"/>
    </row>
    <row r="239" spans="1:67" s="14" customFormat="1" x14ac:dyDescent="0.3">
      <c r="A239" s="20">
        <v>245</v>
      </c>
      <c r="B239" s="2" t="s">
        <v>228</v>
      </c>
      <c r="C239" s="2">
        <v>2017</v>
      </c>
      <c r="D239" s="2" t="s">
        <v>229</v>
      </c>
      <c r="E239" s="22" t="s">
        <v>809</v>
      </c>
      <c r="F239" s="20" t="s">
        <v>29</v>
      </c>
      <c r="G239" s="2" t="s">
        <v>105</v>
      </c>
      <c r="H239" s="2" t="str">
        <f>'PFAS Properties'!$B$33</f>
        <v>PFOA</v>
      </c>
      <c r="I239" s="2" t="str">
        <f>'PFAS Properties'!$C$33</f>
        <v>PFCA</v>
      </c>
      <c r="J239" s="2" t="str">
        <f>'PFAS Properties'!$D$33</f>
        <v>C8HF15O2</v>
      </c>
      <c r="K239" s="25">
        <f>'PFAS Properties'!$P$33</f>
        <v>413.97359999999998</v>
      </c>
      <c r="L239" s="2">
        <f>'PFAS Properties'!$X$33</f>
        <v>-0.2</v>
      </c>
      <c r="M239" s="2" t="str">
        <f>'PFAS Properties'!$Y$33</f>
        <v>-</v>
      </c>
      <c r="N239" s="33">
        <v>0</v>
      </c>
      <c r="O239" s="33">
        <v>0</v>
      </c>
      <c r="P239" s="33">
        <v>0</v>
      </c>
      <c r="Q239" s="33">
        <f t="shared" si="99"/>
        <v>0.9999999858746248</v>
      </c>
      <c r="R239" s="33">
        <v>0</v>
      </c>
      <c r="S239" s="33">
        <f t="shared" si="100"/>
        <v>1.4125375246701269E-8</v>
      </c>
      <c r="T239" s="8">
        <f t="shared" si="103"/>
        <v>1</v>
      </c>
      <c r="U239" s="33">
        <f t="shared" si="88"/>
        <v>0</v>
      </c>
      <c r="V239" s="33">
        <f t="shared" si="89"/>
        <v>-0.9999999858746248</v>
      </c>
      <c r="W239" s="33">
        <f t="shared" si="90"/>
        <v>412.9736000141254</v>
      </c>
      <c r="X239" s="33">
        <v>96485</v>
      </c>
      <c r="Y239" s="16">
        <f t="shared" si="91"/>
        <v>-233.63478593743764</v>
      </c>
      <c r="Z239" s="16">
        <v>8</v>
      </c>
      <c r="AA239" s="16">
        <v>15</v>
      </c>
      <c r="AB239" s="8">
        <f t="shared" si="92"/>
        <v>0.33684210526315789</v>
      </c>
      <c r="AC239" s="16">
        <f t="shared" si="93"/>
        <v>68.844969824162703</v>
      </c>
      <c r="AD239" s="20">
        <f>'PFAS Properties'!$W$33</f>
        <v>7</v>
      </c>
      <c r="AE239" s="8">
        <f>'PFAS Properties'!$S$33</f>
        <v>2.6821450763738319</v>
      </c>
      <c r="AF239" s="15">
        <f>'PFAS Properties'!$V$33</f>
        <v>4.9000000000000004</v>
      </c>
      <c r="AG239" s="24">
        <v>7.65</v>
      </c>
      <c r="AH239" s="2" t="s">
        <v>661</v>
      </c>
      <c r="AI239" s="16">
        <f>2.67*2*55.84*1000/(100*159.69)</f>
        <v>18.672778508359951</v>
      </c>
      <c r="AJ239" s="16">
        <f t="shared" si="118"/>
        <v>334.36795609920227</v>
      </c>
      <c r="AK239" s="16">
        <f t="shared" si="119"/>
        <v>1.8672778508359951</v>
      </c>
      <c r="AL239" s="16">
        <f>11.4*27*1000/(100*78)</f>
        <v>39.46153846153846</v>
      </c>
      <c r="AM239" s="16">
        <f t="shared" si="120"/>
        <v>1462.6218851570964</v>
      </c>
      <c r="AN239" s="16">
        <f t="shared" si="121"/>
        <v>3.9461538461538459</v>
      </c>
      <c r="AO239" s="2" t="s">
        <v>99</v>
      </c>
      <c r="AP239" s="16">
        <v>9.4440000000000008</v>
      </c>
      <c r="AQ239" s="16" t="s">
        <v>689</v>
      </c>
      <c r="AR239" s="16">
        <v>34.1</v>
      </c>
      <c r="AS239" s="16">
        <v>40.799999999999997</v>
      </c>
      <c r="AT239" s="16">
        <v>25.1</v>
      </c>
      <c r="AU239" s="16" t="s">
        <v>664</v>
      </c>
      <c r="AV239" s="16">
        <f t="shared" si="109"/>
        <v>100</v>
      </c>
      <c r="AW239" s="18">
        <v>3.02</v>
      </c>
      <c r="AX239" s="13">
        <f t="shared" si="105"/>
        <v>3.0200000000000001E-2</v>
      </c>
      <c r="AY239" s="13" t="s">
        <v>100</v>
      </c>
      <c r="AZ239" s="16">
        <f t="shared" si="122"/>
        <v>2.5</v>
      </c>
      <c r="BA239" s="16" t="s">
        <v>55</v>
      </c>
      <c r="BB239" s="16">
        <v>10</v>
      </c>
      <c r="BC239" s="16">
        <v>500</v>
      </c>
      <c r="BD239" s="18">
        <v>0.91900000000000004</v>
      </c>
      <c r="BE239" s="15">
        <f t="shared" si="94"/>
        <v>30.430463576158939</v>
      </c>
      <c r="BF239" s="8">
        <f t="shared" si="95"/>
        <v>1.4833085684289606</v>
      </c>
      <c r="BG239" s="8">
        <f t="shared" si="96"/>
        <v>-3.6684488613888719E-2</v>
      </c>
      <c r="BH239" s="13" t="s">
        <v>837</v>
      </c>
      <c r="BI239" s="13"/>
      <c r="BJ239" s="13"/>
      <c r="BK239" s="8"/>
      <c r="BL239" s="8"/>
      <c r="BM239" s="18"/>
      <c r="BN239" s="8"/>
      <c r="BO239" s="24"/>
    </row>
    <row r="240" spans="1:67" s="14" customFormat="1" x14ac:dyDescent="0.3">
      <c r="A240" s="20">
        <v>246</v>
      </c>
      <c r="B240" s="2" t="s">
        <v>228</v>
      </c>
      <c r="C240" s="2">
        <v>2017</v>
      </c>
      <c r="D240" s="2" t="s">
        <v>229</v>
      </c>
      <c r="E240" s="10" t="s">
        <v>809</v>
      </c>
      <c r="F240" s="20" t="s">
        <v>29</v>
      </c>
      <c r="G240" s="2" t="s">
        <v>106</v>
      </c>
      <c r="H240" s="2" t="str">
        <f>'PFAS Properties'!$B$33</f>
        <v>PFOA</v>
      </c>
      <c r="I240" s="2" t="str">
        <f>'PFAS Properties'!$C$33</f>
        <v>PFCA</v>
      </c>
      <c r="J240" s="2" t="str">
        <f>'PFAS Properties'!$D$33</f>
        <v>C8HF15O2</v>
      </c>
      <c r="K240" s="25">
        <f>'PFAS Properties'!$P$33</f>
        <v>413.97359999999998</v>
      </c>
      <c r="L240" s="2">
        <f>'PFAS Properties'!$X$33</f>
        <v>-0.2</v>
      </c>
      <c r="M240" s="2" t="str">
        <f>'PFAS Properties'!$Y$33</f>
        <v>-</v>
      </c>
      <c r="N240" s="33">
        <v>0</v>
      </c>
      <c r="O240" s="33">
        <v>0</v>
      </c>
      <c r="P240" s="33">
        <v>0</v>
      </c>
      <c r="Q240" s="33">
        <f t="shared" si="99"/>
        <v>0.99999462971087649</v>
      </c>
      <c r="R240" s="33">
        <v>0</v>
      </c>
      <c r="S240" s="33">
        <f t="shared" si="100"/>
        <v>5.3702891235423617E-6</v>
      </c>
      <c r="T240" s="8">
        <f t="shared" si="103"/>
        <v>1</v>
      </c>
      <c r="U240" s="33">
        <f t="shared" si="88"/>
        <v>0</v>
      </c>
      <c r="V240" s="33">
        <f t="shared" si="89"/>
        <v>-0.99999462971087649</v>
      </c>
      <c r="W240" s="33">
        <f t="shared" si="90"/>
        <v>412.97360537028908</v>
      </c>
      <c r="X240" s="33">
        <v>96485</v>
      </c>
      <c r="Y240" s="16">
        <f t="shared" si="91"/>
        <v>-233.63353152108104</v>
      </c>
      <c r="Z240" s="16">
        <v>8</v>
      </c>
      <c r="AA240" s="16">
        <v>15</v>
      </c>
      <c r="AB240" s="8">
        <f t="shared" si="92"/>
        <v>0.33684210526315789</v>
      </c>
      <c r="AC240" s="16">
        <f t="shared" si="93"/>
        <v>68.844969824162703</v>
      </c>
      <c r="AD240" s="20">
        <f>'PFAS Properties'!$W$33</f>
        <v>7</v>
      </c>
      <c r="AE240" s="8">
        <f>'PFAS Properties'!$S$33</f>
        <v>2.6821450763738319</v>
      </c>
      <c r="AF240" s="15">
        <f>'PFAS Properties'!$V$33</f>
        <v>4.9000000000000004</v>
      </c>
      <c r="AG240" s="24">
        <v>5.07</v>
      </c>
      <c r="AH240" s="2" t="s">
        <v>661</v>
      </c>
      <c r="AI240" s="16">
        <f>2.55*2*55.84*1000/(100*159.69)</f>
        <v>17.833552507984219</v>
      </c>
      <c r="AJ240" s="16">
        <f t="shared" si="118"/>
        <v>319.34018279137291</v>
      </c>
      <c r="AK240" s="16">
        <f t="shared" si="119"/>
        <v>1.7833552507984218</v>
      </c>
      <c r="AL240" s="16">
        <f>10.3*27*1000/(100*78)</f>
        <v>35.653846153846153</v>
      </c>
      <c r="AM240" s="16">
        <f t="shared" si="120"/>
        <v>1321.4917032559731</v>
      </c>
      <c r="AN240" s="16">
        <f t="shared" si="121"/>
        <v>3.5653846153846152</v>
      </c>
      <c r="AO240" s="2" t="s">
        <v>99</v>
      </c>
      <c r="AP240" s="16">
        <v>8.5</v>
      </c>
      <c r="AQ240" s="16" t="s">
        <v>689</v>
      </c>
      <c r="AR240" s="16">
        <v>46.4</v>
      </c>
      <c r="AS240" s="16">
        <v>37.200000000000003</v>
      </c>
      <c r="AT240" s="16">
        <v>16.399999999999999</v>
      </c>
      <c r="AU240" s="16" t="s">
        <v>664</v>
      </c>
      <c r="AV240" s="16">
        <f t="shared" si="109"/>
        <v>100</v>
      </c>
      <c r="AW240" s="18">
        <v>3.61</v>
      </c>
      <c r="AX240" s="13">
        <f t="shared" si="105"/>
        <v>3.61E-2</v>
      </c>
      <c r="AY240" s="13" t="s">
        <v>100</v>
      </c>
      <c r="AZ240" s="16">
        <f t="shared" si="122"/>
        <v>2.5</v>
      </c>
      <c r="BA240" s="16" t="s">
        <v>55</v>
      </c>
      <c r="BB240" s="16">
        <v>10</v>
      </c>
      <c r="BC240" s="16">
        <v>500</v>
      </c>
      <c r="BD240" s="18">
        <v>1.1499999999999999</v>
      </c>
      <c r="BE240" s="15">
        <f t="shared" si="94"/>
        <v>31.855955678670359</v>
      </c>
      <c r="BF240" s="8">
        <f t="shared" si="95"/>
        <v>1.5031906384479536</v>
      </c>
      <c r="BG240" s="8">
        <f t="shared" si="96"/>
        <v>6.069784035361165E-2</v>
      </c>
      <c r="BH240" s="13" t="s">
        <v>837</v>
      </c>
      <c r="BI240" s="13"/>
      <c r="BJ240" s="13"/>
      <c r="BK240" s="8"/>
      <c r="BL240" s="8"/>
      <c r="BM240" s="18"/>
      <c r="BN240" s="8"/>
      <c r="BO240" s="24"/>
    </row>
    <row r="241" spans="1:67" s="14" customFormat="1" x14ac:dyDescent="0.3">
      <c r="A241" s="20">
        <v>247</v>
      </c>
      <c r="B241" s="2" t="s">
        <v>228</v>
      </c>
      <c r="C241" s="2">
        <v>2017</v>
      </c>
      <c r="D241" s="2" t="s">
        <v>229</v>
      </c>
      <c r="E241" s="10" t="s">
        <v>809</v>
      </c>
      <c r="F241" s="20" t="s">
        <v>29</v>
      </c>
      <c r="G241" s="2" t="s">
        <v>107</v>
      </c>
      <c r="H241" s="2" t="str">
        <f>'PFAS Properties'!$B$33</f>
        <v>PFOA</v>
      </c>
      <c r="I241" s="2" t="str">
        <f>'PFAS Properties'!$C$33</f>
        <v>PFCA</v>
      </c>
      <c r="J241" s="2" t="str">
        <f>'PFAS Properties'!$D$33</f>
        <v>C8HF15O2</v>
      </c>
      <c r="K241" s="25">
        <f>'PFAS Properties'!$P$33</f>
        <v>413.97359999999998</v>
      </c>
      <c r="L241" s="2">
        <f>'PFAS Properties'!$X$33</f>
        <v>-0.2</v>
      </c>
      <c r="M241" s="2" t="str">
        <f>'PFAS Properties'!$Y$33</f>
        <v>-</v>
      </c>
      <c r="N241" s="33">
        <v>0</v>
      </c>
      <c r="O241" s="33">
        <v>0</v>
      </c>
      <c r="P241" s="33">
        <v>0</v>
      </c>
      <c r="Q241" s="33">
        <f t="shared" si="99"/>
        <v>0.9999999989528715</v>
      </c>
      <c r="R241" s="33">
        <v>0</v>
      </c>
      <c r="S241" s="33">
        <f t="shared" si="100"/>
        <v>1.0471285469544217E-9</v>
      </c>
      <c r="T241" s="8">
        <f t="shared" si="103"/>
        <v>1</v>
      </c>
      <c r="U241" s="33">
        <f t="shared" si="88"/>
        <v>0</v>
      </c>
      <c r="V241" s="33">
        <f t="shared" si="89"/>
        <v>-0.9999999989528715</v>
      </c>
      <c r="W241" s="33">
        <f t="shared" si="90"/>
        <v>412.97360000104715</v>
      </c>
      <c r="X241" s="33">
        <v>96485</v>
      </c>
      <c r="Y241" s="16">
        <f t="shared" si="91"/>
        <v>-233.63478900036989</v>
      </c>
      <c r="Z241" s="16">
        <v>8</v>
      </c>
      <c r="AA241" s="16">
        <v>15</v>
      </c>
      <c r="AB241" s="8">
        <f t="shared" si="92"/>
        <v>0.33684210526315789</v>
      </c>
      <c r="AC241" s="16">
        <f t="shared" si="93"/>
        <v>68.844969824162703</v>
      </c>
      <c r="AD241" s="20">
        <f>'PFAS Properties'!$W$33</f>
        <v>7</v>
      </c>
      <c r="AE241" s="8">
        <f>'PFAS Properties'!$S$33</f>
        <v>2.6821450763738319</v>
      </c>
      <c r="AF241" s="15">
        <f>'PFAS Properties'!$V$33</f>
        <v>4.9000000000000004</v>
      </c>
      <c r="AG241" s="24">
        <v>8.7799999999999994</v>
      </c>
      <c r="AH241" s="2" t="s">
        <v>661</v>
      </c>
      <c r="AI241" s="16">
        <f>3.75*2*55.84*1000/(100*159.69)</f>
        <v>26.225812511741498</v>
      </c>
      <c r="AJ241" s="16">
        <f t="shared" si="118"/>
        <v>469.61791586966604</v>
      </c>
      <c r="AK241" s="16">
        <f t="shared" si="119"/>
        <v>2.6225812511741498</v>
      </c>
      <c r="AL241" s="16">
        <f>12*27*1000/(100*78)</f>
        <v>41.53846153846154</v>
      </c>
      <c r="AM241" s="16">
        <f t="shared" si="120"/>
        <v>1539.6019843758909</v>
      </c>
      <c r="AN241" s="16">
        <f t="shared" si="121"/>
        <v>4.1538461538461542</v>
      </c>
      <c r="AO241" s="2" t="s">
        <v>99</v>
      </c>
      <c r="AP241" s="16">
        <v>7.62</v>
      </c>
      <c r="AQ241" s="16" t="s">
        <v>689</v>
      </c>
      <c r="AR241" s="16">
        <v>38.700000000000003</v>
      </c>
      <c r="AS241" s="16">
        <v>42.1</v>
      </c>
      <c r="AT241" s="16">
        <v>19.2</v>
      </c>
      <c r="AU241" s="16" t="s">
        <v>664</v>
      </c>
      <c r="AV241" s="16">
        <f t="shared" si="109"/>
        <v>100.00000000000001</v>
      </c>
      <c r="AW241" s="18">
        <v>4.8</v>
      </c>
      <c r="AX241" s="13">
        <f t="shared" si="105"/>
        <v>4.8000000000000001E-2</v>
      </c>
      <c r="AY241" s="13" t="s">
        <v>100</v>
      </c>
      <c r="AZ241" s="16">
        <f t="shared" si="122"/>
        <v>2.5</v>
      </c>
      <c r="BA241" s="16" t="s">
        <v>55</v>
      </c>
      <c r="BB241" s="16">
        <v>10</v>
      </c>
      <c r="BC241" s="16">
        <v>500</v>
      </c>
      <c r="BD241" s="18">
        <v>1.2</v>
      </c>
      <c r="BE241" s="15">
        <f t="shared" si="94"/>
        <v>25</v>
      </c>
      <c r="BF241" s="8">
        <f t="shared" si="95"/>
        <v>1.3979400086720377</v>
      </c>
      <c r="BG241" s="8">
        <f t="shared" si="96"/>
        <v>7.9181246047624818E-2</v>
      </c>
      <c r="BH241" s="13" t="s">
        <v>837</v>
      </c>
      <c r="BI241" s="13"/>
      <c r="BJ241" s="13"/>
      <c r="BK241" s="8"/>
      <c r="BL241" s="8"/>
      <c r="BM241" s="18"/>
      <c r="BN241" s="8"/>
      <c r="BO241" s="8"/>
    </row>
    <row r="242" spans="1:67" s="14" customFormat="1" x14ac:dyDescent="0.3">
      <c r="A242" s="20">
        <v>248</v>
      </c>
      <c r="B242" s="2" t="s">
        <v>228</v>
      </c>
      <c r="C242" s="2">
        <v>2017</v>
      </c>
      <c r="D242" s="2" t="s">
        <v>229</v>
      </c>
      <c r="E242" s="10" t="s">
        <v>809</v>
      </c>
      <c r="F242" s="20" t="s">
        <v>29</v>
      </c>
      <c r="G242" s="2" t="s">
        <v>108</v>
      </c>
      <c r="H242" s="2" t="str">
        <f>'PFAS Properties'!$B$33</f>
        <v>PFOA</v>
      </c>
      <c r="I242" s="2" t="str">
        <f>'PFAS Properties'!$C$33</f>
        <v>PFCA</v>
      </c>
      <c r="J242" s="2" t="str">
        <f>'PFAS Properties'!$D$33</f>
        <v>C8HF15O2</v>
      </c>
      <c r="K242" s="25">
        <f>'PFAS Properties'!$P$33</f>
        <v>413.97359999999998</v>
      </c>
      <c r="L242" s="2">
        <f>'PFAS Properties'!$X$33</f>
        <v>-0.2</v>
      </c>
      <c r="M242" s="2" t="str">
        <f>'PFAS Properties'!$Y$33</f>
        <v>-</v>
      </c>
      <c r="N242" s="33">
        <v>0</v>
      </c>
      <c r="O242" s="33">
        <v>0</v>
      </c>
      <c r="P242" s="33">
        <v>0</v>
      </c>
      <c r="Q242" s="33">
        <f t="shared" si="99"/>
        <v>0.9999999939744042</v>
      </c>
      <c r="R242" s="33">
        <v>0</v>
      </c>
      <c r="S242" s="33">
        <f t="shared" si="100"/>
        <v>6.0255958244357746E-9</v>
      </c>
      <c r="T242" s="8">
        <f t="shared" si="103"/>
        <v>1</v>
      </c>
      <c r="U242" s="33">
        <f t="shared" si="88"/>
        <v>0</v>
      </c>
      <c r="V242" s="33">
        <f t="shared" si="89"/>
        <v>-0.9999999939744042</v>
      </c>
      <c r="W242" s="33">
        <f t="shared" si="90"/>
        <v>412.97360000602555</v>
      </c>
      <c r="X242" s="33">
        <v>96485</v>
      </c>
      <c r="Y242" s="16">
        <f t="shared" si="91"/>
        <v>-233.63478783441028</v>
      </c>
      <c r="Z242" s="16">
        <v>8</v>
      </c>
      <c r="AA242" s="16">
        <v>15</v>
      </c>
      <c r="AB242" s="8">
        <f t="shared" si="92"/>
        <v>0.33684210526315789</v>
      </c>
      <c r="AC242" s="16">
        <f t="shared" si="93"/>
        <v>68.844969824162703</v>
      </c>
      <c r="AD242" s="20">
        <f>'PFAS Properties'!$W$33</f>
        <v>7</v>
      </c>
      <c r="AE242" s="8">
        <f>'PFAS Properties'!$S$33</f>
        <v>2.6821450763738319</v>
      </c>
      <c r="AF242" s="15">
        <f>'PFAS Properties'!$V$33</f>
        <v>4.9000000000000004</v>
      </c>
      <c r="AG242" s="24">
        <v>8.02</v>
      </c>
      <c r="AH242" s="2" t="s">
        <v>661</v>
      </c>
      <c r="AI242" s="16">
        <f>5.33*2*55.84*1000/(100*159.69)</f>
        <v>37.275621516688588</v>
      </c>
      <c r="AJ242" s="16">
        <f t="shared" si="118"/>
        <v>667.48359775608537</v>
      </c>
      <c r="AK242" s="16">
        <f t="shared" si="119"/>
        <v>3.7275621516688586</v>
      </c>
      <c r="AL242" s="16">
        <f>13.8*27*1000/(100*78)</f>
        <v>47.769230769230766</v>
      </c>
      <c r="AM242" s="16">
        <f t="shared" si="120"/>
        <v>1770.5422820322744</v>
      </c>
      <c r="AN242" s="16">
        <f t="shared" si="121"/>
        <v>4.7769230769230768</v>
      </c>
      <c r="AO242" s="2" t="s">
        <v>99</v>
      </c>
      <c r="AP242" s="16">
        <v>12.5</v>
      </c>
      <c r="AQ242" s="16" t="s">
        <v>689</v>
      </c>
      <c r="AR242" s="16">
        <v>33.1</v>
      </c>
      <c r="AS242" s="16">
        <v>29.8</v>
      </c>
      <c r="AT242" s="16">
        <v>37.1</v>
      </c>
      <c r="AU242" s="16" t="s">
        <v>664</v>
      </c>
      <c r="AV242" s="16">
        <f t="shared" si="109"/>
        <v>100</v>
      </c>
      <c r="AW242" s="18">
        <v>5.0599999999999996</v>
      </c>
      <c r="AX242" s="13">
        <f t="shared" si="105"/>
        <v>5.0599999999999999E-2</v>
      </c>
      <c r="AY242" s="13" t="s">
        <v>100</v>
      </c>
      <c r="AZ242" s="16">
        <f t="shared" si="122"/>
        <v>2.5</v>
      </c>
      <c r="BA242" s="16" t="s">
        <v>55</v>
      </c>
      <c r="BB242" s="16">
        <v>10</v>
      </c>
      <c r="BC242" s="16">
        <v>500</v>
      </c>
      <c r="BD242" s="18">
        <v>1.28</v>
      </c>
      <c r="BE242" s="15">
        <f t="shared" si="94"/>
        <v>25.296442687747035</v>
      </c>
      <c r="BF242" s="8">
        <f t="shared" si="95"/>
        <v>1.4030594528080693</v>
      </c>
      <c r="BG242" s="8">
        <f t="shared" si="96"/>
        <v>0.10720996964786837</v>
      </c>
      <c r="BH242" s="13" t="s">
        <v>837</v>
      </c>
      <c r="BI242" s="13"/>
      <c r="BJ242" s="13"/>
      <c r="BK242" s="8"/>
      <c r="BL242" s="8"/>
      <c r="BM242" s="18"/>
      <c r="BN242" s="8"/>
      <c r="BO242" s="8"/>
    </row>
    <row r="243" spans="1:67" s="14" customFormat="1" x14ac:dyDescent="0.3">
      <c r="A243" s="20">
        <v>249</v>
      </c>
      <c r="B243" s="2" t="s">
        <v>228</v>
      </c>
      <c r="C243" s="2">
        <v>2017</v>
      </c>
      <c r="D243" s="2" t="s">
        <v>229</v>
      </c>
      <c r="E243" s="10" t="s">
        <v>809</v>
      </c>
      <c r="F243" s="20" t="s">
        <v>29</v>
      </c>
      <c r="G243" s="2" t="s">
        <v>109</v>
      </c>
      <c r="H243" s="2" t="str">
        <f>'PFAS Properties'!$B$33</f>
        <v>PFOA</v>
      </c>
      <c r="I243" s="2" t="str">
        <f>'PFAS Properties'!$C$33</f>
        <v>PFCA</v>
      </c>
      <c r="J243" s="2" t="str">
        <f>'PFAS Properties'!$D$33</f>
        <v>C8HF15O2</v>
      </c>
      <c r="K243" s="25">
        <f>'PFAS Properties'!$P$33</f>
        <v>413.97359999999998</v>
      </c>
      <c r="L243" s="2">
        <f>'PFAS Properties'!$X$33</f>
        <v>-0.2</v>
      </c>
      <c r="M243" s="2" t="str">
        <f>'PFAS Properties'!$Y$33</f>
        <v>-</v>
      </c>
      <c r="N243" s="33">
        <v>0</v>
      </c>
      <c r="O243" s="33">
        <v>0</v>
      </c>
      <c r="P243" s="33">
        <v>0</v>
      </c>
      <c r="Q243" s="33">
        <f t="shared" si="99"/>
        <v>0.99999993081690774</v>
      </c>
      <c r="R243" s="33">
        <v>0</v>
      </c>
      <c r="S243" s="33">
        <f t="shared" si="100"/>
        <v>6.9183092305592872E-8</v>
      </c>
      <c r="T243" s="8">
        <f t="shared" si="103"/>
        <v>1</v>
      </c>
      <c r="U243" s="33">
        <f t="shared" si="88"/>
        <v>0</v>
      </c>
      <c r="V243" s="33">
        <f t="shared" si="89"/>
        <v>-0.99999993081690774</v>
      </c>
      <c r="W243" s="33">
        <f t="shared" si="90"/>
        <v>412.97360006918308</v>
      </c>
      <c r="X243" s="33">
        <v>96485</v>
      </c>
      <c r="Y243" s="16">
        <f t="shared" si="91"/>
        <v>-233.63477304289128</v>
      </c>
      <c r="Z243" s="16">
        <v>8</v>
      </c>
      <c r="AA243" s="16">
        <v>15</v>
      </c>
      <c r="AB243" s="8">
        <f t="shared" si="92"/>
        <v>0.33684210526315789</v>
      </c>
      <c r="AC243" s="16">
        <f t="shared" si="93"/>
        <v>68.844969824162703</v>
      </c>
      <c r="AD243" s="20">
        <f>'PFAS Properties'!$W$33</f>
        <v>7</v>
      </c>
      <c r="AE243" s="8">
        <f>'PFAS Properties'!$S$33</f>
        <v>2.6821450763738319</v>
      </c>
      <c r="AF243" s="15">
        <f>'PFAS Properties'!$V$33</f>
        <v>4.9000000000000004</v>
      </c>
      <c r="AG243" s="24">
        <v>6.96</v>
      </c>
      <c r="AH243" s="2" t="s">
        <v>661</v>
      </c>
      <c r="AI243" s="16">
        <f>4.34*2*55.84*1000/(100*159.69)</f>
        <v>30.352007013588828</v>
      </c>
      <c r="AJ243" s="16">
        <f t="shared" si="118"/>
        <v>543.50446796649351</v>
      </c>
      <c r="AK243" s="16">
        <f t="shared" si="119"/>
        <v>3.0352007013588826</v>
      </c>
      <c r="AL243" s="16">
        <f>13.3*27*1000/(100*78)</f>
        <v>46.03846153846154</v>
      </c>
      <c r="AM243" s="16">
        <f t="shared" si="120"/>
        <v>1706.3921993499457</v>
      </c>
      <c r="AN243" s="16">
        <f t="shared" si="121"/>
        <v>4.6038461538461544</v>
      </c>
      <c r="AO243" s="2" t="s">
        <v>99</v>
      </c>
      <c r="AP243" s="16">
        <v>25.3</v>
      </c>
      <c r="AQ243" s="16" t="s">
        <v>689</v>
      </c>
      <c r="AR243" s="16">
        <v>23.6</v>
      </c>
      <c r="AS243" s="16">
        <v>30.3</v>
      </c>
      <c r="AT243" s="16">
        <v>46.2</v>
      </c>
      <c r="AU243" s="16" t="s">
        <v>664</v>
      </c>
      <c r="AV243" s="16">
        <f t="shared" si="109"/>
        <v>100.10000000000001</v>
      </c>
      <c r="AW243" s="18">
        <v>5.76</v>
      </c>
      <c r="AX243" s="13">
        <f t="shared" si="105"/>
        <v>5.7599999999999998E-2</v>
      </c>
      <c r="AY243" s="13" t="s">
        <v>100</v>
      </c>
      <c r="AZ243" s="16">
        <f t="shared" si="122"/>
        <v>2.5</v>
      </c>
      <c r="BA243" s="16" t="s">
        <v>55</v>
      </c>
      <c r="BB243" s="16">
        <v>10</v>
      </c>
      <c r="BC243" s="16">
        <v>500</v>
      </c>
      <c r="BD243" s="18">
        <v>1.48</v>
      </c>
      <c r="BE243" s="15">
        <f t="shared" si="94"/>
        <v>25.694444444444446</v>
      </c>
      <c r="BF243" s="8">
        <f t="shared" si="95"/>
        <v>1.4098392319717454</v>
      </c>
      <c r="BG243" s="8">
        <f t="shared" si="96"/>
        <v>0.17026171539495738</v>
      </c>
      <c r="BH243" s="13" t="s">
        <v>837</v>
      </c>
      <c r="BI243" s="13"/>
      <c r="BJ243" s="13"/>
      <c r="BK243" s="8"/>
      <c r="BL243" s="8"/>
      <c r="BM243" s="18"/>
      <c r="BN243" s="8"/>
      <c r="BO243" s="8"/>
    </row>
    <row r="244" spans="1:67" s="14" customFormat="1" x14ac:dyDescent="0.3">
      <c r="A244" s="20">
        <v>250</v>
      </c>
      <c r="B244" s="2" t="s">
        <v>195</v>
      </c>
      <c r="C244" s="2">
        <v>2018</v>
      </c>
      <c r="D244" s="2" t="s">
        <v>199</v>
      </c>
      <c r="E244" s="10" t="s">
        <v>795</v>
      </c>
      <c r="F244" s="20" t="s">
        <v>29</v>
      </c>
      <c r="G244" s="2" t="s">
        <v>47</v>
      </c>
      <c r="H244" s="2" t="str">
        <f>'PFAS Properties'!$B$33</f>
        <v>PFOA</v>
      </c>
      <c r="I244" s="2" t="str">
        <f>'PFAS Properties'!$C$33</f>
        <v>PFCA</v>
      </c>
      <c r="J244" s="2" t="str">
        <f>'PFAS Properties'!$D$33</f>
        <v>C8HF15O2</v>
      </c>
      <c r="K244" s="25">
        <f>'PFAS Properties'!$P$33</f>
        <v>413.97359999999998</v>
      </c>
      <c r="L244" s="2">
        <f>'PFAS Properties'!$X$33</f>
        <v>-0.2</v>
      </c>
      <c r="M244" s="2" t="str">
        <f>'PFAS Properties'!$Y$33</f>
        <v>-</v>
      </c>
      <c r="N244" s="33">
        <v>0</v>
      </c>
      <c r="O244" s="33">
        <v>0</v>
      </c>
      <c r="P244" s="33">
        <v>0</v>
      </c>
      <c r="Q244" s="33">
        <f t="shared" si="99"/>
        <v>0.99998004777494953</v>
      </c>
      <c r="R244" s="33">
        <v>0</v>
      </c>
      <c r="S244" s="33">
        <f t="shared" si="100"/>
        <v>1.9952225050461341E-5</v>
      </c>
      <c r="T244" s="8">
        <f t="shared" si="103"/>
        <v>1</v>
      </c>
      <c r="U244" s="33">
        <f t="shared" si="88"/>
        <v>0</v>
      </c>
      <c r="V244" s="33">
        <f t="shared" si="89"/>
        <v>-0.99998004777494953</v>
      </c>
      <c r="W244" s="33">
        <f t="shared" si="90"/>
        <v>412.97361995222502</v>
      </c>
      <c r="X244" s="33">
        <v>96485</v>
      </c>
      <c r="Y244" s="16">
        <f t="shared" si="91"/>
        <v>-233.63011642421051</v>
      </c>
      <c r="Z244" s="16">
        <v>8</v>
      </c>
      <c r="AA244" s="16">
        <v>15</v>
      </c>
      <c r="AB244" s="8">
        <f t="shared" si="92"/>
        <v>0.33684210526315789</v>
      </c>
      <c r="AC244" s="16">
        <f t="shared" si="93"/>
        <v>68.844969824162703</v>
      </c>
      <c r="AD244" s="20">
        <f>'PFAS Properties'!$W$33</f>
        <v>7</v>
      </c>
      <c r="AE244" s="8">
        <f>'PFAS Properties'!$S$33</f>
        <v>2.6821450763738319</v>
      </c>
      <c r="AF244" s="15">
        <f>'PFAS Properties'!$V$33</f>
        <v>4.9000000000000004</v>
      </c>
      <c r="AG244" s="24">
        <v>4.5</v>
      </c>
      <c r="AH244" s="2" t="s">
        <v>658</v>
      </c>
      <c r="AI244" s="8">
        <f>AJ244*55.845/1000</f>
        <v>5.8637250000000002E-2</v>
      </c>
      <c r="AJ244" s="16">
        <v>1.05</v>
      </c>
      <c r="AK244" s="8">
        <f t="shared" si="119"/>
        <v>5.8637250000000002E-3</v>
      </c>
      <c r="AL244" s="15">
        <f>AM244*26.98/1000</f>
        <v>0.18454320000000002</v>
      </c>
      <c r="AM244" s="16">
        <v>6.84</v>
      </c>
      <c r="AN244" s="8">
        <f t="shared" si="121"/>
        <v>1.8454320000000003E-2</v>
      </c>
      <c r="AO244" s="2" t="s">
        <v>48</v>
      </c>
      <c r="AP244" s="72">
        <v>21.496500000000001</v>
      </c>
      <c r="AQ244" s="70" t="s">
        <v>752</v>
      </c>
      <c r="AR244" s="71">
        <v>41.737499999999997</v>
      </c>
      <c r="AS244" s="71">
        <v>35.036999999999999</v>
      </c>
      <c r="AT244" s="71">
        <v>21.971</v>
      </c>
      <c r="AU244" s="70" t="s">
        <v>752</v>
      </c>
      <c r="AV244" s="16">
        <f t="shared" si="109"/>
        <v>98.745499999999993</v>
      </c>
      <c r="AW244" s="18">
        <v>45</v>
      </c>
      <c r="AX244" s="13">
        <f t="shared" si="105"/>
        <v>0.45</v>
      </c>
      <c r="AY244" s="8" t="s">
        <v>49</v>
      </c>
      <c r="AZ244" s="16">
        <f>0.45/0.04</f>
        <v>11.25</v>
      </c>
      <c r="BA244" s="16" t="s">
        <v>55</v>
      </c>
      <c r="BB244" s="8">
        <v>1.25</v>
      </c>
      <c r="BC244" s="8" t="s">
        <v>55</v>
      </c>
      <c r="BD244" s="18">
        <f>(10^(2.14)*AX244)</f>
        <v>62.117291907129875</v>
      </c>
      <c r="BE244" s="15">
        <f t="shared" si="94"/>
        <v>138.0384264602886</v>
      </c>
      <c r="BF244" s="8">
        <f t="shared" si="95"/>
        <v>2.1400000000000006</v>
      </c>
      <c r="BG244" s="8">
        <f t="shared" si="96"/>
        <v>1.7932125137753441</v>
      </c>
      <c r="BH244" s="2" t="s">
        <v>826</v>
      </c>
      <c r="BI244" s="13"/>
      <c r="BJ244" s="13"/>
      <c r="BK244" s="13"/>
      <c r="BL244" s="13"/>
      <c r="BM244" s="18"/>
      <c r="BN244" s="18"/>
      <c r="BO244" s="2"/>
    </row>
    <row r="245" spans="1:67" s="14" customFormat="1" x14ac:dyDescent="0.3">
      <c r="A245" s="20">
        <v>251</v>
      </c>
      <c r="B245" s="2" t="s">
        <v>195</v>
      </c>
      <c r="C245" s="2">
        <v>2022</v>
      </c>
      <c r="D245" s="2" t="s">
        <v>199</v>
      </c>
      <c r="E245" s="22" t="s">
        <v>798</v>
      </c>
      <c r="F245" s="20" t="s">
        <v>29</v>
      </c>
      <c r="G245" s="2" t="s">
        <v>237</v>
      </c>
      <c r="H245" s="2" t="str">
        <f>'PFAS Properties'!$B$33</f>
        <v>PFOA</v>
      </c>
      <c r="I245" s="2" t="str">
        <f>'PFAS Properties'!$C$33</f>
        <v>PFCA</v>
      </c>
      <c r="J245" s="2" t="str">
        <f>'PFAS Properties'!$D$33</f>
        <v>C8HF15O2</v>
      </c>
      <c r="K245" s="25">
        <f>'PFAS Properties'!$P$33</f>
        <v>413.97359999999998</v>
      </c>
      <c r="L245" s="2">
        <f>'PFAS Properties'!$X$33</f>
        <v>-0.2</v>
      </c>
      <c r="M245" s="2" t="str">
        <f>'PFAS Properties'!$Y$33</f>
        <v>-</v>
      </c>
      <c r="N245" s="33">
        <v>0</v>
      </c>
      <c r="O245" s="33">
        <v>0</v>
      </c>
      <c r="P245" s="33">
        <v>0</v>
      </c>
      <c r="Q245" s="33">
        <f t="shared" si="99"/>
        <v>0.99984153579563773</v>
      </c>
      <c r="R245" s="33">
        <v>0</v>
      </c>
      <c r="S245" s="33">
        <f t="shared" si="100"/>
        <v>1.5846420436223696E-4</v>
      </c>
      <c r="T245" s="8">
        <f t="shared" si="103"/>
        <v>1</v>
      </c>
      <c r="U245" s="33">
        <f t="shared" si="88"/>
        <v>0</v>
      </c>
      <c r="V245" s="33">
        <f t="shared" si="89"/>
        <v>-0.99984153579563773</v>
      </c>
      <c r="W245" s="33">
        <f t="shared" si="90"/>
        <v>412.97375846420431</v>
      </c>
      <c r="X245" s="33">
        <v>96485</v>
      </c>
      <c r="Y245" s="16">
        <f t="shared" si="91"/>
        <v>-233.59767685966392</v>
      </c>
      <c r="Z245" s="16">
        <v>8</v>
      </c>
      <c r="AA245" s="16">
        <v>15</v>
      </c>
      <c r="AB245" s="8">
        <f t="shared" si="92"/>
        <v>0.33684210526315789</v>
      </c>
      <c r="AC245" s="16">
        <f t="shared" si="93"/>
        <v>68.844969824162703</v>
      </c>
      <c r="AD245" s="20">
        <f>'PFAS Properties'!$W$33</f>
        <v>7</v>
      </c>
      <c r="AE245" s="8">
        <f>'PFAS Properties'!$S$33</f>
        <v>2.6821450763738319</v>
      </c>
      <c r="AF245" s="15">
        <f>'PFAS Properties'!$V$33</f>
        <v>4.9000000000000004</v>
      </c>
      <c r="AG245" s="24">
        <v>3.6</v>
      </c>
      <c r="AH245" s="2" t="s">
        <v>832</v>
      </c>
      <c r="AI245" s="8">
        <f>(6.8*55.845)/1000</f>
        <v>0.37974599999999997</v>
      </c>
      <c r="AJ245" s="15">
        <f>AI245*1000/55.845</f>
        <v>6.8</v>
      </c>
      <c r="AK245" s="8">
        <f t="shared" si="119"/>
        <v>3.7974599999999997E-2</v>
      </c>
      <c r="AL245" s="8">
        <f>(4*26.982)/1000</f>
        <v>0.107928</v>
      </c>
      <c r="AM245" s="15">
        <f>AL245*1000/55.845</f>
        <v>1.932634971796938</v>
      </c>
      <c r="AN245" s="8">
        <f t="shared" si="121"/>
        <v>1.07928E-2</v>
      </c>
      <c r="AO245" s="2" t="s">
        <v>86</v>
      </c>
      <c r="AP245" s="72">
        <v>21.496500000000001</v>
      </c>
      <c r="AQ245" s="70" t="s">
        <v>752</v>
      </c>
      <c r="AR245" s="71">
        <v>41.737499999999997</v>
      </c>
      <c r="AS245" s="71">
        <v>35.036999999999999</v>
      </c>
      <c r="AT245" s="71">
        <v>21.971</v>
      </c>
      <c r="AU245" s="70" t="s">
        <v>752</v>
      </c>
      <c r="AV245" s="16">
        <f t="shared" si="109"/>
        <v>98.745499999999993</v>
      </c>
      <c r="AW245" s="18">
        <v>44.9</v>
      </c>
      <c r="AX245" s="13">
        <f t="shared" si="105"/>
        <v>0.44900000000000001</v>
      </c>
      <c r="AY245" s="8" t="s">
        <v>240</v>
      </c>
      <c r="AZ245" s="16">
        <f>0.75/0.03</f>
        <v>25</v>
      </c>
      <c r="BA245" s="16" t="s">
        <v>55</v>
      </c>
      <c r="BB245" s="16">
        <f>46*K245/1000</f>
        <v>19.042785599999998</v>
      </c>
      <c r="BC245" s="16" t="s">
        <v>55</v>
      </c>
      <c r="BD245" s="18">
        <f>(10^(2.45)*AX245)</f>
        <v>126.54539361377405</v>
      </c>
      <c r="BE245" s="15">
        <f t="shared" si="94"/>
        <v>281.83829312644554</v>
      </c>
      <c r="BF245" s="8">
        <f t="shared" si="95"/>
        <v>2.4500000000000002</v>
      </c>
      <c r="BG245" s="8">
        <f t="shared" si="96"/>
        <v>2.1022463410033234</v>
      </c>
      <c r="BH245" s="2" t="s">
        <v>826</v>
      </c>
      <c r="BI245" s="16"/>
      <c r="BJ245" s="13"/>
      <c r="BK245" s="13"/>
      <c r="BL245" s="8"/>
      <c r="BM245" s="18"/>
      <c r="BN245" s="8"/>
      <c r="BO245" s="24"/>
    </row>
    <row r="246" spans="1:67" s="14" customFormat="1" x14ac:dyDescent="0.3">
      <c r="A246" s="20">
        <v>252</v>
      </c>
      <c r="B246" s="2" t="s">
        <v>195</v>
      </c>
      <c r="C246" s="2">
        <v>2022</v>
      </c>
      <c r="D246" s="2" t="s">
        <v>199</v>
      </c>
      <c r="E246" s="10" t="s">
        <v>798</v>
      </c>
      <c r="F246" s="20" t="s">
        <v>29</v>
      </c>
      <c r="G246" s="2" t="s">
        <v>239</v>
      </c>
      <c r="H246" s="2" t="str">
        <f>'PFAS Properties'!$B$33</f>
        <v>PFOA</v>
      </c>
      <c r="I246" s="2" t="str">
        <f>'PFAS Properties'!$C$33</f>
        <v>PFCA</v>
      </c>
      <c r="J246" s="2" t="str">
        <f>'PFAS Properties'!$D$33</f>
        <v>C8HF15O2</v>
      </c>
      <c r="K246" s="25">
        <f>'PFAS Properties'!$P$33</f>
        <v>413.97359999999998</v>
      </c>
      <c r="L246" s="2">
        <f>'PFAS Properties'!$X$33</f>
        <v>-0.2</v>
      </c>
      <c r="M246" s="2" t="str">
        <f>'PFAS Properties'!$Y$33</f>
        <v>-</v>
      </c>
      <c r="N246" s="33">
        <v>0</v>
      </c>
      <c r="O246" s="33">
        <v>0</v>
      </c>
      <c r="P246" s="33">
        <v>0</v>
      </c>
      <c r="Q246" s="33">
        <f t="shared" si="99"/>
        <v>0.99993690824637249</v>
      </c>
      <c r="R246" s="33">
        <v>0</v>
      </c>
      <c r="S246" s="33">
        <f t="shared" si="100"/>
        <v>6.3091753627486543E-5</v>
      </c>
      <c r="T246" s="8">
        <f t="shared" si="103"/>
        <v>1</v>
      </c>
      <c r="U246" s="33">
        <f t="shared" si="88"/>
        <v>0</v>
      </c>
      <c r="V246" s="33">
        <f t="shared" si="89"/>
        <v>-0.99993690824637249</v>
      </c>
      <c r="W246" s="33">
        <f t="shared" si="90"/>
        <v>412.97366309175362</v>
      </c>
      <c r="X246" s="33">
        <v>96485</v>
      </c>
      <c r="Y246" s="16">
        <f t="shared" si="91"/>
        <v>-233.62001312591153</v>
      </c>
      <c r="Z246" s="16">
        <v>8</v>
      </c>
      <c r="AA246" s="16">
        <v>15</v>
      </c>
      <c r="AB246" s="8">
        <f t="shared" si="92"/>
        <v>0.33684210526315789</v>
      </c>
      <c r="AC246" s="16">
        <f t="shared" si="93"/>
        <v>68.844969824162703</v>
      </c>
      <c r="AD246" s="20">
        <f>'PFAS Properties'!$W$33</f>
        <v>7</v>
      </c>
      <c r="AE246" s="8">
        <f>'PFAS Properties'!$S$33</f>
        <v>2.6821450763738319</v>
      </c>
      <c r="AF246" s="15">
        <f>'PFAS Properties'!$V$33</f>
        <v>4.9000000000000004</v>
      </c>
      <c r="AG246" s="24">
        <v>4</v>
      </c>
      <c r="AH246" s="2" t="s">
        <v>832</v>
      </c>
      <c r="AI246" s="8">
        <f>(5*55.845)/1000</f>
        <v>0.279225</v>
      </c>
      <c r="AJ246" s="15">
        <f>AI246*1000/55.845</f>
        <v>5.0000000000000009</v>
      </c>
      <c r="AK246" s="8">
        <f t="shared" si="119"/>
        <v>2.7922499999999999E-2</v>
      </c>
      <c r="AL246" s="8">
        <f>(15*26.982)/1000</f>
        <v>0.40473000000000003</v>
      </c>
      <c r="AM246" s="15">
        <f>AL246*1000/55.845</f>
        <v>7.2473811442385179</v>
      </c>
      <c r="AN246" s="8">
        <f t="shared" si="121"/>
        <v>4.0473000000000002E-2</v>
      </c>
      <c r="AO246" s="2" t="s">
        <v>86</v>
      </c>
      <c r="AP246" s="72">
        <v>21.496500000000001</v>
      </c>
      <c r="AQ246" s="70" t="s">
        <v>752</v>
      </c>
      <c r="AR246" s="71">
        <v>41.737499999999997</v>
      </c>
      <c r="AS246" s="71">
        <v>35.036999999999999</v>
      </c>
      <c r="AT246" s="71">
        <v>21.971</v>
      </c>
      <c r="AU246" s="70" t="s">
        <v>752</v>
      </c>
      <c r="AV246" s="16">
        <f t="shared" si="109"/>
        <v>98.745499999999993</v>
      </c>
      <c r="AW246" s="18">
        <v>53.6</v>
      </c>
      <c r="AX246" s="13">
        <f t="shared" si="105"/>
        <v>0.53600000000000003</v>
      </c>
      <c r="AY246" s="8" t="s">
        <v>240</v>
      </c>
      <c r="AZ246" s="16">
        <f>0.75/0.03</f>
        <v>25</v>
      </c>
      <c r="BA246" s="16" t="s">
        <v>55</v>
      </c>
      <c r="BB246" s="16">
        <f>46*K246/1000</f>
        <v>19.042785599999998</v>
      </c>
      <c r="BC246" s="16" t="s">
        <v>55</v>
      </c>
      <c r="BD246" s="18">
        <f>(10^(2.28)*AX246)</f>
        <v>102.1326944828301</v>
      </c>
      <c r="BE246" s="15">
        <f t="shared" si="94"/>
        <v>190.54607179632481</v>
      </c>
      <c r="BF246" s="8">
        <f t="shared" si="95"/>
        <v>2.2800000000000002</v>
      </c>
      <c r="BG246" s="8">
        <f t="shared" si="96"/>
        <v>2.0091647896927705</v>
      </c>
      <c r="BH246" s="2" t="s">
        <v>826</v>
      </c>
      <c r="BI246" s="16"/>
      <c r="BJ246" s="13"/>
      <c r="BK246" s="13"/>
      <c r="BL246" s="8"/>
      <c r="BM246" s="18"/>
      <c r="BN246" s="8"/>
      <c r="BO246" s="24"/>
    </row>
    <row r="247" spans="1:67" s="14" customFormat="1" x14ac:dyDescent="0.3">
      <c r="A247" s="20">
        <v>253</v>
      </c>
      <c r="B247" s="2" t="s">
        <v>241</v>
      </c>
      <c r="C247" s="2">
        <v>2019</v>
      </c>
      <c r="D247" s="2" t="s">
        <v>201</v>
      </c>
      <c r="E247" s="22" t="s">
        <v>800</v>
      </c>
      <c r="F247" s="20" t="s">
        <v>29</v>
      </c>
      <c r="G247" s="2">
        <v>1</v>
      </c>
      <c r="H247" s="2" t="str">
        <f>'PFAS Properties'!$B$33</f>
        <v>PFOA</v>
      </c>
      <c r="I247" s="2" t="str">
        <f>'PFAS Properties'!$C$33</f>
        <v>PFCA</v>
      </c>
      <c r="J247" s="2" t="str">
        <f>'PFAS Properties'!$D$33</f>
        <v>C8HF15O2</v>
      </c>
      <c r="K247" s="25">
        <f>'PFAS Properties'!$P$33</f>
        <v>413.97359999999998</v>
      </c>
      <c r="L247" s="2">
        <f>'PFAS Properties'!$X$33</f>
        <v>-0.2</v>
      </c>
      <c r="M247" s="2" t="str">
        <f>'PFAS Properties'!$Y$33</f>
        <v>-</v>
      </c>
      <c r="N247" s="33">
        <v>0</v>
      </c>
      <c r="O247" s="33">
        <v>0</v>
      </c>
      <c r="P247" s="33">
        <v>0</v>
      </c>
      <c r="Q247" s="33">
        <f t="shared" si="99"/>
        <v>0.9999992056723962</v>
      </c>
      <c r="R247" s="33">
        <v>0</v>
      </c>
      <c r="S247" s="33">
        <f t="shared" si="100"/>
        <v>7.9432760376743655E-7</v>
      </c>
      <c r="T247" s="8">
        <f t="shared" si="103"/>
        <v>1</v>
      </c>
      <c r="U247" s="33">
        <f t="shared" si="88"/>
        <v>0</v>
      </c>
      <c r="V247" s="33">
        <f t="shared" si="89"/>
        <v>-0.9999992056723962</v>
      </c>
      <c r="W247" s="33">
        <f t="shared" si="90"/>
        <v>412.97360079432758</v>
      </c>
      <c r="X247" s="33">
        <v>96485</v>
      </c>
      <c r="Y247" s="16">
        <f t="shared" si="91"/>
        <v>-233.63460321366483</v>
      </c>
      <c r="Z247" s="16">
        <v>8</v>
      </c>
      <c r="AA247" s="16">
        <v>15</v>
      </c>
      <c r="AB247" s="8">
        <f t="shared" si="92"/>
        <v>0.33684210526315789</v>
      </c>
      <c r="AC247" s="16">
        <f t="shared" si="93"/>
        <v>68.844969824162703</v>
      </c>
      <c r="AD247" s="20">
        <f>'PFAS Properties'!$W$33</f>
        <v>7</v>
      </c>
      <c r="AE247" s="8">
        <f>'PFAS Properties'!$S$33</f>
        <v>2.6821450763738319</v>
      </c>
      <c r="AF247" s="15">
        <f>'PFAS Properties'!$V$33</f>
        <v>4.9000000000000004</v>
      </c>
      <c r="AG247" s="24">
        <v>5.9</v>
      </c>
      <c r="AH247" s="2" t="s">
        <v>122</v>
      </c>
      <c r="AI247" s="2" t="s">
        <v>661</v>
      </c>
      <c r="AJ247" s="2" t="s">
        <v>661</v>
      </c>
      <c r="AK247" s="2" t="s">
        <v>661</v>
      </c>
      <c r="AL247" s="2" t="s">
        <v>661</v>
      </c>
      <c r="AM247" s="2" t="s">
        <v>661</v>
      </c>
      <c r="AN247" s="2" t="s">
        <v>661</v>
      </c>
      <c r="AO247" s="2" t="s">
        <v>661</v>
      </c>
      <c r="AP247" s="16">
        <v>17.899999999999999</v>
      </c>
      <c r="AQ247" s="2" t="s">
        <v>661</v>
      </c>
      <c r="AR247" s="16">
        <v>47.2</v>
      </c>
      <c r="AS247" s="16">
        <v>19.299999999999997</v>
      </c>
      <c r="AT247" s="16">
        <v>33.5</v>
      </c>
      <c r="AU247" s="2" t="s">
        <v>661</v>
      </c>
      <c r="AV247" s="16">
        <f t="shared" si="109"/>
        <v>100</v>
      </c>
      <c r="AW247" s="18">
        <v>1.6</v>
      </c>
      <c r="AX247" s="13">
        <f t="shared" si="105"/>
        <v>1.6E-2</v>
      </c>
      <c r="AY247" s="13" t="s">
        <v>123</v>
      </c>
      <c r="AZ247" s="16">
        <f t="shared" ref="AZ247:AZ310" si="123">1/0.01</f>
        <v>100</v>
      </c>
      <c r="BA247" s="16" t="s">
        <v>55</v>
      </c>
      <c r="BB247" s="15">
        <v>2.2999999999999998</v>
      </c>
      <c r="BC247" s="16" t="s">
        <v>55</v>
      </c>
      <c r="BD247" s="18">
        <v>11.8</v>
      </c>
      <c r="BE247" s="15">
        <f t="shared" si="94"/>
        <v>737.5</v>
      </c>
      <c r="BF247" s="8">
        <f t="shared" si="95"/>
        <v>2.8677620246502005</v>
      </c>
      <c r="BG247" s="8">
        <f t="shared" si="96"/>
        <v>1.0718820073061255</v>
      </c>
      <c r="BH247" s="13" t="s">
        <v>841</v>
      </c>
      <c r="BI247" s="13"/>
      <c r="BJ247" s="13"/>
      <c r="BK247" s="8"/>
      <c r="BL247" s="8"/>
      <c r="BM247" s="18"/>
      <c r="BN247" s="8"/>
      <c r="BO247" s="8"/>
    </row>
    <row r="248" spans="1:67" s="14" customFormat="1" x14ac:dyDescent="0.3">
      <c r="A248" s="20">
        <v>254</v>
      </c>
      <c r="B248" s="2" t="s">
        <v>241</v>
      </c>
      <c r="C248" s="2">
        <v>2019</v>
      </c>
      <c r="D248" s="2" t="s">
        <v>201</v>
      </c>
      <c r="E248" s="10" t="s">
        <v>800</v>
      </c>
      <c r="F248" s="20" t="s">
        <v>29</v>
      </c>
      <c r="G248" s="2">
        <v>2</v>
      </c>
      <c r="H248" s="2" t="str">
        <f>'PFAS Properties'!$B$33</f>
        <v>PFOA</v>
      </c>
      <c r="I248" s="2" t="str">
        <f>'PFAS Properties'!$C$33</f>
        <v>PFCA</v>
      </c>
      <c r="J248" s="2" t="str">
        <f>'PFAS Properties'!$D$33</f>
        <v>C8HF15O2</v>
      </c>
      <c r="K248" s="25">
        <f>'PFAS Properties'!$P$33</f>
        <v>413.97359999999998</v>
      </c>
      <c r="L248" s="2">
        <f>'PFAS Properties'!$X$33</f>
        <v>-0.2</v>
      </c>
      <c r="M248" s="2" t="str">
        <f>'PFAS Properties'!$Y$33</f>
        <v>-</v>
      </c>
      <c r="N248" s="33">
        <v>0</v>
      </c>
      <c r="O248" s="33">
        <v>0</v>
      </c>
      <c r="P248" s="33">
        <v>0</v>
      </c>
      <c r="Q248" s="33">
        <f t="shared" si="99"/>
        <v>0.99999990000001004</v>
      </c>
      <c r="R248" s="33">
        <v>0</v>
      </c>
      <c r="S248" s="33">
        <f t="shared" si="100"/>
        <v>9.9999990000001005E-8</v>
      </c>
      <c r="T248" s="8">
        <f t="shared" si="103"/>
        <v>1</v>
      </c>
      <c r="U248" s="33">
        <f t="shared" si="88"/>
        <v>0</v>
      </c>
      <c r="V248" s="33">
        <f t="shared" si="89"/>
        <v>-0.99999990000001004</v>
      </c>
      <c r="W248" s="33">
        <f t="shared" si="90"/>
        <v>412.9736001</v>
      </c>
      <c r="X248" s="33">
        <v>96485</v>
      </c>
      <c r="Y248" s="16">
        <f t="shared" si="91"/>
        <v>-233.63476582555762</v>
      </c>
      <c r="Z248" s="16">
        <v>8</v>
      </c>
      <c r="AA248" s="16">
        <v>15</v>
      </c>
      <c r="AB248" s="8">
        <f t="shared" si="92"/>
        <v>0.33684210526315789</v>
      </c>
      <c r="AC248" s="16">
        <f t="shared" si="93"/>
        <v>68.844969824162703</v>
      </c>
      <c r="AD248" s="20">
        <f>'PFAS Properties'!$W$33</f>
        <v>7</v>
      </c>
      <c r="AE248" s="8">
        <f>'PFAS Properties'!$S$33</f>
        <v>2.6821450763738319</v>
      </c>
      <c r="AF248" s="15">
        <f>'PFAS Properties'!$V$33</f>
        <v>4.9000000000000004</v>
      </c>
      <c r="AG248" s="24">
        <v>6.8</v>
      </c>
      <c r="AH248" s="2" t="s">
        <v>122</v>
      </c>
      <c r="AI248" s="2" t="s">
        <v>661</v>
      </c>
      <c r="AJ248" s="2" t="s">
        <v>661</v>
      </c>
      <c r="AK248" s="2" t="s">
        <v>661</v>
      </c>
      <c r="AL248" s="2" t="s">
        <v>661</v>
      </c>
      <c r="AM248" s="2" t="s">
        <v>661</v>
      </c>
      <c r="AN248" s="2" t="s">
        <v>661</v>
      </c>
      <c r="AO248" s="2" t="s">
        <v>661</v>
      </c>
      <c r="AP248" s="16">
        <v>14.9</v>
      </c>
      <c r="AQ248" s="2" t="s">
        <v>661</v>
      </c>
      <c r="AR248" s="16">
        <v>27.4</v>
      </c>
      <c r="AS248" s="16">
        <v>12.399999999999991</v>
      </c>
      <c r="AT248" s="16">
        <v>60.2</v>
      </c>
      <c r="AU248" s="2" t="s">
        <v>661</v>
      </c>
      <c r="AV248" s="16">
        <f t="shared" si="109"/>
        <v>100</v>
      </c>
      <c r="AW248" s="18">
        <v>0.3</v>
      </c>
      <c r="AX248" s="13">
        <f t="shared" si="105"/>
        <v>3.0000000000000001E-3</v>
      </c>
      <c r="AY248" s="13" t="s">
        <v>123</v>
      </c>
      <c r="AZ248" s="16">
        <f t="shared" si="123"/>
        <v>100</v>
      </c>
      <c r="BA248" s="16" t="s">
        <v>55</v>
      </c>
      <c r="BB248" s="15">
        <v>2.2999999999999998</v>
      </c>
      <c r="BC248" s="16" t="s">
        <v>55</v>
      </c>
      <c r="BD248" s="18">
        <v>5.8</v>
      </c>
      <c r="BE248" s="15">
        <f t="shared" si="94"/>
        <v>1933.3333333333333</v>
      </c>
      <c r="BF248" s="8">
        <f t="shared" si="95"/>
        <v>3.2863067388432747</v>
      </c>
      <c r="BG248" s="8">
        <f t="shared" si="96"/>
        <v>0.76342799356293722</v>
      </c>
      <c r="BH248" s="13" t="s">
        <v>841</v>
      </c>
      <c r="BI248" s="13"/>
      <c r="BJ248" s="13"/>
      <c r="BK248" s="8"/>
      <c r="BL248" s="8"/>
      <c r="BM248" s="18"/>
      <c r="BN248" s="8"/>
      <c r="BO248" s="8"/>
    </row>
    <row r="249" spans="1:67" s="14" customFormat="1" x14ac:dyDescent="0.3">
      <c r="A249" s="20">
        <v>255</v>
      </c>
      <c r="B249" s="2" t="s">
        <v>241</v>
      </c>
      <c r="C249" s="2">
        <v>2019</v>
      </c>
      <c r="D249" s="2" t="s">
        <v>201</v>
      </c>
      <c r="E249" s="10" t="s">
        <v>800</v>
      </c>
      <c r="F249" s="20" t="s">
        <v>29</v>
      </c>
      <c r="G249" s="2">
        <v>3</v>
      </c>
      <c r="H249" s="2" t="str">
        <f>'PFAS Properties'!$B$33</f>
        <v>PFOA</v>
      </c>
      <c r="I249" s="2" t="str">
        <f>'PFAS Properties'!$C$33</f>
        <v>PFCA</v>
      </c>
      <c r="J249" s="2" t="str">
        <f>'PFAS Properties'!$D$33</f>
        <v>C8HF15O2</v>
      </c>
      <c r="K249" s="25">
        <f>'PFAS Properties'!$P$33</f>
        <v>413.97359999999998</v>
      </c>
      <c r="L249" s="2">
        <f>'PFAS Properties'!$X$33</f>
        <v>-0.2</v>
      </c>
      <c r="M249" s="2" t="str">
        <f>'PFAS Properties'!$Y$33</f>
        <v>-</v>
      </c>
      <c r="N249" s="33">
        <v>0</v>
      </c>
      <c r="O249" s="33">
        <v>0</v>
      </c>
      <c r="P249" s="33">
        <v>0</v>
      </c>
      <c r="Q249" s="33">
        <f t="shared" si="99"/>
        <v>0.99999984151070587</v>
      </c>
      <c r="R249" s="33">
        <v>0</v>
      </c>
      <c r="S249" s="33">
        <f t="shared" si="100"/>
        <v>1.5848929412725089E-7</v>
      </c>
      <c r="T249" s="8">
        <f t="shared" si="103"/>
        <v>1</v>
      </c>
      <c r="U249" s="33">
        <f t="shared" si="88"/>
        <v>0</v>
      </c>
      <c r="V249" s="33">
        <f t="shared" si="89"/>
        <v>-0.99999984151070587</v>
      </c>
      <c r="W249" s="33">
        <f t="shared" si="90"/>
        <v>412.97360015848926</v>
      </c>
      <c r="X249" s="33">
        <v>96485</v>
      </c>
      <c r="Y249" s="16">
        <f t="shared" si="91"/>
        <v>-233.63475212733178</v>
      </c>
      <c r="Z249" s="16">
        <v>8</v>
      </c>
      <c r="AA249" s="16">
        <v>15</v>
      </c>
      <c r="AB249" s="8">
        <f t="shared" si="92"/>
        <v>0.33684210526315789</v>
      </c>
      <c r="AC249" s="16">
        <f t="shared" si="93"/>
        <v>68.844969824162703</v>
      </c>
      <c r="AD249" s="20">
        <f>'PFAS Properties'!$W$33</f>
        <v>7</v>
      </c>
      <c r="AE249" s="8">
        <f>'PFAS Properties'!$S$33</f>
        <v>2.6821450763738319</v>
      </c>
      <c r="AF249" s="15">
        <f>'PFAS Properties'!$V$33</f>
        <v>4.9000000000000004</v>
      </c>
      <c r="AG249" s="24">
        <v>6.6</v>
      </c>
      <c r="AH249" s="2" t="s">
        <v>122</v>
      </c>
      <c r="AI249" s="2" t="s">
        <v>661</v>
      </c>
      <c r="AJ249" s="2" t="s">
        <v>661</v>
      </c>
      <c r="AK249" s="2" t="s">
        <v>661</v>
      </c>
      <c r="AL249" s="2" t="s">
        <v>661</v>
      </c>
      <c r="AM249" s="2" t="s">
        <v>661</v>
      </c>
      <c r="AN249" s="2" t="s">
        <v>661</v>
      </c>
      <c r="AO249" s="2" t="s">
        <v>661</v>
      </c>
      <c r="AP249" s="16">
        <v>16.5</v>
      </c>
      <c r="AQ249" s="2" t="s">
        <v>661</v>
      </c>
      <c r="AR249" s="16">
        <v>29.4</v>
      </c>
      <c r="AS249" s="16">
        <v>13.899999999999991</v>
      </c>
      <c r="AT249" s="16">
        <v>56.7</v>
      </c>
      <c r="AU249" s="2" t="s">
        <v>661</v>
      </c>
      <c r="AV249" s="16">
        <f t="shared" si="109"/>
        <v>100</v>
      </c>
      <c r="AW249" s="18">
        <v>0.2</v>
      </c>
      <c r="AX249" s="13">
        <f t="shared" si="105"/>
        <v>2E-3</v>
      </c>
      <c r="AY249" s="13" t="s">
        <v>123</v>
      </c>
      <c r="AZ249" s="16">
        <f t="shared" si="123"/>
        <v>100</v>
      </c>
      <c r="BA249" s="16" t="s">
        <v>55</v>
      </c>
      <c r="BB249" s="15">
        <v>2.2999999999999998</v>
      </c>
      <c r="BC249" s="16" t="s">
        <v>55</v>
      </c>
      <c r="BD249" s="18">
        <v>4.9000000000000004</v>
      </c>
      <c r="BE249" s="15">
        <f t="shared" si="94"/>
        <v>2450</v>
      </c>
      <c r="BF249" s="8">
        <f t="shared" si="95"/>
        <v>3.3891660843645326</v>
      </c>
      <c r="BG249" s="8">
        <f t="shared" si="96"/>
        <v>0.69019608002851374</v>
      </c>
      <c r="BH249" s="13" t="s">
        <v>841</v>
      </c>
      <c r="BI249" s="13"/>
      <c r="BJ249" s="13"/>
      <c r="BK249" s="8"/>
      <c r="BL249" s="8"/>
      <c r="BM249" s="18"/>
      <c r="BN249" s="8"/>
      <c r="BO249" s="8"/>
    </row>
    <row r="250" spans="1:67" s="14" customFormat="1" x14ac:dyDescent="0.3">
      <c r="A250" s="20">
        <v>256</v>
      </c>
      <c r="B250" s="2" t="s">
        <v>241</v>
      </c>
      <c r="C250" s="2">
        <v>2019</v>
      </c>
      <c r="D250" s="2" t="s">
        <v>201</v>
      </c>
      <c r="E250" s="10" t="s">
        <v>800</v>
      </c>
      <c r="F250" s="20" t="s">
        <v>29</v>
      </c>
      <c r="G250" s="2">
        <v>4</v>
      </c>
      <c r="H250" s="2" t="str">
        <f>'PFAS Properties'!$B$33</f>
        <v>PFOA</v>
      </c>
      <c r="I250" s="2" t="str">
        <f>'PFAS Properties'!$C$33</f>
        <v>PFCA</v>
      </c>
      <c r="J250" s="2" t="str">
        <f>'PFAS Properties'!$D$33</f>
        <v>C8HF15O2</v>
      </c>
      <c r="K250" s="25">
        <f>'PFAS Properties'!$P$33</f>
        <v>413.97359999999998</v>
      </c>
      <c r="L250" s="2">
        <f>'PFAS Properties'!$X$33</f>
        <v>-0.2</v>
      </c>
      <c r="M250" s="2" t="str">
        <f>'PFAS Properties'!$Y$33</f>
        <v>-</v>
      </c>
      <c r="N250" s="33">
        <v>0</v>
      </c>
      <c r="O250" s="33">
        <v>0</v>
      </c>
      <c r="P250" s="33">
        <v>0</v>
      </c>
      <c r="Q250" s="33">
        <f t="shared" si="99"/>
        <v>0.99999900000099995</v>
      </c>
      <c r="R250" s="33">
        <v>0</v>
      </c>
      <c r="S250" s="33">
        <f t="shared" si="100"/>
        <v>9.9999900000100006E-7</v>
      </c>
      <c r="T250" s="8">
        <f t="shared" si="103"/>
        <v>1</v>
      </c>
      <c r="U250" s="33">
        <f t="shared" si="88"/>
        <v>0</v>
      </c>
      <c r="V250" s="33">
        <f t="shared" si="89"/>
        <v>-0.99999900000099995</v>
      </c>
      <c r="W250" s="33">
        <f t="shared" si="90"/>
        <v>412.97360099999895</v>
      </c>
      <c r="X250" s="33">
        <v>96485</v>
      </c>
      <c r="Y250" s="16">
        <f t="shared" si="91"/>
        <v>-233.63455504531566</v>
      </c>
      <c r="Z250" s="16">
        <v>8</v>
      </c>
      <c r="AA250" s="16">
        <v>15</v>
      </c>
      <c r="AB250" s="8">
        <f t="shared" si="92"/>
        <v>0.33684210526315789</v>
      </c>
      <c r="AC250" s="16">
        <f t="shared" si="93"/>
        <v>68.844969824162703</v>
      </c>
      <c r="AD250" s="20">
        <f>'PFAS Properties'!$W$33</f>
        <v>7</v>
      </c>
      <c r="AE250" s="8">
        <f>'PFAS Properties'!$S$33</f>
        <v>2.6821450763738319</v>
      </c>
      <c r="AF250" s="15">
        <f>'PFAS Properties'!$V$33</f>
        <v>4.9000000000000004</v>
      </c>
      <c r="AG250" s="24">
        <v>5.8</v>
      </c>
      <c r="AH250" s="2" t="s">
        <v>122</v>
      </c>
      <c r="AI250" s="2" t="s">
        <v>661</v>
      </c>
      <c r="AJ250" s="2" t="s">
        <v>661</v>
      </c>
      <c r="AK250" s="2" t="s">
        <v>661</v>
      </c>
      <c r="AL250" s="2" t="s">
        <v>661</v>
      </c>
      <c r="AM250" s="2" t="s">
        <v>661</v>
      </c>
      <c r="AN250" s="2" t="s">
        <v>661</v>
      </c>
      <c r="AO250" s="2" t="s">
        <v>661</v>
      </c>
      <c r="AP250" s="16">
        <v>9</v>
      </c>
      <c r="AQ250" s="2" t="s">
        <v>661</v>
      </c>
      <c r="AR250" s="16">
        <v>44.4</v>
      </c>
      <c r="AS250" s="16">
        <v>12.300000000000004</v>
      </c>
      <c r="AT250" s="16">
        <v>43.3</v>
      </c>
      <c r="AU250" s="2" t="s">
        <v>661</v>
      </c>
      <c r="AV250" s="16">
        <f t="shared" si="109"/>
        <v>100</v>
      </c>
      <c r="AW250" s="18">
        <v>0.1</v>
      </c>
      <c r="AX250" s="13">
        <f t="shared" si="105"/>
        <v>1E-3</v>
      </c>
      <c r="AY250" s="13" t="s">
        <v>123</v>
      </c>
      <c r="AZ250" s="16">
        <f t="shared" si="123"/>
        <v>100</v>
      </c>
      <c r="BA250" s="16" t="s">
        <v>55</v>
      </c>
      <c r="BB250" s="15">
        <v>2.2999999999999998</v>
      </c>
      <c r="BC250" s="16" t="s">
        <v>55</v>
      </c>
      <c r="BD250" s="18">
        <v>3.9</v>
      </c>
      <c r="BE250" s="15">
        <f t="shared" si="94"/>
        <v>3900</v>
      </c>
      <c r="BF250" s="8">
        <f t="shared" si="95"/>
        <v>3.5910646070264991</v>
      </c>
      <c r="BG250" s="8">
        <f t="shared" si="96"/>
        <v>0.59106460702649921</v>
      </c>
      <c r="BH250" s="13" t="s">
        <v>841</v>
      </c>
      <c r="BI250" s="13"/>
      <c r="BJ250" s="13"/>
      <c r="BK250" s="8"/>
      <c r="BL250" s="8"/>
      <c r="BM250" s="18"/>
      <c r="BN250" s="8"/>
      <c r="BO250" s="8"/>
    </row>
    <row r="251" spans="1:67" s="14" customFormat="1" x14ac:dyDescent="0.3">
      <c r="A251" s="20">
        <v>257</v>
      </c>
      <c r="B251" s="2" t="s">
        <v>241</v>
      </c>
      <c r="C251" s="2">
        <v>2019</v>
      </c>
      <c r="D251" s="2" t="s">
        <v>201</v>
      </c>
      <c r="E251" s="10" t="s">
        <v>800</v>
      </c>
      <c r="F251" s="20" t="s">
        <v>29</v>
      </c>
      <c r="G251" s="2">
        <v>5</v>
      </c>
      <c r="H251" s="2" t="str">
        <f>'PFAS Properties'!$B$33</f>
        <v>PFOA</v>
      </c>
      <c r="I251" s="2" t="str">
        <f>'PFAS Properties'!$C$33</f>
        <v>PFCA</v>
      </c>
      <c r="J251" s="2" t="str">
        <f>'PFAS Properties'!$D$33</f>
        <v>C8HF15O2</v>
      </c>
      <c r="K251" s="25">
        <f>'PFAS Properties'!$P$33</f>
        <v>413.97359999999998</v>
      </c>
      <c r="L251" s="2">
        <f>'PFAS Properties'!$X$33</f>
        <v>-0.2</v>
      </c>
      <c r="M251" s="2" t="str">
        <f>'PFAS Properties'!$Y$33</f>
        <v>-</v>
      </c>
      <c r="N251" s="33">
        <v>0</v>
      </c>
      <c r="O251" s="33">
        <v>0</v>
      </c>
      <c r="P251" s="33">
        <v>0</v>
      </c>
      <c r="Q251" s="33">
        <f t="shared" si="99"/>
        <v>0.99999800474166611</v>
      </c>
      <c r="R251" s="33">
        <v>0</v>
      </c>
      <c r="S251" s="33">
        <f t="shared" si="100"/>
        <v>1.9952583339051124E-6</v>
      </c>
      <c r="T251" s="8">
        <f t="shared" si="103"/>
        <v>1</v>
      </c>
      <c r="U251" s="33">
        <f t="shared" ref="U251:U314" si="124">((1*N251)+(1*O251)+(1*P251))</f>
        <v>0</v>
      </c>
      <c r="V251" s="33">
        <f t="shared" ref="V251:V314" si="125">-((1*O251)+(2*P251)+(1*Q251)+(2*R251))</f>
        <v>-0.99999800474166611</v>
      </c>
      <c r="W251" s="33">
        <f t="shared" ref="W251:W314" si="126">(N251*(K251+1))+(O251*K251)+(P251*(K251-1))+(Q251*(K251-1))+(R251*(K251-2))+(S251*K251)</f>
        <v>412.97360199525832</v>
      </c>
      <c r="X251" s="33">
        <v>96485</v>
      </c>
      <c r="Y251" s="16">
        <f t="shared" ref="Y251:Y314" si="127">((V251+U251)/W251)*X251</f>
        <v>-233.63432195505678</v>
      </c>
      <c r="Z251" s="16">
        <v>8</v>
      </c>
      <c r="AA251" s="16">
        <v>15</v>
      </c>
      <c r="AB251" s="8">
        <f t="shared" ref="AB251:AB314" si="128">(Z251/AA251)*(12/19)</f>
        <v>0.33684210526315789</v>
      </c>
      <c r="AC251" s="16">
        <f t="shared" ref="AC251:AC314" si="129">((AA251*19)/K251)*100</f>
        <v>68.844969824162703</v>
      </c>
      <c r="AD251" s="20">
        <f>'PFAS Properties'!$W$33</f>
        <v>7</v>
      </c>
      <c r="AE251" s="8">
        <f>'PFAS Properties'!$S$33</f>
        <v>2.6821450763738319</v>
      </c>
      <c r="AF251" s="15">
        <f>'PFAS Properties'!$V$33</f>
        <v>4.9000000000000004</v>
      </c>
      <c r="AG251" s="24">
        <v>5.5</v>
      </c>
      <c r="AH251" s="2" t="s">
        <v>122</v>
      </c>
      <c r="AI251" s="2" t="s">
        <v>661</v>
      </c>
      <c r="AJ251" s="2" t="s">
        <v>661</v>
      </c>
      <c r="AK251" s="2" t="s">
        <v>661</v>
      </c>
      <c r="AL251" s="2" t="s">
        <v>661</v>
      </c>
      <c r="AM251" s="2" t="s">
        <v>661</v>
      </c>
      <c r="AN251" s="2" t="s">
        <v>661</v>
      </c>
      <c r="AO251" s="2" t="s">
        <v>661</v>
      </c>
      <c r="AP251" s="16">
        <v>8</v>
      </c>
      <c r="AQ251" s="2" t="s">
        <v>661</v>
      </c>
      <c r="AR251" s="16">
        <v>51.4</v>
      </c>
      <c r="AS251" s="16">
        <v>10.200000000000003</v>
      </c>
      <c r="AT251" s="16">
        <v>38.4</v>
      </c>
      <c r="AU251" s="2" t="s">
        <v>661</v>
      </c>
      <c r="AV251" s="16">
        <f t="shared" si="109"/>
        <v>100</v>
      </c>
      <c r="AW251" s="18">
        <v>0.1</v>
      </c>
      <c r="AX251" s="13">
        <f t="shared" si="105"/>
        <v>1E-3</v>
      </c>
      <c r="AY251" s="13" t="s">
        <v>123</v>
      </c>
      <c r="AZ251" s="16">
        <f t="shared" si="123"/>
        <v>100</v>
      </c>
      <c r="BA251" s="16" t="s">
        <v>55</v>
      </c>
      <c r="BB251" s="15">
        <v>2.2999999999999998</v>
      </c>
      <c r="BC251" s="16" t="s">
        <v>55</v>
      </c>
      <c r="BD251" s="18">
        <v>4.2</v>
      </c>
      <c r="BE251" s="15">
        <f t="shared" ref="BE251:BE314" si="130">BD251/AX251</f>
        <v>4200</v>
      </c>
      <c r="BF251" s="8">
        <f t="shared" ref="BF251:BF314" si="131">LOG(BE251)</f>
        <v>3.6232492903979003</v>
      </c>
      <c r="BG251" s="8">
        <f t="shared" ref="BG251:BG314" si="132">LOG(BD251)</f>
        <v>0.62324929039790045</v>
      </c>
      <c r="BH251" s="13" t="s">
        <v>841</v>
      </c>
      <c r="BI251" s="13"/>
      <c r="BJ251" s="13"/>
      <c r="BK251" s="8"/>
      <c r="BL251" s="8"/>
      <c r="BM251" s="18"/>
      <c r="BN251" s="8"/>
      <c r="BO251" s="8"/>
    </row>
    <row r="252" spans="1:67" s="14" customFormat="1" x14ac:dyDescent="0.3">
      <c r="A252" s="20">
        <v>258</v>
      </c>
      <c r="B252" s="2" t="s">
        <v>241</v>
      </c>
      <c r="C252" s="2">
        <v>2019</v>
      </c>
      <c r="D252" s="2" t="s">
        <v>201</v>
      </c>
      <c r="E252" s="10" t="s">
        <v>800</v>
      </c>
      <c r="F252" s="20" t="s">
        <v>29</v>
      </c>
      <c r="G252" s="2">
        <v>6</v>
      </c>
      <c r="H252" s="2" t="str">
        <f>'PFAS Properties'!$B$33</f>
        <v>PFOA</v>
      </c>
      <c r="I252" s="2" t="str">
        <f>'PFAS Properties'!$C$33</f>
        <v>PFCA</v>
      </c>
      <c r="J252" s="2" t="str">
        <f>'PFAS Properties'!$D$33</f>
        <v>C8HF15O2</v>
      </c>
      <c r="K252" s="25">
        <f>'PFAS Properties'!$P$33</f>
        <v>413.97359999999998</v>
      </c>
      <c r="L252" s="2">
        <f>'PFAS Properties'!$X$33</f>
        <v>-0.2</v>
      </c>
      <c r="M252" s="2" t="str">
        <f>'PFAS Properties'!$Y$33</f>
        <v>-</v>
      </c>
      <c r="N252" s="33">
        <v>0</v>
      </c>
      <c r="O252" s="33">
        <v>0</v>
      </c>
      <c r="P252" s="33">
        <v>0</v>
      </c>
      <c r="Q252" s="33">
        <f t="shared" si="99"/>
        <v>0.99999992056718279</v>
      </c>
      <c r="R252" s="33">
        <v>0</v>
      </c>
      <c r="S252" s="33">
        <f t="shared" si="100"/>
        <v>7.9432817162854954E-8</v>
      </c>
      <c r="T252" s="8">
        <f t="shared" si="103"/>
        <v>1</v>
      </c>
      <c r="U252" s="33">
        <f t="shared" si="124"/>
        <v>0</v>
      </c>
      <c r="V252" s="33">
        <f t="shared" si="125"/>
        <v>-0.99999992056718279</v>
      </c>
      <c r="W252" s="33">
        <f t="shared" si="126"/>
        <v>412.97360007943274</v>
      </c>
      <c r="X252" s="33">
        <v>96485</v>
      </c>
      <c r="Y252" s="16">
        <f t="shared" si="127"/>
        <v>-233.63477064240035</v>
      </c>
      <c r="Z252" s="16">
        <v>8</v>
      </c>
      <c r="AA252" s="16">
        <v>15</v>
      </c>
      <c r="AB252" s="8">
        <f t="shared" si="128"/>
        <v>0.33684210526315789</v>
      </c>
      <c r="AC252" s="16">
        <f t="shared" si="129"/>
        <v>68.844969824162703</v>
      </c>
      <c r="AD252" s="20">
        <f>'PFAS Properties'!$W$33</f>
        <v>7</v>
      </c>
      <c r="AE252" s="8">
        <f>'PFAS Properties'!$S$33</f>
        <v>2.6821450763738319</v>
      </c>
      <c r="AF252" s="15">
        <f>'PFAS Properties'!$V$33</f>
        <v>4.9000000000000004</v>
      </c>
      <c r="AG252" s="24">
        <v>6.9</v>
      </c>
      <c r="AH252" s="2" t="s">
        <v>122</v>
      </c>
      <c r="AI252" s="2" t="s">
        <v>661</v>
      </c>
      <c r="AJ252" s="2" t="s">
        <v>661</v>
      </c>
      <c r="AK252" s="2" t="s">
        <v>661</v>
      </c>
      <c r="AL252" s="2" t="s">
        <v>661</v>
      </c>
      <c r="AM252" s="2" t="s">
        <v>661</v>
      </c>
      <c r="AN252" s="2" t="s">
        <v>661</v>
      </c>
      <c r="AO252" s="2" t="s">
        <v>661</v>
      </c>
      <c r="AP252" s="16">
        <v>19.7</v>
      </c>
      <c r="AQ252" s="2" t="s">
        <v>661</v>
      </c>
      <c r="AR252" s="16">
        <v>41.6</v>
      </c>
      <c r="AS252" s="16">
        <v>7.7999999999999972</v>
      </c>
      <c r="AT252" s="16">
        <v>50.6</v>
      </c>
      <c r="AU252" s="2" t="s">
        <v>661</v>
      </c>
      <c r="AV252" s="16">
        <f t="shared" si="109"/>
        <v>100</v>
      </c>
      <c r="AW252" s="18">
        <v>0.1</v>
      </c>
      <c r="AX252" s="13">
        <f t="shared" si="105"/>
        <v>1E-3</v>
      </c>
      <c r="AY252" s="13" t="s">
        <v>123</v>
      </c>
      <c r="AZ252" s="16">
        <f t="shared" si="123"/>
        <v>100</v>
      </c>
      <c r="BA252" s="16" t="s">
        <v>55</v>
      </c>
      <c r="BB252" s="15">
        <v>2.2999999999999998</v>
      </c>
      <c r="BC252" s="16" t="s">
        <v>55</v>
      </c>
      <c r="BD252" s="18">
        <v>1.5</v>
      </c>
      <c r="BE252" s="15">
        <f t="shared" si="130"/>
        <v>1500</v>
      </c>
      <c r="BF252" s="8">
        <f t="shared" si="131"/>
        <v>3.1760912590556813</v>
      </c>
      <c r="BG252" s="8">
        <f t="shared" si="132"/>
        <v>0.17609125905568124</v>
      </c>
      <c r="BH252" s="13" t="s">
        <v>841</v>
      </c>
      <c r="BI252" s="13"/>
      <c r="BJ252" s="13"/>
      <c r="BK252" s="8"/>
      <c r="BL252" s="8"/>
      <c r="BM252" s="18"/>
      <c r="BN252" s="8"/>
      <c r="BO252" s="24"/>
    </row>
    <row r="253" spans="1:67" s="14" customFormat="1" x14ac:dyDescent="0.3">
      <c r="A253" s="20">
        <v>259</v>
      </c>
      <c r="B253" s="2" t="s">
        <v>241</v>
      </c>
      <c r="C253" s="2">
        <v>2019</v>
      </c>
      <c r="D253" s="2" t="s">
        <v>201</v>
      </c>
      <c r="E253" s="10" t="s">
        <v>800</v>
      </c>
      <c r="F253" s="20" t="s">
        <v>29</v>
      </c>
      <c r="G253" s="2">
        <v>7</v>
      </c>
      <c r="H253" s="2" t="str">
        <f>'PFAS Properties'!$B$33</f>
        <v>PFOA</v>
      </c>
      <c r="I253" s="2" t="str">
        <f>'PFAS Properties'!$C$33</f>
        <v>PFCA</v>
      </c>
      <c r="J253" s="2" t="str">
        <f>'PFAS Properties'!$D$33</f>
        <v>C8HF15O2</v>
      </c>
      <c r="K253" s="25">
        <f>'PFAS Properties'!$P$33</f>
        <v>413.97359999999998</v>
      </c>
      <c r="L253" s="2">
        <f>'PFAS Properties'!$X$33</f>
        <v>-0.2</v>
      </c>
      <c r="M253" s="2" t="str">
        <f>'PFAS Properties'!$Y$33</f>
        <v>-</v>
      </c>
      <c r="N253" s="33">
        <v>0</v>
      </c>
      <c r="O253" s="33">
        <v>0</v>
      </c>
      <c r="P253" s="33">
        <v>0</v>
      </c>
      <c r="Q253" s="33">
        <f t="shared" si="99"/>
        <v>0.99999998004737722</v>
      </c>
      <c r="R253" s="33">
        <v>0</v>
      </c>
      <c r="S253" s="33">
        <f t="shared" si="100"/>
        <v>1.995262275158161E-8</v>
      </c>
      <c r="T253" s="8">
        <f t="shared" si="103"/>
        <v>1</v>
      </c>
      <c r="U253" s="33">
        <f t="shared" si="124"/>
        <v>0</v>
      </c>
      <c r="V253" s="33">
        <f t="shared" si="125"/>
        <v>-0.99999998004737722</v>
      </c>
      <c r="W253" s="33">
        <f t="shared" si="126"/>
        <v>412.97360001995258</v>
      </c>
      <c r="X253" s="33">
        <v>96485</v>
      </c>
      <c r="Y253" s="16">
        <f t="shared" si="127"/>
        <v>-233.63478457269321</v>
      </c>
      <c r="Z253" s="16">
        <v>8</v>
      </c>
      <c r="AA253" s="16">
        <v>15</v>
      </c>
      <c r="AB253" s="8">
        <f t="shared" si="128"/>
        <v>0.33684210526315789</v>
      </c>
      <c r="AC253" s="16">
        <f t="shared" si="129"/>
        <v>68.844969824162703</v>
      </c>
      <c r="AD253" s="20">
        <f>'PFAS Properties'!$W$33</f>
        <v>7</v>
      </c>
      <c r="AE253" s="8">
        <f>'PFAS Properties'!$S$33</f>
        <v>2.6821450763738319</v>
      </c>
      <c r="AF253" s="15">
        <f>'PFAS Properties'!$V$33</f>
        <v>4.9000000000000004</v>
      </c>
      <c r="AG253" s="24">
        <v>7.5</v>
      </c>
      <c r="AH253" s="2" t="s">
        <v>122</v>
      </c>
      <c r="AI253" s="2" t="s">
        <v>661</v>
      </c>
      <c r="AJ253" s="2" t="s">
        <v>661</v>
      </c>
      <c r="AK253" s="2" t="s">
        <v>661</v>
      </c>
      <c r="AL253" s="2" t="s">
        <v>661</v>
      </c>
      <c r="AM253" s="2" t="s">
        <v>661</v>
      </c>
      <c r="AN253" s="2" t="s">
        <v>661</v>
      </c>
      <c r="AO253" s="2" t="s">
        <v>661</v>
      </c>
      <c r="AP253" s="16">
        <v>29.1</v>
      </c>
      <c r="AQ253" s="2" t="s">
        <v>661</v>
      </c>
      <c r="AR253" s="16">
        <v>46.5</v>
      </c>
      <c r="AS253" s="16">
        <v>6</v>
      </c>
      <c r="AT253" s="16">
        <v>47.5</v>
      </c>
      <c r="AU253" s="2" t="s">
        <v>661</v>
      </c>
      <c r="AV253" s="16">
        <f t="shared" si="109"/>
        <v>100</v>
      </c>
      <c r="AW253" s="18">
        <v>0.6</v>
      </c>
      <c r="AX253" s="13">
        <f t="shared" si="105"/>
        <v>6.0000000000000001E-3</v>
      </c>
      <c r="AY253" s="13" t="s">
        <v>123</v>
      </c>
      <c r="AZ253" s="16">
        <f t="shared" si="123"/>
        <v>100</v>
      </c>
      <c r="BA253" s="16" t="s">
        <v>55</v>
      </c>
      <c r="BB253" s="15">
        <v>2.2999999999999998</v>
      </c>
      <c r="BC253" s="16" t="s">
        <v>55</v>
      </c>
      <c r="BD253" s="18">
        <v>7.3</v>
      </c>
      <c r="BE253" s="15">
        <f t="shared" si="130"/>
        <v>1216.6666666666665</v>
      </c>
      <c r="BF253" s="8">
        <f t="shared" si="131"/>
        <v>3.085171609736812</v>
      </c>
      <c r="BG253" s="8">
        <f t="shared" si="132"/>
        <v>0.86332286012045589</v>
      </c>
      <c r="BH253" s="13" t="s">
        <v>841</v>
      </c>
      <c r="BI253" s="13"/>
      <c r="BJ253" s="13"/>
      <c r="BK253" s="8"/>
      <c r="BL253" s="8"/>
      <c r="BM253" s="18"/>
      <c r="BN253" s="8"/>
      <c r="BO253" s="24"/>
    </row>
    <row r="254" spans="1:67" s="14" customFormat="1" x14ac:dyDescent="0.3">
      <c r="A254" s="20">
        <v>260</v>
      </c>
      <c r="B254" s="2" t="s">
        <v>241</v>
      </c>
      <c r="C254" s="2">
        <v>2019</v>
      </c>
      <c r="D254" s="2" t="s">
        <v>201</v>
      </c>
      <c r="E254" s="10" t="s">
        <v>800</v>
      </c>
      <c r="F254" s="20" t="s">
        <v>29</v>
      </c>
      <c r="G254" s="2">
        <v>8</v>
      </c>
      <c r="H254" s="2" t="str">
        <f>'PFAS Properties'!$B$33</f>
        <v>PFOA</v>
      </c>
      <c r="I254" s="2" t="str">
        <f>'PFAS Properties'!$C$33</f>
        <v>PFCA</v>
      </c>
      <c r="J254" s="2" t="str">
        <f>'PFAS Properties'!$D$33</f>
        <v>C8HF15O2</v>
      </c>
      <c r="K254" s="25">
        <f>'PFAS Properties'!$P$33</f>
        <v>413.97359999999998</v>
      </c>
      <c r="L254" s="2">
        <f>'PFAS Properties'!$X$33</f>
        <v>-0.2</v>
      </c>
      <c r="M254" s="2" t="str">
        <f>'PFAS Properties'!$Y$33</f>
        <v>-</v>
      </c>
      <c r="N254" s="33">
        <v>0</v>
      </c>
      <c r="O254" s="33">
        <v>0</v>
      </c>
      <c r="P254" s="33">
        <v>0</v>
      </c>
      <c r="Q254" s="33">
        <f t="shared" si="99"/>
        <v>0.99999968377233395</v>
      </c>
      <c r="R254" s="33">
        <v>0</v>
      </c>
      <c r="S254" s="33">
        <f t="shared" si="100"/>
        <v>3.1622766601686895E-7</v>
      </c>
      <c r="T254" s="8">
        <f t="shared" si="103"/>
        <v>1</v>
      </c>
      <c r="U254" s="33">
        <f t="shared" si="124"/>
        <v>0</v>
      </c>
      <c r="V254" s="33">
        <f t="shared" si="125"/>
        <v>-0.99999968377233395</v>
      </c>
      <c r="W254" s="33">
        <f t="shared" si="126"/>
        <v>412.97360031622759</v>
      </c>
      <c r="X254" s="33">
        <v>96485</v>
      </c>
      <c r="Y254" s="16">
        <f t="shared" si="127"/>
        <v>-233.63471518492202</v>
      </c>
      <c r="Z254" s="16">
        <v>8</v>
      </c>
      <c r="AA254" s="16">
        <v>15</v>
      </c>
      <c r="AB254" s="8">
        <f t="shared" si="128"/>
        <v>0.33684210526315789</v>
      </c>
      <c r="AC254" s="16">
        <f t="shared" si="129"/>
        <v>68.844969824162703</v>
      </c>
      <c r="AD254" s="20">
        <f>'PFAS Properties'!$W$33</f>
        <v>7</v>
      </c>
      <c r="AE254" s="8">
        <f>'PFAS Properties'!$S$33</f>
        <v>2.6821450763738319</v>
      </c>
      <c r="AF254" s="15">
        <f>'PFAS Properties'!$V$33</f>
        <v>4.9000000000000004</v>
      </c>
      <c r="AG254" s="24">
        <v>6.3</v>
      </c>
      <c r="AH254" s="2" t="s">
        <v>122</v>
      </c>
      <c r="AI254" s="2" t="s">
        <v>661</v>
      </c>
      <c r="AJ254" s="2" t="s">
        <v>661</v>
      </c>
      <c r="AK254" s="2" t="s">
        <v>661</v>
      </c>
      <c r="AL254" s="2" t="s">
        <v>661</v>
      </c>
      <c r="AM254" s="2" t="s">
        <v>661</v>
      </c>
      <c r="AN254" s="2" t="s">
        <v>661</v>
      </c>
      <c r="AO254" s="2" t="s">
        <v>661</v>
      </c>
      <c r="AP254" s="16">
        <v>13.6</v>
      </c>
      <c r="AQ254" s="2" t="s">
        <v>661</v>
      </c>
      <c r="AR254" s="16">
        <v>43.8</v>
      </c>
      <c r="AS254" s="16">
        <v>36.1</v>
      </c>
      <c r="AT254" s="16">
        <v>20.100000000000001</v>
      </c>
      <c r="AU254" s="2" t="s">
        <v>661</v>
      </c>
      <c r="AV254" s="16">
        <f t="shared" si="109"/>
        <v>100</v>
      </c>
      <c r="AW254" s="18">
        <v>1.3</v>
      </c>
      <c r="AX254" s="13">
        <f t="shared" si="105"/>
        <v>1.3000000000000001E-2</v>
      </c>
      <c r="AY254" s="13" t="s">
        <v>123</v>
      </c>
      <c r="AZ254" s="16">
        <f t="shared" si="123"/>
        <v>100</v>
      </c>
      <c r="BA254" s="16" t="s">
        <v>55</v>
      </c>
      <c r="BB254" s="15">
        <v>2.2999999999999998</v>
      </c>
      <c r="BC254" s="16" t="s">
        <v>55</v>
      </c>
      <c r="BD254" s="18">
        <v>9.3000000000000007</v>
      </c>
      <c r="BE254" s="15">
        <f t="shared" si="130"/>
        <v>715.38461538461536</v>
      </c>
      <c r="BF254" s="8">
        <f t="shared" si="131"/>
        <v>2.8545395962470983</v>
      </c>
      <c r="BG254" s="8">
        <f t="shared" si="132"/>
        <v>0.96848294855393513</v>
      </c>
      <c r="BH254" s="13" t="s">
        <v>841</v>
      </c>
      <c r="BI254" s="13"/>
      <c r="BJ254" s="13"/>
      <c r="BK254" s="8"/>
      <c r="BL254" s="8"/>
      <c r="BM254" s="18"/>
      <c r="BN254" s="8"/>
      <c r="BO254" s="24"/>
    </row>
    <row r="255" spans="1:67" s="14" customFormat="1" x14ac:dyDescent="0.3">
      <c r="A255" s="20">
        <v>261</v>
      </c>
      <c r="B255" s="2" t="s">
        <v>241</v>
      </c>
      <c r="C255" s="2">
        <v>2019</v>
      </c>
      <c r="D255" s="2" t="s">
        <v>201</v>
      </c>
      <c r="E255" s="10" t="s">
        <v>800</v>
      </c>
      <c r="F255" s="20" t="s">
        <v>29</v>
      </c>
      <c r="G255" s="2">
        <v>9</v>
      </c>
      <c r="H255" s="2" t="str">
        <f>'PFAS Properties'!$B$33</f>
        <v>PFOA</v>
      </c>
      <c r="I255" s="2" t="str">
        <f>'PFAS Properties'!$C$33</f>
        <v>PFCA</v>
      </c>
      <c r="J255" s="2" t="str">
        <f>'PFAS Properties'!$D$33</f>
        <v>C8HF15O2</v>
      </c>
      <c r="K255" s="25">
        <f>'PFAS Properties'!$P$33</f>
        <v>413.97359999999998</v>
      </c>
      <c r="L255" s="2">
        <f>'PFAS Properties'!$X$33</f>
        <v>-0.2</v>
      </c>
      <c r="M255" s="2" t="str">
        <f>'PFAS Properties'!$Y$33</f>
        <v>-</v>
      </c>
      <c r="N255" s="33">
        <v>0</v>
      </c>
      <c r="O255" s="33">
        <v>0</v>
      </c>
      <c r="P255" s="33">
        <v>0</v>
      </c>
      <c r="Q255" s="33">
        <f t="shared" si="99"/>
        <v>0.99999997488113634</v>
      </c>
      <c r="R255" s="33">
        <v>0</v>
      </c>
      <c r="S255" s="33">
        <f t="shared" si="100"/>
        <v>2.5118863684138424E-8</v>
      </c>
      <c r="T255" s="8">
        <f t="shared" si="103"/>
        <v>1</v>
      </c>
      <c r="U255" s="33">
        <f t="shared" si="124"/>
        <v>0</v>
      </c>
      <c r="V255" s="33">
        <f t="shared" si="125"/>
        <v>-0.99999997488113634</v>
      </c>
      <c r="W255" s="33">
        <f t="shared" si="126"/>
        <v>412.97360002511886</v>
      </c>
      <c r="X255" s="33">
        <v>96485</v>
      </c>
      <c r="Y255" s="16">
        <f t="shared" si="127"/>
        <v>-233.63478336275685</v>
      </c>
      <c r="Z255" s="16">
        <v>8</v>
      </c>
      <c r="AA255" s="16">
        <v>15</v>
      </c>
      <c r="AB255" s="8">
        <f t="shared" si="128"/>
        <v>0.33684210526315789</v>
      </c>
      <c r="AC255" s="16">
        <f t="shared" si="129"/>
        <v>68.844969824162703</v>
      </c>
      <c r="AD255" s="20">
        <f>'PFAS Properties'!$W$33</f>
        <v>7</v>
      </c>
      <c r="AE255" s="8">
        <f>'PFAS Properties'!$S$33</f>
        <v>2.6821450763738319</v>
      </c>
      <c r="AF255" s="15">
        <f>'PFAS Properties'!$V$33</f>
        <v>4.9000000000000004</v>
      </c>
      <c r="AG255" s="24">
        <v>7.4</v>
      </c>
      <c r="AH255" s="2" t="s">
        <v>122</v>
      </c>
      <c r="AI255" s="2" t="s">
        <v>661</v>
      </c>
      <c r="AJ255" s="2" t="s">
        <v>661</v>
      </c>
      <c r="AK255" s="2" t="s">
        <v>661</v>
      </c>
      <c r="AL255" s="2" t="s">
        <v>661</v>
      </c>
      <c r="AM255" s="2" t="s">
        <v>661</v>
      </c>
      <c r="AN255" s="2" t="s">
        <v>661</v>
      </c>
      <c r="AO255" s="2" t="s">
        <v>661</v>
      </c>
      <c r="AP255" s="16">
        <v>27.2</v>
      </c>
      <c r="AQ255" s="2" t="s">
        <v>661</v>
      </c>
      <c r="AR255" s="16">
        <v>30.8</v>
      </c>
      <c r="AS255" s="16">
        <v>32.300000000000004</v>
      </c>
      <c r="AT255" s="16">
        <v>36.9</v>
      </c>
      <c r="AU255" s="2" t="s">
        <v>661</v>
      </c>
      <c r="AV255" s="16">
        <f t="shared" si="109"/>
        <v>100</v>
      </c>
      <c r="AW255" s="18">
        <v>0.2</v>
      </c>
      <c r="AX255" s="13">
        <f t="shared" si="105"/>
        <v>2E-3</v>
      </c>
      <c r="AY255" s="13" t="s">
        <v>123</v>
      </c>
      <c r="AZ255" s="16">
        <f t="shared" si="123"/>
        <v>100</v>
      </c>
      <c r="BA255" s="16" t="s">
        <v>55</v>
      </c>
      <c r="BB255" s="15">
        <v>2.2999999999999998</v>
      </c>
      <c r="BC255" s="16" t="s">
        <v>55</v>
      </c>
      <c r="BD255" s="18">
        <v>5.2</v>
      </c>
      <c r="BE255" s="15">
        <f t="shared" si="130"/>
        <v>2600</v>
      </c>
      <c r="BF255" s="8">
        <f t="shared" si="131"/>
        <v>3.4149733479708178</v>
      </c>
      <c r="BG255" s="8">
        <f t="shared" si="132"/>
        <v>0.71600334363479923</v>
      </c>
      <c r="BH255" s="13" t="s">
        <v>841</v>
      </c>
      <c r="BI255" s="13"/>
      <c r="BJ255" s="13"/>
      <c r="BK255" s="8"/>
      <c r="BL255" s="8"/>
      <c r="BM255" s="18"/>
      <c r="BN255" s="8"/>
      <c r="BO255" s="24"/>
    </row>
    <row r="256" spans="1:67" s="14" customFormat="1" x14ac:dyDescent="0.3">
      <c r="A256" s="20">
        <v>262</v>
      </c>
      <c r="B256" s="2" t="s">
        <v>241</v>
      </c>
      <c r="C256" s="2">
        <v>2019</v>
      </c>
      <c r="D256" s="2" t="s">
        <v>201</v>
      </c>
      <c r="E256" s="10" t="s">
        <v>800</v>
      </c>
      <c r="F256" s="20" t="s">
        <v>29</v>
      </c>
      <c r="G256" s="2">
        <v>10</v>
      </c>
      <c r="H256" s="2" t="str">
        <f>'PFAS Properties'!$B$33</f>
        <v>PFOA</v>
      </c>
      <c r="I256" s="2" t="str">
        <f>'PFAS Properties'!$C$33</f>
        <v>PFCA</v>
      </c>
      <c r="J256" s="2" t="str">
        <f>'PFAS Properties'!$D$33</f>
        <v>C8HF15O2</v>
      </c>
      <c r="K256" s="25">
        <f>'PFAS Properties'!$P$33</f>
        <v>413.97359999999998</v>
      </c>
      <c r="L256" s="2">
        <f>'PFAS Properties'!$X$33</f>
        <v>-0.2</v>
      </c>
      <c r="M256" s="2" t="str">
        <f>'PFAS Properties'!$Y$33</f>
        <v>-</v>
      </c>
      <c r="N256" s="33">
        <v>0</v>
      </c>
      <c r="O256" s="33">
        <v>0</v>
      </c>
      <c r="P256" s="33">
        <v>0</v>
      </c>
      <c r="Q256" s="33">
        <f t="shared" si="99"/>
        <v>0.99999996837722438</v>
      </c>
      <c r="R256" s="33">
        <v>0</v>
      </c>
      <c r="S256" s="33">
        <f t="shared" si="100"/>
        <v>3.1622775601683729E-8</v>
      </c>
      <c r="T256" s="8">
        <f t="shared" si="103"/>
        <v>1</v>
      </c>
      <c r="U256" s="33">
        <f t="shared" si="124"/>
        <v>0</v>
      </c>
      <c r="V256" s="33">
        <f t="shared" si="125"/>
        <v>-0.99999996837722438</v>
      </c>
      <c r="W256" s="33">
        <f t="shared" si="126"/>
        <v>412.97360003162271</v>
      </c>
      <c r="X256" s="33">
        <v>96485</v>
      </c>
      <c r="Y256" s="16">
        <f t="shared" si="127"/>
        <v>-233.63478183953725</v>
      </c>
      <c r="Z256" s="16">
        <v>8</v>
      </c>
      <c r="AA256" s="16">
        <v>15</v>
      </c>
      <c r="AB256" s="8">
        <f t="shared" si="128"/>
        <v>0.33684210526315789</v>
      </c>
      <c r="AC256" s="16">
        <f t="shared" si="129"/>
        <v>68.844969824162703</v>
      </c>
      <c r="AD256" s="20">
        <f>'PFAS Properties'!$W$33</f>
        <v>7</v>
      </c>
      <c r="AE256" s="8">
        <f>'PFAS Properties'!$S$33</f>
        <v>2.6821450763738319</v>
      </c>
      <c r="AF256" s="15">
        <f>'PFAS Properties'!$V$33</f>
        <v>4.9000000000000004</v>
      </c>
      <c r="AG256" s="24">
        <v>7.3</v>
      </c>
      <c r="AH256" s="2" t="s">
        <v>122</v>
      </c>
      <c r="AI256" s="2" t="s">
        <v>661</v>
      </c>
      <c r="AJ256" s="2" t="s">
        <v>661</v>
      </c>
      <c r="AK256" s="2" t="s">
        <v>661</v>
      </c>
      <c r="AL256" s="2" t="s">
        <v>661</v>
      </c>
      <c r="AM256" s="2" t="s">
        <v>661</v>
      </c>
      <c r="AN256" s="2" t="s">
        <v>661</v>
      </c>
      <c r="AO256" s="2" t="s">
        <v>661</v>
      </c>
      <c r="AP256" s="16">
        <v>17.399999999999999</v>
      </c>
      <c r="AQ256" s="2" t="s">
        <v>661</v>
      </c>
      <c r="AR256" s="16">
        <v>48.9</v>
      </c>
      <c r="AS256" s="16">
        <v>16</v>
      </c>
      <c r="AT256" s="16">
        <v>35.1</v>
      </c>
      <c r="AU256" s="2" t="s">
        <v>661</v>
      </c>
      <c r="AV256" s="16">
        <f t="shared" si="109"/>
        <v>100</v>
      </c>
      <c r="AW256" s="18">
        <v>0.8</v>
      </c>
      <c r="AX256" s="13">
        <f t="shared" si="105"/>
        <v>8.0000000000000002E-3</v>
      </c>
      <c r="AY256" s="13" t="s">
        <v>123</v>
      </c>
      <c r="AZ256" s="16">
        <f t="shared" si="123"/>
        <v>100</v>
      </c>
      <c r="BA256" s="16" t="s">
        <v>55</v>
      </c>
      <c r="BB256" s="15">
        <v>2.2999999999999998</v>
      </c>
      <c r="BC256" s="16" t="s">
        <v>55</v>
      </c>
      <c r="BD256" s="18">
        <v>7.8</v>
      </c>
      <c r="BE256" s="15">
        <f t="shared" si="130"/>
        <v>975</v>
      </c>
      <c r="BF256" s="8">
        <f t="shared" si="131"/>
        <v>2.989004615698537</v>
      </c>
      <c r="BG256" s="8">
        <f t="shared" si="132"/>
        <v>0.89209460269048035</v>
      </c>
      <c r="BH256" s="13" t="s">
        <v>841</v>
      </c>
      <c r="BI256" s="13"/>
      <c r="BJ256" s="13"/>
      <c r="BK256" s="8"/>
      <c r="BL256" s="8"/>
      <c r="BM256" s="18"/>
      <c r="BN256" s="8"/>
      <c r="BO256" s="24"/>
    </row>
    <row r="257" spans="1:67" s="14" customFormat="1" x14ac:dyDescent="0.3">
      <c r="A257" s="20">
        <v>263</v>
      </c>
      <c r="B257" s="2" t="s">
        <v>241</v>
      </c>
      <c r="C257" s="2">
        <v>2019</v>
      </c>
      <c r="D257" s="2" t="s">
        <v>201</v>
      </c>
      <c r="E257" s="10" t="s">
        <v>800</v>
      </c>
      <c r="F257" s="20" t="s">
        <v>29</v>
      </c>
      <c r="G257" s="2">
        <v>11</v>
      </c>
      <c r="H257" s="2" t="str">
        <f>'PFAS Properties'!$B$33</f>
        <v>PFOA</v>
      </c>
      <c r="I257" s="2" t="str">
        <f>'PFAS Properties'!$C$33</f>
        <v>PFCA</v>
      </c>
      <c r="J257" s="2" t="str">
        <f>'PFAS Properties'!$D$33</f>
        <v>C8HF15O2</v>
      </c>
      <c r="K257" s="25">
        <f>'PFAS Properties'!$P$33</f>
        <v>413.97359999999998</v>
      </c>
      <c r="L257" s="2">
        <f>'PFAS Properties'!$X$33</f>
        <v>-0.2</v>
      </c>
      <c r="M257" s="2" t="str">
        <f>'PFAS Properties'!$Y$33</f>
        <v>-</v>
      </c>
      <c r="N257" s="33">
        <v>0</v>
      </c>
      <c r="O257" s="33">
        <v>0</v>
      </c>
      <c r="P257" s="33">
        <v>0</v>
      </c>
      <c r="Q257" s="33">
        <f t="shared" si="99"/>
        <v>0.99999997488113634</v>
      </c>
      <c r="R257" s="33">
        <v>0</v>
      </c>
      <c r="S257" s="33">
        <f t="shared" si="100"/>
        <v>2.5118863684138424E-8</v>
      </c>
      <c r="T257" s="8">
        <f t="shared" si="103"/>
        <v>1</v>
      </c>
      <c r="U257" s="33">
        <f t="shared" si="124"/>
        <v>0</v>
      </c>
      <c r="V257" s="33">
        <f t="shared" si="125"/>
        <v>-0.99999997488113634</v>
      </c>
      <c r="W257" s="33">
        <f t="shared" si="126"/>
        <v>412.97360002511886</v>
      </c>
      <c r="X257" s="33">
        <v>96485</v>
      </c>
      <c r="Y257" s="16">
        <f t="shared" si="127"/>
        <v>-233.63478336275685</v>
      </c>
      <c r="Z257" s="16">
        <v>8</v>
      </c>
      <c r="AA257" s="16">
        <v>15</v>
      </c>
      <c r="AB257" s="8">
        <f t="shared" si="128"/>
        <v>0.33684210526315789</v>
      </c>
      <c r="AC257" s="16">
        <f t="shared" si="129"/>
        <v>68.844969824162703</v>
      </c>
      <c r="AD257" s="20">
        <f>'PFAS Properties'!$W$33</f>
        <v>7</v>
      </c>
      <c r="AE257" s="8">
        <f>'PFAS Properties'!$S$33</f>
        <v>2.6821450763738319</v>
      </c>
      <c r="AF257" s="15">
        <f>'PFAS Properties'!$V$33</f>
        <v>4.9000000000000004</v>
      </c>
      <c r="AG257" s="24">
        <v>7.4</v>
      </c>
      <c r="AH257" s="2" t="s">
        <v>122</v>
      </c>
      <c r="AI257" s="2" t="s">
        <v>661</v>
      </c>
      <c r="AJ257" s="2" t="s">
        <v>661</v>
      </c>
      <c r="AK257" s="2" t="s">
        <v>661</v>
      </c>
      <c r="AL257" s="2" t="s">
        <v>661</v>
      </c>
      <c r="AM257" s="2" t="s">
        <v>661</v>
      </c>
      <c r="AN257" s="2" t="s">
        <v>661</v>
      </c>
      <c r="AO257" s="2" t="s">
        <v>661</v>
      </c>
      <c r="AP257" s="16">
        <v>13.5</v>
      </c>
      <c r="AQ257" s="2" t="s">
        <v>661</v>
      </c>
      <c r="AR257" s="16">
        <v>35.5</v>
      </c>
      <c r="AS257" s="16">
        <v>16.600000000000001</v>
      </c>
      <c r="AT257" s="16">
        <v>47.9</v>
      </c>
      <c r="AU257" s="2" t="s">
        <v>661</v>
      </c>
      <c r="AV257" s="16">
        <f t="shared" si="109"/>
        <v>100</v>
      </c>
      <c r="AW257" s="18">
        <v>0.1</v>
      </c>
      <c r="AX257" s="13">
        <f t="shared" si="105"/>
        <v>1E-3</v>
      </c>
      <c r="AY257" s="13" t="s">
        <v>123</v>
      </c>
      <c r="AZ257" s="16">
        <f t="shared" si="123"/>
        <v>100</v>
      </c>
      <c r="BA257" s="16" t="s">
        <v>55</v>
      </c>
      <c r="BB257" s="15">
        <v>2.2999999999999998</v>
      </c>
      <c r="BC257" s="16" t="s">
        <v>55</v>
      </c>
      <c r="BD257" s="18">
        <v>3.4</v>
      </c>
      <c r="BE257" s="15">
        <f t="shared" si="130"/>
        <v>3400</v>
      </c>
      <c r="BF257" s="8">
        <f t="shared" si="131"/>
        <v>3.5314789170422549</v>
      </c>
      <c r="BG257" s="8">
        <f t="shared" si="132"/>
        <v>0.53147891704225514</v>
      </c>
      <c r="BH257" s="13" t="s">
        <v>841</v>
      </c>
      <c r="BI257" s="13"/>
      <c r="BJ257" s="13"/>
      <c r="BK257" s="8"/>
      <c r="BL257" s="8"/>
      <c r="BM257" s="18"/>
      <c r="BN257" s="8"/>
      <c r="BO257" s="24"/>
    </row>
    <row r="258" spans="1:67" s="14" customFormat="1" x14ac:dyDescent="0.3">
      <c r="A258" s="20">
        <v>264</v>
      </c>
      <c r="B258" s="2" t="s">
        <v>241</v>
      </c>
      <c r="C258" s="2">
        <v>2019</v>
      </c>
      <c r="D258" s="2" t="s">
        <v>201</v>
      </c>
      <c r="E258" s="10" t="s">
        <v>800</v>
      </c>
      <c r="F258" s="20" t="s">
        <v>29</v>
      </c>
      <c r="G258" s="2">
        <v>12</v>
      </c>
      <c r="H258" s="2" t="str">
        <f>'PFAS Properties'!$B$33</f>
        <v>PFOA</v>
      </c>
      <c r="I258" s="2" t="str">
        <f>'PFAS Properties'!$C$33</f>
        <v>PFCA</v>
      </c>
      <c r="J258" s="2" t="str">
        <f>'PFAS Properties'!$D$33</f>
        <v>C8HF15O2</v>
      </c>
      <c r="K258" s="25">
        <f>'PFAS Properties'!$P$33</f>
        <v>413.97359999999998</v>
      </c>
      <c r="L258" s="2">
        <f>'PFAS Properties'!$X$33</f>
        <v>-0.2</v>
      </c>
      <c r="M258" s="2" t="str">
        <f>'PFAS Properties'!$Y$33</f>
        <v>-</v>
      </c>
      <c r="N258" s="33">
        <v>0</v>
      </c>
      <c r="O258" s="33">
        <v>0</v>
      </c>
      <c r="P258" s="33">
        <v>0</v>
      </c>
      <c r="Q258" s="33">
        <f t="shared" si="99"/>
        <v>0.99999936904305364</v>
      </c>
      <c r="R258" s="33">
        <v>0</v>
      </c>
      <c r="S258" s="33">
        <f t="shared" si="100"/>
        <v>6.309569463732732E-7</v>
      </c>
      <c r="T258" s="8">
        <f t="shared" si="103"/>
        <v>1</v>
      </c>
      <c r="U258" s="33">
        <f t="shared" si="124"/>
        <v>0</v>
      </c>
      <c r="V258" s="33">
        <f t="shared" si="125"/>
        <v>-0.99999936904305364</v>
      </c>
      <c r="W258" s="33">
        <f t="shared" si="126"/>
        <v>412.97360063095692</v>
      </c>
      <c r="X258" s="33">
        <v>96485</v>
      </c>
      <c r="Y258" s="16">
        <f t="shared" si="127"/>
        <v>-233.63464147515879</v>
      </c>
      <c r="Z258" s="16">
        <v>8</v>
      </c>
      <c r="AA258" s="16">
        <v>15</v>
      </c>
      <c r="AB258" s="8">
        <f t="shared" si="128"/>
        <v>0.33684210526315789</v>
      </c>
      <c r="AC258" s="16">
        <f t="shared" si="129"/>
        <v>68.844969824162703</v>
      </c>
      <c r="AD258" s="20">
        <f>'PFAS Properties'!$W$33</f>
        <v>7</v>
      </c>
      <c r="AE258" s="8">
        <f>'PFAS Properties'!$S$33</f>
        <v>2.6821450763738319</v>
      </c>
      <c r="AF258" s="15">
        <f>'PFAS Properties'!$V$33</f>
        <v>4.9000000000000004</v>
      </c>
      <c r="AG258" s="24">
        <v>6</v>
      </c>
      <c r="AH258" s="2" t="s">
        <v>122</v>
      </c>
      <c r="AI258" s="2" t="s">
        <v>661</v>
      </c>
      <c r="AJ258" s="2" t="s">
        <v>661</v>
      </c>
      <c r="AK258" s="2" t="s">
        <v>661</v>
      </c>
      <c r="AL258" s="2" t="s">
        <v>661</v>
      </c>
      <c r="AM258" s="2" t="s">
        <v>661</v>
      </c>
      <c r="AN258" s="2" t="s">
        <v>661</v>
      </c>
      <c r="AO258" s="2" t="s">
        <v>661</v>
      </c>
      <c r="AP258" s="16">
        <v>10.3</v>
      </c>
      <c r="AQ258" s="2" t="s">
        <v>661</v>
      </c>
      <c r="AR258" s="16">
        <v>50.5</v>
      </c>
      <c r="AS258" s="16">
        <v>20.9</v>
      </c>
      <c r="AT258" s="16">
        <v>28.6</v>
      </c>
      <c r="AU258" s="2" t="s">
        <v>661</v>
      </c>
      <c r="AV258" s="16">
        <f t="shared" si="109"/>
        <v>100</v>
      </c>
      <c r="AW258" s="18">
        <v>0.4</v>
      </c>
      <c r="AX258" s="13">
        <f t="shared" si="105"/>
        <v>4.0000000000000001E-3</v>
      </c>
      <c r="AY258" s="13" t="s">
        <v>123</v>
      </c>
      <c r="AZ258" s="16">
        <f t="shared" si="123"/>
        <v>100</v>
      </c>
      <c r="BA258" s="16" t="s">
        <v>55</v>
      </c>
      <c r="BB258" s="15">
        <v>2.2999999999999998</v>
      </c>
      <c r="BC258" s="16" t="s">
        <v>55</v>
      </c>
      <c r="BD258" s="18">
        <v>6.2</v>
      </c>
      <c r="BE258" s="15">
        <f t="shared" si="130"/>
        <v>1550</v>
      </c>
      <c r="BF258" s="8">
        <f t="shared" si="131"/>
        <v>3.1903316981702914</v>
      </c>
      <c r="BG258" s="8">
        <f t="shared" si="132"/>
        <v>0.79239168949825389</v>
      </c>
      <c r="BH258" s="13" t="s">
        <v>841</v>
      </c>
      <c r="BI258" s="13"/>
      <c r="BJ258" s="13"/>
      <c r="BK258" s="8"/>
      <c r="BL258" s="8"/>
      <c r="BM258" s="18"/>
      <c r="BN258" s="8"/>
      <c r="BO258" s="24"/>
    </row>
    <row r="259" spans="1:67" s="14" customFormat="1" x14ac:dyDescent="0.3">
      <c r="A259" s="20">
        <v>265</v>
      </c>
      <c r="B259" s="2" t="s">
        <v>241</v>
      </c>
      <c r="C259" s="2">
        <v>2019</v>
      </c>
      <c r="D259" s="2" t="s">
        <v>201</v>
      </c>
      <c r="E259" s="10" t="s">
        <v>800</v>
      </c>
      <c r="F259" s="20" t="s">
        <v>29</v>
      </c>
      <c r="G259" s="2">
        <v>13</v>
      </c>
      <c r="H259" s="2" t="str">
        <f>'PFAS Properties'!$B$33</f>
        <v>PFOA</v>
      </c>
      <c r="I259" s="2" t="str">
        <f>'PFAS Properties'!$C$33</f>
        <v>PFCA</v>
      </c>
      <c r="J259" s="2" t="str">
        <f>'PFAS Properties'!$D$33</f>
        <v>C8HF15O2</v>
      </c>
      <c r="K259" s="25">
        <f>'PFAS Properties'!$P$33</f>
        <v>413.97359999999998</v>
      </c>
      <c r="L259" s="2">
        <f>'PFAS Properties'!$X$33</f>
        <v>-0.2</v>
      </c>
      <c r="M259" s="2" t="str">
        <f>'PFAS Properties'!$Y$33</f>
        <v>-</v>
      </c>
      <c r="N259" s="33">
        <v>0</v>
      </c>
      <c r="O259" s="33">
        <v>0</v>
      </c>
      <c r="P259" s="33">
        <v>0</v>
      </c>
      <c r="Q259" s="33">
        <f t="shared" si="99"/>
        <v>0.99999968377233395</v>
      </c>
      <c r="R259" s="33">
        <v>0</v>
      </c>
      <c r="S259" s="33">
        <f t="shared" si="100"/>
        <v>3.1622766601686895E-7</v>
      </c>
      <c r="T259" s="8">
        <f t="shared" si="103"/>
        <v>1</v>
      </c>
      <c r="U259" s="33">
        <f t="shared" si="124"/>
        <v>0</v>
      </c>
      <c r="V259" s="33">
        <f t="shared" si="125"/>
        <v>-0.99999968377233395</v>
      </c>
      <c r="W259" s="33">
        <f t="shared" si="126"/>
        <v>412.97360031622759</v>
      </c>
      <c r="X259" s="33">
        <v>96485</v>
      </c>
      <c r="Y259" s="16">
        <f t="shared" si="127"/>
        <v>-233.63471518492202</v>
      </c>
      <c r="Z259" s="16">
        <v>8</v>
      </c>
      <c r="AA259" s="16">
        <v>15</v>
      </c>
      <c r="AB259" s="8">
        <f t="shared" si="128"/>
        <v>0.33684210526315789</v>
      </c>
      <c r="AC259" s="16">
        <f t="shared" si="129"/>
        <v>68.844969824162703</v>
      </c>
      <c r="AD259" s="20">
        <f>'PFAS Properties'!$W$33</f>
        <v>7</v>
      </c>
      <c r="AE259" s="8">
        <f>'PFAS Properties'!$S$33</f>
        <v>2.6821450763738319</v>
      </c>
      <c r="AF259" s="15">
        <f>'PFAS Properties'!$V$33</f>
        <v>4.9000000000000004</v>
      </c>
      <c r="AG259" s="24">
        <v>6.3</v>
      </c>
      <c r="AH259" s="2" t="s">
        <v>122</v>
      </c>
      <c r="AI259" s="2" t="s">
        <v>661</v>
      </c>
      <c r="AJ259" s="2" t="s">
        <v>661</v>
      </c>
      <c r="AK259" s="2" t="s">
        <v>661</v>
      </c>
      <c r="AL259" s="2" t="s">
        <v>661</v>
      </c>
      <c r="AM259" s="2" t="s">
        <v>661</v>
      </c>
      <c r="AN259" s="2" t="s">
        <v>661</v>
      </c>
      <c r="AO259" s="2" t="s">
        <v>661</v>
      </c>
      <c r="AP259" s="16">
        <v>16.100000000000001</v>
      </c>
      <c r="AQ259" s="2" t="s">
        <v>661</v>
      </c>
      <c r="AR259" s="16">
        <v>52.1</v>
      </c>
      <c r="AS259" s="16">
        <v>19.5</v>
      </c>
      <c r="AT259" s="16">
        <v>28.4</v>
      </c>
      <c r="AU259" s="2" t="s">
        <v>661</v>
      </c>
      <c r="AV259" s="16">
        <f t="shared" si="109"/>
        <v>100</v>
      </c>
      <c r="AW259" s="18">
        <v>0.1</v>
      </c>
      <c r="AX259" s="13">
        <f t="shared" si="105"/>
        <v>1E-3</v>
      </c>
      <c r="AY259" s="13" t="s">
        <v>123</v>
      </c>
      <c r="AZ259" s="16">
        <f t="shared" si="123"/>
        <v>100</v>
      </c>
      <c r="BA259" s="16" t="s">
        <v>55</v>
      </c>
      <c r="BB259" s="15">
        <v>2.2999999999999998</v>
      </c>
      <c r="BC259" s="16" t="s">
        <v>55</v>
      </c>
      <c r="BD259" s="18">
        <v>3.2</v>
      </c>
      <c r="BE259" s="15">
        <f t="shared" si="130"/>
        <v>3200</v>
      </c>
      <c r="BF259" s="8">
        <f t="shared" si="131"/>
        <v>3.5051499783199058</v>
      </c>
      <c r="BG259" s="8">
        <f t="shared" si="132"/>
        <v>0.50514997831990605</v>
      </c>
      <c r="BH259" s="13" t="s">
        <v>841</v>
      </c>
      <c r="BI259" s="13"/>
      <c r="BJ259" s="13"/>
      <c r="BK259" s="8"/>
      <c r="BL259" s="8"/>
      <c r="BM259" s="18"/>
      <c r="BN259" s="8"/>
      <c r="BO259" s="24"/>
    </row>
    <row r="260" spans="1:67" s="14" customFormat="1" x14ac:dyDescent="0.3">
      <c r="A260" s="20">
        <v>266</v>
      </c>
      <c r="B260" s="2" t="s">
        <v>241</v>
      </c>
      <c r="C260" s="2">
        <v>2019</v>
      </c>
      <c r="D260" s="2" t="s">
        <v>201</v>
      </c>
      <c r="E260" s="10" t="s">
        <v>800</v>
      </c>
      <c r="F260" s="20" t="s">
        <v>29</v>
      </c>
      <c r="G260" s="2">
        <v>14</v>
      </c>
      <c r="H260" s="2" t="str">
        <f>'PFAS Properties'!$B$33</f>
        <v>PFOA</v>
      </c>
      <c r="I260" s="2" t="str">
        <f>'PFAS Properties'!$C$33</f>
        <v>PFCA</v>
      </c>
      <c r="J260" s="2" t="str">
        <f>'PFAS Properties'!$D$33</f>
        <v>C8HF15O2</v>
      </c>
      <c r="K260" s="25">
        <f>'PFAS Properties'!$P$33</f>
        <v>413.97359999999998</v>
      </c>
      <c r="L260" s="2">
        <f>'PFAS Properties'!$X$33</f>
        <v>-0.2</v>
      </c>
      <c r="M260" s="2" t="str">
        <f>'PFAS Properties'!$Y$33</f>
        <v>-</v>
      </c>
      <c r="N260" s="33">
        <v>0</v>
      </c>
      <c r="O260" s="33">
        <v>0</v>
      </c>
      <c r="P260" s="33">
        <v>0</v>
      </c>
      <c r="Q260" s="33">
        <f t="shared" si="99"/>
        <v>0.99999998741074603</v>
      </c>
      <c r="R260" s="33">
        <v>0</v>
      </c>
      <c r="S260" s="33">
        <f t="shared" si="100"/>
        <v>1.258925395945232E-8</v>
      </c>
      <c r="T260" s="8">
        <f t="shared" si="103"/>
        <v>1</v>
      </c>
      <c r="U260" s="33">
        <f t="shared" si="124"/>
        <v>0</v>
      </c>
      <c r="V260" s="33">
        <f t="shared" si="125"/>
        <v>-0.99999998741074603</v>
      </c>
      <c r="W260" s="33">
        <f t="shared" si="126"/>
        <v>412.9736000125892</v>
      </c>
      <c r="X260" s="33">
        <v>96485</v>
      </c>
      <c r="Y260" s="16">
        <f t="shared" si="127"/>
        <v>-233.63478629719808</v>
      </c>
      <c r="Z260" s="16">
        <v>8</v>
      </c>
      <c r="AA260" s="16">
        <v>15</v>
      </c>
      <c r="AB260" s="8">
        <f t="shared" si="128"/>
        <v>0.33684210526315789</v>
      </c>
      <c r="AC260" s="16">
        <f t="shared" si="129"/>
        <v>68.844969824162703</v>
      </c>
      <c r="AD260" s="20">
        <f>'PFAS Properties'!$W$33</f>
        <v>7</v>
      </c>
      <c r="AE260" s="8">
        <f>'PFAS Properties'!$S$33</f>
        <v>2.6821450763738319</v>
      </c>
      <c r="AF260" s="15">
        <f>'PFAS Properties'!$V$33</f>
        <v>4.9000000000000004</v>
      </c>
      <c r="AG260" s="24">
        <v>7.7</v>
      </c>
      <c r="AH260" s="2" t="s">
        <v>122</v>
      </c>
      <c r="AI260" s="2" t="s">
        <v>661</v>
      </c>
      <c r="AJ260" s="2" t="s">
        <v>661</v>
      </c>
      <c r="AK260" s="2" t="s">
        <v>661</v>
      </c>
      <c r="AL260" s="2" t="s">
        <v>661</v>
      </c>
      <c r="AM260" s="2" t="s">
        <v>661</v>
      </c>
      <c r="AN260" s="2" t="s">
        <v>661</v>
      </c>
      <c r="AO260" s="2" t="s">
        <v>661</v>
      </c>
      <c r="AP260" s="16">
        <v>39.5</v>
      </c>
      <c r="AQ260" s="2" t="s">
        <v>661</v>
      </c>
      <c r="AR260" s="16">
        <v>38.5</v>
      </c>
      <c r="AS260" s="16">
        <v>8.8999999999999986</v>
      </c>
      <c r="AT260" s="16">
        <v>52.6</v>
      </c>
      <c r="AU260" s="2" t="s">
        <v>661</v>
      </c>
      <c r="AV260" s="16">
        <f t="shared" si="109"/>
        <v>100</v>
      </c>
      <c r="AW260" s="18">
        <v>0.1</v>
      </c>
      <c r="AX260" s="13">
        <f t="shared" si="105"/>
        <v>1E-3</v>
      </c>
      <c r="AY260" s="13" t="s">
        <v>123</v>
      </c>
      <c r="AZ260" s="16">
        <f t="shared" si="123"/>
        <v>100</v>
      </c>
      <c r="BA260" s="16" t="s">
        <v>55</v>
      </c>
      <c r="BB260" s="15">
        <v>2.2999999999999998</v>
      </c>
      <c r="BC260" s="16" t="s">
        <v>55</v>
      </c>
      <c r="BD260" s="18">
        <v>2.2000000000000002</v>
      </c>
      <c r="BE260" s="15">
        <f t="shared" si="130"/>
        <v>2200</v>
      </c>
      <c r="BF260" s="8">
        <f t="shared" si="131"/>
        <v>3.3424226808222062</v>
      </c>
      <c r="BG260" s="8">
        <f t="shared" si="132"/>
        <v>0.34242268082220628</v>
      </c>
      <c r="BH260" s="13" t="s">
        <v>841</v>
      </c>
      <c r="BI260" s="13"/>
      <c r="BJ260" s="13"/>
      <c r="BK260" s="8"/>
      <c r="BL260" s="8"/>
      <c r="BM260" s="18"/>
      <c r="BN260" s="8"/>
      <c r="BO260" s="24"/>
    </row>
    <row r="261" spans="1:67" s="14" customFormat="1" x14ac:dyDescent="0.3">
      <c r="A261" s="20">
        <v>267</v>
      </c>
      <c r="B261" s="2" t="s">
        <v>241</v>
      </c>
      <c r="C261" s="2">
        <v>2019</v>
      </c>
      <c r="D261" s="2" t="s">
        <v>201</v>
      </c>
      <c r="E261" s="10" t="s">
        <v>800</v>
      </c>
      <c r="F261" s="20" t="s">
        <v>29</v>
      </c>
      <c r="G261" s="2">
        <v>15</v>
      </c>
      <c r="H261" s="2" t="str">
        <f>'PFAS Properties'!$B$33</f>
        <v>PFOA</v>
      </c>
      <c r="I261" s="2" t="str">
        <f>'PFAS Properties'!$C$33</f>
        <v>PFCA</v>
      </c>
      <c r="J261" s="2" t="str">
        <f>'PFAS Properties'!$D$33</f>
        <v>C8HF15O2</v>
      </c>
      <c r="K261" s="25">
        <f>'PFAS Properties'!$P$33</f>
        <v>413.97359999999998</v>
      </c>
      <c r="L261" s="2">
        <f>'PFAS Properties'!$X$33</f>
        <v>-0.2</v>
      </c>
      <c r="M261" s="2" t="str">
        <f>'PFAS Properties'!$Y$33</f>
        <v>-</v>
      </c>
      <c r="N261" s="33">
        <v>0</v>
      </c>
      <c r="O261" s="33">
        <v>0</v>
      </c>
      <c r="P261" s="33">
        <v>0</v>
      </c>
      <c r="Q261" s="33">
        <f t="shared" si="99"/>
        <v>0.99999999205671775</v>
      </c>
      <c r="R261" s="33">
        <v>0</v>
      </c>
      <c r="S261" s="33">
        <f t="shared" si="100"/>
        <v>7.9432822841470747E-9</v>
      </c>
      <c r="T261" s="8">
        <f t="shared" si="103"/>
        <v>1</v>
      </c>
      <c r="U261" s="33">
        <f t="shared" si="124"/>
        <v>0</v>
      </c>
      <c r="V261" s="33">
        <f t="shared" si="125"/>
        <v>-0.99999999205671775</v>
      </c>
      <c r="W261" s="33">
        <f t="shared" si="126"/>
        <v>412.97360000794328</v>
      </c>
      <c r="X261" s="33">
        <v>96485</v>
      </c>
      <c r="Y261" s="16">
        <f t="shared" si="127"/>
        <v>-233.63478738528704</v>
      </c>
      <c r="Z261" s="16">
        <v>8</v>
      </c>
      <c r="AA261" s="16">
        <v>15</v>
      </c>
      <c r="AB261" s="8">
        <f t="shared" si="128"/>
        <v>0.33684210526315789</v>
      </c>
      <c r="AC261" s="16">
        <f t="shared" si="129"/>
        <v>68.844969824162703</v>
      </c>
      <c r="AD261" s="20">
        <f>'PFAS Properties'!$W$33</f>
        <v>7</v>
      </c>
      <c r="AE261" s="8">
        <f>'PFAS Properties'!$S$33</f>
        <v>2.6821450763738319</v>
      </c>
      <c r="AF261" s="15">
        <f>'PFAS Properties'!$V$33</f>
        <v>4.9000000000000004</v>
      </c>
      <c r="AG261" s="24">
        <v>7.9</v>
      </c>
      <c r="AH261" s="2" t="s">
        <v>122</v>
      </c>
      <c r="AI261" s="2" t="s">
        <v>661</v>
      </c>
      <c r="AJ261" s="2" t="s">
        <v>661</v>
      </c>
      <c r="AK261" s="2" t="s">
        <v>661</v>
      </c>
      <c r="AL261" s="2" t="s">
        <v>661</v>
      </c>
      <c r="AM261" s="2" t="s">
        <v>661</v>
      </c>
      <c r="AN261" s="2" t="s">
        <v>661</v>
      </c>
      <c r="AO261" s="2" t="s">
        <v>661</v>
      </c>
      <c r="AP261" s="16">
        <v>28.7</v>
      </c>
      <c r="AQ261" s="2" t="s">
        <v>661</v>
      </c>
      <c r="AR261" s="16">
        <v>36.5</v>
      </c>
      <c r="AS261" s="16">
        <v>9.2999999999999972</v>
      </c>
      <c r="AT261" s="16">
        <v>54.2</v>
      </c>
      <c r="AU261" s="2" t="s">
        <v>661</v>
      </c>
      <c r="AV261" s="16">
        <f t="shared" si="109"/>
        <v>100</v>
      </c>
      <c r="AW261" s="18">
        <v>0.1</v>
      </c>
      <c r="AX261" s="13">
        <f t="shared" si="105"/>
        <v>1E-3</v>
      </c>
      <c r="AY261" s="13" t="s">
        <v>123</v>
      </c>
      <c r="AZ261" s="16">
        <f t="shared" si="123"/>
        <v>100</v>
      </c>
      <c r="BA261" s="16" t="s">
        <v>55</v>
      </c>
      <c r="BB261" s="15">
        <v>2.2999999999999998</v>
      </c>
      <c r="BC261" s="16" t="s">
        <v>55</v>
      </c>
      <c r="BD261" s="18">
        <v>1.5</v>
      </c>
      <c r="BE261" s="15">
        <f t="shared" si="130"/>
        <v>1500</v>
      </c>
      <c r="BF261" s="8">
        <f t="shared" si="131"/>
        <v>3.1760912590556813</v>
      </c>
      <c r="BG261" s="8">
        <f t="shared" si="132"/>
        <v>0.17609125905568124</v>
      </c>
      <c r="BH261" s="13" t="s">
        <v>841</v>
      </c>
      <c r="BI261" s="13"/>
      <c r="BJ261" s="13"/>
      <c r="BK261" s="8"/>
      <c r="BL261" s="8"/>
      <c r="BM261" s="18"/>
      <c r="BN261" s="8"/>
      <c r="BO261" s="24"/>
    </row>
    <row r="262" spans="1:67" s="14" customFormat="1" x14ac:dyDescent="0.3">
      <c r="A262" s="20">
        <v>268</v>
      </c>
      <c r="B262" s="2" t="s">
        <v>241</v>
      </c>
      <c r="C262" s="2">
        <v>2019</v>
      </c>
      <c r="D262" s="2" t="s">
        <v>201</v>
      </c>
      <c r="E262" s="10" t="s">
        <v>800</v>
      </c>
      <c r="F262" s="20" t="s">
        <v>29</v>
      </c>
      <c r="G262" s="2">
        <v>16</v>
      </c>
      <c r="H262" s="2" t="str">
        <f>'PFAS Properties'!$B$33</f>
        <v>PFOA</v>
      </c>
      <c r="I262" s="2" t="str">
        <f>'PFAS Properties'!$C$33</f>
        <v>PFCA</v>
      </c>
      <c r="J262" s="2" t="str">
        <f>'PFAS Properties'!$D$33</f>
        <v>C8HF15O2</v>
      </c>
      <c r="K262" s="25">
        <f>'PFAS Properties'!$P$33</f>
        <v>413.97359999999998</v>
      </c>
      <c r="L262" s="2">
        <f>'PFAS Properties'!$X$33</f>
        <v>-0.2</v>
      </c>
      <c r="M262" s="2" t="str">
        <f>'PFAS Properties'!$Y$33</f>
        <v>-</v>
      </c>
      <c r="N262" s="33">
        <v>0</v>
      </c>
      <c r="O262" s="33">
        <v>0</v>
      </c>
      <c r="P262" s="33">
        <v>0</v>
      </c>
      <c r="Q262" s="33">
        <f t="shared" si="99"/>
        <v>0.99999998741074603</v>
      </c>
      <c r="R262" s="33">
        <v>0</v>
      </c>
      <c r="S262" s="33">
        <f t="shared" si="100"/>
        <v>1.258925395945232E-8</v>
      </c>
      <c r="T262" s="8">
        <f t="shared" si="103"/>
        <v>1</v>
      </c>
      <c r="U262" s="33">
        <f t="shared" si="124"/>
        <v>0</v>
      </c>
      <c r="V262" s="33">
        <f t="shared" si="125"/>
        <v>-0.99999998741074603</v>
      </c>
      <c r="W262" s="33">
        <f t="shared" si="126"/>
        <v>412.9736000125892</v>
      </c>
      <c r="X262" s="33">
        <v>96485</v>
      </c>
      <c r="Y262" s="16">
        <f t="shared" si="127"/>
        <v>-233.63478629719808</v>
      </c>
      <c r="Z262" s="16">
        <v>8</v>
      </c>
      <c r="AA262" s="16">
        <v>15</v>
      </c>
      <c r="AB262" s="8">
        <f t="shared" si="128"/>
        <v>0.33684210526315789</v>
      </c>
      <c r="AC262" s="16">
        <f t="shared" si="129"/>
        <v>68.844969824162703</v>
      </c>
      <c r="AD262" s="20">
        <f>'PFAS Properties'!$W$33</f>
        <v>7</v>
      </c>
      <c r="AE262" s="8">
        <f>'PFAS Properties'!$S$33</f>
        <v>2.6821450763738319</v>
      </c>
      <c r="AF262" s="15">
        <f>'PFAS Properties'!$V$33</f>
        <v>4.9000000000000004</v>
      </c>
      <c r="AG262" s="24">
        <v>7.7</v>
      </c>
      <c r="AH262" s="2" t="s">
        <v>122</v>
      </c>
      <c r="AI262" s="2" t="s">
        <v>661</v>
      </c>
      <c r="AJ262" s="2" t="s">
        <v>661</v>
      </c>
      <c r="AK262" s="2" t="s">
        <v>661</v>
      </c>
      <c r="AL262" s="2" t="s">
        <v>661</v>
      </c>
      <c r="AM262" s="2" t="s">
        <v>661</v>
      </c>
      <c r="AN262" s="2" t="s">
        <v>661</v>
      </c>
      <c r="AO262" s="2" t="s">
        <v>661</v>
      </c>
      <c r="AP262" s="16">
        <v>21.8</v>
      </c>
      <c r="AQ262" s="2" t="s">
        <v>661</v>
      </c>
      <c r="AR262" s="16">
        <v>43.2</v>
      </c>
      <c r="AS262" s="16">
        <v>7.5</v>
      </c>
      <c r="AT262" s="16">
        <v>49.3</v>
      </c>
      <c r="AU262" s="2" t="s">
        <v>661</v>
      </c>
      <c r="AV262" s="16">
        <f t="shared" si="109"/>
        <v>100</v>
      </c>
      <c r="AW262" s="18">
        <v>0.1</v>
      </c>
      <c r="AX262" s="13">
        <f t="shared" si="105"/>
        <v>1E-3</v>
      </c>
      <c r="AY262" s="13" t="s">
        <v>123</v>
      </c>
      <c r="AZ262" s="16">
        <f t="shared" si="123"/>
        <v>100</v>
      </c>
      <c r="BA262" s="16" t="s">
        <v>55</v>
      </c>
      <c r="BB262" s="15">
        <v>2.2999999999999998</v>
      </c>
      <c r="BC262" s="16" t="s">
        <v>55</v>
      </c>
      <c r="BD262" s="18">
        <v>2.7</v>
      </c>
      <c r="BE262" s="15">
        <f t="shared" si="130"/>
        <v>2700</v>
      </c>
      <c r="BF262" s="8">
        <f t="shared" si="131"/>
        <v>3.4313637641589874</v>
      </c>
      <c r="BG262" s="8">
        <f t="shared" si="132"/>
        <v>0.43136376415898736</v>
      </c>
      <c r="BH262" s="13" t="s">
        <v>841</v>
      </c>
      <c r="BI262" s="13"/>
      <c r="BJ262" s="13"/>
      <c r="BK262" s="8"/>
      <c r="BL262" s="8"/>
      <c r="BM262" s="18"/>
      <c r="BN262" s="8"/>
      <c r="BO262" s="24"/>
    </row>
    <row r="263" spans="1:67" s="14" customFormat="1" x14ac:dyDescent="0.3">
      <c r="A263" s="20">
        <v>269</v>
      </c>
      <c r="B263" s="2" t="s">
        <v>241</v>
      </c>
      <c r="C263" s="2">
        <v>2019</v>
      </c>
      <c r="D263" s="2" t="s">
        <v>201</v>
      </c>
      <c r="E263" s="10" t="s">
        <v>800</v>
      </c>
      <c r="F263" s="20" t="s">
        <v>29</v>
      </c>
      <c r="G263" s="2">
        <v>17</v>
      </c>
      <c r="H263" s="2" t="str">
        <f>'PFAS Properties'!$B$33</f>
        <v>PFOA</v>
      </c>
      <c r="I263" s="2" t="str">
        <f>'PFAS Properties'!$C$33</f>
        <v>PFCA</v>
      </c>
      <c r="J263" s="2" t="str">
        <f>'PFAS Properties'!$D$33</f>
        <v>C8HF15O2</v>
      </c>
      <c r="K263" s="25">
        <f>'PFAS Properties'!$P$33</f>
        <v>413.97359999999998</v>
      </c>
      <c r="L263" s="2">
        <f>'PFAS Properties'!$X$33</f>
        <v>-0.2</v>
      </c>
      <c r="M263" s="2" t="str">
        <f>'PFAS Properties'!$Y$33</f>
        <v>-</v>
      </c>
      <c r="N263" s="33">
        <v>0</v>
      </c>
      <c r="O263" s="33">
        <v>0</v>
      </c>
      <c r="P263" s="33">
        <v>0</v>
      </c>
      <c r="Q263" s="33">
        <f t="shared" si="99"/>
        <v>0.99999874107617315</v>
      </c>
      <c r="R263" s="33">
        <v>0</v>
      </c>
      <c r="S263" s="33">
        <f t="shared" si="100"/>
        <v>1.2589238269029671E-6</v>
      </c>
      <c r="T263" s="8">
        <f t="shared" si="103"/>
        <v>1</v>
      </c>
      <c r="U263" s="33">
        <f t="shared" si="124"/>
        <v>0</v>
      </c>
      <c r="V263" s="33">
        <f t="shared" si="125"/>
        <v>-0.99999874107617315</v>
      </c>
      <c r="W263" s="33">
        <f t="shared" si="126"/>
        <v>412.97360125892379</v>
      </c>
      <c r="X263" s="33">
        <v>96485</v>
      </c>
      <c r="Y263" s="16">
        <f t="shared" si="127"/>
        <v>-233.63449440498505</v>
      </c>
      <c r="Z263" s="16">
        <v>8</v>
      </c>
      <c r="AA263" s="16">
        <v>15</v>
      </c>
      <c r="AB263" s="8">
        <f t="shared" si="128"/>
        <v>0.33684210526315789</v>
      </c>
      <c r="AC263" s="16">
        <f t="shared" si="129"/>
        <v>68.844969824162703</v>
      </c>
      <c r="AD263" s="20">
        <f>'PFAS Properties'!$W$33</f>
        <v>7</v>
      </c>
      <c r="AE263" s="8">
        <f>'PFAS Properties'!$S$33</f>
        <v>2.6821450763738319</v>
      </c>
      <c r="AF263" s="15">
        <f>'PFAS Properties'!$V$33</f>
        <v>4.9000000000000004</v>
      </c>
      <c r="AG263" s="24">
        <v>5.7</v>
      </c>
      <c r="AH263" s="2" t="s">
        <v>122</v>
      </c>
      <c r="AI263" s="2" t="s">
        <v>661</v>
      </c>
      <c r="AJ263" s="2" t="s">
        <v>661</v>
      </c>
      <c r="AK263" s="2" t="s">
        <v>661</v>
      </c>
      <c r="AL263" s="2" t="s">
        <v>661</v>
      </c>
      <c r="AM263" s="2" t="s">
        <v>661</v>
      </c>
      <c r="AN263" s="2" t="s">
        <v>661</v>
      </c>
      <c r="AO263" s="2" t="s">
        <v>661</v>
      </c>
      <c r="AP263" s="16">
        <v>8.6999999999999993</v>
      </c>
      <c r="AQ263" s="2" t="s">
        <v>661</v>
      </c>
      <c r="AR263" s="16">
        <v>53</v>
      </c>
      <c r="AS263" s="16">
        <v>8.7000000000000028</v>
      </c>
      <c r="AT263" s="16">
        <v>38.299999999999997</v>
      </c>
      <c r="AU263" s="2" t="s">
        <v>661</v>
      </c>
      <c r="AV263" s="16">
        <f t="shared" si="109"/>
        <v>100</v>
      </c>
      <c r="AW263" s="18">
        <v>0.2</v>
      </c>
      <c r="AX263" s="13">
        <f t="shared" si="105"/>
        <v>2E-3</v>
      </c>
      <c r="AY263" s="13" t="s">
        <v>123</v>
      </c>
      <c r="AZ263" s="16">
        <f t="shared" si="123"/>
        <v>100</v>
      </c>
      <c r="BA263" s="16" t="s">
        <v>55</v>
      </c>
      <c r="BB263" s="15">
        <v>2.2999999999999998</v>
      </c>
      <c r="BC263" s="16" t="s">
        <v>55</v>
      </c>
      <c r="BD263" s="18">
        <v>5.6</v>
      </c>
      <c r="BE263" s="15">
        <f t="shared" si="130"/>
        <v>2799.9999999999995</v>
      </c>
      <c r="BF263" s="8">
        <f t="shared" si="131"/>
        <v>3.447158031342219</v>
      </c>
      <c r="BG263" s="8">
        <f t="shared" si="132"/>
        <v>0.74818802700620035</v>
      </c>
      <c r="BH263" s="13" t="s">
        <v>841</v>
      </c>
      <c r="BI263" s="13"/>
      <c r="BJ263" s="13"/>
      <c r="BK263" s="8"/>
      <c r="BL263" s="8"/>
      <c r="BM263" s="18"/>
      <c r="BN263" s="8"/>
      <c r="BO263" s="24"/>
    </row>
    <row r="264" spans="1:67" s="14" customFormat="1" x14ac:dyDescent="0.3">
      <c r="A264" s="20">
        <v>270</v>
      </c>
      <c r="B264" s="2" t="s">
        <v>241</v>
      </c>
      <c r="C264" s="2">
        <v>2019</v>
      </c>
      <c r="D264" s="2" t="s">
        <v>201</v>
      </c>
      <c r="E264" s="10" t="s">
        <v>800</v>
      </c>
      <c r="F264" s="20" t="s">
        <v>29</v>
      </c>
      <c r="G264" s="2">
        <v>18</v>
      </c>
      <c r="H264" s="2" t="str">
        <f>'PFAS Properties'!$B$33</f>
        <v>PFOA</v>
      </c>
      <c r="I264" s="2" t="str">
        <f>'PFAS Properties'!$C$33</f>
        <v>PFCA</v>
      </c>
      <c r="J264" s="2" t="str">
        <f>'PFAS Properties'!$D$33</f>
        <v>C8HF15O2</v>
      </c>
      <c r="K264" s="25">
        <f>'PFAS Properties'!$P$33</f>
        <v>413.97359999999998</v>
      </c>
      <c r="L264" s="2">
        <f>'PFAS Properties'!$X$33</f>
        <v>-0.2</v>
      </c>
      <c r="M264" s="2" t="str">
        <f>'PFAS Properties'!$Y$33</f>
        <v>-</v>
      </c>
      <c r="N264" s="33">
        <v>0</v>
      </c>
      <c r="O264" s="33">
        <v>0</v>
      </c>
      <c r="P264" s="33">
        <v>0</v>
      </c>
      <c r="Q264" s="33">
        <f t="shared" ref="Q264:Q327" si="133">(10^(AG264-L264))/(1+(10^(AG264-L264)))</f>
        <v>0.99999960189298798</v>
      </c>
      <c r="R264" s="33">
        <v>0</v>
      </c>
      <c r="S264" s="33">
        <f t="shared" ref="S264:S327" si="134">(1/(1+(10^(AG264-L264))))</f>
        <v>3.9810701206424001E-7</v>
      </c>
      <c r="T264" s="8">
        <f t="shared" si="103"/>
        <v>1</v>
      </c>
      <c r="U264" s="33">
        <f t="shared" si="124"/>
        <v>0</v>
      </c>
      <c r="V264" s="33">
        <f t="shared" si="125"/>
        <v>-0.99999960189298798</v>
      </c>
      <c r="W264" s="33">
        <f t="shared" si="126"/>
        <v>412.97360039810701</v>
      </c>
      <c r="X264" s="33">
        <v>96485</v>
      </c>
      <c r="Y264" s="16">
        <f t="shared" si="127"/>
        <v>-233.634696008736</v>
      </c>
      <c r="Z264" s="16">
        <v>8</v>
      </c>
      <c r="AA264" s="16">
        <v>15</v>
      </c>
      <c r="AB264" s="8">
        <f t="shared" si="128"/>
        <v>0.33684210526315789</v>
      </c>
      <c r="AC264" s="16">
        <f t="shared" si="129"/>
        <v>68.844969824162703</v>
      </c>
      <c r="AD264" s="20">
        <f>'PFAS Properties'!$W$33</f>
        <v>7</v>
      </c>
      <c r="AE264" s="8">
        <f>'PFAS Properties'!$S$33</f>
        <v>2.6821450763738319</v>
      </c>
      <c r="AF264" s="15">
        <f>'PFAS Properties'!$V$33</f>
        <v>4.9000000000000004</v>
      </c>
      <c r="AG264" s="24">
        <v>6.2</v>
      </c>
      <c r="AH264" s="2" t="s">
        <v>122</v>
      </c>
      <c r="AI264" s="2" t="s">
        <v>661</v>
      </c>
      <c r="AJ264" s="2" t="s">
        <v>661</v>
      </c>
      <c r="AK264" s="2" t="s">
        <v>661</v>
      </c>
      <c r="AL264" s="2" t="s">
        <v>661</v>
      </c>
      <c r="AM264" s="2" t="s">
        <v>661</v>
      </c>
      <c r="AN264" s="2" t="s">
        <v>661</v>
      </c>
      <c r="AO264" s="2" t="s">
        <v>661</v>
      </c>
      <c r="AP264" s="16">
        <v>27.4</v>
      </c>
      <c r="AQ264" s="2" t="s">
        <v>661</v>
      </c>
      <c r="AR264" s="16">
        <v>38.700000000000003</v>
      </c>
      <c r="AS264" s="16">
        <v>10.299999999999997</v>
      </c>
      <c r="AT264" s="16">
        <v>51</v>
      </c>
      <c r="AU264" s="2" t="s">
        <v>661</v>
      </c>
      <c r="AV264" s="16">
        <f t="shared" si="109"/>
        <v>100</v>
      </c>
      <c r="AW264" s="18">
        <v>0.1</v>
      </c>
      <c r="AX264" s="13">
        <f t="shared" si="105"/>
        <v>1E-3</v>
      </c>
      <c r="AY264" s="13" t="s">
        <v>123</v>
      </c>
      <c r="AZ264" s="16">
        <f t="shared" si="123"/>
        <v>100</v>
      </c>
      <c r="BA264" s="16" t="s">
        <v>55</v>
      </c>
      <c r="BB264" s="15">
        <v>2.2999999999999998</v>
      </c>
      <c r="BC264" s="16" t="s">
        <v>55</v>
      </c>
      <c r="BD264" s="18">
        <v>1.2</v>
      </c>
      <c r="BE264" s="15">
        <f t="shared" si="130"/>
        <v>1200</v>
      </c>
      <c r="BF264" s="8">
        <f t="shared" si="131"/>
        <v>3.0791812460476247</v>
      </c>
      <c r="BG264" s="8">
        <f t="shared" si="132"/>
        <v>7.9181246047624818E-2</v>
      </c>
      <c r="BH264" s="13" t="s">
        <v>841</v>
      </c>
      <c r="BI264" s="13"/>
      <c r="BJ264" s="13"/>
      <c r="BK264" s="8"/>
      <c r="BL264" s="8"/>
      <c r="BM264" s="18"/>
      <c r="BN264" s="8"/>
      <c r="BO264" s="24"/>
    </row>
    <row r="265" spans="1:67" s="14" customFormat="1" x14ac:dyDescent="0.3">
      <c r="A265" s="20">
        <v>271</v>
      </c>
      <c r="B265" s="2" t="s">
        <v>241</v>
      </c>
      <c r="C265" s="2">
        <v>2019</v>
      </c>
      <c r="D265" s="2" t="s">
        <v>201</v>
      </c>
      <c r="E265" s="10" t="s">
        <v>800</v>
      </c>
      <c r="F265" s="20" t="s">
        <v>29</v>
      </c>
      <c r="G265" s="2">
        <v>19</v>
      </c>
      <c r="H265" s="2" t="str">
        <f>'PFAS Properties'!$B$33</f>
        <v>PFOA</v>
      </c>
      <c r="I265" s="2" t="str">
        <f>'PFAS Properties'!$C$33</f>
        <v>PFCA</v>
      </c>
      <c r="J265" s="2" t="str">
        <f>'PFAS Properties'!$D$33</f>
        <v>C8HF15O2</v>
      </c>
      <c r="K265" s="25">
        <f>'PFAS Properties'!$P$33</f>
        <v>413.97359999999998</v>
      </c>
      <c r="L265" s="2">
        <f>'PFAS Properties'!$X$33</f>
        <v>-0.2</v>
      </c>
      <c r="M265" s="2" t="str">
        <f>'PFAS Properties'!$Y$33</f>
        <v>-</v>
      </c>
      <c r="N265" s="33">
        <v>0</v>
      </c>
      <c r="O265" s="33">
        <v>0</v>
      </c>
      <c r="P265" s="33">
        <v>0</v>
      </c>
      <c r="Q265" s="33">
        <f t="shared" si="133"/>
        <v>0.99999936904305364</v>
      </c>
      <c r="R265" s="33">
        <v>0</v>
      </c>
      <c r="S265" s="33">
        <f t="shared" si="134"/>
        <v>6.309569463732732E-7</v>
      </c>
      <c r="T265" s="8">
        <f t="shared" si="103"/>
        <v>1</v>
      </c>
      <c r="U265" s="33">
        <f t="shared" si="124"/>
        <v>0</v>
      </c>
      <c r="V265" s="33">
        <f t="shared" si="125"/>
        <v>-0.99999936904305364</v>
      </c>
      <c r="W265" s="33">
        <f t="shared" si="126"/>
        <v>412.97360063095692</v>
      </c>
      <c r="X265" s="33">
        <v>96485</v>
      </c>
      <c r="Y265" s="16">
        <f t="shared" si="127"/>
        <v>-233.63464147515879</v>
      </c>
      <c r="Z265" s="16">
        <v>8</v>
      </c>
      <c r="AA265" s="16">
        <v>15</v>
      </c>
      <c r="AB265" s="8">
        <f t="shared" si="128"/>
        <v>0.33684210526315789</v>
      </c>
      <c r="AC265" s="16">
        <f t="shared" si="129"/>
        <v>68.844969824162703</v>
      </c>
      <c r="AD265" s="20">
        <f>'PFAS Properties'!$W$33</f>
        <v>7</v>
      </c>
      <c r="AE265" s="8">
        <f>'PFAS Properties'!$S$33</f>
        <v>2.6821450763738319</v>
      </c>
      <c r="AF265" s="15">
        <f>'PFAS Properties'!$V$33</f>
        <v>4.9000000000000004</v>
      </c>
      <c r="AG265" s="24">
        <v>6</v>
      </c>
      <c r="AH265" s="2" t="s">
        <v>122</v>
      </c>
      <c r="AI265" s="2" t="s">
        <v>661</v>
      </c>
      <c r="AJ265" s="2" t="s">
        <v>661</v>
      </c>
      <c r="AK265" s="2" t="s">
        <v>661</v>
      </c>
      <c r="AL265" s="2" t="s">
        <v>661</v>
      </c>
      <c r="AM265" s="2" t="s">
        <v>661</v>
      </c>
      <c r="AN265" s="2" t="s">
        <v>661</v>
      </c>
      <c r="AO265" s="2" t="s">
        <v>661</v>
      </c>
      <c r="AP265" s="16">
        <v>8.4</v>
      </c>
      <c r="AQ265" s="2" t="s">
        <v>661</v>
      </c>
      <c r="AR265" s="16">
        <v>76.2</v>
      </c>
      <c r="AS265" s="16">
        <v>3.7999999999999972</v>
      </c>
      <c r="AT265" s="16">
        <v>20</v>
      </c>
      <c r="AU265" s="2" t="s">
        <v>661</v>
      </c>
      <c r="AV265" s="16">
        <f t="shared" si="109"/>
        <v>100</v>
      </c>
      <c r="AW265" s="18">
        <v>0.5</v>
      </c>
      <c r="AX265" s="13">
        <f t="shared" si="105"/>
        <v>5.0000000000000001E-3</v>
      </c>
      <c r="AY265" s="13" t="s">
        <v>123</v>
      </c>
      <c r="AZ265" s="16">
        <f t="shared" si="123"/>
        <v>100</v>
      </c>
      <c r="BA265" s="16" t="s">
        <v>55</v>
      </c>
      <c r="BB265" s="15">
        <v>2.2999999999999998</v>
      </c>
      <c r="BC265" s="16" t="s">
        <v>55</v>
      </c>
      <c r="BD265" s="18">
        <v>6.5</v>
      </c>
      <c r="BE265" s="15">
        <f t="shared" si="130"/>
        <v>1300</v>
      </c>
      <c r="BF265" s="8">
        <f t="shared" si="131"/>
        <v>3.1139433523068369</v>
      </c>
      <c r="BG265" s="8">
        <f t="shared" si="132"/>
        <v>0.81291335664285558</v>
      </c>
      <c r="BH265" s="13" t="s">
        <v>841</v>
      </c>
      <c r="BI265" s="13"/>
      <c r="BJ265" s="13"/>
      <c r="BK265" s="8"/>
      <c r="BL265" s="8"/>
      <c r="BM265" s="18"/>
      <c r="BN265" s="8"/>
      <c r="BO265" s="24"/>
    </row>
    <row r="266" spans="1:67" s="14" customFormat="1" x14ac:dyDescent="0.3">
      <c r="A266" s="20">
        <v>272</v>
      </c>
      <c r="B266" s="2" t="s">
        <v>241</v>
      </c>
      <c r="C266" s="2">
        <v>2019</v>
      </c>
      <c r="D266" s="2" t="s">
        <v>201</v>
      </c>
      <c r="E266" s="10" t="s">
        <v>800</v>
      </c>
      <c r="F266" s="20" t="s">
        <v>29</v>
      </c>
      <c r="G266" s="2">
        <v>20</v>
      </c>
      <c r="H266" s="2" t="str">
        <f>'PFAS Properties'!$B$33</f>
        <v>PFOA</v>
      </c>
      <c r="I266" s="2" t="str">
        <f>'PFAS Properties'!$C$33</f>
        <v>PFCA</v>
      </c>
      <c r="J266" s="2" t="str">
        <f>'PFAS Properties'!$D$33</f>
        <v>C8HF15O2</v>
      </c>
      <c r="K266" s="25">
        <f>'PFAS Properties'!$P$33</f>
        <v>413.97359999999998</v>
      </c>
      <c r="L266" s="2">
        <f>'PFAS Properties'!$X$33</f>
        <v>-0.2</v>
      </c>
      <c r="M266" s="2" t="str">
        <f>'PFAS Properties'!$Y$33</f>
        <v>-</v>
      </c>
      <c r="N266" s="33">
        <v>0</v>
      </c>
      <c r="O266" s="33">
        <v>0</v>
      </c>
      <c r="P266" s="33">
        <v>0</v>
      </c>
      <c r="Q266" s="33">
        <f t="shared" si="133"/>
        <v>0.99999999205671775</v>
      </c>
      <c r="R266" s="33">
        <v>0</v>
      </c>
      <c r="S266" s="33">
        <f t="shared" si="134"/>
        <v>7.9432822841470747E-9</v>
      </c>
      <c r="T266" s="8">
        <f t="shared" si="103"/>
        <v>1</v>
      </c>
      <c r="U266" s="33">
        <f t="shared" si="124"/>
        <v>0</v>
      </c>
      <c r="V266" s="33">
        <f t="shared" si="125"/>
        <v>-0.99999999205671775</v>
      </c>
      <c r="W266" s="33">
        <f t="shared" si="126"/>
        <v>412.97360000794328</v>
      </c>
      <c r="X266" s="33">
        <v>96485</v>
      </c>
      <c r="Y266" s="16">
        <f t="shared" si="127"/>
        <v>-233.63478738528704</v>
      </c>
      <c r="Z266" s="16">
        <v>8</v>
      </c>
      <c r="AA266" s="16">
        <v>15</v>
      </c>
      <c r="AB266" s="8">
        <f t="shared" si="128"/>
        <v>0.33684210526315789</v>
      </c>
      <c r="AC266" s="16">
        <f t="shared" si="129"/>
        <v>68.844969824162703</v>
      </c>
      <c r="AD266" s="20">
        <f>'PFAS Properties'!$W$33</f>
        <v>7</v>
      </c>
      <c r="AE266" s="8">
        <f>'PFAS Properties'!$S$33</f>
        <v>2.6821450763738319</v>
      </c>
      <c r="AF266" s="15">
        <f>'PFAS Properties'!$V$33</f>
        <v>4.9000000000000004</v>
      </c>
      <c r="AG266" s="24">
        <v>7.9</v>
      </c>
      <c r="AH266" s="2" t="s">
        <v>122</v>
      </c>
      <c r="AI266" s="2" t="s">
        <v>661</v>
      </c>
      <c r="AJ266" s="2" t="s">
        <v>661</v>
      </c>
      <c r="AK266" s="2" t="s">
        <v>661</v>
      </c>
      <c r="AL266" s="2" t="s">
        <v>661</v>
      </c>
      <c r="AM266" s="2" t="s">
        <v>661</v>
      </c>
      <c r="AN266" s="2" t="s">
        <v>661</v>
      </c>
      <c r="AO266" s="2" t="s">
        <v>661</v>
      </c>
      <c r="AP266" s="16">
        <v>18.5</v>
      </c>
      <c r="AQ266" s="2" t="s">
        <v>661</v>
      </c>
      <c r="AR266" s="16">
        <v>48.2</v>
      </c>
      <c r="AS266" s="16">
        <v>17.699999999999996</v>
      </c>
      <c r="AT266" s="16">
        <v>34.1</v>
      </c>
      <c r="AU266" s="2" t="s">
        <v>661</v>
      </c>
      <c r="AV266" s="16">
        <f t="shared" si="109"/>
        <v>100</v>
      </c>
      <c r="AW266" s="18">
        <v>0.1</v>
      </c>
      <c r="AX266" s="13">
        <f t="shared" si="105"/>
        <v>1E-3</v>
      </c>
      <c r="AY266" s="13" t="s">
        <v>123</v>
      </c>
      <c r="AZ266" s="16">
        <f t="shared" si="123"/>
        <v>100</v>
      </c>
      <c r="BA266" s="16" t="s">
        <v>55</v>
      </c>
      <c r="BB266" s="15">
        <v>2.2999999999999998</v>
      </c>
      <c r="BC266" s="16" t="s">
        <v>55</v>
      </c>
      <c r="BD266" s="18">
        <v>1.6</v>
      </c>
      <c r="BE266" s="15">
        <f t="shared" si="130"/>
        <v>1600</v>
      </c>
      <c r="BF266" s="8">
        <f t="shared" si="131"/>
        <v>3.2041199826559246</v>
      </c>
      <c r="BG266" s="8">
        <f t="shared" si="132"/>
        <v>0.20411998265592479</v>
      </c>
      <c r="BH266" s="13" t="s">
        <v>841</v>
      </c>
      <c r="BI266" s="13"/>
      <c r="BJ266" s="13"/>
      <c r="BK266" s="8"/>
      <c r="BL266" s="8"/>
      <c r="BM266" s="18"/>
      <c r="BN266" s="8"/>
      <c r="BO266" s="24"/>
    </row>
    <row r="267" spans="1:67" s="14" customFormat="1" x14ac:dyDescent="0.3">
      <c r="A267" s="20">
        <v>273</v>
      </c>
      <c r="B267" s="2" t="s">
        <v>241</v>
      </c>
      <c r="C267" s="2">
        <v>2019</v>
      </c>
      <c r="D267" s="2" t="s">
        <v>201</v>
      </c>
      <c r="E267" s="10" t="s">
        <v>800</v>
      </c>
      <c r="F267" s="20" t="s">
        <v>29</v>
      </c>
      <c r="G267" s="2">
        <v>21</v>
      </c>
      <c r="H267" s="2" t="str">
        <f>'PFAS Properties'!$B$33</f>
        <v>PFOA</v>
      </c>
      <c r="I267" s="2" t="str">
        <f>'PFAS Properties'!$C$33</f>
        <v>PFCA</v>
      </c>
      <c r="J267" s="2" t="str">
        <f>'PFAS Properties'!$D$33</f>
        <v>C8HF15O2</v>
      </c>
      <c r="K267" s="25">
        <f>'PFAS Properties'!$P$33</f>
        <v>413.97359999999998</v>
      </c>
      <c r="L267" s="2">
        <f>'PFAS Properties'!$X$33</f>
        <v>-0.2</v>
      </c>
      <c r="M267" s="2" t="str">
        <f>'PFAS Properties'!$Y$33</f>
        <v>-</v>
      </c>
      <c r="N267" s="33">
        <v>0</v>
      </c>
      <c r="O267" s="33">
        <v>0</v>
      </c>
      <c r="P267" s="33">
        <v>0</v>
      </c>
      <c r="Q267" s="33">
        <f t="shared" si="133"/>
        <v>0.99999949881301753</v>
      </c>
      <c r="R267" s="33">
        <v>0</v>
      </c>
      <c r="S267" s="33">
        <f t="shared" si="134"/>
        <v>5.0118698243875488E-7</v>
      </c>
      <c r="T267" s="8">
        <f t="shared" si="103"/>
        <v>1</v>
      </c>
      <c r="U267" s="33">
        <f t="shared" si="124"/>
        <v>0</v>
      </c>
      <c r="V267" s="33">
        <f t="shared" si="125"/>
        <v>-0.99999949881301753</v>
      </c>
      <c r="W267" s="33">
        <f t="shared" si="126"/>
        <v>412.97360050118692</v>
      </c>
      <c r="X267" s="33">
        <v>96485</v>
      </c>
      <c r="Y267" s="16">
        <f t="shared" si="127"/>
        <v>-233.63467186735267</v>
      </c>
      <c r="Z267" s="16">
        <v>8</v>
      </c>
      <c r="AA267" s="16">
        <v>15</v>
      </c>
      <c r="AB267" s="8">
        <f t="shared" si="128"/>
        <v>0.33684210526315789</v>
      </c>
      <c r="AC267" s="16">
        <f t="shared" si="129"/>
        <v>68.844969824162703</v>
      </c>
      <c r="AD267" s="20">
        <f>'PFAS Properties'!$W$33</f>
        <v>7</v>
      </c>
      <c r="AE267" s="8">
        <f>'PFAS Properties'!$S$33</f>
        <v>2.6821450763738319</v>
      </c>
      <c r="AF267" s="15">
        <f>'PFAS Properties'!$V$33</f>
        <v>4.9000000000000004</v>
      </c>
      <c r="AG267" s="24">
        <v>6.1</v>
      </c>
      <c r="AH267" s="2" t="s">
        <v>122</v>
      </c>
      <c r="AI267" s="2" t="s">
        <v>661</v>
      </c>
      <c r="AJ267" s="2" t="s">
        <v>661</v>
      </c>
      <c r="AK267" s="2" t="s">
        <v>661</v>
      </c>
      <c r="AL267" s="2" t="s">
        <v>661</v>
      </c>
      <c r="AM267" s="2" t="s">
        <v>661</v>
      </c>
      <c r="AN267" s="2" t="s">
        <v>661</v>
      </c>
      <c r="AO267" s="2" t="s">
        <v>661</v>
      </c>
      <c r="AP267" s="16">
        <v>12.3</v>
      </c>
      <c r="AQ267" s="2" t="s">
        <v>661</v>
      </c>
      <c r="AR267" s="16">
        <v>53.2</v>
      </c>
      <c r="AS267" s="16">
        <v>6.7999999999999972</v>
      </c>
      <c r="AT267" s="16">
        <v>40</v>
      </c>
      <c r="AU267" s="2" t="s">
        <v>661</v>
      </c>
      <c r="AV267" s="16">
        <f t="shared" si="109"/>
        <v>100</v>
      </c>
      <c r="AW267" s="18">
        <v>0.14000000000000001</v>
      </c>
      <c r="AX267" s="13">
        <f t="shared" si="105"/>
        <v>1.4000000000000002E-3</v>
      </c>
      <c r="AY267" s="13" t="s">
        <v>123</v>
      </c>
      <c r="AZ267" s="16">
        <f t="shared" si="123"/>
        <v>100</v>
      </c>
      <c r="BA267" s="16" t="s">
        <v>55</v>
      </c>
      <c r="BB267" s="15">
        <v>2.2999999999999998</v>
      </c>
      <c r="BC267" s="16" t="s">
        <v>55</v>
      </c>
      <c r="BD267" s="18">
        <v>3.7</v>
      </c>
      <c r="BE267" s="15">
        <f t="shared" si="130"/>
        <v>2642.8571428571427</v>
      </c>
      <c r="BF267" s="8">
        <f t="shared" si="131"/>
        <v>3.4220736883887568</v>
      </c>
      <c r="BG267" s="8">
        <f t="shared" si="132"/>
        <v>0.56820172406699498</v>
      </c>
      <c r="BH267" s="13" t="s">
        <v>841</v>
      </c>
      <c r="BI267" s="13"/>
      <c r="BJ267" s="13"/>
      <c r="BK267" s="8"/>
      <c r="BL267" s="8"/>
      <c r="BM267" s="18"/>
      <c r="BN267" s="8"/>
      <c r="BO267" s="24"/>
    </row>
    <row r="268" spans="1:67" s="14" customFormat="1" x14ac:dyDescent="0.3">
      <c r="A268" s="20">
        <v>274</v>
      </c>
      <c r="B268" s="2" t="s">
        <v>241</v>
      </c>
      <c r="C268" s="2">
        <v>2019</v>
      </c>
      <c r="D268" s="2" t="s">
        <v>201</v>
      </c>
      <c r="E268" s="10" t="s">
        <v>800</v>
      </c>
      <c r="F268" s="20" t="s">
        <v>29</v>
      </c>
      <c r="G268" s="2">
        <v>22</v>
      </c>
      <c r="H268" s="2" t="str">
        <f>'PFAS Properties'!$B$33</f>
        <v>PFOA</v>
      </c>
      <c r="I268" s="2" t="str">
        <f>'PFAS Properties'!$C$33</f>
        <v>PFCA</v>
      </c>
      <c r="J268" s="2" t="str">
        <f>'PFAS Properties'!$D$33</f>
        <v>C8HF15O2</v>
      </c>
      <c r="K268" s="25">
        <f>'PFAS Properties'!$P$33</f>
        <v>413.97359999999998</v>
      </c>
      <c r="L268" s="2">
        <f>'PFAS Properties'!$X$33</f>
        <v>-0.2</v>
      </c>
      <c r="M268" s="2" t="str">
        <f>'PFAS Properties'!$Y$33</f>
        <v>-</v>
      </c>
      <c r="N268" s="33">
        <v>0</v>
      </c>
      <c r="O268" s="33">
        <v>0</v>
      </c>
      <c r="P268" s="33">
        <v>0</v>
      </c>
      <c r="Q268" s="33">
        <f t="shared" si="133"/>
        <v>0.99999683773233983</v>
      </c>
      <c r="R268" s="33">
        <v>0</v>
      </c>
      <c r="S268" s="33">
        <f t="shared" si="134"/>
        <v>3.1622676601999995E-6</v>
      </c>
      <c r="T268" s="8">
        <f t="shared" si="103"/>
        <v>1</v>
      </c>
      <c r="U268" s="33">
        <f t="shared" si="124"/>
        <v>0</v>
      </c>
      <c r="V268" s="33">
        <f t="shared" si="125"/>
        <v>-0.99999683773233983</v>
      </c>
      <c r="W268" s="33">
        <f t="shared" si="126"/>
        <v>412.97360316226764</v>
      </c>
      <c r="X268" s="33">
        <v>96485</v>
      </c>
      <c r="Y268" s="16">
        <f t="shared" si="127"/>
        <v>-233.63404864086087</v>
      </c>
      <c r="Z268" s="16">
        <v>8</v>
      </c>
      <c r="AA268" s="16">
        <v>15</v>
      </c>
      <c r="AB268" s="8">
        <f t="shared" si="128"/>
        <v>0.33684210526315789</v>
      </c>
      <c r="AC268" s="16">
        <f t="shared" si="129"/>
        <v>68.844969824162703</v>
      </c>
      <c r="AD268" s="20">
        <f>'PFAS Properties'!$W$33</f>
        <v>7</v>
      </c>
      <c r="AE268" s="8">
        <f>'PFAS Properties'!$S$33</f>
        <v>2.6821450763738319</v>
      </c>
      <c r="AF268" s="15">
        <f>'PFAS Properties'!$V$33</f>
        <v>4.9000000000000004</v>
      </c>
      <c r="AG268" s="24">
        <v>5.3</v>
      </c>
      <c r="AH268" s="2" t="s">
        <v>122</v>
      </c>
      <c r="AI268" s="2" t="s">
        <v>661</v>
      </c>
      <c r="AJ268" s="2" t="s">
        <v>661</v>
      </c>
      <c r="AK268" s="2" t="s">
        <v>661</v>
      </c>
      <c r="AL268" s="2" t="s">
        <v>661</v>
      </c>
      <c r="AM268" s="2" t="s">
        <v>661</v>
      </c>
      <c r="AN268" s="2" t="s">
        <v>661</v>
      </c>
      <c r="AO268" s="2" t="s">
        <v>661</v>
      </c>
      <c r="AP268" s="16">
        <v>4.8</v>
      </c>
      <c r="AQ268" s="2" t="s">
        <v>661</v>
      </c>
      <c r="AR268" s="16">
        <v>56.9</v>
      </c>
      <c r="AS268" s="16">
        <v>21.5</v>
      </c>
      <c r="AT268" s="16">
        <v>21.6</v>
      </c>
      <c r="AU268" s="2" t="s">
        <v>661</v>
      </c>
      <c r="AV268" s="16">
        <f t="shared" si="109"/>
        <v>100</v>
      </c>
      <c r="AW268" s="18">
        <v>1.1000000000000001</v>
      </c>
      <c r="AX268" s="13">
        <f t="shared" si="105"/>
        <v>1.1000000000000001E-2</v>
      </c>
      <c r="AY268" s="13" t="s">
        <v>123</v>
      </c>
      <c r="AZ268" s="16">
        <f t="shared" si="123"/>
        <v>100</v>
      </c>
      <c r="BA268" s="16" t="s">
        <v>55</v>
      </c>
      <c r="BB268" s="15">
        <v>2.2999999999999998</v>
      </c>
      <c r="BC268" s="16" t="s">
        <v>55</v>
      </c>
      <c r="BD268" s="18">
        <v>8.4</v>
      </c>
      <c r="BE268" s="15">
        <f t="shared" si="130"/>
        <v>763.63636363636363</v>
      </c>
      <c r="BF268" s="8">
        <f t="shared" si="131"/>
        <v>2.8828866009036567</v>
      </c>
      <c r="BG268" s="8">
        <f t="shared" si="132"/>
        <v>0.9242792860618817</v>
      </c>
      <c r="BH268" s="13" t="s">
        <v>841</v>
      </c>
      <c r="BI268" s="13"/>
      <c r="BJ268" s="13"/>
      <c r="BK268" s="8"/>
      <c r="BL268" s="8"/>
      <c r="BM268" s="18"/>
      <c r="BN268" s="8"/>
      <c r="BO268" s="24"/>
    </row>
    <row r="269" spans="1:67" s="14" customFormat="1" x14ac:dyDescent="0.3">
      <c r="A269" s="20">
        <v>275</v>
      </c>
      <c r="B269" s="2" t="s">
        <v>241</v>
      </c>
      <c r="C269" s="2">
        <v>2019</v>
      </c>
      <c r="D269" s="2" t="s">
        <v>201</v>
      </c>
      <c r="E269" s="10" t="s">
        <v>800</v>
      </c>
      <c r="F269" s="20" t="s">
        <v>29</v>
      </c>
      <c r="G269" s="2">
        <v>23</v>
      </c>
      <c r="H269" s="2" t="str">
        <f>'PFAS Properties'!$B$33</f>
        <v>PFOA</v>
      </c>
      <c r="I269" s="2" t="str">
        <f>'PFAS Properties'!$C$33</f>
        <v>PFCA</v>
      </c>
      <c r="J269" s="2" t="str">
        <f>'PFAS Properties'!$D$33</f>
        <v>C8HF15O2</v>
      </c>
      <c r="K269" s="25">
        <f>'PFAS Properties'!$P$33</f>
        <v>413.97359999999998</v>
      </c>
      <c r="L269" s="2">
        <f>'PFAS Properties'!$X$33</f>
        <v>-0.2</v>
      </c>
      <c r="M269" s="2" t="str">
        <f>'PFAS Properties'!$Y$33</f>
        <v>-</v>
      </c>
      <c r="N269" s="33">
        <v>0</v>
      </c>
      <c r="O269" s="33">
        <v>0</v>
      </c>
      <c r="P269" s="33">
        <v>0</v>
      </c>
      <c r="Q269" s="33">
        <f t="shared" si="133"/>
        <v>0.9999999601892845</v>
      </c>
      <c r="R269" s="33">
        <v>0</v>
      </c>
      <c r="S269" s="33">
        <f t="shared" si="134"/>
        <v>3.9810715470456442E-8</v>
      </c>
      <c r="T269" s="8">
        <f t="shared" si="103"/>
        <v>1</v>
      </c>
      <c r="U269" s="33">
        <f t="shared" si="124"/>
        <v>0</v>
      </c>
      <c r="V269" s="33">
        <f t="shared" si="125"/>
        <v>-0.9999999601892845</v>
      </c>
      <c r="W269" s="33">
        <f t="shared" si="126"/>
        <v>412.97360003981066</v>
      </c>
      <c r="X269" s="33">
        <v>96485</v>
      </c>
      <c r="Y269" s="16">
        <f t="shared" si="127"/>
        <v>-233.63477992191741</v>
      </c>
      <c r="Z269" s="16">
        <v>8</v>
      </c>
      <c r="AA269" s="16">
        <v>15</v>
      </c>
      <c r="AB269" s="8">
        <f t="shared" si="128"/>
        <v>0.33684210526315789</v>
      </c>
      <c r="AC269" s="16">
        <f t="shared" si="129"/>
        <v>68.844969824162703</v>
      </c>
      <c r="AD269" s="20">
        <f>'PFAS Properties'!$W$33</f>
        <v>7</v>
      </c>
      <c r="AE269" s="8">
        <f>'PFAS Properties'!$S$33</f>
        <v>2.6821450763738319</v>
      </c>
      <c r="AF269" s="15">
        <f>'PFAS Properties'!$V$33</f>
        <v>4.9000000000000004</v>
      </c>
      <c r="AG269" s="24">
        <v>7.2</v>
      </c>
      <c r="AH269" s="2" t="s">
        <v>122</v>
      </c>
      <c r="AI269" s="2" t="s">
        <v>661</v>
      </c>
      <c r="AJ269" s="2" t="s">
        <v>661</v>
      </c>
      <c r="AK269" s="2" t="s">
        <v>661</v>
      </c>
      <c r="AL269" s="2" t="s">
        <v>661</v>
      </c>
      <c r="AM269" s="2" t="s">
        <v>661</v>
      </c>
      <c r="AN269" s="2" t="s">
        <v>661</v>
      </c>
      <c r="AO269" s="2" t="s">
        <v>661</v>
      </c>
      <c r="AP269" s="16">
        <v>18.2</v>
      </c>
      <c r="AQ269" s="2" t="s">
        <v>661</v>
      </c>
      <c r="AR269" s="16">
        <v>33.200000000000003</v>
      </c>
      <c r="AS269" s="16">
        <v>1.8999999999999915</v>
      </c>
      <c r="AT269" s="16">
        <v>64.900000000000006</v>
      </c>
      <c r="AU269" s="2" t="s">
        <v>661</v>
      </c>
      <c r="AV269" s="16">
        <f t="shared" si="109"/>
        <v>100</v>
      </c>
      <c r="AW269" s="18">
        <v>0.2</v>
      </c>
      <c r="AX269" s="13">
        <f t="shared" si="105"/>
        <v>2E-3</v>
      </c>
      <c r="AY269" s="13" t="s">
        <v>123</v>
      </c>
      <c r="AZ269" s="16">
        <f t="shared" si="123"/>
        <v>100</v>
      </c>
      <c r="BA269" s="16" t="s">
        <v>55</v>
      </c>
      <c r="BB269" s="15">
        <v>2.2999999999999998</v>
      </c>
      <c r="BC269" s="16" t="s">
        <v>55</v>
      </c>
      <c r="BD269" s="18">
        <v>3.2</v>
      </c>
      <c r="BE269" s="15">
        <f t="shared" si="130"/>
        <v>1600</v>
      </c>
      <c r="BF269" s="8">
        <f t="shared" si="131"/>
        <v>3.2041199826559246</v>
      </c>
      <c r="BG269" s="8">
        <f t="shared" si="132"/>
        <v>0.50514997831990605</v>
      </c>
      <c r="BH269" s="13" t="s">
        <v>841</v>
      </c>
      <c r="BI269" s="13"/>
      <c r="BJ269" s="13"/>
      <c r="BK269" s="8"/>
      <c r="BL269" s="8"/>
      <c r="BM269" s="18"/>
      <c r="BN269" s="8"/>
      <c r="BO269" s="24"/>
    </row>
    <row r="270" spans="1:67" s="14" customFormat="1" x14ac:dyDescent="0.3">
      <c r="A270" s="20">
        <v>276</v>
      </c>
      <c r="B270" s="2" t="s">
        <v>241</v>
      </c>
      <c r="C270" s="2">
        <v>2019</v>
      </c>
      <c r="D270" s="2" t="s">
        <v>201</v>
      </c>
      <c r="E270" s="10" t="s">
        <v>800</v>
      </c>
      <c r="F270" s="20" t="s">
        <v>29</v>
      </c>
      <c r="G270" s="2">
        <v>24</v>
      </c>
      <c r="H270" s="2" t="str">
        <f>'PFAS Properties'!$B$33</f>
        <v>PFOA</v>
      </c>
      <c r="I270" s="2" t="str">
        <f>'PFAS Properties'!$C$33</f>
        <v>PFCA</v>
      </c>
      <c r="J270" s="2" t="str">
        <f>'PFAS Properties'!$D$33</f>
        <v>C8HF15O2</v>
      </c>
      <c r="K270" s="25">
        <f>'PFAS Properties'!$P$33</f>
        <v>413.97359999999998</v>
      </c>
      <c r="L270" s="2">
        <f>'PFAS Properties'!$X$33</f>
        <v>-0.2</v>
      </c>
      <c r="M270" s="2" t="str">
        <f>'PFAS Properties'!$Y$33</f>
        <v>-</v>
      </c>
      <c r="N270" s="33">
        <v>0</v>
      </c>
      <c r="O270" s="33">
        <v>0</v>
      </c>
      <c r="P270" s="33">
        <v>0</v>
      </c>
      <c r="Q270" s="33">
        <f t="shared" si="133"/>
        <v>0.99999998004737722</v>
      </c>
      <c r="R270" s="33">
        <v>0</v>
      </c>
      <c r="S270" s="33">
        <f t="shared" si="134"/>
        <v>1.995262275158161E-8</v>
      </c>
      <c r="T270" s="8">
        <f t="shared" si="103"/>
        <v>1</v>
      </c>
      <c r="U270" s="33">
        <f t="shared" si="124"/>
        <v>0</v>
      </c>
      <c r="V270" s="33">
        <f t="shared" si="125"/>
        <v>-0.99999998004737722</v>
      </c>
      <c r="W270" s="33">
        <f t="shared" si="126"/>
        <v>412.97360001995258</v>
      </c>
      <c r="X270" s="33">
        <v>96485</v>
      </c>
      <c r="Y270" s="16">
        <f t="shared" si="127"/>
        <v>-233.63478457269321</v>
      </c>
      <c r="Z270" s="16">
        <v>8</v>
      </c>
      <c r="AA270" s="16">
        <v>15</v>
      </c>
      <c r="AB270" s="8">
        <f t="shared" si="128"/>
        <v>0.33684210526315789</v>
      </c>
      <c r="AC270" s="16">
        <f t="shared" si="129"/>
        <v>68.844969824162703</v>
      </c>
      <c r="AD270" s="20">
        <f>'PFAS Properties'!$W$33</f>
        <v>7</v>
      </c>
      <c r="AE270" s="8">
        <f>'PFAS Properties'!$S$33</f>
        <v>2.6821450763738319</v>
      </c>
      <c r="AF270" s="15">
        <f>'PFAS Properties'!$V$33</f>
        <v>4.9000000000000004</v>
      </c>
      <c r="AG270" s="24">
        <v>7.5</v>
      </c>
      <c r="AH270" s="2" t="s">
        <v>122</v>
      </c>
      <c r="AI270" s="2" t="s">
        <v>661</v>
      </c>
      <c r="AJ270" s="2" t="s">
        <v>661</v>
      </c>
      <c r="AK270" s="2" t="s">
        <v>661</v>
      </c>
      <c r="AL270" s="2" t="s">
        <v>661</v>
      </c>
      <c r="AM270" s="2" t="s">
        <v>661</v>
      </c>
      <c r="AN270" s="2" t="s">
        <v>661</v>
      </c>
      <c r="AO270" s="2" t="s">
        <v>661</v>
      </c>
      <c r="AP270" s="16">
        <v>13.3</v>
      </c>
      <c r="AQ270" s="2" t="s">
        <v>661</v>
      </c>
      <c r="AR270" s="16">
        <v>54</v>
      </c>
      <c r="AS270" s="16">
        <v>18.3</v>
      </c>
      <c r="AT270" s="16">
        <v>27.7</v>
      </c>
      <c r="AU270" s="2" t="s">
        <v>661</v>
      </c>
      <c r="AV270" s="16">
        <f t="shared" si="109"/>
        <v>100</v>
      </c>
      <c r="AW270" s="18">
        <v>0.2</v>
      </c>
      <c r="AX270" s="13">
        <f t="shared" si="105"/>
        <v>2E-3</v>
      </c>
      <c r="AY270" s="13" t="s">
        <v>123</v>
      </c>
      <c r="AZ270" s="16">
        <f t="shared" si="123"/>
        <v>100</v>
      </c>
      <c r="BA270" s="16" t="s">
        <v>55</v>
      </c>
      <c r="BB270" s="15">
        <v>2.2999999999999998</v>
      </c>
      <c r="BC270" s="16" t="s">
        <v>55</v>
      </c>
      <c r="BD270" s="18">
        <v>2.2000000000000002</v>
      </c>
      <c r="BE270" s="15">
        <f t="shared" si="130"/>
        <v>1100</v>
      </c>
      <c r="BF270" s="8">
        <f t="shared" si="131"/>
        <v>3.0413926851582249</v>
      </c>
      <c r="BG270" s="8">
        <f t="shared" si="132"/>
        <v>0.34242268082220628</v>
      </c>
      <c r="BH270" s="13" t="s">
        <v>841</v>
      </c>
      <c r="BI270" s="13"/>
      <c r="BJ270" s="13"/>
      <c r="BK270" s="8"/>
      <c r="BL270" s="8"/>
      <c r="BM270" s="18"/>
      <c r="BN270" s="8"/>
      <c r="BO270" s="24"/>
    </row>
    <row r="271" spans="1:67" s="14" customFormat="1" x14ac:dyDescent="0.3">
      <c r="A271" s="20">
        <v>277</v>
      </c>
      <c r="B271" s="2" t="s">
        <v>241</v>
      </c>
      <c r="C271" s="2">
        <v>2019</v>
      </c>
      <c r="D271" s="2" t="s">
        <v>201</v>
      </c>
      <c r="E271" s="10" t="s">
        <v>800</v>
      </c>
      <c r="F271" s="20" t="s">
        <v>29</v>
      </c>
      <c r="G271" s="2">
        <v>25</v>
      </c>
      <c r="H271" s="2" t="str">
        <f>'PFAS Properties'!$B$33</f>
        <v>PFOA</v>
      </c>
      <c r="I271" s="2" t="str">
        <f>'PFAS Properties'!$C$33</f>
        <v>PFCA</v>
      </c>
      <c r="J271" s="2" t="str">
        <f>'PFAS Properties'!$D$33</f>
        <v>C8HF15O2</v>
      </c>
      <c r="K271" s="25">
        <f>'PFAS Properties'!$P$33</f>
        <v>413.97359999999998</v>
      </c>
      <c r="L271" s="2">
        <f>'PFAS Properties'!$X$33</f>
        <v>-0.2</v>
      </c>
      <c r="M271" s="2" t="str">
        <f>'PFAS Properties'!$Y$33</f>
        <v>-</v>
      </c>
      <c r="N271" s="33">
        <v>0</v>
      </c>
      <c r="O271" s="33">
        <v>0</v>
      </c>
      <c r="P271" s="33">
        <v>0</v>
      </c>
      <c r="Q271" s="33">
        <f t="shared" si="133"/>
        <v>0.99999998415106828</v>
      </c>
      <c r="R271" s="33">
        <v>0</v>
      </c>
      <c r="S271" s="33">
        <f t="shared" si="134"/>
        <v>1.5848931673422493E-8</v>
      </c>
      <c r="T271" s="8">
        <f t="shared" si="103"/>
        <v>1</v>
      </c>
      <c r="U271" s="33">
        <f t="shared" si="124"/>
        <v>0</v>
      </c>
      <c r="V271" s="33">
        <f t="shared" si="125"/>
        <v>-0.99999998415106828</v>
      </c>
      <c r="W271" s="33">
        <f t="shared" si="126"/>
        <v>412.97360001584889</v>
      </c>
      <c r="X271" s="33">
        <v>96485</v>
      </c>
      <c r="Y271" s="16">
        <f t="shared" si="127"/>
        <v>-233.63478553377979</v>
      </c>
      <c r="Z271" s="16">
        <v>8</v>
      </c>
      <c r="AA271" s="16">
        <v>15</v>
      </c>
      <c r="AB271" s="8">
        <f t="shared" si="128"/>
        <v>0.33684210526315789</v>
      </c>
      <c r="AC271" s="16">
        <f t="shared" si="129"/>
        <v>68.844969824162703</v>
      </c>
      <c r="AD271" s="20">
        <f>'PFAS Properties'!$W$33</f>
        <v>7</v>
      </c>
      <c r="AE271" s="8">
        <f>'PFAS Properties'!$S$33</f>
        <v>2.6821450763738319</v>
      </c>
      <c r="AF271" s="15">
        <f>'PFAS Properties'!$V$33</f>
        <v>4.9000000000000004</v>
      </c>
      <c r="AG271" s="24">
        <v>7.6</v>
      </c>
      <c r="AH271" s="2" t="s">
        <v>122</v>
      </c>
      <c r="AI271" s="2" t="s">
        <v>661</v>
      </c>
      <c r="AJ271" s="2" t="s">
        <v>661</v>
      </c>
      <c r="AK271" s="2" t="s">
        <v>661</v>
      </c>
      <c r="AL271" s="2" t="s">
        <v>661</v>
      </c>
      <c r="AM271" s="2" t="s">
        <v>661</v>
      </c>
      <c r="AN271" s="2" t="s">
        <v>661</v>
      </c>
      <c r="AO271" s="2" t="s">
        <v>661</v>
      </c>
      <c r="AP271" s="16">
        <v>16.399999999999999</v>
      </c>
      <c r="AQ271" s="2" t="s">
        <v>661</v>
      </c>
      <c r="AR271" s="16">
        <v>54.8</v>
      </c>
      <c r="AS271" s="16">
        <v>25.200000000000003</v>
      </c>
      <c r="AT271" s="16">
        <v>20</v>
      </c>
      <c r="AU271" s="2" t="s">
        <v>661</v>
      </c>
      <c r="AV271" s="16">
        <f t="shared" si="109"/>
        <v>100</v>
      </c>
      <c r="AW271" s="18">
        <v>0.1</v>
      </c>
      <c r="AX271" s="13">
        <f t="shared" si="105"/>
        <v>1E-3</v>
      </c>
      <c r="AY271" s="13" t="s">
        <v>123</v>
      </c>
      <c r="AZ271" s="16">
        <f t="shared" si="123"/>
        <v>100</v>
      </c>
      <c r="BA271" s="16" t="s">
        <v>55</v>
      </c>
      <c r="BB271" s="15">
        <v>2.2999999999999998</v>
      </c>
      <c r="BC271" s="16" t="s">
        <v>55</v>
      </c>
      <c r="BD271" s="18">
        <v>1.6</v>
      </c>
      <c r="BE271" s="15">
        <f t="shared" si="130"/>
        <v>1600</v>
      </c>
      <c r="BF271" s="8">
        <f t="shared" si="131"/>
        <v>3.2041199826559246</v>
      </c>
      <c r="BG271" s="8">
        <f t="shared" si="132"/>
        <v>0.20411998265592479</v>
      </c>
      <c r="BH271" s="13" t="s">
        <v>841</v>
      </c>
      <c r="BI271" s="13"/>
      <c r="BJ271" s="13"/>
      <c r="BK271" s="8"/>
      <c r="BL271" s="8"/>
      <c r="BM271" s="18"/>
      <c r="BN271" s="8"/>
      <c r="BO271" s="24"/>
    </row>
    <row r="272" spans="1:67" s="14" customFormat="1" x14ac:dyDescent="0.3">
      <c r="A272" s="20">
        <v>278</v>
      </c>
      <c r="B272" s="2" t="s">
        <v>241</v>
      </c>
      <c r="C272" s="2">
        <v>2019</v>
      </c>
      <c r="D272" s="2" t="s">
        <v>201</v>
      </c>
      <c r="E272" s="10" t="s">
        <v>800</v>
      </c>
      <c r="F272" s="20" t="s">
        <v>29</v>
      </c>
      <c r="G272" s="2">
        <v>26</v>
      </c>
      <c r="H272" s="2" t="str">
        <f>'PFAS Properties'!$B$33</f>
        <v>PFOA</v>
      </c>
      <c r="I272" s="2" t="str">
        <f>'PFAS Properties'!$C$33</f>
        <v>PFCA</v>
      </c>
      <c r="J272" s="2" t="str">
        <f>'PFAS Properties'!$D$33</f>
        <v>C8HF15O2</v>
      </c>
      <c r="K272" s="25">
        <f>'PFAS Properties'!$P$33</f>
        <v>413.97359999999998</v>
      </c>
      <c r="L272" s="2">
        <f>'PFAS Properties'!$X$33</f>
        <v>-0.2</v>
      </c>
      <c r="M272" s="2" t="str">
        <f>'PFAS Properties'!$Y$33</f>
        <v>-</v>
      </c>
      <c r="N272" s="33">
        <v>0</v>
      </c>
      <c r="O272" s="33">
        <v>0</v>
      </c>
      <c r="P272" s="33">
        <v>0</v>
      </c>
      <c r="Q272" s="33">
        <f t="shared" si="133"/>
        <v>0.99999601894414336</v>
      </c>
      <c r="R272" s="33">
        <v>0</v>
      </c>
      <c r="S272" s="33">
        <f t="shared" si="134"/>
        <v>3.981055856666137E-6</v>
      </c>
      <c r="T272" s="8">
        <f t="shared" si="103"/>
        <v>1</v>
      </c>
      <c r="U272" s="33">
        <f t="shared" si="124"/>
        <v>0</v>
      </c>
      <c r="V272" s="33">
        <f t="shared" si="125"/>
        <v>-0.99999601894414336</v>
      </c>
      <c r="W272" s="33">
        <f t="shared" si="126"/>
        <v>412.97360398105587</v>
      </c>
      <c r="X272" s="33">
        <v>96485</v>
      </c>
      <c r="Y272" s="16">
        <f t="shared" si="127"/>
        <v>-233.63385688023698</v>
      </c>
      <c r="Z272" s="16">
        <v>8</v>
      </c>
      <c r="AA272" s="16">
        <v>15</v>
      </c>
      <c r="AB272" s="8">
        <f t="shared" si="128"/>
        <v>0.33684210526315789</v>
      </c>
      <c r="AC272" s="16">
        <f t="shared" si="129"/>
        <v>68.844969824162703</v>
      </c>
      <c r="AD272" s="20">
        <f>'PFAS Properties'!$W$33</f>
        <v>7</v>
      </c>
      <c r="AE272" s="8">
        <f>'PFAS Properties'!$S$33</f>
        <v>2.6821450763738319</v>
      </c>
      <c r="AF272" s="15">
        <f>'PFAS Properties'!$V$33</f>
        <v>4.9000000000000004</v>
      </c>
      <c r="AG272" s="24">
        <v>5.2</v>
      </c>
      <c r="AH272" s="2" t="s">
        <v>122</v>
      </c>
      <c r="AI272" s="2" t="s">
        <v>661</v>
      </c>
      <c r="AJ272" s="2" t="s">
        <v>661</v>
      </c>
      <c r="AK272" s="2" t="s">
        <v>661</v>
      </c>
      <c r="AL272" s="2" t="s">
        <v>661</v>
      </c>
      <c r="AM272" s="2" t="s">
        <v>661</v>
      </c>
      <c r="AN272" s="2" t="s">
        <v>661</v>
      </c>
      <c r="AO272" s="2" t="s">
        <v>661</v>
      </c>
      <c r="AP272" s="16">
        <v>7.6</v>
      </c>
      <c r="AQ272" s="2" t="s">
        <v>661</v>
      </c>
      <c r="AR272" s="16">
        <v>69.099999999999994</v>
      </c>
      <c r="AS272" s="16">
        <v>22.300000000000004</v>
      </c>
      <c r="AT272" s="16">
        <v>8.6</v>
      </c>
      <c r="AU272" s="2" t="s">
        <v>661</v>
      </c>
      <c r="AV272" s="16">
        <f t="shared" si="109"/>
        <v>100</v>
      </c>
      <c r="AW272" s="18">
        <v>1.1000000000000001</v>
      </c>
      <c r="AX272" s="13">
        <f t="shared" si="105"/>
        <v>1.1000000000000001E-2</v>
      </c>
      <c r="AY272" s="13" t="s">
        <v>123</v>
      </c>
      <c r="AZ272" s="16">
        <f t="shared" si="123"/>
        <v>100</v>
      </c>
      <c r="BA272" s="16" t="s">
        <v>55</v>
      </c>
      <c r="BB272" s="15">
        <v>2.2999999999999998</v>
      </c>
      <c r="BC272" s="16" t="s">
        <v>55</v>
      </c>
      <c r="BD272" s="18">
        <v>7.6</v>
      </c>
      <c r="BE272" s="15">
        <f t="shared" si="130"/>
        <v>690.90909090909076</v>
      </c>
      <c r="BF272" s="8">
        <f t="shared" si="131"/>
        <v>2.839420907122566</v>
      </c>
      <c r="BG272" s="8">
        <f t="shared" si="132"/>
        <v>0.88081359228079137</v>
      </c>
      <c r="BH272" s="13" t="s">
        <v>841</v>
      </c>
      <c r="BI272" s="13"/>
      <c r="BJ272" s="13"/>
      <c r="BK272" s="8"/>
      <c r="BL272" s="8"/>
      <c r="BM272" s="18"/>
      <c r="BN272" s="8"/>
      <c r="BO272" s="24"/>
    </row>
    <row r="273" spans="1:67" s="14" customFormat="1" x14ac:dyDescent="0.3">
      <c r="A273" s="20">
        <v>279</v>
      </c>
      <c r="B273" s="2" t="s">
        <v>241</v>
      </c>
      <c r="C273" s="2">
        <v>2019</v>
      </c>
      <c r="D273" s="2" t="s">
        <v>201</v>
      </c>
      <c r="E273" s="10" t="s">
        <v>800</v>
      </c>
      <c r="F273" s="20" t="s">
        <v>29</v>
      </c>
      <c r="G273" s="2">
        <v>27</v>
      </c>
      <c r="H273" s="2" t="str">
        <f>'PFAS Properties'!$B$33</f>
        <v>PFOA</v>
      </c>
      <c r="I273" s="2" t="str">
        <f>'PFAS Properties'!$C$33</f>
        <v>PFCA</v>
      </c>
      <c r="J273" s="2" t="str">
        <f>'PFAS Properties'!$D$33</f>
        <v>C8HF15O2</v>
      </c>
      <c r="K273" s="25">
        <f>'PFAS Properties'!$P$33</f>
        <v>413.97359999999998</v>
      </c>
      <c r="L273" s="2">
        <f>'PFAS Properties'!$X$33</f>
        <v>-0.2</v>
      </c>
      <c r="M273" s="2" t="str">
        <f>'PFAS Properties'!$Y$33</f>
        <v>-</v>
      </c>
      <c r="N273" s="33">
        <v>0</v>
      </c>
      <c r="O273" s="33">
        <v>0</v>
      </c>
      <c r="P273" s="33">
        <v>0</v>
      </c>
      <c r="Q273" s="33">
        <f t="shared" si="133"/>
        <v>0.99999205678074798</v>
      </c>
      <c r="R273" s="33">
        <v>0</v>
      </c>
      <c r="S273" s="33">
        <f t="shared" si="134"/>
        <v>7.9432192520095278E-6</v>
      </c>
      <c r="T273" s="8">
        <f t="shared" si="103"/>
        <v>1</v>
      </c>
      <c r="U273" s="33">
        <f t="shared" si="124"/>
        <v>0</v>
      </c>
      <c r="V273" s="33">
        <f t="shared" si="125"/>
        <v>-0.99999205678074798</v>
      </c>
      <c r="W273" s="33">
        <f t="shared" si="126"/>
        <v>412.97360794321924</v>
      </c>
      <c r="X273" s="33">
        <v>96485</v>
      </c>
      <c r="Y273" s="16">
        <f t="shared" si="127"/>
        <v>-233.63292893950822</v>
      </c>
      <c r="Z273" s="16">
        <v>8</v>
      </c>
      <c r="AA273" s="16">
        <v>15</v>
      </c>
      <c r="AB273" s="8">
        <f t="shared" si="128"/>
        <v>0.33684210526315789</v>
      </c>
      <c r="AC273" s="16">
        <f t="shared" si="129"/>
        <v>68.844969824162703</v>
      </c>
      <c r="AD273" s="20">
        <f>'PFAS Properties'!$W$33</f>
        <v>7</v>
      </c>
      <c r="AE273" s="8">
        <f>'PFAS Properties'!$S$33</f>
        <v>2.6821450763738319</v>
      </c>
      <c r="AF273" s="15">
        <f>'PFAS Properties'!$V$33</f>
        <v>4.9000000000000004</v>
      </c>
      <c r="AG273" s="24">
        <v>4.9000000000000004</v>
      </c>
      <c r="AH273" s="2" t="s">
        <v>122</v>
      </c>
      <c r="AI273" s="2" t="s">
        <v>661</v>
      </c>
      <c r="AJ273" s="2" t="s">
        <v>661</v>
      </c>
      <c r="AK273" s="2" t="s">
        <v>661</v>
      </c>
      <c r="AL273" s="2" t="s">
        <v>661</v>
      </c>
      <c r="AM273" s="2" t="s">
        <v>661</v>
      </c>
      <c r="AN273" s="2" t="s">
        <v>661</v>
      </c>
      <c r="AO273" s="2" t="s">
        <v>661</v>
      </c>
      <c r="AP273" s="16">
        <v>2.9</v>
      </c>
      <c r="AQ273" s="2" t="s">
        <v>661</v>
      </c>
      <c r="AR273" s="16">
        <v>65.2</v>
      </c>
      <c r="AS273" s="16">
        <v>22.999999999999996</v>
      </c>
      <c r="AT273" s="16">
        <v>11.8</v>
      </c>
      <c r="AU273" s="2" t="s">
        <v>661</v>
      </c>
      <c r="AV273" s="16">
        <f t="shared" si="109"/>
        <v>100</v>
      </c>
      <c r="AW273" s="18">
        <v>0.1</v>
      </c>
      <c r="AX273" s="13">
        <f t="shared" si="105"/>
        <v>1E-3</v>
      </c>
      <c r="AY273" s="13" t="s">
        <v>123</v>
      </c>
      <c r="AZ273" s="16">
        <f t="shared" si="123"/>
        <v>100</v>
      </c>
      <c r="BA273" s="16" t="s">
        <v>55</v>
      </c>
      <c r="BB273" s="15">
        <v>2.2999999999999998</v>
      </c>
      <c r="BC273" s="16" t="s">
        <v>55</v>
      </c>
      <c r="BD273" s="18">
        <v>3.3</v>
      </c>
      <c r="BE273" s="15">
        <f t="shared" si="130"/>
        <v>3299.9999999999995</v>
      </c>
      <c r="BF273" s="8">
        <f t="shared" si="131"/>
        <v>3.5185139398778875</v>
      </c>
      <c r="BG273" s="8">
        <f t="shared" si="132"/>
        <v>0.51851393987788741</v>
      </c>
      <c r="BH273" s="13" t="s">
        <v>841</v>
      </c>
      <c r="BI273" s="13"/>
      <c r="BJ273" s="13"/>
      <c r="BK273" s="8"/>
      <c r="BL273" s="8"/>
      <c r="BM273" s="18"/>
      <c r="BN273" s="8"/>
      <c r="BO273" s="24"/>
    </row>
    <row r="274" spans="1:67" s="14" customFormat="1" x14ac:dyDescent="0.3">
      <c r="A274" s="20">
        <v>280</v>
      </c>
      <c r="B274" s="2" t="s">
        <v>241</v>
      </c>
      <c r="C274" s="2">
        <v>2019</v>
      </c>
      <c r="D274" s="2" t="s">
        <v>201</v>
      </c>
      <c r="E274" s="10" t="s">
        <v>800</v>
      </c>
      <c r="F274" s="20" t="s">
        <v>29</v>
      </c>
      <c r="G274" s="2">
        <v>28</v>
      </c>
      <c r="H274" s="2" t="str">
        <f>'PFAS Properties'!$B$33</f>
        <v>PFOA</v>
      </c>
      <c r="I274" s="2" t="str">
        <f>'PFAS Properties'!$C$33</f>
        <v>PFCA</v>
      </c>
      <c r="J274" s="2" t="str">
        <f>'PFAS Properties'!$D$33</f>
        <v>C8HF15O2</v>
      </c>
      <c r="K274" s="25">
        <f>'PFAS Properties'!$P$33</f>
        <v>413.97359999999998</v>
      </c>
      <c r="L274" s="2">
        <f>'PFAS Properties'!$X$33</f>
        <v>-0.2</v>
      </c>
      <c r="M274" s="2" t="str">
        <f>'PFAS Properties'!$Y$33</f>
        <v>-</v>
      </c>
      <c r="N274" s="33">
        <v>0</v>
      </c>
      <c r="O274" s="33">
        <v>0</v>
      </c>
      <c r="P274" s="33">
        <v>0</v>
      </c>
      <c r="Q274" s="33">
        <f t="shared" si="133"/>
        <v>0.9999974881198781</v>
      </c>
      <c r="R274" s="33">
        <v>0</v>
      </c>
      <c r="S274" s="33">
        <f t="shared" si="134"/>
        <v>2.5118801219519806E-6</v>
      </c>
      <c r="T274" s="8">
        <f t="shared" si="103"/>
        <v>1</v>
      </c>
      <c r="U274" s="33">
        <f t="shared" si="124"/>
        <v>0</v>
      </c>
      <c r="V274" s="33">
        <f t="shared" si="125"/>
        <v>-0.9999974881198781</v>
      </c>
      <c r="W274" s="33">
        <f t="shared" si="126"/>
        <v>412.97360251188013</v>
      </c>
      <c r="X274" s="33">
        <v>96485</v>
      </c>
      <c r="Y274" s="16">
        <f t="shared" si="127"/>
        <v>-233.63420096196302</v>
      </c>
      <c r="Z274" s="16">
        <v>8</v>
      </c>
      <c r="AA274" s="16">
        <v>15</v>
      </c>
      <c r="AB274" s="8">
        <f t="shared" si="128"/>
        <v>0.33684210526315789</v>
      </c>
      <c r="AC274" s="16">
        <f t="shared" si="129"/>
        <v>68.844969824162703</v>
      </c>
      <c r="AD274" s="20">
        <f>'PFAS Properties'!$W$33</f>
        <v>7</v>
      </c>
      <c r="AE274" s="8">
        <f>'PFAS Properties'!$S$33</f>
        <v>2.6821450763738319</v>
      </c>
      <c r="AF274" s="15">
        <f>'PFAS Properties'!$V$33</f>
        <v>4.9000000000000004</v>
      </c>
      <c r="AG274" s="24">
        <v>5.4</v>
      </c>
      <c r="AH274" s="2" t="s">
        <v>122</v>
      </c>
      <c r="AI274" s="2" t="s">
        <v>661</v>
      </c>
      <c r="AJ274" s="2" t="s">
        <v>661</v>
      </c>
      <c r="AK274" s="2" t="s">
        <v>661</v>
      </c>
      <c r="AL274" s="2" t="s">
        <v>661</v>
      </c>
      <c r="AM274" s="2" t="s">
        <v>661</v>
      </c>
      <c r="AN274" s="2" t="s">
        <v>661</v>
      </c>
      <c r="AO274" s="2" t="s">
        <v>661</v>
      </c>
      <c r="AP274" s="16">
        <v>8.8000000000000007</v>
      </c>
      <c r="AQ274" s="2" t="s">
        <v>661</v>
      </c>
      <c r="AR274" s="16">
        <v>65.7</v>
      </c>
      <c r="AS274" s="16">
        <v>12.399999999999999</v>
      </c>
      <c r="AT274" s="16">
        <v>21.9</v>
      </c>
      <c r="AU274" s="2" t="s">
        <v>661</v>
      </c>
      <c r="AV274" s="16">
        <f t="shared" si="109"/>
        <v>100</v>
      </c>
      <c r="AW274" s="18">
        <v>0.1</v>
      </c>
      <c r="AX274" s="13">
        <f t="shared" si="105"/>
        <v>1E-3</v>
      </c>
      <c r="AY274" s="13" t="s">
        <v>123</v>
      </c>
      <c r="AZ274" s="16">
        <f t="shared" si="123"/>
        <v>100</v>
      </c>
      <c r="BA274" s="16" t="s">
        <v>55</v>
      </c>
      <c r="BB274" s="15">
        <v>2.2999999999999998</v>
      </c>
      <c r="BC274" s="16" t="s">
        <v>55</v>
      </c>
      <c r="BD274" s="18">
        <v>5</v>
      </c>
      <c r="BE274" s="15">
        <f t="shared" si="130"/>
        <v>5000</v>
      </c>
      <c r="BF274" s="8">
        <f t="shared" si="131"/>
        <v>3.6989700043360187</v>
      </c>
      <c r="BG274" s="8">
        <f t="shared" si="132"/>
        <v>0.69897000433601886</v>
      </c>
      <c r="BH274" s="13" t="s">
        <v>841</v>
      </c>
      <c r="BI274" s="13"/>
      <c r="BJ274" s="13"/>
      <c r="BK274" s="8"/>
      <c r="BL274" s="8"/>
      <c r="BM274" s="18"/>
      <c r="BN274" s="8"/>
      <c r="BO274" s="24"/>
    </row>
    <row r="275" spans="1:67" s="14" customFormat="1" x14ac:dyDescent="0.3">
      <c r="A275" s="20">
        <v>281</v>
      </c>
      <c r="B275" s="2" t="s">
        <v>241</v>
      </c>
      <c r="C275" s="2">
        <v>2019</v>
      </c>
      <c r="D275" s="2" t="s">
        <v>201</v>
      </c>
      <c r="E275" s="10" t="s">
        <v>800</v>
      </c>
      <c r="F275" s="20" t="s">
        <v>29</v>
      </c>
      <c r="G275" s="2">
        <v>29</v>
      </c>
      <c r="H275" s="2" t="str">
        <f>'PFAS Properties'!$B$33</f>
        <v>PFOA</v>
      </c>
      <c r="I275" s="2" t="str">
        <f>'PFAS Properties'!$C$33</f>
        <v>PFCA</v>
      </c>
      <c r="J275" s="2" t="str">
        <f>'PFAS Properties'!$D$33</f>
        <v>C8HF15O2</v>
      </c>
      <c r="K275" s="25">
        <f>'PFAS Properties'!$P$33</f>
        <v>413.97359999999998</v>
      </c>
      <c r="L275" s="2">
        <f>'PFAS Properties'!$X$33</f>
        <v>-0.2</v>
      </c>
      <c r="M275" s="2" t="str">
        <f>'PFAS Properties'!$Y$33</f>
        <v>-</v>
      </c>
      <c r="N275" s="33">
        <v>0</v>
      </c>
      <c r="O275" s="33">
        <v>0</v>
      </c>
      <c r="P275" s="33">
        <v>0</v>
      </c>
      <c r="Q275" s="33">
        <f t="shared" si="133"/>
        <v>0.99999205678074798</v>
      </c>
      <c r="R275" s="33">
        <v>0</v>
      </c>
      <c r="S275" s="33">
        <f t="shared" si="134"/>
        <v>7.9432192520095278E-6</v>
      </c>
      <c r="T275" s="8">
        <f t="shared" si="103"/>
        <v>1</v>
      </c>
      <c r="U275" s="33">
        <f t="shared" si="124"/>
        <v>0</v>
      </c>
      <c r="V275" s="33">
        <f t="shared" si="125"/>
        <v>-0.99999205678074798</v>
      </c>
      <c r="W275" s="33">
        <f t="shared" si="126"/>
        <v>412.97360794321924</v>
      </c>
      <c r="X275" s="33">
        <v>96485</v>
      </c>
      <c r="Y275" s="16">
        <f t="shared" si="127"/>
        <v>-233.63292893950822</v>
      </c>
      <c r="Z275" s="16">
        <v>8</v>
      </c>
      <c r="AA275" s="16">
        <v>15</v>
      </c>
      <c r="AB275" s="8">
        <f t="shared" si="128"/>
        <v>0.33684210526315789</v>
      </c>
      <c r="AC275" s="16">
        <f t="shared" si="129"/>
        <v>68.844969824162703</v>
      </c>
      <c r="AD275" s="20">
        <f>'PFAS Properties'!$W$33</f>
        <v>7</v>
      </c>
      <c r="AE275" s="8">
        <f>'PFAS Properties'!$S$33</f>
        <v>2.6821450763738319</v>
      </c>
      <c r="AF275" s="15">
        <f>'PFAS Properties'!$V$33</f>
        <v>4.9000000000000004</v>
      </c>
      <c r="AG275" s="24">
        <v>4.9000000000000004</v>
      </c>
      <c r="AH275" s="2" t="s">
        <v>122</v>
      </c>
      <c r="AI275" s="2" t="s">
        <v>661</v>
      </c>
      <c r="AJ275" s="2" t="s">
        <v>661</v>
      </c>
      <c r="AK275" s="2" t="s">
        <v>661</v>
      </c>
      <c r="AL275" s="2" t="s">
        <v>661</v>
      </c>
      <c r="AM275" s="2" t="s">
        <v>661</v>
      </c>
      <c r="AN275" s="2" t="s">
        <v>661</v>
      </c>
      <c r="AO275" s="2" t="s">
        <v>661</v>
      </c>
      <c r="AP275" s="16">
        <v>5.6</v>
      </c>
      <c r="AQ275" s="2" t="s">
        <v>661</v>
      </c>
      <c r="AR275" s="16">
        <v>73.5</v>
      </c>
      <c r="AS275" s="16">
        <v>9.8999999999999986</v>
      </c>
      <c r="AT275" s="16">
        <v>16.600000000000001</v>
      </c>
      <c r="AU275" s="2" t="s">
        <v>661</v>
      </c>
      <c r="AV275" s="16">
        <f t="shared" si="109"/>
        <v>100</v>
      </c>
      <c r="AW275" s="18">
        <v>0.1</v>
      </c>
      <c r="AX275" s="13">
        <f t="shared" si="105"/>
        <v>1E-3</v>
      </c>
      <c r="AY275" s="13" t="s">
        <v>123</v>
      </c>
      <c r="AZ275" s="16">
        <f t="shared" si="123"/>
        <v>100</v>
      </c>
      <c r="BA275" s="16" t="s">
        <v>55</v>
      </c>
      <c r="BB275" s="15">
        <v>2.2999999999999998</v>
      </c>
      <c r="BC275" s="16" t="s">
        <v>55</v>
      </c>
      <c r="BD275" s="18">
        <v>3.9</v>
      </c>
      <c r="BE275" s="15">
        <f t="shared" si="130"/>
        <v>3900</v>
      </c>
      <c r="BF275" s="8">
        <f t="shared" si="131"/>
        <v>3.5910646070264991</v>
      </c>
      <c r="BG275" s="8">
        <f t="shared" si="132"/>
        <v>0.59106460702649921</v>
      </c>
      <c r="BH275" s="13" t="s">
        <v>841</v>
      </c>
      <c r="BI275" s="13"/>
      <c r="BJ275" s="13"/>
      <c r="BK275" s="8"/>
      <c r="BL275" s="8"/>
      <c r="BM275" s="18"/>
      <c r="BN275" s="8"/>
      <c r="BO275" s="24"/>
    </row>
    <row r="276" spans="1:67" s="14" customFormat="1" x14ac:dyDescent="0.3">
      <c r="A276" s="20">
        <v>282</v>
      </c>
      <c r="B276" s="2" t="s">
        <v>241</v>
      </c>
      <c r="C276" s="2">
        <v>2019</v>
      </c>
      <c r="D276" s="2" t="s">
        <v>201</v>
      </c>
      <c r="E276" s="10" t="s">
        <v>800</v>
      </c>
      <c r="F276" s="20" t="s">
        <v>29</v>
      </c>
      <c r="G276" s="2">
        <v>30</v>
      </c>
      <c r="H276" s="2" t="str">
        <f>'PFAS Properties'!$B$33</f>
        <v>PFOA</v>
      </c>
      <c r="I276" s="2" t="str">
        <f>'PFAS Properties'!$C$33</f>
        <v>PFCA</v>
      </c>
      <c r="J276" s="2" t="str">
        <f>'PFAS Properties'!$D$33</f>
        <v>C8HF15O2</v>
      </c>
      <c r="K276" s="25">
        <f>'PFAS Properties'!$P$33</f>
        <v>413.97359999999998</v>
      </c>
      <c r="L276" s="2">
        <f>'PFAS Properties'!$X$33</f>
        <v>-0.2</v>
      </c>
      <c r="M276" s="2" t="str">
        <f>'PFAS Properties'!$Y$33</f>
        <v>-</v>
      </c>
      <c r="N276" s="33">
        <v>0</v>
      </c>
      <c r="O276" s="33">
        <v>0</v>
      </c>
      <c r="P276" s="33">
        <v>0</v>
      </c>
      <c r="Q276" s="33">
        <f t="shared" si="133"/>
        <v>0.99999994988127916</v>
      </c>
      <c r="R276" s="33">
        <v>0</v>
      </c>
      <c r="S276" s="33">
        <f t="shared" si="134"/>
        <v>5.011872085084086E-8</v>
      </c>
      <c r="T276" s="8">
        <f t="shared" ref="T276:T339" si="135">SUM(N276:S276)</f>
        <v>1</v>
      </c>
      <c r="U276" s="33">
        <f t="shared" si="124"/>
        <v>0</v>
      </c>
      <c r="V276" s="33">
        <f t="shared" si="125"/>
        <v>-0.99999994988127916</v>
      </c>
      <c r="W276" s="33">
        <f t="shared" si="126"/>
        <v>412.9736000501187</v>
      </c>
      <c r="X276" s="33">
        <v>96485</v>
      </c>
      <c r="Y276" s="16">
        <f t="shared" si="127"/>
        <v>-233.6347775077771</v>
      </c>
      <c r="Z276" s="16">
        <v>8</v>
      </c>
      <c r="AA276" s="16">
        <v>15</v>
      </c>
      <c r="AB276" s="8">
        <f t="shared" si="128"/>
        <v>0.33684210526315789</v>
      </c>
      <c r="AC276" s="16">
        <f t="shared" si="129"/>
        <v>68.844969824162703</v>
      </c>
      <c r="AD276" s="20">
        <f>'PFAS Properties'!$W$33</f>
        <v>7</v>
      </c>
      <c r="AE276" s="8">
        <f>'PFAS Properties'!$S$33</f>
        <v>2.6821450763738319</v>
      </c>
      <c r="AF276" s="15">
        <f>'PFAS Properties'!$V$33</f>
        <v>4.9000000000000004</v>
      </c>
      <c r="AG276" s="24">
        <v>7.1</v>
      </c>
      <c r="AH276" s="2" t="s">
        <v>122</v>
      </c>
      <c r="AI276" s="2" t="s">
        <v>661</v>
      </c>
      <c r="AJ276" s="2" t="s">
        <v>661</v>
      </c>
      <c r="AK276" s="2" t="s">
        <v>661</v>
      </c>
      <c r="AL276" s="2" t="s">
        <v>661</v>
      </c>
      <c r="AM276" s="2" t="s">
        <v>661</v>
      </c>
      <c r="AN276" s="2" t="s">
        <v>661</v>
      </c>
      <c r="AO276" s="2" t="s">
        <v>661</v>
      </c>
      <c r="AP276" s="16">
        <v>26.1</v>
      </c>
      <c r="AQ276" s="2" t="s">
        <v>661</v>
      </c>
      <c r="AR276" s="16">
        <v>30.3</v>
      </c>
      <c r="AS276" s="16">
        <v>19.100000000000001</v>
      </c>
      <c r="AT276" s="16">
        <v>50.6</v>
      </c>
      <c r="AU276" s="2" t="s">
        <v>661</v>
      </c>
      <c r="AV276" s="16">
        <f t="shared" si="109"/>
        <v>100</v>
      </c>
      <c r="AW276" s="18">
        <v>0.5</v>
      </c>
      <c r="AX276" s="13">
        <f t="shared" si="105"/>
        <v>5.0000000000000001E-3</v>
      </c>
      <c r="AY276" s="13" t="s">
        <v>123</v>
      </c>
      <c r="AZ276" s="16">
        <f t="shared" si="123"/>
        <v>100</v>
      </c>
      <c r="BA276" s="16" t="s">
        <v>55</v>
      </c>
      <c r="BB276" s="15">
        <v>2.2999999999999998</v>
      </c>
      <c r="BC276" s="16" t="s">
        <v>55</v>
      </c>
      <c r="BD276" s="18">
        <v>11.7</v>
      </c>
      <c r="BE276" s="15">
        <f t="shared" si="130"/>
        <v>2340</v>
      </c>
      <c r="BF276" s="8">
        <f t="shared" si="131"/>
        <v>3.369215857410143</v>
      </c>
      <c r="BG276" s="8">
        <f t="shared" si="132"/>
        <v>1.0681858617461617</v>
      </c>
      <c r="BH276" s="13" t="s">
        <v>841</v>
      </c>
      <c r="BI276" s="13"/>
      <c r="BJ276" s="13"/>
      <c r="BK276" s="8"/>
      <c r="BL276" s="8"/>
      <c r="BM276" s="18"/>
      <c r="BN276" s="8"/>
      <c r="BO276" s="24"/>
    </row>
    <row r="277" spans="1:67" s="14" customFormat="1" x14ac:dyDescent="0.3">
      <c r="A277" s="20">
        <v>283</v>
      </c>
      <c r="B277" s="2" t="s">
        <v>241</v>
      </c>
      <c r="C277" s="2">
        <v>2019</v>
      </c>
      <c r="D277" s="2" t="s">
        <v>201</v>
      </c>
      <c r="E277" s="10" t="s">
        <v>800</v>
      </c>
      <c r="F277" s="20" t="s">
        <v>29</v>
      </c>
      <c r="G277" s="2">
        <v>31</v>
      </c>
      <c r="H277" s="2" t="str">
        <f>'PFAS Properties'!$B$33</f>
        <v>PFOA</v>
      </c>
      <c r="I277" s="2" t="str">
        <f>'PFAS Properties'!$C$33</f>
        <v>PFCA</v>
      </c>
      <c r="J277" s="2" t="str">
        <f>'PFAS Properties'!$D$33</f>
        <v>C8HF15O2</v>
      </c>
      <c r="K277" s="25">
        <f>'PFAS Properties'!$P$33</f>
        <v>413.97359999999998</v>
      </c>
      <c r="L277" s="2">
        <f>'PFAS Properties'!$X$33</f>
        <v>-0.2</v>
      </c>
      <c r="M277" s="2" t="str">
        <f>'PFAS Properties'!$Y$33</f>
        <v>-</v>
      </c>
      <c r="N277" s="33">
        <v>0</v>
      </c>
      <c r="O277" s="33">
        <v>0</v>
      </c>
      <c r="P277" s="33">
        <v>0</v>
      </c>
      <c r="Q277" s="33">
        <f t="shared" si="133"/>
        <v>0.99999601894414336</v>
      </c>
      <c r="R277" s="33">
        <v>0</v>
      </c>
      <c r="S277" s="33">
        <f t="shared" si="134"/>
        <v>3.981055856666137E-6</v>
      </c>
      <c r="T277" s="8">
        <f t="shared" si="135"/>
        <v>1</v>
      </c>
      <c r="U277" s="33">
        <f t="shared" si="124"/>
        <v>0</v>
      </c>
      <c r="V277" s="33">
        <f t="shared" si="125"/>
        <v>-0.99999601894414336</v>
      </c>
      <c r="W277" s="33">
        <f t="shared" si="126"/>
        <v>412.97360398105587</v>
      </c>
      <c r="X277" s="33">
        <v>96485</v>
      </c>
      <c r="Y277" s="16">
        <f t="shared" si="127"/>
        <v>-233.63385688023698</v>
      </c>
      <c r="Z277" s="16">
        <v>8</v>
      </c>
      <c r="AA277" s="16">
        <v>15</v>
      </c>
      <c r="AB277" s="8">
        <f t="shared" si="128"/>
        <v>0.33684210526315789</v>
      </c>
      <c r="AC277" s="16">
        <f t="shared" si="129"/>
        <v>68.844969824162703</v>
      </c>
      <c r="AD277" s="20">
        <f>'PFAS Properties'!$W$33</f>
        <v>7</v>
      </c>
      <c r="AE277" s="8">
        <f>'PFAS Properties'!$S$33</f>
        <v>2.6821450763738319</v>
      </c>
      <c r="AF277" s="15">
        <f>'PFAS Properties'!$V$33</f>
        <v>4.9000000000000004</v>
      </c>
      <c r="AG277" s="24">
        <v>5.2</v>
      </c>
      <c r="AH277" s="2" t="s">
        <v>122</v>
      </c>
      <c r="AI277" s="2" t="s">
        <v>661</v>
      </c>
      <c r="AJ277" s="2" t="s">
        <v>661</v>
      </c>
      <c r="AK277" s="2" t="s">
        <v>661</v>
      </c>
      <c r="AL277" s="2" t="s">
        <v>661</v>
      </c>
      <c r="AM277" s="2" t="s">
        <v>661</v>
      </c>
      <c r="AN277" s="2" t="s">
        <v>661</v>
      </c>
      <c r="AO277" s="2" t="s">
        <v>661</v>
      </c>
      <c r="AP277" s="16">
        <v>19</v>
      </c>
      <c r="AQ277" s="2" t="s">
        <v>661</v>
      </c>
      <c r="AR277" s="16">
        <v>44.5</v>
      </c>
      <c r="AS277" s="16">
        <v>12</v>
      </c>
      <c r="AT277" s="16">
        <v>43.5</v>
      </c>
      <c r="AU277" s="2" t="s">
        <v>661</v>
      </c>
      <c r="AV277" s="16">
        <f t="shared" si="109"/>
        <v>100</v>
      </c>
      <c r="AW277" s="18">
        <v>1.1000000000000001</v>
      </c>
      <c r="AX277" s="13">
        <f t="shared" si="105"/>
        <v>1.1000000000000001E-2</v>
      </c>
      <c r="AY277" s="13" t="s">
        <v>123</v>
      </c>
      <c r="AZ277" s="16">
        <f t="shared" si="123"/>
        <v>100</v>
      </c>
      <c r="BA277" s="16" t="s">
        <v>55</v>
      </c>
      <c r="BB277" s="15">
        <v>2.2999999999999998</v>
      </c>
      <c r="BC277" s="16" t="s">
        <v>55</v>
      </c>
      <c r="BD277" s="18">
        <v>10.5</v>
      </c>
      <c r="BE277" s="15">
        <f t="shared" si="130"/>
        <v>954.5454545454545</v>
      </c>
      <c r="BF277" s="8">
        <f t="shared" si="131"/>
        <v>2.9797966139117129</v>
      </c>
      <c r="BG277" s="8">
        <f t="shared" si="132"/>
        <v>1.0211892990699381</v>
      </c>
      <c r="BH277" s="13" t="s">
        <v>841</v>
      </c>
      <c r="BI277" s="13"/>
      <c r="BJ277" s="13"/>
      <c r="BK277" s="8"/>
      <c r="BL277" s="8"/>
      <c r="BM277" s="18"/>
      <c r="BN277" s="8"/>
      <c r="BO277" s="24"/>
    </row>
    <row r="278" spans="1:67" s="14" customFormat="1" x14ac:dyDescent="0.3">
      <c r="A278" s="20">
        <v>284</v>
      </c>
      <c r="B278" s="2" t="s">
        <v>241</v>
      </c>
      <c r="C278" s="2">
        <v>2019</v>
      </c>
      <c r="D278" s="2" t="s">
        <v>201</v>
      </c>
      <c r="E278" s="10" t="s">
        <v>800</v>
      </c>
      <c r="F278" s="20" t="s">
        <v>29</v>
      </c>
      <c r="G278" s="2">
        <v>32</v>
      </c>
      <c r="H278" s="2" t="str">
        <f>'PFAS Properties'!$B$33</f>
        <v>PFOA</v>
      </c>
      <c r="I278" s="2" t="str">
        <f>'PFAS Properties'!$C$33</f>
        <v>PFCA</v>
      </c>
      <c r="J278" s="2" t="str">
        <f>'PFAS Properties'!$D$33</f>
        <v>C8HF15O2</v>
      </c>
      <c r="K278" s="25">
        <f>'PFAS Properties'!$P$33</f>
        <v>413.97359999999998</v>
      </c>
      <c r="L278" s="2">
        <f>'PFAS Properties'!$X$33</f>
        <v>-0.2</v>
      </c>
      <c r="M278" s="2" t="str">
        <f>'PFAS Properties'!$Y$33</f>
        <v>-</v>
      </c>
      <c r="N278" s="33">
        <v>0</v>
      </c>
      <c r="O278" s="33">
        <v>0</v>
      </c>
      <c r="P278" s="33">
        <v>0</v>
      </c>
      <c r="Q278" s="33">
        <f t="shared" si="133"/>
        <v>0.99999949881301753</v>
      </c>
      <c r="R278" s="33">
        <v>0</v>
      </c>
      <c r="S278" s="33">
        <f t="shared" si="134"/>
        <v>5.0118698243875488E-7</v>
      </c>
      <c r="T278" s="8">
        <f t="shared" si="135"/>
        <v>1</v>
      </c>
      <c r="U278" s="33">
        <f t="shared" si="124"/>
        <v>0</v>
      </c>
      <c r="V278" s="33">
        <f t="shared" si="125"/>
        <v>-0.99999949881301753</v>
      </c>
      <c r="W278" s="33">
        <f t="shared" si="126"/>
        <v>412.97360050118692</v>
      </c>
      <c r="X278" s="33">
        <v>96485</v>
      </c>
      <c r="Y278" s="16">
        <f t="shared" si="127"/>
        <v>-233.63467186735267</v>
      </c>
      <c r="Z278" s="16">
        <v>8</v>
      </c>
      <c r="AA278" s="16">
        <v>15</v>
      </c>
      <c r="AB278" s="8">
        <f t="shared" si="128"/>
        <v>0.33684210526315789</v>
      </c>
      <c r="AC278" s="16">
        <f t="shared" si="129"/>
        <v>68.844969824162703</v>
      </c>
      <c r="AD278" s="20">
        <f>'PFAS Properties'!$W$33</f>
        <v>7</v>
      </c>
      <c r="AE278" s="8">
        <f>'PFAS Properties'!$S$33</f>
        <v>2.6821450763738319</v>
      </c>
      <c r="AF278" s="15">
        <f>'PFAS Properties'!$V$33</f>
        <v>4.9000000000000004</v>
      </c>
      <c r="AG278" s="24">
        <v>6.1</v>
      </c>
      <c r="AH278" s="2" t="s">
        <v>122</v>
      </c>
      <c r="AI278" s="2" t="s">
        <v>661</v>
      </c>
      <c r="AJ278" s="2" t="s">
        <v>661</v>
      </c>
      <c r="AK278" s="2" t="s">
        <v>661</v>
      </c>
      <c r="AL278" s="2" t="s">
        <v>661</v>
      </c>
      <c r="AM278" s="2" t="s">
        <v>661</v>
      </c>
      <c r="AN278" s="2" t="s">
        <v>661</v>
      </c>
      <c r="AO278" s="2" t="s">
        <v>661</v>
      </c>
      <c r="AP278" s="16">
        <v>23.4</v>
      </c>
      <c r="AQ278" s="2" t="s">
        <v>661</v>
      </c>
      <c r="AR278" s="16">
        <v>38.5</v>
      </c>
      <c r="AS278" s="16">
        <v>11.200000000000003</v>
      </c>
      <c r="AT278" s="16">
        <v>50.3</v>
      </c>
      <c r="AU278" s="2" t="s">
        <v>661</v>
      </c>
      <c r="AV278" s="16">
        <f t="shared" si="109"/>
        <v>100</v>
      </c>
      <c r="AW278" s="18">
        <v>0.2</v>
      </c>
      <c r="AX278" s="13">
        <f t="shared" si="105"/>
        <v>2E-3</v>
      </c>
      <c r="AY278" s="13" t="s">
        <v>123</v>
      </c>
      <c r="AZ278" s="16">
        <f t="shared" si="123"/>
        <v>100</v>
      </c>
      <c r="BA278" s="16" t="s">
        <v>55</v>
      </c>
      <c r="BB278" s="15">
        <v>2.2999999999999998</v>
      </c>
      <c r="BC278" s="16" t="s">
        <v>55</v>
      </c>
      <c r="BD278" s="18">
        <v>7.7</v>
      </c>
      <c r="BE278" s="15">
        <f t="shared" si="130"/>
        <v>3850</v>
      </c>
      <c r="BF278" s="8">
        <f t="shared" si="131"/>
        <v>3.5854607295085006</v>
      </c>
      <c r="BG278" s="8">
        <f t="shared" si="132"/>
        <v>0.88649072517248184</v>
      </c>
      <c r="BH278" s="13" t="s">
        <v>841</v>
      </c>
      <c r="BI278" s="13"/>
      <c r="BJ278" s="13"/>
      <c r="BK278" s="8"/>
      <c r="BL278" s="8"/>
      <c r="BM278" s="18"/>
      <c r="BN278" s="8"/>
      <c r="BO278" s="24"/>
    </row>
    <row r="279" spans="1:67" s="14" customFormat="1" x14ac:dyDescent="0.3">
      <c r="A279" s="20">
        <v>285</v>
      </c>
      <c r="B279" s="2" t="s">
        <v>241</v>
      </c>
      <c r="C279" s="2">
        <v>2019</v>
      </c>
      <c r="D279" s="2" t="s">
        <v>201</v>
      </c>
      <c r="E279" s="10" t="s">
        <v>800</v>
      </c>
      <c r="F279" s="20" t="s">
        <v>29</v>
      </c>
      <c r="G279" s="2">
        <v>33</v>
      </c>
      <c r="H279" s="2" t="str">
        <f>'PFAS Properties'!$B$33</f>
        <v>PFOA</v>
      </c>
      <c r="I279" s="2" t="str">
        <f>'PFAS Properties'!$C$33</f>
        <v>PFCA</v>
      </c>
      <c r="J279" s="2" t="str">
        <f>'PFAS Properties'!$D$33</f>
        <v>C8HF15O2</v>
      </c>
      <c r="K279" s="25">
        <f>'PFAS Properties'!$P$33</f>
        <v>413.97359999999998</v>
      </c>
      <c r="L279" s="2">
        <f>'PFAS Properties'!$X$33</f>
        <v>-0.2</v>
      </c>
      <c r="M279" s="2" t="str">
        <f>'PFAS Properties'!$Y$33</f>
        <v>-</v>
      </c>
      <c r="N279" s="33">
        <v>0</v>
      </c>
      <c r="O279" s="33">
        <v>0</v>
      </c>
      <c r="P279" s="33">
        <v>0</v>
      </c>
      <c r="Q279" s="33">
        <f t="shared" si="133"/>
        <v>0.9999999601892845</v>
      </c>
      <c r="R279" s="33">
        <v>0</v>
      </c>
      <c r="S279" s="33">
        <f t="shared" si="134"/>
        <v>3.9810715470456442E-8</v>
      </c>
      <c r="T279" s="8">
        <f t="shared" si="135"/>
        <v>1</v>
      </c>
      <c r="U279" s="33">
        <f t="shared" si="124"/>
        <v>0</v>
      </c>
      <c r="V279" s="33">
        <f t="shared" si="125"/>
        <v>-0.9999999601892845</v>
      </c>
      <c r="W279" s="33">
        <f t="shared" si="126"/>
        <v>412.97360003981066</v>
      </c>
      <c r="X279" s="33">
        <v>96485</v>
      </c>
      <c r="Y279" s="16">
        <f t="shared" si="127"/>
        <v>-233.63477992191741</v>
      </c>
      <c r="Z279" s="16">
        <v>8</v>
      </c>
      <c r="AA279" s="16">
        <v>15</v>
      </c>
      <c r="AB279" s="8">
        <f t="shared" si="128"/>
        <v>0.33684210526315789</v>
      </c>
      <c r="AC279" s="16">
        <f t="shared" si="129"/>
        <v>68.844969824162703</v>
      </c>
      <c r="AD279" s="20">
        <f>'PFAS Properties'!$W$33</f>
        <v>7</v>
      </c>
      <c r="AE279" s="8">
        <f>'PFAS Properties'!$S$33</f>
        <v>2.6821450763738319</v>
      </c>
      <c r="AF279" s="15">
        <f>'PFAS Properties'!$V$33</f>
        <v>4.9000000000000004</v>
      </c>
      <c r="AG279" s="24">
        <v>7.2</v>
      </c>
      <c r="AH279" s="2" t="s">
        <v>122</v>
      </c>
      <c r="AI279" s="2" t="s">
        <v>661</v>
      </c>
      <c r="AJ279" s="2" t="s">
        <v>661</v>
      </c>
      <c r="AK279" s="2" t="s">
        <v>661</v>
      </c>
      <c r="AL279" s="2" t="s">
        <v>661</v>
      </c>
      <c r="AM279" s="2" t="s">
        <v>661</v>
      </c>
      <c r="AN279" s="2" t="s">
        <v>661</v>
      </c>
      <c r="AO279" s="2" t="s">
        <v>661</v>
      </c>
      <c r="AP279" s="16">
        <v>19.7</v>
      </c>
      <c r="AQ279" s="2" t="s">
        <v>661</v>
      </c>
      <c r="AR279" s="16">
        <v>42</v>
      </c>
      <c r="AS279" s="16">
        <v>14.399999999999999</v>
      </c>
      <c r="AT279" s="16">
        <v>43.6</v>
      </c>
      <c r="AU279" s="2" t="s">
        <v>661</v>
      </c>
      <c r="AV279" s="16">
        <f t="shared" si="109"/>
        <v>100</v>
      </c>
      <c r="AW279" s="18">
        <v>0.1</v>
      </c>
      <c r="AX279" s="13">
        <f t="shared" si="105"/>
        <v>1E-3</v>
      </c>
      <c r="AY279" s="13" t="s">
        <v>123</v>
      </c>
      <c r="AZ279" s="16">
        <f t="shared" si="123"/>
        <v>100</v>
      </c>
      <c r="BA279" s="16" t="s">
        <v>55</v>
      </c>
      <c r="BB279" s="15">
        <v>2.2999999999999998</v>
      </c>
      <c r="BC279" s="16" t="s">
        <v>55</v>
      </c>
      <c r="BD279" s="18">
        <v>2.9</v>
      </c>
      <c r="BE279" s="15">
        <f t="shared" si="130"/>
        <v>2900</v>
      </c>
      <c r="BF279" s="8">
        <f t="shared" si="131"/>
        <v>3.4623979978989561</v>
      </c>
      <c r="BG279" s="8">
        <f t="shared" si="132"/>
        <v>0.46239799789895608</v>
      </c>
      <c r="BH279" s="13" t="s">
        <v>841</v>
      </c>
      <c r="BI279" s="13"/>
      <c r="BJ279" s="13"/>
      <c r="BK279" s="8"/>
      <c r="BL279" s="8"/>
      <c r="BM279" s="18"/>
      <c r="BN279" s="8"/>
      <c r="BO279" s="24"/>
    </row>
    <row r="280" spans="1:67" s="14" customFormat="1" x14ac:dyDescent="0.3">
      <c r="A280" s="20">
        <v>286</v>
      </c>
      <c r="B280" s="2" t="s">
        <v>241</v>
      </c>
      <c r="C280" s="2">
        <v>2019</v>
      </c>
      <c r="D280" s="2" t="s">
        <v>201</v>
      </c>
      <c r="E280" s="10" t="s">
        <v>800</v>
      </c>
      <c r="F280" s="20" t="s">
        <v>29</v>
      </c>
      <c r="G280" s="2">
        <v>34</v>
      </c>
      <c r="H280" s="2" t="str">
        <f>'PFAS Properties'!$B$33</f>
        <v>PFOA</v>
      </c>
      <c r="I280" s="2" t="str">
        <f>'PFAS Properties'!$C$33</f>
        <v>PFCA</v>
      </c>
      <c r="J280" s="2" t="str">
        <f>'PFAS Properties'!$D$33</f>
        <v>C8HF15O2</v>
      </c>
      <c r="K280" s="25">
        <f>'PFAS Properties'!$P$33</f>
        <v>413.97359999999998</v>
      </c>
      <c r="L280" s="2">
        <f>'PFAS Properties'!$X$33</f>
        <v>-0.2</v>
      </c>
      <c r="M280" s="2" t="str">
        <f>'PFAS Properties'!$Y$33</f>
        <v>-</v>
      </c>
      <c r="N280" s="33">
        <v>0</v>
      </c>
      <c r="O280" s="33">
        <v>0</v>
      </c>
      <c r="P280" s="33">
        <v>0</v>
      </c>
      <c r="Q280" s="33">
        <f t="shared" si="133"/>
        <v>0.99999993690426958</v>
      </c>
      <c r="R280" s="33">
        <v>0</v>
      </c>
      <c r="S280" s="33">
        <f t="shared" si="134"/>
        <v>6.3095730466947729E-8</v>
      </c>
      <c r="T280" s="8">
        <f t="shared" si="135"/>
        <v>1</v>
      </c>
      <c r="U280" s="33">
        <f t="shared" si="124"/>
        <v>0</v>
      </c>
      <c r="V280" s="33">
        <f t="shared" si="125"/>
        <v>-0.99999993690426958</v>
      </c>
      <c r="W280" s="33">
        <f t="shared" si="126"/>
        <v>412.97360006309572</v>
      </c>
      <c r="X280" s="33">
        <v>96485</v>
      </c>
      <c r="Y280" s="16">
        <f t="shared" si="127"/>
        <v>-233.63477446855464</v>
      </c>
      <c r="Z280" s="16">
        <v>8</v>
      </c>
      <c r="AA280" s="16">
        <v>15</v>
      </c>
      <c r="AB280" s="8">
        <f t="shared" si="128"/>
        <v>0.33684210526315789</v>
      </c>
      <c r="AC280" s="16">
        <f t="shared" si="129"/>
        <v>68.844969824162703</v>
      </c>
      <c r="AD280" s="20">
        <f>'PFAS Properties'!$W$33</f>
        <v>7</v>
      </c>
      <c r="AE280" s="8">
        <f>'PFAS Properties'!$S$33</f>
        <v>2.6821450763738319</v>
      </c>
      <c r="AF280" s="15">
        <f>'PFAS Properties'!$V$33</f>
        <v>4.9000000000000004</v>
      </c>
      <c r="AG280" s="24">
        <v>7</v>
      </c>
      <c r="AH280" s="2" t="s">
        <v>122</v>
      </c>
      <c r="AI280" s="2" t="s">
        <v>661</v>
      </c>
      <c r="AJ280" s="2" t="s">
        <v>661</v>
      </c>
      <c r="AK280" s="2" t="s">
        <v>661</v>
      </c>
      <c r="AL280" s="2" t="s">
        <v>661</v>
      </c>
      <c r="AM280" s="2" t="s">
        <v>661</v>
      </c>
      <c r="AN280" s="2" t="s">
        <v>661</v>
      </c>
      <c r="AO280" s="2" t="s">
        <v>661</v>
      </c>
      <c r="AP280" s="16">
        <v>21.6</v>
      </c>
      <c r="AQ280" s="2" t="s">
        <v>661</v>
      </c>
      <c r="AR280" s="16">
        <v>70</v>
      </c>
      <c r="AS280" s="16">
        <v>11</v>
      </c>
      <c r="AT280" s="16">
        <v>19</v>
      </c>
      <c r="AU280" s="2" t="s">
        <v>661</v>
      </c>
      <c r="AV280" s="16">
        <f t="shared" si="109"/>
        <v>100</v>
      </c>
      <c r="AW280" s="18">
        <v>3.5</v>
      </c>
      <c r="AX280" s="13">
        <f t="shared" si="105"/>
        <v>3.5000000000000003E-2</v>
      </c>
      <c r="AY280" s="13" t="s">
        <v>123</v>
      </c>
      <c r="AZ280" s="16">
        <f t="shared" si="123"/>
        <v>100</v>
      </c>
      <c r="BA280" s="16" t="s">
        <v>55</v>
      </c>
      <c r="BB280" s="15">
        <v>2.2999999999999998</v>
      </c>
      <c r="BC280" s="16" t="s">
        <v>55</v>
      </c>
      <c r="BD280" s="18">
        <v>10</v>
      </c>
      <c r="BE280" s="15">
        <f t="shared" si="130"/>
        <v>285.71428571428567</v>
      </c>
      <c r="BF280" s="8">
        <f t="shared" si="131"/>
        <v>2.4559319556497243</v>
      </c>
      <c r="BG280" s="8">
        <f t="shared" si="132"/>
        <v>1</v>
      </c>
      <c r="BH280" s="13" t="s">
        <v>841</v>
      </c>
      <c r="BI280" s="13"/>
      <c r="BJ280" s="13"/>
      <c r="BK280" s="8"/>
      <c r="BL280" s="8"/>
      <c r="BM280" s="18"/>
      <c r="BN280" s="8"/>
      <c r="BO280" s="24"/>
    </row>
    <row r="281" spans="1:67" s="14" customFormat="1" x14ac:dyDescent="0.3">
      <c r="A281" s="20">
        <v>287</v>
      </c>
      <c r="B281" s="2" t="s">
        <v>241</v>
      </c>
      <c r="C281" s="2">
        <v>2019</v>
      </c>
      <c r="D281" s="2" t="s">
        <v>201</v>
      </c>
      <c r="E281" s="10" t="s">
        <v>800</v>
      </c>
      <c r="F281" s="20" t="s">
        <v>29</v>
      </c>
      <c r="G281" s="2">
        <v>35</v>
      </c>
      <c r="H281" s="2" t="str">
        <f>'PFAS Properties'!$B$33</f>
        <v>PFOA</v>
      </c>
      <c r="I281" s="2" t="str">
        <f>'PFAS Properties'!$C$33</f>
        <v>PFCA</v>
      </c>
      <c r="J281" s="2" t="str">
        <f>'PFAS Properties'!$D$33</f>
        <v>C8HF15O2</v>
      </c>
      <c r="K281" s="25">
        <f>'PFAS Properties'!$P$33</f>
        <v>413.97359999999998</v>
      </c>
      <c r="L281" s="2">
        <f>'PFAS Properties'!$X$33</f>
        <v>-0.2</v>
      </c>
      <c r="M281" s="2" t="str">
        <f>'PFAS Properties'!$Y$33</f>
        <v>-</v>
      </c>
      <c r="N281" s="33">
        <v>0</v>
      </c>
      <c r="O281" s="33">
        <v>0</v>
      </c>
      <c r="P281" s="33">
        <v>0</v>
      </c>
      <c r="Q281" s="33">
        <f t="shared" si="133"/>
        <v>0.99999998004737722</v>
      </c>
      <c r="R281" s="33">
        <v>0</v>
      </c>
      <c r="S281" s="33">
        <f t="shared" si="134"/>
        <v>1.995262275158161E-8</v>
      </c>
      <c r="T281" s="8">
        <f t="shared" si="135"/>
        <v>1</v>
      </c>
      <c r="U281" s="33">
        <f t="shared" si="124"/>
        <v>0</v>
      </c>
      <c r="V281" s="33">
        <f t="shared" si="125"/>
        <v>-0.99999998004737722</v>
      </c>
      <c r="W281" s="33">
        <f t="shared" si="126"/>
        <v>412.97360001995258</v>
      </c>
      <c r="X281" s="33">
        <v>96485</v>
      </c>
      <c r="Y281" s="16">
        <f t="shared" si="127"/>
        <v>-233.63478457269321</v>
      </c>
      <c r="Z281" s="16">
        <v>8</v>
      </c>
      <c r="AA281" s="16">
        <v>15</v>
      </c>
      <c r="AB281" s="8">
        <f t="shared" si="128"/>
        <v>0.33684210526315789</v>
      </c>
      <c r="AC281" s="16">
        <f t="shared" si="129"/>
        <v>68.844969824162703</v>
      </c>
      <c r="AD281" s="20">
        <f>'PFAS Properties'!$W$33</f>
        <v>7</v>
      </c>
      <c r="AE281" s="8">
        <f>'PFAS Properties'!$S$33</f>
        <v>2.6821450763738319</v>
      </c>
      <c r="AF281" s="15">
        <f>'PFAS Properties'!$V$33</f>
        <v>4.9000000000000004</v>
      </c>
      <c r="AG281" s="24">
        <v>7.5</v>
      </c>
      <c r="AH281" s="2" t="s">
        <v>122</v>
      </c>
      <c r="AI281" s="2" t="s">
        <v>661</v>
      </c>
      <c r="AJ281" s="2" t="s">
        <v>661</v>
      </c>
      <c r="AK281" s="2" t="s">
        <v>661</v>
      </c>
      <c r="AL281" s="2" t="s">
        <v>661</v>
      </c>
      <c r="AM281" s="2" t="s">
        <v>661</v>
      </c>
      <c r="AN281" s="2" t="s">
        <v>661</v>
      </c>
      <c r="AO281" s="2" t="s">
        <v>661</v>
      </c>
      <c r="AP281" s="16">
        <v>7.7</v>
      </c>
      <c r="AQ281" s="2" t="s">
        <v>661</v>
      </c>
      <c r="AR281" s="16">
        <v>81</v>
      </c>
      <c r="AS281" s="16">
        <v>5</v>
      </c>
      <c r="AT281" s="16">
        <v>14</v>
      </c>
      <c r="AU281" s="2" t="s">
        <v>661</v>
      </c>
      <c r="AV281" s="16">
        <f t="shared" si="109"/>
        <v>100</v>
      </c>
      <c r="AW281" s="18">
        <v>0.8</v>
      </c>
      <c r="AX281" s="13">
        <f t="shared" si="105"/>
        <v>8.0000000000000002E-3</v>
      </c>
      <c r="AY281" s="13" t="s">
        <v>123</v>
      </c>
      <c r="AZ281" s="16">
        <f t="shared" si="123"/>
        <v>100</v>
      </c>
      <c r="BA281" s="16" t="s">
        <v>55</v>
      </c>
      <c r="BB281" s="15">
        <v>2.2999999999999998</v>
      </c>
      <c r="BC281" s="16" t="s">
        <v>55</v>
      </c>
      <c r="BD281" s="18">
        <v>6.7</v>
      </c>
      <c r="BE281" s="15">
        <f t="shared" si="130"/>
        <v>837.5</v>
      </c>
      <c r="BF281" s="8">
        <f t="shared" si="131"/>
        <v>2.9229848157088827</v>
      </c>
      <c r="BG281" s="8">
        <f t="shared" si="132"/>
        <v>0.82607480270082645</v>
      </c>
      <c r="BH281" s="13" t="s">
        <v>841</v>
      </c>
      <c r="BI281" s="13"/>
      <c r="BJ281" s="13"/>
      <c r="BK281" s="8"/>
      <c r="BL281" s="8"/>
      <c r="BM281" s="18"/>
      <c r="BN281" s="8"/>
      <c r="BO281" s="24"/>
    </row>
    <row r="282" spans="1:67" s="14" customFormat="1" x14ac:dyDescent="0.3">
      <c r="A282" s="20">
        <v>288</v>
      </c>
      <c r="B282" s="2" t="s">
        <v>241</v>
      </c>
      <c r="C282" s="2">
        <v>2019</v>
      </c>
      <c r="D282" s="2" t="s">
        <v>201</v>
      </c>
      <c r="E282" s="10" t="s">
        <v>800</v>
      </c>
      <c r="F282" s="20" t="s">
        <v>29</v>
      </c>
      <c r="G282" s="2">
        <v>36</v>
      </c>
      <c r="H282" s="2" t="str">
        <f>'PFAS Properties'!$B$33</f>
        <v>PFOA</v>
      </c>
      <c r="I282" s="2" t="str">
        <f>'PFAS Properties'!$C$33</f>
        <v>PFCA</v>
      </c>
      <c r="J282" s="2" t="str">
        <f>'PFAS Properties'!$D$33</f>
        <v>C8HF15O2</v>
      </c>
      <c r="K282" s="25">
        <f>'PFAS Properties'!$P$33</f>
        <v>413.97359999999998</v>
      </c>
      <c r="L282" s="2">
        <f>'PFAS Properties'!$X$33</f>
        <v>-0.2</v>
      </c>
      <c r="M282" s="2" t="str">
        <f>'PFAS Properties'!$Y$33</f>
        <v>-</v>
      </c>
      <c r="N282" s="33">
        <v>0</v>
      </c>
      <c r="O282" s="33">
        <v>0</v>
      </c>
      <c r="P282" s="33">
        <v>0</v>
      </c>
      <c r="Q282" s="33">
        <f t="shared" si="133"/>
        <v>0.99999999000000006</v>
      </c>
      <c r="R282" s="33">
        <v>0</v>
      </c>
      <c r="S282" s="33">
        <f t="shared" si="134"/>
        <v>9.9999999000000002E-9</v>
      </c>
      <c r="T282" s="8">
        <f t="shared" si="135"/>
        <v>1</v>
      </c>
      <c r="U282" s="33">
        <f t="shared" si="124"/>
        <v>0</v>
      </c>
      <c r="V282" s="33">
        <f t="shared" si="125"/>
        <v>-0.99999999000000006</v>
      </c>
      <c r="W282" s="33">
        <f t="shared" si="126"/>
        <v>412.97360000999993</v>
      </c>
      <c r="X282" s="33">
        <v>96485</v>
      </c>
      <c r="Y282" s="16">
        <f t="shared" si="127"/>
        <v>-233.63478690360273</v>
      </c>
      <c r="Z282" s="16">
        <v>8</v>
      </c>
      <c r="AA282" s="16">
        <v>15</v>
      </c>
      <c r="AB282" s="8">
        <f t="shared" si="128"/>
        <v>0.33684210526315789</v>
      </c>
      <c r="AC282" s="16">
        <f t="shared" si="129"/>
        <v>68.844969824162703</v>
      </c>
      <c r="AD282" s="20">
        <f>'PFAS Properties'!$W$33</f>
        <v>7</v>
      </c>
      <c r="AE282" s="8">
        <f>'PFAS Properties'!$S$33</f>
        <v>2.6821450763738319</v>
      </c>
      <c r="AF282" s="15">
        <f>'PFAS Properties'!$V$33</f>
        <v>4.9000000000000004</v>
      </c>
      <c r="AG282" s="24">
        <v>7.8</v>
      </c>
      <c r="AH282" s="2" t="s">
        <v>122</v>
      </c>
      <c r="AI282" s="2" t="s">
        <v>661</v>
      </c>
      <c r="AJ282" s="2" t="s">
        <v>661</v>
      </c>
      <c r="AK282" s="2" t="s">
        <v>661</v>
      </c>
      <c r="AL282" s="2" t="s">
        <v>661</v>
      </c>
      <c r="AM282" s="2" t="s">
        <v>661</v>
      </c>
      <c r="AN282" s="2" t="s">
        <v>661</v>
      </c>
      <c r="AO282" s="2" t="s">
        <v>661</v>
      </c>
      <c r="AP282" s="16">
        <v>5.3</v>
      </c>
      <c r="AQ282" s="2" t="s">
        <v>661</v>
      </c>
      <c r="AR282" s="16">
        <v>84</v>
      </c>
      <c r="AS282" s="16">
        <v>4</v>
      </c>
      <c r="AT282" s="16">
        <v>12</v>
      </c>
      <c r="AU282" s="2" t="s">
        <v>661</v>
      </c>
      <c r="AV282" s="16">
        <f t="shared" si="109"/>
        <v>100</v>
      </c>
      <c r="AW282" s="18">
        <v>0.3</v>
      </c>
      <c r="AX282" s="13">
        <f t="shared" ref="AX282:AX345" si="136">AW282/100</f>
        <v>3.0000000000000001E-3</v>
      </c>
      <c r="AY282" s="13" t="s">
        <v>123</v>
      </c>
      <c r="AZ282" s="16">
        <f t="shared" si="123"/>
        <v>100</v>
      </c>
      <c r="BA282" s="16" t="s">
        <v>55</v>
      </c>
      <c r="BB282" s="15">
        <v>2.2999999999999998</v>
      </c>
      <c r="BC282" s="16" t="s">
        <v>55</v>
      </c>
      <c r="BD282" s="18">
        <v>4.2</v>
      </c>
      <c r="BE282" s="15">
        <f t="shared" si="130"/>
        <v>1400</v>
      </c>
      <c r="BF282" s="8">
        <f t="shared" si="131"/>
        <v>3.1461280356782382</v>
      </c>
      <c r="BG282" s="8">
        <f t="shared" si="132"/>
        <v>0.62324929039790045</v>
      </c>
      <c r="BH282" s="13" t="s">
        <v>841</v>
      </c>
      <c r="BI282" s="13"/>
      <c r="BJ282" s="13"/>
      <c r="BK282" s="8"/>
      <c r="BL282" s="8"/>
      <c r="BM282" s="18"/>
      <c r="BN282" s="8"/>
      <c r="BO282" s="24"/>
    </row>
    <row r="283" spans="1:67" s="14" customFormat="1" x14ac:dyDescent="0.3">
      <c r="A283" s="20">
        <v>289</v>
      </c>
      <c r="B283" s="2" t="s">
        <v>241</v>
      </c>
      <c r="C283" s="2">
        <v>2019</v>
      </c>
      <c r="D283" s="2" t="s">
        <v>201</v>
      </c>
      <c r="E283" s="10" t="s">
        <v>800</v>
      </c>
      <c r="F283" s="20" t="s">
        <v>29</v>
      </c>
      <c r="G283" s="2">
        <v>37</v>
      </c>
      <c r="H283" s="2" t="str">
        <f>'PFAS Properties'!$B$33</f>
        <v>PFOA</v>
      </c>
      <c r="I283" s="2" t="str">
        <f>'PFAS Properties'!$C$33</f>
        <v>PFCA</v>
      </c>
      <c r="J283" s="2" t="str">
        <f>'PFAS Properties'!$D$33</f>
        <v>C8HF15O2</v>
      </c>
      <c r="K283" s="25">
        <f>'PFAS Properties'!$P$33</f>
        <v>413.97359999999998</v>
      </c>
      <c r="L283" s="2">
        <f>'PFAS Properties'!$X$33</f>
        <v>-0.2</v>
      </c>
      <c r="M283" s="2" t="str">
        <f>'PFAS Properties'!$Y$33</f>
        <v>-</v>
      </c>
      <c r="N283" s="33">
        <v>0</v>
      </c>
      <c r="O283" s="33">
        <v>0</v>
      </c>
      <c r="P283" s="33">
        <v>0</v>
      </c>
      <c r="Q283" s="33">
        <f t="shared" si="133"/>
        <v>0.99999998415106828</v>
      </c>
      <c r="R283" s="33">
        <v>0</v>
      </c>
      <c r="S283" s="33">
        <f t="shared" si="134"/>
        <v>1.5848931673422493E-8</v>
      </c>
      <c r="T283" s="8">
        <f t="shared" si="135"/>
        <v>1</v>
      </c>
      <c r="U283" s="33">
        <f t="shared" si="124"/>
        <v>0</v>
      </c>
      <c r="V283" s="33">
        <f t="shared" si="125"/>
        <v>-0.99999998415106828</v>
      </c>
      <c r="W283" s="33">
        <f t="shared" si="126"/>
        <v>412.97360001584889</v>
      </c>
      <c r="X283" s="33">
        <v>96485</v>
      </c>
      <c r="Y283" s="16">
        <f t="shared" si="127"/>
        <v>-233.63478553377979</v>
      </c>
      <c r="Z283" s="16">
        <v>8</v>
      </c>
      <c r="AA283" s="16">
        <v>15</v>
      </c>
      <c r="AB283" s="8">
        <f t="shared" si="128"/>
        <v>0.33684210526315789</v>
      </c>
      <c r="AC283" s="16">
        <f t="shared" si="129"/>
        <v>68.844969824162703</v>
      </c>
      <c r="AD283" s="20">
        <f>'PFAS Properties'!$W$33</f>
        <v>7</v>
      </c>
      <c r="AE283" s="8">
        <f>'PFAS Properties'!$S$33</f>
        <v>2.6821450763738319</v>
      </c>
      <c r="AF283" s="15">
        <f>'PFAS Properties'!$V$33</f>
        <v>4.9000000000000004</v>
      </c>
      <c r="AG283" s="24">
        <v>7.6</v>
      </c>
      <c r="AH283" s="2" t="s">
        <v>122</v>
      </c>
      <c r="AI283" s="2" t="s">
        <v>661</v>
      </c>
      <c r="AJ283" s="2" t="s">
        <v>661</v>
      </c>
      <c r="AK283" s="2" t="s">
        <v>661</v>
      </c>
      <c r="AL283" s="2" t="s">
        <v>661</v>
      </c>
      <c r="AM283" s="2" t="s">
        <v>661</v>
      </c>
      <c r="AN283" s="2" t="s">
        <v>661</v>
      </c>
      <c r="AO283" s="2" t="s">
        <v>661</v>
      </c>
      <c r="AP283" s="16">
        <v>1.6</v>
      </c>
      <c r="AQ283" s="2" t="s">
        <v>661</v>
      </c>
      <c r="AR283" s="16">
        <v>95</v>
      </c>
      <c r="AS283" s="16">
        <v>1</v>
      </c>
      <c r="AT283" s="16">
        <v>4</v>
      </c>
      <c r="AU283" s="2" t="s">
        <v>661</v>
      </c>
      <c r="AV283" s="16">
        <f t="shared" si="109"/>
        <v>100</v>
      </c>
      <c r="AW283" s="18">
        <v>0.1</v>
      </c>
      <c r="AX283" s="13">
        <f t="shared" si="136"/>
        <v>1E-3</v>
      </c>
      <c r="AY283" s="13" t="s">
        <v>123</v>
      </c>
      <c r="AZ283" s="16">
        <f t="shared" si="123"/>
        <v>100</v>
      </c>
      <c r="BA283" s="16" t="s">
        <v>55</v>
      </c>
      <c r="BB283" s="15">
        <v>2.2999999999999998</v>
      </c>
      <c r="BC283" s="16" t="s">
        <v>55</v>
      </c>
      <c r="BD283" s="18">
        <v>0.6</v>
      </c>
      <c r="BE283" s="15">
        <f t="shared" si="130"/>
        <v>600</v>
      </c>
      <c r="BF283" s="8">
        <f t="shared" si="131"/>
        <v>2.7781512503836434</v>
      </c>
      <c r="BG283" s="8">
        <f t="shared" si="132"/>
        <v>-0.22184874961635639</v>
      </c>
      <c r="BH283" s="13" t="s">
        <v>841</v>
      </c>
      <c r="BI283" s="13"/>
      <c r="BJ283" s="13"/>
      <c r="BK283" s="8"/>
      <c r="BL283" s="8"/>
      <c r="BM283" s="18"/>
      <c r="BN283" s="8"/>
      <c r="BO283" s="24"/>
    </row>
    <row r="284" spans="1:67" s="14" customFormat="1" x14ac:dyDescent="0.3">
      <c r="A284" s="20">
        <v>290</v>
      </c>
      <c r="B284" s="2" t="s">
        <v>241</v>
      </c>
      <c r="C284" s="2">
        <v>2019</v>
      </c>
      <c r="D284" s="2" t="s">
        <v>201</v>
      </c>
      <c r="E284" s="10" t="s">
        <v>800</v>
      </c>
      <c r="F284" s="20" t="s">
        <v>29</v>
      </c>
      <c r="G284" s="2">
        <v>38</v>
      </c>
      <c r="H284" s="2" t="str">
        <f>'PFAS Properties'!$B$33</f>
        <v>PFOA</v>
      </c>
      <c r="I284" s="2" t="str">
        <f>'PFAS Properties'!$C$33</f>
        <v>PFCA</v>
      </c>
      <c r="J284" s="2" t="str">
        <f>'PFAS Properties'!$D$33</f>
        <v>C8HF15O2</v>
      </c>
      <c r="K284" s="25">
        <f>'PFAS Properties'!$P$33</f>
        <v>413.97359999999998</v>
      </c>
      <c r="L284" s="2">
        <f>'PFAS Properties'!$X$33</f>
        <v>-0.2</v>
      </c>
      <c r="M284" s="2" t="str">
        <f>'PFAS Properties'!$Y$33</f>
        <v>-</v>
      </c>
      <c r="N284" s="33">
        <v>0</v>
      </c>
      <c r="O284" s="33">
        <v>0</v>
      </c>
      <c r="P284" s="33">
        <v>0</v>
      </c>
      <c r="Q284" s="33">
        <f t="shared" si="133"/>
        <v>0.99999998741074603</v>
      </c>
      <c r="R284" s="33">
        <v>0</v>
      </c>
      <c r="S284" s="33">
        <f t="shared" si="134"/>
        <v>1.258925395945232E-8</v>
      </c>
      <c r="T284" s="8">
        <f t="shared" si="135"/>
        <v>1</v>
      </c>
      <c r="U284" s="33">
        <f t="shared" si="124"/>
        <v>0</v>
      </c>
      <c r="V284" s="33">
        <f t="shared" si="125"/>
        <v>-0.99999998741074603</v>
      </c>
      <c r="W284" s="33">
        <f t="shared" si="126"/>
        <v>412.9736000125892</v>
      </c>
      <c r="X284" s="33">
        <v>96485</v>
      </c>
      <c r="Y284" s="16">
        <f t="shared" si="127"/>
        <v>-233.63478629719808</v>
      </c>
      <c r="Z284" s="16">
        <v>8</v>
      </c>
      <c r="AA284" s="16">
        <v>15</v>
      </c>
      <c r="AB284" s="8">
        <f t="shared" si="128"/>
        <v>0.33684210526315789</v>
      </c>
      <c r="AC284" s="16">
        <f t="shared" si="129"/>
        <v>68.844969824162703</v>
      </c>
      <c r="AD284" s="20">
        <f>'PFAS Properties'!$W$33</f>
        <v>7</v>
      </c>
      <c r="AE284" s="8">
        <f>'PFAS Properties'!$S$33</f>
        <v>2.6821450763738319</v>
      </c>
      <c r="AF284" s="15">
        <f>'PFAS Properties'!$V$33</f>
        <v>4.9000000000000004</v>
      </c>
      <c r="AG284" s="24">
        <v>7.7</v>
      </c>
      <c r="AH284" s="2" t="s">
        <v>122</v>
      </c>
      <c r="AI284" s="2" t="s">
        <v>661</v>
      </c>
      <c r="AJ284" s="2" t="s">
        <v>661</v>
      </c>
      <c r="AK284" s="2" t="s">
        <v>661</v>
      </c>
      <c r="AL284" s="2" t="s">
        <v>661</v>
      </c>
      <c r="AM284" s="2" t="s">
        <v>661</v>
      </c>
      <c r="AN284" s="2" t="s">
        <v>661</v>
      </c>
      <c r="AO284" s="2" t="s">
        <v>661</v>
      </c>
      <c r="AP284" s="16">
        <v>9.1999999999999993</v>
      </c>
      <c r="AQ284" s="2" t="s">
        <v>661</v>
      </c>
      <c r="AR284" s="16">
        <v>78</v>
      </c>
      <c r="AS284" s="16">
        <v>2</v>
      </c>
      <c r="AT284" s="16">
        <v>20</v>
      </c>
      <c r="AU284" s="2" t="s">
        <v>661</v>
      </c>
      <c r="AV284" s="16">
        <f t="shared" si="109"/>
        <v>100</v>
      </c>
      <c r="AW284" s="18">
        <v>0.1</v>
      </c>
      <c r="AX284" s="13">
        <f t="shared" si="136"/>
        <v>1E-3</v>
      </c>
      <c r="AY284" s="13" t="s">
        <v>123</v>
      </c>
      <c r="AZ284" s="16">
        <f t="shared" si="123"/>
        <v>100</v>
      </c>
      <c r="BA284" s="16" t="s">
        <v>55</v>
      </c>
      <c r="BB284" s="15">
        <v>2.2999999999999998</v>
      </c>
      <c r="BC284" s="16" t="s">
        <v>55</v>
      </c>
      <c r="BD284" s="18">
        <v>2.6</v>
      </c>
      <c r="BE284" s="15">
        <f t="shared" si="130"/>
        <v>2600</v>
      </c>
      <c r="BF284" s="8">
        <f t="shared" si="131"/>
        <v>3.4149733479708178</v>
      </c>
      <c r="BG284" s="8">
        <f t="shared" si="132"/>
        <v>0.41497334797081797</v>
      </c>
      <c r="BH284" s="13" t="s">
        <v>841</v>
      </c>
      <c r="BI284" s="13"/>
      <c r="BJ284" s="13"/>
      <c r="BK284" s="8"/>
      <c r="BL284" s="8"/>
      <c r="BM284" s="18"/>
      <c r="BN284" s="8"/>
      <c r="BO284" s="24"/>
    </row>
    <row r="285" spans="1:67" s="14" customFormat="1" x14ac:dyDescent="0.3">
      <c r="A285" s="20">
        <v>291</v>
      </c>
      <c r="B285" s="2" t="s">
        <v>241</v>
      </c>
      <c r="C285" s="2">
        <v>2019</v>
      </c>
      <c r="D285" s="2" t="s">
        <v>201</v>
      </c>
      <c r="E285" s="10" t="s">
        <v>800</v>
      </c>
      <c r="F285" s="20" t="s">
        <v>29</v>
      </c>
      <c r="G285" s="2">
        <v>39</v>
      </c>
      <c r="H285" s="2" t="str">
        <f>'PFAS Properties'!$B$33</f>
        <v>PFOA</v>
      </c>
      <c r="I285" s="2" t="str">
        <f>'PFAS Properties'!$C$33</f>
        <v>PFCA</v>
      </c>
      <c r="J285" s="2" t="str">
        <f>'PFAS Properties'!$D$33</f>
        <v>C8HF15O2</v>
      </c>
      <c r="K285" s="25">
        <f>'PFAS Properties'!$P$33</f>
        <v>413.97359999999998</v>
      </c>
      <c r="L285" s="2">
        <f>'PFAS Properties'!$X$33</f>
        <v>-0.2</v>
      </c>
      <c r="M285" s="2" t="str">
        <f>'PFAS Properties'!$Y$33</f>
        <v>-</v>
      </c>
      <c r="N285" s="33">
        <v>0</v>
      </c>
      <c r="O285" s="33">
        <v>0</v>
      </c>
      <c r="P285" s="33">
        <v>0</v>
      </c>
      <c r="Q285" s="33">
        <f t="shared" si="133"/>
        <v>0.99999992056718279</v>
      </c>
      <c r="R285" s="33">
        <v>0</v>
      </c>
      <c r="S285" s="33">
        <f t="shared" si="134"/>
        <v>7.9432817162854954E-8</v>
      </c>
      <c r="T285" s="8">
        <f t="shared" si="135"/>
        <v>1</v>
      </c>
      <c r="U285" s="33">
        <f t="shared" si="124"/>
        <v>0</v>
      </c>
      <c r="V285" s="33">
        <f t="shared" si="125"/>
        <v>-0.99999992056718279</v>
      </c>
      <c r="W285" s="33">
        <f t="shared" si="126"/>
        <v>412.97360007943274</v>
      </c>
      <c r="X285" s="33">
        <v>96485</v>
      </c>
      <c r="Y285" s="16">
        <f t="shared" si="127"/>
        <v>-233.63477064240035</v>
      </c>
      <c r="Z285" s="16">
        <v>8</v>
      </c>
      <c r="AA285" s="16">
        <v>15</v>
      </c>
      <c r="AB285" s="8">
        <f t="shared" si="128"/>
        <v>0.33684210526315789</v>
      </c>
      <c r="AC285" s="16">
        <f t="shared" si="129"/>
        <v>68.844969824162703</v>
      </c>
      <c r="AD285" s="20">
        <f>'PFAS Properties'!$W$33</f>
        <v>7</v>
      </c>
      <c r="AE285" s="8">
        <f>'PFAS Properties'!$S$33</f>
        <v>2.6821450763738319</v>
      </c>
      <c r="AF285" s="15">
        <f>'PFAS Properties'!$V$33</f>
        <v>4.9000000000000004</v>
      </c>
      <c r="AG285" s="24">
        <v>6.9</v>
      </c>
      <c r="AH285" s="2" t="s">
        <v>122</v>
      </c>
      <c r="AI285" s="2" t="s">
        <v>661</v>
      </c>
      <c r="AJ285" s="2" t="s">
        <v>661</v>
      </c>
      <c r="AK285" s="2" t="s">
        <v>661</v>
      </c>
      <c r="AL285" s="2" t="s">
        <v>661</v>
      </c>
      <c r="AM285" s="2" t="s">
        <v>661</v>
      </c>
      <c r="AN285" s="2" t="s">
        <v>661</v>
      </c>
      <c r="AO285" s="2" t="s">
        <v>661</v>
      </c>
      <c r="AP285" s="16">
        <v>2.2999999999999998</v>
      </c>
      <c r="AQ285" s="2" t="s">
        <v>661</v>
      </c>
      <c r="AR285" s="16">
        <v>93</v>
      </c>
      <c r="AS285" s="16">
        <v>2</v>
      </c>
      <c r="AT285" s="16">
        <v>5</v>
      </c>
      <c r="AU285" s="2" t="s">
        <v>661</v>
      </c>
      <c r="AV285" s="16">
        <f t="shared" si="109"/>
        <v>100</v>
      </c>
      <c r="AW285" s="18">
        <v>0.3</v>
      </c>
      <c r="AX285" s="13">
        <f t="shared" si="136"/>
        <v>3.0000000000000001E-3</v>
      </c>
      <c r="AY285" s="13" t="s">
        <v>123</v>
      </c>
      <c r="AZ285" s="16">
        <f t="shared" si="123"/>
        <v>100</v>
      </c>
      <c r="BA285" s="16" t="s">
        <v>55</v>
      </c>
      <c r="BB285" s="15">
        <v>2.2999999999999998</v>
      </c>
      <c r="BC285" s="16" t="s">
        <v>55</v>
      </c>
      <c r="BD285" s="18">
        <v>5.3</v>
      </c>
      <c r="BE285" s="15">
        <f t="shared" si="130"/>
        <v>1766.6666666666665</v>
      </c>
      <c r="BF285" s="8">
        <f t="shared" si="131"/>
        <v>3.2471546148811266</v>
      </c>
      <c r="BG285" s="8">
        <f t="shared" si="132"/>
        <v>0.72427586960078905</v>
      </c>
      <c r="BH285" s="13" t="s">
        <v>841</v>
      </c>
      <c r="BI285" s="13"/>
      <c r="BJ285" s="13"/>
      <c r="BK285" s="8"/>
      <c r="BL285" s="8"/>
      <c r="BM285" s="18"/>
      <c r="BN285" s="8"/>
      <c r="BO285" s="24"/>
    </row>
    <row r="286" spans="1:67" s="14" customFormat="1" x14ac:dyDescent="0.3">
      <c r="A286" s="20">
        <v>292</v>
      </c>
      <c r="B286" s="2" t="s">
        <v>241</v>
      </c>
      <c r="C286" s="2">
        <v>2019</v>
      </c>
      <c r="D286" s="2" t="s">
        <v>201</v>
      </c>
      <c r="E286" s="10" t="s">
        <v>800</v>
      </c>
      <c r="F286" s="20" t="s">
        <v>29</v>
      </c>
      <c r="G286" s="2">
        <v>40</v>
      </c>
      <c r="H286" s="2" t="str">
        <f>'PFAS Properties'!$B$33</f>
        <v>PFOA</v>
      </c>
      <c r="I286" s="2" t="str">
        <f>'PFAS Properties'!$C$33</f>
        <v>PFCA</v>
      </c>
      <c r="J286" s="2" t="str">
        <f>'PFAS Properties'!$D$33</f>
        <v>C8HF15O2</v>
      </c>
      <c r="K286" s="25">
        <f>'PFAS Properties'!$P$33</f>
        <v>413.97359999999998</v>
      </c>
      <c r="L286" s="2">
        <f>'PFAS Properties'!$X$33</f>
        <v>-0.2</v>
      </c>
      <c r="M286" s="2" t="str">
        <f>'PFAS Properties'!$Y$33</f>
        <v>-</v>
      </c>
      <c r="N286" s="33">
        <v>0</v>
      </c>
      <c r="O286" s="33">
        <v>0</v>
      </c>
      <c r="P286" s="33">
        <v>0</v>
      </c>
      <c r="Q286" s="33">
        <f t="shared" si="133"/>
        <v>0.99999997488113634</v>
      </c>
      <c r="R286" s="33">
        <v>0</v>
      </c>
      <c r="S286" s="33">
        <f t="shared" si="134"/>
        <v>2.5118863684138424E-8</v>
      </c>
      <c r="T286" s="8">
        <f t="shared" si="135"/>
        <v>1</v>
      </c>
      <c r="U286" s="33">
        <f t="shared" si="124"/>
        <v>0</v>
      </c>
      <c r="V286" s="33">
        <f t="shared" si="125"/>
        <v>-0.99999997488113634</v>
      </c>
      <c r="W286" s="33">
        <f t="shared" si="126"/>
        <v>412.97360002511886</v>
      </c>
      <c r="X286" s="33">
        <v>96485</v>
      </c>
      <c r="Y286" s="16">
        <f t="shared" si="127"/>
        <v>-233.63478336275685</v>
      </c>
      <c r="Z286" s="16">
        <v>8</v>
      </c>
      <c r="AA286" s="16">
        <v>15</v>
      </c>
      <c r="AB286" s="8">
        <f t="shared" si="128"/>
        <v>0.33684210526315789</v>
      </c>
      <c r="AC286" s="16">
        <f t="shared" si="129"/>
        <v>68.844969824162703</v>
      </c>
      <c r="AD286" s="20">
        <f>'PFAS Properties'!$W$33</f>
        <v>7</v>
      </c>
      <c r="AE286" s="8">
        <f>'PFAS Properties'!$S$33</f>
        <v>2.6821450763738319</v>
      </c>
      <c r="AF286" s="15">
        <f>'PFAS Properties'!$V$33</f>
        <v>4.9000000000000004</v>
      </c>
      <c r="AG286" s="24">
        <v>7.4</v>
      </c>
      <c r="AH286" s="2" t="s">
        <v>122</v>
      </c>
      <c r="AI286" s="2" t="s">
        <v>661</v>
      </c>
      <c r="AJ286" s="2" t="s">
        <v>661</v>
      </c>
      <c r="AK286" s="2" t="s">
        <v>661</v>
      </c>
      <c r="AL286" s="2" t="s">
        <v>661</v>
      </c>
      <c r="AM286" s="2" t="s">
        <v>661</v>
      </c>
      <c r="AN286" s="2" t="s">
        <v>661</v>
      </c>
      <c r="AO286" s="2" t="s">
        <v>661</v>
      </c>
      <c r="AP286" s="16">
        <v>6</v>
      </c>
      <c r="AQ286" s="2" t="s">
        <v>661</v>
      </c>
      <c r="AR286" s="16">
        <v>87</v>
      </c>
      <c r="AS286" s="16">
        <v>1</v>
      </c>
      <c r="AT286" s="16">
        <v>12</v>
      </c>
      <c r="AU286" s="2" t="s">
        <v>661</v>
      </c>
      <c r="AV286" s="16">
        <f t="shared" si="109"/>
        <v>100</v>
      </c>
      <c r="AW286" s="18">
        <v>0.1</v>
      </c>
      <c r="AX286" s="13">
        <f t="shared" si="136"/>
        <v>1E-3</v>
      </c>
      <c r="AY286" s="13" t="s">
        <v>123</v>
      </c>
      <c r="AZ286" s="16">
        <f t="shared" si="123"/>
        <v>100</v>
      </c>
      <c r="BA286" s="16" t="s">
        <v>55</v>
      </c>
      <c r="BB286" s="15">
        <v>2.2999999999999998</v>
      </c>
      <c r="BC286" s="16" t="s">
        <v>55</v>
      </c>
      <c r="BD286" s="18">
        <v>1.6</v>
      </c>
      <c r="BE286" s="15">
        <f t="shared" si="130"/>
        <v>1600</v>
      </c>
      <c r="BF286" s="8">
        <f t="shared" si="131"/>
        <v>3.2041199826559246</v>
      </c>
      <c r="BG286" s="8">
        <f t="shared" si="132"/>
        <v>0.20411998265592479</v>
      </c>
      <c r="BH286" s="13" t="s">
        <v>841</v>
      </c>
      <c r="BI286" s="13"/>
      <c r="BJ286" s="13"/>
      <c r="BK286" s="8"/>
      <c r="BL286" s="8"/>
      <c r="BM286" s="18"/>
      <c r="BN286" s="8"/>
      <c r="BO286" s="24"/>
    </row>
    <row r="287" spans="1:67" s="14" customFormat="1" x14ac:dyDescent="0.3">
      <c r="A287" s="20">
        <v>293</v>
      </c>
      <c r="B287" s="2" t="s">
        <v>241</v>
      </c>
      <c r="C287" s="2">
        <v>2019</v>
      </c>
      <c r="D287" s="2" t="s">
        <v>201</v>
      </c>
      <c r="E287" s="10" t="s">
        <v>800</v>
      </c>
      <c r="F287" s="20" t="s">
        <v>29</v>
      </c>
      <c r="G287" s="2">
        <v>41</v>
      </c>
      <c r="H287" s="2" t="str">
        <f>'PFAS Properties'!$B$33</f>
        <v>PFOA</v>
      </c>
      <c r="I287" s="2" t="str">
        <f>'PFAS Properties'!$C$33</f>
        <v>PFCA</v>
      </c>
      <c r="J287" s="2" t="str">
        <f>'PFAS Properties'!$D$33</f>
        <v>C8HF15O2</v>
      </c>
      <c r="K287" s="25">
        <f>'PFAS Properties'!$P$33</f>
        <v>413.97359999999998</v>
      </c>
      <c r="L287" s="2">
        <f>'PFAS Properties'!$X$33</f>
        <v>-0.2</v>
      </c>
      <c r="M287" s="2" t="str">
        <f>'PFAS Properties'!$Y$33</f>
        <v>-</v>
      </c>
      <c r="N287" s="33">
        <v>0</v>
      </c>
      <c r="O287" s="33">
        <v>0</v>
      </c>
      <c r="P287" s="33">
        <v>0</v>
      </c>
      <c r="Q287" s="33">
        <f t="shared" si="133"/>
        <v>0.99999993690426958</v>
      </c>
      <c r="R287" s="33">
        <v>0</v>
      </c>
      <c r="S287" s="33">
        <f t="shared" si="134"/>
        <v>6.3095730466947729E-8</v>
      </c>
      <c r="T287" s="8">
        <f t="shared" si="135"/>
        <v>1</v>
      </c>
      <c r="U287" s="33">
        <f t="shared" si="124"/>
        <v>0</v>
      </c>
      <c r="V287" s="33">
        <f t="shared" si="125"/>
        <v>-0.99999993690426958</v>
      </c>
      <c r="W287" s="33">
        <f t="shared" si="126"/>
        <v>412.97360006309572</v>
      </c>
      <c r="X287" s="33">
        <v>96485</v>
      </c>
      <c r="Y287" s="16">
        <f t="shared" si="127"/>
        <v>-233.63477446855464</v>
      </c>
      <c r="Z287" s="16">
        <v>8</v>
      </c>
      <c r="AA287" s="16">
        <v>15</v>
      </c>
      <c r="AB287" s="8">
        <f t="shared" si="128"/>
        <v>0.33684210526315789</v>
      </c>
      <c r="AC287" s="16">
        <f t="shared" si="129"/>
        <v>68.844969824162703</v>
      </c>
      <c r="AD287" s="20">
        <f>'PFAS Properties'!$W$33</f>
        <v>7</v>
      </c>
      <c r="AE287" s="8">
        <f>'PFAS Properties'!$S$33</f>
        <v>2.6821450763738319</v>
      </c>
      <c r="AF287" s="15">
        <f>'PFAS Properties'!$V$33</f>
        <v>4.9000000000000004</v>
      </c>
      <c r="AG287" s="24">
        <v>7</v>
      </c>
      <c r="AH287" s="2" t="s">
        <v>122</v>
      </c>
      <c r="AI287" s="2" t="s">
        <v>661</v>
      </c>
      <c r="AJ287" s="2" t="s">
        <v>661</v>
      </c>
      <c r="AK287" s="2" t="s">
        <v>661</v>
      </c>
      <c r="AL287" s="2" t="s">
        <v>661</v>
      </c>
      <c r="AM287" s="2" t="s">
        <v>661</v>
      </c>
      <c r="AN287" s="2" t="s">
        <v>661</v>
      </c>
      <c r="AO287" s="2" t="s">
        <v>661</v>
      </c>
      <c r="AP287" s="16">
        <v>29.3</v>
      </c>
      <c r="AQ287" s="2" t="s">
        <v>661</v>
      </c>
      <c r="AR287" s="16">
        <v>62</v>
      </c>
      <c r="AS287" s="16">
        <v>8.9000000000000057</v>
      </c>
      <c r="AT287" s="16">
        <v>29.1</v>
      </c>
      <c r="AU287" s="2" t="s">
        <v>661</v>
      </c>
      <c r="AV287" s="16">
        <f t="shared" ref="AV287:AV292" si="137">SUM(AR287:AT287)</f>
        <v>100</v>
      </c>
      <c r="AW287" s="18">
        <v>1.7</v>
      </c>
      <c r="AX287" s="13">
        <f t="shared" si="136"/>
        <v>1.7000000000000001E-2</v>
      </c>
      <c r="AY287" s="13" t="s">
        <v>123</v>
      </c>
      <c r="AZ287" s="16">
        <f t="shared" si="123"/>
        <v>100</v>
      </c>
      <c r="BA287" s="16" t="s">
        <v>55</v>
      </c>
      <c r="BB287" s="15">
        <v>2.2999999999999998</v>
      </c>
      <c r="BC287" s="16" t="s">
        <v>55</v>
      </c>
      <c r="BD287" s="18">
        <v>8.8000000000000007</v>
      </c>
      <c r="BE287" s="15">
        <f t="shared" si="130"/>
        <v>517.64705882352939</v>
      </c>
      <c r="BF287" s="8">
        <f t="shared" si="131"/>
        <v>2.7140337507718946</v>
      </c>
      <c r="BG287" s="8">
        <f t="shared" si="132"/>
        <v>0.94448267215016868</v>
      </c>
      <c r="BH287" s="13" t="s">
        <v>841</v>
      </c>
      <c r="BI287" s="13"/>
      <c r="BJ287" s="13"/>
      <c r="BK287" s="8"/>
      <c r="BL287" s="8"/>
      <c r="BM287" s="18"/>
      <c r="BN287" s="8"/>
      <c r="BO287" s="24"/>
    </row>
    <row r="288" spans="1:67" s="14" customFormat="1" x14ac:dyDescent="0.3">
      <c r="A288" s="20">
        <v>294</v>
      </c>
      <c r="B288" s="2" t="s">
        <v>241</v>
      </c>
      <c r="C288" s="2">
        <v>2019</v>
      </c>
      <c r="D288" s="2" t="s">
        <v>201</v>
      </c>
      <c r="E288" s="10" t="s">
        <v>800</v>
      </c>
      <c r="F288" s="20" t="s">
        <v>29</v>
      </c>
      <c r="G288" s="2">
        <v>42</v>
      </c>
      <c r="H288" s="2" t="str">
        <f>'PFAS Properties'!$B$33</f>
        <v>PFOA</v>
      </c>
      <c r="I288" s="2" t="str">
        <f>'PFAS Properties'!$C$33</f>
        <v>PFCA</v>
      </c>
      <c r="J288" s="2" t="str">
        <f>'PFAS Properties'!$D$33</f>
        <v>C8HF15O2</v>
      </c>
      <c r="K288" s="25">
        <f>'PFAS Properties'!$P$33</f>
        <v>413.97359999999998</v>
      </c>
      <c r="L288" s="2">
        <f>'PFAS Properties'!$X$33</f>
        <v>-0.2</v>
      </c>
      <c r="M288" s="2" t="str">
        <f>'PFAS Properties'!$Y$33</f>
        <v>-</v>
      </c>
      <c r="N288" s="33">
        <v>0</v>
      </c>
      <c r="O288" s="33">
        <v>0</v>
      </c>
      <c r="P288" s="33">
        <v>0</v>
      </c>
      <c r="Q288" s="33">
        <f t="shared" si="133"/>
        <v>0.99999999498812764</v>
      </c>
      <c r="R288" s="33">
        <v>0</v>
      </c>
      <c r="S288" s="33">
        <f t="shared" si="134"/>
        <v>5.0118723111538642E-9</v>
      </c>
      <c r="T288" s="8">
        <f t="shared" si="135"/>
        <v>1</v>
      </c>
      <c r="U288" s="33">
        <f t="shared" si="124"/>
        <v>0</v>
      </c>
      <c r="V288" s="33">
        <f t="shared" si="125"/>
        <v>-0.99999999498812764</v>
      </c>
      <c r="W288" s="33">
        <f t="shared" si="126"/>
        <v>412.9736000050118</v>
      </c>
      <c r="X288" s="33">
        <v>96485</v>
      </c>
      <c r="Y288" s="16">
        <f t="shared" si="127"/>
        <v>-233.63478807182486</v>
      </c>
      <c r="Z288" s="16">
        <v>8</v>
      </c>
      <c r="AA288" s="16">
        <v>15</v>
      </c>
      <c r="AB288" s="8">
        <f t="shared" si="128"/>
        <v>0.33684210526315789</v>
      </c>
      <c r="AC288" s="16">
        <f t="shared" si="129"/>
        <v>68.844969824162703</v>
      </c>
      <c r="AD288" s="20">
        <f>'PFAS Properties'!$W$33</f>
        <v>7</v>
      </c>
      <c r="AE288" s="8">
        <f>'PFAS Properties'!$S$33</f>
        <v>2.6821450763738319</v>
      </c>
      <c r="AF288" s="15">
        <f>'PFAS Properties'!$V$33</f>
        <v>4.9000000000000004</v>
      </c>
      <c r="AG288" s="24">
        <v>8.1</v>
      </c>
      <c r="AH288" s="2" t="s">
        <v>122</v>
      </c>
      <c r="AI288" s="2" t="s">
        <v>661</v>
      </c>
      <c r="AJ288" s="2" t="s">
        <v>661</v>
      </c>
      <c r="AK288" s="2" t="s">
        <v>661</v>
      </c>
      <c r="AL288" s="2" t="s">
        <v>661</v>
      </c>
      <c r="AM288" s="2" t="s">
        <v>661</v>
      </c>
      <c r="AN288" s="2" t="s">
        <v>661</v>
      </c>
      <c r="AO288" s="2" t="s">
        <v>661</v>
      </c>
      <c r="AP288" s="16">
        <v>27.4</v>
      </c>
      <c r="AQ288" s="2" t="s">
        <v>661</v>
      </c>
      <c r="AR288" s="16">
        <v>60.3</v>
      </c>
      <c r="AS288" s="16">
        <v>9.1000000000000085</v>
      </c>
      <c r="AT288" s="16">
        <v>30.6</v>
      </c>
      <c r="AU288" s="2" t="s">
        <v>661</v>
      </c>
      <c r="AV288" s="16">
        <f t="shared" si="137"/>
        <v>100</v>
      </c>
      <c r="AW288" s="18">
        <v>0.1</v>
      </c>
      <c r="AX288" s="13">
        <f t="shared" si="136"/>
        <v>1E-3</v>
      </c>
      <c r="AY288" s="13" t="s">
        <v>123</v>
      </c>
      <c r="AZ288" s="16">
        <f t="shared" si="123"/>
        <v>100</v>
      </c>
      <c r="BA288" s="16" t="s">
        <v>55</v>
      </c>
      <c r="BB288" s="15">
        <v>2.2999999999999998</v>
      </c>
      <c r="BC288" s="16" t="s">
        <v>55</v>
      </c>
      <c r="BD288" s="18">
        <v>1.6</v>
      </c>
      <c r="BE288" s="15">
        <f t="shared" si="130"/>
        <v>1600</v>
      </c>
      <c r="BF288" s="8">
        <f t="shared" si="131"/>
        <v>3.2041199826559246</v>
      </c>
      <c r="BG288" s="8">
        <f t="shared" si="132"/>
        <v>0.20411998265592479</v>
      </c>
      <c r="BH288" s="13" t="s">
        <v>841</v>
      </c>
      <c r="BI288" s="13"/>
      <c r="BJ288" s="13"/>
      <c r="BK288" s="8"/>
      <c r="BL288" s="8"/>
      <c r="BM288" s="18"/>
      <c r="BN288" s="8"/>
      <c r="BO288" s="24"/>
    </row>
    <row r="289" spans="1:67" s="14" customFormat="1" x14ac:dyDescent="0.3">
      <c r="A289" s="20">
        <v>295</v>
      </c>
      <c r="B289" s="2" t="s">
        <v>241</v>
      </c>
      <c r="C289" s="2">
        <v>2019</v>
      </c>
      <c r="D289" s="2" t="s">
        <v>201</v>
      </c>
      <c r="E289" s="10" t="s">
        <v>800</v>
      </c>
      <c r="F289" s="20" t="s">
        <v>29</v>
      </c>
      <c r="G289" s="2">
        <v>43</v>
      </c>
      <c r="H289" s="2" t="str">
        <f>'PFAS Properties'!$B$33</f>
        <v>PFOA</v>
      </c>
      <c r="I289" s="2" t="str">
        <f>'PFAS Properties'!$C$33</f>
        <v>PFCA</v>
      </c>
      <c r="J289" s="2" t="str">
        <f>'PFAS Properties'!$D$33</f>
        <v>C8HF15O2</v>
      </c>
      <c r="K289" s="25">
        <f>'PFAS Properties'!$P$33</f>
        <v>413.97359999999998</v>
      </c>
      <c r="L289" s="2">
        <f>'PFAS Properties'!$X$33</f>
        <v>-0.2</v>
      </c>
      <c r="M289" s="2" t="str">
        <f>'PFAS Properties'!$Y$33</f>
        <v>-</v>
      </c>
      <c r="N289" s="33">
        <v>0</v>
      </c>
      <c r="O289" s="33">
        <v>0</v>
      </c>
      <c r="P289" s="33">
        <v>0</v>
      </c>
      <c r="Q289" s="33">
        <f t="shared" si="133"/>
        <v>0.99999998415106828</v>
      </c>
      <c r="R289" s="33">
        <v>0</v>
      </c>
      <c r="S289" s="33">
        <f t="shared" si="134"/>
        <v>1.5848931673422493E-8</v>
      </c>
      <c r="T289" s="8">
        <f t="shared" si="135"/>
        <v>1</v>
      </c>
      <c r="U289" s="33">
        <f t="shared" si="124"/>
        <v>0</v>
      </c>
      <c r="V289" s="33">
        <f t="shared" si="125"/>
        <v>-0.99999998415106828</v>
      </c>
      <c r="W289" s="33">
        <f t="shared" si="126"/>
        <v>412.97360001584889</v>
      </c>
      <c r="X289" s="33">
        <v>96485</v>
      </c>
      <c r="Y289" s="16">
        <f t="shared" si="127"/>
        <v>-233.63478553377979</v>
      </c>
      <c r="Z289" s="16">
        <v>8</v>
      </c>
      <c r="AA289" s="16">
        <v>15</v>
      </c>
      <c r="AB289" s="8">
        <f t="shared" si="128"/>
        <v>0.33684210526315789</v>
      </c>
      <c r="AC289" s="16">
        <f t="shared" si="129"/>
        <v>68.844969824162703</v>
      </c>
      <c r="AD289" s="20">
        <f>'PFAS Properties'!$W$33</f>
        <v>7</v>
      </c>
      <c r="AE289" s="8">
        <f>'PFAS Properties'!$S$33</f>
        <v>2.6821450763738319</v>
      </c>
      <c r="AF289" s="15">
        <f>'PFAS Properties'!$V$33</f>
        <v>4.9000000000000004</v>
      </c>
      <c r="AG289" s="24">
        <v>7.6</v>
      </c>
      <c r="AH289" s="2" t="s">
        <v>122</v>
      </c>
      <c r="AI289" s="2" t="s">
        <v>661</v>
      </c>
      <c r="AJ289" s="2" t="s">
        <v>661</v>
      </c>
      <c r="AK289" s="2" t="s">
        <v>661</v>
      </c>
      <c r="AL289" s="2" t="s">
        <v>661</v>
      </c>
      <c r="AM289" s="2" t="s">
        <v>661</v>
      </c>
      <c r="AN289" s="2" t="s">
        <v>661</v>
      </c>
      <c r="AO289" s="2" t="s">
        <v>661</v>
      </c>
      <c r="AP289" s="16">
        <v>22.1</v>
      </c>
      <c r="AQ289" s="2" t="s">
        <v>661</v>
      </c>
      <c r="AR289" s="16">
        <v>49.2</v>
      </c>
      <c r="AS289" s="16">
        <v>12.399999999999999</v>
      </c>
      <c r="AT289" s="16">
        <v>38.4</v>
      </c>
      <c r="AU289" s="2" t="s">
        <v>661</v>
      </c>
      <c r="AV289" s="16">
        <f t="shared" si="137"/>
        <v>100</v>
      </c>
      <c r="AW289" s="18">
        <v>1</v>
      </c>
      <c r="AX289" s="13">
        <f t="shared" si="136"/>
        <v>0.01</v>
      </c>
      <c r="AY289" s="13" t="s">
        <v>123</v>
      </c>
      <c r="AZ289" s="16">
        <f t="shared" si="123"/>
        <v>100</v>
      </c>
      <c r="BA289" s="16" t="s">
        <v>55</v>
      </c>
      <c r="BB289" s="15">
        <v>2.2999999999999998</v>
      </c>
      <c r="BC289" s="16" t="s">
        <v>55</v>
      </c>
      <c r="BD289" s="18">
        <v>8</v>
      </c>
      <c r="BE289" s="15">
        <f t="shared" si="130"/>
        <v>800</v>
      </c>
      <c r="BF289" s="8">
        <f t="shared" si="131"/>
        <v>2.9030899869919438</v>
      </c>
      <c r="BG289" s="8">
        <f t="shared" si="132"/>
        <v>0.90308998699194354</v>
      </c>
      <c r="BH289" s="13" t="s">
        <v>841</v>
      </c>
      <c r="BI289" s="13"/>
      <c r="BJ289" s="13"/>
      <c r="BK289" s="8"/>
      <c r="BL289" s="8"/>
      <c r="BM289" s="18"/>
      <c r="BN289" s="8"/>
      <c r="BO289" s="24"/>
    </row>
    <row r="290" spans="1:67" s="14" customFormat="1" x14ac:dyDescent="0.3">
      <c r="A290" s="20">
        <v>296</v>
      </c>
      <c r="B290" s="2" t="s">
        <v>241</v>
      </c>
      <c r="C290" s="2">
        <v>2019</v>
      </c>
      <c r="D290" s="2" t="s">
        <v>201</v>
      </c>
      <c r="E290" s="10" t="s">
        <v>800</v>
      </c>
      <c r="F290" s="20" t="s">
        <v>29</v>
      </c>
      <c r="G290" s="2">
        <v>44</v>
      </c>
      <c r="H290" s="2" t="str">
        <f>'PFAS Properties'!$B$33</f>
        <v>PFOA</v>
      </c>
      <c r="I290" s="2" t="str">
        <f>'PFAS Properties'!$C$33</f>
        <v>PFCA</v>
      </c>
      <c r="J290" s="2" t="str">
        <f>'PFAS Properties'!$D$33</f>
        <v>C8HF15O2</v>
      </c>
      <c r="K290" s="25">
        <f>'PFAS Properties'!$P$33</f>
        <v>413.97359999999998</v>
      </c>
      <c r="L290" s="2">
        <f>'PFAS Properties'!$X$33</f>
        <v>-0.2</v>
      </c>
      <c r="M290" s="2" t="str">
        <f>'PFAS Properties'!$Y$33</f>
        <v>-</v>
      </c>
      <c r="N290" s="33">
        <v>0</v>
      </c>
      <c r="O290" s="33">
        <v>0</v>
      </c>
      <c r="P290" s="33">
        <v>0</v>
      </c>
      <c r="Q290" s="33">
        <f t="shared" si="133"/>
        <v>0.99999999841510678</v>
      </c>
      <c r="R290" s="33">
        <v>0</v>
      </c>
      <c r="S290" s="33">
        <f t="shared" si="134"/>
        <v>1.5848931899492252E-9</v>
      </c>
      <c r="T290" s="8">
        <f t="shared" si="135"/>
        <v>1</v>
      </c>
      <c r="U290" s="33">
        <f t="shared" si="124"/>
        <v>0</v>
      </c>
      <c r="V290" s="33">
        <f t="shared" si="125"/>
        <v>-0.99999999841510678</v>
      </c>
      <c r="W290" s="33">
        <f t="shared" si="126"/>
        <v>412.97360000158488</v>
      </c>
      <c r="X290" s="33">
        <v>96485</v>
      </c>
      <c r="Y290" s="16">
        <f t="shared" si="127"/>
        <v>-233.63478887442511</v>
      </c>
      <c r="Z290" s="16">
        <v>8</v>
      </c>
      <c r="AA290" s="16">
        <v>15</v>
      </c>
      <c r="AB290" s="8">
        <f t="shared" si="128"/>
        <v>0.33684210526315789</v>
      </c>
      <c r="AC290" s="16">
        <f t="shared" si="129"/>
        <v>68.844969824162703</v>
      </c>
      <c r="AD290" s="20">
        <f>'PFAS Properties'!$W$33</f>
        <v>7</v>
      </c>
      <c r="AE290" s="8">
        <f>'PFAS Properties'!$S$33</f>
        <v>2.6821450763738319</v>
      </c>
      <c r="AF290" s="15">
        <f>'PFAS Properties'!$V$33</f>
        <v>4.9000000000000004</v>
      </c>
      <c r="AG290" s="24">
        <v>8.6</v>
      </c>
      <c r="AH290" s="2" t="s">
        <v>122</v>
      </c>
      <c r="AI290" s="2" t="s">
        <v>661</v>
      </c>
      <c r="AJ290" s="2" t="s">
        <v>661</v>
      </c>
      <c r="AK290" s="2" t="s">
        <v>661</v>
      </c>
      <c r="AL290" s="2" t="s">
        <v>661</v>
      </c>
      <c r="AM290" s="2" t="s">
        <v>661</v>
      </c>
      <c r="AN290" s="2" t="s">
        <v>661</v>
      </c>
      <c r="AO290" s="2" t="s">
        <v>661</v>
      </c>
      <c r="AP290" s="16">
        <v>23.5</v>
      </c>
      <c r="AQ290" s="2" t="s">
        <v>661</v>
      </c>
      <c r="AR290" s="16">
        <v>36.700000000000003</v>
      </c>
      <c r="AS290" s="16">
        <v>7.5</v>
      </c>
      <c r="AT290" s="16">
        <v>55.8</v>
      </c>
      <c r="AU290" s="2" t="s">
        <v>661</v>
      </c>
      <c r="AV290" s="16">
        <f t="shared" si="137"/>
        <v>100</v>
      </c>
      <c r="AW290" s="18">
        <v>0.2</v>
      </c>
      <c r="AX290" s="13">
        <f t="shared" si="136"/>
        <v>2E-3</v>
      </c>
      <c r="AY290" s="13" t="s">
        <v>123</v>
      </c>
      <c r="AZ290" s="16">
        <f t="shared" si="123"/>
        <v>100</v>
      </c>
      <c r="BA290" s="16" t="s">
        <v>55</v>
      </c>
      <c r="BB290" s="15">
        <v>2.2999999999999998</v>
      </c>
      <c r="BC290" s="16" t="s">
        <v>55</v>
      </c>
      <c r="BD290" s="18">
        <v>14.8</v>
      </c>
      <c r="BE290" s="15">
        <f t="shared" si="130"/>
        <v>7400</v>
      </c>
      <c r="BF290" s="8">
        <f t="shared" si="131"/>
        <v>3.8692317197309762</v>
      </c>
      <c r="BG290" s="8">
        <f t="shared" si="132"/>
        <v>1.1702617153949575</v>
      </c>
      <c r="BH290" s="13" t="s">
        <v>841</v>
      </c>
      <c r="BI290" s="13"/>
      <c r="BJ290" s="13"/>
      <c r="BK290" s="8"/>
      <c r="BL290" s="8"/>
      <c r="BM290" s="18"/>
      <c r="BN290" s="8"/>
      <c r="BO290" s="24"/>
    </row>
    <row r="291" spans="1:67" s="14" customFormat="1" x14ac:dyDescent="0.3">
      <c r="A291" s="20">
        <v>297</v>
      </c>
      <c r="B291" s="2" t="s">
        <v>241</v>
      </c>
      <c r="C291" s="2">
        <v>2019</v>
      </c>
      <c r="D291" s="2" t="s">
        <v>201</v>
      </c>
      <c r="E291" s="10" t="s">
        <v>800</v>
      </c>
      <c r="F291" s="20" t="s">
        <v>29</v>
      </c>
      <c r="G291" s="2">
        <v>45</v>
      </c>
      <c r="H291" s="2" t="str">
        <f>'PFAS Properties'!$B$33</f>
        <v>PFOA</v>
      </c>
      <c r="I291" s="2" t="str">
        <f>'PFAS Properties'!$C$33</f>
        <v>PFCA</v>
      </c>
      <c r="J291" s="2" t="str">
        <f>'PFAS Properties'!$D$33</f>
        <v>C8HF15O2</v>
      </c>
      <c r="K291" s="25">
        <f>'PFAS Properties'!$P$33</f>
        <v>413.97359999999998</v>
      </c>
      <c r="L291" s="2">
        <f>'PFAS Properties'!$X$33</f>
        <v>-0.2</v>
      </c>
      <c r="M291" s="2" t="str">
        <f>'PFAS Properties'!$Y$33</f>
        <v>-</v>
      </c>
      <c r="N291" s="33">
        <v>0</v>
      </c>
      <c r="O291" s="33">
        <v>0</v>
      </c>
      <c r="P291" s="33">
        <v>0</v>
      </c>
      <c r="Q291" s="33">
        <f t="shared" si="133"/>
        <v>0.99999999841510678</v>
      </c>
      <c r="R291" s="33">
        <v>0</v>
      </c>
      <c r="S291" s="33">
        <f t="shared" si="134"/>
        <v>1.5848931899492252E-9</v>
      </c>
      <c r="T291" s="8">
        <f t="shared" si="135"/>
        <v>1</v>
      </c>
      <c r="U291" s="33">
        <f t="shared" si="124"/>
        <v>0</v>
      </c>
      <c r="V291" s="33">
        <f t="shared" si="125"/>
        <v>-0.99999999841510678</v>
      </c>
      <c r="W291" s="33">
        <f t="shared" si="126"/>
        <v>412.97360000158488</v>
      </c>
      <c r="X291" s="33">
        <v>96485</v>
      </c>
      <c r="Y291" s="16">
        <f t="shared" si="127"/>
        <v>-233.63478887442511</v>
      </c>
      <c r="Z291" s="16">
        <v>8</v>
      </c>
      <c r="AA291" s="16">
        <v>15</v>
      </c>
      <c r="AB291" s="8">
        <f t="shared" si="128"/>
        <v>0.33684210526315789</v>
      </c>
      <c r="AC291" s="16">
        <f t="shared" si="129"/>
        <v>68.844969824162703</v>
      </c>
      <c r="AD291" s="20">
        <f>'PFAS Properties'!$W$33</f>
        <v>7</v>
      </c>
      <c r="AE291" s="8">
        <f>'PFAS Properties'!$S$33</f>
        <v>2.6821450763738319</v>
      </c>
      <c r="AF291" s="15">
        <f>'PFAS Properties'!$V$33</f>
        <v>4.9000000000000004</v>
      </c>
      <c r="AG291" s="24">
        <v>8.6</v>
      </c>
      <c r="AH291" s="2" t="s">
        <v>122</v>
      </c>
      <c r="AI291" s="2" t="s">
        <v>661</v>
      </c>
      <c r="AJ291" s="2" t="s">
        <v>661</v>
      </c>
      <c r="AK291" s="2" t="s">
        <v>661</v>
      </c>
      <c r="AL291" s="2" t="s">
        <v>661</v>
      </c>
      <c r="AM291" s="2" t="s">
        <v>661</v>
      </c>
      <c r="AN291" s="2" t="s">
        <v>661</v>
      </c>
      <c r="AO291" s="2" t="s">
        <v>661</v>
      </c>
      <c r="AP291" s="16">
        <v>13.7</v>
      </c>
      <c r="AQ291" s="2" t="s">
        <v>661</v>
      </c>
      <c r="AR291" s="16">
        <v>39.799999999999997</v>
      </c>
      <c r="AS291" s="16">
        <v>4.8000000000000043</v>
      </c>
      <c r="AT291" s="16">
        <v>55.4</v>
      </c>
      <c r="AU291" s="2" t="s">
        <v>661</v>
      </c>
      <c r="AV291" s="16">
        <f t="shared" si="137"/>
        <v>100</v>
      </c>
      <c r="AW291" s="18">
        <v>0.2</v>
      </c>
      <c r="AX291" s="13">
        <f t="shared" si="136"/>
        <v>2E-3</v>
      </c>
      <c r="AY291" s="13" t="s">
        <v>123</v>
      </c>
      <c r="AZ291" s="16">
        <f t="shared" si="123"/>
        <v>100</v>
      </c>
      <c r="BA291" s="16" t="s">
        <v>55</v>
      </c>
      <c r="BB291" s="15">
        <v>2.2999999999999998</v>
      </c>
      <c r="BC291" s="16" t="s">
        <v>55</v>
      </c>
      <c r="BD291" s="18">
        <v>5.0999999999999996</v>
      </c>
      <c r="BE291" s="15">
        <f t="shared" si="130"/>
        <v>2549.9999999999995</v>
      </c>
      <c r="BF291" s="8">
        <f t="shared" si="131"/>
        <v>3.406540180433955</v>
      </c>
      <c r="BG291" s="8">
        <f t="shared" si="132"/>
        <v>0.70757017609793638</v>
      </c>
      <c r="BH291" s="13" t="s">
        <v>841</v>
      </c>
      <c r="BI291" s="13"/>
      <c r="BJ291" s="13"/>
      <c r="BK291" s="8"/>
      <c r="BL291" s="8"/>
      <c r="BM291" s="18"/>
      <c r="BN291" s="8"/>
      <c r="BO291" s="24"/>
    </row>
    <row r="292" spans="1:67" s="14" customFormat="1" x14ac:dyDescent="0.3">
      <c r="A292" s="20">
        <v>298</v>
      </c>
      <c r="B292" s="2" t="s">
        <v>241</v>
      </c>
      <c r="C292" s="2">
        <v>2019</v>
      </c>
      <c r="D292" s="2" t="s">
        <v>201</v>
      </c>
      <c r="E292" s="10" t="s">
        <v>800</v>
      </c>
      <c r="F292" s="20" t="s">
        <v>29</v>
      </c>
      <c r="G292" s="2">
        <v>46</v>
      </c>
      <c r="H292" s="2" t="str">
        <f>'PFAS Properties'!$B$33</f>
        <v>PFOA</v>
      </c>
      <c r="I292" s="2" t="str">
        <f>'PFAS Properties'!$C$33</f>
        <v>PFCA</v>
      </c>
      <c r="J292" s="2" t="str">
        <f>'PFAS Properties'!$D$33</f>
        <v>C8HF15O2</v>
      </c>
      <c r="K292" s="25">
        <f>'PFAS Properties'!$P$33</f>
        <v>413.97359999999998</v>
      </c>
      <c r="L292" s="2">
        <f>'PFAS Properties'!$X$33</f>
        <v>-0.2</v>
      </c>
      <c r="M292" s="2" t="str">
        <f>'PFAS Properties'!$Y$33</f>
        <v>-</v>
      </c>
      <c r="N292" s="33">
        <v>0</v>
      </c>
      <c r="O292" s="33">
        <v>0</v>
      </c>
      <c r="P292" s="33">
        <v>0</v>
      </c>
      <c r="Q292" s="33">
        <f t="shared" si="133"/>
        <v>0.99999987410747471</v>
      </c>
      <c r="R292" s="33">
        <v>0</v>
      </c>
      <c r="S292" s="33">
        <f t="shared" si="134"/>
        <v>1.2589252533048661E-7</v>
      </c>
      <c r="T292" s="8">
        <f t="shared" si="135"/>
        <v>1</v>
      </c>
      <c r="U292" s="33">
        <f t="shared" si="124"/>
        <v>0</v>
      </c>
      <c r="V292" s="33">
        <f t="shared" si="125"/>
        <v>-0.99999987410747471</v>
      </c>
      <c r="W292" s="33">
        <f t="shared" si="126"/>
        <v>412.97360012589252</v>
      </c>
      <c r="X292" s="33">
        <v>96485</v>
      </c>
      <c r="Y292" s="16">
        <f t="shared" si="127"/>
        <v>-233.63475976151219</v>
      </c>
      <c r="Z292" s="16">
        <v>8</v>
      </c>
      <c r="AA292" s="16">
        <v>15</v>
      </c>
      <c r="AB292" s="8">
        <f t="shared" si="128"/>
        <v>0.33684210526315789</v>
      </c>
      <c r="AC292" s="16">
        <f t="shared" si="129"/>
        <v>68.844969824162703</v>
      </c>
      <c r="AD292" s="20">
        <f>'PFAS Properties'!$W$33</f>
        <v>7</v>
      </c>
      <c r="AE292" s="8">
        <f>'PFAS Properties'!$S$33</f>
        <v>2.6821450763738319</v>
      </c>
      <c r="AF292" s="15">
        <f>'PFAS Properties'!$V$33</f>
        <v>4.9000000000000004</v>
      </c>
      <c r="AG292" s="24">
        <v>6.7</v>
      </c>
      <c r="AH292" s="2" t="s">
        <v>122</v>
      </c>
      <c r="AI292" s="2" t="s">
        <v>661</v>
      </c>
      <c r="AJ292" s="2" t="s">
        <v>661</v>
      </c>
      <c r="AK292" s="2" t="s">
        <v>661</v>
      </c>
      <c r="AL292" s="2" t="s">
        <v>661</v>
      </c>
      <c r="AM292" s="2" t="s">
        <v>661</v>
      </c>
      <c r="AN292" s="2" t="s">
        <v>661</v>
      </c>
      <c r="AO292" s="2" t="s">
        <v>661</v>
      </c>
      <c r="AP292" s="16">
        <v>9.1</v>
      </c>
      <c r="AQ292" s="2" t="s">
        <v>661</v>
      </c>
      <c r="AR292" s="16">
        <v>90.1</v>
      </c>
      <c r="AS292" s="16">
        <v>0.40000000000000568</v>
      </c>
      <c r="AT292" s="16">
        <v>9.5</v>
      </c>
      <c r="AU292" s="2" t="s">
        <v>661</v>
      </c>
      <c r="AV292" s="16">
        <f t="shared" si="137"/>
        <v>100</v>
      </c>
      <c r="AW292" s="18">
        <v>0.9</v>
      </c>
      <c r="AX292" s="13">
        <f t="shared" si="136"/>
        <v>9.0000000000000011E-3</v>
      </c>
      <c r="AY292" s="13" t="s">
        <v>123</v>
      </c>
      <c r="AZ292" s="16">
        <f t="shared" si="123"/>
        <v>100</v>
      </c>
      <c r="BA292" s="16" t="s">
        <v>55</v>
      </c>
      <c r="BB292" s="15">
        <v>2.2999999999999998</v>
      </c>
      <c r="BC292" s="16" t="s">
        <v>55</v>
      </c>
      <c r="BD292" s="18">
        <v>7</v>
      </c>
      <c r="BE292" s="15">
        <f t="shared" si="130"/>
        <v>777.77777777777771</v>
      </c>
      <c r="BF292" s="8">
        <f t="shared" si="131"/>
        <v>2.8908555305749317</v>
      </c>
      <c r="BG292" s="8">
        <f t="shared" si="132"/>
        <v>0.84509804001425681</v>
      </c>
      <c r="BH292" s="13" t="s">
        <v>841</v>
      </c>
      <c r="BI292" s="13"/>
      <c r="BJ292" s="13"/>
      <c r="BK292" s="8"/>
      <c r="BL292" s="8"/>
      <c r="BM292" s="18"/>
      <c r="BN292" s="8"/>
      <c r="BO292" s="24"/>
    </row>
    <row r="293" spans="1:67" s="14" customFormat="1" x14ac:dyDescent="0.3">
      <c r="A293" s="20">
        <v>299</v>
      </c>
      <c r="B293" s="2" t="s">
        <v>241</v>
      </c>
      <c r="C293" s="2">
        <v>2019</v>
      </c>
      <c r="D293" s="2" t="s">
        <v>201</v>
      </c>
      <c r="E293" s="10" t="s">
        <v>800</v>
      </c>
      <c r="F293" s="20" t="s">
        <v>29</v>
      </c>
      <c r="G293" s="2">
        <v>47</v>
      </c>
      <c r="H293" s="2" t="str">
        <f>'PFAS Properties'!$B$33</f>
        <v>PFOA</v>
      </c>
      <c r="I293" s="2" t="str">
        <f>'PFAS Properties'!$C$33</f>
        <v>PFCA</v>
      </c>
      <c r="J293" s="2" t="str">
        <f>'PFAS Properties'!$D$33</f>
        <v>C8HF15O2</v>
      </c>
      <c r="K293" s="25">
        <f>'PFAS Properties'!$P$33</f>
        <v>413.97359999999998</v>
      </c>
      <c r="L293" s="2">
        <f>'PFAS Properties'!$X$33</f>
        <v>-0.2</v>
      </c>
      <c r="M293" s="2" t="str">
        <f>'PFAS Properties'!$Y$33</f>
        <v>-</v>
      </c>
      <c r="N293" s="33">
        <v>0</v>
      </c>
      <c r="O293" s="33">
        <v>0</v>
      </c>
      <c r="P293" s="33">
        <v>0</v>
      </c>
      <c r="Q293" s="33">
        <f t="shared" si="133"/>
        <v>0.99999998415106828</v>
      </c>
      <c r="R293" s="33">
        <v>0</v>
      </c>
      <c r="S293" s="33">
        <f t="shared" si="134"/>
        <v>1.5848931673422493E-8</v>
      </c>
      <c r="T293" s="8">
        <f t="shared" si="135"/>
        <v>1</v>
      </c>
      <c r="U293" s="33">
        <f t="shared" si="124"/>
        <v>0</v>
      </c>
      <c r="V293" s="33">
        <f t="shared" si="125"/>
        <v>-0.99999998415106828</v>
      </c>
      <c r="W293" s="33">
        <f t="shared" si="126"/>
        <v>412.97360001584889</v>
      </c>
      <c r="X293" s="33">
        <v>96485</v>
      </c>
      <c r="Y293" s="16">
        <f t="shared" si="127"/>
        <v>-233.63478553377979</v>
      </c>
      <c r="Z293" s="16">
        <v>8</v>
      </c>
      <c r="AA293" s="16">
        <v>15</v>
      </c>
      <c r="AB293" s="8">
        <f t="shared" si="128"/>
        <v>0.33684210526315789</v>
      </c>
      <c r="AC293" s="16">
        <f t="shared" si="129"/>
        <v>68.844969824162703</v>
      </c>
      <c r="AD293" s="20">
        <f>'PFAS Properties'!$W$33</f>
        <v>7</v>
      </c>
      <c r="AE293" s="8">
        <f>'PFAS Properties'!$S$33</f>
        <v>2.6821450763738319</v>
      </c>
      <c r="AF293" s="15">
        <f>'PFAS Properties'!$V$33</f>
        <v>4.9000000000000004</v>
      </c>
      <c r="AG293" s="24">
        <v>7.6</v>
      </c>
      <c r="AH293" s="2" t="s">
        <v>122</v>
      </c>
      <c r="AI293" s="2" t="s">
        <v>661</v>
      </c>
      <c r="AJ293" s="2" t="s">
        <v>661</v>
      </c>
      <c r="AK293" s="2" t="s">
        <v>661</v>
      </c>
      <c r="AL293" s="2" t="s">
        <v>661</v>
      </c>
      <c r="AM293" s="2" t="s">
        <v>661</v>
      </c>
      <c r="AN293" s="2" t="s">
        <v>661</v>
      </c>
      <c r="AO293" s="2" t="s">
        <v>661</v>
      </c>
      <c r="AP293" s="16">
        <v>19.899999999999999</v>
      </c>
      <c r="AQ293" s="2" t="s">
        <v>661</v>
      </c>
      <c r="AR293" s="16">
        <v>67.099999999999994</v>
      </c>
      <c r="AS293" s="16">
        <v>5.3000000000000114</v>
      </c>
      <c r="AT293" s="16">
        <v>27.6</v>
      </c>
      <c r="AU293" s="2" t="s">
        <v>661</v>
      </c>
      <c r="AV293" s="16">
        <f t="shared" ref="AV293:AV356" si="138">SUM(AR293:AT293)</f>
        <v>100</v>
      </c>
      <c r="AW293" s="18">
        <v>0.5</v>
      </c>
      <c r="AX293" s="13">
        <f t="shared" si="136"/>
        <v>5.0000000000000001E-3</v>
      </c>
      <c r="AY293" s="13" t="s">
        <v>123</v>
      </c>
      <c r="AZ293" s="16">
        <f t="shared" si="123"/>
        <v>100</v>
      </c>
      <c r="BA293" s="16" t="s">
        <v>55</v>
      </c>
      <c r="BB293" s="15">
        <v>2.2999999999999998</v>
      </c>
      <c r="BC293" s="16" t="s">
        <v>55</v>
      </c>
      <c r="BD293" s="18">
        <v>4.3</v>
      </c>
      <c r="BE293" s="15">
        <f t="shared" si="130"/>
        <v>860</v>
      </c>
      <c r="BF293" s="8">
        <f t="shared" si="131"/>
        <v>2.9344984512435679</v>
      </c>
      <c r="BG293" s="8">
        <f t="shared" si="132"/>
        <v>0.63346845557958653</v>
      </c>
      <c r="BH293" s="13" t="s">
        <v>841</v>
      </c>
      <c r="BI293" s="13"/>
      <c r="BJ293" s="13"/>
      <c r="BK293" s="8"/>
      <c r="BL293" s="8"/>
      <c r="BM293" s="18"/>
      <c r="BN293" s="8"/>
      <c r="BO293" s="24"/>
    </row>
    <row r="294" spans="1:67" s="14" customFormat="1" x14ac:dyDescent="0.3">
      <c r="A294" s="20">
        <v>300</v>
      </c>
      <c r="B294" s="2" t="s">
        <v>241</v>
      </c>
      <c r="C294" s="2">
        <v>2019</v>
      </c>
      <c r="D294" s="2" t="s">
        <v>201</v>
      </c>
      <c r="E294" s="10" t="s">
        <v>800</v>
      </c>
      <c r="F294" s="20" t="s">
        <v>29</v>
      </c>
      <c r="G294" s="2">
        <v>48</v>
      </c>
      <c r="H294" s="2" t="str">
        <f>'PFAS Properties'!$B$33</f>
        <v>PFOA</v>
      </c>
      <c r="I294" s="2" t="str">
        <f>'PFAS Properties'!$C$33</f>
        <v>PFCA</v>
      </c>
      <c r="J294" s="2" t="str">
        <f>'PFAS Properties'!$D$33</f>
        <v>C8HF15O2</v>
      </c>
      <c r="K294" s="25">
        <f>'PFAS Properties'!$P$33</f>
        <v>413.97359999999998</v>
      </c>
      <c r="L294" s="2">
        <f>'PFAS Properties'!$X$33</f>
        <v>-0.2</v>
      </c>
      <c r="M294" s="2" t="str">
        <f>'PFAS Properties'!$Y$33</f>
        <v>-</v>
      </c>
      <c r="N294" s="33">
        <v>0</v>
      </c>
      <c r="O294" s="33">
        <v>0</v>
      </c>
      <c r="P294" s="33">
        <v>0</v>
      </c>
      <c r="Q294" s="33">
        <f t="shared" si="133"/>
        <v>0.99999996837722438</v>
      </c>
      <c r="R294" s="33">
        <v>0</v>
      </c>
      <c r="S294" s="33">
        <f t="shared" si="134"/>
        <v>3.1622775601683729E-8</v>
      </c>
      <c r="T294" s="8">
        <f t="shared" si="135"/>
        <v>1</v>
      </c>
      <c r="U294" s="33">
        <f t="shared" si="124"/>
        <v>0</v>
      </c>
      <c r="V294" s="33">
        <f t="shared" si="125"/>
        <v>-0.99999996837722438</v>
      </c>
      <c r="W294" s="33">
        <f t="shared" si="126"/>
        <v>412.97360003162271</v>
      </c>
      <c r="X294" s="33">
        <v>96485</v>
      </c>
      <c r="Y294" s="16">
        <f t="shared" si="127"/>
        <v>-233.63478183953725</v>
      </c>
      <c r="Z294" s="16">
        <v>8</v>
      </c>
      <c r="AA294" s="16">
        <v>15</v>
      </c>
      <c r="AB294" s="8">
        <f t="shared" si="128"/>
        <v>0.33684210526315789</v>
      </c>
      <c r="AC294" s="16">
        <f t="shared" si="129"/>
        <v>68.844969824162703</v>
      </c>
      <c r="AD294" s="20">
        <f>'PFAS Properties'!$W$33</f>
        <v>7</v>
      </c>
      <c r="AE294" s="8">
        <f>'PFAS Properties'!$S$33</f>
        <v>2.6821450763738319</v>
      </c>
      <c r="AF294" s="15">
        <f>'PFAS Properties'!$V$33</f>
        <v>4.9000000000000004</v>
      </c>
      <c r="AG294" s="24">
        <v>7.3</v>
      </c>
      <c r="AH294" s="2" t="s">
        <v>122</v>
      </c>
      <c r="AI294" s="2" t="s">
        <v>661</v>
      </c>
      <c r="AJ294" s="2" t="s">
        <v>661</v>
      </c>
      <c r="AK294" s="2" t="s">
        <v>661</v>
      </c>
      <c r="AL294" s="2" t="s">
        <v>661</v>
      </c>
      <c r="AM294" s="2" t="s">
        <v>661</v>
      </c>
      <c r="AN294" s="2" t="s">
        <v>661</v>
      </c>
      <c r="AO294" s="2" t="s">
        <v>661</v>
      </c>
      <c r="AP294" s="16">
        <v>43.4</v>
      </c>
      <c r="AQ294" s="2" t="s">
        <v>661</v>
      </c>
      <c r="AR294" s="16">
        <v>62.5</v>
      </c>
      <c r="AS294" s="16">
        <v>12.099999999999994</v>
      </c>
      <c r="AT294" s="16">
        <v>25.4</v>
      </c>
      <c r="AU294" s="2" t="s">
        <v>661</v>
      </c>
      <c r="AV294" s="16">
        <f t="shared" si="138"/>
        <v>100</v>
      </c>
      <c r="AW294" s="18">
        <v>1.7</v>
      </c>
      <c r="AX294" s="13">
        <f t="shared" si="136"/>
        <v>1.7000000000000001E-2</v>
      </c>
      <c r="AY294" s="13" t="s">
        <v>123</v>
      </c>
      <c r="AZ294" s="16">
        <f t="shared" si="123"/>
        <v>100</v>
      </c>
      <c r="BA294" s="16" t="s">
        <v>55</v>
      </c>
      <c r="BB294" s="15">
        <v>2.2999999999999998</v>
      </c>
      <c r="BC294" s="16" t="s">
        <v>55</v>
      </c>
      <c r="BD294" s="18">
        <v>9.4</v>
      </c>
      <c r="BE294" s="15">
        <f t="shared" si="130"/>
        <v>552.94117647058818</v>
      </c>
      <c r="BF294" s="8">
        <f t="shared" si="131"/>
        <v>2.7426789322214247</v>
      </c>
      <c r="BG294" s="8">
        <f t="shared" si="132"/>
        <v>0.97312785359969867</v>
      </c>
      <c r="BH294" s="13" t="s">
        <v>841</v>
      </c>
      <c r="BI294" s="13"/>
      <c r="BJ294" s="13"/>
      <c r="BK294" s="8"/>
      <c r="BL294" s="8"/>
      <c r="BM294" s="18"/>
      <c r="BN294" s="8"/>
      <c r="BO294" s="24"/>
    </row>
    <row r="295" spans="1:67" s="14" customFormat="1" x14ac:dyDescent="0.3">
      <c r="A295" s="20">
        <v>301</v>
      </c>
      <c r="B295" s="2" t="s">
        <v>241</v>
      </c>
      <c r="C295" s="2">
        <v>2019</v>
      </c>
      <c r="D295" s="2" t="s">
        <v>201</v>
      </c>
      <c r="E295" s="10" t="s">
        <v>800</v>
      </c>
      <c r="F295" s="20" t="s">
        <v>29</v>
      </c>
      <c r="G295" s="2">
        <v>49</v>
      </c>
      <c r="H295" s="2" t="str">
        <f>'PFAS Properties'!$B$33</f>
        <v>PFOA</v>
      </c>
      <c r="I295" s="2" t="str">
        <f>'PFAS Properties'!$C$33</f>
        <v>PFCA</v>
      </c>
      <c r="J295" s="2" t="str">
        <f>'PFAS Properties'!$D$33</f>
        <v>C8HF15O2</v>
      </c>
      <c r="K295" s="25">
        <f>'PFAS Properties'!$P$33</f>
        <v>413.97359999999998</v>
      </c>
      <c r="L295" s="2">
        <f>'PFAS Properties'!$X$33</f>
        <v>-0.2</v>
      </c>
      <c r="M295" s="2" t="str">
        <f>'PFAS Properties'!$Y$33</f>
        <v>-</v>
      </c>
      <c r="N295" s="33">
        <v>0</v>
      </c>
      <c r="O295" s="33">
        <v>0</v>
      </c>
      <c r="P295" s="33">
        <v>0</v>
      </c>
      <c r="Q295" s="33">
        <f t="shared" si="133"/>
        <v>0.99999999498812764</v>
      </c>
      <c r="R295" s="33">
        <v>0</v>
      </c>
      <c r="S295" s="33">
        <f t="shared" si="134"/>
        <v>5.0118723111538642E-9</v>
      </c>
      <c r="T295" s="8">
        <f t="shared" si="135"/>
        <v>1</v>
      </c>
      <c r="U295" s="33">
        <f t="shared" si="124"/>
        <v>0</v>
      </c>
      <c r="V295" s="33">
        <f t="shared" si="125"/>
        <v>-0.99999999498812764</v>
      </c>
      <c r="W295" s="33">
        <f t="shared" si="126"/>
        <v>412.9736000050118</v>
      </c>
      <c r="X295" s="33">
        <v>96485</v>
      </c>
      <c r="Y295" s="16">
        <f t="shared" si="127"/>
        <v>-233.63478807182486</v>
      </c>
      <c r="Z295" s="16">
        <v>8</v>
      </c>
      <c r="AA295" s="16">
        <v>15</v>
      </c>
      <c r="AB295" s="8">
        <f t="shared" si="128"/>
        <v>0.33684210526315789</v>
      </c>
      <c r="AC295" s="16">
        <f t="shared" si="129"/>
        <v>68.844969824162703</v>
      </c>
      <c r="AD295" s="20">
        <f>'PFAS Properties'!$W$33</f>
        <v>7</v>
      </c>
      <c r="AE295" s="8">
        <f>'PFAS Properties'!$S$33</f>
        <v>2.6821450763738319</v>
      </c>
      <c r="AF295" s="15">
        <f>'PFAS Properties'!$V$33</f>
        <v>4.9000000000000004</v>
      </c>
      <c r="AG295" s="24">
        <v>8.1</v>
      </c>
      <c r="AH295" s="2" t="s">
        <v>122</v>
      </c>
      <c r="AI295" s="2" t="s">
        <v>661</v>
      </c>
      <c r="AJ295" s="2" t="s">
        <v>661</v>
      </c>
      <c r="AK295" s="2" t="s">
        <v>661</v>
      </c>
      <c r="AL295" s="2" t="s">
        <v>661</v>
      </c>
      <c r="AM295" s="2" t="s">
        <v>661</v>
      </c>
      <c r="AN295" s="2" t="s">
        <v>661</v>
      </c>
      <c r="AO295" s="2" t="s">
        <v>661</v>
      </c>
      <c r="AP295" s="16">
        <v>34.200000000000003</v>
      </c>
      <c r="AQ295" s="2" t="s">
        <v>661</v>
      </c>
      <c r="AR295" s="16">
        <v>22.6</v>
      </c>
      <c r="AS295" s="16">
        <v>8.1000000000000014</v>
      </c>
      <c r="AT295" s="16">
        <v>69.3</v>
      </c>
      <c r="AU295" s="2" t="s">
        <v>661</v>
      </c>
      <c r="AV295" s="16">
        <f t="shared" si="138"/>
        <v>100</v>
      </c>
      <c r="AW295" s="18">
        <v>0.2</v>
      </c>
      <c r="AX295" s="13">
        <f t="shared" si="136"/>
        <v>2E-3</v>
      </c>
      <c r="AY295" s="13" t="s">
        <v>123</v>
      </c>
      <c r="AZ295" s="16">
        <f t="shared" si="123"/>
        <v>100</v>
      </c>
      <c r="BA295" s="16" t="s">
        <v>55</v>
      </c>
      <c r="BB295" s="15">
        <v>2.2999999999999998</v>
      </c>
      <c r="BC295" s="16" t="s">
        <v>55</v>
      </c>
      <c r="BD295" s="18">
        <v>5</v>
      </c>
      <c r="BE295" s="15">
        <f t="shared" si="130"/>
        <v>2500</v>
      </c>
      <c r="BF295" s="8">
        <f t="shared" si="131"/>
        <v>3.3979400086720375</v>
      </c>
      <c r="BG295" s="8">
        <f t="shared" si="132"/>
        <v>0.69897000433601886</v>
      </c>
      <c r="BH295" s="13" t="s">
        <v>841</v>
      </c>
      <c r="BI295" s="13"/>
      <c r="BJ295" s="13"/>
      <c r="BK295" s="8"/>
      <c r="BL295" s="8"/>
      <c r="BM295" s="18"/>
      <c r="BN295" s="8"/>
      <c r="BO295" s="24"/>
    </row>
    <row r="296" spans="1:67" s="14" customFormat="1" x14ac:dyDescent="0.3">
      <c r="A296" s="20">
        <v>302</v>
      </c>
      <c r="B296" s="2" t="s">
        <v>241</v>
      </c>
      <c r="C296" s="2">
        <v>2019</v>
      </c>
      <c r="D296" s="2" t="s">
        <v>201</v>
      </c>
      <c r="E296" s="10" t="s">
        <v>800</v>
      </c>
      <c r="F296" s="20" t="s">
        <v>29</v>
      </c>
      <c r="G296" s="2">
        <v>50</v>
      </c>
      <c r="H296" s="2" t="str">
        <f>'PFAS Properties'!$B$33</f>
        <v>PFOA</v>
      </c>
      <c r="I296" s="2" t="str">
        <f>'PFAS Properties'!$C$33</f>
        <v>PFCA</v>
      </c>
      <c r="J296" s="2" t="str">
        <f>'PFAS Properties'!$D$33</f>
        <v>C8HF15O2</v>
      </c>
      <c r="K296" s="25">
        <f>'PFAS Properties'!$P$33</f>
        <v>413.97359999999998</v>
      </c>
      <c r="L296" s="2">
        <f>'PFAS Properties'!$X$33</f>
        <v>-0.2</v>
      </c>
      <c r="M296" s="2" t="str">
        <f>'PFAS Properties'!$Y$33</f>
        <v>-</v>
      </c>
      <c r="N296" s="33">
        <v>0</v>
      </c>
      <c r="O296" s="33">
        <v>0</v>
      </c>
      <c r="P296" s="33">
        <v>0</v>
      </c>
      <c r="Q296" s="33">
        <f t="shared" si="133"/>
        <v>0.99999998004737722</v>
      </c>
      <c r="R296" s="33">
        <v>0</v>
      </c>
      <c r="S296" s="33">
        <f t="shared" si="134"/>
        <v>1.995262275158161E-8</v>
      </c>
      <c r="T296" s="8">
        <f t="shared" si="135"/>
        <v>1</v>
      </c>
      <c r="U296" s="33">
        <f t="shared" si="124"/>
        <v>0</v>
      </c>
      <c r="V296" s="33">
        <f t="shared" si="125"/>
        <v>-0.99999998004737722</v>
      </c>
      <c r="W296" s="33">
        <f t="shared" si="126"/>
        <v>412.97360001995258</v>
      </c>
      <c r="X296" s="33">
        <v>96485</v>
      </c>
      <c r="Y296" s="16">
        <f t="shared" si="127"/>
        <v>-233.63478457269321</v>
      </c>
      <c r="Z296" s="16">
        <v>8</v>
      </c>
      <c r="AA296" s="16">
        <v>15</v>
      </c>
      <c r="AB296" s="8">
        <f t="shared" si="128"/>
        <v>0.33684210526315789</v>
      </c>
      <c r="AC296" s="16">
        <f t="shared" si="129"/>
        <v>68.844969824162703</v>
      </c>
      <c r="AD296" s="20">
        <f>'PFAS Properties'!$W$33</f>
        <v>7</v>
      </c>
      <c r="AE296" s="8">
        <f>'PFAS Properties'!$S$33</f>
        <v>2.6821450763738319</v>
      </c>
      <c r="AF296" s="15">
        <f>'PFAS Properties'!$V$33</f>
        <v>4.9000000000000004</v>
      </c>
      <c r="AG296" s="24">
        <v>7.5</v>
      </c>
      <c r="AH296" s="2" t="s">
        <v>122</v>
      </c>
      <c r="AI296" s="2" t="s">
        <v>661</v>
      </c>
      <c r="AJ296" s="2" t="s">
        <v>661</v>
      </c>
      <c r="AK296" s="2" t="s">
        <v>661</v>
      </c>
      <c r="AL296" s="2" t="s">
        <v>661</v>
      </c>
      <c r="AM296" s="2" t="s">
        <v>661</v>
      </c>
      <c r="AN296" s="2" t="s">
        <v>661</v>
      </c>
      <c r="AO296" s="2" t="s">
        <v>661</v>
      </c>
      <c r="AP296" s="16">
        <v>29.6</v>
      </c>
      <c r="AQ296" s="2" t="s">
        <v>661</v>
      </c>
      <c r="AR296" s="16">
        <v>39.799999999999997</v>
      </c>
      <c r="AS296" s="16">
        <v>7.7000000000000028</v>
      </c>
      <c r="AT296" s="16">
        <v>52.5</v>
      </c>
      <c r="AU296" s="2" t="s">
        <v>661</v>
      </c>
      <c r="AV296" s="16">
        <f t="shared" si="138"/>
        <v>100</v>
      </c>
      <c r="AW296" s="18">
        <v>0.4</v>
      </c>
      <c r="AX296" s="13">
        <f t="shared" si="136"/>
        <v>4.0000000000000001E-3</v>
      </c>
      <c r="AY296" s="13" t="s">
        <v>123</v>
      </c>
      <c r="AZ296" s="16">
        <f t="shared" si="123"/>
        <v>100</v>
      </c>
      <c r="BA296" s="16" t="s">
        <v>55</v>
      </c>
      <c r="BB296" s="15">
        <v>2.2999999999999998</v>
      </c>
      <c r="BC296" s="16" t="s">
        <v>55</v>
      </c>
      <c r="BD296" s="18">
        <v>5</v>
      </c>
      <c r="BE296" s="15">
        <f t="shared" si="130"/>
        <v>1250</v>
      </c>
      <c r="BF296" s="8">
        <f t="shared" si="131"/>
        <v>3.0969100130080562</v>
      </c>
      <c r="BG296" s="8">
        <f t="shared" si="132"/>
        <v>0.69897000433601886</v>
      </c>
      <c r="BH296" s="13" t="s">
        <v>841</v>
      </c>
      <c r="BI296" s="13"/>
      <c r="BJ296" s="13"/>
      <c r="BK296" s="8"/>
      <c r="BL296" s="8"/>
      <c r="BM296" s="18"/>
      <c r="BN296" s="8"/>
      <c r="BO296" s="24"/>
    </row>
    <row r="297" spans="1:67" s="14" customFormat="1" x14ac:dyDescent="0.3">
      <c r="A297" s="20">
        <v>303</v>
      </c>
      <c r="B297" s="2" t="s">
        <v>241</v>
      </c>
      <c r="C297" s="2">
        <v>2019</v>
      </c>
      <c r="D297" s="2" t="s">
        <v>201</v>
      </c>
      <c r="E297" s="10" t="s">
        <v>800</v>
      </c>
      <c r="F297" s="20" t="s">
        <v>29</v>
      </c>
      <c r="G297" s="2">
        <v>51</v>
      </c>
      <c r="H297" s="2" t="str">
        <f>'PFAS Properties'!$B$33</f>
        <v>PFOA</v>
      </c>
      <c r="I297" s="2" t="str">
        <f>'PFAS Properties'!$C$33</f>
        <v>PFCA</v>
      </c>
      <c r="J297" s="2" t="str">
        <f>'PFAS Properties'!$D$33</f>
        <v>C8HF15O2</v>
      </c>
      <c r="K297" s="25">
        <f>'PFAS Properties'!$P$33</f>
        <v>413.97359999999998</v>
      </c>
      <c r="L297" s="2">
        <f>'PFAS Properties'!$X$33</f>
        <v>-0.2</v>
      </c>
      <c r="M297" s="2" t="str">
        <f>'PFAS Properties'!$Y$33</f>
        <v>-</v>
      </c>
      <c r="N297" s="33">
        <v>0</v>
      </c>
      <c r="O297" s="33">
        <v>0</v>
      </c>
      <c r="P297" s="33">
        <v>0</v>
      </c>
      <c r="Q297" s="33">
        <f t="shared" si="133"/>
        <v>0.99999992056718279</v>
      </c>
      <c r="R297" s="33">
        <v>0</v>
      </c>
      <c r="S297" s="33">
        <f t="shared" si="134"/>
        <v>7.9432817162854954E-8</v>
      </c>
      <c r="T297" s="8">
        <f t="shared" si="135"/>
        <v>1</v>
      </c>
      <c r="U297" s="33">
        <f t="shared" si="124"/>
        <v>0</v>
      </c>
      <c r="V297" s="33">
        <f t="shared" si="125"/>
        <v>-0.99999992056718279</v>
      </c>
      <c r="W297" s="33">
        <f t="shared" si="126"/>
        <v>412.97360007943274</v>
      </c>
      <c r="X297" s="33">
        <v>96485</v>
      </c>
      <c r="Y297" s="16">
        <f t="shared" si="127"/>
        <v>-233.63477064240035</v>
      </c>
      <c r="Z297" s="16">
        <v>8</v>
      </c>
      <c r="AA297" s="16">
        <v>15</v>
      </c>
      <c r="AB297" s="8">
        <f t="shared" si="128"/>
        <v>0.33684210526315789</v>
      </c>
      <c r="AC297" s="16">
        <f t="shared" si="129"/>
        <v>68.844969824162703</v>
      </c>
      <c r="AD297" s="20">
        <f>'PFAS Properties'!$W$33</f>
        <v>7</v>
      </c>
      <c r="AE297" s="8">
        <f>'PFAS Properties'!$S$33</f>
        <v>2.6821450763738319</v>
      </c>
      <c r="AF297" s="15">
        <f>'PFAS Properties'!$V$33</f>
        <v>4.9000000000000004</v>
      </c>
      <c r="AG297" s="24">
        <v>6.9</v>
      </c>
      <c r="AH297" s="2" t="s">
        <v>122</v>
      </c>
      <c r="AI297" s="2" t="s">
        <v>661</v>
      </c>
      <c r="AJ297" s="2" t="s">
        <v>661</v>
      </c>
      <c r="AK297" s="2" t="s">
        <v>661</v>
      </c>
      <c r="AL297" s="2" t="s">
        <v>661</v>
      </c>
      <c r="AM297" s="2" t="s">
        <v>661</v>
      </c>
      <c r="AN297" s="2" t="s">
        <v>661</v>
      </c>
      <c r="AO297" s="2" t="s">
        <v>661</v>
      </c>
      <c r="AP297" s="16">
        <v>5.7</v>
      </c>
      <c r="AQ297" s="2" t="s">
        <v>661</v>
      </c>
      <c r="AR297" s="16">
        <v>76.900000000000006</v>
      </c>
      <c r="AS297" s="16">
        <v>1.2999999999999972</v>
      </c>
      <c r="AT297" s="16">
        <v>21.8</v>
      </c>
      <c r="AU297" s="2" t="s">
        <v>661</v>
      </c>
      <c r="AV297" s="16">
        <f t="shared" si="138"/>
        <v>100</v>
      </c>
      <c r="AW297" s="18">
        <v>0.6</v>
      </c>
      <c r="AX297" s="13">
        <f t="shared" si="136"/>
        <v>6.0000000000000001E-3</v>
      </c>
      <c r="AY297" s="13" t="s">
        <v>123</v>
      </c>
      <c r="AZ297" s="16">
        <f t="shared" si="123"/>
        <v>100</v>
      </c>
      <c r="BA297" s="16" t="s">
        <v>55</v>
      </c>
      <c r="BB297" s="15">
        <v>2.2999999999999998</v>
      </c>
      <c r="BC297" s="16" t="s">
        <v>55</v>
      </c>
      <c r="BD297" s="18">
        <v>4.5999999999999996</v>
      </c>
      <c r="BE297" s="15">
        <f t="shared" si="130"/>
        <v>766.66666666666663</v>
      </c>
      <c r="BF297" s="8">
        <f t="shared" si="131"/>
        <v>2.8846065812979305</v>
      </c>
      <c r="BG297" s="8">
        <f t="shared" si="132"/>
        <v>0.66275783168157409</v>
      </c>
      <c r="BH297" s="13" t="s">
        <v>841</v>
      </c>
      <c r="BI297" s="13"/>
      <c r="BJ297" s="13"/>
      <c r="BK297" s="8"/>
      <c r="BL297" s="8"/>
      <c r="BM297" s="18"/>
      <c r="BN297" s="8"/>
      <c r="BO297" s="24"/>
    </row>
    <row r="298" spans="1:67" s="14" customFormat="1" x14ac:dyDescent="0.3">
      <c r="A298" s="20">
        <v>304</v>
      </c>
      <c r="B298" s="2" t="s">
        <v>241</v>
      </c>
      <c r="C298" s="2">
        <v>2019</v>
      </c>
      <c r="D298" s="2" t="s">
        <v>201</v>
      </c>
      <c r="E298" s="10" t="s">
        <v>800</v>
      </c>
      <c r="F298" s="20" t="s">
        <v>29</v>
      </c>
      <c r="G298" s="2">
        <v>52</v>
      </c>
      <c r="H298" s="2" t="str">
        <f>'PFAS Properties'!$B$33</f>
        <v>PFOA</v>
      </c>
      <c r="I298" s="2" t="str">
        <f>'PFAS Properties'!$C$33</f>
        <v>PFCA</v>
      </c>
      <c r="J298" s="2" t="str">
        <f>'PFAS Properties'!$D$33</f>
        <v>C8HF15O2</v>
      </c>
      <c r="K298" s="25">
        <f>'PFAS Properties'!$P$33</f>
        <v>413.97359999999998</v>
      </c>
      <c r="L298" s="2">
        <f>'PFAS Properties'!$X$33</f>
        <v>-0.2</v>
      </c>
      <c r="M298" s="2" t="str">
        <f>'PFAS Properties'!$Y$33</f>
        <v>-</v>
      </c>
      <c r="N298" s="33">
        <v>0</v>
      </c>
      <c r="O298" s="33">
        <v>0</v>
      </c>
      <c r="P298" s="33">
        <v>0</v>
      </c>
      <c r="Q298" s="33">
        <f t="shared" si="133"/>
        <v>0.99999999369042658</v>
      </c>
      <c r="R298" s="33">
        <v>0</v>
      </c>
      <c r="S298" s="33">
        <f t="shared" si="134"/>
        <v>6.3095734049912165E-9</v>
      </c>
      <c r="T298" s="8">
        <f t="shared" si="135"/>
        <v>1</v>
      </c>
      <c r="U298" s="33">
        <f t="shared" si="124"/>
        <v>0</v>
      </c>
      <c r="V298" s="33">
        <f t="shared" si="125"/>
        <v>-0.99999999369042658</v>
      </c>
      <c r="W298" s="33">
        <f t="shared" si="126"/>
        <v>412.97360000630954</v>
      </c>
      <c r="X298" s="33">
        <v>96485</v>
      </c>
      <c r="Y298" s="16">
        <f t="shared" si="127"/>
        <v>-233.63478776790257</v>
      </c>
      <c r="Z298" s="16">
        <v>8</v>
      </c>
      <c r="AA298" s="16">
        <v>15</v>
      </c>
      <c r="AB298" s="8">
        <f t="shared" si="128"/>
        <v>0.33684210526315789</v>
      </c>
      <c r="AC298" s="16">
        <f t="shared" si="129"/>
        <v>68.844969824162703</v>
      </c>
      <c r="AD298" s="20">
        <f>'PFAS Properties'!$W$33</f>
        <v>7</v>
      </c>
      <c r="AE298" s="8">
        <f>'PFAS Properties'!$S$33</f>
        <v>2.6821450763738319</v>
      </c>
      <c r="AF298" s="15">
        <f>'PFAS Properties'!$V$33</f>
        <v>4.9000000000000004</v>
      </c>
      <c r="AG298" s="24">
        <v>8</v>
      </c>
      <c r="AH298" s="2" t="s">
        <v>122</v>
      </c>
      <c r="AI298" s="2" t="s">
        <v>661</v>
      </c>
      <c r="AJ298" s="2" t="s">
        <v>661</v>
      </c>
      <c r="AK298" s="2" t="s">
        <v>661</v>
      </c>
      <c r="AL298" s="2" t="s">
        <v>661</v>
      </c>
      <c r="AM298" s="2" t="s">
        <v>661</v>
      </c>
      <c r="AN298" s="2" t="s">
        <v>661</v>
      </c>
      <c r="AO298" s="2" t="s">
        <v>661</v>
      </c>
      <c r="AP298" s="16">
        <v>19.399999999999999</v>
      </c>
      <c r="AQ298" s="2" t="s">
        <v>661</v>
      </c>
      <c r="AR298" s="16">
        <v>38.5</v>
      </c>
      <c r="AS298" s="16">
        <v>12.200000000000003</v>
      </c>
      <c r="AT298" s="16">
        <v>49.3</v>
      </c>
      <c r="AU298" s="2" t="s">
        <v>661</v>
      </c>
      <c r="AV298" s="16">
        <f t="shared" si="138"/>
        <v>100</v>
      </c>
      <c r="AW298" s="18">
        <v>0.2</v>
      </c>
      <c r="AX298" s="13">
        <f t="shared" si="136"/>
        <v>2E-3</v>
      </c>
      <c r="AY298" s="13" t="s">
        <v>123</v>
      </c>
      <c r="AZ298" s="16">
        <f t="shared" si="123"/>
        <v>100</v>
      </c>
      <c r="BA298" s="16" t="s">
        <v>55</v>
      </c>
      <c r="BB298" s="15">
        <v>2.2999999999999998</v>
      </c>
      <c r="BC298" s="16" t="s">
        <v>55</v>
      </c>
      <c r="BD298" s="18">
        <v>1.3</v>
      </c>
      <c r="BE298" s="15">
        <f t="shared" si="130"/>
        <v>650</v>
      </c>
      <c r="BF298" s="8">
        <f t="shared" si="131"/>
        <v>2.8129133566428557</v>
      </c>
      <c r="BG298" s="8">
        <f t="shared" si="132"/>
        <v>0.11394335230683679</v>
      </c>
      <c r="BH298" s="13" t="s">
        <v>841</v>
      </c>
      <c r="BI298" s="13"/>
      <c r="BJ298" s="13"/>
      <c r="BK298" s="8"/>
      <c r="BL298" s="8"/>
      <c r="BM298" s="18"/>
      <c r="BN298" s="8"/>
      <c r="BO298" s="24"/>
    </row>
    <row r="299" spans="1:67" s="14" customFormat="1" x14ac:dyDescent="0.3">
      <c r="A299" s="20">
        <v>305</v>
      </c>
      <c r="B299" s="2" t="s">
        <v>241</v>
      </c>
      <c r="C299" s="2">
        <v>2019</v>
      </c>
      <c r="D299" s="2" t="s">
        <v>201</v>
      </c>
      <c r="E299" s="10" t="s">
        <v>800</v>
      </c>
      <c r="F299" s="20" t="s">
        <v>29</v>
      </c>
      <c r="G299" s="2">
        <v>53</v>
      </c>
      <c r="H299" s="2" t="str">
        <f>'PFAS Properties'!$B$33</f>
        <v>PFOA</v>
      </c>
      <c r="I299" s="2" t="str">
        <f>'PFAS Properties'!$C$33</f>
        <v>PFCA</v>
      </c>
      <c r="J299" s="2" t="str">
        <f>'PFAS Properties'!$D$33</f>
        <v>C8HF15O2</v>
      </c>
      <c r="K299" s="25">
        <f>'PFAS Properties'!$P$33</f>
        <v>413.97359999999998</v>
      </c>
      <c r="L299" s="2">
        <f>'PFAS Properties'!$X$33</f>
        <v>-0.2</v>
      </c>
      <c r="M299" s="2" t="str">
        <f>'PFAS Properties'!$Y$33</f>
        <v>-</v>
      </c>
      <c r="N299" s="33">
        <v>0</v>
      </c>
      <c r="O299" s="33">
        <v>0</v>
      </c>
      <c r="P299" s="33">
        <v>0</v>
      </c>
      <c r="Q299" s="33">
        <f t="shared" si="133"/>
        <v>0.99999993690426958</v>
      </c>
      <c r="R299" s="33">
        <v>0</v>
      </c>
      <c r="S299" s="33">
        <f t="shared" si="134"/>
        <v>6.3095730466947729E-8</v>
      </c>
      <c r="T299" s="8">
        <f t="shared" si="135"/>
        <v>1</v>
      </c>
      <c r="U299" s="33">
        <f t="shared" si="124"/>
        <v>0</v>
      </c>
      <c r="V299" s="33">
        <f t="shared" si="125"/>
        <v>-0.99999993690426958</v>
      </c>
      <c r="W299" s="33">
        <f t="shared" si="126"/>
        <v>412.97360006309572</v>
      </c>
      <c r="X299" s="33">
        <v>96485</v>
      </c>
      <c r="Y299" s="16">
        <f t="shared" si="127"/>
        <v>-233.63477446855464</v>
      </c>
      <c r="Z299" s="16">
        <v>8</v>
      </c>
      <c r="AA299" s="16">
        <v>15</v>
      </c>
      <c r="AB299" s="8">
        <f t="shared" si="128"/>
        <v>0.33684210526315789</v>
      </c>
      <c r="AC299" s="16">
        <f t="shared" si="129"/>
        <v>68.844969824162703</v>
      </c>
      <c r="AD299" s="20">
        <f>'PFAS Properties'!$W$33</f>
        <v>7</v>
      </c>
      <c r="AE299" s="8">
        <f>'PFAS Properties'!$S$33</f>
        <v>2.6821450763738319</v>
      </c>
      <c r="AF299" s="15">
        <f>'PFAS Properties'!$V$33</f>
        <v>4.9000000000000004</v>
      </c>
      <c r="AG299" s="24">
        <v>7</v>
      </c>
      <c r="AH299" s="2" t="s">
        <v>122</v>
      </c>
      <c r="AI299" s="2" t="s">
        <v>661</v>
      </c>
      <c r="AJ299" s="2" t="s">
        <v>661</v>
      </c>
      <c r="AK299" s="2" t="s">
        <v>661</v>
      </c>
      <c r="AL299" s="2" t="s">
        <v>661</v>
      </c>
      <c r="AM299" s="2" t="s">
        <v>661</v>
      </c>
      <c r="AN299" s="2" t="s">
        <v>661</v>
      </c>
      <c r="AO299" s="2" t="s">
        <v>661</v>
      </c>
      <c r="AP299" s="16">
        <v>33.299999999999997</v>
      </c>
      <c r="AQ299" s="2" t="s">
        <v>661</v>
      </c>
      <c r="AR299" s="16">
        <v>44</v>
      </c>
      <c r="AS299" s="16">
        <v>16</v>
      </c>
      <c r="AT299" s="16">
        <v>40</v>
      </c>
      <c r="AU299" s="2" t="s">
        <v>661</v>
      </c>
      <c r="AV299" s="16">
        <f t="shared" si="138"/>
        <v>100</v>
      </c>
      <c r="AW299" s="18">
        <v>3.4</v>
      </c>
      <c r="AX299" s="13">
        <f t="shared" si="136"/>
        <v>3.4000000000000002E-2</v>
      </c>
      <c r="AY299" s="13" t="s">
        <v>123</v>
      </c>
      <c r="AZ299" s="16">
        <f t="shared" si="123"/>
        <v>100</v>
      </c>
      <c r="BA299" s="16" t="s">
        <v>55</v>
      </c>
      <c r="BB299" s="15">
        <v>2.2999999999999998</v>
      </c>
      <c r="BC299" s="16" t="s">
        <v>55</v>
      </c>
      <c r="BD299" s="18">
        <v>10.6</v>
      </c>
      <c r="BE299" s="15">
        <f t="shared" si="130"/>
        <v>311.76470588235293</v>
      </c>
      <c r="BF299" s="8">
        <f t="shared" si="131"/>
        <v>2.493826948222515</v>
      </c>
      <c r="BG299" s="8">
        <f t="shared" si="132"/>
        <v>1.0253058652647702</v>
      </c>
      <c r="BH299" s="13" t="s">
        <v>841</v>
      </c>
      <c r="BI299" s="13"/>
      <c r="BJ299" s="13"/>
      <c r="BK299" s="8"/>
      <c r="BL299" s="8"/>
      <c r="BM299" s="18"/>
      <c r="BN299" s="8"/>
      <c r="BO299" s="24"/>
    </row>
    <row r="300" spans="1:67" s="14" customFormat="1" x14ac:dyDescent="0.3">
      <c r="A300" s="20">
        <v>306</v>
      </c>
      <c r="B300" s="2" t="s">
        <v>241</v>
      </c>
      <c r="C300" s="2">
        <v>2019</v>
      </c>
      <c r="D300" s="2" t="s">
        <v>201</v>
      </c>
      <c r="E300" s="10" t="s">
        <v>800</v>
      </c>
      <c r="F300" s="20" t="s">
        <v>29</v>
      </c>
      <c r="G300" s="2">
        <v>54</v>
      </c>
      <c r="H300" s="2" t="str">
        <f>'PFAS Properties'!$B$33</f>
        <v>PFOA</v>
      </c>
      <c r="I300" s="2" t="str">
        <f>'PFAS Properties'!$C$33</f>
        <v>PFCA</v>
      </c>
      <c r="J300" s="2" t="str">
        <f>'PFAS Properties'!$D$33</f>
        <v>C8HF15O2</v>
      </c>
      <c r="K300" s="25">
        <f>'PFAS Properties'!$P$33</f>
        <v>413.97359999999998</v>
      </c>
      <c r="L300" s="2">
        <f>'PFAS Properties'!$X$33</f>
        <v>-0.2</v>
      </c>
      <c r="M300" s="2" t="str">
        <f>'PFAS Properties'!$Y$33</f>
        <v>-</v>
      </c>
      <c r="N300" s="33">
        <v>0</v>
      </c>
      <c r="O300" s="33">
        <v>0</v>
      </c>
      <c r="P300" s="33">
        <v>0</v>
      </c>
      <c r="Q300" s="33">
        <f t="shared" si="133"/>
        <v>0.99999998004737722</v>
      </c>
      <c r="R300" s="33">
        <v>0</v>
      </c>
      <c r="S300" s="33">
        <f t="shared" si="134"/>
        <v>1.995262275158161E-8</v>
      </c>
      <c r="T300" s="8">
        <f t="shared" si="135"/>
        <v>1</v>
      </c>
      <c r="U300" s="33">
        <f t="shared" si="124"/>
        <v>0</v>
      </c>
      <c r="V300" s="33">
        <f t="shared" si="125"/>
        <v>-0.99999998004737722</v>
      </c>
      <c r="W300" s="33">
        <f t="shared" si="126"/>
        <v>412.97360001995258</v>
      </c>
      <c r="X300" s="33">
        <v>96485</v>
      </c>
      <c r="Y300" s="16">
        <f t="shared" si="127"/>
        <v>-233.63478457269321</v>
      </c>
      <c r="Z300" s="16">
        <v>8</v>
      </c>
      <c r="AA300" s="16">
        <v>15</v>
      </c>
      <c r="AB300" s="8">
        <f t="shared" si="128"/>
        <v>0.33684210526315789</v>
      </c>
      <c r="AC300" s="16">
        <f t="shared" si="129"/>
        <v>68.844969824162703</v>
      </c>
      <c r="AD300" s="20">
        <f>'PFAS Properties'!$W$33</f>
        <v>7</v>
      </c>
      <c r="AE300" s="8">
        <f>'PFAS Properties'!$S$33</f>
        <v>2.6821450763738319</v>
      </c>
      <c r="AF300" s="15">
        <f>'PFAS Properties'!$V$33</f>
        <v>4.9000000000000004</v>
      </c>
      <c r="AG300" s="24">
        <v>7.5</v>
      </c>
      <c r="AH300" s="2" t="s">
        <v>122</v>
      </c>
      <c r="AI300" s="2" t="s">
        <v>661</v>
      </c>
      <c r="AJ300" s="2" t="s">
        <v>661</v>
      </c>
      <c r="AK300" s="2" t="s">
        <v>661</v>
      </c>
      <c r="AL300" s="2" t="s">
        <v>661</v>
      </c>
      <c r="AM300" s="2" t="s">
        <v>661</v>
      </c>
      <c r="AN300" s="2" t="s">
        <v>661</v>
      </c>
      <c r="AO300" s="2" t="s">
        <v>661</v>
      </c>
      <c r="AP300" s="16">
        <v>17.399999999999999</v>
      </c>
      <c r="AQ300" s="2" t="s">
        <v>661</v>
      </c>
      <c r="AR300" s="16">
        <v>42</v>
      </c>
      <c r="AS300" s="16">
        <v>21</v>
      </c>
      <c r="AT300" s="16">
        <v>37</v>
      </c>
      <c r="AU300" s="2" t="s">
        <v>661</v>
      </c>
      <c r="AV300" s="16">
        <f t="shared" si="138"/>
        <v>100</v>
      </c>
      <c r="AW300" s="18">
        <v>1</v>
      </c>
      <c r="AX300" s="13">
        <f t="shared" si="136"/>
        <v>0.01</v>
      </c>
      <c r="AY300" s="13" t="s">
        <v>123</v>
      </c>
      <c r="AZ300" s="16">
        <f t="shared" si="123"/>
        <v>100</v>
      </c>
      <c r="BA300" s="16" t="s">
        <v>55</v>
      </c>
      <c r="BB300" s="15">
        <v>2.2999999999999998</v>
      </c>
      <c r="BC300" s="16" t="s">
        <v>55</v>
      </c>
      <c r="BD300" s="18">
        <v>7.4</v>
      </c>
      <c r="BE300" s="15">
        <f t="shared" si="130"/>
        <v>740</v>
      </c>
      <c r="BF300" s="8">
        <f t="shared" si="131"/>
        <v>2.8692317197309762</v>
      </c>
      <c r="BG300" s="8">
        <f t="shared" si="132"/>
        <v>0.86923171973097624</v>
      </c>
      <c r="BH300" s="13" t="s">
        <v>841</v>
      </c>
      <c r="BI300" s="13"/>
      <c r="BJ300" s="13"/>
      <c r="BK300" s="8"/>
      <c r="BL300" s="8"/>
      <c r="BM300" s="18"/>
      <c r="BN300" s="8"/>
      <c r="BO300" s="24"/>
    </row>
    <row r="301" spans="1:67" s="14" customFormat="1" x14ac:dyDescent="0.3">
      <c r="A301" s="20">
        <v>307</v>
      </c>
      <c r="B301" s="2" t="s">
        <v>241</v>
      </c>
      <c r="C301" s="2">
        <v>2019</v>
      </c>
      <c r="D301" s="2" t="s">
        <v>201</v>
      </c>
      <c r="E301" s="10" t="s">
        <v>800</v>
      </c>
      <c r="F301" s="20" t="s">
        <v>29</v>
      </c>
      <c r="G301" s="2">
        <v>55</v>
      </c>
      <c r="H301" s="2" t="str">
        <f>'PFAS Properties'!$B$33</f>
        <v>PFOA</v>
      </c>
      <c r="I301" s="2" t="str">
        <f>'PFAS Properties'!$C$33</f>
        <v>PFCA</v>
      </c>
      <c r="J301" s="2" t="str">
        <f>'PFAS Properties'!$D$33</f>
        <v>C8HF15O2</v>
      </c>
      <c r="K301" s="25">
        <f>'PFAS Properties'!$P$33</f>
        <v>413.97359999999998</v>
      </c>
      <c r="L301" s="2">
        <f>'PFAS Properties'!$X$33</f>
        <v>-0.2</v>
      </c>
      <c r="M301" s="2" t="str">
        <f>'PFAS Properties'!$Y$33</f>
        <v>-</v>
      </c>
      <c r="N301" s="33">
        <v>0</v>
      </c>
      <c r="O301" s="33">
        <v>0</v>
      </c>
      <c r="P301" s="33">
        <v>0</v>
      </c>
      <c r="Q301" s="33">
        <f t="shared" si="133"/>
        <v>0.99999998004737722</v>
      </c>
      <c r="R301" s="33">
        <v>0</v>
      </c>
      <c r="S301" s="33">
        <f t="shared" si="134"/>
        <v>1.995262275158161E-8</v>
      </c>
      <c r="T301" s="8">
        <f t="shared" si="135"/>
        <v>1</v>
      </c>
      <c r="U301" s="33">
        <f t="shared" si="124"/>
        <v>0</v>
      </c>
      <c r="V301" s="33">
        <f t="shared" si="125"/>
        <v>-0.99999998004737722</v>
      </c>
      <c r="W301" s="33">
        <f t="shared" si="126"/>
        <v>412.97360001995258</v>
      </c>
      <c r="X301" s="33">
        <v>96485</v>
      </c>
      <c r="Y301" s="16">
        <f t="shared" si="127"/>
        <v>-233.63478457269321</v>
      </c>
      <c r="Z301" s="16">
        <v>8</v>
      </c>
      <c r="AA301" s="16">
        <v>15</v>
      </c>
      <c r="AB301" s="8">
        <f t="shared" si="128"/>
        <v>0.33684210526315789</v>
      </c>
      <c r="AC301" s="16">
        <f t="shared" si="129"/>
        <v>68.844969824162703</v>
      </c>
      <c r="AD301" s="20">
        <f>'PFAS Properties'!$W$33</f>
        <v>7</v>
      </c>
      <c r="AE301" s="8">
        <f>'PFAS Properties'!$S$33</f>
        <v>2.6821450763738319</v>
      </c>
      <c r="AF301" s="15">
        <f>'PFAS Properties'!$V$33</f>
        <v>4.9000000000000004</v>
      </c>
      <c r="AG301" s="24">
        <v>7.5</v>
      </c>
      <c r="AH301" s="2" t="s">
        <v>122</v>
      </c>
      <c r="AI301" s="2" t="s">
        <v>661</v>
      </c>
      <c r="AJ301" s="2" t="s">
        <v>661</v>
      </c>
      <c r="AK301" s="2" t="s">
        <v>661</v>
      </c>
      <c r="AL301" s="2" t="s">
        <v>661</v>
      </c>
      <c r="AM301" s="2" t="s">
        <v>661</v>
      </c>
      <c r="AN301" s="2" t="s">
        <v>661</v>
      </c>
      <c r="AO301" s="2" t="s">
        <v>661</v>
      </c>
      <c r="AP301" s="16">
        <v>33.799999999999997</v>
      </c>
      <c r="AQ301" s="2" t="s">
        <v>661</v>
      </c>
      <c r="AR301" s="16">
        <v>34</v>
      </c>
      <c r="AS301" s="16">
        <v>16</v>
      </c>
      <c r="AT301" s="16">
        <v>50</v>
      </c>
      <c r="AU301" s="2" t="s">
        <v>661</v>
      </c>
      <c r="AV301" s="16">
        <f t="shared" si="138"/>
        <v>100</v>
      </c>
      <c r="AW301" s="18">
        <v>0.6</v>
      </c>
      <c r="AX301" s="13">
        <f t="shared" si="136"/>
        <v>6.0000000000000001E-3</v>
      </c>
      <c r="AY301" s="13" t="s">
        <v>123</v>
      </c>
      <c r="AZ301" s="16">
        <f t="shared" si="123"/>
        <v>100</v>
      </c>
      <c r="BA301" s="16" t="s">
        <v>55</v>
      </c>
      <c r="BB301" s="15">
        <v>2.2999999999999998</v>
      </c>
      <c r="BC301" s="16" t="s">
        <v>55</v>
      </c>
      <c r="BD301" s="18">
        <v>10.3</v>
      </c>
      <c r="BE301" s="15">
        <f t="shared" si="130"/>
        <v>1716.6666666666667</v>
      </c>
      <c r="BF301" s="8">
        <f t="shared" si="131"/>
        <v>3.2346859743215286</v>
      </c>
      <c r="BG301" s="8">
        <f t="shared" si="132"/>
        <v>1.0128372247051722</v>
      </c>
      <c r="BH301" s="13" t="s">
        <v>841</v>
      </c>
      <c r="BI301" s="13"/>
      <c r="BJ301" s="13"/>
      <c r="BK301" s="8"/>
      <c r="BL301" s="8"/>
      <c r="BM301" s="18"/>
      <c r="BN301" s="8"/>
      <c r="BO301" s="24"/>
    </row>
    <row r="302" spans="1:67" s="14" customFormat="1" x14ac:dyDescent="0.3">
      <c r="A302" s="20">
        <v>308</v>
      </c>
      <c r="B302" s="2" t="s">
        <v>241</v>
      </c>
      <c r="C302" s="2">
        <v>2019</v>
      </c>
      <c r="D302" s="2" t="s">
        <v>201</v>
      </c>
      <c r="E302" s="10" t="s">
        <v>800</v>
      </c>
      <c r="F302" s="20" t="s">
        <v>29</v>
      </c>
      <c r="G302" s="2">
        <v>56</v>
      </c>
      <c r="H302" s="2" t="str">
        <f>'PFAS Properties'!$B$33</f>
        <v>PFOA</v>
      </c>
      <c r="I302" s="2" t="str">
        <f>'PFAS Properties'!$C$33</f>
        <v>PFCA</v>
      </c>
      <c r="J302" s="2" t="str">
        <f>'PFAS Properties'!$D$33</f>
        <v>C8HF15O2</v>
      </c>
      <c r="K302" s="25">
        <f>'PFAS Properties'!$P$33</f>
        <v>413.97359999999998</v>
      </c>
      <c r="L302" s="2">
        <f>'PFAS Properties'!$X$33</f>
        <v>-0.2</v>
      </c>
      <c r="M302" s="2" t="str">
        <f>'PFAS Properties'!$Y$33</f>
        <v>-</v>
      </c>
      <c r="N302" s="33">
        <v>0</v>
      </c>
      <c r="O302" s="33">
        <v>0</v>
      </c>
      <c r="P302" s="33">
        <v>0</v>
      </c>
      <c r="Q302" s="33">
        <f t="shared" si="133"/>
        <v>0.99999999369042658</v>
      </c>
      <c r="R302" s="33">
        <v>0</v>
      </c>
      <c r="S302" s="33">
        <f t="shared" si="134"/>
        <v>6.3095734049912165E-9</v>
      </c>
      <c r="T302" s="8">
        <f t="shared" si="135"/>
        <v>1</v>
      </c>
      <c r="U302" s="33">
        <f t="shared" si="124"/>
        <v>0</v>
      </c>
      <c r="V302" s="33">
        <f t="shared" si="125"/>
        <v>-0.99999999369042658</v>
      </c>
      <c r="W302" s="33">
        <f t="shared" si="126"/>
        <v>412.97360000630954</v>
      </c>
      <c r="X302" s="33">
        <v>96485</v>
      </c>
      <c r="Y302" s="16">
        <f t="shared" si="127"/>
        <v>-233.63478776790257</v>
      </c>
      <c r="Z302" s="16">
        <v>8</v>
      </c>
      <c r="AA302" s="16">
        <v>15</v>
      </c>
      <c r="AB302" s="8">
        <f t="shared" si="128"/>
        <v>0.33684210526315789</v>
      </c>
      <c r="AC302" s="16">
        <f t="shared" si="129"/>
        <v>68.844969824162703</v>
      </c>
      <c r="AD302" s="20">
        <f>'PFAS Properties'!$W$33</f>
        <v>7</v>
      </c>
      <c r="AE302" s="8">
        <f>'PFAS Properties'!$S$33</f>
        <v>2.6821450763738319</v>
      </c>
      <c r="AF302" s="15">
        <f>'PFAS Properties'!$V$33</f>
        <v>4.9000000000000004</v>
      </c>
      <c r="AG302" s="24">
        <v>8</v>
      </c>
      <c r="AH302" s="2" t="s">
        <v>122</v>
      </c>
      <c r="AI302" s="2" t="s">
        <v>661</v>
      </c>
      <c r="AJ302" s="2" t="s">
        <v>661</v>
      </c>
      <c r="AK302" s="2" t="s">
        <v>661</v>
      </c>
      <c r="AL302" s="2" t="s">
        <v>661</v>
      </c>
      <c r="AM302" s="2" t="s">
        <v>661</v>
      </c>
      <c r="AN302" s="2" t="s">
        <v>661</v>
      </c>
      <c r="AO302" s="2" t="s">
        <v>661</v>
      </c>
      <c r="AP302" s="16">
        <v>27.1</v>
      </c>
      <c r="AQ302" s="2" t="s">
        <v>661</v>
      </c>
      <c r="AR302" s="16">
        <v>25</v>
      </c>
      <c r="AS302" s="16">
        <v>20</v>
      </c>
      <c r="AT302" s="16">
        <v>55</v>
      </c>
      <c r="AU302" s="2" t="s">
        <v>661</v>
      </c>
      <c r="AV302" s="16">
        <f t="shared" si="138"/>
        <v>100</v>
      </c>
      <c r="AW302" s="18">
        <v>0.3</v>
      </c>
      <c r="AX302" s="13">
        <f t="shared" si="136"/>
        <v>3.0000000000000001E-3</v>
      </c>
      <c r="AY302" s="13" t="s">
        <v>123</v>
      </c>
      <c r="AZ302" s="16">
        <f t="shared" si="123"/>
        <v>100</v>
      </c>
      <c r="BA302" s="16" t="s">
        <v>55</v>
      </c>
      <c r="BB302" s="15">
        <v>2.2999999999999998</v>
      </c>
      <c r="BC302" s="16" t="s">
        <v>55</v>
      </c>
      <c r="BD302" s="18">
        <v>5.4</v>
      </c>
      <c r="BE302" s="15">
        <f t="shared" si="130"/>
        <v>1800</v>
      </c>
      <c r="BF302" s="8">
        <f t="shared" si="131"/>
        <v>3.255272505103306</v>
      </c>
      <c r="BG302" s="8">
        <f t="shared" si="132"/>
        <v>0.7323937598229685</v>
      </c>
      <c r="BH302" s="13" t="s">
        <v>841</v>
      </c>
      <c r="BI302" s="13"/>
      <c r="BJ302" s="13"/>
      <c r="BK302" s="8"/>
      <c r="BL302" s="8"/>
      <c r="BM302" s="18"/>
      <c r="BN302" s="8"/>
      <c r="BO302" s="24"/>
    </row>
    <row r="303" spans="1:67" s="14" customFormat="1" x14ac:dyDescent="0.3">
      <c r="A303" s="20">
        <v>309</v>
      </c>
      <c r="B303" s="2" t="s">
        <v>241</v>
      </c>
      <c r="C303" s="2">
        <v>2019</v>
      </c>
      <c r="D303" s="2" t="s">
        <v>201</v>
      </c>
      <c r="E303" s="10" t="s">
        <v>800</v>
      </c>
      <c r="F303" s="20" t="s">
        <v>29</v>
      </c>
      <c r="G303" s="2">
        <v>57</v>
      </c>
      <c r="H303" s="2" t="str">
        <f>'PFAS Properties'!$B$33</f>
        <v>PFOA</v>
      </c>
      <c r="I303" s="2" t="str">
        <f>'PFAS Properties'!$C$33</f>
        <v>PFCA</v>
      </c>
      <c r="J303" s="2" t="str">
        <f>'PFAS Properties'!$D$33</f>
        <v>C8HF15O2</v>
      </c>
      <c r="K303" s="25">
        <f>'PFAS Properties'!$P$33</f>
        <v>413.97359999999998</v>
      </c>
      <c r="L303" s="2">
        <f>'PFAS Properties'!$X$33</f>
        <v>-0.2</v>
      </c>
      <c r="M303" s="2" t="str">
        <f>'PFAS Properties'!$Y$33</f>
        <v>-</v>
      </c>
      <c r="N303" s="33">
        <v>0</v>
      </c>
      <c r="O303" s="33">
        <v>0</v>
      </c>
      <c r="P303" s="33">
        <v>0</v>
      </c>
      <c r="Q303" s="33">
        <f t="shared" si="133"/>
        <v>0.99999998415106828</v>
      </c>
      <c r="R303" s="33">
        <v>0</v>
      </c>
      <c r="S303" s="33">
        <f t="shared" si="134"/>
        <v>1.5848931673422493E-8</v>
      </c>
      <c r="T303" s="8">
        <f t="shared" si="135"/>
        <v>1</v>
      </c>
      <c r="U303" s="33">
        <f t="shared" si="124"/>
        <v>0</v>
      </c>
      <c r="V303" s="33">
        <f t="shared" si="125"/>
        <v>-0.99999998415106828</v>
      </c>
      <c r="W303" s="33">
        <f t="shared" si="126"/>
        <v>412.97360001584889</v>
      </c>
      <c r="X303" s="33">
        <v>96485</v>
      </c>
      <c r="Y303" s="16">
        <f t="shared" si="127"/>
        <v>-233.63478553377979</v>
      </c>
      <c r="Z303" s="16">
        <v>8</v>
      </c>
      <c r="AA303" s="16">
        <v>15</v>
      </c>
      <c r="AB303" s="8">
        <f t="shared" si="128"/>
        <v>0.33684210526315789</v>
      </c>
      <c r="AC303" s="16">
        <f t="shared" si="129"/>
        <v>68.844969824162703</v>
      </c>
      <c r="AD303" s="20">
        <f>'PFAS Properties'!$W$33</f>
        <v>7</v>
      </c>
      <c r="AE303" s="8">
        <f>'PFAS Properties'!$S$33</f>
        <v>2.6821450763738319</v>
      </c>
      <c r="AF303" s="15">
        <f>'PFAS Properties'!$V$33</f>
        <v>4.9000000000000004</v>
      </c>
      <c r="AG303" s="24">
        <v>7.6</v>
      </c>
      <c r="AH303" s="2" t="s">
        <v>122</v>
      </c>
      <c r="AI303" s="2" t="s">
        <v>661</v>
      </c>
      <c r="AJ303" s="2" t="s">
        <v>661</v>
      </c>
      <c r="AK303" s="2" t="s">
        <v>661</v>
      </c>
      <c r="AL303" s="2" t="s">
        <v>661</v>
      </c>
      <c r="AM303" s="2" t="s">
        <v>661</v>
      </c>
      <c r="AN303" s="2" t="s">
        <v>661</v>
      </c>
      <c r="AO303" s="2" t="s">
        <v>661</v>
      </c>
      <c r="AP303" s="16">
        <v>24.1</v>
      </c>
      <c r="AQ303" s="2" t="s">
        <v>661</v>
      </c>
      <c r="AR303" s="16">
        <v>46</v>
      </c>
      <c r="AS303" s="16">
        <v>14</v>
      </c>
      <c r="AT303" s="16">
        <v>40</v>
      </c>
      <c r="AU303" s="2" t="s">
        <v>661</v>
      </c>
      <c r="AV303" s="16">
        <f t="shared" si="138"/>
        <v>100</v>
      </c>
      <c r="AW303" s="18">
        <v>0.7</v>
      </c>
      <c r="AX303" s="13">
        <f t="shared" si="136"/>
        <v>6.9999999999999993E-3</v>
      </c>
      <c r="AY303" s="13" t="s">
        <v>123</v>
      </c>
      <c r="AZ303" s="16">
        <f t="shared" si="123"/>
        <v>100</v>
      </c>
      <c r="BA303" s="16" t="s">
        <v>55</v>
      </c>
      <c r="BB303" s="15">
        <v>2.2999999999999998</v>
      </c>
      <c r="BC303" s="16" t="s">
        <v>55</v>
      </c>
      <c r="BD303" s="18">
        <v>9</v>
      </c>
      <c r="BE303" s="15">
        <f t="shared" si="130"/>
        <v>1285.7142857142858</v>
      </c>
      <c r="BF303" s="8">
        <f t="shared" si="131"/>
        <v>3.1091444694250683</v>
      </c>
      <c r="BG303" s="8">
        <f t="shared" si="132"/>
        <v>0.95424250943932487</v>
      </c>
      <c r="BH303" s="13" t="s">
        <v>841</v>
      </c>
      <c r="BI303" s="13"/>
      <c r="BJ303" s="13"/>
      <c r="BK303" s="8"/>
      <c r="BL303" s="8"/>
      <c r="BM303" s="18"/>
      <c r="BN303" s="8"/>
      <c r="BO303" s="24"/>
    </row>
    <row r="304" spans="1:67" s="14" customFormat="1" x14ac:dyDescent="0.3">
      <c r="A304" s="20">
        <v>310</v>
      </c>
      <c r="B304" s="2" t="s">
        <v>241</v>
      </c>
      <c r="C304" s="2">
        <v>2019</v>
      </c>
      <c r="D304" s="2" t="s">
        <v>201</v>
      </c>
      <c r="E304" s="10" t="s">
        <v>800</v>
      </c>
      <c r="F304" s="20" t="s">
        <v>29</v>
      </c>
      <c r="G304" s="2">
        <v>58</v>
      </c>
      <c r="H304" s="2" t="str">
        <f>'PFAS Properties'!$B$33</f>
        <v>PFOA</v>
      </c>
      <c r="I304" s="2" t="str">
        <f>'PFAS Properties'!$C$33</f>
        <v>PFCA</v>
      </c>
      <c r="J304" s="2" t="str">
        <f>'PFAS Properties'!$D$33</f>
        <v>C8HF15O2</v>
      </c>
      <c r="K304" s="25">
        <f>'PFAS Properties'!$P$33</f>
        <v>413.97359999999998</v>
      </c>
      <c r="L304" s="2">
        <f>'PFAS Properties'!$X$33</f>
        <v>-0.2</v>
      </c>
      <c r="M304" s="2" t="str">
        <f>'PFAS Properties'!$Y$33</f>
        <v>-</v>
      </c>
      <c r="N304" s="33">
        <v>0</v>
      </c>
      <c r="O304" s="33">
        <v>0</v>
      </c>
      <c r="P304" s="33">
        <v>0</v>
      </c>
      <c r="Q304" s="33">
        <f t="shared" si="133"/>
        <v>0.99999998741074603</v>
      </c>
      <c r="R304" s="33">
        <v>0</v>
      </c>
      <c r="S304" s="33">
        <f t="shared" si="134"/>
        <v>1.258925395945232E-8</v>
      </c>
      <c r="T304" s="8">
        <f t="shared" si="135"/>
        <v>1</v>
      </c>
      <c r="U304" s="33">
        <f t="shared" si="124"/>
        <v>0</v>
      </c>
      <c r="V304" s="33">
        <f t="shared" si="125"/>
        <v>-0.99999998741074603</v>
      </c>
      <c r="W304" s="33">
        <f t="shared" si="126"/>
        <v>412.9736000125892</v>
      </c>
      <c r="X304" s="33">
        <v>96485</v>
      </c>
      <c r="Y304" s="16">
        <f t="shared" si="127"/>
        <v>-233.63478629719808</v>
      </c>
      <c r="Z304" s="16">
        <v>8</v>
      </c>
      <c r="AA304" s="16">
        <v>15</v>
      </c>
      <c r="AB304" s="8">
        <f t="shared" si="128"/>
        <v>0.33684210526315789</v>
      </c>
      <c r="AC304" s="16">
        <f t="shared" si="129"/>
        <v>68.844969824162703</v>
      </c>
      <c r="AD304" s="20">
        <f>'PFAS Properties'!$W$33</f>
        <v>7</v>
      </c>
      <c r="AE304" s="8">
        <f>'PFAS Properties'!$S$33</f>
        <v>2.6821450763738319</v>
      </c>
      <c r="AF304" s="15">
        <f>'PFAS Properties'!$V$33</f>
        <v>4.9000000000000004</v>
      </c>
      <c r="AG304" s="24">
        <v>7.7</v>
      </c>
      <c r="AH304" s="2" t="s">
        <v>122</v>
      </c>
      <c r="AI304" s="2" t="s">
        <v>661</v>
      </c>
      <c r="AJ304" s="2" t="s">
        <v>661</v>
      </c>
      <c r="AK304" s="2" t="s">
        <v>661</v>
      </c>
      <c r="AL304" s="2" t="s">
        <v>661</v>
      </c>
      <c r="AM304" s="2" t="s">
        <v>661</v>
      </c>
      <c r="AN304" s="2" t="s">
        <v>661</v>
      </c>
      <c r="AO304" s="2" t="s">
        <v>661</v>
      </c>
      <c r="AP304" s="16">
        <v>14.2</v>
      </c>
      <c r="AQ304" s="2" t="s">
        <v>661</v>
      </c>
      <c r="AR304" s="71">
        <v>29.8888</v>
      </c>
      <c r="AS304" s="71">
        <v>44.728099999999998</v>
      </c>
      <c r="AT304" s="71">
        <v>26.741849999999999</v>
      </c>
      <c r="AU304" s="70" t="s">
        <v>752</v>
      </c>
      <c r="AV304" s="16">
        <f t="shared" si="138"/>
        <v>101.35875</v>
      </c>
      <c r="AW304" s="18">
        <v>0.4</v>
      </c>
      <c r="AX304" s="13">
        <f t="shared" si="136"/>
        <v>4.0000000000000001E-3</v>
      </c>
      <c r="AY304" s="13" t="s">
        <v>123</v>
      </c>
      <c r="AZ304" s="16">
        <f t="shared" si="123"/>
        <v>100</v>
      </c>
      <c r="BA304" s="16" t="s">
        <v>55</v>
      </c>
      <c r="BB304" s="15">
        <v>2.2999999999999998</v>
      </c>
      <c r="BC304" s="16" t="s">
        <v>55</v>
      </c>
      <c r="BD304" s="18">
        <v>6.8</v>
      </c>
      <c r="BE304" s="15">
        <f t="shared" si="130"/>
        <v>1700</v>
      </c>
      <c r="BF304" s="8">
        <f t="shared" si="131"/>
        <v>3.2304489213782741</v>
      </c>
      <c r="BG304" s="8">
        <f t="shared" si="132"/>
        <v>0.83250891270623628</v>
      </c>
      <c r="BH304" s="13" t="s">
        <v>841</v>
      </c>
      <c r="BI304" s="13"/>
      <c r="BJ304" s="13"/>
      <c r="BK304" s="8"/>
      <c r="BL304" s="8"/>
      <c r="BM304" s="18"/>
      <c r="BN304" s="8"/>
      <c r="BO304" s="24"/>
    </row>
    <row r="305" spans="1:67" s="14" customFormat="1" x14ac:dyDescent="0.3">
      <c r="A305" s="20">
        <v>311</v>
      </c>
      <c r="B305" s="2" t="s">
        <v>241</v>
      </c>
      <c r="C305" s="2">
        <v>2019</v>
      </c>
      <c r="D305" s="2" t="s">
        <v>201</v>
      </c>
      <c r="E305" s="10" t="s">
        <v>800</v>
      </c>
      <c r="F305" s="20" t="s">
        <v>29</v>
      </c>
      <c r="G305" s="2">
        <v>59</v>
      </c>
      <c r="H305" s="2" t="str">
        <f>'PFAS Properties'!$B$33</f>
        <v>PFOA</v>
      </c>
      <c r="I305" s="2" t="str">
        <f>'PFAS Properties'!$C$33</f>
        <v>PFCA</v>
      </c>
      <c r="J305" s="2" t="str">
        <f>'PFAS Properties'!$D$33</f>
        <v>C8HF15O2</v>
      </c>
      <c r="K305" s="25">
        <f>'PFAS Properties'!$P$33</f>
        <v>413.97359999999998</v>
      </c>
      <c r="L305" s="2">
        <f>'PFAS Properties'!$X$33</f>
        <v>-0.2</v>
      </c>
      <c r="M305" s="2" t="str">
        <f>'PFAS Properties'!$Y$33</f>
        <v>-</v>
      </c>
      <c r="N305" s="33">
        <v>0</v>
      </c>
      <c r="O305" s="33">
        <v>0</v>
      </c>
      <c r="P305" s="33">
        <v>0</v>
      </c>
      <c r="Q305" s="33">
        <f t="shared" si="133"/>
        <v>0.99999998741074603</v>
      </c>
      <c r="R305" s="33">
        <v>0</v>
      </c>
      <c r="S305" s="33">
        <f t="shared" si="134"/>
        <v>1.258925395945232E-8</v>
      </c>
      <c r="T305" s="8">
        <f t="shared" si="135"/>
        <v>1</v>
      </c>
      <c r="U305" s="33">
        <f t="shared" si="124"/>
        <v>0</v>
      </c>
      <c r="V305" s="33">
        <f t="shared" si="125"/>
        <v>-0.99999998741074603</v>
      </c>
      <c r="W305" s="33">
        <f t="shared" si="126"/>
        <v>412.9736000125892</v>
      </c>
      <c r="X305" s="33">
        <v>96485</v>
      </c>
      <c r="Y305" s="16">
        <f t="shared" si="127"/>
        <v>-233.63478629719808</v>
      </c>
      <c r="Z305" s="16">
        <v>8</v>
      </c>
      <c r="AA305" s="16">
        <v>15</v>
      </c>
      <c r="AB305" s="8">
        <f t="shared" si="128"/>
        <v>0.33684210526315789</v>
      </c>
      <c r="AC305" s="16">
        <f t="shared" si="129"/>
        <v>68.844969824162703</v>
      </c>
      <c r="AD305" s="20">
        <f>'PFAS Properties'!$W$33</f>
        <v>7</v>
      </c>
      <c r="AE305" s="8">
        <f>'PFAS Properties'!$S$33</f>
        <v>2.6821450763738319</v>
      </c>
      <c r="AF305" s="15">
        <f>'PFAS Properties'!$V$33</f>
        <v>4.9000000000000004</v>
      </c>
      <c r="AG305" s="24">
        <v>7.7</v>
      </c>
      <c r="AH305" s="2" t="s">
        <v>122</v>
      </c>
      <c r="AI305" s="2" t="s">
        <v>661</v>
      </c>
      <c r="AJ305" s="2" t="s">
        <v>661</v>
      </c>
      <c r="AK305" s="2" t="s">
        <v>661</v>
      </c>
      <c r="AL305" s="2" t="s">
        <v>661</v>
      </c>
      <c r="AM305" s="2" t="s">
        <v>661</v>
      </c>
      <c r="AN305" s="2" t="s">
        <v>661</v>
      </c>
      <c r="AO305" s="2" t="s">
        <v>661</v>
      </c>
      <c r="AP305" s="16">
        <v>21</v>
      </c>
      <c r="AQ305" s="2" t="s">
        <v>661</v>
      </c>
      <c r="AR305" s="16">
        <v>45.6</v>
      </c>
      <c r="AS305" s="16">
        <v>11.5</v>
      </c>
      <c r="AT305" s="16">
        <v>42.9</v>
      </c>
      <c r="AU305" s="2" t="s">
        <v>661</v>
      </c>
      <c r="AV305" s="16">
        <f t="shared" si="138"/>
        <v>100</v>
      </c>
      <c r="AW305" s="18">
        <v>0.5</v>
      </c>
      <c r="AX305" s="13">
        <f t="shared" si="136"/>
        <v>5.0000000000000001E-3</v>
      </c>
      <c r="AY305" s="13" t="s">
        <v>123</v>
      </c>
      <c r="AZ305" s="16">
        <f t="shared" si="123"/>
        <v>100</v>
      </c>
      <c r="BA305" s="16" t="s">
        <v>55</v>
      </c>
      <c r="BB305" s="15">
        <v>2.2999999999999998</v>
      </c>
      <c r="BC305" s="16" t="s">
        <v>55</v>
      </c>
      <c r="BD305" s="18">
        <v>6.8</v>
      </c>
      <c r="BE305" s="15">
        <f t="shared" si="130"/>
        <v>1360</v>
      </c>
      <c r="BF305" s="8">
        <f t="shared" si="131"/>
        <v>3.1335389083702174</v>
      </c>
      <c r="BG305" s="8">
        <f t="shared" si="132"/>
        <v>0.83250891270623628</v>
      </c>
      <c r="BH305" s="13" t="s">
        <v>841</v>
      </c>
      <c r="BI305" s="13"/>
      <c r="BJ305" s="13"/>
      <c r="BK305" s="8"/>
      <c r="BL305" s="8"/>
      <c r="BM305" s="18"/>
      <c r="BN305" s="8"/>
      <c r="BO305" s="24"/>
    </row>
    <row r="306" spans="1:67" s="14" customFormat="1" x14ac:dyDescent="0.3">
      <c r="A306" s="20">
        <v>312</v>
      </c>
      <c r="B306" s="2" t="s">
        <v>241</v>
      </c>
      <c r="C306" s="2">
        <v>2019</v>
      </c>
      <c r="D306" s="2" t="s">
        <v>201</v>
      </c>
      <c r="E306" s="10" t="s">
        <v>800</v>
      </c>
      <c r="F306" s="20" t="s">
        <v>29</v>
      </c>
      <c r="G306" s="2">
        <v>60</v>
      </c>
      <c r="H306" s="2" t="str">
        <f>'PFAS Properties'!$B$33</f>
        <v>PFOA</v>
      </c>
      <c r="I306" s="2" t="str">
        <f>'PFAS Properties'!$C$33</f>
        <v>PFCA</v>
      </c>
      <c r="J306" s="2" t="str">
        <f>'PFAS Properties'!$D$33</f>
        <v>C8HF15O2</v>
      </c>
      <c r="K306" s="25">
        <f>'PFAS Properties'!$P$33</f>
        <v>413.97359999999998</v>
      </c>
      <c r="L306" s="2">
        <f>'PFAS Properties'!$X$33</f>
        <v>-0.2</v>
      </c>
      <c r="M306" s="2" t="str">
        <f>'PFAS Properties'!$Y$33</f>
        <v>-</v>
      </c>
      <c r="N306" s="33">
        <v>0</v>
      </c>
      <c r="O306" s="33">
        <v>0</v>
      </c>
      <c r="P306" s="33">
        <v>0</v>
      </c>
      <c r="Q306" s="33">
        <f t="shared" si="133"/>
        <v>0.99999999601892831</v>
      </c>
      <c r="R306" s="33">
        <v>0</v>
      </c>
      <c r="S306" s="33">
        <f t="shared" si="134"/>
        <v>3.9810716896860486E-9</v>
      </c>
      <c r="T306" s="8">
        <f t="shared" si="135"/>
        <v>1</v>
      </c>
      <c r="U306" s="33">
        <f t="shared" si="124"/>
        <v>0</v>
      </c>
      <c r="V306" s="33">
        <f t="shared" si="125"/>
        <v>-0.99999999601892831</v>
      </c>
      <c r="W306" s="33">
        <f t="shared" si="126"/>
        <v>412.97360000398106</v>
      </c>
      <c r="X306" s="33">
        <v>96485</v>
      </c>
      <c r="Y306" s="16">
        <f t="shared" si="127"/>
        <v>-233.63478831323886</v>
      </c>
      <c r="Z306" s="16">
        <v>8</v>
      </c>
      <c r="AA306" s="16">
        <v>15</v>
      </c>
      <c r="AB306" s="8">
        <f t="shared" si="128"/>
        <v>0.33684210526315789</v>
      </c>
      <c r="AC306" s="16">
        <f t="shared" si="129"/>
        <v>68.844969824162703</v>
      </c>
      <c r="AD306" s="20">
        <f>'PFAS Properties'!$W$33</f>
        <v>7</v>
      </c>
      <c r="AE306" s="8">
        <f>'PFAS Properties'!$S$33</f>
        <v>2.6821450763738319</v>
      </c>
      <c r="AF306" s="15">
        <f>'PFAS Properties'!$V$33</f>
        <v>4.9000000000000004</v>
      </c>
      <c r="AG306" s="24">
        <v>8.1999999999999993</v>
      </c>
      <c r="AH306" s="2" t="s">
        <v>122</v>
      </c>
      <c r="AI306" s="2" t="s">
        <v>661</v>
      </c>
      <c r="AJ306" s="2" t="s">
        <v>661</v>
      </c>
      <c r="AK306" s="2" t="s">
        <v>661</v>
      </c>
      <c r="AL306" s="2" t="s">
        <v>661</v>
      </c>
      <c r="AM306" s="2" t="s">
        <v>661</v>
      </c>
      <c r="AN306" s="2" t="s">
        <v>661</v>
      </c>
      <c r="AO306" s="2" t="s">
        <v>661</v>
      </c>
      <c r="AP306" s="16">
        <v>26.8</v>
      </c>
      <c r="AQ306" s="2" t="s">
        <v>661</v>
      </c>
      <c r="AR306" s="16">
        <v>45.6</v>
      </c>
      <c r="AS306" s="16">
        <v>6.1000000000000014</v>
      </c>
      <c r="AT306" s="16">
        <v>48.3</v>
      </c>
      <c r="AU306" s="2" t="s">
        <v>661</v>
      </c>
      <c r="AV306" s="16">
        <f t="shared" si="138"/>
        <v>100</v>
      </c>
      <c r="AW306" s="18">
        <v>0.1</v>
      </c>
      <c r="AX306" s="13">
        <f t="shared" si="136"/>
        <v>1E-3</v>
      </c>
      <c r="AY306" s="13" t="s">
        <v>123</v>
      </c>
      <c r="AZ306" s="16">
        <f t="shared" si="123"/>
        <v>100</v>
      </c>
      <c r="BA306" s="16" t="s">
        <v>55</v>
      </c>
      <c r="BB306" s="15">
        <v>2.2999999999999998</v>
      </c>
      <c r="BC306" s="16" t="s">
        <v>55</v>
      </c>
      <c r="BD306" s="18">
        <v>3.9</v>
      </c>
      <c r="BE306" s="15">
        <f t="shared" si="130"/>
        <v>3900</v>
      </c>
      <c r="BF306" s="8">
        <f t="shared" si="131"/>
        <v>3.5910646070264991</v>
      </c>
      <c r="BG306" s="8">
        <f t="shared" si="132"/>
        <v>0.59106460702649921</v>
      </c>
      <c r="BH306" s="13" t="s">
        <v>841</v>
      </c>
      <c r="BI306" s="13"/>
      <c r="BJ306" s="13"/>
      <c r="BK306" s="8"/>
      <c r="BL306" s="8"/>
      <c r="BM306" s="18"/>
      <c r="BN306" s="8"/>
      <c r="BO306" s="24"/>
    </row>
    <row r="307" spans="1:67" s="14" customFormat="1" x14ac:dyDescent="0.3">
      <c r="A307" s="20">
        <v>313</v>
      </c>
      <c r="B307" s="2" t="s">
        <v>241</v>
      </c>
      <c r="C307" s="2">
        <v>2019</v>
      </c>
      <c r="D307" s="2" t="s">
        <v>201</v>
      </c>
      <c r="E307" s="10" t="s">
        <v>800</v>
      </c>
      <c r="F307" s="20" t="s">
        <v>29</v>
      </c>
      <c r="G307" s="2">
        <v>61</v>
      </c>
      <c r="H307" s="2" t="str">
        <f>'PFAS Properties'!$B$33</f>
        <v>PFOA</v>
      </c>
      <c r="I307" s="2" t="str">
        <f>'PFAS Properties'!$C$33</f>
        <v>PFCA</v>
      </c>
      <c r="J307" s="2" t="str">
        <f>'PFAS Properties'!$D$33</f>
        <v>C8HF15O2</v>
      </c>
      <c r="K307" s="25">
        <f>'PFAS Properties'!$P$33</f>
        <v>413.97359999999998</v>
      </c>
      <c r="L307" s="2">
        <f>'PFAS Properties'!$X$33</f>
        <v>-0.2</v>
      </c>
      <c r="M307" s="2" t="str">
        <f>'PFAS Properties'!$Y$33</f>
        <v>-</v>
      </c>
      <c r="N307" s="33">
        <v>0</v>
      </c>
      <c r="O307" s="33">
        <v>0</v>
      </c>
      <c r="P307" s="33">
        <v>0</v>
      </c>
      <c r="Q307" s="33">
        <f t="shared" si="133"/>
        <v>0.99999999601892831</v>
      </c>
      <c r="R307" s="33">
        <v>0</v>
      </c>
      <c r="S307" s="33">
        <f t="shared" si="134"/>
        <v>3.9810716896860486E-9</v>
      </c>
      <c r="T307" s="8">
        <f t="shared" si="135"/>
        <v>1</v>
      </c>
      <c r="U307" s="33">
        <f t="shared" si="124"/>
        <v>0</v>
      </c>
      <c r="V307" s="33">
        <f t="shared" si="125"/>
        <v>-0.99999999601892831</v>
      </c>
      <c r="W307" s="33">
        <f t="shared" si="126"/>
        <v>412.97360000398106</v>
      </c>
      <c r="X307" s="33">
        <v>96485</v>
      </c>
      <c r="Y307" s="16">
        <f t="shared" si="127"/>
        <v>-233.63478831323886</v>
      </c>
      <c r="Z307" s="16">
        <v>8</v>
      </c>
      <c r="AA307" s="16">
        <v>15</v>
      </c>
      <c r="AB307" s="8">
        <f t="shared" si="128"/>
        <v>0.33684210526315789</v>
      </c>
      <c r="AC307" s="16">
        <f t="shared" si="129"/>
        <v>68.844969824162703</v>
      </c>
      <c r="AD307" s="20">
        <f>'PFAS Properties'!$W$33</f>
        <v>7</v>
      </c>
      <c r="AE307" s="8">
        <f>'PFAS Properties'!$S$33</f>
        <v>2.6821450763738319</v>
      </c>
      <c r="AF307" s="15">
        <f>'PFAS Properties'!$V$33</f>
        <v>4.9000000000000004</v>
      </c>
      <c r="AG307" s="24">
        <v>8.1999999999999993</v>
      </c>
      <c r="AH307" s="2" t="s">
        <v>122</v>
      </c>
      <c r="AI307" s="2" t="s">
        <v>661</v>
      </c>
      <c r="AJ307" s="2" t="s">
        <v>661</v>
      </c>
      <c r="AK307" s="2" t="s">
        <v>661</v>
      </c>
      <c r="AL307" s="2" t="s">
        <v>661</v>
      </c>
      <c r="AM307" s="2" t="s">
        <v>661</v>
      </c>
      <c r="AN307" s="2" t="s">
        <v>661</v>
      </c>
      <c r="AO307" s="2" t="s">
        <v>661</v>
      </c>
      <c r="AP307" s="16">
        <v>27.3</v>
      </c>
      <c r="AQ307" s="2" t="s">
        <v>661</v>
      </c>
      <c r="AR307" s="16">
        <v>39</v>
      </c>
      <c r="AS307" s="16">
        <v>11</v>
      </c>
      <c r="AT307" s="16">
        <v>50</v>
      </c>
      <c r="AU307" s="2" t="s">
        <v>661</v>
      </c>
      <c r="AV307" s="16">
        <f t="shared" si="138"/>
        <v>100</v>
      </c>
      <c r="AW307" s="18">
        <v>0.1</v>
      </c>
      <c r="AX307" s="13">
        <f t="shared" si="136"/>
        <v>1E-3</v>
      </c>
      <c r="AY307" s="13" t="s">
        <v>123</v>
      </c>
      <c r="AZ307" s="16">
        <f t="shared" si="123"/>
        <v>100</v>
      </c>
      <c r="BA307" s="16" t="s">
        <v>55</v>
      </c>
      <c r="BB307" s="15">
        <v>2.2999999999999998</v>
      </c>
      <c r="BC307" s="16" t="s">
        <v>55</v>
      </c>
      <c r="BD307" s="18">
        <v>1.9</v>
      </c>
      <c r="BE307" s="15">
        <f t="shared" si="130"/>
        <v>1899.9999999999998</v>
      </c>
      <c r="BF307" s="8">
        <f t="shared" si="131"/>
        <v>3.2787536009528289</v>
      </c>
      <c r="BG307" s="8">
        <f t="shared" si="132"/>
        <v>0.27875360095282892</v>
      </c>
      <c r="BH307" s="13" t="s">
        <v>841</v>
      </c>
      <c r="BI307" s="13"/>
      <c r="BJ307" s="13"/>
      <c r="BK307" s="8"/>
      <c r="BL307" s="8"/>
      <c r="BM307" s="18"/>
      <c r="BN307" s="8"/>
      <c r="BO307" s="24"/>
    </row>
    <row r="308" spans="1:67" s="14" customFormat="1" x14ac:dyDescent="0.3">
      <c r="A308" s="20">
        <v>314</v>
      </c>
      <c r="B308" s="2" t="s">
        <v>241</v>
      </c>
      <c r="C308" s="2">
        <v>2019</v>
      </c>
      <c r="D308" s="2" t="s">
        <v>201</v>
      </c>
      <c r="E308" s="10" t="s">
        <v>800</v>
      </c>
      <c r="F308" s="20" t="s">
        <v>29</v>
      </c>
      <c r="G308" s="2">
        <v>62</v>
      </c>
      <c r="H308" s="2" t="str">
        <f>'PFAS Properties'!$B$33</f>
        <v>PFOA</v>
      </c>
      <c r="I308" s="2" t="str">
        <f>'PFAS Properties'!$C$33</f>
        <v>PFCA</v>
      </c>
      <c r="J308" s="2" t="str">
        <f>'PFAS Properties'!$D$33</f>
        <v>C8HF15O2</v>
      </c>
      <c r="K308" s="25">
        <f>'PFAS Properties'!$P$33</f>
        <v>413.97359999999998</v>
      </c>
      <c r="L308" s="2">
        <f>'PFAS Properties'!$X$33</f>
        <v>-0.2</v>
      </c>
      <c r="M308" s="2" t="str">
        <f>'PFAS Properties'!$Y$33</f>
        <v>-</v>
      </c>
      <c r="N308" s="33">
        <v>0</v>
      </c>
      <c r="O308" s="33">
        <v>0</v>
      </c>
      <c r="P308" s="33">
        <v>0</v>
      </c>
      <c r="Q308" s="33">
        <f t="shared" si="133"/>
        <v>0.99999990000001004</v>
      </c>
      <c r="R308" s="33">
        <v>0</v>
      </c>
      <c r="S308" s="33">
        <f t="shared" si="134"/>
        <v>9.9999990000001005E-8</v>
      </c>
      <c r="T308" s="8">
        <f t="shared" si="135"/>
        <v>1</v>
      </c>
      <c r="U308" s="33">
        <f t="shared" si="124"/>
        <v>0</v>
      </c>
      <c r="V308" s="33">
        <f t="shared" si="125"/>
        <v>-0.99999990000001004</v>
      </c>
      <c r="W308" s="33">
        <f t="shared" si="126"/>
        <v>412.9736001</v>
      </c>
      <c r="X308" s="33">
        <v>96485</v>
      </c>
      <c r="Y308" s="16">
        <f t="shared" si="127"/>
        <v>-233.63476582555762</v>
      </c>
      <c r="Z308" s="16">
        <v>8</v>
      </c>
      <c r="AA308" s="16">
        <v>15</v>
      </c>
      <c r="AB308" s="8">
        <f t="shared" si="128"/>
        <v>0.33684210526315789</v>
      </c>
      <c r="AC308" s="16">
        <f t="shared" si="129"/>
        <v>68.844969824162703</v>
      </c>
      <c r="AD308" s="20">
        <f>'PFAS Properties'!$W$33</f>
        <v>7</v>
      </c>
      <c r="AE308" s="8">
        <f>'PFAS Properties'!$S$33</f>
        <v>2.6821450763738319</v>
      </c>
      <c r="AF308" s="15">
        <f>'PFAS Properties'!$V$33</f>
        <v>4.9000000000000004</v>
      </c>
      <c r="AG308" s="24">
        <v>6.8</v>
      </c>
      <c r="AH308" s="2" t="s">
        <v>122</v>
      </c>
      <c r="AI308" s="2" t="s">
        <v>661</v>
      </c>
      <c r="AJ308" s="2" t="s">
        <v>661</v>
      </c>
      <c r="AK308" s="2" t="s">
        <v>661</v>
      </c>
      <c r="AL308" s="2" t="s">
        <v>661</v>
      </c>
      <c r="AM308" s="2" t="s">
        <v>661</v>
      </c>
      <c r="AN308" s="2" t="s">
        <v>661</v>
      </c>
      <c r="AO308" s="2" t="s">
        <v>661</v>
      </c>
      <c r="AP308" s="16">
        <v>18.7</v>
      </c>
      <c r="AQ308" s="2" t="s">
        <v>661</v>
      </c>
      <c r="AR308" s="16">
        <v>58</v>
      </c>
      <c r="AS308" s="16">
        <v>9</v>
      </c>
      <c r="AT308" s="16">
        <v>33</v>
      </c>
      <c r="AU308" s="2" t="s">
        <v>661</v>
      </c>
      <c r="AV308" s="16">
        <f t="shared" si="138"/>
        <v>100</v>
      </c>
      <c r="AW308" s="18">
        <v>1.5</v>
      </c>
      <c r="AX308" s="13">
        <f t="shared" si="136"/>
        <v>1.4999999999999999E-2</v>
      </c>
      <c r="AY308" s="13" t="s">
        <v>123</v>
      </c>
      <c r="AZ308" s="16">
        <f t="shared" si="123"/>
        <v>100</v>
      </c>
      <c r="BA308" s="16" t="s">
        <v>55</v>
      </c>
      <c r="BB308" s="15">
        <v>2.2999999999999998</v>
      </c>
      <c r="BC308" s="16" t="s">
        <v>55</v>
      </c>
      <c r="BD308" s="18">
        <v>9.8000000000000007</v>
      </c>
      <c r="BE308" s="15">
        <f t="shared" si="130"/>
        <v>653.33333333333337</v>
      </c>
      <c r="BF308" s="8">
        <f t="shared" si="131"/>
        <v>2.8151348166368138</v>
      </c>
      <c r="BG308" s="8">
        <f t="shared" si="132"/>
        <v>0.99122607569249488</v>
      </c>
      <c r="BH308" s="13" t="s">
        <v>841</v>
      </c>
      <c r="BI308" s="13"/>
      <c r="BJ308" s="13"/>
      <c r="BK308" s="8"/>
      <c r="BL308" s="8"/>
      <c r="BM308" s="18"/>
      <c r="BN308" s="8"/>
      <c r="BO308" s="24"/>
    </row>
    <row r="309" spans="1:67" s="14" customFormat="1" x14ac:dyDescent="0.3">
      <c r="A309" s="20">
        <v>315</v>
      </c>
      <c r="B309" s="2" t="s">
        <v>241</v>
      </c>
      <c r="C309" s="2">
        <v>2019</v>
      </c>
      <c r="D309" s="2" t="s">
        <v>201</v>
      </c>
      <c r="E309" s="10" t="s">
        <v>800</v>
      </c>
      <c r="F309" s="20" t="s">
        <v>29</v>
      </c>
      <c r="G309" s="2">
        <v>63</v>
      </c>
      <c r="H309" s="2" t="str">
        <f>'PFAS Properties'!$B$33</f>
        <v>PFOA</v>
      </c>
      <c r="I309" s="2" t="str">
        <f>'PFAS Properties'!$C$33</f>
        <v>PFCA</v>
      </c>
      <c r="J309" s="2" t="str">
        <f>'PFAS Properties'!$D$33</f>
        <v>C8HF15O2</v>
      </c>
      <c r="K309" s="25">
        <f>'PFAS Properties'!$P$33</f>
        <v>413.97359999999998</v>
      </c>
      <c r="L309" s="2">
        <f>'PFAS Properties'!$X$33</f>
        <v>-0.2</v>
      </c>
      <c r="M309" s="2" t="str">
        <f>'PFAS Properties'!$Y$33</f>
        <v>-</v>
      </c>
      <c r="N309" s="33">
        <v>0</v>
      </c>
      <c r="O309" s="33">
        <v>0</v>
      </c>
      <c r="P309" s="33">
        <v>0</v>
      </c>
      <c r="Q309" s="33">
        <f t="shared" si="133"/>
        <v>0.99999998004737722</v>
      </c>
      <c r="R309" s="33">
        <v>0</v>
      </c>
      <c r="S309" s="33">
        <f t="shared" si="134"/>
        <v>1.995262275158161E-8</v>
      </c>
      <c r="T309" s="8">
        <f t="shared" si="135"/>
        <v>1</v>
      </c>
      <c r="U309" s="33">
        <f t="shared" si="124"/>
        <v>0</v>
      </c>
      <c r="V309" s="33">
        <f t="shared" si="125"/>
        <v>-0.99999998004737722</v>
      </c>
      <c r="W309" s="33">
        <f t="shared" si="126"/>
        <v>412.97360001995258</v>
      </c>
      <c r="X309" s="33">
        <v>96485</v>
      </c>
      <c r="Y309" s="16">
        <f t="shared" si="127"/>
        <v>-233.63478457269321</v>
      </c>
      <c r="Z309" s="16">
        <v>8</v>
      </c>
      <c r="AA309" s="16">
        <v>15</v>
      </c>
      <c r="AB309" s="8">
        <f t="shared" si="128"/>
        <v>0.33684210526315789</v>
      </c>
      <c r="AC309" s="16">
        <f t="shared" si="129"/>
        <v>68.844969824162703</v>
      </c>
      <c r="AD309" s="20">
        <f>'PFAS Properties'!$W$33</f>
        <v>7</v>
      </c>
      <c r="AE309" s="8">
        <f>'PFAS Properties'!$S$33</f>
        <v>2.6821450763738319</v>
      </c>
      <c r="AF309" s="15">
        <f>'PFAS Properties'!$V$33</f>
        <v>4.9000000000000004</v>
      </c>
      <c r="AG309" s="24">
        <v>7.5</v>
      </c>
      <c r="AH309" s="2" t="s">
        <v>122</v>
      </c>
      <c r="AI309" s="2" t="s">
        <v>661</v>
      </c>
      <c r="AJ309" s="2" t="s">
        <v>661</v>
      </c>
      <c r="AK309" s="2" t="s">
        <v>661</v>
      </c>
      <c r="AL309" s="2" t="s">
        <v>661</v>
      </c>
      <c r="AM309" s="2" t="s">
        <v>661</v>
      </c>
      <c r="AN309" s="2" t="s">
        <v>661</v>
      </c>
      <c r="AO309" s="2" t="s">
        <v>661</v>
      </c>
      <c r="AP309" s="16">
        <v>25.3</v>
      </c>
      <c r="AQ309" s="2" t="s">
        <v>661</v>
      </c>
      <c r="AR309" s="16">
        <v>48</v>
      </c>
      <c r="AS309" s="16">
        <v>12</v>
      </c>
      <c r="AT309" s="16">
        <v>40</v>
      </c>
      <c r="AU309" s="2" t="s">
        <v>661</v>
      </c>
      <c r="AV309" s="16">
        <f t="shared" si="138"/>
        <v>100</v>
      </c>
      <c r="AW309" s="18">
        <v>0.6</v>
      </c>
      <c r="AX309" s="13">
        <f t="shared" si="136"/>
        <v>6.0000000000000001E-3</v>
      </c>
      <c r="AY309" s="13" t="s">
        <v>123</v>
      </c>
      <c r="AZ309" s="16">
        <f t="shared" si="123"/>
        <v>100</v>
      </c>
      <c r="BA309" s="16" t="s">
        <v>55</v>
      </c>
      <c r="BB309" s="15">
        <v>2.2999999999999998</v>
      </c>
      <c r="BC309" s="16" t="s">
        <v>55</v>
      </c>
      <c r="BD309" s="18">
        <v>5.7</v>
      </c>
      <c r="BE309" s="15">
        <f t="shared" si="130"/>
        <v>950</v>
      </c>
      <c r="BF309" s="8">
        <f t="shared" si="131"/>
        <v>2.9777236052888476</v>
      </c>
      <c r="BG309" s="8">
        <f t="shared" si="132"/>
        <v>0.75587485567249146</v>
      </c>
      <c r="BH309" s="13" t="s">
        <v>841</v>
      </c>
      <c r="BI309" s="13"/>
      <c r="BJ309" s="13"/>
      <c r="BK309" s="8"/>
      <c r="BL309" s="8"/>
      <c r="BM309" s="18"/>
      <c r="BN309" s="8"/>
      <c r="BO309" s="24"/>
    </row>
    <row r="310" spans="1:67" s="14" customFormat="1" x14ac:dyDescent="0.3">
      <c r="A310" s="20">
        <v>316</v>
      </c>
      <c r="B310" s="2" t="s">
        <v>241</v>
      </c>
      <c r="C310" s="2">
        <v>2019</v>
      </c>
      <c r="D310" s="2" t="s">
        <v>201</v>
      </c>
      <c r="E310" s="10" t="s">
        <v>800</v>
      </c>
      <c r="F310" s="20" t="s">
        <v>29</v>
      </c>
      <c r="G310" s="2">
        <v>64</v>
      </c>
      <c r="H310" s="2" t="str">
        <f>'PFAS Properties'!$B$33</f>
        <v>PFOA</v>
      </c>
      <c r="I310" s="2" t="str">
        <f>'PFAS Properties'!$C$33</f>
        <v>PFCA</v>
      </c>
      <c r="J310" s="2" t="str">
        <f>'PFAS Properties'!$D$33</f>
        <v>C8HF15O2</v>
      </c>
      <c r="K310" s="25">
        <f>'PFAS Properties'!$P$33</f>
        <v>413.97359999999998</v>
      </c>
      <c r="L310" s="2">
        <f>'PFAS Properties'!$X$33</f>
        <v>-0.2</v>
      </c>
      <c r="M310" s="2" t="str">
        <f>'PFAS Properties'!$Y$33</f>
        <v>-</v>
      </c>
      <c r="N310" s="33">
        <v>0</v>
      </c>
      <c r="O310" s="33">
        <v>0</v>
      </c>
      <c r="P310" s="33">
        <v>0</v>
      </c>
      <c r="Q310" s="33">
        <f t="shared" si="133"/>
        <v>0.9999999601892845</v>
      </c>
      <c r="R310" s="33">
        <v>0</v>
      </c>
      <c r="S310" s="33">
        <f t="shared" si="134"/>
        <v>3.9810715470456442E-8</v>
      </c>
      <c r="T310" s="8">
        <f t="shared" si="135"/>
        <v>1</v>
      </c>
      <c r="U310" s="33">
        <f t="shared" si="124"/>
        <v>0</v>
      </c>
      <c r="V310" s="33">
        <f t="shared" si="125"/>
        <v>-0.9999999601892845</v>
      </c>
      <c r="W310" s="33">
        <f t="shared" si="126"/>
        <v>412.97360003981066</v>
      </c>
      <c r="X310" s="33">
        <v>96485</v>
      </c>
      <c r="Y310" s="16">
        <f t="shared" si="127"/>
        <v>-233.63477992191741</v>
      </c>
      <c r="Z310" s="16">
        <v>8</v>
      </c>
      <c r="AA310" s="16">
        <v>15</v>
      </c>
      <c r="AB310" s="8">
        <f t="shared" si="128"/>
        <v>0.33684210526315789</v>
      </c>
      <c r="AC310" s="16">
        <f t="shared" si="129"/>
        <v>68.844969824162703</v>
      </c>
      <c r="AD310" s="20">
        <f>'PFAS Properties'!$W$33</f>
        <v>7</v>
      </c>
      <c r="AE310" s="8">
        <f>'PFAS Properties'!$S$33</f>
        <v>2.6821450763738319</v>
      </c>
      <c r="AF310" s="15">
        <f>'PFAS Properties'!$V$33</f>
        <v>4.9000000000000004</v>
      </c>
      <c r="AG310" s="24">
        <v>7.2</v>
      </c>
      <c r="AH310" s="2" t="s">
        <v>122</v>
      </c>
      <c r="AI310" s="2" t="s">
        <v>661</v>
      </c>
      <c r="AJ310" s="2" t="s">
        <v>661</v>
      </c>
      <c r="AK310" s="2" t="s">
        <v>661</v>
      </c>
      <c r="AL310" s="2" t="s">
        <v>661</v>
      </c>
      <c r="AM310" s="2" t="s">
        <v>661</v>
      </c>
      <c r="AN310" s="2" t="s">
        <v>661</v>
      </c>
      <c r="AO310" s="2" t="s">
        <v>661</v>
      </c>
      <c r="AP310" s="16">
        <v>18</v>
      </c>
      <c r="AQ310" s="2" t="s">
        <v>661</v>
      </c>
      <c r="AR310" s="16">
        <v>83</v>
      </c>
      <c r="AS310" s="16">
        <v>2</v>
      </c>
      <c r="AT310" s="16">
        <v>15</v>
      </c>
      <c r="AU310" s="2" t="s">
        <v>661</v>
      </c>
      <c r="AV310" s="16">
        <f t="shared" si="138"/>
        <v>100</v>
      </c>
      <c r="AW310" s="18">
        <v>0.9</v>
      </c>
      <c r="AX310" s="13">
        <f t="shared" si="136"/>
        <v>9.0000000000000011E-3</v>
      </c>
      <c r="AY310" s="13" t="s">
        <v>123</v>
      </c>
      <c r="AZ310" s="16">
        <f t="shared" si="123"/>
        <v>100</v>
      </c>
      <c r="BA310" s="16" t="s">
        <v>55</v>
      </c>
      <c r="BB310" s="15">
        <v>2.2999999999999998</v>
      </c>
      <c r="BC310" s="16" t="s">
        <v>55</v>
      </c>
      <c r="BD310" s="18">
        <v>6.6</v>
      </c>
      <c r="BE310" s="15">
        <f t="shared" si="130"/>
        <v>733.33333333333326</v>
      </c>
      <c r="BF310" s="8">
        <f t="shared" si="131"/>
        <v>2.8653014261025436</v>
      </c>
      <c r="BG310" s="8">
        <f t="shared" si="132"/>
        <v>0.81954393554186866</v>
      </c>
      <c r="BH310" s="13" t="s">
        <v>841</v>
      </c>
      <c r="BI310" s="13"/>
      <c r="BJ310" s="13"/>
      <c r="BK310" s="8"/>
      <c r="BL310" s="8"/>
      <c r="BM310" s="18"/>
      <c r="BN310" s="8"/>
      <c r="BO310" s="24"/>
    </row>
    <row r="311" spans="1:67" s="14" customFormat="1" x14ac:dyDescent="0.3">
      <c r="A311" s="20">
        <v>317</v>
      </c>
      <c r="B311" s="2" t="s">
        <v>241</v>
      </c>
      <c r="C311" s="2">
        <v>2019</v>
      </c>
      <c r="D311" s="2" t="s">
        <v>201</v>
      </c>
      <c r="E311" s="10" t="s">
        <v>800</v>
      </c>
      <c r="F311" s="20" t="s">
        <v>29</v>
      </c>
      <c r="G311" s="2">
        <v>65</v>
      </c>
      <c r="H311" s="2" t="str">
        <f>'PFAS Properties'!$B$33</f>
        <v>PFOA</v>
      </c>
      <c r="I311" s="2" t="str">
        <f>'PFAS Properties'!$C$33</f>
        <v>PFCA</v>
      </c>
      <c r="J311" s="2" t="str">
        <f>'PFAS Properties'!$D$33</f>
        <v>C8HF15O2</v>
      </c>
      <c r="K311" s="25">
        <f>'PFAS Properties'!$P$33</f>
        <v>413.97359999999998</v>
      </c>
      <c r="L311" s="2">
        <f>'PFAS Properties'!$X$33</f>
        <v>-0.2</v>
      </c>
      <c r="M311" s="2" t="str">
        <f>'PFAS Properties'!$Y$33</f>
        <v>-</v>
      </c>
      <c r="N311" s="33">
        <v>0</v>
      </c>
      <c r="O311" s="33">
        <v>0</v>
      </c>
      <c r="P311" s="33">
        <v>0</v>
      </c>
      <c r="Q311" s="33">
        <f t="shared" si="133"/>
        <v>0.99999999498812764</v>
      </c>
      <c r="R311" s="33">
        <v>0</v>
      </c>
      <c r="S311" s="33">
        <f t="shared" si="134"/>
        <v>5.0118723111538642E-9</v>
      </c>
      <c r="T311" s="8">
        <f t="shared" si="135"/>
        <v>1</v>
      </c>
      <c r="U311" s="33">
        <f t="shared" si="124"/>
        <v>0</v>
      </c>
      <c r="V311" s="33">
        <f t="shared" si="125"/>
        <v>-0.99999999498812764</v>
      </c>
      <c r="W311" s="33">
        <f t="shared" si="126"/>
        <v>412.9736000050118</v>
      </c>
      <c r="X311" s="33">
        <v>96485</v>
      </c>
      <c r="Y311" s="16">
        <f t="shared" si="127"/>
        <v>-233.63478807182486</v>
      </c>
      <c r="Z311" s="16">
        <v>8</v>
      </c>
      <c r="AA311" s="16">
        <v>15</v>
      </c>
      <c r="AB311" s="8">
        <f t="shared" si="128"/>
        <v>0.33684210526315789</v>
      </c>
      <c r="AC311" s="16">
        <f t="shared" si="129"/>
        <v>68.844969824162703</v>
      </c>
      <c r="AD311" s="20">
        <f>'PFAS Properties'!$W$33</f>
        <v>7</v>
      </c>
      <c r="AE311" s="8">
        <f>'PFAS Properties'!$S$33</f>
        <v>2.6821450763738319</v>
      </c>
      <c r="AF311" s="15">
        <f>'PFAS Properties'!$V$33</f>
        <v>4.9000000000000004</v>
      </c>
      <c r="AG311" s="24">
        <v>8.1</v>
      </c>
      <c r="AH311" s="2" t="s">
        <v>122</v>
      </c>
      <c r="AI311" s="2" t="s">
        <v>661</v>
      </c>
      <c r="AJ311" s="2" t="s">
        <v>661</v>
      </c>
      <c r="AK311" s="2" t="s">
        <v>661</v>
      </c>
      <c r="AL311" s="2" t="s">
        <v>661</v>
      </c>
      <c r="AM311" s="2" t="s">
        <v>661</v>
      </c>
      <c r="AN311" s="2" t="s">
        <v>661</v>
      </c>
      <c r="AO311" s="2" t="s">
        <v>661</v>
      </c>
      <c r="AP311" s="16">
        <v>15.9</v>
      </c>
      <c r="AQ311" s="2" t="s">
        <v>661</v>
      </c>
      <c r="AR311" s="16">
        <v>76</v>
      </c>
      <c r="AS311" s="16">
        <v>5</v>
      </c>
      <c r="AT311" s="16">
        <v>19</v>
      </c>
      <c r="AU311" s="2" t="s">
        <v>661</v>
      </c>
      <c r="AV311" s="16">
        <f t="shared" si="138"/>
        <v>100</v>
      </c>
      <c r="AW311" s="18">
        <v>0.2</v>
      </c>
      <c r="AX311" s="13">
        <f t="shared" si="136"/>
        <v>2E-3</v>
      </c>
      <c r="AY311" s="13" t="s">
        <v>123</v>
      </c>
      <c r="AZ311" s="16">
        <f t="shared" ref="AZ311:AZ346" si="139">1/0.01</f>
        <v>100</v>
      </c>
      <c r="BA311" s="16" t="s">
        <v>55</v>
      </c>
      <c r="BB311" s="15">
        <v>2.2999999999999998</v>
      </c>
      <c r="BC311" s="16" t="s">
        <v>55</v>
      </c>
      <c r="BD311" s="18">
        <v>1.7</v>
      </c>
      <c r="BE311" s="15">
        <f t="shared" si="130"/>
        <v>850</v>
      </c>
      <c r="BF311" s="8">
        <f t="shared" si="131"/>
        <v>2.9294189257142929</v>
      </c>
      <c r="BG311" s="8">
        <f t="shared" si="132"/>
        <v>0.23044892137827391</v>
      </c>
      <c r="BH311" s="13" t="s">
        <v>841</v>
      </c>
      <c r="BI311" s="13"/>
      <c r="BJ311" s="13"/>
      <c r="BK311" s="8"/>
      <c r="BL311" s="8"/>
      <c r="BM311" s="18"/>
      <c r="BN311" s="8"/>
      <c r="BO311" s="24"/>
    </row>
    <row r="312" spans="1:67" s="14" customFormat="1" x14ac:dyDescent="0.3">
      <c r="A312" s="20">
        <v>318</v>
      </c>
      <c r="B312" s="2" t="s">
        <v>241</v>
      </c>
      <c r="C312" s="2">
        <v>2019</v>
      </c>
      <c r="D312" s="2" t="s">
        <v>201</v>
      </c>
      <c r="E312" s="10" t="s">
        <v>800</v>
      </c>
      <c r="F312" s="20" t="s">
        <v>29</v>
      </c>
      <c r="G312" s="2">
        <v>66</v>
      </c>
      <c r="H312" s="2" t="str">
        <f>'PFAS Properties'!$B$33</f>
        <v>PFOA</v>
      </c>
      <c r="I312" s="2" t="str">
        <f>'PFAS Properties'!$C$33</f>
        <v>PFCA</v>
      </c>
      <c r="J312" s="2" t="str">
        <f>'PFAS Properties'!$D$33</f>
        <v>C8HF15O2</v>
      </c>
      <c r="K312" s="25">
        <f>'PFAS Properties'!$P$33</f>
        <v>413.97359999999998</v>
      </c>
      <c r="L312" s="2">
        <f>'PFAS Properties'!$X$33</f>
        <v>-0.2</v>
      </c>
      <c r="M312" s="2" t="str">
        <f>'PFAS Properties'!$Y$33</f>
        <v>-</v>
      </c>
      <c r="N312" s="33">
        <v>0</v>
      </c>
      <c r="O312" s="33">
        <v>0</v>
      </c>
      <c r="P312" s="33">
        <v>0</v>
      </c>
      <c r="Q312" s="33">
        <f t="shared" si="133"/>
        <v>0.99999987410747471</v>
      </c>
      <c r="R312" s="33">
        <v>0</v>
      </c>
      <c r="S312" s="33">
        <f t="shared" si="134"/>
        <v>1.2589252533048661E-7</v>
      </c>
      <c r="T312" s="8">
        <f t="shared" si="135"/>
        <v>1</v>
      </c>
      <c r="U312" s="33">
        <f t="shared" si="124"/>
        <v>0</v>
      </c>
      <c r="V312" s="33">
        <f t="shared" si="125"/>
        <v>-0.99999987410747471</v>
      </c>
      <c r="W312" s="33">
        <f t="shared" si="126"/>
        <v>412.97360012589252</v>
      </c>
      <c r="X312" s="33">
        <v>96485</v>
      </c>
      <c r="Y312" s="16">
        <f t="shared" si="127"/>
        <v>-233.63475976151219</v>
      </c>
      <c r="Z312" s="16">
        <v>8</v>
      </c>
      <c r="AA312" s="16">
        <v>15</v>
      </c>
      <c r="AB312" s="8">
        <f t="shared" si="128"/>
        <v>0.33684210526315789</v>
      </c>
      <c r="AC312" s="16">
        <f t="shared" si="129"/>
        <v>68.844969824162703</v>
      </c>
      <c r="AD312" s="20">
        <f>'PFAS Properties'!$W$33</f>
        <v>7</v>
      </c>
      <c r="AE312" s="8">
        <f>'PFAS Properties'!$S$33</f>
        <v>2.6821450763738319</v>
      </c>
      <c r="AF312" s="15">
        <f>'PFAS Properties'!$V$33</f>
        <v>4.9000000000000004</v>
      </c>
      <c r="AG312" s="24">
        <v>6.7</v>
      </c>
      <c r="AH312" s="2" t="s">
        <v>122</v>
      </c>
      <c r="AI312" s="2" t="s">
        <v>661</v>
      </c>
      <c r="AJ312" s="2" t="s">
        <v>661</v>
      </c>
      <c r="AK312" s="2" t="s">
        <v>661</v>
      </c>
      <c r="AL312" s="2" t="s">
        <v>661</v>
      </c>
      <c r="AM312" s="2" t="s">
        <v>661</v>
      </c>
      <c r="AN312" s="2" t="s">
        <v>661</v>
      </c>
      <c r="AO312" s="2" t="s">
        <v>661</v>
      </c>
      <c r="AP312" s="16">
        <v>4.4000000000000004</v>
      </c>
      <c r="AQ312" s="2" t="s">
        <v>661</v>
      </c>
      <c r="AR312" s="16">
        <v>89</v>
      </c>
      <c r="AS312" s="16">
        <v>1</v>
      </c>
      <c r="AT312" s="16">
        <v>10</v>
      </c>
      <c r="AU312" s="2" t="s">
        <v>661</v>
      </c>
      <c r="AV312" s="16">
        <f t="shared" si="138"/>
        <v>100</v>
      </c>
      <c r="AW312" s="18">
        <v>0.4</v>
      </c>
      <c r="AX312" s="13">
        <f t="shared" si="136"/>
        <v>4.0000000000000001E-3</v>
      </c>
      <c r="AY312" s="13" t="s">
        <v>123</v>
      </c>
      <c r="AZ312" s="16">
        <f t="shared" si="139"/>
        <v>100</v>
      </c>
      <c r="BA312" s="16" t="s">
        <v>55</v>
      </c>
      <c r="BB312" s="15">
        <v>2.2999999999999998</v>
      </c>
      <c r="BC312" s="16" t="s">
        <v>55</v>
      </c>
      <c r="BD312" s="18">
        <v>6</v>
      </c>
      <c r="BE312" s="15">
        <f t="shared" si="130"/>
        <v>1500</v>
      </c>
      <c r="BF312" s="8">
        <f t="shared" si="131"/>
        <v>3.1760912590556813</v>
      </c>
      <c r="BG312" s="8">
        <f t="shared" si="132"/>
        <v>0.77815125038364363</v>
      </c>
      <c r="BH312" s="13" t="s">
        <v>841</v>
      </c>
      <c r="BI312" s="13"/>
      <c r="BJ312" s="13"/>
      <c r="BK312" s="8"/>
      <c r="BL312" s="8"/>
      <c r="BM312" s="18"/>
      <c r="BN312" s="8"/>
      <c r="BO312" s="24"/>
    </row>
    <row r="313" spans="1:67" s="14" customFormat="1" x14ac:dyDescent="0.3">
      <c r="A313" s="20">
        <v>319</v>
      </c>
      <c r="B313" s="2" t="s">
        <v>241</v>
      </c>
      <c r="C313" s="2">
        <v>2019</v>
      </c>
      <c r="D313" s="2" t="s">
        <v>201</v>
      </c>
      <c r="E313" s="10" t="s">
        <v>800</v>
      </c>
      <c r="F313" s="20" t="s">
        <v>29</v>
      </c>
      <c r="G313" s="2">
        <v>67</v>
      </c>
      <c r="H313" s="2" t="str">
        <f>'PFAS Properties'!$B$33</f>
        <v>PFOA</v>
      </c>
      <c r="I313" s="2" t="str">
        <f>'PFAS Properties'!$C$33</f>
        <v>PFCA</v>
      </c>
      <c r="J313" s="2" t="str">
        <f>'PFAS Properties'!$D$33</f>
        <v>C8HF15O2</v>
      </c>
      <c r="K313" s="25">
        <f>'PFAS Properties'!$P$33</f>
        <v>413.97359999999998</v>
      </c>
      <c r="L313" s="2">
        <f>'PFAS Properties'!$X$33</f>
        <v>-0.2</v>
      </c>
      <c r="M313" s="2" t="str">
        <f>'PFAS Properties'!$Y$33</f>
        <v>-</v>
      </c>
      <c r="N313" s="33">
        <v>0</v>
      </c>
      <c r="O313" s="33">
        <v>0</v>
      </c>
      <c r="P313" s="33">
        <v>0</v>
      </c>
      <c r="Q313" s="33">
        <f t="shared" si="133"/>
        <v>0.99999999205671775</v>
      </c>
      <c r="R313" s="33">
        <v>0</v>
      </c>
      <c r="S313" s="33">
        <f t="shared" si="134"/>
        <v>7.9432822841470747E-9</v>
      </c>
      <c r="T313" s="8">
        <f t="shared" si="135"/>
        <v>1</v>
      </c>
      <c r="U313" s="33">
        <f t="shared" si="124"/>
        <v>0</v>
      </c>
      <c r="V313" s="33">
        <f t="shared" si="125"/>
        <v>-0.99999999205671775</v>
      </c>
      <c r="W313" s="33">
        <f t="shared" si="126"/>
        <v>412.97360000794328</v>
      </c>
      <c r="X313" s="33">
        <v>96485</v>
      </c>
      <c r="Y313" s="16">
        <f t="shared" si="127"/>
        <v>-233.63478738528704</v>
      </c>
      <c r="Z313" s="16">
        <v>8</v>
      </c>
      <c r="AA313" s="16">
        <v>15</v>
      </c>
      <c r="AB313" s="8">
        <f t="shared" si="128"/>
        <v>0.33684210526315789</v>
      </c>
      <c r="AC313" s="16">
        <f t="shared" si="129"/>
        <v>68.844969824162703</v>
      </c>
      <c r="AD313" s="20">
        <f>'PFAS Properties'!$W$33</f>
        <v>7</v>
      </c>
      <c r="AE313" s="8">
        <f>'PFAS Properties'!$S$33</f>
        <v>2.6821450763738319</v>
      </c>
      <c r="AF313" s="15">
        <f>'PFAS Properties'!$V$33</f>
        <v>4.9000000000000004</v>
      </c>
      <c r="AG313" s="24">
        <v>7.9</v>
      </c>
      <c r="AH313" s="2" t="s">
        <v>122</v>
      </c>
      <c r="AI313" s="2" t="s">
        <v>661</v>
      </c>
      <c r="AJ313" s="2" t="s">
        <v>661</v>
      </c>
      <c r="AK313" s="2" t="s">
        <v>661</v>
      </c>
      <c r="AL313" s="2" t="s">
        <v>661</v>
      </c>
      <c r="AM313" s="2" t="s">
        <v>661</v>
      </c>
      <c r="AN313" s="2" t="s">
        <v>661</v>
      </c>
      <c r="AO313" s="2" t="s">
        <v>661</v>
      </c>
      <c r="AP313" s="16">
        <v>20.100000000000001</v>
      </c>
      <c r="AQ313" s="2" t="s">
        <v>661</v>
      </c>
      <c r="AR313" s="16">
        <v>12</v>
      </c>
      <c r="AS313" s="16">
        <v>27</v>
      </c>
      <c r="AT313" s="16">
        <v>61</v>
      </c>
      <c r="AU313" s="2" t="s">
        <v>661</v>
      </c>
      <c r="AV313" s="16">
        <f t="shared" si="138"/>
        <v>100</v>
      </c>
      <c r="AW313" s="18">
        <v>0.2</v>
      </c>
      <c r="AX313" s="13">
        <f t="shared" si="136"/>
        <v>2E-3</v>
      </c>
      <c r="AY313" s="13" t="s">
        <v>123</v>
      </c>
      <c r="AZ313" s="16">
        <f t="shared" si="139"/>
        <v>100</v>
      </c>
      <c r="BA313" s="16" t="s">
        <v>55</v>
      </c>
      <c r="BB313" s="15">
        <v>2.2999999999999998</v>
      </c>
      <c r="BC313" s="16" t="s">
        <v>55</v>
      </c>
      <c r="BD313" s="18">
        <v>2.9</v>
      </c>
      <c r="BE313" s="15">
        <f t="shared" si="130"/>
        <v>1450</v>
      </c>
      <c r="BF313" s="8">
        <f t="shared" si="131"/>
        <v>3.1613680022349748</v>
      </c>
      <c r="BG313" s="8">
        <f t="shared" si="132"/>
        <v>0.46239799789895608</v>
      </c>
      <c r="BH313" s="13" t="s">
        <v>841</v>
      </c>
      <c r="BI313" s="13"/>
      <c r="BJ313" s="13"/>
      <c r="BK313" s="8"/>
      <c r="BL313" s="8"/>
      <c r="BM313" s="18"/>
      <c r="BN313" s="8"/>
      <c r="BO313" s="24"/>
    </row>
    <row r="314" spans="1:67" s="14" customFormat="1" x14ac:dyDescent="0.3">
      <c r="A314" s="20">
        <v>320</v>
      </c>
      <c r="B314" s="2" t="s">
        <v>241</v>
      </c>
      <c r="C314" s="2">
        <v>2019</v>
      </c>
      <c r="D314" s="2" t="s">
        <v>201</v>
      </c>
      <c r="E314" s="10" t="s">
        <v>800</v>
      </c>
      <c r="F314" s="20" t="s">
        <v>29</v>
      </c>
      <c r="G314" s="2">
        <v>68</v>
      </c>
      <c r="H314" s="2" t="str">
        <f>'PFAS Properties'!$B$33</f>
        <v>PFOA</v>
      </c>
      <c r="I314" s="2" t="str">
        <f>'PFAS Properties'!$C$33</f>
        <v>PFCA</v>
      </c>
      <c r="J314" s="2" t="str">
        <f>'PFAS Properties'!$D$33</f>
        <v>C8HF15O2</v>
      </c>
      <c r="K314" s="25">
        <f>'PFAS Properties'!$P$33</f>
        <v>413.97359999999998</v>
      </c>
      <c r="L314" s="2">
        <f>'PFAS Properties'!$X$33</f>
        <v>-0.2</v>
      </c>
      <c r="M314" s="2" t="str">
        <f>'PFAS Properties'!$Y$33</f>
        <v>-</v>
      </c>
      <c r="N314" s="33">
        <v>0</v>
      </c>
      <c r="O314" s="33">
        <v>0</v>
      </c>
      <c r="P314" s="33">
        <v>0</v>
      </c>
      <c r="Q314" s="33">
        <f t="shared" si="133"/>
        <v>0.99999999369042658</v>
      </c>
      <c r="R314" s="33">
        <v>0</v>
      </c>
      <c r="S314" s="33">
        <f t="shared" si="134"/>
        <v>6.3095734049912165E-9</v>
      </c>
      <c r="T314" s="8">
        <f t="shared" si="135"/>
        <v>1</v>
      </c>
      <c r="U314" s="33">
        <f t="shared" si="124"/>
        <v>0</v>
      </c>
      <c r="V314" s="33">
        <f t="shared" si="125"/>
        <v>-0.99999999369042658</v>
      </c>
      <c r="W314" s="33">
        <f t="shared" si="126"/>
        <v>412.97360000630954</v>
      </c>
      <c r="X314" s="33">
        <v>96485</v>
      </c>
      <c r="Y314" s="16">
        <f t="shared" si="127"/>
        <v>-233.63478776790257</v>
      </c>
      <c r="Z314" s="16">
        <v>8</v>
      </c>
      <c r="AA314" s="16">
        <v>15</v>
      </c>
      <c r="AB314" s="8">
        <f t="shared" si="128"/>
        <v>0.33684210526315789</v>
      </c>
      <c r="AC314" s="16">
        <f t="shared" si="129"/>
        <v>68.844969824162703</v>
      </c>
      <c r="AD314" s="20">
        <f>'PFAS Properties'!$W$33</f>
        <v>7</v>
      </c>
      <c r="AE314" s="8">
        <f>'PFAS Properties'!$S$33</f>
        <v>2.6821450763738319</v>
      </c>
      <c r="AF314" s="15">
        <f>'PFAS Properties'!$V$33</f>
        <v>4.9000000000000004</v>
      </c>
      <c r="AG314" s="24">
        <v>8</v>
      </c>
      <c r="AH314" s="2" t="s">
        <v>122</v>
      </c>
      <c r="AI314" s="2" t="s">
        <v>661</v>
      </c>
      <c r="AJ314" s="2" t="s">
        <v>661</v>
      </c>
      <c r="AK314" s="2" t="s">
        <v>661</v>
      </c>
      <c r="AL314" s="2" t="s">
        <v>661</v>
      </c>
      <c r="AM314" s="2" t="s">
        <v>661</v>
      </c>
      <c r="AN314" s="2" t="s">
        <v>661</v>
      </c>
      <c r="AO314" s="2" t="s">
        <v>661</v>
      </c>
      <c r="AP314" s="16">
        <v>18.5</v>
      </c>
      <c r="AQ314" s="2" t="s">
        <v>661</v>
      </c>
      <c r="AR314" s="16">
        <v>15</v>
      </c>
      <c r="AS314" s="16">
        <v>35</v>
      </c>
      <c r="AT314" s="16">
        <v>50</v>
      </c>
      <c r="AU314" s="2" t="s">
        <v>661</v>
      </c>
      <c r="AV314" s="16">
        <f t="shared" si="138"/>
        <v>100</v>
      </c>
      <c r="AW314" s="18">
        <v>0.2</v>
      </c>
      <c r="AX314" s="13">
        <f t="shared" si="136"/>
        <v>2E-3</v>
      </c>
      <c r="AY314" s="13" t="s">
        <v>123</v>
      </c>
      <c r="AZ314" s="16">
        <f t="shared" si="139"/>
        <v>100</v>
      </c>
      <c r="BA314" s="16" t="s">
        <v>55</v>
      </c>
      <c r="BB314" s="15">
        <v>2.2999999999999998</v>
      </c>
      <c r="BC314" s="16" t="s">
        <v>55</v>
      </c>
      <c r="BD314" s="18">
        <v>2.2999999999999998</v>
      </c>
      <c r="BE314" s="15">
        <f t="shared" si="130"/>
        <v>1150</v>
      </c>
      <c r="BF314" s="8">
        <f t="shared" si="131"/>
        <v>3.0606978403536118</v>
      </c>
      <c r="BG314" s="8">
        <f t="shared" si="132"/>
        <v>0.36172783601759284</v>
      </c>
      <c r="BH314" s="13" t="s">
        <v>841</v>
      </c>
      <c r="BI314" s="13"/>
      <c r="BJ314" s="13"/>
      <c r="BK314" s="8"/>
      <c r="BL314" s="8"/>
      <c r="BM314" s="18"/>
      <c r="BN314" s="8"/>
      <c r="BO314" s="24"/>
    </row>
    <row r="315" spans="1:67" s="14" customFormat="1" x14ac:dyDescent="0.3">
      <c r="A315" s="20">
        <v>321</v>
      </c>
      <c r="B315" s="2" t="s">
        <v>241</v>
      </c>
      <c r="C315" s="2">
        <v>2019</v>
      </c>
      <c r="D315" s="2" t="s">
        <v>201</v>
      </c>
      <c r="E315" s="10" t="s">
        <v>800</v>
      </c>
      <c r="F315" s="20" t="s">
        <v>29</v>
      </c>
      <c r="G315" s="2">
        <v>69</v>
      </c>
      <c r="H315" s="2" t="str">
        <f>'PFAS Properties'!$B$33</f>
        <v>PFOA</v>
      </c>
      <c r="I315" s="2" t="str">
        <f>'PFAS Properties'!$C$33</f>
        <v>PFCA</v>
      </c>
      <c r="J315" s="2" t="str">
        <f>'PFAS Properties'!$D$33</f>
        <v>C8HF15O2</v>
      </c>
      <c r="K315" s="25">
        <f>'PFAS Properties'!$P$33</f>
        <v>413.97359999999998</v>
      </c>
      <c r="L315" s="2">
        <f>'PFAS Properties'!$X$33</f>
        <v>-0.2</v>
      </c>
      <c r="M315" s="2" t="str">
        <f>'PFAS Properties'!$Y$33</f>
        <v>-</v>
      </c>
      <c r="N315" s="33">
        <v>0</v>
      </c>
      <c r="O315" s="33">
        <v>0</v>
      </c>
      <c r="P315" s="33">
        <v>0</v>
      </c>
      <c r="Q315" s="33">
        <f t="shared" si="133"/>
        <v>0.99999998004737722</v>
      </c>
      <c r="R315" s="33">
        <v>0</v>
      </c>
      <c r="S315" s="33">
        <f t="shared" si="134"/>
        <v>1.995262275158161E-8</v>
      </c>
      <c r="T315" s="8">
        <f t="shared" si="135"/>
        <v>1</v>
      </c>
      <c r="U315" s="33">
        <f t="shared" ref="U315:U378" si="140">((1*N315)+(1*O315)+(1*P315))</f>
        <v>0</v>
      </c>
      <c r="V315" s="33">
        <f t="shared" ref="V315:V378" si="141">-((1*O315)+(2*P315)+(1*Q315)+(2*R315))</f>
        <v>-0.99999998004737722</v>
      </c>
      <c r="W315" s="33">
        <f t="shared" ref="W315:W378" si="142">(N315*(K315+1))+(O315*K315)+(P315*(K315-1))+(Q315*(K315-1))+(R315*(K315-2))+(S315*K315)</f>
        <v>412.97360001995258</v>
      </c>
      <c r="X315" s="33">
        <v>96485</v>
      </c>
      <c r="Y315" s="16">
        <f t="shared" ref="Y315:Y378" si="143">((V315+U315)/W315)*X315</f>
        <v>-233.63478457269321</v>
      </c>
      <c r="Z315" s="16">
        <v>8</v>
      </c>
      <c r="AA315" s="16">
        <v>15</v>
      </c>
      <c r="AB315" s="8">
        <f t="shared" ref="AB315:AB378" si="144">(Z315/AA315)*(12/19)</f>
        <v>0.33684210526315789</v>
      </c>
      <c r="AC315" s="16">
        <f t="shared" ref="AC315:AC378" si="145">((AA315*19)/K315)*100</f>
        <v>68.844969824162703</v>
      </c>
      <c r="AD315" s="20">
        <f>'PFAS Properties'!$W$33</f>
        <v>7</v>
      </c>
      <c r="AE315" s="8">
        <f>'PFAS Properties'!$S$33</f>
        <v>2.6821450763738319</v>
      </c>
      <c r="AF315" s="15">
        <f>'PFAS Properties'!$V$33</f>
        <v>4.9000000000000004</v>
      </c>
      <c r="AG315" s="24">
        <v>7.5</v>
      </c>
      <c r="AH315" s="2" t="s">
        <v>122</v>
      </c>
      <c r="AI315" s="2" t="s">
        <v>661</v>
      </c>
      <c r="AJ315" s="2" t="s">
        <v>661</v>
      </c>
      <c r="AK315" s="2" t="s">
        <v>661</v>
      </c>
      <c r="AL315" s="2" t="s">
        <v>661</v>
      </c>
      <c r="AM315" s="2" t="s">
        <v>661</v>
      </c>
      <c r="AN315" s="2" t="s">
        <v>661</v>
      </c>
      <c r="AO315" s="2" t="s">
        <v>661</v>
      </c>
      <c r="AP315" s="16">
        <v>41.4</v>
      </c>
      <c r="AQ315" s="2" t="s">
        <v>661</v>
      </c>
      <c r="AR315" s="16">
        <v>16.899999999999999</v>
      </c>
      <c r="AS315" s="16">
        <v>17.500000000000007</v>
      </c>
      <c r="AT315" s="16">
        <v>65.599999999999994</v>
      </c>
      <c r="AU315" s="2" t="s">
        <v>661</v>
      </c>
      <c r="AV315" s="16">
        <f t="shared" si="138"/>
        <v>100</v>
      </c>
      <c r="AW315" s="18">
        <v>0.7</v>
      </c>
      <c r="AX315" s="13">
        <f t="shared" si="136"/>
        <v>6.9999999999999993E-3</v>
      </c>
      <c r="AY315" s="13" t="s">
        <v>123</v>
      </c>
      <c r="AZ315" s="16">
        <f t="shared" si="139"/>
        <v>100</v>
      </c>
      <c r="BA315" s="16" t="s">
        <v>55</v>
      </c>
      <c r="BB315" s="15">
        <v>2.2999999999999998</v>
      </c>
      <c r="BC315" s="16" t="s">
        <v>55</v>
      </c>
      <c r="BD315" s="18">
        <v>11.7</v>
      </c>
      <c r="BE315" s="15">
        <f t="shared" ref="BE315:BE378" si="146">BD315/AX315</f>
        <v>1671.4285714285716</v>
      </c>
      <c r="BF315" s="8">
        <f t="shared" ref="BF315:BF378" si="147">LOG(BE315)</f>
        <v>3.2230878217319048</v>
      </c>
      <c r="BG315" s="8">
        <f t="shared" ref="BG315:BG378" si="148">LOG(BD315)</f>
        <v>1.0681858617461617</v>
      </c>
      <c r="BH315" s="13" t="s">
        <v>841</v>
      </c>
      <c r="BI315" s="13"/>
      <c r="BJ315" s="13"/>
      <c r="BK315" s="8"/>
      <c r="BL315" s="8"/>
      <c r="BM315" s="18"/>
      <c r="BN315" s="8"/>
      <c r="BO315" s="24"/>
    </row>
    <row r="316" spans="1:67" s="14" customFormat="1" x14ac:dyDescent="0.3">
      <c r="A316" s="20">
        <v>322</v>
      </c>
      <c r="B316" s="2" t="s">
        <v>241</v>
      </c>
      <c r="C316" s="2">
        <v>2019</v>
      </c>
      <c r="D316" s="2" t="s">
        <v>201</v>
      </c>
      <c r="E316" s="10" t="s">
        <v>800</v>
      </c>
      <c r="F316" s="20" t="s">
        <v>29</v>
      </c>
      <c r="G316" s="2">
        <v>70</v>
      </c>
      <c r="H316" s="2" t="str">
        <f>'PFAS Properties'!$B$33</f>
        <v>PFOA</v>
      </c>
      <c r="I316" s="2" t="str">
        <f>'PFAS Properties'!$C$33</f>
        <v>PFCA</v>
      </c>
      <c r="J316" s="2" t="str">
        <f>'PFAS Properties'!$D$33</f>
        <v>C8HF15O2</v>
      </c>
      <c r="K316" s="25">
        <f>'PFAS Properties'!$P$33</f>
        <v>413.97359999999998</v>
      </c>
      <c r="L316" s="2">
        <f>'PFAS Properties'!$X$33</f>
        <v>-0.2</v>
      </c>
      <c r="M316" s="2" t="str">
        <f>'PFAS Properties'!$Y$33</f>
        <v>-</v>
      </c>
      <c r="N316" s="33">
        <v>0</v>
      </c>
      <c r="O316" s="33">
        <v>0</v>
      </c>
      <c r="P316" s="33">
        <v>0</v>
      </c>
      <c r="Q316" s="33">
        <f t="shared" si="133"/>
        <v>0.99999999000000006</v>
      </c>
      <c r="R316" s="33">
        <v>0</v>
      </c>
      <c r="S316" s="33">
        <f t="shared" si="134"/>
        <v>9.9999999000000002E-9</v>
      </c>
      <c r="T316" s="8">
        <f t="shared" si="135"/>
        <v>1</v>
      </c>
      <c r="U316" s="33">
        <f t="shared" si="140"/>
        <v>0</v>
      </c>
      <c r="V316" s="33">
        <f t="shared" si="141"/>
        <v>-0.99999999000000006</v>
      </c>
      <c r="W316" s="33">
        <f t="shared" si="142"/>
        <v>412.97360000999993</v>
      </c>
      <c r="X316" s="33">
        <v>96485</v>
      </c>
      <c r="Y316" s="16">
        <f t="shared" si="143"/>
        <v>-233.63478690360273</v>
      </c>
      <c r="Z316" s="16">
        <v>8</v>
      </c>
      <c r="AA316" s="16">
        <v>15</v>
      </c>
      <c r="AB316" s="8">
        <f t="shared" si="144"/>
        <v>0.33684210526315789</v>
      </c>
      <c r="AC316" s="16">
        <f t="shared" si="145"/>
        <v>68.844969824162703</v>
      </c>
      <c r="AD316" s="20">
        <f>'PFAS Properties'!$W$33</f>
        <v>7</v>
      </c>
      <c r="AE316" s="8">
        <f>'PFAS Properties'!$S$33</f>
        <v>2.6821450763738319</v>
      </c>
      <c r="AF316" s="15">
        <f>'PFAS Properties'!$V$33</f>
        <v>4.9000000000000004</v>
      </c>
      <c r="AG316" s="24">
        <v>7.8</v>
      </c>
      <c r="AH316" s="2" t="s">
        <v>122</v>
      </c>
      <c r="AI316" s="2" t="s">
        <v>661</v>
      </c>
      <c r="AJ316" s="2" t="s">
        <v>661</v>
      </c>
      <c r="AK316" s="2" t="s">
        <v>661</v>
      </c>
      <c r="AL316" s="2" t="s">
        <v>661</v>
      </c>
      <c r="AM316" s="2" t="s">
        <v>661</v>
      </c>
      <c r="AN316" s="2" t="s">
        <v>661</v>
      </c>
      <c r="AO316" s="2" t="s">
        <v>661</v>
      </c>
      <c r="AP316" s="16">
        <v>39.6</v>
      </c>
      <c r="AQ316" s="2" t="s">
        <v>661</v>
      </c>
      <c r="AR316" s="16">
        <v>13.3</v>
      </c>
      <c r="AS316" s="16">
        <v>18.799999999999994</v>
      </c>
      <c r="AT316" s="16">
        <v>67.900000000000006</v>
      </c>
      <c r="AU316" s="2" t="s">
        <v>661</v>
      </c>
      <c r="AV316" s="16">
        <f t="shared" si="138"/>
        <v>100</v>
      </c>
      <c r="AW316" s="18">
        <v>0.4</v>
      </c>
      <c r="AX316" s="13">
        <f t="shared" si="136"/>
        <v>4.0000000000000001E-3</v>
      </c>
      <c r="AY316" s="13" t="s">
        <v>123</v>
      </c>
      <c r="AZ316" s="16">
        <f t="shared" si="139"/>
        <v>100</v>
      </c>
      <c r="BA316" s="16" t="s">
        <v>55</v>
      </c>
      <c r="BB316" s="15">
        <v>2.2999999999999998</v>
      </c>
      <c r="BC316" s="16" t="s">
        <v>55</v>
      </c>
      <c r="BD316" s="18">
        <v>6.3</v>
      </c>
      <c r="BE316" s="15">
        <f t="shared" si="146"/>
        <v>1575</v>
      </c>
      <c r="BF316" s="8">
        <f t="shared" si="147"/>
        <v>3.1972805581256192</v>
      </c>
      <c r="BG316" s="8">
        <f t="shared" si="148"/>
        <v>0.79934054945358168</v>
      </c>
      <c r="BH316" s="13" t="s">
        <v>841</v>
      </c>
      <c r="BI316" s="13"/>
      <c r="BJ316" s="13"/>
      <c r="BK316" s="8"/>
      <c r="BL316" s="8"/>
      <c r="BM316" s="18"/>
      <c r="BN316" s="8"/>
      <c r="BO316" s="24"/>
    </row>
    <row r="317" spans="1:67" s="14" customFormat="1" x14ac:dyDescent="0.3">
      <c r="A317" s="20">
        <v>323</v>
      </c>
      <c r="B317" s="2" t="s">
        <v>241</v>
      </c>
      <c r="C317" s="2">
        <v>2019</v>
      </c>
      <c r="D317" s="2" t="s">
        <v>201</v>
      </c>
      <c r="E317" s="10" t="s">
        <v>800</v>
      </c>
      <c r="F317" s="20" t="s">
        <v>29</v>
      </c>
      <c r="G317" s="2">
        <v>71</v>
      </c>
      <c r="H317" s="2" t="str">
        <f>'PFAS Properties'!$B$33</f>
        <v>PFOA</v>
      </c>
      <c r="I317" s="2" t="str">
        <f>'PFAS Properties'!$C$33</f>
        <v>PFCA</v>
      </c>
      <c r="J317" s="2" t="str">
        <f>'PFAS Properties'!$D$33</f>
        <v>C8HF15O2</v>
      </c>
      <c r="K317" s="25">
        <f>'PFAS Properties'!$P$33</f>
        <v>413.97359999999998</v>
      </c>
      <c r="L317" s="2">
        <f>'PFAS Properties'!$X$33</f>
        <v>-0.2</v>
      </c>
      <c r="M317" s="2" t="str">
        <f>'PFAS Properties'!$Y$33</f>
        <v>-</v>
      </c>
      <c r="N317" s="33">
        <v>0</v>
      </c>
      <c r="O317" s="33">
        <v>0</v>
      </c>
      <c r="P317" s="33">
        <v>0</v>
      </c>
      <c r="Q317" s="33">
        <f t="shared" si="133"/>
        <v>0.99999987410747471</v>
      </c>
      <c r="R317" s="33">
        <v>0</v>
      </c>
      <c r="S317" s="33">
        <f t="shared" si="134"/>
        <v>1.2589252533048661E-7</v>
      </c>
      <c r="T317" s="8">
        <f t="shared" si="135"/>
        <v>1</v>
      </c>
      <c r="U317" s="33">
        <f t="shared" si="140"/>
        <v>0</v>
      </c>
      <c r="V317" s="33">
        <f t="shared" si="141"/>
        <v>-0.99999987410747471</v>
      </c>
      <c r="W317" s="33">
        <f t="shared" si="142"/>
        <v>412.97360012589252</v>
      </c>
      <c r="X317" s="33">
        <v>96485</v>
      </c>
      <c r="Y317" s="16">
        <f t="shared" si="143"/>
        <v>-233.63475976151219</v>
      </c>
      <c r="Z317" s="16">
        <v>8</v>
      </c>
      <c r="AA317" s="16">
        <v>15</v>
      </c>
      <c r="AB317" s="8">
        <f t="shared" si="144"/>
        <v>0.33684210526315789</v>
      </c>
      <c r="AC317" s="16">
        <f t="shared" si="145"/>
        <v>68.844969824162703</v>
      </c>
      <c r="AD317" s="20">
        <f>'PFAS Properties'!$W$33</f>
        <v>7</v>
      </c>
      <c r="AE317" s="8">
        <f>'PFAS Properties'!$S$33</f>
        <v>2.6821450763738319</v>
      </c>
      <c r="AF317" s="15">
        <f>'PFAS Properties'!$V$33</f>
        <v>4.9000000000000004</v>
      </c>
      <c r="AG317" s="24">
        <v>6.7</v>
      </c>
      <c r="AH317" s="2" t="s">
        <v>122</v>
      </c>
      <c r="AI317" s="2" t="s">
        <v>661</v>
      </c>
      <c r="AJ317" s="2" t="s">
        <v>661</v>
      </c>
      <c r="AK317" s="2" t="s">
        <v>661</v>
      </c>
      <c r="AL317" s="2" t="s">
        <v>661</v>
      </c>
      <c r="AM317" s="2" t="s">
        <v>661</v>
      </c>
      <c r="AN317" s="2" t="s">
        <v>661</v>
      </c>
      <c r="AO317" s="2" t="s">
        <v>661</v>
      </c>
      <c r="AP317" s="16">
        <v>7.1</v>
      </c>
      <c r="AQ317" s="2" t="s">
        <v>661</v>
      </c>
      <c r="AR317" s="16">
        <v>48.9</v>
      </c>
      <c r="AS317" s="16">
        <v>26.9</v>
      </c>
      <c r="AT317" s="16">
        <v>24.2</v>
      </c>
      <c r="AU317" s="2" t="s">
        <v>661</v>
      </c>
      <c r="AV317" s="16">
        <f t="shared" si="138"/>
        <v>100</v>
      </c>
      <c r="AW317" s="18">
        <v>0.3</v>
      </c>
      <c r="AX317" s="13">
        <f t="shared" si="136"/>
        <v>3.0000000000000001E-3</v>
      </c>
      <c r="AY317" s="13" t="s">
        <v>123</v>
      </c>
      <c r="AZ317" s="16">
        <f t="shared" si="139"/>
        <v>100</v>
      </c>
      <c r="BA317" s="16" t="s">
        <v>55</v>
      </c>
      <c r="BB317" s="15">
        <v>2.2999999999999998</v>
      </c>
      <c r="BC317" s="16" t="s">
        <v>55</v>
      </c>
      <c r="BD317" s="18">
        <v>6</v>
      </c>
      <c r="BE317" s="15">
        <f t="shared" si="146"/>
        <v>2000</v>
      </c>
      <c r="BF317" s="8">
        <f t="shared" si="147"/>
        <v>3.3010299956639813</v>
      </c>
      <c r="BG317" s="8">
        <f t="shared" si="148"/>
        <v>0.77815125038364363</v>
      </c>
      <c r="BH317" s="13" t="s">
        <v>841</v>
      </c>
      <c r="BI317" s="13"/>
      <c r="BJ317" s="13"/>
      <c r="BK317" s="8"/>
      <c r="BL317" s="8"/>
      <c r="BM317" s="18"/>
      <c r="BN317" s="8"/>
      <c r="BO317" s="24"/>
    </row>
    <row r="318" spans="1:67" s="14" customFormat="1" x14ac:dyDescent="0.3">
      <c r="A318" s="20">
        <v>324</v>
      </c>
      <c r="B318" s="2" t="s">
        <v>241</v>
      </c>
      <c r="C318" s="2">
        <v>2019</v>
      </c>
      <c r="D318" s="2" t="s">
        <v>201</v>
      </c>
      <c r="E318" s="10" t="s">
        <v>800</v>
      </c>
      <c r="F318" s="20" t="s">
        <v>29</v>
      </c>
      <c r="G318" s="2">
        <v>72</v>
      </c>
      <c r="H318" s="2" t="str">
        <f>'PFAS Properties'!$B$33</f>
        <v>PFOA</v>
      </c>
      <c r="I318" s="2" t="str">
        <f>'PFAS Properties'!$C$33</f>
        <v>PFCA</v>
      </c>
      <c r="J318" s="2" t="str">
        <f>'PFAS Properties'!$D$33</f>
        <v>C8HF15O2</v>
      </c>
      <c r="K318" s="25">
        <f>'PFAS Properties'!$P$33</f>
        <v>413.97359999999998</v>
      </c>
      <c r="L318" s="2">
        <f>'PFAS Properties'!$X$33</f>
        <v>-0.2</v>
      </c>
      <c r="M318" s="2" t="str">
        <f>'PFAS Properties'!$Y$33</f>
        <v>-</v>
      </c>
      <c r="N318" s="33">
        <v>0</v>
      </c>
      <c r="O318" s="33">
        <v>0</v>
      </c>
      <c r="P318" s="33">
        <v>0</v>
      </c>
      <c r="Q318" s="33">
        <f t="shared" si="133"/>
        <v>0.99999996837722438</v>
      </c>
      <c r="R318" s="33">
        <v>0</v>
      </c>
      <c r="S318" s="33">
        <f t="shared" si="134"/>
        <v>3.1622775601683729E-8</v>
      </c>
      <c r="T318" s="8">
        <f t="shared" si="135"/>
        <v>1</v>
      </c>
      <c r="U318" s="33">
        <f t="shared" si="140"/>
        <v>0</v>
      </c>
      <c r="V318" s="33">
        <f t="shared" si="141"/>
        <v>-0.99999996837722438</v>
      </c>
      <c r="W318" s="33">
        <f t="shared" si="142"/>
        <v>412.97360003162271</v>
      </c>
      <c r="X318" s="33">
        <v>96485</v>
      </c>
      <c r="Y318" s="16">
        <f t="shared" si="143"/>
        <v>-233.63478183953725</v>
      </c>
      <c r="Z318" s="16">
        <v>8</v>
      </c>
      <c r="AA318" s="16">
        <v>15</v>
      </c>
      <c r="AB318" s="8">
        <f t="shared" si="144"/>
        <v>0.33684210526315789</v>
      </c>
      <c r="AC318" s="16">
        <f t="shared" si="145"/>
        <v>68.844969824162703</v>
      </c>
      <c r="AD318" s="20">
        <f>'PFAS Properties'!$W$33</f>
        <v>7</v>
      </c>
      <c r="AE318" s="8">
        <f>'PFAS Properties'!$S$33</f>
        <v>2.6821450763738319</v>
      </c>
      <c r="AF318" s="15">
        <f>'PFAS Properties'!$V$33</f>
        <v>4.9000000000000004</v>
      </c>
      <c r="AG318" s="24">
        <v>7.3</v>
      </c>
      <c r="AH318" s="2" t="s">
        <v>122</v>
      </c>
      <c r="AI318" s="2" t="s">
        <v>661</v>
      </c>
      <c r="AJ318" s="2" t="s">
        <v>661</v>
      </c>
      <c r="AK318" s="2" t="s">
        <v>661</v>
      </c>
      <c r="AL318" s="2" t="s">
        <v>661</v>
      </c>
      <c r="AM318" s="2" t="s">
        <v>661</v>
      </c>
      <c r="AN318" s="2" t="s">
        <v>661</v>
      </c>
      <c r="AO318" s="2" t="s">
        <v>661</v>
      </c>
      <c r="AP318" s="16">
        <v>35.299999999999997</v>
      </c>
      <c r="AQ318" s="2" t="s">
        <v>661</v>
      </c>
      <c r="AR318" s="16">
        <v>43.1</v>
      </c>
      <c r="AS318" s="16">
        <v>6.5</v>
      </c>
      <c r="AT318" s="16">
        <v>50.4</v>
      </c>
      <c r="AU318" s="2" t="s">
        <v>661</v>
      </c>
      <c r="AV318" s="16">
        <f t="shared" si="138"/>
        <v>100</v>
      </c>
      <c r="AW318" s="18">
        <v>0.6</v>
      </c>
      <c r="AX318" s="13">
        <f t="shared" si="136"/>
        <v>6.0000000000000001E-3</v>
      </c>
      <c r="AY318" s="13" t="s">
        <v>123</v>
      </c>
      <c r="AZ318" s="16">
        <f t="shared" si="139"/>
        <v>100</v>
      </c>
      <c r="BA318" s="16" t="s">
        <v>55</v>
      </c>
      <c r="BB318" s="15">
        <v>2.2999999999999998</v>
      </c>
      <c r="BC318" s="16" t="s">
        <v>55</v>
      </c>
      <c r="BD318" s="18">
        <v>7</v>
      </c>
      <c r="BE318" s="15">
        <f t="shared" si="146"/>
        <v>1166.6666666666667</v>
      </c>
      <c r="BF318" s="8">
        <f t="shared" si="147"/>
        <v>3.0669467896306131</v>
      </c>
      <c r="BG318" s="8">
        <f t="shared" si="148"/>
        <v>0.84509804001425681</v>
      </c>
      <c r="BH318" s="13" t="s">
        <v>841</v>
      </c>
      <c r="BI318" s="13"/>
      <c r="BJ318" s="13"/>
      <c r="BK318" s="8"/>
      <c r="BL318" s="8"/>
      <c r="BM318" s="18"/>
      <c r="BN318" s="8"/>
      <c r="BO318" s="24"/>
    </row>
    <row r="319" spans="1:67" s="14" customFormat="1" x14ac:dyDescent="0.3">
      <c r="A319" s="20">
        <v>325</v>
      </c>
      <c r="B319" s="2" t="s">
        <v>241</v>
      </c>
      <c r="C319" s="2">
        <v>2019</v>
      </c>
      <c r="D319" s="2" t="s">
        <v>201</v>
      </c>
      <c r="E319" s="10" t="s">
        <v>800</v>
      </c>
      <c r="F319" s="20" t="s">
        <v>29</v>
      </c>
      <c r="G319" s="2">
        <v>73</v>
      </c>
      <c r="H319" s="2" t="str">
        <f>'PFAS Properties'!$B$33</f>
        <v>PFOA</v>
      </c>
      <c r="I319" s="2" t="str">
        <f>'PFAS Properties'!$C$33</f>
        <v>PFCA</v>
      </c>
      <c r="J319" s="2" t="str">
        <f>'PFAS Properties'!$D$33</f>
        <v>C8HF15O2</v>
      </c>
      <c r="K319" s="25">
        <f>'PFAS Properties'!$P$33</f>
        <v>413.97359999999998</v>
      </c>
      <c r="L319" s="2">
        <f>'PFAS Properties'!$X$33</f>
        <v>-0.2</v>
      </c>
      <c r="M319" s="2" t="str">
        <f>'PFAS Properties'!$Y$33</f>
        <v>-</v>
      </c>
      <c r="N319" s="33">
        <v>0</v>
      </c>
      <c r="O319" s="33">
        <v>0</v>
      </c>
      <c r="P319" s="33">
        <v>0</v>
      </c>
      <c r="Q319" s="33">
        <f t="shared" si="133"/>
        <v>0.99999998004737722</v>
      </c>
      <c r="R319" s="33">
        <v>0</v>
      </c>
      <c r="S319" s="33">
        <f t="shared" si="134"/>
        <v>1.995262275158161E-8</v>
      </c>
      <c r="T319" s="8">
        <f t="shared" si="135"/>
        <v>1</v>
      </c>
      <c r="U319" s="33">
        <f t="shared" si="140"/>
        <v>0</v>
      </c>
      <c r="V319" s="33">
        <f t="shared" si="141"/>
        <v>-0.99999998004737722</v>
      </c>
      <c r="W319" s="33">
        <f t="shared" si="142"/>
        <v>412.97360001995258</v>
      </c>
      <c r="X319" s="33">
        <v>96485</v>
      </c>
      <c r="Y319" s="16">
        <f t="shared" si="143"/>
        <v>-233.63478457269321</v>
      </c>
      <c r="Z319" s="16">
        <v>8</v>
      </c>
      <c r="AA319" s="16">
        <v>15</v>
      </c>
      <c r="AB319" s="8">
        <f t="shared" si="144"/>
        <v>0.33684210526315789</v>
      </c>
      <c r="AC319" s="16">
        <f t="shared" si="145"/>
        <v>68.844969824162703</v>
      </c>
      <c r="AD319" s="20">
        <f>'PFAS Properties'!$W$33</f>
        <v>7</v>
      </c>
      <c r="AE319" s="8">
        <f>'PFAS Properties'!$S$33</f>
        <v>2.6821450763738319</v>
      </c>
      <c r="AF319" s="15">
        <f>'PFAS Properties'!$V$33</f>
        <v>4.9000000000000004</v>
      </c>
      <c r="AG319" s="24">
        <v>7.5</v>
      </c>
      <c r="AH319" s="2" t="s">
        <v>122</v>
      </c>
      <c r="AI319" s="2" t="s">
        <v>661</v>
      </c>
      <c r="AJ319" s="2" t="s">
        <v>661</v>
      </c>
      <c r="AK319" s="2" t="s">
        <v>661</v>
      </c>
      <c r="AL319" s="2" t="s">
        <v>661</v>
      </c>
      <c r="AM319" s="2" t="s">
        <v>661</v>
      </c>
      <c r="AN319" s="2" t="s">
        <v>661</v>
      </c>
      <c r="AO319" s="2" t="s">
        <v>661</v>
      </c>
      <c r="AP319" s="16">
        <v>22.9</v>
      </c>
      <c r="AQ319" s="2" t="s">
        <v>661</v>
      </c>
      <c r="AR319" s="16">
        <v>49</v>
      </c>
      <c r="AS319" s="16">
        <v>10</v>
      </c>
      <c r="AT319" s="16">
        <v>41</v>
      </c>
      <c r="AU319" s="2" t="s">
        <v>661</v>
      </c>
      <c r="AV319" s="16">
        <f t="shared" si="138"/>
        <v>100</v>
      </c>
      <c r="AW319" s="18">
        <v>0.4</v>
      </c>
      <c r="AX319" s="13">
        <f t="shared" si="136"/>
        <v>4.0000000000000001E-3</v>
      </c>
      <c r="AY319" s="13" t="s">
        <v>123</v>
      </c>
      <c r="AZ319" s="16">
        <f t="shared" si="139"/>
        <v>100</v>
      </c>
      <c r="BA319" s="16" t="s">
        <v>55</v>
      </c>
      <c r="BB319" s="15">
        <v>2.2999999999999998</v>
      </c>
      <c r="BC319" s="16" t="s">
        <v>55</v>
      </c>
      <c r="BD319" s="18">
        <v>3.4</v>
      </c>
      <c r="BE319" s="15">
        <f t="shared" si="146"/>
        <v>850</v>
      </c>
      <c r="BF319" s="8">
        <f t="shared" si="147"/>
        <v>2.9294189257142929</v>
      </c>
      <c r="BG319" s="8">
        <f t="shared" si="148"/>
        <v>0.53147891704225514</v>
      </c>
      <c r="BH319" s="13" t="s">
        <v>841</v>
      </c>
      <c r="BI319" s="13"/>
      <c r="BJ319" s="13"/>
      <c r="BK319" s="8"/>
      <c r="BL319" s="8"/>
      <c r="BM319" s="18"/>
      <c r="BN319" s="8"/>
      <c r="BO319" s="24"/>
    </row>
    <row r="320" spans="1:67" s="14" customFormat="1" x14ac:dyDescent="0.3">
      <c r="A320" s="20">
        <v>326</v>
      </c>
      <c r="B320" s="2" t="s">
        <v>241</v>
      </c>
      <c r="C320" s="2">
        <v>2019</v>
      </c>
      <c r="D320" s="2" t="s">
        <v>201</v>
      </c>
      <c r="E320" s="10" t="s">
        <v>800</v>
      </c>
      <c r="F320" s="20" t="s">
        <v>29</v>
      </c>
      <c r="G320" s="2">
        <v>74</v>
      </c>
      <c r="H320" s="2" t="str">
        <f>'PFAS Properties'!$B$33</f>
        <v>PFOA</v>
      </c>
      <c r="I320" s="2" t="str">
        <f>'PFAS Properties'!$C$33</f>
        <v>PFCA</v>
      </c>
      <c r="J320" s="2" t="str">
        <f>'PFAS Properties'!$D$33</f>
        <v>C8HF15O2</v>
      </c>
      <c r="K320" s="25">
        <f>'PFAS Properties'!$P$33</f>
        <v>413.97359999999998</v>
      </c>
      <c r="L320" s="2">
        <f>'PFAS Properties'!$X$33</f>
        <v>-0.2</v>
      </c>
      <c r="M320" s="2" t="str">
        <f>'PFAS Properties'!$Y$33</f>
        <v>-</v>
      </c>
      <c r="N320" s="33">
        <v>0</v>
      </c>
      <c r="O320" s="33">
        <v>0</v>
      </c>
      <c r="P320" s="33">
        <v>0</v>
      </c>
      <c r="Q320" s="33">
        <f t="shared" si="133"/>
        <v>0.9999999601892845</v>
      </c>
      <c r="R320" s="33">
        <v>0</v>
      </c>
      <c r="S320" s="33">
        <f t="shared" si="134"/>
        <v>3.9810715470456442E-8</v>
      </c>
      <c r="T320" s="8">
        <f t="shared" si="135"/>
        <v>1</v>
      </c>
      <c r="U320" s="33">
        <f t="shared" si="140"/>
        <v>0</v>
      </c>
      <c r="V320" s="33">
        <f t="shared" si="141"/>
        <v>-0.9999999601892845</v>
      </c>
      <c r="W320" s="33">
        <f t="shared" si="142"/>
        <v>412.97360003981066</v>
      </c>
      <c r="X320" s="33">
        <v>96485</v>
      </c>
      <c r="Y320" s="16">
        <f t="shared" si="143"/>
        <v>-233.63477992191741</v>
      </c>
      <c r="Z320" s="16">
        <v>8</v>
      </c>
      <c r="AA320" s="16">
        <v>15</v>
      </c>
      <c r="AB320" s="8">
        <f t="shared" si="144"/>
        <v>0.33684210526315789</v>
      </c>
      <c r="AC320" s="16">
        <f t="shared" si="145"/>
        <v>68.844969824162703</v>
      </c>
      <c r="AD320" s="20">
        <f>'PFAS Properties'!$W$33</f>
        <v>7</v>
      </c>
      <c r="AE320" s="8">
        <f>'PFAS Properties'!$S$33</f>
        <v>2.6821450763738319</v>
      </c>
      <c r="AF320" s="15">
        <f>'PFAS Properties'!$V$33</f>
        <v>4.9000000000000004</v>
      </c>
      <c r="AG320" s="24">
        <v>7.2</v>
      </c>
      <c r="AH320" s="2" t="s">
        <v>122</v>
      </c>
      <c r="AI320" s="2" t="s">
        <v>661</v>
      </c>
      <c r="AJ320" s="2" t="s">
        <v>661</v>
      </c>
      <c r="AK320" s="2" t="s">
        <v>661</v>
      </c>
      <c r="AL320" s="2" t="s">
        <v>661</v>
      </c>
      <c r="AM320" s="2" t="s">
        <v>661</v>
      </c>
      <c r="AN320" s="2" t="s">
        <v>661</v>
      </c>
      <c r="AO320" s="2" t="s">
        <v>661</v>
      </c>
      <c r="AP320" s="16">
        <v>37.1</v>
      </c>
      <c r="AQ320" s="2" t="s">
        <v>661</v>
      </c>
      <c r="AR320" s="16">
        <v>50</v>
      </c>
      <c r="AS320" s="16">
        <v>10</v>
      </c>
      <c r="AT320" s="16">
        <v>40</v>
      </c>
      <c r="AU320" s="2" t="s">
        <v>661</v>
      </c>
      <c r="AV320" s="16">
        <f t="shared" si="138"/>
        <v>100</v>
      </c>
      <c r="AW320" s="18">
        <v>1.3</v>
      </c>
      <c r="AX320" s="13">
        <f t="shared" si="136"/>
        <v>1.3000000000000001E-2</v>
      </c>
      <c r="AY320" s="13" t="s">
        <v>123</v>
      </c>
      <c r="AZ320" s="16">
        <f t="shared" si="139"/>
        <v>100</v>
      </c>
      <c r="BA320" s="16" t="s">
        <v>55</v>
      </c>
      <c r="BB320" s="15">
        <v>2.2999999999999998</v>
      </c>
      <c r="BC320" s="16" t="s">
        <v>55</v>
      </c>
      <c r="BD320" s="18">
        <v>9</v>
      </c>
      <c r="BE320" s="15">
        <f t="shared" si="146"/>
        <v>692.30769230769226</v>
      </c>
      <c r="BF320" s="8">
        <f t="shared" si="147"/>
        <v>2.8402991571324883</v>
      </c>
      <c r="BG320" s="8">
        <f t="shared" si="148"/>
        <v>0.95424250943932487</v>
      </c>
      <c r="BH320" s="13" t="s">
        <v>841</v>
      </c>
      <c r="BI320" s="13"/>
      <c r="BJ320" s="13"/>
      <c r="BK320" s="8"/>
      <c r="BL320" s="8"/>
      <c r="BM320" s="18"/>
      <c r="BN320" s="8"/>
      <c r="BO320" s="24"/>
    </row>
    <row r="321" spans="1:67" s="14" customFormat="1" x14ac:dyDescent="0.3">
      <c r="A321" s="20">
        <v>327</v>
      </c>
      <c r="B321" s="2" t="s">
        <v>241</v>
      </c>
      <c r="C321" s="2">
        <v>2019</v>
      </c>
      <c r="D321" s="2" t="s">
        <v>201</v>
      </c>
      <c r="E321" s="10" t="s">
        <v>800</v>
      </c>
      <c r="F321" s="20" t="s">
        <v>29</v>
      </c>
      <c r="G321" s="2">
        <v>75</v>
      </c>
      <c r="H321" s="2" t="str">
        <f>'PFAS Properties'!$B$33</f>
        <v>PFOA</v>
      </c>
      <c r="I321" s="2" t="str">
        <f>'PFAS Properties'!$C$33</f>
        <v>PFCA</v>
      </c>
      <c r="J321" s="2" t="str">
        <f>'PFAS Properties'!$D$33</f>
        <v>C8HF15O2</v>
      </c>
      <c r="K321" s="25">
        <f>'PFAS Properties'!$P$33</f>
        <v>413.97359999999998</v>
      </c>
      <c r="L321" s="2">
        <f>'PFAS Properties'!$X$33</f>
        <v>-0.2</v>
      </c>
      <c r="M321" s="2" t="str">
        <f>'PFAS Properties'!$Y$33</f>
        <v>-</v>
      </c>
      <c r="N321" s="33">
        <v>0</v>
      </c>
      <c r="O321" s="33">
        <v>0</v>
      </c>
      <c r="P321" s="33">
        <v>0</v>
      </c>
      <c r="Q321" s="33">
        <f t="shared" si="133"/>
        <v>0.9999992056723962</v>
      </c>
      <c r="R321" s="33">
        <v>0</v>
      </c>
      <c r="S321" s="33">
        <f t="shared" si="134"/>
        <v>7.9432760376743655E-7</v>
      </c>
      <c r="T321" s="8">
        <f t="shared" si="135"/>
        <v>1</v>
      </c>
      <c r="U321" s="33">
        <f t="shared" si="140"/>
        <v>0</v>
      </c>
      <c r="V321" s="33">
        <f t="shared" si="141"/>
        <v>-0.9999992056723962</v>
      </c>
      <c r="W321" s="33">
        <f t="shared" si="142"/>
        <v>412.97360079432758</v>
      </c>
      <c r="X321" s="33">
        <v>96485</v>
      </c>
      <c r="Y321" s="16">
        <f t="shared" si="143"/>
        <v>-233.63460321366483</v>
      </c>
      <c r="Z321" s="16">
        <v>8</v>
      </c>
      <c r="AA321" s="16">
        <v>15</v>
      </c>
      <c r="AB321" s="8">
        <f t="shared" si="144"/>
        <v>0.33684210526315789</v>
      </c>
      <c r="AC321" s="16">
        <f t="shared" si="145"/>
        <v>68.844969824162703</v>
      </c>
      <c r="AD321" s="20">
        <f>'PFAS Properties'!$W$33</f>
        <v>7</v>
      </c>
      <c r="AE321" s="8">
        <f>'PFAS Properties'!$S$33</f>
        <v>2.6821450763738319</v>
      </c>
      <c r="AF321" s="15">
        <f>'PFAS Properties'!$V$33</f>
        <v>4.9000000000000004</v>
      </c>
      <c r="AG321" s="24">
        <v>5.9</v>
      </c>
      <c r="AH321" s="2" t="s">
        <v>122</v>
      </c>
      <c r="AI321" s="2" t="s">
        <v>661</v>
      </c>
      <c r="AJ321" s="2" t="s">
        <v>661</v>
      </c>
      <c r="AK321" s="2" t="s">
        <v>661</v>
      </c>
      <c r="AL321" s="2" t="s">
        <v>661</v>
      </c>
      <c r="AM321" s="2" t="s">
        <v>661</v>
      </c>
      <c r="AN321" s="2" t="s">
        <v>661</v>
      </c>
      <c r="AO321" s="2" t="s">
        <v>661</v>
      </c>
      <c r="AP321" s="16">
        <v>17.100000000000001</v>
      </c>
      <c r="AQ321" s="2" t="s">
        <v>661</v>
      </c>
      <c r="AR321" s="16">
        <v>68</v>
      </c>
      <c r="AS321" s="16">
        <v>8</v>
      </c>
      <c r="AT321" s="16">
        <v>24</v>
      </c>
      <c r="AU321" s="2" t="s">
        <v>661</v>
      </c>
      <c r="AV321" s="16">
        <f t="shared" si="138"/>
        <v>100</v>
      </c>
      <c r="AW321" s="18">
        <v>0.9</v>
      </c>
      <c r="AX321" s="13">
        <f t="shared" si="136"/>
        <v>9.0000000000000011E-3</v>
      </c>
      <c r="AY321" s="13" t="s">
        <v>123</v>
      </c>
      <c r="AZ321" s="16">
        <f t="shared" si="139"/>
        <v>100</v>
      </c>
      <c r="BA321" s="16" t="s">
        <v>55</v>
      </c>
      <c r="BB321" s="15">
        <v>2.2999999999999998</v>
      </c>
      <c r="BC321" s="16" t="s">
        <v>55</v>
      </c>
      <c r="BD321" s="18">
        <v>8.6999999999999993</v>
      </c>
      <c r="BE321" s="15">
        <f t="shared" si="146"/>
        <v>966.66666666666652</v>
      </c>
      <c r="BF321" s="8">
        <f t="shared" si="147"/>
        <v>2.9852767431792935</v>
      </c>
      <c r="BG321" s="8">
        <f t="shared" si="148"/>
        <v>0.93951925261861846</v>
      </c>
      <c r="BH321" s="13" t="s">
        <v>841</v>
      </c>
      <c r="BI321" s="13"/>
      <c r="BJ321" s="13"/>
      <c r="BK321" s="8"/>
      <c r="BL321" s="8"/>
      <c r="BM321" s="18"/>
      <c r="BN321" s="8"/>
      <c r="BO321" s="24"/>
    </row>
    <row r="322" spans="1:67" s="14" customFormat="1" x14ac:dyDescent="0.3">
      <c r="A322" s="20">
        <v>328</v>
      </c>
      <c r="B322" s="2" t="s">
        <v>241</v>
      </c>
      <c r="C322" s="2">
        <v>2019</v>
      </c>
      <c r="D322" s="2" t="s">
        <v>201</v>
      </c>
      <c r="E322" s="10" t="s">
        <v>800</v>
      </c>
      <c r="F322" s="20" t="s">
        <v>29</v>
      </c>
      <c r="G322" s="2">
        <v>76</v>
      </c>
      <c r="H322" s="2" t="str">
        <f>'PFAS Properties'!$B$33</f>
        <v>PFOA</v>
      </c>
      <c r="I322" s="2" t="str">
        <f>'PFAS Properties'!$C$33</f>
        <v>PFCA</v>
      </c>
      <c r="J322" s="2" t="str">
        <f>'PFAS Properties'!$D$33</f>
        <v>C8HF15O2</v>
      </c>
      <c r="K322" s="25">
        <f>'PFAS Properties'!$P$33</f>
        <v>413.97359999999998</v>
      </c>
      <c r="L322" s="2">
        <f>'PFAS Properties'!$X$33</f>
        <v>-0.2</v>
      </c>
      <c r="M322" s="2" t="str">
        <f>'PFAS Properties'!$Y$33</f>
        <v>-</v>
      </c>
      <c r="N322" s="33">
        <v>0</v>
      </c>
      <c r="O322" s="33">
        <v>0</v>
      </c>
      <c r="P322" s="33">
        <v>0</v>
      </c>
      <c r="Q322" s="33">
        <f t="shared" si="133"/>
        <v>0.99999998004737722</v>
      </c>
      <c r="R322" s="33">
        <v>0</v>
      </c>
      <c r="S322" s="33">
        <f t="shared" si="134"/>
        <v>1.995262275158161E-8</v>
      </c>
      <c r="T322" s="8">
        <f t="shared" si="135"/>
        <v>1</v>
      </c>
      <c r="U322" s="33">
        <f t="shared" si="140"/>
        <v>0</v>
      </c>
      <c r="V322" s="33">
        <f t="shared" si="141"/>
        <v>-0.99999998004737722</v>
      </c>
      <c r="W322" s="33">
        <f t="shared" si="142"/>
        <v>412.97360001995258</v>
      </c>
      <c r="X322" s="33">
        <v>96485</v>
      </c>
      <c r="Y322" s="16">
        <f t="shared" si="143"/>
        <v>-233.63478457269321</v>
      </c>
      <c r="Z322" s="16">
        <v>8</v>
      </c>
      <c r="AA322" s="16">
        <v>15</v>
      </c>
      <c r="AB322" s="8">
        <f t="shared" si="144"/>
        <v>0.33684210526315789</v>
      </c>
      <c r="AC322" s="16">
        <f t="shared" si="145"/>
        <v>68.844969824162703</v>
      </c>
      <c r="AD322" s="20">
        <f>'PFAS Properties'!$W$33</f>
        <v>7</v>
      </c>
      <c r="AE322" s="8">
        <f>'PFAS Properties'!$S$33</f>
        <v>2.6821450763738319</v>
      </c>
      <c r="AF322" s="15">
        <f>'PFAS Properties'!$V$33</f>
        <v>4.9000000000000004</v>
      </c>
      <c r="AG322" s="24">
        <v>7.5</v>
      </c>
      <c r="AH322" s="2" t="s">
        <v>122</v>
      </c>
      <c r="AI322" s="2" t="s">
        <v>661</v>
      </c>
      <c r="AJ322" s="2" t="s">
        <v>661</v>
      </c>
      <c r="AK322" s="2" t="s">
        <v>661</v>
      </c>
      <c r="AL322" s="2" t="s">
        <v>661</v>
      </c>
      <c r="AM322" s="2" t="s">
        <v>661</v>
      </c>
      <c r="AN322" s="2" t="s">
        <v>661</v>
      </c>
      <c r="AO322" s="2" t="s">
        <v>661</v>
      </c>
      <c r="AP322" s="16">
        <v>29.3</v>
      </c>
      <c r="AQ322" s="2" t="s">
        <v>661</v>
      </c>
      <c r="AR322" s="16">
        <v>46</v>
      </c>
      <c r="AS322" s="16">
        <v>13</v>
      </c>
      <c r="AT322" s="16">
        <v>41</v>
      </c>
      <c r="AU322" s="2" t="s">
        <v>661</v>
      </c>
      <c r="AV322" s="16">
        <f t="shared" si="138"/>
        <v>100</v>
      </c>
      <c r="AW322" s="18">
        <v>0.2</v>
      </c>
      <c r="AX322" s="13">
        <f t="shared" si="136"/>
        <v>2E-3</v>
      </c>
      <c r="AY322" s="13" t="s">
        <v>123</v>
      </c>
      <c r="AZ322" s="16">
        <f t="shared" si="139"/>
        <v>100</v>
      </c>
      <c r="BA322" s="16" t="s">
        <v>55</v>
      </c>
      <c r="BB322" s="15">
        <v>2.2999999999999998</v>
      </c>
      <c r="BC322" s="16" t="s">
        <v>55</v>
      </c>
      <c r="BD322" s="18">
        <v>3.7</v>
      </c>
      <c r="BE322" s="15">
        <f t="shared" si="146"/>
        <v>1850</v>
      </c>
      <c r="BF322" s="8">
        <f t="shared" si="147"/>
        <v>3.2671717284030137</v>
      </c>
      <c r="BG322" s="8">
        <f t="shared" si="148"/>
        <v>0.56820172406699498</v>
      </c>
      <c r="BH322" s="13" t="s">
        <v>841</v>
      </c>
      <c r="BI322" s="13"/>
      <c r="BJ322" s="13"/>
      <c r="BK322" s="8"/>
      <c r="BL322" s="8"/>
      <c r="BM322" s="18"/>
      <c r="BN322" s="8"/>
      <c r="BO322" s="24"/>
    </row>
    <row r="323" spans="1:67" s="14" customFormat="1" x14ac:dyDescent="0.3">
      <c r="A323" s="20">
        <v>329</v>
      </c>
      <c r="B323" s="2" t="s">
        <v>241</v>
      </c>
      <c r="C323" s="2">
        <v>2019</v>
      </c>
      <c r="D323" s="2" t="s">
        <v>201</v>
      </c>
      <c r="E323" s="10" t="s">
        <v>800</v>
      </c>
      <c r="F323" s="20" t="s">
        <v>29</v>
      </c>
      <c r="G323" s="2">
        <v>77</v>
      </c>
      <c r="H323" s="2" t="str">
        <f>'PFAS Properties'!$B$33</f>
        <v>PFOA</v>
      </c>
      <c r="I323" s="2" t="str">
        <f>'PFAS Properties'!$C$33</f>
        <v>PFCA</v>
      </c>
      <c r="J323" s="2" t="str">
        <f>'PFAS Properties'!$D$33</f>
        <v>C8HF15O2</v>
      </c>
      <c r="K323" s="25">
        <f>'PFAS Properties'!$P$33</f>
        <v>413.97359999999998</v>
      </c>
      <c r="L323" s="2">
        <f>'PFAS Properties'!$X$33</f>
        <v>-0.2</v>
      </c>
      <c r="M323" s="2" t="str">
        <f>'PFAS Properties'!$Y$33</f>
        <v>-</v>
      </c>
      <c r="N323" s="33">
        <v>0</v>
      </c>
      <c r="O323" s="33">
        <v>0</v>
      </c>
      <c r="P323" s="33">
        <v>0</v>
      </c>
      <c r="Q323" s="33">
        <f t="shared" si="133"/>
        <v>0.99999980047380832</v>
      </c>
      <c r="R323" s="33">
        <v>0</v>
      </c>
      <c r="S323" s="33">
        <f t="shared" si="134"/>
        <v>1.9952619168617852E-7</v>
      </c>
      <c r="T323" s="8">
        <f t="shared" si="135"/>
        <v>1</v>
      </c>
      <c r="U323" s="33">
        <f t="shared" si="140"/>
        <v>0</v>
      </c>
      <c r="V323" s="33">
        <f t="shared" si="141"/>
        <v>-0.99999980047380832</v>
      </c>
      <c r="W323" s="33">
        <f t="shared" si="142"/>
        <v>412.97360019952617</v>
      </c>
      <c r="X323" s="33">
        <v>96485</v>
      </c>
      <c r="Y323" s="16">
        <f t="shared" si="143"/>
        <v>-233.63474251646872</v>
      </c>
      <c r="Z323" s="16">
        <v>8</v>
      </c>
      <c r="AA323" s="16">
        <v>15</v>
      </c>
      <c r="AB323" s="8">
        <f t="shared" si="144"/>
        <v>0.33684210526315789</v>
      </c>
      <c r="AC323" s="16">
        <f t="shared" si="145"/>
        <v>68.844969824162703</v>
      </c>
      <c r="AD323" s="20">
        <f>'PFAS Properties'!$W$33</f>
        <v>7</v>
      </c>
      <c r="AE323" s="8">
        <f>'PFAS Properties'!$S$33</f>
        <v>2.6821450763738319</v>
      </c>
      <c r="AF323" s="15">
        <f>'PFAS Properties'!$V$33</f>
        <v>4.9000000000000004</v>
      </c>
      <c r="AG323" s="24">
        <v>6.5</v>
      </c>
      <c r="AH323" s="2" t="s">
        <v>122</v>
      </c>
      <c r="AI323" s="2" t="s">
        <v>661</v>
      </c>
      <c r="AJ323" s="2" t="s">
        <v>661</v>
      </c>
      <c r="AK323" s="2" t="s">
        <v>661</v>
      </c>
      <c r="AL323" s="2" t="s">
        <v>661</v>
      </c>
      <c r="AM323" s="2" t="s">
        <v>661</v>
      </c>
      <c r="AN323" s="2" t="s">
        <v>661</v>
      </c>
      <c r="AO323" s="2" t="s">
        <v>661</v>
      </c>
      <c r="AP323" s="16">
        <v>30.4</v>
      </c>
      <c r="AQ323" s="2" t="s">
        <v>661</v>
      </c>
      <c r="AR323" s="16">
        <v>55</v>
      </c>
      <c r="AS323" s="16">
        <v>7</v>
      </c>
      <c r="AT323" s="16">
        <v>38</v>
      </c>
      <c r="AU323" s="2" t="s">
        <v>661</v>
      </c>
      <c r="AV323" s="16">
        <f t="shared" si="138"/>
        <v>100</v>
      </c>
      <c r="AW323" s="18">
        <v>0.5</v>
      </c>
      <c r="AX323" s="13">
        <f t="shared" si="136"/>
        <v>5.0000000000000001E-3</v>
      </c>
      <c r="AY323" s="13" t="s">
        <v>123</v>
      </c>
      <c r="AZ323" s="16">
        <f t="shared" si="139"/>
        <v>100</v>
      </c>
      <c r="BA323" s="16" t="s">
        <v>55</v>
      </c>
      <c r="BB323" s="15">
        <v>2.2999999999999998</v>
      </c>
      <c r="BC323" s="16" t="s">
        <v>55</v>
      </c>
      <c r="BD323" s="18">
        <v>7.8</v>
      </c>
      <c r="BE323" s="15">
        <f t="shared" si="146"/>
        <v>1560</v>
      </c>
      <c r="BF323" s="8">
        <f t="shared" si="147"/>
        <v>3.1931245983544616</v>
      </c>
      <c r="BG323" s="8">
        <f t="shared" si="148"/>
        <v>0.89209460269048035</v>
      </c>
      <c r="BH323" s="13" t="s">
        <v>841</v>
      </c>
      <c r="BI323" s="13"/>
      <c r="BJ323" s="13"/>
      <c r="BK323" s="8"/>
      <c r="BL323" s="8"/>
      <c r="BM323" s="18"/>
      <c r="BN323" s="8"/>
      <c r="BO323" s="24"/>
    </row>
    <row r="324" spans="1:67" s="14" customFormat="1" x14ac:dyDescent="0.3">
      <c r="A324" s="20">
        <v>330</v>
      </c>
      <c r="B324" s="2" t="s">
        <v>241</v>
      </c>
      <c r="C324" s="2">
        <v>2019</v>
      </c>
      <c r="D324" s="2" t="s">
        <v>201</v>
      </c>
      <c r="E324" s="10" t="s">
        <v>800</v>
      </c>
      <c r="F324" s="20" t="s">
        <v>29</v>
      </c>
      <c r="G324" s="2">
        <v>78</v>
      </c>
      <c r="H324" s="2" t="str">
        <f>'PFAS Properties'!$B$33</f>
        <v>PFOA</v>
      </c>
      <c r="I324" s="2" t="str">
        <f>'PFAS Properties'!$C$33</f>
        <v>PFCA</v>
      </c>
      <c r="J324" s="2" t="str">
        <f>'PFAS Properties'!$D$33</f>
        <v>C8HF15O2</v>
      </c>
      <c r="K324" s="25">
        <f>'PFAS Properties'!$P$33</f>
        <v>413.97359999999998</v>
      </c>
      <c r="L324" s="2">
        <f>'PFAS Properties'!$X$33</f>
        <v>-0.2</v>
      </c>
      <c r="M324" s="2" t="str">
        <f>'PFAS Properties'!$Y$33</f>
        <v>-</v>
      </c>
      <c r="N324" s="33">
        <v>0</v>
      </c>
      <c r="O324" s="33">
        <v>0</v>
      </c>
      <c r="P324" s="33">
        <v>0</v>
      </c>
      <c r="Q324" s="33">
        <f t="shared" si="133"/>
        <v>0.99999984151070587</v>
      </c>
      <c r="R324" s="33">
        <v>0</v>
      </c>
      <c r="S324" s="33">
        <f t="shared" si="134"/>
        <v>1.5848929412725089E-7</v>
      </c>
      <c r="T324" s="8">
        <f t="shared" si="135"/>
        <v>1</v>
      </c>
      <c r="U324" s="33">
        <f t="shared" si="140"/>
        <v>0</v>
      </c>
      <c r="V324" s="33">
        <f t="shared" si="141"/>
        <v>-0.99999984151070587</v>
      </c>
      <c r="W324" s="33">
        <f t="shared" si="142"/>
        <v>412.97360015848926</v>
      </c>
      <c r="X324" s="33">
        <v>96485</v>
      </c>
      <c r="Y324" s="16">
        <f t="shared" si="143"/>
        <v>-233.63475212733178</v>
      </c>
      <c r="Z324" s="16">
        <v>8</v>
      </c>
      <c r="AA324" s="16">
        <v>15</v>
      </c>
      <c r="AB324" s="8">
        <f t="shared" si="144"/>
        <v>0.33684210526315789</v>
      </c>
      <c r="AC324" s="16">
        <f t="shared" si="145"/>
        <v>68.844969824162703</v>
      </c>
      <c r="AD324" s="20">
        <f>'PFAS Properties'!$W$33</f>
        <v>7</v>
      </c>
      <c r="AE324" s="8">
        <f>'PFAS Properties'!$S$33</f>
        <v>2.6821450763738319</v>
      </c>
      <c r="AF324" s="15">
        <f>'PFAS Properties'!$V$33</f>
        <v>4.9000000000000004</v>
      </c>
      <c r="AG324" s="24">
        <v>6.6</v>
      </c>
      <c r="AH324" s="2" t="s">
        <v>122</v>
      </c>
      <c r="AI324" s="2" t="s">
        <v>661</v>
      </c>
      <c r="AJ324" s="2" t="s">
        <v>661</v>
      </c>
      <c r="AK324" s="2" t="s">
        <v>661</v>
      </c>
      <c r="AL324" s="2" t="s">
        <v>661</v>
      </c>
      <c r="AM324" s="2" t="s">
        <v>661</v>
      </c>
      <c r="AN324" s="2" t="s">
        <v>661</v>
      </c>
      <c r="AO324" s="2" t="s">
        <v>661</v>
      </c>
      <c r="AP324" s="16">
        <v>45.7</v>
      </c>
      <c r="AQ324" s="2" t="s">
        <v>661</v>
      </c>
      <c r="AR324" s="16">
        <v>27</v>
      </c>
      <c r="AS324" s="16">
        <v>14</v>
      </c>
      <c r="AT324" s="16">
        <v>59</v>
      </c>
      <c r="AU324" s="2" t="s">
        <v>661</v>
      </c>
      <c r="AV324" s="16">
        <f t="shared" si="138"/>
        <v>100</v>
      </c>
      <c r="AW324" s="18">
        <v>1.1000000000000001</v>
      </c>
      <c r="AX324" s="13">
        <f t="shared" si="136"/>
        <v>1.1000000000000001E-2</v>
      </c>
      <c r="AY324" s="13" t="s">
        <v>123</v>
      </c>
      <c r="AZ324" s="16">
        <f t="shared" si="139"/>
        <v>100</v>
      </c>
      <c r="BA324" s="16" t="s">
        <v>55</v>
      </c>
      <c r="BB324" s="15">
        <v>2.2999999999999998</v>
      </c>
      <c r="BC324" s="16" t="s">
        <v>55</v>
      </c>
      <c r="BD324" s="18">
        <v>10.3</v>
      </c>
      <c r="BE324" s="15">
        <f t="shared" si="146"/>
        <v>936.36363636363637</v>
      </c>
      <c r="BF324" s="8">
        <f t="shared" si="147"/>
        <v>2.9714445395469471</v>
      </c>
      <c r="BG324" s="8">
        <f t="shared" si="148"/>
        <v>1.0128372247051722</v>
      </c>
      <c r="BH324" s="13" t="s">
        <v>841</v>
      </c>
      <c r="BI324" s="13"/>
      <c r="BJ324" s="13"/>
      <c r="BK324" s="8"/>
      <c r="BL324" s="8"/>
      <c r="BM324" s="18"/>
      <c r="BN324" s="8"/>
      <c r="BO324" s="24"/>
    </row>
    <row r="325" spans="1:67" s="14" customFormat="1" x14ac:dyDescent="0.3">
      <c r="A325" s="20">
        <v>331</v>
      </c>
      <c r="B325" s="2" t="s">
        <v>241</v>
      </c>
      <c r="C325" s="2">
        <v>2019</v>
      </c>
      <c r="D325" s="2" t="s">
        <v>201</v>
      </c>
      <c r="E325" s="10" t="s">
        <v>800</v>
      </c>
      <c r="F325" s="20" t="s">
        <v>29</v>
      </c>
      <c r="G325" s="2">
        <v>79</v>
      </c>
      <c r="H325" s="2" t="str">
        <f>'PFAS Properties'!$B$33</f>
        <v>PFOA</v>
      </c>
      <c r="I325" s="2" t="str">
        <f>'PFAS Properties'!$C$33</f>
        <v>PFCA</v>
      </c>
      <c r="J325" s="2" t="str">
        <f>'PFAS Properties'!$D$33</f>
        <v>C8HF15O2</v>
      </c>
      <c r="K325" s="25">
        <f>'PFAS Properties'!$P$33</f>
        <v>413.97359999999998</v>
      </c>
      <c r="L325" s="2">
        <f>'PFAS Properties'!$X$33</f>
        <v>-0.2</v>
      </c>
      <c r="M325" s="2" t="str">
        <f>'PFAS Properties'!$Y$33</f>
        <v>-</v>
      </c>
      <c r="N325" s="33">
        <v>0</v>
      </c>
      <c r="O325" s="33">
        <v>0</v>
      </c>
      <c r="P325" s="33">
        <v>0</v>
      </c>
      <c r="Q325" s="33">
        <f t="shared" si="133"/>
        <v>0.99999997488113634</v>
      </c>
      <c r="R325" s="33">
        <v>0</v>
      </c>
      <c r="S325" s="33">
        <f t="shared" si="134"/>
        <v>2.5118863684138424E-8</v>
      </c>
      <c r="T325" s="8">
        <f t="shared" si="135"/>
        <v>1</v>
      </c>
      <c r="U325" s="33">
        <f t="shared" si="140"/>
        <v>0</v>
      </c>
      <c r="V325" s="33">
        <f t="shared" si="141"/>
        <v>-0.99999997488113634</v>
      </c>
      <c r="W325" s="33">
        <f t="shared" si="142"/>
        <v>412.97360002511886</v>
      </c>
      <c r="X325" s="33">
        <v>96485</v>
      </c>
      <c r="Y325" s="16">
        <f t="shared" si="143"/>
        <v>-233.63478336275685</v>
      </c>
      <c r="Z325" s="16">
        <v>8</v>
      </c>
      <c r="AA325" s="16">
        <v>15</v>
      </c>
      <c r="AB325" s="8">
        <f t="shared" si="144"/>
        <v>0.33684210526315789</v>
      </c>
      <c r="AC325" s="16">
        <f t="shared" si="145"/>
        <v>68.844969824162703</v>
      </c>
      <c r="AD325" s="20">
        <f>'PFAS Properties'!$W$33</f>
        <v>7</v>
      </c>
      <c r="AE325" s="8">
        <f>'PFAS Properties'!$S$33</f>
        <v>2.6821450763738319</v>
      </c>
      <c r="AF325" s="15">
        <f>'PFAS Properties'!$V$33</f>
        <v>4.9000000000000004</v>
      </c>
      <c r="AG325" s="24">
        <v>7.4</v>
      </c>
      <c r="AH325" s="2" t="s">
        <v>122</v>
      </c>
      <c r="AI325" s="2" t="s">
        <v>661</v>
      </c>
      <c r="AJ325" s="2" t="s">
        <v>661</v>
      </c>
      <c r="AK325" s="2" t="s">
        <v>661</v>
      </c>
      <c r="AL325" s="2" t="s">
        <v>661</v>
      </c>
      <c r="AM325" s="2" t="s">
        <v>661</v>
      </c>
      <c r="AN325" s="2" t="s">
        <v>661</v>
      </c>
      <c r="AO325" s="2" t="s">
        <v>661</v>
      </c>
      <c r="AP325" s="16">
        <v>44.4</v>
      </c>
      <c r="AQ325" s="2" t="s">
        <v>661</v>
      </c>
      <c r="AR325" s="16">
        <v>22</v>
      </c>
      <c r="AS325" s="16">
        <v>14</v>
      </c>
      <c r="AT325" s="16">
        <v>64</v>
      </c>
      <c r="AU325" s="2" t="s">
        <v>661</v>
      </c>
      <c r="AV325" s="16">
        <f t="shared" si="138"/>
        <v>100</v>
      </c>
      <c r="AW325" s="18">
        <v>0.4</v>
      </c>
      <c r="AX325" s="13">
        <f t="shared" si="136"/>
        <v>4.0000000000000001E-3</v>
      </c>
      <c r="AY325" s="13" t="s">
        <v>123</v>
      </c>
      <c r="AZ325" s="16">
        <f t="shared" si="139"/>
        <v>100</v>
      </c>
      <c r="BA325" s="16" t="s">
        <v>55</v>
      </c>
      <c r="BB325" s="15">
        <v>2.2999999999999998</v>
      </c>
      <c r="BC325" s="16" t="s">
        <v>55</v>
      </c>
      <c r="BD325" s="18">
        <v>7.9</v>
      </c>
      <c r="BE325" s="15">
        <f t="shared" si="146"/>
        <v>1975</v>
      </c>
      <c r="BF325" s="8">
        <f t="shared" si="147"/>
        <v>3.2955670999624789</v>
      </c>
      <c r="BG325" s="8">
        <f t="shared" si="148"/>
        <v>0.89762709129044149</v>
      </c>
      <c r="BH325" s="13" t="s">
        <v>841</v>
      </c>
      <c r="BI325" s="13"/>
      <c r="BJ325" s="13"/>
      <c r="BK325" s="8"/>
      <c r="BL325" s="8"/>
      <c r="BM325" s="18"/>
      <c r="BN325" s="8"/>
      <c r="BO325" s="24"/>
    </row>
    <row r="326" spans="1:67" s="14" customFormat="1" x14ac:dyDescent="0.3">
      <c r="A326" s="20">
        <v>332</v>
      </c>
      <c r="B326" s="2" t="s">
        <v>241</v>
      </c>
      <c r="C326" s="2">
        <v>2019</v>
      </c>
      <c r="D326" s="2" t="s">
        <v>201</v>
      </c>
      <c r="E326" s="10" t="s">
        <v>800</v>
      </c>
      <c r="F326" s="20" t="s">
        <v>29</v>
      </c>
      <c r="G326" s="2">
        <v>80</v>
      </c>
      <c r="H326" s="2" t="str">
        <f>'PFAS Properties'!$B$33</f>
        <v>PFOA</v>
      </c>
      <c r="I326" s="2" t="str">
        <f>'PFAS Properties'!$C$33</f>
        <v>PFCA</v>
      </c>
      <c r="J326" s="2" t="str">
        <f>'PFAS Properties'!$D$33</f>
        <v>C8HF15O2</v>
      </c>
      <c r="K326" s="25">
        <f>'PFAS Properties'!$P$33</f>
        <v>413.97359999999998</v>
      </c>
      <c r="L326" s="2">
        <f>'PFAS Properties'!$X$33</f>
        <v>-0.2</v>
      </c>
      <c r="M326" s="2" t="str">
        <f>'PFAS Properties'!$Y$33</f>
        <v>-</v>
      </c>
      <c r="N326" s="33">
        <v>0</v>
      </c>
      <c r="O326" s="33">
        <v>0</v>
      </c>
      <c r="P326" s="33">
        <v>0</v>
      </c>
      <c r="Q326" s="33">
        <f t="shared" si="133"/>
        <v>0.99999999498812764</v>
      </c>
      <c r="R326" s="33">
        <v>0</v>
      </c>
      <c r="S326" s="33">
        <f t="shared" si="134"/>
        <v>5.0118723111538642E-9</v>
      </c>
      <c r="T326" s="8">
        <f t="shared" si="135"/>
        <v>1</v>
      </c>
      <c r="U326" s="33">
        <f t="shared" si="140"/>
        <v>0</v>
      </c>
      <c r="V326" s="33">
        <f t="shared" si="141"/>
        <v>-0.99999999498812764</v>
      </c>
      <c r="W326" s="33">
        <f t="shared" si="142"/>
        <v>412.9736000050118</v>
      </c>
      <c r="X326" s="33">
        <v>96485</v>
      </c>
      <c r="Y326" s="16">
        <f t="shared" si="143"/>
        <v>-233.63478807182486</v>
      </c>
      <c r="Z326" s="16">
        <v>8</v>
      </c>
      <c r="AA326" s="16">
        <v>15</v>
      </c>
      <c r="AB326" s="8">
        <f t="shared" si="144"/>
        <v>0.33684210526315789</v>
      </c>
      <c r="AC326" s="16">
        <f t="shared" si="145"/>
        <v>68.844969824162703</v>
      </c>
      <c r="AD326" s="20">
        <f>'PFAS Properties'!$W$33</f>
        <v>7</v>
      </c>
      <c r="AE326" s="8">
        <f>'PFAS Properties'!$S$33</f>
        <v>2.6821450763738319</v>
      </c>
      <c r="AF326" s="15">
        <f>'PFAS Properties'!$V$33</f>
        <v>4.9000000000000004</v>
      </c>
      <c r="AG326" s="24">
        <v>8.1</v>
      </c>
      <c r="AH326" s="2" t="s">
        <v>122</v>
      </c>
      <c r="AI326" s="2" t="s">
        <v>661</v>
      </c>
      <c r="AJ326" s="2" t="s">
        <v>661</v>
      </c>
      <c r="AK326" s="2" t="s">
        <v>661</v>
      </c>
      <c r="AL326" s="2" t="s">
        <v>661</v>
      </c>
      <c r="AM326" s="2" t="s">
        <v>661</v>
      </c>
      <c r="AN326" s="2" t="s">
        <v>661</v>
      </c>
      <c r="AO326" s="2" t="s">
        <v>661</v>
      </c>
      <c r="AP326" s="16">
        <v>36.5</v>
      </c>
      <c r="AQ326" s="2" t="s">
        <v>661</v>
      </c>
      <c r="AR326" s="16">
        <v>33</v>
      </c>
      <c r="AS326" s="16">
        <v>7</v>
      </c>
      <c r="AT326" s="16">
        <v>60</v>
      </c>
      <c r="AU326" s="2" t="s">
        <v>661</v>
      </c>
      <c r="AV326" s="16">
        <f t="shared" si="138"/>
        <v>100</v>
      </c>
      <c r="AW326" s="18">
        <v>0.2</v>
      </c>
      <c r="AX326" s="13">
        <f t="shared" si="136"/>
        <v>2E-3</v>
      </c>
      <c r="AY326" s="13" t="s">
        <v>123</v>
      </c>
      <c r="AZ326" s="16">
        <f t="shared" si="139"/>
        <v>100</v>
      </c>
      <c r="BA326" s="16" t="s">
        <v>55</v>
      </c>
      <c r="BB326" s="15">
        <v>2.2999999999999998</v>
      </c>
      <c r="BC326" s="16" t="s">
        <v>55</v>
      </c>
      <c r="BD326" s="18">
        <v>2.2999999999999998</v>
      </c>
      <c r="BE326" s="15">
        <f t="shared" si="146"/>
        <v>1150</v>
      </c>
      <c r="BF326" s="8">
        <f t="shared" si="147"/>
        <v>3.0606978403536118</v>
      </c>
      <c r="BG326" s="8">
        <f t="shared" si="148"/>
        <v>0.36172783601759284</v>
      </c>
      <c r="BH326" s="13" t="s">
        <v>841</v>
      </c>
      <c r="BI326" s="13"/>
      <c r="BJ326" s="13"/>
      <c r="BK326" s="8"/>
      <c r="BL326" s="8"/>
      <c r="BM326" s="18"/>
      <c r="BN326" s="8"/>
      <c r="BO326" s="24"/>
    </row>
    <row r="327" spans="1:67" s="14" customFormat="1" x14ac:dyDescent="0.3">
      <c r="A327" s="20">
        <v>333</v>
      </c>
      <c r="B327" s="2" t="s">
        <v>241</v>
      </c>
      <c r="C327" s="2">
        <v>2019</v>
      </c>
      <c r="D327" s="2" t="s">
        <v>201</v>
      </c>
      <c r="E327" s="10" t="s">
        <v>800</v>
      </c>
      <c r="F327" s="20" t="s">
        <v>29</v>
      </c>
      <c r="G327" s="2">
        <v>81</v>
      </c>
      <c r="H327" s="2" t="str">
        <f>'PFAS Properties'!$B$33</f>
        <v>PFOA</v>
      </c>
      <c r="I327" s="2" t="str">
        <f>'PFAS Properties'!$C$33</f>
        <v>PFCA</v>
      </c>
      <c r="J327" s="2" t="str">
        <f>'PFAS Properties'!$D$33</f>
        <v>C8HF15O2</v>
      </c>
      <c r="K327" s="25">
        <f>'PFAS Properties'!$P$33</f>
        <v>413.97359999999998</v>
      </c>
      <c r="L327" s="2">
        <f>'PFAS Properties'!$X$33</f>
        <v>-0.2</v>
      </c>
      <c r="M327" s="2" t="str">
        <f>'PFAS Properties'!$Y$33</f>
        <v>-</v>
      </c>
      <c r="N327" s="33">
        <v>0</v>
      </c>
      <c r="O327" s="33">
        <v>0</v>
      </c>
      <c r="P327" s="33">
        <v>0</v>
      </c>
      <c r="Q327" s="33">
        <f t="shared" si="133"/>
        <v>0.99999998741074603</v>
      </c>
      <c r="R327" s="33">
        <v>0</v>
      </c>
      <c r="S327" s="33">
        <f t="shared" si="134"/>
        <v>1.258925395945232E-8</v>
      </c>
      <c r="T327" s="8">
        <f t="shared" si="135"/>
        <v>1</v>
      </c>
      <c r="U327" s="33">
        <f t="shared" si="140"/>
        <v>0</v>
      </c>
      <c r="V327" s="33">
        <f t="shared" si="141"/>
        <v>-0.99999998741074603</v>
      </c>
      <c r="W327" s="33">
        <f t="shared" si="142"/>
        <v>412.9736000125892</v>
      </c>
      <c r="X327" s="33">
        <v>96485</v>
      </c>
      <c r="Y327" s="16">
        <f t="shared" si="143"/>
        <v>-233.63478629719808</v>
      </c>
      <c r="Z327" s="16">
        <v>8</v>
      </c>
      <c r="AA327" s="16">
        <v>15</v>
      </c>
      <c r="AB327" s="8">
        <f t="shared" si="144"/>
        <v>0.33684210526315789</v>
      </c>
      <c r="AC327" s="16">
        <f t="shared" si="145"/>
        <v>68.844969824162703</v>
      </c>
      <c r="AD327" s="20">
        <f>'PFAS Properties'!$W$33</f>
        <v>7</v>
      </c>
      <c r="AE327" s="8">
        <f>'PFAS Properties'!$S$33</f>
        <v>2.6821450763738319</v>
      </c>
      <c r="AF327" s="15">
        <f>'PFAS Properties'!$V$33</f>
        <v>4.9000000000000004</v>
      </c>
      <c r="AG327" s="24">
        <v>7.7</v>
      </c>
      <c r="AH327" s="2" t="s">
        <v>122</v>
      </c>
      <c r="AI327" s="2" t="s">
        <v>661</v>
      </c>
      <c r="AJ327" s="2" t="s">
        <v>661</v>
      </c>
      <c r="AK327" s="2" t="s">
        <v>661</v>
      </c>
      <c r="AL327" s="2" t="s">
        <v>661</v>
      </c>
      <c r="AM327" s="2" t="s">
        <v>661</v>
      </c>
      <c r="AN327" s="2" t="s">
        <v>661</v>
      </c>
      <c r="AO327" s="2" t="s">
        <v>661</v>
      </c>
      <c r="AP327" s="16">
        <v>18.3</v>
      </c>
      <c r="AQ327" s="2" t="s">
        <v>661</v>
      </c>
      <c r="AR327" s="16">
        <v>61</v>
      </c>
      <c r="AS327" s="16">
        <v>6</v>
      </c>
      <c r="AT327" s="16">
        <v>33</v>
      </c>
      <c r="AU327" s="2" t="s">
        <v>661</v>
      </c>
      <c r="AV327" s="16">
        <f t="shared" si="138"/>
        <v>100</v>
      </c>
      <c r="AW327" s="18">
        <v>0.4</v>
      </c>
      <c r="AX327" s="13">
        <f t="shared" si="136"/>
        <v>4.0000000000000001E-3</v>
      </c>
      <c r="AY327" s="13" t="s">
        <v>123</v>
      </c>
      <c r="AZ327" s="16">
        <f t="shared" si="139"/>
        <v>100</v>
      </c>
      <c r="BA327" s="16" t="s">
        <v>55</v>
      </c>
      <c r="BB327" s="15">
        <v>2.2999999999999998</v>
      </c>
      <c r="BC327" s="16" t="s">
        <v>55</v>
      </c>
      <c r="BD327" s="18">
        <v>3.3</v>
      </c>
      <c r="BE327" s="15">
        <f t="shared" si="146"/>
        <v>824.99999999999989</v>
      </c>
      <c r="BF327" s="8">
        <f t="shared" si="147"/>
        <v>2.916453948549925</v>
      </c>
      <c r="BG327" s="8">
        <f t="shared" si="148"/>
        <v>0.51851393987788741</v>
      </c>
      <c r="BH327" s="13" t="s">
        <v>841</v>
      </c>
      <c r="BI327" s="13"/>
      <c r="BJ327" s="13"/>
      <c r="BK327" s="8"/>
      <c r="BL327" s="8"/>
      <c r="BM327" s="18"/>
      <c r="BN327" s="8"/>
      <c r="BO327" s="24"/>
    </row>
    <row r="328" spans="1:67" s="14" customFormat="1" x14ac:dyDescent="0.3">
      <c r="A328" s="20">
        <v>334</v>
      </c>
      <c r="B328" s="2" t="s">
        <v>241</v>
      </c>
      <c r="C328" s="2">
        <v>2019</v>
      </c>
      <c r="D328" s="2" t="s">
        <v>201</v>
      </c>
      <c r="E328" s="10" t="s">
        <v>800</v>
      </c>
      <c r="F328" s="20" t="s">
        <v>29</v>
      </c>
      <c r="G328" s="2">
        <v>82</v>
      </c>
      <c r="H328" s="2" t="str">
        <f>'PFAS Properties'!$B$33</f>
        <v>PFOA</v>
      </c>
      <c r="I328" s="2" t="str">
        <f>'PFAS Properties'!$C$33</f>
        <v>PFCA</v>
      </c>
      <c r="J328" s="2" t="str">
        <f>'PFAS Properties'!$D$33</f>
        <v>C8HF15O2</v>
      </c>
      <c r="K328" s="25">
        <f>'PFAS Properties'!$P$33</f>
        <v>413.97359999999998</v>
      </c>
      <c r="L328" s="2">
        <f>'PFAS Properties'!$X$33</f>
        <v>-0.2</v>
      </c>
      <c r="M328" s="2" t="str">
        <f>'PFAS Properties'!$Y$33</f>
        <v>-</v>
      </c>
      <c r="N328" s="33">
        <v>0</v>
      </c>
      <c r="O328" s="33">
        <v>0</v>
      </c>
      <c r="P328" s="33">
        <v>0</v>
      </c>
      <c r="Q328" s="33">
        <f t="shared" ref="Q328:Q391" si="149">(10^(AG328-L328))/(1+(10^(AG328-L328)))</f>
        <v>0.99999999369042658</v>
      </c>
      <c r="R328" s="33">
        <v>0</v>
      </c>
      <c r="S328" s="33">
        <f t="shared" ref="S328:S391" si="150">(1/(1+(10^(AG328-L328))))</f>
        <v>6.3095734049912165E-9</v>
      </c>
      <c r="T328" s="8">
        <f t="shared" si="135"/>
        <v>1</v>
      </c>
      <c r="U328" s="33">
        <f t="shared" si="140"/>
        <v>0</v>
      </c>
      <c r="V328" s="33">
        <f t="shared" si="141"/>
        <v>-0.99999999369042658</v>
      </c>
      <c r="W328" s="33">
        <f t="shared" si="142"/>
        <v>412.97360000630954</v>
      </c>
      <c r="X328" s="33">
        <v>96485</v>
      </c>
      <c r="Y328" s="16">
        <f t="shared" si="143"/>
        <v>-233.63478776790257</v>
      </c>
      <c r="Z328" s="16">
        <v>8</v>
      </c>
      <c r="AA328" s="16">
        <v>15</v>
      </c>
      <c r="AB328" s="8">
        <f t="shared" si="144"/>
        <v>0.33684210526315789</v>
      </c>
      <c r="AC328" s="16">
        <f t="shared" si="145"/>
        <v>68.844969824162703</v>
      </c>
      <c r="AD328" s="20">
        <f>'PFAS Properties'!$W$33</f>
        <v>7</v>
      </c>
      <c r="AE328" s="8">
        <f>'PFAS Properties'!$S$33</f>
        <v>2.6821450763738319</v>
      </c>
      <c r="AF328" s="15">
        <f>'PFAS Properties'!$V$33</f>
        <v>4.9000000000000004</v>
      </c>
      <c r="AG328" s="24">
        <v>8</v>
      </c>
      <c r="AH328" s="2" t="s">
        <v>122</v>
      </c>
      <c r="AI328" s="2" t="s">
        <v>661</v>
      </c>
      <c r="AJ328" s="2" t="s">
        <v>661</v>
      </c>
      <c r="AK328" s="2" t="s">
        <v>661</v>
      </c>
      <c r="AL328" s="2" t="s">
        <v>661</v>
      </c>
      <c r="AM328" s="2" t="s">
        <v>661</v>
      </c>
      <c r="AN328" s="2" t="s">
        <v>661</v>
      </c>
      <c r="AO328" s="2" t="s">
        <v>661</v>
      </c>
      <c r="AP328" s="16">
        <v>16.100000000000001</v>
      </c>
      <c r="AQ328" s="2" t="s">
        <v>661</v>
      </c>
      <c r="AR328" s="16">
        <v>61</v>
      </c>
      <c r="AS328" s="16">
        <v>6</v>
      </c>
      <c r="AT328" s="16">
        <v>33</v>
      </c>
      <c r="AU328" s="2" t="s">
        <v>661</v>
      </c>
      <c r="AV328" s="16">
        <f t="shared" si="138"/>
        <v>100</v>
      </c>
      <c r="AW328" s="18">
        <v>0.2</v>
      </c>
      <c r="AX328" s="13">
        <f t="shared" si="136"/>
        <v>2E-3</v>
      </c>
      <c r="AY328" s="13" t="s">
        <v>123</v>
      </c>
      <c r="AZ328" s="16">
        <f t="shared" si="139"/>
        <v>100</v>
      </c>
      <c r="BA328" s="16" t="s">
        <v>55</v>
      </c>
      <c r="BB328" s="15">
        <v>2.2999999999999998</v>
      </c>
      <c r="BC328" s="16" t="s">
        <v>55</v>
      </c>
      <c r="BD328" s="18">
        <v>1.5</v>
      </c>
      <c r="BE328" s="15">
        <f t="shared" si="146"/>
        <v>750</v>
      </c>
      <c r="BF328" s="8">
        <f t="shared" si="147"/>
        <v>2.8750612633917001</v>
      </c>
      <c r="BG328" s="8">
        <f t="shared" si="148"/>
        <v>0.17609125905568124</v>
      </c>
      <c r="BH328" s="13" t="s">
        <v>841</v>
      </c>
      <c r="BI328" s="13"/>
      <c r="BJ328" s="13"/>
      <c r="BK328" s="8"/>
      <c r="BL328" s="8"/>
      <c r="BM328" s="18"/>
      <c r="BN328" s="8"/>
      <c r="BO328" s="24"/>
    </row>
    <row r="329" spans="1:67" s="14" customFormat="1" x14ac:dyDescent="0.3">
      <c r="A329" s="20">
        <v>335</v>
      </c>
      <c r="B329" s="2" t="s">
        <v>241</v>
      </c>
      <c r="C329" s="2">
        <v>2019</v>
      </c>
      <c r="D329" s="2" t="s">
        <v>201</v>
      </c>
      <c r="E329" s="10" t="s">
        <v>800</v>
      </c>
      <c r="F329" s="20" t="s">
        <v>29</v>
      </c>
      <c r="G329" s="2">
        <v>83</v>
      </c>
      <c r="H329" s="2" t="str">
        <f>'PFAS Properties'!$B$33</f>
        <v>PFOA</v>
      </c>
      <c r="I329" s="2" t="str">
        <f>'PFAS Properties'!$C$33</f>
        <v>PFCA</v>
      </c>
      <c r="J329" s="2" t="str">
        <f>'PFAS Properties'!$D$33</f>
        <v>C8HF15O2</v>
      </c>
      <c r="K329" s="25">
        <f>'PFAS Properties'!$P$33</f>
        <v>413.97359999999998</v>
      </c>
      <c r="L329" s="2">
        <f>'PFAS Properties'!$X$33</f>
        <v>-0.2</v>
      </c>
      <c r="M329" s="2" t="str">
        <f>'PFAS Properties'!$Y$33</f>
        <v>-</v>
      </c>
      <c r="N329" s="33">
        <v>0</v>
      </c>
      <c r="O329" s="33">
        <v>0</v>
      </c>
      <c r="P329" s="33">
        <v>0</v>
      </c>
      <c r="Q329" s="33">
        <f t="shared" si="149"/>
        <v>0.99999990000001004</v>
      </c>
      <c r="R329" s="33">
        <v>0</v>
      </c>
      <c r="S329" s="33">
        <f t="shared" si="150"/>
        <v>9.9999990000001005E-8</v>
      </c>
      <c r="T329" s="8">
        <f t="shared" si="135"/>
        <v>1</v>
      </c>
      <c r="U329" s="33">
        <f t="shared" si="140"/>
        <v>0</v>
      </c>
      <c r="V329" s="33">
        <f t="shared" si="141"/>
        <v>-0.99999990000001004</v>
      </c>
      <c r="W329" s="33">
        <f t="shared" si="142"/>
        <v>412.9736001</v>
      </c>
      <c r="X329" s="33">
        <v>96485</v>
      </c>
      <c r="Y329" s="16">
        <f t="shared" si="143"/>
        <v>-233.63476582555762</v>
      </c>
      <c r="Z329" s="16">
        <v>8</v>
      </c>
      <c r="AA329" s="16">
        <v>15</v>
      </c>
      <c r="AB329" s="8">
        <f t="shared" si="144"/>
        <v>0.33684210526315789</v>
      </c>
      <c r="AC329" s="16">
        <f t="shared" si="145"/>
        <v>68.844969824162703</v>
      </c>
      <c r="AD329" s="20">
        <f>'PFAS Properties'!$W$33</f>
        <v>7</v>
      </c>
      <c r="AE329" s="8">
        <f>'PFAS Properties'!$S$33</f>
        <v>2.6821450763738319</v>
      </c>
      <c r="AF329" s="15">
        <f>'PFAS Properties'!$V$33</f>
        <v>4.9000000000000004</v>
      </c>
      <c r="AG329" s="24">
        <v>6.8</v>
      </c>
      <c r="AH329" s="2" t="s">
        <v>122</v>
      </c>
      <c r="AI329" s="2" t="s">
        <v>661</v>
      </c>
      <c r="AJ329" s="2" t="s">
        <v>661</v>
      </c>
      <c r="AK329" s="2" t="s">
        <v>661</v>
      </c>
      <c r="AL329" s="2" t="s">
        <v>661</v>
      </c>
      <c r="AM329" s="2" t="s">
        <v>661</v>
      </c>
      <c r="AN329" s="2" t="s">
        <v>661</v>
      </c>
      <c r="AO329" s="2" t="s">
        <v>661</v>
      </c>
      <c r="AP329" s="16">
        <v>16.2</v>
      </c>
      <c r="AQ329" s="2" t="s">
        <v>661</v>
      </c>
      <c r="AR329" s="16">
        <v>50</v>
      </c>
      <c r="AS329" s="16">
        <v>30</v>
      </c>
      <c r="AT329" s="16">
        <v>20</v>
      </c>
      <c r="AU329" s="2" t="s">
        <v>661</v>
      </c>
      <c r="AV329" s="16">
        <f t="shared" si="138"/>
        <v>100</v>
      </c>
      <c r="AW329" s="18">
        <v>1.6</v>
      </c>
      <c r="AX329" s="13">
        <f t="shared" si="136"/>
        <v>1.6E-2</v>
      </c>
      <c r="AY329" s="13" t="s">
        <v>123</v>
      </c>
      <c r="AZ329" s="16">
        <f t="shared" si="139"/>
        <v>100</v>
      </c>
      <c r="BA329" s="16" t="s">
        <v>55</v>
      </c>
      <c r="BB329" s="15">
        <v>2.2999999999999998</v>
      </c>
      <c r="BC329" s="16" t="s">
        <v>55</v>
      </c>
      <c r="BD329" s="18">
        <v>8.4</v>
      </c>
      <c r="BE329" s="15">
        <f t="shared" si="146"/>
        <v>525</v>
      </c>
      <c r="BF329" s="8">
        <f t="shared" si="147"/>
        <v>2.720159303405957</v>
      </c>
      <c r="BG329" s="8">
        <f t="shared" si="148"/>
        <v>0.9242792860618817</v>
      </c>
      <c r="BH329" s="13" t="s">
        <v>841</v>
      </c>
      <c r="BI329" s="13"/>
      <c r="BJ329" s="13"/>
      <c r="BK329" s="8"/>
      <c r="BL329" s="8"/>
      <c r="BM329" s="18"/>
      <c r="BN329" s="8"/>
      <c r="BO329" s="24"/>
    </row>
    <row r="330" spans="1:67" s="14" customFormat="1" x14ac:dyDescent="0.3">
      <c r="A330" s="20">
        <v>336</v>
      </c>
      <c r="B330" s="2" t="s">
        <v>241</v>
      </c>
      <c r="C330" s="2">
        <v>2019</v>
      </c>
      <c r="D330" s="2" t="s">
        <v>201</v>
      </c>
      <c r="E330" s="10" t="s">
        <v>800</v>
      </c>
      <c r="F330" s="20" t="s">
        <v>29</v>
      </c>
      <c r="G330" s="2">
        <v>84</v>
      </c>
      <c r="H330" s="2" t="str">
        <f>'PFAS Properties'!$B$33</f>
        <v>PFOA</v>
      </c>
      <c r="I330" s="2" t="str">
        <f>'PFAS Properties'!$C$33</f>
        <v>PFCA</v>
      </c>
      <c r="J330" s="2" t="str">
        <f>'PFAS Properties'!$D$33</f>
        <v>C8HF15O2</v>
      </c>
      <c r="K330" s="25">
        <f>'PFAS Properties'!$P$33</f>
        <v>413.97359999999998</v>
      </c>
      <c r="L330" s="2">
        <f>'PFAS Properties'!$X$33</f>
        <v>-0.2</v>
      </c>
      <c r="M330" s="2" t="str">
        <f>'PFAS Properties'!$Y$33</f>
        <v>-</v>
      </c>
      <c r="N330" s="33">
        <v>0</v>
      </c>
      <c r="O330" s="33">
        <v>0</v>
      </c>
      <c r="P330" s="33">
        <v>0</v>
      </c>
      <c r="Q330" s="33">
        <f t="shared" si="149"/>
        <v>0.99999999000000006</v>
      </c>
      <c r="R330" s="33">
        <v>0</v>
      </c>
      <c r="S330" s="33">
        <f t="shared" si="150"/>
        <v>9.9999999000000002E-9</v>
      </c>
      <c r="T330" s="8">
        <f t="shared" si="135"/>
        <v>1</v>
      </c>
      <c r="U330" s="33">
        <f t="shared" si="140"/>
        <v>0</v>
      </c>
      <c r="V330" s="33">
        <f t="shared" si="141"/>
        <v>-0.99999999000000006</v>
      </c>
      <c r="W330" s="33">
        <f t="shared" si="142"/>
        <v>412.97360000999993</v>
      </c>
      <c r="X330" s="33">
        <v>96485</v>
      </c>
      <c r="Y330" s="16">
        <f t="shared" si="143"/>
        <v>-233.63478690360273</v>
      </c>
      <c r="Z330" s="16">
        <v>8</v>
      </c>
      <c r="AA330" s="16">
        <v>15</v>
      </c>
      <c r="AB330" s="8">
        <f t="shared" si="144"/>
        <v>0.33684210526315789</v>
      </c>
      <c r="AC330" s="16">
        <f t="shared" si="145"/>
        <v>68.844969824162703</v>
      </c>
      <c r="AD330" s="20">
        <f>'PFAS Properties'!$W$33</f>
        <v>7</v>
      </c>
      <c r="AE330" s="8">
        <f>'PFAS Properties'!$S$33</f>
        <v>2.6821450763738319</v>
      </c>
      <c r="AF330" s="15">
        <f>'PFAS Properties'!$V$33</f>
        <v>4.9000000000000004</v>
      </c>
      <c r="AG330" s="24">
        <v>7.8</v>
      </c>
      <c r="AH330" s="2" t="s">
        <v>122</v>
      </c>
      <c r="AI330" s="2" t="s">
        <v>661</v>
      </c>
      <c r="AJ330" s="2" t="s">
        <v>661</v>
      </c>
      <c r="AK330" s="2" t="s">
        <v>661</v>
      </c>
      <c r="AL330" s="2" t="s">
        <v>661</v>
      </c>
      <c r="AM330" s="2" t="s">
        <v>661</v>
      </c>
      <c r="AN330" s="2" t="s">
        <v>661</v>
      </c>
      <c r="AO330" s="2" t="s">
        <v>661</v>
      </c>
      <c r="AP330" s="16">
        <v>4.8</v>
      </c>
      <c r="AQ330" s="2" t="s">
        <v>661</v>
      </c>
      <c r="AR330" s="16">
        <v>46</v>
      </c>
      <c r="AS330" s="16">
        <v>37</v>
      </c>
      <c r="AT330" s="16">
        <v>17</v>
      </c>
      <c r="AU330" s="2" t="s">
        <v>661</v>
      </c>
      <c r="AV330" s="16">
        <f t="shared" si="138"/>
        <v>100</v>
      </c>
      <c r="AW330" s="18">
        <v>0.3</v>
      </c>
      <c r="AX330" s="13">
        <f t="shared" si="136"/>
        <v>3.0000000000000001E-3</v>
      </c>
      <c r="AY330" s="13" t="s">
        <v>123</v>
      </c>
      <c r="AZ330" s="16">
        <f t="shared" si="139"/>
        <v>100</v>
      </c>
      <c r="BA330" s="16" t="s">
        <v>55</v>
      </c>
      <c r="BB330" s="15">
        <v>2.2999999999999998</v>
      </c>
      <c r="BC330" s="16" t="s">
        <v>55</v>
      </c>
      <c r="BD330" s="18">
        <v>8.8000000000000007</v>
      </c>
      <c r="BE330" s="15">
        <f t="shared" si="146"/>
        <v>2933.3333333333335</v>
      </c>
      <c r="BF330" s="8">
        <f t="shared" si="147"/>
        <v>3.4673614174305061</v>
      </c>
      <c r="BG330" s="8">
        <f t="shared" si="148"/>
        <v>0.94448267215016868</v>
      </c>
      <c r="BH330" s="13" t="s">
        <v>841</v>
      </c>
      <c r="BI330" s="13"/>
      <c r="BJ330" s="13"/>
      <c r="BK330" s="8"/>
      <c r="BL330" s="8"/>
      <c r="BM330" s="18"/>
      <c r="BN330" s="8"/>
      <c r="BO330" s="24"/>
    </row>
    <row r="331" spans="1:67" s="14" customFormat="1" x14ac:dyDescent="0.3">
      <c r="A331" s="20">
        <v>337</v>
      </c>
      <c r="B331" s="2" t="s">
        <v>241</v>
      </c>
      <c r="C331" s="2">
        <v>2019</v>
      </c>
      <c r="D331" s="2" t="s">
        <v>201</v>
      </c>
      <c r="E331" s="10" t="s">
        <v>800</v>
      </c>
      <c r="F331" s="20" t="s">
        <v>29</v>
      </c>
      <c r="G331" s="2">
        <v>85</v>
      </c>
      <c r="H331" s="2" t="str">
        <f>'PFAS Properties'!$B$33</f>
        <v>PFOA</v>
      </c>
      <c r="I331" s="2" t="str">
        <f>'PFAS Properties'!$C$33</f>
        <v>PFCA</v>
      </c>
      <c r="J331" s="2" t="str">
        <f>'PFAS Properties'!$D$33</f>
        <v>C8HF15O2</v>
      </c>
      <c r="K331" s="25">
        <f>'PFAS Properties'!$P$33</f>
        <v>413.97359999999998</v>
      </c>
      <c r="L331" s="2">
        <f>'PFAS Properties'!$X$33</f>
        <v>-0.2</v>
      </c>
      <c r="M331" s="2" t="str">
        <f>'PFAS Properties'!$Y$33</f>
        <v>-</v>
      </c>
      <c r="N331" s="33">
        <v>0</v>
      </c>
      <c r="O331" s="33">
        <v>0</v>
      </c>
      <c r="P331" s="33">
        <v>0</v>
      </c>
      <c r="Q331" s="33">
        <f t="shared" si="149"/>
        <v>0.99999999000000006</v>
      </c>
      <c r="R331" s="33">
        <v>0</v>
      </c>
      <c r="S331" s="33">
        <f t="shared" si="150"/>
        <v>9.9999999000000002E-9</v>
      </c>
      <c r="T331" s="8">
        <f t="shared" si="135"/>
        <v>1</v>
      </c>
      <c r="U331" s="33">
        <f t="shared" si="140"/>
        <v>0</v>
      </c>
      <c r="V331" s="33">
        <f t="shared" si="141"/>
        <v>-0.99999999000000006</v>
      </c>
      <c r="W331" s="33">
        <f t="shared" si="142"/>
        <v>412.97360000999993</v>
      </c>
      <c r="X331" s="33">
        <v>96485</v>
      </c>
      <c r="Y331" s="16">
        <f t="shared" si="143"/>
        <v>-233.63478690360273</v>
      </c>
      <c r="Z331" s="16">
        <v>8</v>
      </c>
      <c r="AA331" s="16">
        <v>15</v>
      </c>
      <c r="AB331" s="8">
        <f t="shared" si="144"/>
        <v>0.33684210526315789</v>
      </c>
      <c r="AC331" s="16">
        <f t="shared" si="145"/>
        <v>68.844969824162703</v>
      </c>
      <c r="AD331" s="20">
        <f>'PFAS Properties'!$W$33</f>
        <v>7</v>
      </c>
      <c r="AE331" s="8">
        <f>'PFAS Properties'!$S$33</f>
        <v>2.6821450763738319</v>
      </c>
      <c r="AF331" s="15">
        <f>'PFAS Properties'!$V$33</f>
        <v>4.9000000000000004</v>
      </c>
      <c r="AG331" s="24">
        <v>7.8</v>
      </c>
      <c r="AH331" s="2" t="s">
        <v>122</v>
      </c>
      <c r="AI331" s="2" t="s">
        <v>661</v>
      </c>
      <c r="AJ331" s="2" t="s">
        <v>661</v>
      </c>
      <c r="AK331" s="2" t="s">
        <v>661</v>
      </c>
      <c r="AL331" s="2" t="s">
        <v>661</v>
      </c>
      <c r="AM331" s="2" t="s">
        <v>661</v>
      </c>
      <c r="AN331" s="2" t="s">
        <v>661</v>
      </c>
      <c r="AO331" s="2" t="s">
        <v>661</v>
      </c>
      <c r="AP331" s="16">
        <v>42.4</v>
      </c>
      <c r="AQ331" s="2" t="s">
        <v>661</v>
      </c>
      <c r="AR331" s="16">
        <v>48</v>
      </c>
      <c r="AS331" s="16">
        <v>10</v>
      </c>
      <c r="AT331" s="16">
        <v>42</v>
      </c>
      <c r="AU331" s="2" t="s">
        <v>661</v>
      </c>
      <c r="AV331" s="16">
        <f t="shared" si="138"/>
        <v>100</v>
      </c>
      <c r="AW331" s="18">
        <v>0.2</v>
      </c>
      <c r="AX331" s="13">
        <f t="shared" si="136"/>
        <v>2E-3</v>
      </c>
      <c r="AY331" s="13" t="s">
        <v>123</v>
      </c>
      <c r="AZ331" s="16">
        <f t="shared" si="139"/>
        <v>100</v>
      </c>
      <c r="BA331" s="16" t="s">
        <v>55</v>
      </c>
      <c r="BB331" s="15">
        <v>2.2999999999999998</v>
      </c>
      <c r="BC331" s="16" t="s">
        <v>55</v>
      </c>
      <c r="BD331" s="18">
        <v>3.8</v>
      </c>
      <c r="BE331" s="15">
        <f t="shared" si="146"/>
        <v>1899.9999999999998</v>
      </c>
      <c r="BF331" s="8">
        <f t="shared" si="147"/>
        <v>3.2787536009528289</v>
      </c>
      <c r="BG331" s="8">
        <f t="shared" si="148"/>
        <v>0.57978359661681012</v>
      </c>
      <c r="BH331" s="13" t="s">
        <v>841</v>
      </c>
      <c r="BI331" s="13"/>
      <c r="BJ331" s="13"/>
      <c r="BK331" s="8"/>
      <c r="BL331" s="8"/>
      <c r="BM331" s="18"/>
      <c r="BN331" s="8"/>
      <c r="BO331" s="24"/>
    </row>
    <row r="332" spans="1:67" s="14" customFormat="1" x14ac:dyDescent="0.3">
      <c r="A332" s="20">
        <v>338</v>
      </c>
      <c r="B332" s="2" t="s">
        <v>241</v>
      </c>
      <c r="C332" s="2">
        <v>2019</v>
      </c>
      <c r="D332" s="2" t="s">
        <v>201</v>
      </c>
      <c r="E332" s="10" t="s">
        <v>800</v>
      </c>
      <c r="F332" s="20" t="s">
        <v>29</v>
      </c>
      <c r="G332" s="2">
        <v>86</v>
      </c>
      <c r="H332" s="2" t="str">
        <f>'PFAS Properties'!$B$33</f>
        <v>PFOA</v>
      </c>
      <c r="I332" s="2" t="str">
        <f>'PFAS Properties'!$C$33</f>
        <v>PFCA</v>
      </c>
      <c r="J332" s="2" t="str">
        <f>'PFAS Properties'!$D$33</f>
        <v>C8HF15O2</v>
      </c>
      <c r="K332" s="25">
        <f>'PFAS Properties'!$P$33</f>
        <v>413.97359999999998</v>
      </c>
      <c r="L332" s="2">
        <f>'PFAS Properties'!$X$33</f>
        <v>-0.2</v>
      </c>
      <c r="M332" s="2" t="str">
        <f>'PFAS Properties'!$Y$33</f>
        <v>-</v>
      </c>
      <c r="N332" s="33">
        <v>0</v>
      </c>
      <c r="O332" s="33">
        <v>0</v>
      </c>
      <c r="P332" s="33">
        <v>0</v>
      </c>
      <c r="Q332" s="33">
        <f t="shared" si="149"/>
        <v>0.99999999601892831</v>
      </c>
      <c r="R332" s="33">
        <v>0</v>
      </c>
      <c r="S332" s="33">
        <f t="shared" si="150"/>
        <v>3.9810716896860486E-9</v>
      </c>
      <c r="T332" s="8">
        <f t="shared" si="135"/>
        <v>1</v>
      </c>
      <c r="U332" s="33">
        <f t="shared" si="140"/>
        <v>0</v>
      </c>
      <c r="V332" s="33">
        <f t="shared" si="141"/>
        <v>-0.99999999601892831</v>
      </c>
      <c r="W332" s="33">
        <f t="shared" si="142"/>
        <v>412.97360000398106</v>
      </c>
      <c r="X332" s="33">
        <v>96485</v>
      </c>
      <c r="Y332" s="16">
        <f t="shared" si="143"/>
        <v>-233.63478831323886</v>
      </c>
      <c r="Z332" s="16">
        <v>8</v>
      </c>
      <c r="AA332" s="16">
        <v>15</v>
      </c>
      <c r="AB332" s="8">
        <f t="shared" si="144"/>
        <v>0.33684210526315789</v>
      </c>
      <c r="AC332" s="16">
        <f t="shared" si="145"/>
        <v>68.844969824162703</v>
      </c>
      <c r="AD332" s="20">
        <f>'PFAS Properties'!$W$33</f>
        <v>7</v>
      </c>
      <c r="AE332" s="8">
        <f>'PFAS Properties'!$S$33</f>
        <v>2.6821450763738319</v>
      </c>
      <c r="AF332" s="15">
        <f>'PFAS Properties'!$V$33</f>
        <v>4.9000000000000004</v>
      </c>
      <c r="AG332" s="24">
        <v>8.1999999999999993</v>
      </c>
      <c r="AH332" s="2" t="s">
        <v>122</v>
      </c>
      <c r="AI332" s="2" t="s">
        <v>661</v>
      </c>
      <c r="AJ332" s="2" t="s">
        <v>661</v>
      </c>
      <c r="AK332" s="2" t="s">
        <v>661</v>
      </c>
      <c r="AL332" s="2" t="s">
        <v>661</v>
      </c>
      <c r="AM332" s="2" t="s">
        <v>661</v>
      </c>
      <c r="AN332" s="2" t="s">
        <v>661</v>
      </c>
      <c r="AO332" s="2" t="s">
        <v>661</v>
      </c>
      <c r="AP332" s="16">
        <v>26.1</v>
      </c>
      <c r="AQ332" s="2" t="s">
        <v>661</v>
      </c>
      <c r="AR332" s="16">
        <v>48</v>
      </c>
      <c r="AS332" s="16">
        <v>7</v>
      </c>
      <c r="AT332" s="16">
        <v>45</v>
      </c>
      <c r="AU332" s="2" t="s">
        <v>661</v>
      </c>
      <c r="AV332" s="16">
        <f t="shared" si="138"/>
        <v>100</v>
      </c>
      <c r="AW332" s="18">
        <v>0.1</v>
      </c>
      <c r="AX332" s="13">
        <f t="shared" si="136"/>
        <v>1E-3</v>
      </c>
      <c r="AY332" s="13" t="s">
        <v>123</v>
      </c>
      <c r="AZ332" s="16">
        <f t="shared" si="139"/>
        <v>100</v>
      </c>
      <c r="BA332" s="16" t="s">
        <v>55</v>
      </c>
      <c r="BB332" s="15">
        <v>2.2999999999999998</v>
      </c>
      <c r="BC332" s="16" t="s">
        <v>55</v>
      </c>
      <c r="BD332" s="18">
        <v>5</v>
      </c>
      <c r="BE332" s="15">
        <f t="shared" si="146"/>
        <v>5000</v>
      </c>
      <c r="BF332" s="8">
        <f t="shared" si="147"/>
        <v>3.6989700043360187</v>
      </c>
      <c r="BG332" s="8">
        <f t="shared" si="148"/>
        <v>0.69897000433601886</v>
      </c>
      <c r="BH332" s="13" t="s">
        <v>841</v>
      </c>
      <c r="BI332" s="13"/>
      <c r="BJ332" s="13"/>
      <c r="BK332" s="8"/>
      <c r="BL332" s="8"/>
      <c r="BM332" s="18"/>
      <c r="BN332" s="8"/>
      <c r="BO332" s="24"/>
    </row>
    <row r="333" spans="1:67" s="14" customFormat="1" x14ac:dyDescent="0.3">
      <c r="A333" s="20">
        <v>339</v>
      </c>
      <c r="B333" s="2" t="s">
        <v>241</v>
      </c>
      <c r="C333" s="2">
        <v>2019</v>
      </c>
      <c r="D333" s="2" t="s">
        <v>201</v>
      </c>
      <c r="E333" s="10" t="s">
        <v>800</v>
      </c>
      <c r="F333" s="20" t="s">
        <v>29</v>
      </c>
      <c r="G333" s="2">
        <v>87</v>
      </c>
      <c r="H333" s="2" t="str">
        <f>'PFAS Properties'!$B$33</f>
        <v>PFOA</v>
      </c>
      <c r="I333" s="2" t="str">
        <f>'PFAS Properties'!$C$33</f>
        <v>PFCA</v>
      </c>
      <c r="J333" s="2" t="str">
        <f>'PFAS Properties'!$D$33</f>
        <v>C8HF15O2</v>
      </c>
      <c r="K333" s="25">
        <f>'PFAS Properties'!$P$33</f>
        <v>413.97359999999998</v>
      </c>
      <c r="L333" s="2">
        <f>'PFAS Properties'!$X$33</f>
        <v>-0.2</v>
      </c>
      <c r="M333" s="2" t="str">
        <f>'PFAS Properties'!$Y$33</f>
        <v>-</v>
      </c>
      <c r="N333" s="33">
        <v>0</v>
      </c>
      <c r="O333" s="33">
        <v>0</v>
      </c>
      <c r="P333" s="33">
        <v>0</v>
      </c>
      <c r="Q333" s="33">
        <f t="shared" si="149"/>
        <v>0.99999999205671775</v>
      </c>
      <c r="R333" s="33">
        <v>0</v>
      </c>
      <c r="S333" s="33">
        <f t="shared" si="150"/>
        <v>7.9432822841470747E-9</v>
      </c>
      <c r="T333" s="8">
        <f t="shared" si="135"/>
        <v>1</v>
      </c>
      <c r="U333" s="33">
        <f t="shared" si="140"/>
        <v>0</v>
      </c>
      <c r="V333" s="33">
        <f t="shared" si="141"/>
        <v>-0.99999999205671775</v>
      </c>
      <c r="W333" s="33">
        <f t="shared" si="142"/>
        <v>412.97360000794328</v>
      </c>
      <c r="X333" s="33">
        <v>96485</v>
      </c>
      <c r="Y333" s="16">
        <f t="shared" si="143"/>
        <v>-233.63478738528704</v>
      </c>
      <c r="Z333" s="16">
        <v>8</v>
      </c>
      <c r="AA333" s="16">
        <v>15</v>
      </c>
      <c r="AB333" s="8">
        <f t="shared" si="144"/>
        <v>0.33684210526315789</v>
      </c>
      <c r="AC333" s="16">
        <f t="shared" si="145"/>
        <v>68.844969824162703</v>
      </c>
      <c r="AD333" s="20">
        <f>'PFAS Properties'!$W$33</f>
        <v>7</v>
      </c>
      <c r="AE333" s="8">
        <f>'PFAS Properties'!$S$33</f>
        <v>2.6821450763738319</v>
      </c>
      <c r="AF333" s="15">
        <f>'PFAS Properties'!$V$33</f>
        <v>4.9000000000000004</v>
      </c>
      <c r="AG333" s="24">
        <v>7.9</v>
      </c>
      <c r="AH333" s="2" t="s">
        <v>122</v>
      </c>
      <c r="AI333" s="2" t="s">
        <v>661</v>
      </c>
      <c r="AJ333" s="2" t="s">
        <v>661</v>
      </c>
      <c r="AK333" s="2" t="s">
        <v>661</v>
      </c>
      <c r="AL333" s="2" t="s">
        <v>661</v>
      </c>
      <c r="AM333" s="2" t="s">
        <v>661</v>
      </c>
      <c r="AN333" s="2" t="s">
        <v>661</v>
      </c>
      <c r="AO333" s="2" t="s">
        <v>661</v>
      </c>
      <c r="AP333" s="16">
        <v>10.4</v>
      </c>
      <c r="AQ333" s="2" t="s">
        <v>661</v>
      </c>
      <c r="AR333" s="16">
        <v>60.5</v>
      </c>
      <c r="AS333" s="16">
        <v>18.299999999999997</v>
      </c>
      <c r="AT333" s="16">
        <v>21.2</v>
      </c>
      <c r="AU333" s="2" t="s">
        <v>661</v>
      </c>
      <c r="AV333" s="16">
        <f t="shared" si="138"/>
        <v>100</v>
      </c>
      <c r="AW333" s="18">
        <v>0.1</v>
      </c>
      <c r="AX333" s="13">
        <f t="shared" si="136"/>
        <v>1E-3</v>
      </c>
      <c r="AY333" s="13" t="s">
        <v>123</v>
      </c>
      <c r="AZ333" s="16">
        <f t="shared" si="139"/>
        <v>100</v>
      </c>
      <c r="BA333" s="16" t="s">
        <v>55</v>
      </c>
      <c r="BB333" s="15">
        <v>2.2999999999999998</v>
      </c>
      <c r="BC333" s="16" t="s">
        <v>55</v>
      </c>
      <c r="BD333" s="18">
        <v>2.9</v>
      </c>
      <c r="BE333" s="15">
        <f t="shared" si="146"/>
        <v>2900</v>
      </c>
      <c r="BF333" s="8">
        <f t="shared" si="147"/>
        <v>3.4623979978989561</v>
      </c>
      <c r="BG333" s="8">
        <f t="shared" si="148"/>
        <v>0.46239799789895608</v>
      </c>
      <c r="BH333" s="13" t="s">
        <v>841</v>
      </c>
      <c r="BI333" s="13"/>
      <c r="BJ333" s="13"/>
      <c r="BK333" s="8"/>
      <c r="BL333" s="8"/>
      <c r="BM333" s="18"/>
      <c r="BN333" s="8"/>
      <c r="BO333" s="24"/>
    </row>
    <row r="334" spans="1:67" s="14" customFormat="1" x14ac:dyDescent="0.3">
      <c r="A334" s="20">
        <v>340</v>
      </c>
      <c r="B334" s="2" t="s">
        <v>241</v>
      </c>
      <c r="C334" s="2">
        <v>2019</v>
      </c>
      <c r="D334" s="2" t="s">
        <v>201</v>
      </c>
      <c r="E334" s="10" t="s">
        <v>800</v>
      </c>
      <c r="F334" s="20" t="s">
        <v>29</v>
      </c>
      <c r="G334" s="2">
        <v>88</v>
      </c>
      <c r="H334" s="2" t="str">
        <f>'PFAS Properties'!$B$33</f>
        <v>PFOA</v>
      </c>
      <c r="I334" s="2" t="str">
        <f>'PFAS Properties'!$C$33</f>
        <v>PFCA</v>
      </c>
      <c r="J334" s="2" t="str">
        <f>'PFAS Properties'!$D$33</f>
        <v>C8HF15O2</v>
      </c>
      <c r="K334" s="25">
        <f>'PFAS Properties'!$P$33</f>
        <v>413.97359999999998</v>
      </c>
      <c r="L334" s="2">
        <f>'PFAS Properties'!$X$33</f>
        <v>-0.2</v>
      </c>
      <c r="M334" s="2" t="str">
        <f>'PFAS Properties'!$Y$33</f>
        <v>-</v>
      </c>
      <c r="N334" s="33">
        <v>0</v>
      </c>
      <c r="O334" s="33">
        <v>0</v>
      </c>
      <c r="P334" s="33">
        <v>0</v>
      </c>
      <c r="Q334" s="33">
        <f t="shared" si="149"/>
        <v>0.99999998415106828</v>
      </c>
      <c r="R334" s="33">
        <v>0</v>
      </c>
      <c r="S334" s="33">
        <f t="shared" si="150"/>
        <v>1.5848931673422493E-8</v>
      </c>
      <c r="T334" s="8">
        <f t="shared" si="135"/>
        <v>1</v>
      </c>
      <c r="U334" s="33">
        <f t="shared" si="140"/>
        <v>0</v>
      </c>
      <c r="V334" s="33">
        <f t="shared" si="141"/>
        <v>-0.99999998415106828</v>
      </c>
      <c r="W334" s="33">
        <f t="shared" si="142"/>
        <v>412.97360001584889</v>
      </c>
      <c r="X334" s="33">
        <v>96485</v>
      </c>
      <c r="Y334" s="16">
        <f t="shared" si="143"/>
        <v>-233.63478553377979</v>
      </c>
      <c r="Z334" s="16">
        <v>8</v>
      </c>
      <c r="AA334" s="16">
        <v>15</v>
      </c>
      <c r="AB334" s="8">
        <f t="shared" si="144"/>
        <v>0.33684210526315789</v>
      </c>
      <c r="AC334" s="16">
        <f t="shared" si="145"/>
        <v>68.844969824162703</v>
      </c>
      <c r="AD334" s="20">
        <f>'PFAS Properties'!$W$33</f>
        <v>7</v>
      </c>
      <c r="AE334" s="8">
        <f>'PFAS Properties'!$S$33</f>
        <v>2.6821450763738319</v>
      </c>
      <c r="AF334" s="15">
        <f>'PFAS Properties'!$V$33</f>
        <v>4.9000000000000004</v>
      </c>
      <c r="AG334" s="24">
        <v>7.6</v>
      </c>
      <c r="AH334" s="2" t="s">
        <v>122</v>
      </c>
      <c r="AI334" s="2" t="s">
        <v>661</v>
      </c>
      <c r="AJ334" s="2" t="s">
        <v>661</v>
      </c>
      <c r="AK334" s="2" t="s">
        <v>661</v>
      </c>
      <c r="AL334" s="2" t="s">
        <v>661</v>
      </c>
      <c r="AM334" s="2" t="s">
        <v>661</v>
      </c>
      <c r="AN334" s="2" t="s">
        <v>661</v>
      </c>
      <c r="AO334" s="2" t="s">
        <v>661</v>
      </c>
      <c r="AP334" s="16">
        <v>9.6999999999999993</v>
      </c>
      <c r="AQ334" s="2" t="s">
        <v>661</v>
      </c>
      <c r="AR334" s="16">
        <v>80.5</v>
      </c>
      <c r="AS334" s="16">
        <v>4.7999999999999972</v>
      </c>
      <c r="AT334" s="16">
        <v>14.7</v>
      </c>
      <c r="AU334" s="2" t="s">
        <v>661</v>
      </c>
      <c r="AV334" s="16">
        <f t="shared" si="138"/>
        <v>100</v>
      </c>
      <c r="AW334" s="18">
        <v>0.2</v>
      </c>
      <c r="AX334" s="13">
        <f t="shared" si="136"/>
        <v>2E-3</v>
      </c>
      <c r="AY334" s="13" t="s">
        <v>123</v>
      </c>
      <c r="AZ334" s="16">
        <f t="shared" si="139"/>
        <v>100</v>
      </c>
      <c r="BA334" s="16" t="s">
        <v>55</v>
      </c>
      <c r="BB334" s="15">
        <v>2.2999999999999998</v>
      </c>
      <c r="BC334" s="16" t="s">
        <v>55</v>
      </c>
      <c r="BD334" s="18">
        <v>4</v>
      </c>
      <c r="BE334" s="15">
        <f t="shared" si="146"/>
        <v>2000</v>
      </c>
      <c r="BF334" s="8">
        <f t="shared" si="147"/>
        <v>3.3010299956639813</v>
      </c>
      <c r="BG334" s="8">
        <f t="shared" si="148"/>
        <v>0.6020599913279624</v>
      </c>
      <c r="BH334" s="13" t="s">
        <v>841</v>
      </c>
      <c r="BI334" s="13"/>
      <c r="BJ334" s="13"/>
      <c r="BK334" s="8"/>
      <c r="BL334" s="8"/>
      <c r="BM334" s="18"/>
      <c r="BN334" s="8"/>
      <c r="BO334" s="24"/>
    </row>
    <row r="335" spans="1:67" s="14" customFormat="1" x14ac:dyDescent="0.3">
      <c r="A335" s="20">
        <v>341</v>
      </c>
      <c r="B335" s="2" t="s">
        <v>241</v>
      </c>
      <c r="C335" s="2">
        <v>2019</v>
      </c>
      <c r="D335" s="2" t="s">
        <v>201</v>
      </c>
      <c r="E335" s="10" t="s">
        <v>800</v>
      </c>
      <c r="F335" s="20" t="s">
        <v>29</v>
      </c>
      <c r="G335" s="2">
        <v>89</v>
      </c>
      <c r="H335" s="2" t="str">
        <f>'PFAS Properties'!$B$33</f>
        <v>PFOA</v>
      </c>
      <c r="I335" s="2" t="str">
        <f>'PFAS Properties'!$C$33</f>
        <v>PFCA</v>
      </c>
      <c r="J335" s="2" t="str">
        <f>'PFAS Properties'!$D$33</f>
        <v>C8HF15O2</v>
      </c>
      <c r="K335" s="25">
        <f>'PFAS Properties'!$P$33</f>
        <v>413.97359999999998</v>
      </c>
      <c r="L335" s="2">
        <f>'PFAS Properties'!$X$33</f>
        <v>-0.2</v>
      </c>
      <c r="M335" s="2" t="str">
        <f>'PFAS Properties'!$Y$33</f>
        <v>-</v>
      </c>
      <c r="N335" s="33">
        <v>0</v>
      </c>
      <c r="O335" s="33">
        <v>0</v>
      </c>
      <c r="P335" s="33">
        <v>0</v>
      </c>
      <c r="Q335" s="33">
        <f t="shared" si="149"/>
        <v>0.99999998415106828</v>
      </c>
      <c r="R335" s="33">
        <v>0</v>
      </c>
      <c r="S335" s="33">
        <f t="shared" si="150"/>
        <v>1.5848931673422493E-8</v>
      </c>
      <c r="T335" s="8">
        <f t="shared" si="135"/>
        <v>1</v>
      </c>
      <c r="U335" s="33">
        <f t="shared" si="140"/>
        <v>0</v>
      </c>
      <c r="V335" s="33">
        <f t="shared" si="141"/>
        <v>-0.99999998415106828</v>
      </c>
      <c r="W335" s="33">
        <f t="shared" si="142"/>
        <v>412.97360001584889</v>
      </c>
      <c r="X335" s="33">
        <v>96485</v>
      </c>
      <c r="Y335" s="16">
        <f t="shared" si="143"/>
        <v>-233.63478553377979</v>
      </c>
      <c r="Z335" s="16">
        <v>8</v>
      </c>
      <c r="AA335" s="16">
        <v>15</v>
      </c>
      <c r="AB335" s="8">
        <f t="shared" si="144"/>
        <v>0.33684210526315789</v>
      </c>
      <c r="AC335" s="16">
        <f t="shared" si="145"/>
        <v>68.844969824162703</v>
      </c>
      <c r="AD335" s="20">
        <f>'PFAS Properties'!$W$33</f>
        <v>7</v>
      </c>
      <c r="AE335" s="8">
        <f>'PFAS Properties'!$S$33</f>
        <v>2.6821450763738319</v>
      </c>
      <c r="AF335" s="15">
        <f>'PFAS Properties'!$V$33</f>
        <v>4.9000000000000004</v>
      </c>
      <c r="AG335" s="24">
        <v>7.6</v>
      </c>
      <c r="AH335" s="2" t="s">
        <v>122</v>
      </c>
      <c r="AI335" s="2" t="s">
        <v>661</v>
      </c>
      <c r="AJ335" s="2" t="s">
        <v>661</v>
      </c>
      <c r="AK335" s="2" t="s">
        <v>661</v>
      </c>
      <c r="AL335" s="2" t="s">
        <v>661</v>
      </c>
      <c r="AM335" s="2" t="s">
        <v>661</v>
      </c>
      <c r="AN335" s="2" t="s">
        <v>661</v>
      </c>
      <c r="AO335" s="2" t="s">
        <v>661</v>
      </c>
      <c r="AP335" s="16">
        <v>13.1</v>
      </c>
      <c r="AQ335" s="2" t="s">
        <v>661</v>
      </c>
      <c r="AR335" s="16">
        <v>67.599999999999994</v>
      </c>
      <c r="AS335" s="16">
        <v>6.8000000000000114</v>
      </c>
      <c r="AT335" s="16">
        <v>25.6</v>
      </c>
      <c r="AU335" s="2" t="s">
        <v>661</v>
      </c>
      <c r="AV335" s="16">
        <f t="shared" si="138"/>
        <v>100</v>
      </c>
      <c r="AW335" s="18">
        <v>0.2</v>
      </c>
      <c r="AX335" s="13">
        <f t="shared" si="136"/>
        <v>2E-3</v>
      </c>
      <c r="AY335" s="13" t="s">
        <v>123</v>
      </c>
      <c r="AZ335" s="16">
        <f t="shared" si="139"/>
        <v>100</v>
      </c>
      <c r="BA335" s="16" t="s">
        <v>55</v>
      </c>
      <c r="BB335" s="15">
        <v>2.2999999999999998</v>
      </c>
      <c r="BC335" s="16" t="s">
        <v>55</v>
      </c>
      <c r="BD335" s="18">
        <v>3.4</v>
      </c>
      <c r="BE335" s="15">
        <f t="shared" si="146"/>
        <v>1700</v>
      </c>
      <c r="BF335" s="8">
        <f t="shared" si="147"/>
        <v>3.2304489213782741</v>
      </c>
      <c r="BG335" s="8">
        <f t="shared" si="148"/>
        <v>0.53147891704225514</v>
      </c>
      <c r="BH335" s="13" t="s">
        <v>841</v>
      </c>
      <c r="BI335" s="13"/>
      <c r="BJ335" s="13"/>
      <c r="BK335" s="8"/>
      <c r="BL335" s="8"/>
      <c r="BM335" s="18"/>
      <c r="BN335" s="8"/>
      <c r="BO335" s="24"/>
    </row>
    <row r="336" spans="1:67" s="14" customFormat="1" x14ac:dyDescent="0.3">
      <c r="A336" s="20">
        <v>342</v>
      </c>
      <c r="B336" s="2" t="s">
        <v>241</v>
      </c>
      <c r="C336" s="2">
        <v>2019</v>
      </c>
      <c r="D336" s="2" t="s">
        <v>201</v>
      </c>
      <c r="E336" s="10" t="s">
        <v>800</v>
      </c>
      <c r="F336" s="20" t="s">
        <v>29</v>
      </c>
      <c r="G336" s="2">
        <v>90</v>
      </c>
      <c r="H336" s="2" t="str">
        <f>'PFAS Properties'!$B$33</f>
        <v>PFOA</v>
      </c>
      <c r="I336" s="2" t="str">
        <f>'PFAS Properties'!$C$33</f>
        <v>PFCA</v>
      </c>
      <c r="J336" s="2" t="str">
        <f>'PFAS Properties'!$D$33</f>
        <v>C8HF15O2</v>
      </c>
      <c r="K336" s="25">
        <f>'PFAS Properties'!$P$33</f>
        <v>413.97359999999998</v>
      </c>
      <c r="L336" s="2">
        <f>'PFAS Properties'!$X$33</f>
        <v>-0.2</v>
      </c>
      <c r="M336" s="2" t="str">
        <f>'PFAS Properties'!$Y$33</f>
        <v>-</v>
      </c>
      <c r="N336" s="33">
        <v>0</v>
      </c>
      <c r="O336" s="33">
        <v>0</v>
      </c>
      <c r="P336" s="33">
        <v>0</v>
      </c>
      <c r="Q336" s="33">
        <f t="shared" si="149"/>
        <v>0.99999998741074603</v>
      </c>
      <c r="R336" s="33">
        <v>0</v>
      </c>
      <c r="S336" s="33">
        <f t="shared" si="150"/>
        <v>1.258925395945232E-8</v>
      </c>
      <c r="T336" s="8">
        <f t="shared" si="135"/>
        <v>1</v>
      </c>
      <c r="U336" s="33">
        <f t="shared" si="140"/>
        <v>0</v>
      </c>
      <c r="V336" s="33">
        <f t="shared" si="141"/>
        <v>-0.99999998741074603</v>
      </c>
      <c r="W336" s="33">
        <f t="shared" si="142"/>
        <v>412.9736000125892</v>
      </c>
      <c r="X336" s="33">
        <v>96485</v>
      </c>
      <c r="Y336" s="16">
        <f t="shared" si="143"/>
        <v>-233.63478629719808</v>
      </c>
      <c r="Z336" s="16">
        <v>8</v>
      </c>
      <c r="AA336" s="16">
        <v>15</v>
      </c>
      <c r="AB336" s="8">
        <f t="shared" si="144"/>
        <v>0.33684210526315789</v>
      </c>
      <c r="AC336" s="16">
        <f t="shared" si="145"/>
        <v>68.844969824162703</v>
      </c>
      <c r="AD336" s="20">
        <f>'PFAS Properties'!$W$33</f>
        <v>7</v>
      </c>
      <c r="AE336" s="8">
        <f>'PFAS Properties'!$S$33</f>
        <v>2.6821450763738319</v>
      </c>
      <c r="AF336" s="15">
        <f>'PFAS Properties'!$V$33</f>
        <v>4.9000000000000004</v>
      </c>
      <c r="AG336" s="24">
        <v>7.7</v>
      </c>
      <c r="AH336" s="2" t="s">
        <v>122</v>
      </c>
      <c r="AI336" s="2" t="s">
        <v>661</v>
      </c>
      <c r="AJ336" s="2" t="s">
        <v>661</v>
      </c>
      <c r="AK336" s="2" t="s">
        <v>661</v>
      </c>
      <c r="AL336" s="2" t="s">
        <v>661</v>
      </c>
      <c r="AM336" s="2" t="s">
        <v>661</v>
      </c>
      <c r="AN336" s="2" t="s">
        <v>661</v>
      </c>
      <c r="AO336" s="2" t="s">
        <v>661</v>
      </c>
      <c r="AP336" s="16">
        <v>13.1</v>
      </c>
      <c r="AQ336" s="2" t="s">
        <v>661</v>
      </c>
      <c r="AR336" s="16">
        <v>53.9</v>
      </c>
      <c r="AS336" s="16">
        <v>16.399999999999999</v>
      </c>
      <c r="AT336" s="16">
        <v>29.7</v>
      </c>
      <c r="AU336" s="2" t="s">
        <v>661</v>
      </c>
      <c r="AV336" s="16">
        <f t="shared" si="138"/>
        <v>100</v>
      </c>
      <c r="AW336" s="18">
        <v>0.1</v>
      </c>
      <c r="AX336" s="13">
        <f t="shared" si="136"/>
        <v>1E-3</v>
      </c>
      <c r="AY336" s="13" t="s">
        <v>123</v>
      </c>
      <c r="AZ336" s="16">
        <f t="shared" si="139"/>
        <v>100</v>
      </c>
      <c r="BA336" s="16" t="s">
        <v>55</v>
      </c>
      <c r="BB336" s="15">
        <v>2.2999999999999998</v>
      </c>
      <c r="BC336" s="16" t="s">
        <v>55</v>
      </c>
      <c r="BD336" s="18">
        <v>3</v>
      </c>
      <c r="BE336" s="15">
        <f t="shared" si="146"/>
        <v>3000</v>
      </c>
      <c r="BF336" s="8">
        <f t="shared" si="147"/>
        <v>3.4771212547196626</v>
      </c>
      <c r="BG336" s="8">
        <f t="shared" si="148"/>
        <v>0.47712125471966244</v>
      </c>
      <c r="BH336" s="13" t="s">
        <v>841</v>
      </c>
      <c r="BI336" s="13"/>
      <c r="BJ336" s="13"/>
      <c r="BK336" s="8"/>
      <c r="BL336" s="8"/>
      <c r="BM336" s="18"/>
      <c r="BN336" s="8"/>
      <c r="BO336" s="24"/>
    </row>
    <row r="337" spans="1:67" s="14" customFormat="1" x14ac:dyDescent="0.3">
      <c r="A337" s="20">
        <v>343</v>
      </c>
      <c r="B337" s="2" t="s">
        <v>241</v>
      </c>
      <c r="C337" s="2">
        <v>2019</v>
      </c>
      <c r="D337" s="2" t="s">
        <v>201</v>
      </c>
      <c r="E337" s="10" t="s">
        <v>800</v>
      </c>
      <c r="F337" s="20" t="s">
        <v>29</v>
      </c>
      <c r="G337" s="2">
        <v>91</v>
      </c>
      <c r="H337" s="2" t="str">
        <f>'PFAS Properties'!$B$33</f>
        <v>PFOA</v>
      </c>
      <c r="I337" s="2" t="str">
        <f>'PFAS Properties'!$C$33</f>
        <v>PFCA</v>
      </c>
      <c r="J337" s="2" t="str">
        <f>'PFAS Properties'!$D$33</f>
        <v>C8HF15O2</v>
      </c>
      <c r="K337" s="25">
        <f>'PFAS Properties'!$P$33</f>
        <v>413.97359999999998</v>
      </c>
      <c r="L337" s="2">
        <f>'PFAS Properties'!$X$33</f>
        <v>-0.2</v>
      </c>
      <c r="M337" s="2" t="str">
        <f>'PFAS Properties'!$Y$33</f>
        <v>-</v>
      </c>
      <c r="N337" s="33">
        <v>0</v>
      </c>
      <c r="O337" s="33">
        <v>0</v>
      </c>
      <c r="P337" s="33">
        <v>0</v>
      </c>
      <c r="Q337" s="33">
        <f t="shared" si="149"/>
        <v>0.99999998741074603</v>
      </c>
      <c r="R337" s="33">
        <v>0</v>
      </c>
      <c r="S337" s="33">
        <f t="shared" si="150"/>
        <v>1.258925395945232E-8</v>
      </c>
      <c r="T337" s="8">
        <f t="shared" si="135"/>
        <v>1</v>
      </c>
      <c r="U337" s="33">
        <f t="shared" si="140"/>
        <v>0</v>
      </c>
      <c r="V337" s="33">
        <f t="shared" si="141"/>
        <v>-0.99999998741074603</v>
      </c>
      <c r="W337" s="33">
        <f t="shared" si="142"/>
        <v>412.9736000125892</v>
      </c>
      <c r="X337" s="33">
        <v>96485</v>
      </c>
      <c r="Y337" s="16">
        <f t="shared" si="143"/>
        <v>-233.63478629719808</v>
      </c>
      <c r="Z337" s="16">
        <v>8</v>
      </c>
      <c r="AA337" s="16">
        <v>15</v>
      </c>
      <c r="AB337" s="8">
        <f t="shared" si="144"/>
        <v>0.33684210526315789</v>
      </c>
      <c r="AC337" s="16">
        <f t="shared" si="145"/>
        <v>68.844969824162703</v>
      </c>
      <c r="AD337" s="20">
        <f>'PFAS Properties'!$W$33</f>
        <v>7</v>
      </c>
      <c r="AE337" s="8">
        <f>'PFAS Properties'!$S$33</f>
        <v>2.6821450763738319</v>
      </c>
      <c r="AF337" s="15">
        <f>'PFAS Properties'!$V$33</f>
        <v>4.9000000000000004</v>
      </c>
      <c r="AG337" s="24">
        <v>7.7</v>
      </c>
      <c r="AH337" s="2" t="s">
        <v>122</v>
      </c>
      <c r="AI337" s="2" t="s">
        <v>661</v>
      </c>
      <c r="AJ337" s="2" t="s">
        <v>661</v>
      </c>
      <c r="AK337" s="2" t="s">
        <v>661</v>
      </c>
      <c r="AL337" s="2" t="s">
        <v>661</v>
      </c>
      <c r="AM337" s="2" t="s">
        <v>661</v>
      </c>
      <c r="AN337" s="2" t="s">
        <v>661</v>
      </c>
      <c r="AO337" s="2" t="s">
        <v>661</v>
      </c>
      <c r="AP337" s="16">
        <v>13.3</v>
      </c>
      <c r="AQ337" s="2" t="s">
        <v>661</v>
      </c>
      <c r="AR337" s="16">
        <v>43.6</v>
      </c>
      <c r="AS337" s="16">
        <v>26.300000000000004</v>
      </c>
      <c r="AT337" s="16">
        <v>30.1</v>
      </c>
      <c r="AU337" s="2" t="s">
        <v>661</v>
      </c>
      <c r="AV337" s="16">
        <f t="shared" si="138"/>
        <v>100</v>
      </c>
      <c r="AW337" s="18">
        <v>0.6</v>
      </c>
      <c r="AX337" s="13">
        <f t="shared" si="136"/>
        <v>6.0000000000000001E-3</v>
      </c>
      <c r="AY337" s="13" t="s">
        <v>123</v>
      </c>
      <c r="AZ337" s="16">
        <f t="shared" si="139"/>
        <v>100</v>
      </c>
      <c r="BA337" s="16" t="s">
        <v>55</v>
      </c>
      <c r="BB337" s="15">
        <v>2.2999999999999998</v>
      </c>
      <c r="BC337" s="16" t="s">
        <v>55</v>
      </c>
      <c r="BD337" s="18">
        <v>3.9</v>
      </c>
      <c r="BE337" s="15">
        <f t="shared" si="146"/>
        <v>650</v>
      </c>
      <c r="BF337" s="8">
        <f t="shared" si="147"/>
        <v>2.8129133566428557</v>
      </c>
      <c r="BG337" s="8">
        <f t="shared" si="148"/>
        <v>0.59106460702649921</v>
      </c>
      <c r="BH337" s="13" t="s">
        <v>841</v>
      </c>
      <c r="BI337" s="13"/>
      <c r="BJ337" s="13"/>
      <c r="BK337" s="8"/>
      <c r="BL337" s="8"/>
      <c r="BM337" s="18"/>
      <c r="BN337" s="8"/>
      <c r="BO337" s="24"/>
    </row>
    <row r="338" spans="1:67" s="14" customFormat="1" x14ac:dyDescent="0.3">
      <c r="A338" s="20">
        <v>344</v>
      </c>
      <c r="B338" s="2" t="s">
        <v>241</v>
      </c>
      <c r="C338" s="2">
        <v>2019</v>
      </c>
      <c r="D338" s="2" t="s">
        <v>201</v>
      </c>
      <c r="E338" s="10" t="s">
        <v>800</v>
      </c>
      <c r="F338" s="20" t="s">
        <v>29</v>
      </c>
      <c r="G338" s="2">
        <v>92</v>
      </c>
      <c r="H338" s="2" t="str">
        <f>'PFAS Properties'!$B$33</f>
        <v>PFOA</v>
      </c>
      <c r="I338" s="2" t="str">
        <f>'PFAS Properties'!$C$33</f>
        <v>PFCA</v>
      </c>
      <c r="J338" s="2" t="str">
        <f>'PFAS Properties'!$D$33</f>
        <v>C8HF15O2</v>
      </c>
      <c r="K338" s="25">
        <f>'PFAS Properties'!$P$33</f>
        <v>413.97359999999998</v>
      </c>
      <c r="L338" s="2">
        <f>'PFAS Properties'!$X$33</f>
        <v>-0.2</v>
      </c>
      <c r="M338" s="2" t="str">
        <f>'PFAS Properties'!$Y$33</f>
        <v>-</v>
      </c>
      <c r="N338" s="33">
        <v>0</v>
      </c>
      <c r="O338" s="33">
        <v>0</v>
      </c>
      <c r="P338" s="33">
        <v>0</v>
      </c>
      <c r="Q338" s="33">
        <f t="shared" si="149"/>
        <v>0.99999999369042658</v>
      </c>
      <c r="R338" s="33">
        <v>0</v>
      </c>
      <c r="S338" s="33">
        <f t="shared" si="150"/>
        <v>6.3095734049912165E-9</v>
      </c>
      <c r="T338" s="8">
        <f t="shared" si="135"/>
        <v>1</v>
      </c>
      <c r="U338" s="33">
        <f t="shared" si="140"/>
        <v>0</v>
      </c>
      <c r="V338" s="33">
        <f t="shared" si="141"/>
        <v>-0.99999999369042658</v>
      </c>
      <c r="W338" s="33">
        <f t="shared" si="142"/>
        <v>412.97360000630954</v>
      </c>
      <c r="X338" s="33">
        <v>96485</v>
      </c>
      <c r="Y338" s="16">
        <f t="shared" si="143"/>
        <v>-233.63478776790257</v>
      </c>
      <c r="Z338" s="16">
        <v>8</v>
      </c>
      <c r="AA338" s="16">
        <v>15</v>
      </c>
      <c r="AB338" s="8">
        <f t="shared" si="144"/>
        <v>0.33684210526315789</v>
      </c>
      <c r="AC338" s="16">
        <f t="shared" si="145"/>
        <v>68.844969824162703</v>
      </c>
      <c r="AD338" s="20">
        <f>'PFAS Properties'!$W$33</f>
        <v>7</v>
      </c>
      <c r="AE338" s="8">
        <f>'PFAS Properties'!$S$33</f>
        <v>2.6821450763738319</v>
      </c>
      <c r="AF338" s="15">
        <f>'PFAS Properties'!$V$33</f>
        <v>4.9000000000000004</v>
      </c>
      <c r="AG338" s="24">
        <v>8</v>
      </c>
      <c r="AH338" s="2" t="s">
        <v>122</v>
      </c>
      <c r="AI338" s="2" t="s">
        <v>661</v>
      </c>
      <c r="AJ338" s="2" t="s">
        <v>661</v>
      </c>
      <c r="AK338" s="2" t="s">
        <v>661</v>
      </c>
      <c r="AL338" s="2" t="s">
        <v>661</v>
      </c>
      <c r="AM338" s="2" t="s">
        <v>661</v>
      </c>
      <c r="AN338" s="2" t="s">
        <v>661</v>
      </c>
      <c r="AO338" s="2" t="s">
        <v>661</v>
      </c>
      <c r="AP338" s="16">
        <v>7.8</v>
      </c>
      <c r="AQ338" s="2" t="s">
        <v>661</v>
      </c>
      <c r="AR338" s="16">
        <v>48.9</v>
      </c>
      <c r="AS338" s="16">
        <v>32.6</v>
      </c>
      <c r="AT338" s="16">
        <v>18.5</v>
      </c>
      <c r="AU338" s="2" t="s">
        <v>661</v>
      </c>
      <c r="AV338" s="16">
        <f t="shared" si="138"/>
        <v>100</v>
      </c>
      <c r="AW338" s="18">
        <v>0.2</v>
      </c>
      <c r="AX338" s="13">
        <f t="shared" si="136"/>
        <v>2E-3</v>
      </c>
      <c r="AY338" s="13" t="s">
        <v>123</v>
      </c>
      <c r="AZ338" s="16">
        <f t="shared" si="139"/>
        <v>100</v>
      </c>
      <c r="BA338" s="16" t="s">
        <v>55</v>
      </c>
      <c r="BB338" s="15">
        <v>2.2999999999999998</v>
      </c>
      <c r="BC338" s="16" t="s">
        <v>55</v>
      </c>
      <c r="BD338" s="18">
        <v>2.8</v>
      </c>
      <c r="BE338" s="15">
        <f t="shared" si="146"/>
        <v>1399.9999999999998</v>
      </c>
      <c r="BF338" s="8">
        <f t="shared" si="147"/>
        <v>3.1461280356782382</v>
      </c>
      <c r="BG338" s="8">
        <f t="shared" si="148"/>
        <v>0.44715803134221921</v>
      </c>
      <c r="BH338" s="13" t="s">
        <v>841</v>
      </c>
      <c r="BI338" s="13"/>
      <c r="BJ338" s="13"/>
      <c r="BK338" s="8"/>
      <c r="BL338" s="8"/>
      <c r="BM338" s="18"/>
      <c r="BN338" s="8"/>
      <c r="BO338" s="24"/>
    </row>
    <row r="339" spans="1:67" s="14" customFormat="1" x14ac:dyDescent="0.3">
      <c r="A339" s="20">
        <v>345</v>
      </c>
      <c r="B339" s="2" t="s">
        <v>241</v>
      </c>
      <c r="C339" s="2">
        <v>2019</v>
      </c>
      <c r="D339" s="2" t="s">
        <v>201</v>
      </c>
      <c r="E339" s="10" t="s">
        <v>800</v>
      </c>
      <c r="F339" s="20" t="s">
        <v>29</v>
      </c>
      <c r="G339" s="2">
        <v>93</v>
      </c>
      <c r="H339" s="2" t="str">
        <f>'PFAS Properties'!$B$33</f>
        <v>PFOA</v>
      </c>
      <c r="I339" s="2" t="str">
        <f>'PFAS Properties'!$C$33</f>
        <v>PFCA</v>
      </c>
      <c r="J339" s="2" t="str">
        <f>'PFAS Properties'!$D$33</f>
        <v>C8HF15O2</v>
      </c>
      <c r="K339" s="25">
        <f>'PFAS Properties'!$P$33</f>
        <v>413.97359999999998</v>
      </c>
      <c r="L339" s="2">
        <f>'PFAS Properties'!$X$33</f>
        <v>-0.2</v>
      </c>
      <c r="M339" s="2" t="str">
        <f>'PFAS Properties'!$Y$33</f>
        <v>-</v>
      </c>
      <c r="N339" s="33">
        <v>0</v>
      </c>
      <c r="O339" s="33">
        <v>0</v>
      </c>
      <c r="P339" s="33">
        <v>0</v>
      </c>
      <c r="Q339" s="33">
        <f t="shared" si="149"/>
        <v>0.99999996837722438</v>
      </c>
      <c r="R339" s="33">
        <v>0</v>
      </c>
      <c r="S339" s="33">
        <f t="shared" si="150"/>
        <v>3.1622775601683729E-8</v>
      </c>
      <c r="T339" s="8">
        <f t="shared" si="135"/>
        <v>1</v>
      </c>
      <c r="U339" s="33">
        <f t="shared" si="140"/>
        <v>0</v>
      </c>
      <c r="V339" s="33">
        <f t="shared" si="141"/>
        <v>-0.99999996837722438</v>
      </c>
      <c r="W339" s="33">
        <f t="shared" si="142"/>
        <v>412.97360003162271</v>
      </c>
      <c r="X339" s="33">
        <v>96485</v>
      </c>
      <c r="Y339" s="16">
        <f t="shared" si="143"/>
        <v>-233.63478183953725</v>
      </c>
      <c r="Z339" s="16">
        <v>8</v>
      </c>
      <c r="AA339" s="16">
        <v>15</v>
      </c>
      <c r="AB339" s="8">
        <f t="shared" si="144"/>
        <v>0.33684210526315789</v>
      </c>
      <c r="AC339" s="16">
        <f t="shared" si="145"/>
        <v>68.844969824162703</v>
      </c>
      <c r="AD339" s="20">
        <f>'PFAS Properties'!$W$33</f>
        <v>7</v>
      </c>
      <c r="AE339" s="8">
        <f>'PFAS Properties'!$S$33</f>
        <v>2.6821450763738319</v>
      </c>
      <c r="AF339" s="15">
        <f>'PFAS Properties'!$V$33</f>
        <v>4.9000000000000004</v>
      </c>
      <c r="AG339" s="24">
        <v>7.3</v>
      </c>
      <c r="AH339" s="2" t="s">
        <v>122</v>
      </c>
      <c r="AI339" s="2" t="s">
        <v>661</v>
      </c>
      <c r="AJ339" s="2" t="s">
        <v>661</v>
      </c>
      <c r="AK339" s="2" t="s">
        <v>661</v>
      </c>
      <c r="AL339" s="2" t="s">
        <v>661</v>
      </c>
      <c r="AM339" s="2" t="s">
        <v>661</v>
      </c>
      <c r="AN339" s="2" t="s">
        <v>661</v>
      </c>
      <c r="AO339" s="2" t="s">
        <v>661</v>
      </c>
      <c r="AP339" s="16">
        <v>32.9</v>
      </c>
      <c r="AQ339" s="2" t="s">
        <v>661</v>
      </c>
      <c r="AR339" s="16">
        <v>40.799999999999997</v>
      </c>
      <c r="AS339" s="16">
        <v>12.600000000000001</v>
      </c>
      <c r="AT339" s="16">
        <v>46.6</v>
      </c>
      <c r="AU339" s="2" t="s">
        <v>661</v>
      </c>
      <c r="AV339" s="16">
        <f t="shared" si="138"/>
        <v>100</v>
      </c>
      <c r="AW339" s="18">
        <v>0.7</v>
      </c>
      <c r="AX339" s="13">
        <f t="shared" si="136"/>
        <v>6.9999999999999993E-3</v>
      </c>
      <c r="AY339" s="13" t="s">
        <v>123</v>
      </c>
      <c r="AZ339" s="16">
        <f t="shared" si="139"/>
        <v>100</v>
      </c>
      <c r="BA339" s="16" t="s">
        <v>55</v>
      </c>
      <c r="BB339" s="15">
        <v>2.2999999999999998</v>
      </c>
      <c r="BC339" s="16" t="s">
        <v>55</v>
      </c>
      <c r="BD339" s="18">
        <v>11.4</v>
      </c>
      <c r="BE339" s="15">
        <f t="shared" si="146"/>
        <v>1628.5714285714289</v>
      </c>
      <c r="BF339" s="8">
        <f t="shared" si="147"/>
        <v>3.2118068113222158</v>
      </c>
      <c r="BG339" s="8">
        <f t="shared" si="148"/>
        <v>1.0569048513364727</v>
      </c>
      <c r="BH339" s="13" t="s">
        <v>841</v>
      </c>
      <c r="BI339" s="13"/>
      <c r="BJ339" s="13"/>
      <c r="BK339" s="8"/>
      <c r="BL339" s="8"/>
      <c r="BM339" s="18"/>
      <c r="BN339" s="8"/>
      <c r="BO339" s="24"/>
    </row>
    <row r="340" spans="1:67" s="14" customFormat="1" x14ac:dyDescent="0.3">
      <c r="A340" s="20">
        <v>346</v>
      </c>
      <c r="B340" s="2" t="s">
        <v>241</v>
      </c>
      <c r="C340" s="2">
        <v>2019</v>
      </c>
      <c r="D340" s="2" t="s">
        <v>201</v>
      </c>
      <c r="E340" s="10" t="s">
        <v>800</v>
      </c>
      <c r="F340" s="20" t="s">
        <v>29</v>
      </c>
      <c r="G340" s="2">
        <v>94</v>
      </c>
      <c r="H340" s="2" t="str">
        <f>'PFAS Properties'!$B$33</f>
        <v>PFOA</v>
      </c>
      <c r="I340" s="2" t="str">
        <f>'PFAS Properties'!$C$33</f>
        <v>PFCA</v>
      </c>
      <c r="J340" s="2" t="str">
        <f>'PFAS Properties'!$D$33</f>
        <v>C8HF15O2</v>
      </c>
      <c r="K340" s="25">
        <f>'PFAS Properties'!$P$33</f>
        <v>413.97359999999998</v>
      </c>
      <c r="L340" s="2">
        <f>'PFAS Properties'!$X$33</f>
        <v>-0.2</v>
      </c>
      <c r="M340" s="2" t="str">
        <f>'PFAS Properties'!$Y$33</f>
        <v>-</v>
      </c>
      <c r="N340" s="33">
        <v>0</v>
      </c>
      <c r="O340" s="33">
        <v>0</v>
      </c>
      <c r="P340" s="33">
        <v>0</v>
      </c>
      <c r="Q340" s="33">
        <f t="shared" si="149"/>
        <v>0.99999999000000006</v>
      </c>
      <c r="R340" s="33">
        <v>0</v>
      </c>
      <c r="S340" s="33">
        <f t="shared" si="150"/>
        <v>9.9999999000000002E-9</v>
      </c>
      <c r="T340" s="8">
        <f t="shared" ref="T340:T403" si="151">SUM(N340:S340)</f>
        <v>1</v>
      </c>
      <c r="U340" s="33">
        <f t="shared" si="140"/>
        <v>0</v>
      </c>
      <c r="V340" s="33">
        <f t="shared" si="141"/>
        <v>-0.99999999000000006</v>
      </c>
      <c r="W340" s="33">
        <f t="shared" si="142"/>
        <v>412.97360000999993</v>
      </c>
      <c r="X340" s="33">
        <v>96485</v>
      </c>
      <c r="Y340" s="16">
        <f t="shared" si="143"/>
        <v>-233.63478690360273</v>
      </c>
      <c r="Z340" s="16">
        <v>8</v>
      </c>
      <c r="AA340" s="16">
        <v>15</v>
      </c>
      <c r="AB340" s="8">
        <f t="shared" si="144"/>
        <v>0.33684210526315789</v>
      </c>
      <c r="AC340" s="16">
        <f t="shared" si="145"/>
        <v>68.844969824162703</v>
      </c>
      <c r="AD340" s="20">
        <f>'PFAS Properties'!$W$33</f>
        <v>7</v>
      </c>
      <c r="AE340" s="8">
        <f>'PFAS Properties'!$S$33</f>
        <v>2.6821450763738319</v>
      </c>
      <c r="AF340" s="15">
        <f>'PFAS Properties'!$V$33</f>
        <v>4.9000000000000004</v>
      </c>
      <c r="AG340" s="24">
        <v>7.8</v>
      </c>
      <c r="AH340" s="2" t="s">
        <v>122</v>
      </c>
      <c r="AI340" s="2" t="s">
        <v>661</v>
      </c>
      <c r="AJ340" s="2" t="s">
        <v>661</v>
      </c>
      <c r="AK340" s="2" t="s">
        <v>661</v>
      </c>
      <c r="AL340" s="2" t="s">
        <v>661</v>
      </c>
      <c r="AM340" s="2" t="s">
        <v>661</v>
      </c>
      <c r="AN340" s="2" t="s">
        <v>661</v>
      </c>
      <c r="AO340" s="2" t="s">
        <v>661</v>
      </c>
      <c r="AP340" s="16">
        <v>39.4</v>
      </c>
      <c r="AQ340" s="2" t="s">
        <v>661</v>
      </c>
      <c r="AR340" s="16">
        <v>28.1</v>
      </c>
      <c r="AS340" s="16">
        <v>12.600000000000001</v>
      </c>
      <c r="AT340" s="16">
        <v>59.3</v>
      </c>
      <c r="AU340" s="2" t="s">
        <v>661</v>
      </c>
      <c r="AV340" s="16">
        <f t="shared" si="138"/>
        <v>100</v>
      </c>
      <c r="AW340" s="18">
        <v>0.2</v>
      </c>
      <c r="AX340" s="13">
        <f t="shared" si="136"/>
        <v>2E-3</v>
      </c>
      <c r="AY340" s="13" t="s">
        <v>123</v>
      </c>
      <c r="AZ340" s="16">
        <f t="shared" si="139"/>
        <v>100</v>
      </c>
      <c r="BA340" s="16" t="s">
        <v>55</v>
      </c>
      <c r="BB340" s="15">
        <v>2.2999999999999998</v>
      </c>
      <c r="BC340" s="16" t="s">
        <v>55</v>
      </c>
      <c r="BD340" s="18">
        <v>3.3</v>
      </c>
      <c r="BE340" s="15">
        <f t="shared" si="146"/>
        <v>1649.9999999999998</v>
      </c>
      <c r="BF340" s="8">
        <f t="shared" si="147"/>
        <v>3.2174839442139063</v>
      </c>
      <c r="BG340" s="8">
        <f t="shared" si="148"/>
        <v>0.51851393987788741</v>
      </c>
      <c r="BH340" s="13" t="s">
        <v>841</v>
      </c>
      <c r="BI340" s="13"/>
      <c r="BJ340" s="13"/>
      <c r="BK340" s="8"/>
      <c r="BL340" s="8"/>
      <c r="BM340" s="18"/>
      <c r="BN340" s="8"/>
      <c r="BO340" s="24"/>
    </row>
    <row r="341" spans="1:67" s="14" customFormat="1" x14ac:dyDescent="0.3">
      <c r="A341" s="20">
        <v>347</v>
      </c>
      <c r="B341" s="2" t="s">
        <v>241</v>
      </c>
      <c r="C341" s="2">
        <v>2019</v>
      </c>
      <c r="D341" s="2" t="s">
        <v>201</v>
      </c>
      <c r="E341" s="10" t="s">
        <v>800</v>
      </c>
      <c r="F341" s="20" t="s">
        <v>29</v>
      </c>
      <c r="G341" s="2">
        <v>95</v>
      </c>
      <c r="H341" s="2" t="str">
        <f>'PFAS Properties'!$B$33</f>
        <v>PFOA</v>
      </c>
      <c r="I341" s="2" t="str">
        <f>'PFAS Properties'!$C$33</f>
        <v>PFCA</v>
      </c>
      <c r="J341" s="2" t="str">
        <f>'PFAS Properties'!$D$33</f>
        <v>C8HF15O2</v>
      </c>
      <c r="K341" s="25">
        <f>'PFAS Properties'!$P$33</f>
        <v>413.97359999999998</v>
      </c>
      <c r="L341" s="2">
        <f>'PFAS Properties'!$X$33</f>
        <v>-0.2</v>
      </c>
      <c r="M341" s="2" t="str">
        <f>'PFAS Properties'!$Y$33</f>
        <v>-</v>
      </c>
      <c r="N341" s="33">
        <v>0</v>
      </c>
      <c r="O341" s="33">
        <v>0</v>
      </c>
      <c r="P341" s="33">
        <v>0</v>
      </c>
      <c r="Q341" s="33">
        <f t="shared" si="149"/>
        <v>0.9999999601892845</v>
      </c>
      <c r="R341" s="33">
        <v>0</v>
      </c>
      <c r="S341" s="33">
        <f t="shared" si="150"/>
        <v>3.9810715470456442E-8</v>
      </c>
      <c r="T341" s="8">
        <f t="shared" si="151"/>
        <v>1</v>
      </c>
      <c r="U341" s="33">
        <f t="shared" si="140"/>
        <v>0</v>
      </c>
      <c r="V341" s="33">
        <f t="shared" si="141"/>
        <v>-0.9999999601892845</v>
      </c>
      <c r="W341" s="33">
        <f t="shared" si="142"/>
        <v>412.97360003981066</v>
      </c>
      <c r="X341" s="33">
        <v>96485</v>
      </c>
      <c r="Y341" s="16">
        <f t="shared" si="143"/>
        <v>-233.63477992191741</v>
      </c>
      <c r="Z341" s="16">
        <v>8</v>
      </c>
      <c r="AA341" s="16">
        <v>15</v>
      </c>
      <c r="AB341" s="8">
        <f t="shared" si="144"/>
        <v>0.33684210526315789</v>
      </c>
      <c r="AC341" s="16">
        <f t="shared" si="145"/>
        <v>68.844969824162703</v>
      </c>
      <c r="AD341" s="20">
        <f>'PFAS Properties'!$W$33</f>
        <v>7</v>
      </c>
      <c r="AE341" s="8">
        <f>'PFAS Properties'!$S$33</f>
        <v>2.6821450763738319</v>
      </c>
      <c r="AF341" s="15">
        <f>'PFAS Properties'!$V$33</f>
        <v>4.9000000000000004</v>
      </c>
      <c r="AG341" s="24">
        <v>7.2</v>
      </c>
      <c r="AH341" s="2" t="s">
        <v>122</v>
      </c>
      <c r="AI341" s="2" t="s">
        <v>661</v>
      </c>
      <c r="AJ341" s="2" t="s">
        <v>661</v>
      </c>
      <c r="AK341" s="2" t="s">
        <v>661</v>
      </c>
      <c r="AL341" s="2" t="s">
        <v>661</v>
      </c>
      <c r="AM341" s="2" t="s">
        <v>661</v>
      </c>
      <c r="AN341" s="2" t="s">
        <v>661</v>
      </c>
      <c r="AO341" s="2" t="s">
        <v>661</v>
      </c>
      <c r="AP341" s="16">
        <v>10.3</v>
      </c>
      <c r="AQ341" s="2" t="s">
        <v>661</v>
      </c>
      <c r="AR341" s="16">
        <v>85.4</v>
      </c>
      <c r="AS341" s="16">
        <v>3.8999999999999915</v>
      </c>
      <c r="AT341" s="16">
        <v>10.7</v>
      </c>
      <c r="AU341" s="2" t="s">
        <v>661</v>
      </c>
      <c r="AV341" s="16">
        <f t="shared" si="138"/>
        <v>100</v>
      </c>
      <c r="AW341" s="18">
        <v>0.5</v>
      </c>
      <c r="AX341" s="13">
        <f t="shared" si="136"/>
        <v>5.0000000000000001E-3</v>
      </c>
      <c r="AY341" s="13" t="s">
        <v>123</v>
      </c>
      <c r="AZ341" s="16">
        <f t="shared" si="139"/>
        <v>100</v>
      </c>
      <c r="BA341" s="16" t="s">
        <v>55</v>
      </c>
      <c r="BB341" s="15">
        <v>2.2999999999999998</v>
      </c>
      <c r="BC341" s="16" t="s">
        <v>55</v>
      </c>
      <c r="BD341" s="18">
        <v>5.7</v>
      </c>
      <c r="BE341" s="15">
        <f t="shared" si="146"/>
        <v>1140</v>
      </c>
      <c r="BF341" s="8">
        <f t="shared" si="147"/>
        <v>3.0569048513364727</v>
      </c>
      <c r="BG341" s="8">
        <f t="shared" si="148"/>
        <v>0.75587485567249146</v>
      </c>
      <c r="BH341" s="13" t="s">
        <v>841</v>
      </c>
      <c r="BI341" s="13"/>
      <c r="BJ341" s="13"/>
      <c r="BK341" s="8"/>
      <c r="BL341" s="8"/>
      <c r="BM341" s="18"/>
      <c r="BN341" s="8"/>
      <c r="BO341" s="24"/>
    </row>
    <row r="342" spans="1:67" s="14" customFormat="1" x14ac:dyDescent="0.3">
      <c r="A342" s="20">
        <v>348</v>
      </c>
      <c r="B342" s="2" t="s">
        <v>241</v>
      </c>
      <c r="C342" s="2">
        <v>2019</v>
      </c>
      <c r="D342" s="2" t="s">
        <v>201</v>
      </c>
      <c r="E342" s="10" t="s">
        <v>800</v>
      </c>
      <c r="F342" s="20" t="s">
        <v>29</v>
      </c>
      <c r="G342" s="2">
        <v>96</v>
      </c>
      <c r="H342" s="2" t="str">
        <f>'PFAS Properties'!$B$33</f>
        <v>PFOA</v>
      </c>
      <c r="I342" s="2" t="str">
        <f>'PFAS Properties'!$C$33</f>
        <v>PFCA</v>
      </c>
      <c r="J342" s="2" t="str">
        <f>'PFAS Properties'!$D$33</f>
        <v>C8HF15O2</v>
      </c>
      <c r="K342" s="25">
        <f>'PFAS Properties'!$P$33</f>
        <v>413.97359999999998</v>
      </c>
      <c r="L342" s="2">
        <f>'PFAS Properties'!$X$33</f>
        <v>-0.2</v>
      </c>
      <c r="M342" s="2" t="str">
        <f>'PFAS Properties'!$Y$33</f>
        <v>-</v>
      </c>
      <c r="N342" s="33">
        <v>0</v>
      </c>
      <c r="O342" s="33">
        <v>0</v>
      </c>
      <c r="P342" s="33">
        <v>0</v>
      </c>
      <c r="Q342" s="33">
        <f t="shared" si="149"/>
        <v>0.99999998415106828</v>
      </c>
      <c r="R342" s="33">
        <v>0</v>
      </c>
      <c r="S342" s="33">
        <f t="shared" si="150"/>
        <v>1.5848931673422493E-8</v>
      </c>
      <c r="T342" s="8">
        <f t="shared" si="151"/>
        <v>1</v>
      </c>
      <c r="U342" s="33">
        <f t="shared" si="140"/>
        <v>0</v>
      </c>
      <c r="V342" s="33">
        <f t="shared" si="141"/>
        <v>-0.99999998415106828</v>
      </c>
      <c r="W342" s="33">
        <f t="shared" si="142"/>
        <v>412.97360001584889</v>
      </c>
      <c r="X342" s="33">
        <v>96485</v>
      </c>
      <c r="Y342" s="16">
        <f t="shared" si="143"/>
        <v>-233.63478553377979</v>
      </c>
      <c r="Z342" s="16">
        <v>8</v>
      </c>
      <c r="AA342" s="16">
        <v>15</v>
      </c>
      <c r="AB342" s="8">
        <f t="shared" si="144"/>
        <v>0.33684210526315789</v>
      </c>
      <c r="AC342" s="16">
        <f t="shared" si="145"/>
        <v>68.844969824162703</v>
      </c>
      <c r="AD342" s="20">
        <f>'PFAS Properties'!$W$33</f>
        <v>7</v>
      </c>
      <c r="AE342" s="8">
        <f>'PFAS Properties'!$S$33</f>
        <v>2.6821450763738319</v>
      </c>
      <c r="AF342" s="15">
        <f>'PFAS Properties'!$V$33</f>
        <v>4.9000000000000004</v>
      </c>
      <c r="AG342" s="24">
        <v>7.6</v>
      </c>
      <c r="AH342" s="2" t="s">
        <v>122</v>
      </c>
      <c r="AI342" s="2" t="s">
        <v>661</v>
      </c>
      <c r="AJ342" s="2" t="s">
        <v>661</v>
      </c>
      <c r="AK342" s="2" t="s">
        <v>661</v>
      </c>
      <c r="AL342" s="2" t="s">
        <v>661</v>
      </c>
      <c r="AM342" s="2" t="s">
        <v>661</v>
      </c>
      <c r="AN342" s="2" t="s">
        <v>661</v>
      </c>
      <c r="AO342" s="2" t="s">
        <v>661</v>
      </c>
      <c r="AP342" s="16">
        <v>9.6999999999999993</v>
      </c>
      <c r="AQ342" s="2" t="s">
        <v>661</v>
      </c>
      <c r="AR342" s="16">
        <v>77.8</v>
      </c>
      <c r="AS342" s="16">
        <v>4.7999999999999972</v>
      </c>
      <c r="AT342" s="16">
        <v>17.399999999999999</v>
      </c>
      <c r="AU342" s="2" t="s">
        <v>661</v>
      </c>
      <c r="AV342" s="16">
        <f t="shared" si="138"/>
        <v>100</v>
      </c>
      <c r="AW342" s="18">
        <v>0.3</v>
      </c>
      <c r="AX342" s="13">
        <f t="shared" si="136"/>
        <v>3.0000000000000001E-3</v>
      </c>
      <c r="AY342" s="13" t="s">
        <v>123</v>
      </c>
      <c r="AZ342" s="16">
        <f t="shared" si="139"/>
        <v>100</v>
      </c>
      <c r="BA342" s="16" t="s">
        <v>55</v>
      </c>
      <c r="BB342" s="15">
        <v>2.2999999999999998</v>
      </c>
      <c r="BC342" s="16" t="s">
        <v>55</v>
      </c>
      <c r="BD342" s="18">
        <v>4.0999999999999996</v>
      </c>
      <c r="BE342" s="15">
        <f t="shared" si="146"/>
        <v>1366.6666666666665</v>
      </c>
      <c r="BF342" s="8">
        <f t="shared" si="147"/>
        <v>3.1356626020000729</v>
      </c>
      <c r="BG342" s="8">
        <f t="shared" si="148"/>
        <v>0.61278385671973545</v>
      </c>
      <c r="BH342" s="13" t="s">
        <v>841</v>
      </c>
      <c r="BI342" s="13"/>
      <c r="BJ342" s="13"/>
      <c r="BK342" s="8"/>
      <c r="BL342" s="8"/>
      <c r="BM342" s="18"/>
      <c r="BN342" s="8"/>
      <c r="BO342" s="24"/>
    </row>
    <row r="343" spans="1:67" s="14" customFormat="1" x14ac:dyDescent="0.3">
      <c r="A343" s="20">
        <v>349</v>
      </c>
      <c r="B343" s="2" t="s">
        <v>241</v>
      </c>
      <c r="C343" s="2">
        <v>2019</v>
      </c>
      <c r="D343" s="2" t="s">
        <v>201</v>
      </c>
      <c r="E343" s="10" t="s">
        <v>800</v>
      </c>
      <c r="F343" s="20" t="s">
        <v>29</v>
      </c>
      <c r="G343" s="2">
        <v>97</v>
      </c>
      <c r="H343" s="2" t="str">
        <f>'PFAS Properties'!$B$33</f>
        <v>PFOA</v>
      </c>
      <c r="I343" s="2" t="str">
        <f>'PFAS Properties'!$C$33</f>
        <v>PFCA</v>
      </c>
      <c r="J343" s="2" t="str">
        <f>'PFAS Properties'!$D$33</f>
        <v>C8HF15O2</v>
      </c>
      <c r="K343" s="25">
        <f>'PFAS Properties'!$P$33</f>
        <v>413.97359999999998</v>
      </c>
      <c r="L343" s="2">
        <f>'PFAS Properties'!$X$33</f>
        <v>-0.2</v>
      </c>
      <c r="M343" s="2" t="str">
        <f>'PFAS Properties'!$Y$33</f>
        <v>-</v>
      </c>
      <c r="N343" s="33">
        <v>0</v>
      </c>
      <c r="O343" s="33">
        <v>0</v>
      </c>
      <c r="P343" s="33">
        <v>0</v>
      </c>
      <c r="Q343" s="33">
        <f t="shared" si="149"/>
        <v>0.99999996837722438</v>
      </c>
      <c r="R343" s="33">
        <v>0</v>
      </c>
      <c r="S343" s="33">
        <f t="shared" si="150"/>
        <v>3.1622775601683729E-8</v>
      </c>
      <c r="T343" s="8">
        <f t="shared" si="151"/>
        <v>1</v>
      </c>
      <c r="U343" s="33">
        <f t="shared" si="140"/>
        <v>0</v>
      </c>
      <c r="V343" s="33">
        <f t="shared" si="141"/>
        <v>-0.99999996837722438</v>
      </c>
      <c r="W343" s="33">
        <f t="shared" si="142"/>
        <v>412.97360003162271</v>
      </c>
      <c r="X343" s="33">
        <v>96485</v>
      </c>
      <c r="Y343" s="16">
        <f t="shared" si="143"/>
        <v>-233.63478183953725</v>
      </c>
      <c r="Z343" s="16">
        <v>8</v>
      </c>
      <c r="AA343" s="16">
        <v>15</v>
      </c>
      <c r="AB343" s="8">
        <f t="shared" si="144"/>
        <v>0.33684210526315789</v>
      </c>
      <c r="AC343" s="16">
        <f t="shared" si="145"/>
        <v>68.844969824162703</v>
      </c>
      <c r="AD343" s="20">
        <f>'PFAS Properties'!$W$33</f>
        <v>7</v>
      </c>
      <c r="AE343" s="8">
        <f>'PFAS Properties'!$S$33</f>
        <v>2.6821450763738319</v>
      </c>
      <c r="AF343" s="15">
        <f>'PFAS Properties'!$V$33</f>
        <v>4.9000000000000004</v>
      </c>
      <c r="AG343" s="24">
        <v>7.3</v>
      </c>
      <c r="AH343" s="2" t="s">
        <v>122</v>
      </c>
      <c r="AI343" s="2" t="s">
        <v>661</v>
      </c>
      <c r="AJ343" s="2" t="s">
        <v>661</v>
      </c>
      <c r="AK343" s="2" t="s">
        <v>661</v>
      </c>
      <c r="AL343" s="2" t="s">
        <v>661</v>
      </c>
      <c r="AM343" s="2" t="s">
        <v>661</v>
      </c>
      <c r="AN343" s="2" t="s">
        <v>661</v>
      </c>
      <c r="AO343" s="2" t="s">
        <v>661</v>
      </c>
      <c r="AP343" s="16">
        <v>22.4</v>
      </c>
      <c r="AQ343" s="2" t="s">
        <v>661</v>
      </c>
      <c r="AR343" s="16">
        <v>24.2</v>
      </c>
      <c r="AS343" s="16">
        <v>24.400000000000002</v>
      </c>
      <c r="AT343" s="16">
        <v>51.4</v>
      </c>
      <c r="AU343" s="2" t="s">
        <v>661</v>
      </c>
      <c r="AV343" s="16">
        <f t="shared" si="138"/>
        <v>100</v>
      </c>
      <c r="AW343" s="18">
        <v>0.4</v>
      </c>
      <c r="AX343" s="13">
        <f t="shared" si="136"/>
        <v>4.0000000000000001E-3</v>
      </c>
      <c r="AY343" s="13" t="s">
        <v>123</v>
      </c>
      <c r="AZ343" s="16">
        <f t="shared" si="139"/>
        <v>100</v>
      </c>
      <c r="BA343" s="16" t="s">
        <v>55</v>
      </c>
      <c r="BB343" s="15">
        <v>2.2999999999999998</v>
      </c>
      <c r="BC343" s="16" t="s">
        <v>55</v>
      </c>
      <c r="BD343" s="18">
        <v>8.8000000000000007</v>
      </c>
      <c r="BE343" s="15">
        <f t="shared" si="146"/>
        <v>2200</v>
      </c>
      <c r="BF343" s="8">
        <f t="shared" si="147"/>
        <v>3.3424226808222062</v>
      </c>
      <c r="BG343" s="8">
        <f t="shared" si="148"/>
        <v>0.94448267215016868</v>
      </c>
      <c r="BH343" s="13" t="s">
        <v>841</v>
      </c>
      <c r="BI343" s="13"/>
      <c r="BJ343" s="13"/>
      <c r="BK343" s="8"/>
      <c r="BL343" s="8"/>
      <c r="BM343" s="18"/>
      <c r="BN343" s="8"/>
      <c r="BO343" s="24"/>
    </row>
    <row r="344" spans="1:67" s="14" customFormat="1" x14ac:dyDescent="0.3">
      <c r="A344" s="20">
        <v>350</v>
      </c>
      <c r="B344" s="2" t="s">
        <v>241</v>
      </c>
      <c r="C344" s="2">
        <v>2019</v>
      </c>
      <c r="D344" s="2" t="s">
        <v>201</v>
      </c>
      <c r="E344" s="10" t="s">
        <v>800</v>
      </c>
      <c r="F344" s="20" t="s">
        <v>29</v>
      </c>
      <c r="G344" s="2">
        <v>98</v>
      </c>
      <c r="H344" s="2" t="str">
        <f>'PFAS Properties'!$B$33</f>
        <v>PFOA</v>
      </c>
      <c r="I344" s="2" t="str">
        <f>'PFAS Properties'!$C$33</f>
        <v>PFCA</v>
      </c>
      <c r="J344" s="2" t="str">
        <f>'PFAS Properties'!$D$33</f>
        <v>C8HF15O2</v>
      </c>
      <c r="K344" s="25">
        <f>'PFAS Properties'!$P$33</f>
        <v>413.97359999999998</v>
      </c>
      <c r="L344" s="2">
        <f>'PFAS Properties'!$X$33</f>
        <v>-0.2</v>
      </c>
      <c r="M344" s="2" t="str">
        <f>'PFAS Properties'!$Y$33</f>
        <v>-</v>
      </c>
      <c r="N344" s="33">
        <v>0</v>
      </c>
      <c r="O344" s="33">
        <v>0</v>
      </c>
      <c r="P344" s="33">
        <v>0</v>
      </c>
      <c r="Q344" s="33">
        <f t="shared" si="149"/>
        <v>0.99999999601892831</v>
      </c>
      <c r="R344" s="33">
        <v>0</v>
      </c>
      <c r="S344" s="33">
        <f t="shared" si="150"/>
        <v>3.9810716896860486E-9</v>
      </c>
      <c r="T344" s="8">
        <f t="shared" si="151"/>
        <v>1</v>
      </c>
      <c r="U344" s="33">
        <f t="shared" si="140"/>
        <v>0</v>
      </c>
      <c r="V344" s="33">
        <f t="shared" si="141"/>
        <v>-0.99999999601892831</v>
      </c>
      <c r="W344" s="33">
        <f t="shared" si="142"/>
        <v>412.97360000398106</v>
      </c>
      <c r="X344" s="33">
        <v>96485</v>
      </c>
      <c r="Y344" s="16">
        <f t="shared" si="143"/>
        <v>-233.63478831323886</v>
      </c>
      <c r="Z344" s="16">
        <v>8</v>
      </c>
      <c r="AA344" s="16">
        <v>15</v>
      </c>
      <c r="AB344" s="8">
        <f t="shared" si="144"/>
        <v>0.33684210526315789</v>
      </c>
      <c r="AC344" s="16">
        <f t="shared" si="145"/>
        <v>68.844969824162703</v>
      </c>
      <c r="AD344" s="20">
        <f>'PFAS Properties'!$W$33</f>
        <v>7</v>
      </c>
      <c r="AE344" s="8">
        <f>'PFAS Properties'!$S$33</f>
        <v>2.6821450763738319</v>
      </c>
      <c r="AF344" s="15">
        <f>'PFAS Properties'!$V$33</f>
        <v>4.9000000000000004</v>
      </c>
      <c r="AG344" s="24">
        <v>8.1999999999999993</v>
      </c>
      <c r="AH344" s="2" t="s">
        <v>122</v>
      </c>
      <c r="AI344" s="2" t="s">
        <v>661</v>
      </c>
      <c r="AJ344" s="2" t="s">
        <v>661</v>
      </c>
      <c r="AK344" s="2" t="s">
        <v>661</v>
      </c>
      <c r="AL344" s="2" t="s">
        <v>661</v>
      </c>
      <c r="AM344" s="2" t="s">
        <v>661</v>
      </c>
      <c r="AN344" s="2" t="s">
        <v>661</v>
      </c>
      <c r="AO344" s="2" t="s">
        <v>661</v>
      </c>
      <c r="AP344" s="16">
        <v>12.6</v>
      </c>
      <c r="AQ344" s="2" t="s">
        <v>661</v>
      </c>
      <c r="AR344" s="16">
        <v>53.2</v>
      </c>
      <c r="AS344" s="16">
        <v>13</v>
      </c>
      <c r="AT344" s="16">
        <v>33.799999999999997</v>
      </c>
      <c r="AU344" s="2" t="s">
        <v>661</v>
      </c>
      <c r="AV344" s="16">
        <f t="shared" si="138"/>
        <v>100</v>
      </c>
      <c r="AW344" s="18">
        <v>0.2</v>
      </c>
      <c r="AX344" s="13">
        <f t="shared" si="136"/>
        <v>2E-3</v>
      </c>
      <c r="AY344" s="13" t="s">
        <v>123</v>
      </c>
      <c r="AZ344" s="16">
        <f t="shared" si="139"/>
        <v>100</v>
      </c>
      <c r="BA344" s="16" t="s">
        <v>55</v>
      </c>
      <c r="BB344" s="15">
        <v>2.2999999999999998</v>
      </c>
      <c r="BC344" s="16" t="s">
        <v>55</v>
      </c>
      <c r="BD344" s="18">
        <v>2.9</v>
      </c>
      <c r="BE344" s="15">
        <f t="shared" si="146"/>
        <v>1450</v>
      </c>
      <c r="BF344" s="8">
        <f t="shared" si="147"/>
        <v>3.1613680022349748</v>
      </c>
      <c r="BG344" s="8">
        <f t="shared" si="148"/>
        <v>0.46239799789895608</v>
      </c>
      <c r="BH344" s="13" t="s">
        <v>841</v>
      </c>
      <c r="BI344" s="13"/>
      <c r="BJ344" s="13"/>
      <c r="BK344" s="8"/>
      <c r="BL344" s="8"/>
      <c r="BM344" s="18"/>
      <c r="BN344" s="8"/>
      <c r="BO344" s="24"/>
    </row>
    <row r="345" spans="1:67" s="14" customFormat="1" x14ac:dyDescent="0.3">
      <c r="A345" s="20">
        <v>351</v>
      </c>
      <c r="B345" s="2" t="s">
        <v>241</v>
      </c>
      <c r="C345" s="2">
        <v>2019</v>
      </c>
      <c r="D345" s="2" t="s">
        <v>201</v>
      </c>
      <c r="E345" s="10" t="s">
        <v>800</v>
      </c>
      <c r="F345" s="20" t="s">
        <v>29</v>
      </c>
      <c r="G345" s="2">
        <v>99</v>
      </c>
      <c r="H345" s="2" t="str">
        <f>'PFAS Properties'!$B$33</f>
        <v>PFOA</v>
      </c>
      <c r="I345" s="2" t="str">
        <f>'PFAS Properties'!$C$33</f>
        <v>PFCA</v>
      </c>
      <c r="J345" s="2" t="str">
        <f>'PFAS Properties'!$D$33</f>
        <v>C8HF15O2</v>
      </c>
      <c r="K345" s="25">
        <f>'PFAS Properties'!$P$33</f>
        <v>413.97359999999998</v>
      </c>
      <c r="L345" s="2">
        <f>'PFAS Properties'!$X$33</f>
        <v>-0.2</v>
      </c>
      <c r="M345" s="2" t="str">
        <f>'PFAS Properties'!$Y$33</f>
        <v>-</v>
      </c>
      <c r="N345" s="33">
        <v>0</v>
      </c>
      <c r="O345" s="33">
        <v>0</v>
      </c>
      <c r="P345" s="33">
        <v>0</v>
      </c>
      <c r="Q345" s="33">
        <f t="shared" si="149"/>
        <v>0.99999996837722438</v>
      </c>
      <c r="R345" s="33">
        <v>0</v>
      </c>
      <c r="S345" s="33">
        <f t="shared" si="150"/>
        <v>3.1622775601683729E-8</v>
      </c>
      <c r="T345" s="8">
        <f t="shared" si="151"/>
        <v>1</v>
      </c>
      <c r="U345" s="33">
        <f t="shared" si="140"/>
        <v>0</v>
      </c>
      <c r="V345" s="33">
        <f t="shared" si="141"/>
        <v>-0.99999996837722438</v>
      </c>
      <c r="W345" s="33">
        <f t="shared" si="142"/>
        <v>412.97360003162271</v>
      </c>
      <c r="X345" s="33">
        <v>96485</v>
      </c>
      <c r="Y345" s="16">
        <f t="shared" si="143"/>
        <v>-233.63478183953725</v>
      </c>
      <c r="Z345" s="16">
        <v>8</v>
      </c>
      <c r="AA345" s="16">
        <v>15</v>
      </c>
      <c r="AB345" s="8">
        <f t="shared" si="144"/>
        <v>0.33684210526315789</v>
      </c>
      <c r="AC345" s="16">
        <f t="shared" si="145"/>
        <v>68.844969824162703</v>
      </c>
      <c r="AD345" s="20">
        <f>'PFAS Properties'!$W$33</f>
        <v>7</v>
      </c>
      <c r="AE345" s="8">
        <f>'PFAS Properties'!$S$33</f>
        <v>2.6821450763738319</v>
      </c>
      <c r="AF345" s="15">
        <f>'PFAS Properties'!$V$33</f>
        <v>4.9000000000000004</v>
      </c>
      <c r="AG345" s="24">
        <v>7.3</v>
      </c>
      <c r="AH345" s="2" t="s">
        <v>122</v>
      </c>
      <c r="AI345" s="2" t="s">
        <v>661</v>
      </c>
      <c r="AJ345" s="2" t="s">
        <v>661</v>
      </c>
      <c r="AK345" s="2" t="s">
        <v>661</v>
      </c>
      <c r="AL345" s="2" t="s">
        <v>661</v>
      </c>
      <c r="AM345" s="2" t="s">
        <v>661</v>
      </c>
      <c r="AN345" s="2" t="s">
        <v>661</v>
      </c>
      <c r="AO345" s="2" t="s">
        <v>661</v>
      </c>
      <c r="AP345" s="16">
        <v>24.2</v>
      </c>
      <c r="AQ345" s="2" t="s">
        <v>661</v>
      </c>
      <c r="AR345" s="16">
        <v>24.6</v>
      </c>
      <c r="AS345" s="16">
        <v>10.199999999999996</v>
      </c>
      <c r="AT345" s="16">
        <v>65.2</v>
      </c>
      <c r="AU345" s="2" t="s">
        <v>661</v>
      </c>
      <c r="AV345" s="16">
        <f t="shared" si="138"/>
        <v>100</v>
      </c>
      <c r="AW345" s="18">
        <v>0.7</v>
      </c>
      <c r="AX345" s="13">
        <f t="shared" si="136"/>
        <v>6.9999999999999993E-3</v>
      </c>
      <c r="AY345" s="13" t="s">
        <v>123</v>
      </c>
      <c r="AZ345" s="16">
        <f t="shared" si="139"/>
        <v>100</v>
      </c>
      <c r="BA345" s="16" t="s">
        <v>55</v>
      </c>
      <c r="BB345" s="15">
        <v>2.2999999999999998</v>
      </c>
      <c r="BC345" s="16" t="s">
        <v>55</v>
      </c>
      <c r="BD345" s="18">
        <v>9.4</v>
      </c>
      <c r="BE345" s="15">
        <f t="shared" si="146"/>
        <v>1342.8571428571431</v>
      </c>
      <c r="BF345" s="8">
        <f t="shared" si="147"/>
        <v>3.1280298135854419</v>
      </c>
      <c r="BG345" s="8">
        <f t="shared" si="148"/>
        <v>0.97312785359969867</v>
      </c>
      <c r="BH345" s="13" t="s">
        <v>841</v>
      </c>
      <c r="BI345" s="13"/>
      <c r="BJ345" s="13"/>
      <c r="BK345" s="8"/>
      <c r="BL345" s="8"/>
      <c r="BM345" s="18"/>
      <c r="BN345" s="8"/>
      <c r="BO345" s="24"/>
    </row>
    <row r="346" spans="1:67" s="14" customFormat="1" x14ac:dyDescent="0.3">
      <c r="A346" s="20">
        <v>352</v>
      </c>
      <c r="B346" s="2" t="s">
        <v>241</v>
      </c>
      <c r="C346" s="2">
        <v>2019</v>
      </c>
      <c r="D346" s="2" t="s">
        <v>201</v>
      </c>
      <c r="E346" s="10" t="s">
        <v>800</v>
      </c>
      <c r="F346" s="20" t="s">
        <v>29</v>
      </c>
      <c r="G346" s="2">
        <v>100</v>
      </c>
      <c r="H346" s="2" t="str">
        <f>'PFAS Properties'!$B$33</f>
        <v>PFOA</v>
      </c>
      <c r="I346" s="2" t="str">
        <f>'PFAS Properties'!$C$33</f>
        <v>PFCA</v>
      </c>
      <c r="J346" s="2" t="str">
        <f>'PFAS Properties'!$D$33</f>
        <v>C8HF15O2</v>
      </c>
      <c r="K346" s="25">
        <f>'PFAS Properties'!$P$33</f>
        <v>413.97359999999998</v>
      </c>
      <c r="L346" s="2">
        <f>'PFAS Properties'!$X$33</f>
        <v>-0.2</v>
      </c>
      <c r="M346" s="2" t="str">
        <f>'PFAS Properties'!$Y$33</f>
        <v>-</v>
      </c>
      <c r="N346" s="33">
        <v>0</v>
      </c>
      <c r="O346" s="33">
        <v>0</v>
      </c>
      <c r="P346" s="33">
        <v>0</v>
      </c>
      <c r="Q346" s="33">
        <f t="shared" si="149"/>
        <v>0.99999999205671775</v>
      </c>
      <c r="R346" s="33">
        <v>0</v>
      </c>
      <c r="S346" s="33">
        <f t="shared" si="150"/>
        <v>7.9432822841470747E-9</v>
      </c>
      <c r="T346" s="8">
        <f t="shared" si="151"/>
        <v>1</v>
      </c>
      <c r="U346" s="33">
        <f t="shared" si="140"/>
        <v>0</v>
      </c>
      <c r="V346" s="33">
        <f t="shared" si="141"/>
        <v>-0.99999999205671775</v>
      </c>
      <c r="W346" s="33">
        <f t="shared" si="142"/>
        <v>412.97360000794328</v>
      </c>
      <c r="X346" s="33">
        <v>96485</v>
      </c>
      <c r="Y346" s="16">
        <f t="shared" si="143"/>
        <v>-233.63478738528704</v>
      </c>
      <c r="Z346" s="16">
        <v>8</v>
      </c>
      <c r="AA346" s="16">
        <v>15</v>
      </c>
      <c r="AB346" s="8">
        <f t="shared" si="144"/>
        <v>0.33684210526315789</v>
      </c>
      <c r="AC346" s="16">
        <f t="shared" si="145"/>
        <v>68.844969824162703</v>
      </c>
      <c r="AD346" s="20">
        <f>'PFAS Properties'!$W$33</f>
        <v>7</v>
      </c>
      <c r="AE346" s="8">
        <f>'PFAS Properties'!$S$33</f>
        <v>2.6821450763738319</v>
      </c>
      <c r="AF346" s="15">
        <f>'PFAS Properties'!$V$33</f>
        <v>4.9000000000000004</v>
      </c>
      <c r="AG346" s="24">
        <v>7.9</v>
      </c>
      <c r="AH346" s="2" t="s">
        <v>122</v>
      </c>
      <c r="AI346" s="2" t="s">
        <v>661</v>
      </c>
      <c r="AJ346" s="2" t="s">
        <v>661</v>
      </c>
      <c r="AK346" s="2" t="s">
        <v>661</v>
      </c>
      <c r="AL346" s="2" t="s">
        <v>661</v>
      </c>
      <c r="AM346" s="2" t="s">
        <v>661</v>
      </c>
      <c r="AN346" s="2" t="s">
        <v>661</v>
      </c>
      <c r="AO346" s="2" t="s">
        <v>661</v>
      </c>
      <c r="AP346" s="16">
        <v>10.1</v>
      </c>
      <c r="AQ346" s="2" t="s">
        <v>661</v>
      </c>
      <c r="AR346" s="16">
        <v>45.8</v>
      </c>
      <c r="AS346" s="16">
        <v>24.400000000000006</v>
      </c>
      <c r="AT346" s="16">
        <v>29.8</v>
      </c>
      <c r="AU346" s="2" t="s">
        <v>661</v>
      </c>
      <c r="AV346" s="16">
        <f t="shared" si="138"/>
        <v>100</v>
      </c>
      <c r="AW346" s="18">
        <v>0.2</v>
      </c>
      <c r="AX346" s="13">
        <f t="shared" ref="AX346" si="152">AW346/100</f>
        <v>2E-3</v>
      </c>
      <c r="AY346" s="13" t="s">
        <v>123</v>
      </c>
      <c r="AZ346" s="16">
        <f t="shared" si="139"/>
        <v>100</v>
      </c>
      <c r="BA346" s="16" t="s">
        <v>55</v>
      </c>
      <c r="BB346" s="15">
        <v>2.2999999999999998</v>
      </c>
      <c r="BC346" s="16" t="s">
        <v>55</v>
      </c>
      <c r="BD346" s="18">
        <v>14.8</v>
      </c>
      <c r="BE346" s="15">
        <f t="shared" si="146"/>
        <v>7400</v>
      </c>
      <c r="BF346" s="8">
        <f t="shared" si="147"/>
        <v>3.8692317197309762</v>
      </c>
      <c r="BG346" s="8">
        <f t="shared" si="148"/>
        <v>1.1702617153949575</v>
      </c>
      <c r="BH346" s="13" t="s">
        <v>841</v>
      </c>
      <c r="BI346" s="13"/>
      <c r="BJ346" s="13"/>
      <c r="BK346" s="8"/>
      <c r="BL346" s="8"/>
      <c r="BM346" s="18"/>
      <c r="BN346" s="8"/>
      <c r="BO346" s="24"/>
    </row>
    <row r="347" spans="1:67" s="14" customFormat="1" x14ac:dyDescent="0.3">
      <c r="A347" s="20">
        <v>353</v>
      </c>
      <c r="B347" s="2" t="s">
        <v>181</v>
      </c>
      <c r="C347" s="2">
        <v>2020</v>
      </c>
      <c r="D347" s="2" t="s">
        <v>203</v>
      </c>
      <c r="E347" s="10" t="s">
        <v>787</v>
      </c>
      <c r="F347" s="20" t="s">
        <v>29</v>
      </c>
      <c r="G347" s="2" t="s">
        <v>62</v>
      </c>
      <c r="H347" s="2" t="str">
        <f>'PFAS Properties'!$B$33</f>
        <v>PFOA</v>
      </c>
      <c r="I347" s="2" t="str">
        <f>'PFAS Properties'!$C$33</f>
        <v>PFCA</v>
      </c>
      <c r="J347" s="2" t="str">
        <f>'PFAS Properties'!$D$33</f>
        <v>C8HF15O2</v>
      </c>
      <c r="K347" s="25">
        <f>'PFAS Properties'!$P$33</f>
        <v>413.97359999999998</v>
      </c>
      <c r="L347" s="2">
        <f>'PFAS Properties'!$X$33</f>
        <v>-0.2</v>
      </c>
      <c r="M347" s="2" t="str">
        <f>'PFAS Properties'!$Y$33</f>
        <v>-</v>
      </c>
      <c r="N347" s="33">
        <v>0</v>
      </c>
      <c r="O347" s="33">
        <v>0</v>
      </c>
      <c r="P347" s="33">
        <v>0</v>
      </c>
      <c r="Q347" s="33">
        <f t="shared" si="149"/>
        <v>0.99999998004737722</v>
      </c>
      <c r="R347" s="33">
        <v>0</v>
      </c>
      <c r="S347" s="33">
        <f t="shared" si="150"/>
        <v>1.995262275158161E-8</v>
      </c>
      <c r="T347" s="8">
        <f t="shared" si="151"/>
        <v>1</v>
      </c>
      <c r="U347" s="33">
        <f t="shared" si="140"/>
        <v>0</v>
      </c>
      <c r="V347" s="33">
        <f t="shared" si="141"/>
        <v>-0.99999998004737722</v>
      </c>
      <c r="W347" s="33">
        <f t="shared" si="142"/>
        <v>412.97360001995258</v>
      </c>
      <c r="X347" s="33">
        <v>96485</v>
      </c>
      <c r="Y347" s="16">
        <f t="shared" si="143"/>
        <v>-233.63478457269321</v>
      </c>
      <c r="Z347" s="16">
        <v>8</v>
      </c>
      <c r="AA347" s="16">
        <v>15</v>
      </c>
      <c r="AB347" s="8">
        <f t="shared" si="144"/>
        <v>0.33684210526315789</v>
      </c>
      <c r="AC347" s="16">
        <f t="shared" si="145"/>
        <v>68.844969824162703</v>
      </c>
      <c r="AD347" s="20">
        <f>'PFAS Properties'!$W$33</f>
        <v>7</v>
      </c>
      <c r="AE347" s="8">
        <f>'PFAS Properties'!$S$33</f>
        <v>2.6821450763738319</v>
      </c>
      <c r="AF347" s="15">
        <f>'PFAS Properties'!$V$33</f>
        <v>4.9000000000000004</v>
      </c>
      <c r="AG347" s="24">
        <v>7.5</v>
      </c>
      <c r="AH347" s="2" t="s">
        <v>183</v>
      </c>
      <c r="AI347" s="2" t="s">
        <v>661</v>
      </c>
      <c r="AJ347" s="2" t="s">
        <v>661</v>
      </c>
      <c r="AK347" s="2" t="s">
        <v>661</v>
      </c>
      <c r="AL347" s="2" t="s">
        <v>661</v>
      </c>
      <c r="AM347" s="2" t="s">
        <v>661</v>
      </c>
      <c r="AN347" s="2" t="s">
        <v>661</v>
      </c>
      <c r="AO347" s="2" t="s">
        <v>661</v>
      </c>
      <c r="AP347" s="15">
        <v>41.4</v>
      </c>
      <c r="AQ347" s="2" t="s">
        <v>661</v>
      </c>
      <c r="AR347" s="16">
        <v>16.899999999999999</v>
      </c>
      <c r="AS347" s="16">
        <v>17.5</v>
      </c>
      <c r="AT347" s="16">
        <v>65.599999999999994</v>
      </c>
      <c r="AU347" s="2" t="s">
        <v>661</v>
      </c>
      <c r="AV347" s="16">
        <f t="shared" si="138"/>
        <v>100</v>
      </c>
      <c r="AW347" s="18">
        <v>0.7</v>
      </c>
      <c r="AX347" s="13">
        <v>6.9999999999999993E-3</v>
      </c>
      <c r="AY347" s="13" t="s">
        <v>184</v>
      </c>
      <c r="AZ347" s="16">
        <v>100</v>
      </c>
      <c r="BA347" s="16" t="s">
        <v>55</v>
      </c>
      <c r="BB347" s="16">
        <v>5</v>
      </c>
      <c r="BC347" s="16" t="s">
        <v>55</v>
      </c>
      <c r="BD347" s="18">
        <v>1.04</v>
      </c>
      <c r="BE347" s="15">
        <f t="shared" si="146"/>
        <v>148.57142857142858</v>
      </c>
      <c r="BF347" s="8">
        <f t="shared" si="147"/>
        <v>2.1719352992845238</v>
      </c>
      <c r="BG347" s="8">
        <f t="shared" si="148"/>
        <v>1.703333929878037E-2</v>
      </c>
      <c r="BH347" s="13" t="s">
        <v>841</v>
      </c>
      <c r="BI347" s="13"/>
      <c r="BJ347" s="13"/>
      <c r="BK347" s="8"/>
      <c r="BL347" s="8"/>
      <c r="BM347" s="18"/>
      <c r="BN347" s="8"/>
      <c r="BO347" s="24"/>
    </row>
    <row r="348" spans="1:67" s="14" customFormat="1" x14ac:dyDescent="0.3">
      <c r="A348" s="20">
        <v>354</v>
      </c>
      <c r="B348" s="2" t="s">
        <v>181</v>
      </c>
      <c r="C348" s="2">
        <v>2020</v>
      </c>
      <c r="D348" s="2" t="s">
        <v>203</v>
      </c>
      <c r="E348" s="10" t="s">
        <v>787</v>
      </c>
      <c r="F348" s="20" t="s">
        <v>29</v>
      </c>
      <c r="G348" s="2" t="s">
        <v>57</v>
      </c>
      <c r="H348" s="2" t="str">
        <f>'PFAS Properties'!$B$33</f>
        <v>PFOA</v>
      </c>
      <c r="I348" s="2" t="str">
        <f>'PFAS Properties'!$C$33</f>
        <v>PFCA</v>
      </c>
      <c r="J348" s="2" t="str">
        <f>'PFAS Properties'!$D$33</f>
        <v>C8HF15O2</v>
      </c>
      <c r="K348" s="25">
        <f>'PFAS Properties'!$P$33</f>
        <v>413.97359999999998</v>
      </c>
      <c r="L348" s="2">
        <f>'PFAS Properties'!$X$33</f>
        <v>-0.2</v>
      </c>
      <c r="M348" s="2" t="str">
        <f>'PFAS Properties'!$Y$33</f>
        <v>-</v>
      </c>
      <c r="N348" s="33">
        <v>0</v>
      </c>
      <c r="O348" s="33">
        <v>0</v>
      </c>
      <c r="P348" s="33">
        <v>0</v>
      </c>
      <c r="Q348" s="33">
        <f t="shared" si="149"/>
        <v>0.99999990000001004</v>
      </c>
      <c r="R348" s="33">
        <v>0</v>
      </c>
      <c r="S348" s="33">
        <f t="shared" si="150"/>
        <v>9.9999990000001005E-8</v>
      </c>
      <c r="T348" s="8">
        <f t="shared" si="151"/>
        <v>1</v>
      </c>
      <c r="U348" s="33">
        <f t="shared" si="140"/>
        <v>0</v>
      </c>
      <c r="V348" s="33">
        <f t="shared" si="141"/>
        <v>-0.99999990000001004</v>
      </c>
      <c r="W348" s="33">
        <f t="shared" si="142"/>
        <v>412.9736001</v>
      </c>
      <c r="X348" s="33">
        <v>96485</v>
      </c>
      <c r="Y348" s="16">
        <f t="shared" si="143"/>
        <v>-233.63476582555762</v>
      </c>
      <c r="Z348" s="16">
        <v>8</v>
      </c>
      <c r="AA348" s="16">
        <v>15</v>
      </c>
      <c r="AB348" s="8">
        <f t="shared" si="144"/>
        <v>0.33684210526315789</v>
      </c>
      <c r="AC348" s="16">
        <f t="shared" si="145"/>
        <v>68.844969824162703</v>
      </c>
      <c r="AD348" s="20">
        <f>'PFAS Properties'!$W$33</f>
        <v>7</v>
      </c>
      <c r="AE348" s="8">
        <f>'PFAS Properties'!$S$33</f>
        <v>2.6821450763738319</v>
      </c>
      <c r="AF348" s="15">
        <f>'PFAS Properties'!$V$33</f>
        <v>4.9000000000000004</v>
      </c>
      <c r="AG348" s="24">
        <v>6.8</v>
      </c>
      <c r="AH348" s="2" t="s">
        <v>183</v>
      </c>
      <c r="AI348" s="2" t="s">
        <v>661</v>
      </c>
      <c r="AJ348" s="2" t="s">
        <v>661</v>
      </c>
      <c r="AK348" s="2" t="s">
        <v>661</v>
      </c>
      <c r="AL348" s="2" t="s">
        <v>661</v>
      </c>
      <c r="AM348" s="2" t="s">
        <v>661</v>
      </c>
      <c r="AN348" s="2" t="s">
        <v>661</v>
      </c>
      <c r="AO348" s="2" t="s">
        <v>661</v>
      </c>
      <c r="AP348" s="15">
        <v>7.1</v>
      </c>
      <c r="AQ348" s="2" t="s">
        <v>661</v>
      </c>
      <c r="AR348" s="16">
        <v>48.9</v>
      </c>
      <c r="AS348" s="16">
        <v>27</v>
      </c>
      <c r="AT348" s="16">
        <v>24.2</v>
      </c>
      <c r="AU348" s="2" t="s">
        <v>661</v>
      </c>
      <c r="AV348" s="16">
        <f t="shared" si="138"/>
        <v>100.10000000000001</v>
      </c>
      <c r="AW348" s="18">
        <v>0.37</v>
      </c>
      <c r="AX348" s="13">
        <v>3.7000000000000002E-3</v>
      </c>
      <c r="AY348" s="13" t="s">
        <v>184</v>
      </c>
      <c r="AZ348" s="16">
        <v>100</v>
      </c>
      <c r="BA348" s="16" t="s">
        <v>55</v>
      </c>
      <c r="BB348" s="16">
        <v>5</v>
      </c>
      <c r="BC348" s="16" t="s">
        <v>55</v>
      </c>
      <c r="BD348" s="18">
        <v>0.68</v>
      </c>
      <c r="BE348" s="15">
        <f t="shared" si="146"/>
        <v>183.78378378378378</v>
      </c>
      <c r="BF348" s="8">
        <f t="shared" si="147"/>
        <v>2.2643071886392412</v>
      </c>
      <c r="BG348" s="8">
        <f t="shared" si="148"/>
        <v>-0.16749108729376366</v>
      </c>
      <c r="BH348" s="13" t="s">
        <v>841</v>
      </c>
      <c r="BI348" s="13"/>
      <c r="BJ348" s="13"/>
      <c r="BK348" s="8"/>
      <c r="BL348" s="8"/>
      <c r="BM348" s="18"/>
      <c r="BN348" s="8"/>
      <c r="BO348" s="24"/>
    </row>
    <row r="349" spans="1:67" s="14" customFormat="1" x14ac:dyDescent="0.3">
      <c r="A349" s="20">
        <v>355</v>
      </c>
      <c r="B349" s="2" t="s">
        <v>181</v>
      </c>
      <c r="C349" s="2">
        <v>2020</v>
      </c>
      <c r="D349" s="2" t="s">
        <v>203</v>
      </c>
      <c r="E349" s="10" t="s">
        <v>787</v>
      </c>
      <c r="F349" s="20" t="s">
        <v>29</v>
      </c>
      <c r="G349" s="2" t="s">
        <v>58</v>
      </c>
      <c r="H349" s="2" t="str">
        <f>'PFAS Properties'!$B$33</f>
        <v>PFOA</v>
      </c>
      <c r="I349" s="2" t="str">
        <f>'PFAS Properties'!$C$33</f>
        <v>PFCA</v>
      </c>
      <c r="J349" s="2" t="str">
        <f>'PFAS Properties'!$D$33</f>
        <v>C8HF15O2</v>
      </c>
      <c r="K349" s="25">
        <f>'PFAS Properties'!$P$33</f>
        <v>413.97359999999998</v>
      </c>
      <c r="L349" s="2">
        <f>'PFAS Properties'!$X$33</f>
        <v>-0.2</v>
      </c>
      <c r="M349" s="2" t="str">
        <f>'PFAS Properties'!$Y$33</f>
        <v>-</v>
      </c>
      <c r="N349" s="33">
        <v>0</v>
      </c>
      <c r="O349" s="33">
        <v>0</v>
      </c>
      <c r="P349" s="33">
        <v>0</v>
      </c>
      <c r="Q349" s="33">
        <f t="shared" si="149"/>
        <v>0.99999960189298798</v>
      </c>
      <c r="R349" s="33">
        <v>0</v>
      </c>
      <c r="S349" s="33">
        <f t="shared" si="150"/>
        <v>3.9810701206424001E-7</v>
      </c>
      <c r="T349" s="8">
        <f t="shared" si="151"/>
        <v>1</v>
      </c>
      <c r="U349" s="33">
        <f t="shared" si="140"/>
        <v>0</v>
      </c>
      <c r="V349" s="33">
        <f t="shared" si="141"/>
        <v>-0.99999960189298798</v>
      </c>
      <c r="W349" s="33">
        <f t="shared" si="142"/>
        <v>412.97360039810701</v>
      </c>
      <c r="X349" s="33">
        <v>96485</v>
      </c>
      <c r="Y349" s="16">
        <f t="shared" si="143"/>
        <v>-233.634696008736</v>
      </c>
      <c r="Z349" s="16">
        <v>8</v>
      </c>
      <c r="AA349" s="16">
        <v>15</v>
      </c>
      <c r="AB349" s="8">
        <f t="shared" si="144"/>
        <v>0.33684210526315789</v>
      </c>
      <c r="AC349" s="16">
        <f t="shared" si="145"/>
        <v>68.844969824162703</v>
      </c>
      <c r="AD349" s="20">
        <f>'PFAS Properties'!$W$33</f>
        <v>7</v>
      </c>
      <c r="AE349" s="8">
        <f>'PFAS Properties'!$S$33</f>
        <v>2.6821450763738319</v>
      </c>
      <c r="AF349" s="15">
        <f>'PFAS Properties'!$V$33</f>
        <v>4.9000000000000004</v>
      </c>
      <c r="AG349" s="24">
        <v>6.2</v>
      </c>
      <c r="AH349" s="2" t="s">
        <v>183</v>
      </c>
      <c r="AI349" s="2" t="s">
        <v>661</v>
      </c>
      <c r="AJ349" s="2" t="s">
        <v>661</v>
      </c>
      <c r="AK349" s="2" t="s">
        <v>661</v>
      </c>
      <c r="AL349" s="2" t="s">
        <v>661</v>
      </c>
      <c r="AM349" s="2" t="s">
        <v>661</v>
      </c>
      <c r="AN349" s="2" t="s">
        <v>661</v>
      </c>
      <c r="AO349" s="2" t="s">
        <v>661</v>
      </c>
      <c r="AP349" s="15">
        <v>8</v>
      </c>
      <c r="AQ349" s="2" t="s">
        <v>661</v>
      </c>
      <c r="AR349" s="16">
        <v>51.44</v>
      </c>
      <c r="AS349" s="16">
        <v>10.17</v>
      </c>
      <c r="AT349" s="16">
        <v>38.380000000000003</v>
      </c>
      <c r="AU349" s="2" t="s">
        <v>661</v>
      </c>
      <c r="AV349" s="16">
        <f t="shared" si="138"/>
        <v>99.990000000000009</v>
      </c>
      <c r="AW349" s="18">
        <v>0.08</v>
      </c>
      <c r="AX349" s="13">
        <v>8.0000000000000004E-4</v>
      </c>
      <c r="AY349" s="8" t="s">
        <v>184</v>
      </c>
      <c r="AZ349" s="16">
        <v>100</v>
      </c>
      <c r="BA349" s="16" t="s">
        <v>55</v>
      </c>
      <c r="BB349" s="16">
        <v>5</v>
      </c>
      <c r="BC349" s="16" t="s">
        <v>55</v>
      </c>
      <c r="BD349" s="18">
        <v>0.81</v>
      </c>
      <c r="BE349" s="15">
        <f t="shared" si="146"/>
        <v>1012.5</v>
      </c>
      <c r="BF349" s="8">
        <f t="shared" si="147"/>
        <v>3.0053950318867062</v>
      </c>
      <c r="BG349" s="8">
        <f t="shared" si="148"/>
        <v>-9.1514981121350217E-2</v>
      </c>
      <c r="BH349" s="13" t="s">
        <v>841</v>
      </c>
      <c r="BI349" s="13"/>
      <c r="BJ349" s="13"/>
      <c r="BK349" s="8"/>
      <c r="BL349" s="8"/>
      <c r="BM349" s="18"/>
      <c r="BN349" s="8"/>
      <c r="BO349" s="24"/>
    </row>
    <row r="350" spans="1:67" s="14" customFormat="1" x14ac:dyDescent="0.3">
      <c r="A350" s="20">
        <v>356</v>
      </c>
      <c r="B350" s="2" t="s">
        <v>181</v>
      </c>
      <c r="C350" s="2">
        <v>2020</v>
      </c>
      <c r="D350" s="2" t="s">
        <v>203</v>
      </c>
      <c r="E350" s="10" t="s">
        <v>787</v>
      </c>
      <c r="F350" s="20" t="s">
        <v>29</v>
      </c>
      <c r="G350" s="2" t="s">
        <v>59</v>
      </c>
      <c r="H350" s="2" t="str">
        <f>'PFAS Properties'!$B$33</f>
        <v>PFOA</v>
      </c>
      <c r="I350" s="2" t="str">
        <f>'PFAS Properties'!$C$33</f>
        <v>PFCA</v>
      </c>
      <c r="J350" s="2" t="str">
        <f>'PFAS Properties'!$D$33</f>
        <v>C8HF15O2</v>
      </c>
      <c r="K350" s="25">
        <f>'PFAS Properties'!$P$33</f>
        <v>413.97359999999998</v>
      </c>
      <c r="L350" s="2">
        <f>'PFAS Properties'!$X$33</f>
        <v>-0.2</v>
      </c>
      <c r="M350" s="2" t="str">
        <f>'PFAS Properties'!$Y$33</f>
        <v>-</v>
      </c>
      <c r="N350" s="33">
        <v>0</v>
      </c>
      <c r="O350" s="33">
        <v>0</v>
      </c>
      <c r="P350" s="33">
        <v>0</v>
      </c>
      <c r="Q350" s="33">
        <f t="shared" si="149"/>
        <v>0.99999998741074603</v>
      </c>
      <c r="R350" s="33">
        <v>0</v>
      </c>
      <c r="S350" s="33">
        <f t="shared" si="150"/>
        <v>1.258925395945232E-8</v>
      </c>
      <c r="T350" s="8">
        <f t="shared" si="151"/>
        <v>1</v>
      </c>
      <c r="U350" s="33">
        <f t="shared" si="140"/>
        <v>0</v>
      </c>
      <c r="V350" s="33">
        <f t="shared" si="141"/>
        <v>-0.99999998741074603</v>
      </c>
      <c r="W350" s="33">
        <f t="shared" si="142"/>
        <v>412.9736000125892</v>
      </c>
      <c r="X350" s="33">
        <v>96485</v>
      </c>
      <c r="Y350" s="16">
        <f t="shared" si="143"/>
        <v>-233.63478629719808</v>
      </c>
      <c r="Z350" s="16">
        <v>8</v>
      </c>
      <c r="AA350" s="16">
        <v>15</v>
      </c>
      <c r="AB350" s="8">
        <f t="shared" si="144"/>
        <v>0.33684210526315789</v>
      </c>
      <c r="AC350" s="16">
        <f t="shared" si="145"/>
        <v>68.844969824162703</v>
      </c>
      <c r="AD350" s="20">
        <f>'PFAS Properties'!$W$33</f>
        <v>7</v>
      </c>
      <c r="AE350" s="8">
        <f>'PFAS Properties'!$S$33</f>
        <v>2.6821450763738319</v>
      </c>
      <c r="AF350" s="15">
        <f>'PFAS Properties'!$V$33</f>
        <v>4.9000000000000004</v>
      </c>
      <c r="AG350" s="24">
        <v>7.7</v>
      </c>
      <c r="AH350" s="2" t="s">
        <v>183</v>
      </c>
      <c r="AI350" s="2" t="s">
        <v>661</v>
      </c>
      <c r="AJ350" s="2" t="s">
        <v>661</v>
      </c>
      <c r="AK350" s="2" t="s">
        <v>661</v>
      </c>
      <c r="AL350" s="2" t="s">
        <v>661</v>
      </c>
      <c r="AM350" s="2" t="s">
        <v>661</v>
      </c>
      <c r="AN350" s="2" t="s">
        <v>661</v>
      </c>
      <c r="AO350" s="2" t="s">
        <v>661</v>
      </c>
      <c r="AP350" s="15">
        <v>4.8</v>
      </c>
      <c r="AQ350" s="2" t="s">
        <v>661</v>
      </c>
      <c r="AR350" s="16">
        <v>46</v>
      </c>
      <c r="AS350" s="16">
        <v>37</v>
      </c>
      <c r="AT350" s="16">
        <v>17</v>
      </c>
      <c r="AU350" s="2" t="s">
        <v>661</v>
      </c>
      <c r="AV350" s="16">
        <f t="shared" si="138"/>
        <v>100</v>
      </c>
      <c r="AW350" s="18">
        <v>0.25</v>
      </c>
      <c r="AX350" s="13">
        <v>2.5000000000000001E-3</v>
      </c>
      <c r="AY350" s="13" t="s">
        <v>184</v>
      </c>
      <c r="AZ350" s="16">
        <v>100</v>
      </c>
      <c r="BA350" s="16" t="s">
        <v>55</v>
      </c>
      <c r="BB350" s="16">
        <v>5</v>
      </c>
      <c r="BC350" s="16" t="s">
        <v>55</v>
      </c>
      <c r="BD350" s="18">
        <v>0.64</v>
      </c>
      <c r="BE350" s="15">
        <f t="shared" si="146"/>
        <v>256</v>
      </c>
      <c r="BF350" s="8">
        <f t="shared" si="147"/>
        <v>2.4082399653118496</v>
      </c>
      <c r="BG350" s="8">
        <f t="shared" si="148"/>
        <v>-0.19382002601611281</v>
      </c>
      <c r="BH350" s="13" t="s">
        <v>841</v>
      </c>
      <c r="BI350" s="13"/>
      <c r="BJ350" s="13"/>
      <c r="BK350" s="8"/>
      <c r="BL350" s="8"/>
      <c r="BM350" s="18"/>
      <c r="BN350" s="8"/>
      <c r="BO350" s="24"/>
    </row>
    <row r="351" spans="1:67" s="14" customFormat="1" x14ac:dyDescent="0.3">
      <c r="A351" s="20">
        <v>357</v>
      </c>
      <c r="B351" s="2" t="s">
        <v>181</v>
      </c>
      <c r="C351" s="2">
        <v>2020</v>
      </c>
      <c r="D351" s="2" t="s">
        <v>203</v>
      </c>
      <c r="E351" s="10" t="s">
        <v>787</v>
      </c>
      <c r="F351" s="20" t="s">
        <v>29</v>
      </c>
      <c r="G351" s="2" t="s">
        <v>61</v>
      </c>
      <c r="H351" s="2" t="str">
        <f>'PFAS Properties'!$B$33</f>
        <v>PFOA</v>
      </c>
      <c r="I351" s="2" t="str">
        <f>'PFAS Properties'!$C$33</f>
        <v>PFCA</v>
      </c>
      <c r="J351" s="2" t="str">
        <f>'PFAS Properties'!$D$33</f>
        <v>C8HF15O2</v>
      </c>
      <c r="K351" s="25">
        <f>'PFAS Properties'!$P$33</f>
        <v>413.97359999999998</v>
      </c>
      <c r="L351" s="2">
        <f>'PFAS Properties'!$X$33</f>
        <v>-0.2</v>
      </c>
      <c r="M351" s="2" t="str">
        <f>'PFAS Properties'!$Y$33</f>
        <v>-</v>
      </c>
      <c r="N351" s="33">
        <v>0</v>
      </c>
      <c r="O351" s="33">
        <v>0</v>
      </c>
      <c r="P351" s="33">
        <v>0</v>
      </c>
      <c r="Q351" s="33">
        <f t="shared" si="149"/>
        <v>0.99999997488113634</v>
      </c>
      <c r="R351" s="33">
        <v>0</v>
      </c>
      <c r="S351" s="33">
        <f t="shared" si="150"/>
        <v>2.5118863684138424E-8</v>
      </c>
      <c r="T351" s="8">
        <f t="shared" si="151"/>
        <v>1</v>
      </c>
      <c r="U351" s="33">
        <f t="shared" si="140"/>
        <v>0</v>
      </c>
      <c r="V351" s="33">
        <f t="shared" si="141"/>
        <v>-0.99999997488113634</v>
      </c>
      <c r="W351" s="33">
        <f t="shared" si="142"/>
        <v>412.97360002511886</v>
      </c>
      <c r="X351" s="33">
        <v>96485</v>
      </c>
      <c r="Y351" s="16">
        <f t="shared" si="143"/>
        <v>-233.63478336275685</v>
      </c>
      <c r="Z351" s="16">
        <v>8</v>
      </c>
      <c r="AA351" s="16">
        <v>15</v>
      </c>
      <c r="AB351" s="8">
        <f t="shared" si="144"/>
        <v>0.33684210526315789</v>
      </c>
      <c r="AC351" s="16">
        <f t="shared" si="145"/>
        <v>68.844969824162703</v>
      </c>
      <c r="AD351" s="20">
        <f>'PFAS Properties'!$W$33</f>
        <v>7</v>
      </c>
      <c r="AE351" s="8">
        <f>'PFAS Properties'!$S$33</f>
        <v>2.6821450763738319</v>
      </c>
      <c r="AF351" s="15">
        <f>'PFAS Properties'!$V$33</f>
        <v>4.9000000000000004</v>
      </c>
      <c r="AG351" s="24">
        <v>7.4</v>
      </c>
      <c r="AH351" s="2" t="s">
        <v>183</v>
      </c>
      <c r="AI351" s="2" t="s">
        <v>661</v>
      </c>
      <c r="AJ351" s="2" t="s">
        <v>661</v>
      </c>
      <c r="AK351" s="2" t="s">
        <v>661</v>
      </c>
      <c r="AL351" s="2" t="s">
        <v>661</v>
      </c>
      <c r="AM351" s="2" t="s">
        <v>661</v>
      </c>
      <c r="AN351" s="2" t="s">
        <v>661</v>
      </c>
      <c r="AO351" s="2" t="s">
        <v>661</v>
      </c>
      <c r="AP351" s="15">
        <v>29.6</v>
      </c>
      <c r="AQ351" s="2" t="s">
        <v>661</v>
      </c>
      <c r="AR351" s="16">
        <v>39.799999999999997</v>
      </c>
      <c r="AS351" s="16">
        <v>7.7</v>
      </c>
      <c r="AT351" s="16">
        <v>52.5</v>
      </c>
      <c r="AU351" s="2" t="s">
        <v>661</v>
      </c>
      <c r="AV351" s="16">
        <f t="shared" si="138"/>
        <v>100</v>
      </c>
      <c r="AW351" s="18">
        <v>2.23</v>
      </c>
      <c r="AX351" s="13">
        <v>2.23E-2</v>
      </c>
      <c r="AY351" s="8" t="s">
        <v>184</v>
      </c>
      <c r="AZ351" s="16">
        <v>100</v>
      </c>
      <c r="BA351" s="16" t="s">
        <v>55</v>
      </c>
      <c r="BB351" s="16">
        <v>5</v>
      </c>
      <c r="BC351" s="16" t="s">
        <v>55</v>
      </c>
      <c r="BD351" s="18">
        <v>0.74</v>
      </c>
      <c r="BE351" s="15">
        <f t="shared" si="146"/>
        <v>33.183856502242151</v>
      </c>
      <c r="BF351" s="8">
        <f t="shared" si="147"/>
        <v>1.5209268566828156</v>
      </c>
      <c r="BG351" s="8">
        <f t="shared" si="148"/>
        <v>-0.13076828026902382</v>
      </c>
      <c r="BH351" s="13" t="s">
        <v>841</v>
      </c>
      <c r="BI351" s="13"/>
      <c r="BJ351" s="13"/>
      <c r="BK351" s="8"/>
      <c r="BL351" s="8"/>
      <c r="BM351" s="18"/>
      <c r="BN351" s="8"/>
      <c r="BO351" s="24"/>
    </row>
    <row r="352" spans="1:67" s="14" customFormat="1" x14ac:dyDescent="0.3">
      <c r="A352" s="20">
        <v>358</v>
      </c>
      <c r="B352" s="2" t="s">
        <v>181</v>
      </c>
      <c r="C352" s="2">
        <v>2020</v>
      </c>
      <c r="D352" s="2" t="s">
        <v>203</v>
      </c>
      <c r="E352" s="10" t="s">
        <v>787</v>
      </c>
      <c r="F352" s="20" t="s">
        <v>29</v>
      </c>
      <c r="G352" s="2" t="s">
        <v>60</v>
      </c>
      <c r="H352" s="2" t="str">
        <f>'PFAS Properties'!$B$33</f>
        <v>PFOA</v>
      </c>
      <c r="I352" s="2" t="str">
        <f>'PFAS Properties'!$C$33</f>
        <v>PFCA</v>
      </c>
      <c r="J352" s="2" t="str">
        <f>'PFAS Properties'!$D$33</f>
        <v>C8HF15O2</v>
      </c>
      <c r="K352" s="25">
        <f>'PFAS Properties'!$P$33</f>
        <v>413.97359999999998</v>
      </c>
      <c r="L352" s="2">
        <f>'PFAS Properties'!$X$33</f>
        <v>-0.2</v>
      </c>
      <c r="M352" s="2" t="str">
        <f>'PFAS Properties'!$Y$33</f>
        <v>-</v>
      </c>
      <c r="N352" s="33">
        <v>0</v>
      </c>
      <c r="O352" s="33">
        <v>0</v>
      </c>
      <c r="P352" s="33">
        <v>0</v>
      </c>
      <c r="Q352" s="33">
        <f t="shared" si="149"/>
        <v>0.99999998741074603</v>
      </c>
      <c r="R352" s="33">
        <v>0</v>
      </c>
      <c r="S352" s="33">
        <f t="shared" si="150"/>
        <v>1.258925395945232E-8</v>
      </c>
      <c r="T352" s="8">
        <f t="shared" si="151"/>
        <v>1</v>
      </c>
      <c r="U352" s="33">
        <f t="shared" si="140"/>
        <v>0</v>
      </c>
      <c r="V352" s="33">
        <f t="shared" si="141"/>
        <v>-0.99999998741074603</v>
      </c>
      <c r="W352" s="33">
        <f t="shared" si="142"/>
        <v>412.9736000125892</v>
      </c>
      <c r="X352" s="33">
        <v>96485</v>
      </c>
      <c r="Y352" s="16">
        <f t="shared" si="143"/>
        <v>-233.63478629719808</v>
      </c>
      <c r="Z352" s="16">
        <v>8</v>
      </c>
      <c r="AA352" s="16">
        <v>15</v>
      </c>
      <c r="AB352" s="8">
        <f t="shared" si="144"/>
        <v>0.33684210526315789</v>
      </c>
      <c r="AC352" s="16">
        <f t="shared" si="145"/>
        <v>68.844969824162703</v>
      </c>
      <c r="AD352" s="20">
        <f>'PFAS Properties'!$W$33</f>
        <v>7</v>
      </c>
      <c r="AE352" s="8">
        <f>'PFAS Properties'!$S$33</f>
        <v>2.6821450763738319</v>
      </c>
      <c r="AF352" s="15">
        <f>'PFAS Properties'!$V$33</f>
        <v>4.9000000000000004</v>
      </c>
      <c r="AG352" s="24">
        <v>7.7</v>
      </c>
      <c r="AH352" s="2" t="s">
        <v>183</v>
      </c>
      <c r="AI352" s="2" t="s">
        <v>661</v>
      </c>
      <c r="AJ352" s="2" t="s">
        <v>661</v>
      </c>
      <c r="AK352" s="2" t="s">
        <v>661</v>
      </c>
      <c r="AL352" s="2" t="s">
        <v>661</v>
      </c>
      <c r="AM352" s="2" t="s">
        <v>661</v>
      </c>
      <c r="AN352" s="2" t="s">
        <v>661</v>
      </c>
      <c r="AO352" s="2" t="s">
        <v>661</v>
      </c>
      <c r="AP352" s="15">
        <v>21.63</v>
      </c>
      <c r="AQ352" s="2" t="s">
        <v>661</v>
      </c>
      <c r="AR352" s="16">
        <v>70</v>
      </c>
      <c r="AS352" s="16">
        <v>11</v>
      </c>
      <c r="AT352" s="16">
        <v>19</v>
      </c>
      <c r="AU352" s="2" t="s">
        <v>661</v>
      </c>
      <c r="AV352" s="16">
        <f t="shared" si="138"/>
        <v>100</v>
      </c>
      <c r="AW352" s="18">
        <v>4.9000000000000004</v>
      </c>
      <c r="AX352" s="13">
        <v>4.9000000000000002E-2</v>
      </c>
      <c r="AY352" s="8" t="s">
        <v>184</v>
      </c>
      <c r="AZ352" s="16">
        <v>100</v>
      </c>
      <c r="BA352" s="16" t="s">
        <v>55</v>
      </c>
      <c r="BB352" s="16">
        <v>5</v>
      </c>
      <c r="BC352" s="16" t="s">
        <v>55</v>
      </c>
      <c r="BD352" s="18">
        <v>2.84</v>
      </c>
      <c r="BE352" s="15">
        <f t="shared" si="146"/>
        <v>57.959183673469383</v>
      </c>
      <c r="BF352" s="8">
        <f t="shared" si="147"/>
        <v>1.7631222600185239</v>
      </c>
      <c r="BG352" s="8">
        <f t="shared" si="148"/>
        <v>0.45331834004703764</v>
      </c>
      <c r="BH352" s="13" t="s">
        <v>841</v>
      </c>
      <c r="BI352" s="13"/>
      <c r="BJ352" s="13"/>
      <c r="BK352" s="8"/>
      <c r="BL352" s="8"/>
      <c r="BM352" s="18"/>
      <c r="BN352" s="8"/>
      <c r="BO352" s="24"/>
    </row>
    <row r="353" spans="1:67" s="14" customFormat="1" x14ac:dyDescent="0.3">
      <c r="A353" s="20">
        <v>359</v>
      </c>
      <c r="B353" s="2" t="s">
        <v>181</v>
      </c>
      <c r="C353" s="2">
        <v>2020</v>
      </c>
      <c r="D353" s="2" t="s">
        <v>203</v>
      </c>
      <c r="E353" s="10" t="s">
        <v>787</v>
      </c>
      <c r="F353" s="20" t="s">
        <v>29</v>
      </c>
      <c r="G353" s="2" t="s">
        <v>77</v>
      </c>
      <c r="H353" s="2" t="str">
        <f>'PFAS Properties'!$B$33</f>
        <v>PFOA</v>
      </c>
      <c r="I353" s="2" t="str">
        <f>'PFAS Properties'!$C$33</f>
        <v>PFCA</v>
      </c>
      <c r="J353" s="2" t="str">
        <f>'PFAS Properties'!$D$33</f>
        <v>C8HF15O2</v>
      </c>
      <c r="K353" s="25">
        <f>'PFAS Properties'!$P$33</f>
        <v>413.97359999999998</v>
      </c>
      <c r="L353" s="2">
        <f>'PFAS Properties'!$X$33</f>
        <v>-0.2</v>
      </c>
      <c r="M353" s="2" t="str">
        <f>'PFAS Properties'!$Y$33</f>
        <v>-</v>
      </c>
      <c r="N353" s="33">
        <v>0</v>
      </c>
      <c r="O353" s="33">
        <v>0</v>
      </c>
      <c r="P353" s="33">
        <v>0</v>
      </c>
      <c r="Q353" s="33">
        <f t="shared" si="149"/>
        <v>0.99999998741074603</v>
      </c>
      <c r="R353" s="33">
        <v>0</v>
      </c>
      <c r="S353" s="33">
        <f t="shared" si="150"/>
        <v>1.258925395945232E-8</v>
      </c>
      <c r="T353" s="8">
        <f t="shared" si="151"/>
        <v>1</v>
      </c>
      <c r="U353" s="33">
        <f t="shared" si="140"/>
        <v>0</v>
      </c>
      <c r="V353" s="33">
        <f t="shared" si="141"/>
        <v>-0.99999998741074603</v>
      </c>
      <c r="W353" s="33">
        <f t="shared" si="142"/>
        <v>412.9736000125892</v>
      </c>
      <c r="X353" s="33">
        <v>96485</v>
      </c>
      <c r="Y353" s="16">
        <f t="shared" si="143"/>
        <v>-233.63478629719808</v>
      </c>
      <c r="Z353" s="16">
        <v>8</v>
      </c>
      <c r="AA353" s="16">
        <v>15</v>
      </c>
      <c r="AB353" s="8">
        <f t="shared" si="144"/>
        <v>0.33684210526315789</v>
      </c>
      <c r="AC353" s="16">
        <f t="shared" si="145"/>
        <v>68.844969824162703</v>
      </c>
      <c r="AD353" s="20">
        <f>'PFAS Properties'!$W$33</f>
        <v>7</v>
      </c>
      <c r="AE353" s="8">
        <f>'PFAS Properties'!$S$33</f>
        <v>2.6821450763738319</v>
      </c>
      <c r="AF353" s="15">
        <f>'PFAS Properties'!$V$33</f>
        <v>4.9000000000000004</v>
      </c>
      <c r="AG353" s="24">
        <v>7.7</v>
      </c>
      <c r="AH353" s="2" t="s">
        <v>183</v>
      </c>
      <c r="AI353" s="2" t="s">
        <v>661</v>
      </c>
      <c r="AJ353" s="2" t="s">
        <v>661</v>
      </c>
      <c r="AK353" s="2" t="s">
        <v>661</v>
      </c>
      <c r="AL353" s="2" t="s">
        <v>661</v>
      </c>
      <c r="AM353" s="2" t="s">
        <v>661</v>
      </c>
      <c r="AN353" s="2" t="s">
        <v>661</v>
      </c>
      <c r="AO353" s="2" t="s">
        <v>661</v>
      </c>
      <c r="AP353" s="15">
        <v>7.8</v>
      </c>
      <c r="AQ353" s="2" t="s">
        <v>661</v>
      </c>
      <c r="AR353" s="16">
        <v>48.9</v>
      </c>
      <c r="AS353" s="16">
        <v>32.6</v>
      </c>
      <c r="AT353" s="16">
        <v>18.5</v>
      </c>
      <c r="AU353" s="2" t="s">
        <v>661</v>
      </c>
      <c r="AV353" s="16">
        <f t="shared" si="138"/>
        <v>100</v>
      </c>
      <c r="AW353" s="18">
        <v>0.13</v>
      </c>
      <c r="AX353" s="13">
        <v>1.2999999999999999E-3</v>
      </c>
      <c r="AY353" s="8" t="s">
        <v>184</v>
      </c>
      <c r="AZ353" s="16">
        <v>100</v>
      </c>
      <c r="BA353" s="16" t="s">
        <v>55</v>
      </c>
      <c r="BB353" s="16">
        <v>5</v>
      </c>
      <c r="BC353" s="16" t="s">
        <v>55</v>
      </c>
      <c r="BD353" s="18">
        <v>1.42</v>
      </c>
      <c r="BE353" s="15">
        <f t="shared" si="146"/>
        <v>1092.3076923076924</v>
      </c>
      <c r="BF353" s="8">
        <f t="shared" si="147"/>
        <v>3.0383449920762198</v>
      </c>
      <c r="BG353" s="8">
        <f t="shared" si="148"/>
        <v>0.15228834438305647</v>
      </c>
      <c r="BH353" s="13" t="s">
        <v>841</v>
      </c>
      <c r="BI353" s="13"/>
      <c r="BJ353" s="13"/>
      <c r="BK353" s="8"/>
      <c r="BL353" s="8"/>
      <c r="BM353" s="18"/>
      <c r="BN353" s="8"/>
      <c r="BO353" s="24"/>
    </row>
    <row r="354" spans="1:67" s="14" customFormat="1" x14ac:dyDescent="0.3">
      <c r="A354" s="20">
        <v>360</v>
      </c>
      <c r="B354" s="2" t="s">
        <v>181</v>
      </c>
      <c r="C354" s="2">
        <v>2020</v>
      </c>
      <c r="D354" s="2" t="s">
        <v>203</v>
      </c>
      <c r="E354" s="10" t="s">
        <v>787</v>
      </c>
      <c r="F354" s="20" t="s">
        <v>29</v>
      </c>
      <c r="G354" s="2" t="s">
        <v>182</v>
      </c>
      <c r="H354" s="2" t="str">
        <f>'PFAS Properties'!$B$33</f>
        <v>PFOA</v>
      </c>
      <c r="I354" s="2" t="str">
        <f>'PFAS Properties'!$C$33</f>
        <v>PFCA</v>
      </c>
      <c r="J354" s="2" t="str">
        <f>'PFAS Properties'!$D$33</f>
        <v>C8HF15O2</v>
      </c>
      <c r="K354" s="25">
        <f>'PFAS Properties'!$P$33</f>
        <v>413.97359999999998</v>
      </c>
      <c r="L354" s="2">
        <f>'PFAS Properties'!$X$33</f>
        <v>-0.2</v>
      </c>
      <c r="M354" s="2" t="str">
        <f>'PFAS Properties'!$Y$33</f>
        <v>-</v>
      </c>
      <c r="N354" s="33">
        <v>0</v>
      </c>
      <c r="O354" s="33">
        <v>0</v>
      </c>
      <c r="P354" s="33">
        <v>0</v>
      </c>
      <c r="Q354" s="33">
        <f t="shared" si="149"/>
        <v>0.99999998004737722</v>
      </c>
      <c r="R354" s="33">
        <v>0</v>
      </c>
      <c r="S354" s="33">
        <f t="shared" si="150"/>
        <v>1.995262275158161E-8</v>
      </c>
      <c r="T354" s="8">
        <f t="shared" si="151"/>
        <v>1</v>
      </c>
      <c r="U354" s="33">
        <f t="shared" si="140"/>
        <v>0</v>
      </c>
      <c r="V354" s="33">
        <f t="shared" si="141"/>
        <v>-0.99999998004737722</v>
      </c>
      <c r="W354" s="33">
        <f t="shared" si="142"/>
        <v>412.97360001995258</v>
      </c>
      <c r="X354" s="33">
        <v>96485</v>
      </c>
      <c r="Y354" s="16">
        <f t="shared" si="143"/>
        <v>-233.63478457269321</v>
      </c>
      <c r="Z354" s="16">
        <v>8</v>
      </c>
      <c r="AA354" s="16">
        <v>15</v>
      </c>
      <c r="AB354" s="8">
        <f t="shared" si="144"/>
        <v>0.33684210526315789</v>
      </c>
      <c r="AC354" s="16">
        <f t="shared" si="145"/>
        <v>68.844969824162703</v>
      </c>
      <c r="AD354" s="20">
        <f>'PFAS Properties'!$W$33</f>
        <v>7</v>
      </c>
      <c r="AE354" s="8">
        <f>'PFAS Properties'!$S$33</f>
        <v>2.6821450763738319</v>
      </c>
      <c r="AF354" s="15">
        <f>'PFAS Properties'!$V$33</f>
        <v>4.9000000000000004</v>
      </c>
      <c r="AG354" s="24">
        <v>7.5</v>
      </c>
      <c r="AH354" s="2" t="s">
        <v>183</v>
      </c>
      <c r="AI354" s="2" t="s">
        <v>661</v>
      </c>
      <c r="AJ354" s="2" t="s">
        <v>661</v>
      </c>
      <c r="AK354" s="2" t="s">
        <v>661</v>
      </c>
      <c r="AL354" s="2" t="s">
        <v>661</v>
      </c>
      <c r="AM354" s="2" t="s">
        <v>661</v>
      </c>
      <c r="AN354" s="2" t="s">
        <v>661</v>
      </c>
      <c r="AO354" s="2" t="s">
        <v>661</v>
      </c>
      <c r="AP354" s="15">
        <v>2.2799999999999998</v>
      </c>
      <c r="AQ354" s="2" t="s">
        <v>661</v>
      </c>
      <c r="AR354" s="16">
        <v>93</v>
      </c>
      <c r="AS354" s="16">
        <v>1</v>
      </c>
      <c r="AT354" s="16">
        <v>5</v>
      </c>
      <c r="AU354" s="2" t="s">
        <v>661</v>
      </c>
      <c r="AV354" s="16">
        <f t="shared" si="138"/>
        <v>99</v>
      </c>
      <c r="AW354" s="18">
        <v>0.4</v>
      </c>
      <c r="AX354" s="13">
        <v>4.0000000000000001E-3</v>
      </c>
      <c r="AY354" s="8" t="s">
        <v>184</v>
      </c>
      <c r="AZ354" s="16">
        <v>100</v>
      </c>
      <c r="BA354" s="16" t="s">
        <v>55</v>
      </c>
      <c r="BB354" s="16">
        <v>5</v>
      </c>
      <c r="BC354" s="16" t="s">
        <v>55</v>
      </c>
      <c r="BD354" s="18">
        <v>0.53</v>
      </c>
      <c r="BE354" s="15">
        <f t="shared" si="146"/>
        <v>132.5</v>
      </c>
      <c r="BF354" s="8">
        <f t="shared" si="147"/>
        <v>2.1222158782728267</v>
      </c>
      <c r="BG354" s="8">
        <f t="shared" si="148"/>
        <v>-0.27572413039921095</v>
      </c>
      <c r="BH354" s="13" t="s">
        <v>841</v>
      </c>
      <c r="BI354" s="13"/>
      <c r="BJ354" s="13"/>
      <c r="BK354" s="8"/>
      <c r="BL354" s="8"/>
      <c r="BM354" s="18"/>
      <c r="BN354" s="8"/>
      <c r="BO354" s="24"/>
    </row>
    <row r="355" spans="1:67" s="14" customFormat="1" x14ac:dyDescent="0.3">
      <c r="A355" s="20">
        <v>361</v>
      </c>
      <c r="B355" s="2" t="s">
        <v>181</v>
      </c>
      <c r="C355" s="2">
        <v>2020</v>
      </c>
      <c r="D355" s="2" t="s">
        <v>203</v>
      </c>
      <c r="E355" s="10" t="s">
        <v>787</v>
      </c>
      <c r="F355" s="20" t="s">
        <v>29</v>
      </c>
      <c r="G355" s="2" t="s">
        <v>78</v>
      </c>
      <c r="H355" s="2" t="str">
        <f>'PFAS Properties'!$B$33</f>
        <v>PFOA</v>
      </c>
      <c r="I355" s="2" t="str">
        <f>'PFAS Properties'!$C$33</f>
        <v>PFCA</v>
      </c>
      <c r="J355" s="2" t="str">
        <f>'PFAS Properties'!$D$33</f>
        <v>C8HF15O2</v>
      </c>
      <c r="K355" s="25">
        <f>'PFAS Properties'!$P$33</f>
        <v>413.97359999999998</v>
      </c>
      <c r="L355" s="2">
        <f>'PFAS Properties'!$X$33</f>
        <v>-0.2</v>
      </c>
      <c r="M355" s="2" t="str">
        <f>'PFAS Properties'!$Y$33</f>
        <v>-</v>
      </c>
      <c r="N355" s="33">
        <v>0</v>
      </c>
      <c r="O355" s="33">
        <v>0</v>
      </c>
      <c r="P355" s="33">
        <v>0</v>
      </c>
      <c r="Q355" s="33">
        <f t="shared" si="149"/>
        <v>0.99999994988127916</v>
      </c>
      <c r="R355" s="33">
        <v>0</v>
      </c>
      <c r="S355" s="33">
        <f t="shared" si="150"/>
        <v>5.011872085084086E-8</v>
      </c>
      <c r="T355" s="8">
        <f t="shared" si="151"/>
        <v>1</v>
      </c>
      <c r="U355" s="33">
        <f t="shared" si="140"/>
        <v>0</v>
      </c>
      <c r="V355" s="33">
        <f t="shared" si="141"/>
        <v>-0.99999994988127916</v>
      </c>
      <c r="W355" s="33">
        <f t="shared" si="142"/>
        <v>412.9736000501187</v>
      </c>
      <c r="X355" s="33">
        <v>96485</v>
      </c>
      <c r="Y355" s="16">
        <f t="shared" si="143"/>
        <v>-233.6347775077771</v>
      </c>
      <c r="Z355" s="16">
        <v>8</v>
      </c>
      <c r="AA355" s="16">
        <v>15</v>
      </c>
      <c r="AB355" s="8">
        <f t="shared" si="144"/>
        <v>0.33684210526315789</v>
      </c>
      <c r="AC355" s="16">
        <f t="shared" si="145"/>
        <v>68.844969824162703</v>
      </c>
      <c r="AD355" s="20">
        <f>'PFAS Properties'!$W$33</f>
        <v>7</v>
      </c>
      <c r="AE355" s="8">
        <f>'PFAS Properties'!$S$33</f>
        <v>2.6821450763738319</v>
      </c>
      <c r="AF355" s="15">
        <f>'PFAS Properties'!$V$33</f>
        <v>4.9000000000000004</v>
      </c>
      <c r="AG355" s="24">
        <v>7.1</v>
      </c>
      <c r="AH355" s="2" t="s">
        <v>183</v>
      </c>
      <c r="AI355" s="2" t="s">
        <v>661</v>
      </c>
      <c r="AJ355" s="2" t="s">
        <v>661</v>
      </c>
      <c r="AK355" s="2" t="s">
        <v>661</v>
      </c>
      <c r="AL355" s="2" t="s">
        <v>661</v>
      </c>
      <c r="AM355" s="2" t="s">
        <v>661</v>
      </c>
      <c r="AN355" s="2" t="s">
        <v>661</v>
      </c>
      <c r="AO355" s="2" t="s">
        <v>661</v>
      </c>
      <c r="AP355" s="15">
        <v>17.420000000000002</v>
      </c>
      <c r="AQ355" s="2" t="s">
        <v>661</v>
      </c>
      <c r="AR355" s="16">
        <v>48.86</v>
      </c>
      <c r="AS355" s="16">
        <v>16.05</v>
      </c>
      <c r="AT355" s="16">
        <v>35.090000000000003</v>
      </c>
      <c r="AU355" s="2" t="s">
        <v>661</v>
      </c>
      <c r="AV355" s="16">
        <f t="shared" si="138"/>
        <v>100</v>
      </c>
      <c r="AW355" s="18">
        <v>1.19</v>
      </c>
      <c r="AX355" s="13">
        <v>1.1899999999999999E-2</v>
      </c>
      <c r="AY355" s="8" t="s">
        <v>184</v>
      </c>
      <c r="AZ355" s="16">
        <v>100</v>
      </c>
      <c r="BA355" s="16" t="s">
        <v>55</v>
      </c>
      <c r="BB355" s="16">
        <v>5</v>
      </c>
      <c r="BC355" s="16" t="s">
        <v>55</v>
      </c>
      <c r="BD355" s="18">
        <v>1.18</v>
      </c>
      <c r="BE355" s="15">
        <f t="shared" si="146"/>
        <v>99.159663865546221</v>
      </c>
      <c r="BF355" s="8">
        <f t="shared" si="147"/>
        <v>1.9963350459135947</v>
      </c>
      <c r="BG355" s="8">
        <f t="shared" si="148"/>
        <v>7.1882007306125359E-2</v>
      </c>
      <c r="BH355" s="13" t="s">
        <v>841</v>
      </c>
      <c r="BI355" s="13"/>
      <c r="BJ355" s="13"/>
      <c r="BK355" s="8"/>
      <c r="BL355" s="8"/>
      <c r="BM355" s="18"/>
      <c r="BN355" s="8"/>
      <c r="BO355" s="24"/>
    </row>
    <row r="356" spans="1:67" s="14" customFormat="1" x14ac:dyDescent="0.3">
      <c r="A356" s="20">
        <v>362</v>
      </c>
      <c r="B356" s="2" t="s">
        <v>181</v>
      </c>
      <c r="C356" s="2">
        <v>2020</v>
      </c>
      <c r="D356" s="2" t="s">
        <v>203</v>
      </c>
      <c r="E356" s="10" t="s">
        <v>787</v>
      </c>
      <c r="F356" s="20" t="s">
        <v>29</v>
      </c>
      <c r="G356" s="2" t="s">
        <v>98</v>
      </c>
      <c r="H356" s="2" t="str">
        <f>'PFAS Properties'!$B$33</f>
        <v>PFOA</v>
      </c>
      <c r="I356" s="2" t="str">
        <f>'PFAS Properties'!$C$33</f>
        <v>PFCA</v>
      </c>
      <c r="J356" s="2" t="str">
        <f>'PFAS Properties'!$D$33</f>
        <v>C8HF15O2</v>
      </c>
      <c r="K356" s="25">
        <f>'PFAS Properties'!$P$33</f>
        <v>413.97359999999998</v>
      </c>
      <c r="L356" s="2">
        <f>'PFAS Properties'!$X$33</f>
        <v>-0.2</v>
      </c>
      <c r="M356" s="2" t="str">
        <f>'PFAS Properties'!$Y$33</f>
        <v>-</v>
      </c>
      <c r="N356" s="33">
        <v>0</v>
      </c>
      <c r="O356" s="33">
        <v>0</v>
      </c>
      <c r="P356" s="33">
        <v>0</v>
      </c>
      <c r="Q356" s="33">
        <f t="shared" si="149"/>
        <v>0.99999974881141995</v>
      </c>
      <c r="R356" s="33">
        <v>0</v>
      </c>
      <c r="S356" s="33">
        <f t="shared" si="150"/>
        <v>2.5118858005523878E-7</v>
      </c>
      <c r="T356" s="8">
        <f t="shared" si="151"/>
        <v>1</v>
      </c>
      <c r="U356" s="33">
        <f t="shared" si="140"/>
        <v>0</v>
      </c>
      <c r="V356" s="33">
        <f t="shared" si="141"/>
        <v>-0.99999974881141995</v>
      </c>
      <c r="W356" s="33">
        <f t="shared" si="142"/>
        <v>412.97360025118854</v>
      </c>
      <c r="X356" s="33">
        <v>96485</v>
      </c>
      <c r="Y356" s="16">
        <f t="shared" si="143"/>
        <v>-233.63473041711018</v>
      </c>
      <c r="Z356" s="16">
        <v>8</v>
      </c>
      <c r="AA356" s="16">
        <v>15</v>
      </c>
      <c r="AB356" s="8">
        <f t="shared" si="144"/>
        <v>0.33684210526315789</v>
      </c>
      <c r="AC356" s="16">
        <f t="shared" si="145"/>
        <v>68.844969824162703</v>
      </c>
      <c r="AD356" s="20">
        <f>'PFAS Properties'!$W$33</f>
        <v>7</v>
      </c>
      <c r="AE356" s="8">
        <f>'PFAS Properties'!$S$33</f>
        <v>2.6821450763738319</v>
      </c>
      <c r="AF356" s="15">
        <f>'PFAS Properties'!$V$33</f>
        <v>4.9000000000000004</v>
      </c>
      <c r="AG356" s="24">
        <v>6.4</v>
      </c>
      <c r="AH356" s="2" t="s">
        <v>183</v>
      </c>
      <c r="AI356" s="2" t="s">
        <v>661</v>
      </c>
      <c r="AJ356" s="2" t="s">
        <v>661</v>
      </c>
      <c r="AK356" s="2" t="s">
        <v>661</v>
      </c>
      <c r="AL356" s="2" t="s">
        <v>661</v>
      </c>
      <c r="AM356" s="2" t="s">
        <v>661</v>
      </c>
      <c r="AN356" s="2" t="s">
        <v>661</v>
      </c>
      <c r="AO356" s="2" t="s">
        <v>661</v>
      </c>
      <c r="AP356" s="15">
        <v>16.54</v>
      </c>
      <c r="AQ356" s="2" t="s">
        <v>661</v>
      </c>
      <c r="AR356" s="16">
        <v>29.38</v>
      </c>
      <c r="AS356" s="16">
        <v>13.9</v>
      </c>
      <c r="AT356" s="16">
        <v>56.71</v>
      </c>
      <c r="AU356" s="2" t="s">
        <v>661</v>
      </c>
      <c r="AV356" s="16">
        <f t="shared" si="138"/>
        <v>99.990000000000009</v>
      </c>
      <c r="AW356" s="18">
        <v>0.17</v>
      </c>
      <c r="AX356" s="13">
        <v>1.7000000000000001E-3</v>
      </c>
      <c r="AY356" s="8" t="s">
        <v>184</v>
      </c>
      <c r="AZ356" s="16">
        <v>100</v>
      </c>
      <c r="BA356" s="16" t="s">
        <v>55</v>
      </c>
      <c r="BB356" s="16">
        <v>5</v>
      </c>
      <c r="BC356" s="16" t="s">
        <v>55</v>
      </c>
      <c r="BD356" s="18">
        <v>0.86</v>
      </c>
      <c r="BE356" s="15">
        <f t="shared" si="146"/>
        <v>505.88235294117641</v>
      </c>
      <c r="BF356" s="8">
        <f t="shared" si="147"/>
        <v>2.7040495298652938</v>
      </c>
      <c r="BG356" s="8">
        <f t="shared" si="148"/>
        <v>-6.5501548756432285E-2</v>
      </c>
      <c r="BH356" s="13" t="s">
        <v>841</v>
      </c>
      <c r="BI356" s="13"/>
      <c r="BJ356" s="13"/>
      <c r="BK356" s="8"/>
      <c r="BL356" s="8"/>
      <c r="BM356" s="18"/>
      <c r="BN356" s="8"/>
      <c r="BO356" s="24"/>
    </row>
    <row r="357" spans="1:67" s="14" customFormat="1" x14ac:dyDescent="0.3">
      <c r="A357" s="20">
        <v>363</v>
      </c>
      <c r="B357" s="2" t="s">
        <v>219</v>
      </c>
      <c r="C357" s="2">
        <v>2020</v>
      </c>
      <c r="D357" s="2" t="s">
        <v>201</v>
      </c>
      <c r="E357" s="10" t="s">
        <v>801</v>
      </c>
      <c r="F357" s="20" t="s">
        <v>29</v>
      </c>
      <c r="G357" s="2" t="s">
        <v>66</v>
      </c>
      <c r="H357" s="2" t="str">
        <f>'PFAS Properties'!$B$33</f>
        <v>PFOA</v>
      </c>
      <c r="I357" s="2" t="str">
        <f>'PFAS Properties'!$C$33</f>
        <v>PFCA</v>
      </c>
      <c r="J357" s="2" t="str">
        <f>'PFAS Properties'!$D$33</f>
        <v>C8HF15O2</v>
      </c>
      <c r="K357" s="25">
        <f>'PFAS Properties'!$P$33</f>
        <v>413.97359999999998</v>
      </c>
      <c r="L357" s="2">
        <f>'PFAS Properties'!$X$33</f>
        <v>-0.2</v>
      </c>
      <c r="M357" s="2" t="str">
        <f>'PFAS Properties'!$Y$33</f>
        <v>-</v>
      </c>
      <c r="N357" s="33">
        <v>0</v>
      </c>
      <c r="O357" s="33">
        <v>0</v>
      </c>
      <c r="P357" s="33">
        <v>0</v>
      </c>
      <c r="Q357" s="33">
        <f t="shared" si="149"/>
        <v>0.99999994376587065</v>
      </c>
      <c r="R357" s="33">
        <v>0</v>
      </c>
      <c r="S357" s="33">
        <f t="shared" si="150"/>
        <v>5.6234129356757324E-8</v>
      </c>
      <c r="T357" s="8">
        <f t="shared" si="151"/>
        <v>1</v>
      </c>
      <c r="U357" s="33">
        <f t="shared" si="140"/>
        <v>0</v>
      </c>
      <c r="V357" s="33">
        <f t="shared" si="141"/>
        <v>-0.99999994376587065</v>
      </c>
      <c r="W357" s="33">
        <f t="shared" si="142"/>
        <v>412.97360005623409</v>
      </c>
      <c r="X357" s="33">
        <v>96485</v>
      </c>
      <c r="Y357" s="16">
        <f t="shared" si="143"/>
        <v>-233.63477607554523</v>
      </c>
      <c r="Z357" s="16">
        <v>8</v>
      </c>
      <c r="AA357" s="16">
        <v>15</v>
      </c>
      <c r="AB357" s="8">
        <f t="shared" si="144"/>
        <v>0.33684210526315789</v>
      </c>
      <c r="AC357" s="16">
        <f t="shared" si="145"/>
        <v>68.844969824162703</v>
      </c>
      <c r="AD357" s="20">
        <f>'PFAS Properties'!$W$33</f>
        <v>7</v>
      </c>
      <c r="AE357" s="8">
        <f>'PFAS Properties'!$S$33</f>
        <v>2.6821450763738319</v>
      </c>
      <c r="AF357" s="15">
        <f>'PFAS Properties'!$V$33</f>
        <v>4.9000000000000004</v>
      </c>
      <c r="AG357" s="24">
        <v>7.05</v>
      </c>
      <c r="AH357" s="2" t="s">
        <v>661</v>
      </c>
      <c r="AI357" s="2">
        <v>9.9</v>
      </c>
      <c r="AJ357" s="15">
        <f t="shared" ref="AJ357:AJ388" si="153">AI357*1000/55.845</f>
        <v>177.27639000805803</v>
      </c>
      <c r="AK357" s="15">
        <f t="shared" ref="AK357:AK388" si="154">AI357/10</f>
        <v>0.99</v>
      </c>
      <c r="AL357" s="2">
        <v>3.3</v>
      </c>
      <c r="AM357" s="15">
        <f t="shared" ref="AM357:AM388" si="155">AL357*1000/26.98</f>
        <v>122.31282431430689</v>
      </c>
      <c r="AN357" s="15">
        <f t="shared" ref="AN357:AN388" si="156">AL357/10</f>
        <v>0.32999999999999996</v>
      </c>
      <c r="AO357" s="2" t="s">
        <v>710</v>
      </c>
      <c r="AP357" s="71">
        <v>7.6433666666666662</v>
      </c>
      <c r="AQ357" s="70" t="s">
        <v>752</v>
      </c>
      <c r="AR357" s="2">
        <v>78</v>
      </c>
      <c r="AS357" s="2">
        <v>5</v>
      </c>
      <c r="AT357" s="2">
        <v>11</v>
      </c>
      <c r="AU357" s="2" t="s">
        <v>661</v>
      </c>
      <c r="AV357" s="16">
        <f t="shared" ref="AV357:AV420" si="157">SUM(AR357:AT357)</f>
        <v>94</v>
      </c>
      <c r="AW357" s="18">
        <v>1.6</v>
      </c>
      <c r="AX357" s="13">
        <f t="shared" ref="AX357:AX420" si="158">AW357/100</f>
        <v>1.6E-2</v>
      </c>
      <c r="AY357" s="8" t="s">
        <v>67</v>
      </c>
      <c r="AZ357" s="16">
        <f t="shared" ref="AZ357:AZ375" si="159">1.5/0.075</f>
        <v>20</v>
      </c>
      <c r="BA357" s="16" t="s">
        <v>55</v>
      </c>
      <c r="BB357" s="16">
        <v>10</v>
      </c>
      <c r="BC357" s="16" t="s">
        <v>55</v>
      </c>
      <c r="BD357" s="18">
        <v>1.86</v>
      </c>
      <c r="BE357" s="15">
        <f t="shared" si="146"/>
        <v>116.25</v>
      </c>
      <c r="BF357" s="8">
        <f t="shared" si="147"/>
        <v>2.0653929615619915</v>
      </c>
      <c r="BG357" s="8">
        <f t="shared" si="148"/>
        <v>0.26951294421791633</v>
      </c>
      <c r="BH357" s="13" t="s">
        <v>841</v>
      </c>
      <c r="BI357" s="13"/>
      <c r="BJ357" s="13"/>
      <c r="BK357" s="8"/>
      <c r="BL357" s="8"/>
      <c r="BM357" s="18"/>
      <c r="BN357" s="8"/>
      <c r="BO357" s="24"/>
    </row>
    <row r="358" spans="1:67" s="14" customFormat="1" x14ac:dyDescent="0.3">
      <c r="A358" s="20">
        <v>364</v>
      </c>
      <c r="B358" s="2" t="s">
        <v>219</v>
      </c>
      <c r="C358" s="2">
        <v>2020</v>
      </c>
      <c r="D358" s="2" t="s">
        <v>201</v>
      </c>
      <c r="E358" s="10" t="s">
        <v>801</v>
      </c>
      <c r="F358" s="20" t="s">
        <v>29</v>
      </c>
      <c r="G358" s="2" t="s">
        <v>68</v>
      </c>
      <c r="H358" s="2" t="str">
        <f>'PFAS Properties'!$B$33</f>
        <v>PFOA</v>
      </c>
      <c r="I358" s="2" t="str">
        <f>'PFAS Properties'!$C$33</f>
        <v>PFCA</v>
      </c>
      <c r="J358" s="2" t="str">
        <f>'PFAS Properties'!$D$33</f>
        <v>C8HF15O2</v>
      </c>
      <c r="K358" s="25">
        <f>'PFAS Properties'!$P$33</f>
        <v>413.97359999999998</v>
      </c>
      <c r="L358" s="2">
        <f>'PFAS Properties'!$X$33</f>
        <v>-0.2</v>
      </c>
      <c r="M358" s="2" t="str">
        <f>'PFAS Properties'!$Y$33</f>
        <v>-</v>
      </c>
      <c r="N358" s="33">
        <v>0</v>
      </c>
      <c r="O358" s="33">
        <v>0</v>
      </c>
      <c r="P358" s="33">
        <v>0</v>
      </c>
      <c r="Q358" s="33">
        <f t="shared" si="149"/>
        <v>0.99999996837722438</v>
      </c>
      <c r="R358" s="33">
        <v>0</v>
      </c>
      <c r="S358" s="33">
        <f t="shared" si="150"/>
        <v>3.1622775601683729E-8</v>
      </c>
      <c r="T358" s="8">
        <f t="shared" si="151"/>
        <v>1</v>
      </c>
      <c r="U358" s="33">
        <f t="shared" si="140"/>
        <v>0</v>
      </c>
      <c r="V358" s="33">
        <f t="shared" si="141"/>
        <v>-0.99999996837722438</v>
      </c>
      <c r="W358" s="33">
        <f t="shared" si="142"/>
        <v>412.97360003162271</v>
      </c>
      <c r="X358" s="33">
        <v>96485</v>
      </c>
      <c r="Y358" s="16">
        <f t="shared" si="143"/>
        <v>-233.63478183953725</v>
      </c>
      <c r="Z358" s="16">
        <v>8</v>
      </c>
      <c r="AA358" s="16">
        <v>15</v>
      </c>
      <c r="AB358" s="8">
        <f t="shared" si="144"/>
        <v>0.33684210526315789</v>
      </c>
      <c r="AC358" s="16">
        <f t="shared" si="145"/>
        <v>68.844969824162703</v>
      </c>
      <c r="AD358" s="20">
        <f>'PFAS Properties'!$W$33</f>
        <v>7</v>
      </c>
      <c r="AE358" s="8">
        <f>'PFAS Properties'!$S$33</f>
        <v>2.6821450763738319</v>
      </c>
      <c r="AF358" s="15">
        <f>'PFAS Properties'!$V$33</f>
        <v>4.9000000000000004</v>
      </c>
      <c r="AG358" s="24">
        <v>7.3</v>
      </c>
      <c r="AH358" s="2" t="s">
        <v>661</v>
      </c>
      <c r="AI358" s="2">
        <v>1.1000000000000001</v>
      </c>
      <c r="AJ358" s="15">
        <f t="shared" si="153"/>
        <v>19.697376667562004</v>
      </c>
      <c r="AK358" s="15">
        <f t="shared" si="154"/>
        <v>0.11000000000000001</v>
      </c>
      <c r="AL358" s="2">
        <v>0.54</v>
      </c>
      <c r="AM358" s="15">
        <f t="shared" si="155"/>
        <v>20.014825796886583</v>
      </c>
      <c r="AN358" s="15">
        <f t="shared" si="156"/>
        <v>5.4000000000000006E-2</v>
      </c>
      <c r="AO358" s="2" t="s">
        <v>710</v>
      </c>
      <c r="AP358" s="71">
        <v>14.54611666666667</v>
      </c>
      <c r="AQ358" s="70" t="s">
        <v>752</v>
      </c>
      <c r="AR358" s="2">
        <v>92</v>
      </c>
      <c r="AS358" s="2">
        <v>0.7</v>
      </c>
      <c r="AT358" s="2">
        <v>3.1</v>
      </c>
      <c r="AU358" s="2" t="s">
        <v>661</v>
      </c>
      <c r="AV358" s="16">
        <f t="shared" si="157"/>
        <v>95.8</v>
      </c>
      <c r="AW358" s="18">
        <v>0.5</v>
      </c>
      <c r="AX358" s="13">
        <f t="shared" si="158"/>
        <v>5.0000000000000001E-3</v>
      </c>
      <c r="AY358" s="8" t="s">
        <v>67</v>
      </c>
      <c r="AZ358" s="16">
        <f t="shared" si="159"/>
        <v>20</v>
      </c>
      <c r="BA358" s="16" t="s">
        <v>55</v>
      </c>
      <c r="BB358" s="16">
        <v>10</v>
      </c>
      <c r="BC358" s="16" t="s">
        <v>55</v>
      </c>
      <c r="BD358" s="18">
        <v>1.4</v>
      </c>
      <c r="BE358" s="15">
        <f t="shared" si="146"/>
        <v>280</v>
      </c>
      <c r="BF358" s="8">
        <f t="shared" si="147"/>
        <v>2.4471580313422194</v>
      </c>
      <c r="BG358" s="8">
        <f t="shared" si="148"/>
        <v>0.14612803567823801</v>
      </c>
      <c r="BH358" s="13" t="s">
        <v>841</v>
      </c>
      <c r="BI358" s="13"/>
      <c r="BJ358" s="13"/>
      <c r="BK358" s="8"/>
      <c r="BL358" s="8"/>
      <c r="BM358" s="18"/>
      <c r="BN358" s="8"/>
      <c r="BO358" s="24"/>
    </row>
    <row r="359" spans="1:67" s="14" customFormat="1" x14ac:dyDescent="0.3">
      <c r="A359" s="20">
        <v>365</v>
      </c>
      <c r="B359" s="2" t="s">
        <v>219</v>
      </c>
      <c r="C359" s="2">
        <v>2020</v>
      </c>
      <c r="D359" s="2" t="s">
        <v>201</v>
      </c>
      <c r="E359" s="10" t="s">
        <v>801</v>
      </c>
      <c r="F359" s="20" t="s">
        <v>29</v>
      </c>
      <c r="G359" s="2" t="s">
        <v>69</v>
      </c>
      <c r="H359" s="2" t="str">
        <f>'PFAS Properties'!$B$33</f>
        <v>PFOA</v>
      </c>
      <c r="I359" s="2" t="str">
        <f>'PFAS Properties'!$C$33</f>
        <v>PFCA</v>
      </c>
      <c r="J359" s="2" t="str">
        <f>'PFAS Properties'!$D$33</f>
        <v>C8HF15O2</v>
      </c>
      <c r="K359" s="25">
        <f>'PFAS Properties'!$P$33</f>
        <v>413.97359999999998</v>
      </c>
      <c r="L359" s="2">
        <f>'PFAS Properties'!$X$33</f>
        <v>-0.2</v>
      </c>
      <c r="M359" s="2" t="str">
        <f>'PFAS Properties'!$Y$33</f>
        <v>-</v>
      </c>
      <c r="N359" s="33">
        <v>0</v>
      </c>
      <c r="O359" s="33">
        <v>0</v>
      </c>
      <c r="P359" s="33">
        <v>0</v>
      </c>
      <c r="Q359" s="33">
        <f t="shared" si="149"/>
        <v>0.99999995926197383</v>
      </c>
      <c r="R359" s="33">
        <v>0</v>
      </c>
      <c r="S359" s="33">
        <f t="shared" si="150"/>
        <v>4.0738026120824273E-8</v>
      </c>
      <c r="T359" s="8">
        <f t="shared" si="151"/>
        <v>1</v>
      </c>
      <c r="U359" s="33">
        <f t="shared" si="140"/>
        <v>0</v>
      </c>
      <c r="V359" s="33">
        <f t="shared" si="141"/>
        <v>-0.99999995926197383</v>
      </c>
      <c r="W359" s="33">
        <f t="shared" si="142"/>
        <v>412.97360004073801</v>
      </c>
      <c r="X359" s="33">
        <v>96485</v>
      </c>
      <c r="Y359" s="16">
        <f t="shared" si="143"/>
        <v>-233.63477970474077</v>
      </c>
      <c r="Z359" s="16">
        <v>8</v>
      </c>
      <c r="AA359" s="16">
        <v>15</v>
      </c>
      <c r="AB359" s="8">
        <f t="shared" si="144"/>
        <v>0.33684210526315789</v>
      </c>
      <c r="AC359" s="16">
        <f t="shared" si="145"/>
        <v>68.844969824162703</v>
      </c>
      <c r="AD359" s="20">
        <f>'PFAS Properties'!$W$33</f>
        <v>7</v>
      </c>
      <c r="AE359" s="8">
        <f>'PFAS Properties'!$S$33</f>
        <v>2.6821450763738319</v>
      </c>
      <c r="AF359" s="15">
        <f>'PFAS Properties'!$V$33</f>
        <v>4.9000000000000004</v>
      </c>
      <c r="AG359" s="24">
        <v>7.19</v>
      </c>
      <c r="AH359" s="2" t="s">
        <v>661</v>
      </c>
      <c r="AI359" s="2">
        <v>3</v>
      </c>
      <c r="AJ359" s="15">
        <f t="shared" si="153"/>
        <v>53.720118184260009</v>
      </c>
      <c r="AK359" s="15">
        <f t="shared" si="154"/>
        <v>0.3</v>
      </c>
      <c r="AL359" s="2">
        <v>1.2</v>
      </c>
      <c r="AM359" s="15">
        <f t="shared" si="155"/>
        <v>44.477390659747961</v>
      </c>
      <c r="AN359" s="15">
        <f t="shared" si="156"/>
        <v>0.12</v>
      </c>
      <c r="AO359" s="2" t="s">
        <v>710</v>
      </c>
      <c r="AP359" s="71">
        <v>5.4888166666666667</v>
      </c>
      <c r="AQ359" s="70" t="s">
        <v>752</v>
      </c>
      <c r="AR359" s="2">
        <v>83</v>
      </c>
      <c r="AS359" s="2">
        <v>1.9</v>
      </c>
      <c r="AT359" s="2">
        <v>5.3</v>
      </c>
      <c r="AU359" s="2" t="s">
        <v>661</v>
      </c>
      <c r="AV359" s="16">
        <f t="shared" si="157"/>
        <v>90.2</v>
      </c>
      <c r="AW359" s="18">
        <v>2.7</v>
      </c>
      <c r="AX359" s="13">
        <f t="shared" si="158"/>
        <v>2.7000000000000003E-2</v>
      </c>
      <c r="AY359" s="8" t="s">
        <v>67</v>
      </c>
      <c r="AZ359" s="16">
        <f t="shared" si="159"/>
        <v>20</v>
      </c>
      <c r="BA359" s="16" t="s">
        <v>55</v>
      </c>
      <c r="BB359" s="16">
        <v>10</v>
      </c>
      <c r="BC359" s="16" t="s">
        <v>55</v>
      </c>
      <c r="BD359" s="18">
        <v>4.34</v>
      </c>
      <c r="BE359" s="15">
        <f t="shared" si="146"/>
        <v>160.7407407407407</v>
      </c>
      <c r="BF359" s="8">
        <f t="shared" si="147"/>
        <v>2.2061259653535235</v>
      </c>
      <c r="BG359" s="8">
        <f t="shared" si="148"/>
        <v>0.63748972951251071</v>
      </c>
      <c r="BH359" s="13" t="s">
        <v>841</v>
      </c>
      <c r="BI359" s="13"/>
      <c r="BJ359" s="13"/>
      <c r="BK359" s="8"/>
      <c r="BL359" s="8"/>
      <c r="BM359" s="18"/>
      <c r="BN359" s="8"/>
      <c r="BO359" s="24"/>
    </row>
    <row r="360" spans="1:67" s="14" customFormat="1" x14ac:dyDescent="0.3">
      <c r="A360" s="20">
        <v>366</v>
      </c>
      <c r="B360" s="2" t="s">
        <v>219</v>
      </c>
      <c r="C360" s="2">
        <v>2020</v>
      </c>
      <c r="D360" s="2" t="s">
        <v>201</v>
      </c>
      <c r="E360" s="10" t="s">
        <v>801</v>
      </c>
      <c r="F360" s="20" t="s">
        <v>29</v>
      </c>
      <c r="G360" s="2" t="s">
        <v>70</v>
      </c>
      <c r="H360" s="2" t="str">
        <f>'PFAS Properties'!$B$33</f>
        <v>PFOA</v>
      </c>
      <c r="I360" s="2" t="str">
        <f>'PFAS Properties'!$C$33</f>
        <v>PFCA</v>
      </c>
      <c r="J360" s="2" t="str">
        <f>'PFAS Properties'!$D$33</f>
        <v>C8HF15O2</v>
      </c>
      <c r="K360" s="25">
        <f>'PFAS Properties'!$P$33</f>
        <v>413.97359999999998</v>
      </c>
      <c r="L360" s="2">
        <f>'PFAS Properties'!$X$33</f>
        <v>-0.2</v>
      </c>
      <c r="M360" s="2" t="str">
        <f>'PFAS Properties'!$Y$33</f>
        <v>-</v>
      </c>
      <c r="N360" s="33">
        <v>0</v>
      </c>
      <c r="O360" s="33">
        <v>0</v>
      </c>
      <c r="P360" s="33">
        <v>0</v>
      </c>
      <c r="Q360" s="33">
        <f t="shared" si="149"/>
        <v>0.99999998004737722</v>
      </c>
      <c r="R360" s="33">
        <v>0</v>
      </c>
      <c r="S360" s="33">
        <f t="shared" si="150"/>
        <v>1.995262275158161E-8</v>
      </c>
      <c r="T360" s="8">
        <f t="shared" si="151"/>
        <v>1</v>
      </c>
      <c r="U360" s="33">
        <f t="shared" si="140"/>
        <v>0</v>
      </c>
      <c r="V360" s="33">
        <f t="shared" si="141"/>
        <v>-0.99999998004737722</v>
      </c>
      <c r="W360" s="33">
        <f t="shared" si="142"/>
        <v>412.97360001995258</v>
      </c>
      <c r="X360" s="33">
        <v>96485</v>
      </c>
      <c r="Y360" s="16">
        <f t="shared" si="143"/>
        <v>-233.63478457269321</v>
      </c>
      <c r="Z360" s="16">
        <v>8</v>
      </c>
      <c r="AA360" s="16">
        <v>15</v>
      </c>
      <c r="AB360" s="8">
        <f t="shared" si="144"/>
        <v>0.33684210526315789</v>
      </c>
      <c r="AC360" s="16">
        <f t="shared" si="145"/>
        <v>68.844969824162703</v>
      </c>
      <c r="AD360" s="20">
        <f>'PFAS Properties'!$W$33</f>
        <v>7</v>
      </c>
      <c r="AE360" s="8">
        <f>'PFAS Properties'!$S$33</f>
        <v>2.6821450763738319</v>
      </c>
      <c r="AF360" s="15">
        <f>'PFAS Properties'!$V$33</f>
        <v>4.9000000000000004</v>
      </c>
      <c r="AG360" s="24">
        <v>7.5</v>
      </c>
      <c r="AH360" s="2" t="s">
        <v>661</v>
      </c>
      <c r="AI360" s="2">
        <v>2.2000000000000002</v>
      </c>
      <c r="AJ360" s="15">
        <f t="shared" si="153"/>
        <v>39.394753335124008</v>
      </c>
      <c r="AK360" s="15">
        <f t="shared" si="154"/>
        <v>0.22000000000000003</v>
      </c>
      <c r="AL360" s="2">
        <v>8</v>
      </c>
      <c r="AM360" s="15">
        <f t="shared" si="155"/>
        <v>296.51593773165308</v>
      </c>
      <c r="AN360" s="15">
        <f t="shared" si="156"/>
        <v>0.8</v>
      </c>
      <c r="AO360" s="2" t="s">
        <v>710</v>
      </c>
      <c r="AP360" s="71">
        <v>5.670066666666667</v>
      </c>
      <c r="AQ360" s="70" t="s">
        <v>752</v>
      </c>
      <c r="AR360" s="2">
        <v>76</v>
      </c>
      <c r="AS360" s="2">
        <v>6</v>
      </c>
      <c r="AT360" s="2">
        <v>13</v>
      </c>
      <c r="AU360" s="2" t="s">
        <v>661</v>
      </c>
      <c r="AV360" s="16">
        <f t="shared" si="157"/>
        <v>95</v>
      </c>
      <c r="AW360" s="18">
        <v>1.1000000000000001</v>
      </c>
      <c r="AX360" s="13">
        <f t="shared" si="158"/>
        <v>1.1000000000000001E-2</v>
      </c>
      <c r="AY360" s="8" t="s">
        <v>67</v>
      </c>
      <c r="AZ360" s="16">
        <f t="shared" si="159"/>
        <v>20</v>
      </c>
      <c r="BA360" s="16" t="s">
        <v>55</v>
      </c>
      <c r="BB360" s="16">
        <v>10</v>
      </c>
      <c r="BC360" s="16" t="s">
        <v>55</v>
      </c>
      <c r="BD360" s="18">
        <v>1.82</v>
      </c>
      <c r="BE360" s="15">
        <f t="shared" si="146"/>
        <v>165.45454545454544</v>
      </c>
      <c r="BF360" s="8">
        <f t="shared" si="147"/>
        <v>2.2186787028268498</v>
      </c>
      <c r="BG360" s="8">
        <f t="shared" si="148"/>
        <v>0.26007138798507479</v>
      </c>
      <c r="BH360" s="13" t="s">
        <v>841</v>
      </c>
      <c r="BI360" s="13"/>
      <c r="BJ360" s="13"/>
      <c r="BK360" s="8"/>
      <c r="BL360" s="8"/>
      <c r="BM360" s="18"/>
      <c r="BN360" s="8"/>
      <c r="BO360" s="24"/>
    </row>
    <row r="361" spans="1:67" s="14" customFormat="1" x14ac:dyDescent="0.3">
      <c r="A361" s="20">
        <v>367</v>
      </c>
      <c r="B361" s="2" t="s">
        <v>219</v>
      </c>
      <c r="C361" s="2">
        <v>2020</v>
      </c>
      <c r="D361" s="2" t="s">
        <v>201</v>
      </c>
      <c r="E361" s="10" t="s">
        <v>801</v>
      </c>
      <c r="F361" s="20" t="s">
        <v>29</v>
      </c>
      <c r="G361" s="2" t="s">
        <v>71</v>
      </c>
      <c r="H361" s="2" t="str">
        <f>'PFAS Properties'!$B$33</f>
        <v>PFOA</v>
      </c>
      <c r="I361" s="2" t="str">
        <f>'PFAS Properties'!$C$33</f>
        <v>PFCA</v>
      </c>
      <c r="J361" s="2" t="str">
        <f>'PFAS Properties'!$D$33</f>
        <v>C8HF15O2</v>
      </c>
      <c r="K361" s="25">
        <f>'PFAS Properties'!$P$33</f>
        <v>413.97359999999998</v>
      </c>
      <c r="L361" s="2">
        <f>'PFAS Properties'!$X$33</f>
        <v>-0.2</v>
      </c>
      <c r="M361" s="2" t="str">
        <f>'PFAS Properties'!$Y$33</f>
        <v>-</v>
      </c>
      <c r="N361" s="33">
        <v>0</v>
      </c>
      <c r="O361" s="33">
        <v>0</v>
      </c>
      <c r="P361" s="33">
        <v>0</v>
      </c>
      <c r="Q361" s="33">
        <f t="shared" si="149"/>
        <v>0.99999990667457861</v>
      </c>
      <c r="R361" s="33">
        <v>0</v>
      </c>
      <c r="S361" s="33">
        <f t="shared" si="150"/>
        <v>9.3325421370063985E-8</v>
      </c>
      <c r="T361" s="8">
        <f t="shared" si="151"/>
        <v>1</v>
      </c>
      <c r="U361" s="33">
        <f t="shared" si="140"/>
        <v>0</v>
      </c>
      <c r="V361" s="33">
        <f t="shared" si="141"/>
        <v>-0.99999990667457861</v>
      </c>
      <c r="W361" s="33">
        <f t="shared" si="142"/>
        <v>412.97360009332539</v>
      </c>
      <c r="X361" s="33">
        <v>96485</v>
      </c>
      <c r="Y361" s="16">
        <f t="shared" si="143"/>
        <v>-233.6347673887451</v>
      </c>
      <c r="Z361" s="16">
        <v>8</v>
      </c>
      <c r="AA361" s="16">
        <v>15</v>
      </c>
      <c r="AB361" s="8">
        <f t="shared" si="144"/>
        <v>0.33684210526315789</v>
      </c>
      <c r="AC361" s="16">
        <f t="shared" si="145"/>
        <v>68.844969824162703</v>
      </c>
      <c r="AD361" s="20">
        <f>'PFAS Properties'!$W$33</f>
        <v>7</v>
      </c>
      <c r="AE361" s="8">
        <f>'PFAS Properties'!$S$33</f>
        <v>2.6821450763738319</v>
      </c>
      <c r="AF361" s="15">
        <f>'PFAS Properties'!$V$33</f>
        <v>4.9000000000000004</v>
      </c>
      <c r="AG361" s="24">
        <v>6.83</v>
      </c>
      <c r="AH361" s="2" t="s">
        <v>661</v>
      </c>
      <c r="AI361" s="2">
        <v>47</v>
      </c>
      <c r="AJ361" s="15">
        <f t="shared" si="153"/>
        <v>841.61518488674005</v>
      </c>
      <c r="AK361" s="15">
        <f t="shared" si="154"/>
        <v>4.7</v>
      </c>
      <c r="AL361" s="2">
        <v>20</v>
      </c>
      <c r="AM361" s="15">
        <f t="shared" si="155"/>
        <v>741.28984432913273</v>
      </c>
      <c r="AN361" s="15">
        <f t="shared" si="156"/>
        <v>2</v>
      </c>
      <c r="AO361" s="2" t="s">
        <v>710</v>
      </c>
      <c r="AP361" s="71">
        <v>8.2616166666666668</v>
      </c>
      <c r="AQ361" s="70" t="s">
        <v>752</v>
      </c>
      <c r="AR361" s="2">
        <v>13</v>
      </c>
      <c r="AS361" s="2">
        <v>14</v>
      </c>
      <c r="AT361" s="2">
        <v>53</v>
      </c>
      <c r="AU361" s="2" t="s">
        <v>661</v>
      </c>
      <c r="AV361" s="16">
        <f t="shared" si="157"/>
        <v>80</v>
      </c>
      <c r="AW361" s="18">
        <v>5</v>
      </c>
      <c r="AX361" s="13">
        <f t="shared" si="158"/>
        <v>0.05</v>
      </c>
      <c r="AY361" s="8" t="s">
        <v>67</v>
      </c>
      <c r="AZ361" s="16">
        <f t="shared" si="159"/>
        <v>20</v>
      </c>
      <c r="BA361" s="16" t="s">
        <v>55</v>
      </c>
      <c r="BB361" s="16">
        <v>10</v>
      </c>
      <c r="BC361" s="16" t="s">
        <v>55</v>
      </c>
      <c r="BD361" s="18">
        <v>6.63</v>
      </c>
      <c r="BE361" s="15">
        <f t="shared" si="146"/>
        <v>132.6</v>
      </c>
      <c r="BF361" s="8">
        <f t="shared" si="147"/>
        <v>2.1225435240687545</v>
      </c>
      <c r="BG361" s="8">
        <f t="shared" si="148"/>
        <v>0.8215135284047731</v>
      </c>
      <c r="BH361" s="13" t="s">
        <v>841</v>
      </c>
      <c r="BI361" s="13"/>
      <c r="BJ361" s="13"/>
      <c r="BK361" s="8"/>
      <c r="BL361" s="8"/>
      <c r="BM361" s="18"/>
      <c r="BN361" s="8"/>
      <c r="BO361" s="24"/>
    </row>
    <row r="362" spans="1:67" s="14" customFormat="1" x14ac:dyDescent="0.3">
      <c r="A362" s="20">
        <v>368</v>
      </c>
      <c r="B362" s="2" t="s">
        <v>219</v>
      </c>
      <c r="C362" s="2">
        <v>2020</v>
      </c>
      <c r="D362" s="2" t="s">
        <v>201</v>
      </c>
      <c r="E362" s="10" t="s">
        <v>801</v>
      </c>
      <c r="F362" s="20" t="s">
        <v>29</v>
      </c>
      <c r="G362" s="2" t="s">
        <v>72</v>
      </c>
      <c r="H362" s="2" t="str">
        <f>'PFAS Properties'!$B$33</f>
        <v>PFOA</v>
      </c>
      <c r="I362" s="2" t="str">
        <f>'PFAS Properties'!$C$33</f>
        <v>PFCA</v>
      </c>
      <c r="J362" s="2" t="str">
        <f>'PFAS Properties'!$D$33</f>
        <v>C8HF15O2</v>
      </c>
      <c r="K362" s="25">
        <f>'PFAS Properties'!$P$33</f>
        <v>413.97359999999998</v>
      </c>
      <c r="L362" s="2">
        <f>'PFAS Properties'!$X$33</f>
        <v>-0.2</v>
      </c>
      <c r="M362" s="2" t="str">
        <f>'PFAS Properties'!$Y$33</f>
        <v>-</v>
      </c>
      <c r="N362" s="33">
        <v>0</v>
      </c>
      <c r="O362" s="33">
        <v>0</v>
      </c>
      <c r="P362" s="33">
        <v>0</v>
      </c>
      <c r="Q362" s="33">
        <f t="shared" si="149"/>
        <v>0.99999989528715616</v>
      </c>
      <c r="R362" s="33">
        <v>0</v>
      </c>
      <c r="S362" s="33">
        <f t="shared" si="150"/>
        <v>1.0471284384030905E-7</v>
      </c>
      <c r="T362" s="8">
        <f t="shared" si="151"/>
        <v>1</v>
      </c>
      <c r="U362" s="33">
        <f t="shared" si="140"/>
        <v>0</v>
      </c>
      <c r="V362" s="33">
        <f t="shared" si="141"/>
        <v>-0.99999989528715616</v>
      </c>
      <c r="W362" s="33">
        <f t="shared" si="142"/>
        <v>412.97360010471277</v>
      </c>
      <c r="X362" s="33">
        <v>96485</v>
      </c>
      <c r="Y362" s="16">
        <f t="shared" si="143"/>
        <v>-233.63476472180477</v>
      </c>
      <c r="Z362" s="16">
        <v>8</v>
      </c>
      <c r="AA362" s="16">
        <v>15</v>
      </c>
      <c r="AB362" s="8">
        <f t="shared" si="144"/>
        <v>0.33684210526315789</v>
      </c>
      <c r="AC362" s="16">
        <f t="shared" si="145"/>
        <v>68.844969824162703</v>
      </c>
      <c r="AD362" s="20">
        <f>'PFAS Properties'!$W$33</f>
        <v>7</v>
      </c>
      <c r="AE362" s="8">
        <f>'PFAS Properties'!$S$33</f>
        <v>2.6821450763738319</v>
      </c>
      <c r="AF362" s="15">
        <f>'PFAS Properties'!$V$33</f>
        <v>4.9000000000000004</v>
      </c>
      <c r="AG362" s="24">
        <v>6.78</v>
      </c>
      <c r="AH362" s="2" t="s">
        <v>661</v>
      </c>
      <c r="AI362" s="2">
        <v>21</v>
      </c>
      <c r="AJ362" s="15">
        <f t="shared" si="153"/>
        <v>376.04082728982007</v>
      </c>
      <c r="AK362" s="15">
        <f t="shared" si="154"/>
        <v>2.1</v>
      </c>
      <c r="AL362" s="2">
        <v>1.8</v>
      </c>
      <c r="AM362" s="15">
        <f t="shared" si="155"/>
        <v>66.716085989621945</v>
      </c>
      <c r="AN362" s="15">
        <f t="shared" si="156"/>
        <v>0.18</v>
      </c>
      <c r="AO362" s="2" t="s">
        <v>710</v>
      </c>
      <c r="AP362" s="71">
        <v>5.6660666666666657</v>
      </c>
      <c r="AQ362" s="70" t="s">
        <v>752</v>
      </c>
      <c r="AR362" s="2">
        <v>88</v>
      </c>
      <c r="AS362" s="2">
        <v>2.1</v>
      </c>
      <c r="AT362" s="2">
        <v>5.7</v>
      </c>
      <c r="AU362" s="2" t="s">
        <v>661</v>
      </c>
      <c r="AV362" s="16">
        <f t="shared" si="157"/>
        <v>95.8</v>
      </c>
      <c r="AW362" s="18">
        <v>1.1000000000000001</v>
      </c>
      <c r="AX362" s="13">
        <f t="shared" si="158"/>
        <v>1.1000000000000001E-2</v>
      </c>
      <c r="AY362" s="8" t="s">
        <v>67</v>
      </c>
      <c r="AZ362" s="16">
        <f t="shared" si="159"/>
        <v>20</v>
      </c>
      <c r="BA362" s="16" t="s">
        <v>55</v>
      </c>
      <c r="BB362" s="16">
        <v>10</v>
      </c>
      <c r="BC362" s="16" t="s">
        <v>55</v>
      </c>
      <c r="BD362" s="18">
        <v>2.2200000000000002</v>
      </c>
      <c r="BE362" s="15">
        <f t="shared" si="146"/>
        <v>201.81818181818181</v>
      </c>
      <c r="BF362" s="8">
        <f t="shared" si="147"/>
        <v>2.3049602892924135</v>
      </c>
      <c r="BG362" s="8">
        <f t="shared" si="148"/>
        <v>0.34635297445063867</v>
      </c>
      <c r="BH362" s="13" t="s">
        <v>841</v>
      </c>
      <c r="BI362" s="13"/>
      <c r="BJ362" s="13"/>
      <c r="BK362" s="8"/>
      <c r="BL362" s="8"/>
      <c r="BM362" s="18"/>
      <c r="BN362" s="8"/>
      <c r="BO362" s="24"/>
    </row>
    <row r="363" spans="1:67" s="14" customFormat="1" x14ac:dyDescent="0.3">
      <c r="A363" s="20">
        <v>369</v>
      </c>
      <c r="B363" s="2" t="s">
        <v>219</v>
      </c>
      <c r="C363" s="2">
        <v>2020</v>
      </c>
      <c r="D363" s="2" t="s">
        <v>201</v>
      </c>
      <c r="E363" s="10" t="s">
        <v>801</v>
      </c>
      <c r="F363" s="20" t="s">
        <v>29</v>
      </c>
      <c r="G363" s="2" t="s">
        <v>73</v>
      </c>
      <c r="H363" s="2" t="str">
        <f>'PFAS Properties'!$B$33</f>
        <v>PFOA</v>
      </c>
      <c r="I363" s="2" t="str">
        <f>'PFAS Properties'!$C$33</f>
        <v>PFCA</v>
      </c>
      <c r="J363" s="2" t="str">
        <f>'PFAS Properties'!$D$33</f>
        <v>C8HF15O2</v>
      </c>
      <c r="K363" s="25">
        <f>'PFAS Properties'!$P$33</f>
        <v>413.97359999999998</v>
      </c>
      <c r="L363" s="2">
        <f>'PFAS Properties'!$X$33</f>
        <v>-0.2</v>
      </c>
      <c r="M363" s="2" t="str">
        <f>'PFAS Properties'!$Y$33</f>
        <v>-</v>
      </c>
      <c r="N363" s="33">
        <v>0</v>
      </c>
      <c r="O363" s="33">
        <v>0</v>
      </c>
      <c r="P363" s="33">
        <v>0</v>
      </c>
      <c r="Q363" s="33">
        <f t="shared" si="149"/>
        <v>0.9999998681743435</v>
      </c>
      <c r="R363" s="33">
        <v>0</v>
      </c>
      <c r="S363" s="33">
        <f t="shared" si="150"/>
        <v>1.3182565647763447E-7</v>
      </c>
      <c r="T363" s="8">
        <f t="shared" si="151"/>
        <v>1</v>
      </c>
      <c r="U363" s="33">
        <f t="shared" si="140"/>
        <v>0</v>
      </c>
      <c r="V363" s="33">
        <f t="shared" si="141"/>
        <v>-0.9999998681743435</v>
      </c>
      <c r="W363" s="33">
        <f t="shared" si="142"/>
        <v>412.97360013182561</v>
      </c>
      <c r="X363" s="33">
        <v>96485</v>
      </c>
      <c r="Y363" s="16">
        <f t="shared" si="143"/>
        <v>-233.63475837196975</v>
      </c>
      <c r="Z363" s="16">
        <v>8</v>
      </c>
      <c r="AA363" s="16">
        <v>15</v>
      </c>
      <c r="AB363" s="8">
        <f t="shared" si="144"/>
        <v>0.33684210526315789</v>
      </c>
      <c r="AC363" s="16">
        <f t="shared" si="145"/>
        <v>68.844969824162703</v>
      </c>
      <c r="AD363" s="20">
        <f>'PFAS Properties'!$W$33</f>
        <v>7</v>
      </c>
      <c r="AE363" s="8">
        <f>'PFAS Properties'!$S$33</f>
        <v>2.6821450763738319</v>
      </c>
      <c r="AF363" s="15">
        <f>'PFAS Properties'!$V$33</f>
        <v>4.9000000000000004</v>
      </c>
      <c r="AG363" s="24">
        <v>6.68</v>
      </c>
      <c r="AH363" s="2" t="s">
        <v>661</v>
      </c>
      <c r="AI363" s="2">
        <v>0.62</v>
      </c>
      <c r="AJ363" s="15">
        <f t="shared" si="153"/>
        <v>11.102157758080402</v>
      </c>
      <c r="AK363" s="15">
        <f t="shared" si="154"/>
        <v>6.2E-2</v>
      </c>
      <c r="AL363" s="2">
        <v>0.7</v>
      </c>
      <c r="AM363" s="15">
        <f t="shared" si="155"/>
        <v>25.945144551519643</v>
      </c>
      <c r="AN363" s="15">
        <f t="shared" si="156"/>
        <v>6.9999999999999993E-2</v>
      </c>
      <c r="AO363" s="2" t="s">
        <v>710</v>
      </c>
      <c r="AP363" s="71">
        <v>9.8359666666666676</v>
      </c>
      <c r="AQ363" s="70" t="s">
        <v>752</v>
      </c>
      <c r="AR363" s="2">
        <v>96</v>
      </c>
      <c r="AS363" s="2">
        <v>0</v>
      </c>
      <c r="AT363" s="2">
        <v>0.5</v>
      </c>
      <c r="AU363" s="2" t="s">
        <v>661</v>
      </c>
      <c r="AV363" s="16">
        <f t="shared" si="157"/>
        <v>96.5</v>
      </c>
      <c r="AW363" s="18">
        <v>0.3</v>
      </c>
      <c r="AX363" s="13">
        <f t="shared" si="158"/>
        <v>3.0000000000000001E-3</v>
      </c>
      <c r="AY363" s="8" t="s">
        <v>67</v>
      </c>
      <c r="AZ363" s="16">
        <f t="shared" si="159"/>
        <v>20</v>
      </c>
      <c r="BA363" s="16" t="s">
        <v>55</v>
      </c>
      <c r="BB363" s="16">
        <v>10</v>
      </c>
      <c r="BC363" s="16" t="s">
        <v>55</v>
      </c>
      <c r="BD363" s="18">
        <v>1.1299999999999999</v>
      </c>
      <c r="BE363" s="15">
        <f t="shared" si="146"/>
        <v>376.66666666666663</v>
      </c>
      <c r="BF363" s="8">
        <f t="shared" si="147"/>
        <v>2.5759571887637573</v>
      </c>
      <c r="BG363" s="8">
        <f t="shared" si="148"/>
        <v>5.3078443483419682E-2</v>
      </c>
      <c r="BH363" s="13" t="s">
        <v>841</v>
      </c>
      <c r="BI363" s="13"/>
      <c r="BJ363" s="13"/>
      <c r="BK363" s="8"/>
      <c r="BL363" s="8"/>
      <c r="BM363" s="18"/>
      <c r="BN363" s="8"/>
      <c r="BO363" s="24"/>
    </row>
    <row r="364" spans="1:67" s="14" customFormat="1" x14ac:dyDescent="0.3">
      <c r="A364" s="20">
        <v>370</v>
      </c>
      <c r="B364" s="2" t="s">
        <v>219</v>
      </c>
      <c r="C364" s="2">
        <v>2020</v>
      </c>
      <c r="D364" s="2" t="s">
        <v>201</v>
      </c>
      <c r="E364" s="22" t="s">
        <v>801</v>
      </c>
      <c r="F364" s="20" t="s">
        <v>29</v>
      </c>
      <c r="G364" s="2" t="s">
        <v>74</v>
      </c>
      <c r="H364" s="2" t="str">
        <f>'PFAS Properties'!$B$33</f>
        <v>PFOA</v>
      </c>
      <c r="I364" s="2" t="str">
        <f>'PFAS Properties'!$C$33</f>
        <v>PFCA</v>
      </c>
      <c r="J364" s="2" t="str">
        <f>'PFAS Properties'!$D$33</f>
        <v>C8HF15O2</v>
      </c>
      <c r="K364" s="25">
        <f>'PFAS Properties'!$P$33</f>
        <v>413.97359999999998</v>
      </c>
      <c r="L364" s="2">
        <f>'PFAS Properties'!$X$33</f>
        <v>-0.2</v>
      </c>
      <c r="M364" s="2" t="str">
        <f>'PFAS Properties'!$Y$33</f>
        <v>-</v>
      </c>
      <c r="N364" s="33">
        <v>0</v>
      </c>
      <c r="O364" s="33">
        <v>0</v>
      </c>
      <c r="P364" s="33">
        <v>0</v>
      </c>
      <c r="Q364" s="33">
        <f t="shared" si="149"/>
        <v>0.99999962846490897</v>
      </c>
      <c r="R364" s="33">
        <v>0</v>
      </c>
      <c r="S364" s="33">
        <f t="shared" si="150"/>
        <v>3.7153509105879646E-7</v>
      </c>
      <c r="T364" s="8">
        <f t="shared" si="151"/>
        <v>1</v>
      </c>
      <c r="U364" s="33">
        <f t="shared" si="140"/>
        <v>0</v>
      </c>
      <c r="V364" s="33">
        <f t="shared" si="141"/>
        <v>-0.99999962846490897</v>
      </c>
      <c r="W364" s="33">
        <f t="shared" si="142"/>
        <v>412.97360037153504</v>
      </c>
      <c r="X364" s="33">
        <v>96485</v>
      </c>
      <c r="Y364" s="16">
        <f t="shared" si="143"/>
        <v>-233.6347022318939</v>
      </c>
      <c r="Z364" s="16">
        <v>8</v>
      </c>
      <c r="AA364" s="16">
        <v>15</v>
      </c>
      <c r="AB364" s="8">
        <f t="shared" si="144"/>
        <v>0.33684210526315789</v>
      </c>
      <c r="AC364" s="16">
        <f t="shared" si="145"/>
        <v>68.844969824162703</v>
      </c>
      <c r="AD364" s="20">
        <f>'PFAS Properties'!$W$33</f>
        <v>7</v>
      </c>
      <c r="AE364" s="8">
        <f>'PFAS Properties'!$S$33</f>
        <v>2.6821450763738319</v>
      </c>
      <c r="AF364" s="15">
        <f>'PFAS Properties'!$V$33</f>
        <v>4.9000000000000004</v>
      </c>
      <c r="AG364" s="24">
        <v>6.23</v>
      </c>
      <c r="AH364" s="2" t="s">
        <v>661</v>
      </c>
      <c r="AI364" s="2">
        <v>25</v>
      </c>
      <c r="AJ364" s="15">
        <f t="shared" si="153"/>
        <v>447.66765153550006</v>
      </c>
      <c r="AK364" s="15">
        <f t="shared" si="154"/>
        <v>2.5</v>
      </c>
      <c r="AL364" s="2">
        <v>11</v>
      </c>
      <c r="AM364" s="15">
        <f t="shared" si="155"/>
        <v>407.70941438102295</v>
      </c>
      <c r="AN364" s="15">
        <f t="shared" si="156"/>
        <v>1.1000000000000001</v>
      </c>
      <c r="AO364" s="2" t="s">
        <v>710</v>
      </c>
      <c r="AP364" s="71">
        <v>5.7400666666666664</v>
      </c>
      <c r="AQ364" s="70" t="s">
        <v>752</v>
      </c>
      <c r="AR364" s="2">
        <v>75</v>
      </c>
      <c r="AS364" s="2">
        <v>8.6</v>
      </c>
      <c r="AT364" s="2">
        <v>8.8000000000000007</v>
      </c>
      <c r="AU364" s="2" t="s">
        <v>661</v>
      </c>
      <c r="AV364" s="16">
        <f t="shared" si="157"/>
        <v>92.399999999999991</v>
      </c>
      <c r="AW364" s="18">
        <v>3.6</v>
      </c>
      <c r="AX364" s="13">
        <f t="shared" si="158"/>
        <v>3.6000000000000004E-2</v>
      </c>
      <c r="AY364" s="8" t="s">
        <v>67</v>
      </c>
      <c r="AZ364" s="16">
        <f t="shared" si="159"/>
        <v>20</v>
      </c>
      <c r="BA364" s="16" t="s">
        <v>55</v>
      </c>
      <c r="BB364" s="16">
        <v>10</v>
      </c>
      <c r="BC364" s="16" t="s">
        <v>55</v>
      </c>
      <c r="BD364" s="18">
        <v>2.64</v>
      </c>
      <c r="BE364" s="15">
        <f t="shared" si="146"/>
        <v>73.333333333333329</v>
      </c>
      <c r="BF364" s="8">
        <f t="shared" si="147"/>
        <v>1.8653014261025438</v>
      </c>
      <c r="BG364" s="8">
        <f t="shared" si="148"/>
        <v>0.42160392686983106</v>
      </c>
      <c r="BH364" s="13" t="s">
        <v>841</v>
      </c>
      <c r="BI364" s="13"/>
      <c r="BJ364" s="13"/>
      <c r="BK364" s="8"/>
      <c r="BL364" s="8"/>
      <c r="BM364" s="18"/>
      <c r="BN364" s="8"/>
      <c r="BO364" s="24"/>
    </row>
    <row r="365" spans="1:67" s="14" customFormat="1" x14ac:dyDescent="0.3">
      <c r="A365" s="20">
        <v>371</v>
      </c>
      <c r="B365" s="2" t="s">
        <v>219</v>
      </c>
      <c r="C365" s="2">
        <v>2020</v>
      </c>
      <c r="D365" s="2" t="s">
        <v>201</v>
      </c>
      <c r="E365" s="10" t="s">
        <v>801</v>
      </c>
      <c r="F365" s="20" t="s">
        <v>29</v>
      </c>
      <c r="G365" s="2" t="s">
        <v>75</v>
      </c>
      <c r="H365" s="2" t="str">
        <f>'PFAS Properties'!$B$33</f>
        <v>PFOA</v>
      </c>
      <c r="I365" s="2" t="str">
        <f>'PFAS Properties'!$C$33</f>
        <v>PFCA</v>
      </c>
      <c r="J365" s="2" t="str">
        <f>'PFAS Properties'!$D$33</f>
        <v>C8HF15O2</v>
      </c>
      <c r="K365" s="25">
        <f>'PFAS Properties'!$P$33</f>
        <v>413.97359999999998</v>
      </c>
      <c r="L365" s="2">
        <f>'PFAS Properties'!$X$33</f>
        <v>-0.2</v>
      </c>
      <c r="M365" s="2" t="str">
        <f>'PFAS Properties'!$Y$33</f>
        <v>-</v>
      </c>
      <c r="N365" s="33">
        <v>0</v>
      </c>
      <c r="O365" s="33">
        <v>0</v>
      </c>
      <c r="P365" s="33">
        <v>0</v>
      </c>
      <c r="Q365" s="33">
        <f t="shared" si="149"/>
        <v>0.99999996764063537</v>
      </c>
      <c r="R365" s="33">
        <v>0</v>
      </c>
      <c r="S365" s="33">
        <f t="shared" si="150"/>
        <v>3.2359364645834216E-8</v>
      </c>
      <c r="T365" s="8">
        <f t="shared" si="151"/>
        <v>1</v>
      </c>
      <c r="U365" s="33">
        <f t="shared" si="140"/>
        <v>0</v>
      </c>
      <c r="V365" s="33">
        <f t="shared" si="141"/>
        <v>-0.99999996764063537</v>
      </c>
      <c r="W365" s="33">
        <f t="shared" si="142"/>
        <v>412.97360003235934</v>
      </c>
      <c r="X365" s="33">
        <v>96485</v>
      </c>
      <c r="Y365" s="16">
        <f t="shared" si="143"/>
        <v>-233.63478166702771</v>
      </c>
      <c r="Z365" s="16">
        <v>8</v>
      </c>
      <c r="AA365" s="16">
        <v>15</v>
      </c>
      <c r="AB365" s="8">
        <f t="shared" si="144"/>
        <v>0.33684210526315789</v>
      </c>
      <c r="AC365" s="16">
        <f t="shared" si="145"/>
        <v>68.844969824162703</v>
      </c>
      <c r="AD365" s="20">
        <f>'PFAS Properties'!$W$33</f>
        <v>7</v>
      </c>
      <c r="AE365" s="8">
        <f>'PFAS Properties'!$S$33</f>
        <v>2.6821450763738319</v>
      </c>
      <c r="AF365" s="15">
        <f>'PFAS Properties'!$V$33</f>
        <v>4.9000000000000004</v>
      </c>
      <c r="AG365" s="24">
        <v>7.29</v>
      </c>
      <c r="AH365" s="2" t="s">
        <v>661</v>
      </c>
      <c r="AI365" s="2">
        <v>5.3</v>
      </c>
      <c r="AJ365" s="15">
        <f t="shared" si="153"/>
        <v>94.905542125526011</v>
      </c>
      <c r="AK365" s="15">
        <f t="shared" si="154"/>
        <v>0.53</v>
      </c>
      <c r="AL365" s="2">
        <v>2.1</v>
      </c>
      <c r="AM365" s="15">
        <f t="shared" si="155"/>
        <v>77.835433654558926</v>
      </c>
      <c r="AN365" s="15">
        <f t="shared" si="156"/>
        <v>0.21000000000000002</v>
      </c>
      <c r="AO365" s="2" t="s">
        <v>710</v>
      </c>
      <c r="AP365" s="71">
        <v>6.4225666666666674</v>
      </c>
      <c r="AQ365" s="70" t="s">
        <v>752</v>
      </c>
      <c r="AR365" s="2">
        <v>90</v>
      </c>
      <c r="AS365" s="2">
        <v>2.2999999999999998</v>
      </c>
      <c r="AT365" s="2">
        <v>0.3</v>
      </c>
      <c r="AU365" s="2" t="s">
        <v>661</v>
      </c>
      <c r="AV365" s="16">
        <f t="shared" si="157"/>
        <v>92.6</v>
      </c>
      <c r="AW365" s="18">
        <v>0.7</v>
      </c>
      <c r="AX365" s="13">
        <f t="shared" si="158"/>
        <v>6.9999999999999993E-3</v>
      </c>
      <c r="AY365" s="8" t="s">
        <v>67</v>
      </c>
      <c r="AZ365" s="16">
        <f t="shared" si="159"/>
        <v>20</v>
      </c>
      <c r="BA365" s="16" t="s">
        <v>55</v>
      </c>
      <c r="BB365" s="16">
        <v>10</v>
      </c>
      <c r="BC365" s="16" t="s">
        <v>55</v>
      </c>
      <c r="BD365" s="18">
        <v>1.3</v>
      </c>
      <c r="BE365" s="15">
        <f t="shared" si="146"/>
        <v>185.71428571428575</v>
      </c>
      <c r="BF365" s="8">
        <f t="shared" si="147"/>
        <v>2.26884531229258</v>
      </c>
      <c r="BG365" s="8">
        <f t="shared" si="148"/>
        <v>0.11394335230683679</v>
      </c>
      <c r="BH365" s="13" t="s">
        <v>841</v>
      </c>
      <c r="BI365" s="13"/>
      <c r="BJ365" s="13"/>
      <c r="BK365" s="8"/>
      <c r="BL365" s="8"/>
      <c r="BM365" s="18"/>
      <c r="BN365" s="8"/>
      <c r="BO365" s="24"/>
    </row>
    <row r="366" spans="1:67" s="14" customFormat="1" x14ac:dyDescent="0.3">
      <c r="A366" s="20">
        <v>372</v>
      </c>
      <c r="B366" s="2" t="s">
        <v>219</v>
      </c>
      <c r="C366" s="2">
        <v>2020</v>
      </c>
      <c r="D366" s="2" t="s">
        <v>201</v>
      </c>
      <c r="E366" s="10" t="s">
        <v>801</v>
      </c>
      <c r="F366" s="20" t="s">
        <v>29</v>
      </c>
      <c r="G366" s="2" t="s">
        <v>121</v>
      </c>
      <c r="H366" s="2" t="str">
        <f>'PFAS Properties'!$B$33</f>
        <v>PFOA</v>
      </c>
      <c r="I366" s="2" t="str">
        <f>'PFAS Properties'!$C$33</f>
        <v>PFCA</v>
      </c>
      <c r="J366" s="2" t="str">
        <f>'PFAS Properties'!$D$33</f>
        <v>C8HF15O2</v>
      </c>
      <c r="K366" s="25">
        <f>'PFAS Properties'!$P$33</f>
        <v>413.97359999999998</v>
      </c>
      <c r="L366" s="2">
        <f>'PFAS Properties'!$X$33</f>
        <v>-0.2</v>
      </c>
      <c r="M366" s="2" t="str">
        <f>'PFAS Properties'!$Y$33</f>
        <v>-</v>
      </c>
      <c r="N366" s="33">
        <v>0</v>
      </c>
      <c r="O366" s="33">
        <v>0</v>
      </c>
      <c r="P366" s="33">
        <v>0</v>
      </c>
      <c r="Q366" s="33">
        <f t="shared" si="149"/>
        <v>0.99999996109548706</v>
      </c>
      <c r="R366" s="33">
        <v>0</v>
      </c>
      <c r="S366" s="33">
        <f t="shared" si="150"/>
        <v>3.8904512985866862E-8</v>
      </c>
      <c r="T366" s="8">
        <f t="shared" si="151"/>
        <v>1</v>
      </c>
      <c r="U366" s="33">
        <f t="shared" si="140"/>
        <v>0</v>
      </c>
      <c r="V366" s="33">
        <f t="shared" si="141"/>
        <v>-0.99999996109548706</v>
      </c>
      <c r="W366" s="33">
        <f t="shared" si="142"/>
        <v>412.97360003890452</v>
      </c>
      <c r="X366" s="33">
        <v>96485</v>
      </c>
      <c r="Y366" s="16">
        <f t="shared" si="143"/>
        <v>-233.6347801341505</v>
      </c>
      <c r="Z366" s="16">
        <v>8</v>
      </c>
      <c r="AA366" s="16">
        <v>15</v>
      </c>
      <c r="AB366" s="8">
        <f t="shared" si="144"/>
        <v>0.33684210526315789</v>
      </c>
      <c r="AC366" s="16">
        <f t="shared" si="145"/>
        <v>68.844969824162703</v>
      </c>
      <c r="AD366" s="20">
        <f>'PFAS Properties'!$W$33</f>
        <v>7</v>
      </c>
      <c r="AE366" s="8">
        <f>'PFAS Properties'!$S$33</f>
        <v>2.6821450763738319</v>
      </c>
      <c r="AF366" s="15">
        <f>'PFAS Properties'!$V$33</f>
        <v>4.9000000000000004</v>
      </c>
      <c r="AG366" s="24">
        <v>7.21</v>
      </c>
      <c r="AH366" s="2" t="s">
        <v>661</v>
      </c>
      <c r="AI366" s="2">
        <v>37</v>
      </c>
      <c r="AJ366" s="15">
        <f t="shared" si="153"/>
        <v>662.54812427254012</v>
      </c>
      <c r="AK366" s="15">
        <f t="shared" si="154"/>
        <v>3.7</v>
      </c>
      <c r="AL366" s="2">
        <v>4.9000000000000004</v>
      </c>
      <c r="AM366" s="15">
        <f t="shared" si="155"/>
        <v>181.61601186063751</v>
      </c>
      <c r="AN366" s="15">
        <f t="shared" si="156"/>
        <v>0.49000000000000005</v>
      </c>
      <c r="AO366" s="2" t="s">
        <v>710</v>
      </c>
      <c r="AP366" s="71">
        <v>8.0642166666666668</v>
      </c>
      <c r="AQ366" s="70" t="s">
        <v>752</v>
      </c>
      <c r="AR366" s="2">
        <v>57</v>
      </c>
      <c r="AS366" s="2">
        <v>8</v>
      </c>
      <c r="AT366" s="2">
        <v>15</v>
      </c>
      <c r="AU366" s="2" t="s">
        <v>661</v>
      </c>
      <c r="AV366" s="16">
        <f t="shared" si="157"/>
        <v>80</v>
      </c>
      <c r="AW366" s="18">
        <v>4.8</v>
      </c>
      <c r="AX366" s="13">
        <f t="shared" si="158"/>
        <v>4.8000000000000001E-2</v>
      </c>
      <c r="AY366" s="8" t="s">
        <v>67</v>
      </c>
      <c r="AZ366" s="16">
        <f t="shared" si="159"/>
        <v>20</v>
      </c>
      <c r="BA366" s="16" t="s">
        <v>55</v>
      </c>
      <c r="BB366" s="16">
        <v>10</v>
      </c>
      <c r="BC366" s="16" t="s">
        <v>55</v>
      </c>
      <c r="BD366" s="18">
        <v>2.68</v>
      </c>
      <c r="BE366" s="15">
        <f t="shared" si="146"/>
        <v>55.833333333333336</v>
      </c>
      <c r="BF366" s="8">
        <f t="shared" si="147"/>
        <v>1.7468935566532016</v>
      </c>
      <c r="BG366" s="8">
        <f t="shared" si="148"/>
        <v>0.42813479402878885</v>
      </c>
      <c r="BH366" s="13" t="s">
        <v>841</v>
      </c>
      <c r="BI366" s="13"/>
      <c r="BJ366" s="13"/>
      <c r="BK366" s="8"/>
      <c r="BL366" s="8"/>
      <c r="BM366" s="18"/>
      <c r="BN366" s="8"/>
      <c r="BO366" s="24"/>
    </row>
    <row r="367" spans="1:67" s="14" customFormat="1" x14ac:dyDescent="0.3">
      <c r="A367" s="20">
        <v>373</v>
      </c>
      <c r="B367" s="2" t="s">
        <v>219</v>
      </c>
      <c r="C367" s="2">
        <v>2020</v>
      </c>
      <c r="D367" s="2" t="s">
        <v>201</v>
      </c>
      <c r="E367" s="10" t="s">
        <v>801</v>
      </c>
      <c r="F367" s="20" t="s">
        <v>29</v>
      </c>
      <c r="G367" s="2" t="s">
        <v>60</v>
      </c>
      <c r="H367" s="2" t="str">
        <f>'PFAS Properties'!$B$33</f>
        <v>PFOA</v>
      </c>
      <c r="I367" s="2" t="str">
        <f>'PFAS Properties'!$C$33</f>
        <v>PFCA</v>
      </c>
      <c r="J367" s="2" t="str">
        <f>'PFAS Properties'!$D$33</f>
        <v>C8HF15O2</v>
      </c>
      <c r="K367" s="25">
        <f>'PFAS Properties'!$P$33</f>
        <v>413.97359999999998</v>
      </c>
      <c r="L367" s="2">
        <f>'PFAS Properties'!$X$33</f>
        <v>-0.2</v>
      </c>
      <c r="M367" s="2" t="str">
        <f>'PFAS Properties'!$Y$33</f>
        <v>-</v>
      </c>
      <c r="N367" s="33">
        <v>0</v>
      </c>
      <c r="O367" s="33">
        <v>0</v>
      </c>
      <c r="P367" s="33">
        <v>0</v>
      </c>
      <c r="Q367" s="33">
        <f t="shared" si="149"/>
        <v>0.999999939744045</v>
      </c>
      <c r="R367" s="33">
        <v>0</v>
      </c>
      <c r="S367" s="33">
        <f t="shared" si="150"/>
        <v>6.0255954976655325E-8</v>
      </c>
      <c r="T367" s="8">
        <f t="shared" si="151"/>
        <v>1</v>
      </c>
      <c r="U367" s="33">
        <f t="shared" si="140"/>
        <v>0</v>
      </c>
      <c r="V367" s="33">
        <f t="shared" si="141"/>
        <v>-0.999999939744045</v>
      </c>
      <c r="W367" s="33">
        <f t="shared" si="142"/>
        <v>412.97360006025593</v>
      </c>
      <c r="X367" s="33">
        <v>96485</v>
      </c>
      <c r="Y367" s="16">
        <f t="shared" si="143"/>
        <v>-233.63477513363156</v>
      </c>
      <c r="Z367" s="16">
        <v>8</v>
      </c>
      <c r="AA367" s="16">
        <v>15</v>
      </c>
      <c r="AB367" s="8">
        <f t="shared" si="144"/>
        <v>0.33684210526315789</v>
      </c>
      <c r="AC367" s="16">
        <f t="shared" si="145"/>
        <v>68.844969824162703</v>
      </c>
      <c r="AD367" s="20">
        <f>'PFAS Properties'!$W$33</f>
        <v>7</v>
      </c>
      <c r="AE367" s="8">
        <f>'PFAS Properties'!$S$33</f>
        <v>2.6821450763738319</v>
      </c>
      <c r="AF367" s="15">
        <f>'PFAS Properties'!$V$33</f>
        <v>4.9000000000000004</v>
      </c>
      <c r="AG367" s="24">
        <v>7.02</v>
      </c>
      <c r="AH367" s="2" t="s">
        <v>661</v>
      </c>
      <c r="AI367" s="2">
        <v>22</v>
      </c>
      <c r="AJ367" s="15">
        <f t="shared" si="153"/>
        <v>393.94753335124005</v>
      </c>
      <c r="AK367" s="15">
        <f t="shared" si="154"/>
        <v>2.2000000000000002</v>
      </c>
      <c r="AL367" s="2">
        <v>5.9</v>
      </c>
      <c r="AM367" s="15">
        <f t="shared" si="155"/>
        <v>218.68050407709413</v>
      </c>
      <c r="AN367" s="15">
        <f t="shared" si="156"/>
        <v>0.59000000000000008</v>
      </c>
      <c r="AO367" s="2" t="s">
        <v>710</v>
      </c>
      <c r="AP367" s="71">
        <v>14.11508666666667</v>
      </c>
      <c r="AQ367" s="70" t="s">
        <v>752</v>
      </c>
      <c r="AR367" s="2">
        <v>45</v>
      </c>
      <c r="AS367" s="2">
        <v>24</v>
      </c>
      <c r="AT367" s="2">
        <v>20</v>
      </c>
      <c r="AU367" s="2" t="s">
        <v>661</v>
      </c>
      <c r="AV367" s="16">
        <f t="shared" si="157"/>
        <v>89</v>
      </c>
      <c r="AW367" s="18">
        <v>2.9</v>
      </c>
      <c r="AX367" s="13">
        <f t="shared" si="158"/>
        <v>2.8999999999999998E-2</v>
      </c>
      <c r="AY367" s="8" t="s">
        <v>67</v>
      </c>
      <c r="AZ367" s="16">
        <f t="shared" si="159"/>
        <v>20</v>
      </c>
      <c r="BA367" s="16" t="s">
        <v>55</v>
      </c>
      <c r="BB367" s="16">
        <v>10</v>
      </c>
      <c r="BC367" s="16" t="s">
        <v>55</v>
      </c>
      <c r="BD367" s="18">
        <v>5.52</v>
      </c>
      <c r="BE367" s="15">
        <f t="shared" si="146"/>
        <v>190.34482758620689</v>
      </c>
      <c r="BF367" s="8">
        <f t="shared" si="147"/>
        <v>2.2795410798302429</v>
      </c>
      <c r="BG367" s="8">
        <f t="shared" si="148"/>
        <v>0.74193907772919887</v>
      </c>
      <c r="BH367" s="13" t="s">
        <v>841</v>
      </c>
      <c r="BI367" s="13"/>
      <c r="BJ367" s="13"/>
      <c r="BK367" s="8"/>
      <c r="BL367" s="8"/>
      <c r="BM367" s="18"/>
      <c r="BN367" s="8"/>
      <c r="BO367" s="24"/>
    </row>
    <row r="368" spans="1:67" s="14" customFormat="1" x14ac:dyDescent="0.3">
      <c r="A368" s="20">
        <v>374</v>
      </c>
      <c r="B368" s="2" t="s">
        <v>219</v>
      </c>
      <c r="C368" s="2">
        <v>2020</v>
      </c>
      <c r="D368" s="2" t="s">
        <v>201</v>
      </c>
      <c r="E368" s="10" t="s">
        <v>801</v>
      </c>
      <c r="F368" s="20" t="s">
        <v>29</v>
      </c>
      <c r="G368" s="2" t="s">
        <v>77</v>
      </c>
      <c r="H368" s="2" t="str">
        <f>'PFAS Properties'!$B$33</f>
        <v>PFOA</v>
      </c>
      <c r="I368" s="2" t="str">
        <f>'PFAS Properties'!$C$33</f>
        <v>PFCA</v>
      </c>
      <c r="J368" s="2" t="str">
        <f>'PFAS Properties'!$D$33</f>
        <v>C8HF15O2</v>
      </c>
      <c r="K368" s="25">
        <f>'PFAS Properties'!$P$33</f>
        <v>413.97359999999998</v>
      </c>
      <c r="L368" s="2">
        <f>'PFAS Properties'!$X$33</f>
        <v>-0.2</v>
      </c>
      <c r="M368" s="2" t="str">
        <f>'PFAS Properties'!$Y$33</f>
        <v>-</v>
      </c>
      <c r="N368" s="33">
        <v>0</v>
      </c>
      <c r="O368" s="33">
        <v>0</v>
      </c>
      <c r="P368" s="33">
        <v>0</v>
      </c>
      <c r="Q368" s="33">
        <f t="shared" si="149"/>
        <v>0.99999997308465272</v>
      </c>
      <c r="R368" s="33">
        <v>0</v>
      </c>
      <c r="S368" s="33">
        <f t="shared" si="150"/>
        <v>2.6915347314833158E-8</v>
      </c>
      <c r="T368" s="8">
        <f t="shared" si="151"/>
        <v>1</v>
      </c>
      <c r="U368" s="33">
        <f t="shared" si="140"/>
        <v>0</v>
      </c>
      <c r="V368" s="33">
        <f t="shared" si="141"/>
        <v>-0.99999997308465272</v>
      </c>
      <c r="W368" s="33">
        <f t="shared" si="142"/>
        <v>412.97360002691534</v>
      </c>
      <c r="X368" s="33">
        <v>96485</v>
      </c>
      <c r="Y368" s="16">
        <f t="shared" si="143"/>
        <v>-233.63478294201943</v>
      </c>
      <c r="Z368" s="16">
        <v>8</v>
      </c>
      <c r="AA368" s="16">
        <v>15</v>
      </c>
      <c r="AB368" s="8">
        <f t="shared" si="144"/>
        <v>0.33684210526315789</v>
      </c>
      <c r="AC368" s="16">
        <f t="shared" si="145"/>
        <v>68.844969824162703</v>
      </c>
      <c r="AD368" s="20">
        <f>'PFAS Properties'!$W$33</f>
        <v>7</v>
      </c>
      <c r="AE368" s="8">
        <f>'PFAS Properties'!$S$33</f>
        <v>2.6821450763738319</v>
      </c>
      <c r="AF368" s="15">
        <f>'PFAS Properties'!$V$33</f>
        <v>4.9000000000000004</v>
      </c>
      <c r="AG368" s="24">
        <v>7.37</v>
      </c>
      <c r="AH368" s="2" t="s">
        <v>661</v>
      </c>
      <c r="AI368" s="2">
        <v>6.9</v>
      </c>
      <c r="AJ368" s="15">
        <f t="shared" si="153"/>
        <v>123.55627182379801</v>
      </c>
      <c r="AK368" s="15">
        <f t="shared" si="154"/>
        <v>0.69000000000000006</v>
      </c>
      <c r="AL368" s="2">
        <v>3.1</v>
      </c>
      <c r="AM368" s="15">
        <f t="shared" si="155"/>
        <v>114.89992587101557</v>
      </c>
      <c r="AN368" s="15">
        <f t="shared" si="156"/>
        <v>0.31</v>
      </c>
      <c r="AO368" s="2" t="s">
        <v>710</v>
      </c>
      <c r="AP368" s="71">
        <v>15.382516666666669</v>
      </c>
      <c r="AQ368" s="70" t="s">
        <v>752</v>
      </c>
      <c r="AR368" s="2">
        <v>73</v>
      </c>
      <c r="AS368" s="2">
        <v>4</v>
      </c>
      <c r="AT368" s="2">
        <v>9</v>
      </c>
      <c r="AU368" s="2" t="s">
        <v>661</v>
      </c>
      <c r="AV368" s="16">
        <f t="shared" si="157"/>
        <v>86</v>
      </c>
      <c r="AW368" s="18">
        <v>5.7</v>
      </c>
      <c r="AX368" s="13">
        <f t="shared" si="158"/>
        <v>5.7000000000000002E-2</v>
      </c>
      <c r="AY368" s="8" t="s">
        <v>67</v>
      </c>
      <c r="AZ368" s="16">
        <f t="shared" si="159"/>
        <v>20</v>
      </c>
      <c r="BA368" s="16" t="s">
        <v>55</v>
      </c>
      <c r="BB368" s="16">
        <v>10</v>
      </c>
      <c r="BC368" s="16" t="s">
        <v>55</v>
      </c>
      <c r="BD368" s="18">
        <v>6.12</v>
      </c>
      <c r="BE368" s="15">
        <f t="shared" si="146"/>
        <v>107.36842105263158</v>
      </c>
      <c r="BF368" s="8">
        <f t="shared" si="147"/>
        <v>2.0308765664730699</v>
      </c>
      <c r="BG368" s="8">
        <f t="shared" si="148"/>
        <v>0.78675142214556115</v>
      </c>
      <c r="BH368" s="13" t="s">
        <v>841</v>
      </c>
      <c r="BI368" s="13"/>
      <c r="BJ368" s="13"/>
      <c r="BK368" s="8"/>
      <c r="BL368" s="8"/>
      <c r="BM368" s="18"/>
      <c r="BN368" s="8"/>
      <c r="BO368" s="24"/>
    </row>
    <row r="369" spans="1:67" s="14" customFormat="1" x14ac:dyDescent="0.3">
      <c r="A369" s="20">
        <v>375</v>
      </c>
      <c r="B369" s="2" t="s">
        <v>219</v>
      </c>
      <c r="C369" s="2">
        <v>2020</v>
      </c>
      <c r="D369" s="2" t="s">
        <v>201</v>
      </c>
      <c r="E369" s="10" t="s">
        <v>801</v>
      </c>
      <c r="F369" s="20" t="s">
        <v>29</v>
      </c>
      <c r="G369" s="2" t="s">
        <v>78</v>
      </c>
      <c r="H369" s="2" t="str">
        <f>'PFAS Properties'!$B$33</f>
        <v>PFOA</v>
      </c>
      <c r="I369" s="2" t="str">
        <f>'PFAS Properties'!$C$33</f>
        <v>PFCA</v>
      </c>
      <c r="J369" s="2" t="str">
        <f>'PFAS Properties'!$D$33</f>
        <v>C8HF15O2</v>
      </c>
      <c r="K369" s="25">
        <f>'PFAS Properties'!$P$33</f>
        <v>413.97359999999998</v>
      </c>
      <c r="L369" s="2">
        <f>'PFAS Properties'!$X$33</f>
        <v>-0.2</v>
      </c>
      <c r="M369" s="2" t="str">
        <f>'PFAS Properties'!$Y$33</f>
        <v>-</v>
      </c>
      <c r="N369" s="33">
        <v>0</v>
      </c>
      <c r="O369" s="33">
        <v>0</v>
      </c>
      <c r="P369" s="33">
        <v>0</v>
      </c>
      <c r="Q369" s="33">
        <f t="shared" si="149"/>
        <v>0.99999998262199197</v>
      </c>
      <c r="R369" s="33">
        <v>0</v>
      </c>
      <c r="S369" s="33">
        <f t="shared" si="150"/>
        <v>1.7378007985498579E-8</v>
      </c>
      <c r="T369" s="8">
        <f t="shared" si="151"/>
        <v>1</v>
      </c>
      <c r="U369" s="33">
        <f t="shared" si="140"/>
        <v>0</v>
      </c>
      <c r="V369" s="33">
        <f t="shared" si="141"/>
        <v>-0.99999998262199197</v>
      </c>
      <c r="W369" s="33">
        <f t="shared" si="142"/>
        <v>412.97360001737798</v>
      </c>
      <c r="X369" s="33">
        <v>96485</v>
      </c>
      <c r="Y369" s="16">
        <f t="shared" si="143"/>
        <v>-233.63478517566932</v>
      </c>
      <c r="Z369" s="16">
        <v>8</v>
      </c>
      <c r="AA369" s="16">
        <v>15</v>
      </c>
      <c r="AB369" s="8">
        <f t="shared" si="144"/>
        <v>0.33684210526315789</v>
      </c>
      <c r="AC369" s="16">
        <f t="shared" si="145"/>
        <v>68.844969824162703</v>
      </c>
      <c r="AD369" s="20">
        <f>'PFAS Properties'!$W$33</f>
        <v>7</v>
      </c>
      <c r="AE369" s="8">
        <f>'PFAS Properties'!$S$33</f>
        <v>2.6821450763738319</v>
      </c>
      <c r="AF369" s="15">
        <f>'PFAS Properties'!$V$33</f>
        <v>4.9000000000000004</v>
      </c>
      <c r="AG369" s="24">
        <v>7.56</v>
      </c>
      <c r="AH369" s="2" t="s">
        <v>661</v>
      </c>
      <c r="AI369" s="2">
        <v>1.5</v>
      </c>
      <c r="AJ369" s="15">
        <f t="shared" si="153"/>
        <v>26.860059092130005</v>
      </c>
      <c r="AK369" s="15">
        <f t="shared" si="154"/>
        <v>0.15</v>
      </c>
      <c r="AL369" s="2">
        <v>0.6</v>
      </c>
      <c r="AM369" s="15">
        <f t="shared" si="155"/>
        <v>22.23869532987398</v>
      </c>
      <c r="AN369" s="15">
        <f t="shared" si="156"/>
        <v>0.06</v>
      </c>
      <c r="AO369" s="2" t="s">
        <v>710</v>
      </c>
      <c r="AP369" s="71">
        <v>11.48601666666667</v>
      </c>
      <c r="AQ369" s="70" t="s">
        <v>752</v>
      </c>
      <c r="AR369" s="2">
        <v>98</v>
      </c>
      <c r="AS369" s="2">
        <v>0.1</v>
      </c>
      <c r="AT369" s="2">
        <v>0.6</v>
      </c>
      <c r="AU369" s="2" t="s">
        <v>661</v>
      </c>
      <c r="AV369" s="16">
        <f t="shared" si="157"/>
        <v>98.699999999999989</v>
      </c>
      <c r="AW369" s="18">
        <v>0.1</v>
      </c>
      <c r="AX369" s="13">
        <f t="shared" si="158"/>
        <v>1E-3</v>
      </c>
      <c r="AY369" s="8" t="s">
        <v>67</v>
      </c>
      <c r="AZ369" s="16">
        <f t="shared" si="159"/>
        <v>20</v>
      </c>
      <c r="BA369" s="16" t="s">
        <v>55</v>
      </c>
      <c r="BB369" s="16">
        <v>10</v>
      </c>
      <c r="BC369" s="16" t="s">
        <v>55</v>
      </c>
      <c r="BD369" s="18">
        <v>0.93</v>
      </c>
      <c r="BE369" s="15">
        <f t="shared" si="146"/>
        <v>930</v>
      </c>
      <c r="BF369" s="8">
        <f t="shared" si="147"/>
        <v>2.9684829485539352</v>
      </c>
      <c r="BG369" s="8">
        <f t="shared" si="148"/>
        <v>-3.1517051446064863E-2</v>
      </c>
      <c r="BH369" s="13" t="s">
        <v>841</v>
      </c>
      <c r="BI369" s="13"/>
      <c r="BJ369" s="13"/>
      <c r="BK369" s="8"/>
      <c r="BL369" s="8"/>
      <c r="BM369" s="18"/>
      <c r="BN369" s="8"/>
      <c r="BO369" s="24"/>
    </row>
    <row r="370" spans="1:67" s="14" customFormat="1" x14ac:dyDescent="0.3">
      <c r="A370" s="20">
        <v>376</v>
      </c>
      <c r="B370" s="2" t="s">
        <v>219</v>
      </c>
      <c r="C370" s="2">
        <v>2020</v>
      </c>
      <c r="D370" s="2" t="s">
        <v>201</v>
      </c>
      <c r="E370" s="10" t="s">
        <v>801</v>
      </c>
      <c r="F370" s="20" t="s">
        <v>29</v>
      </c>
      <c r="G370" s="2" t="s">
        <v>79</v>
      </c>
      <c r="H370" s="2" t="str">
        <f>'PFAS Properties'!$B$33</f>
        <v>PFOA</v>
      </c>
      <c r="I370" s="2" t="str">
        <f>'PFAS Properties'!$C$33</f>
        <v>PFCA</v>
      </c>
      <c r="J370" s="2" t="str">
        <f>'PFAS Properties'!$D$33</f>
        <v>C8HF15O2</v>
      </c>
      <c r="K370" s="25">
        <f>'PFAS Properties'!$P$33</f>
        <v>413.97359999999998</v>
      </c>
      <c r="L370" s="2">
        <f>'PFAS Properties'!$X$33</f>
        <v>-0.2</v>
      </c>
      <c r="M370" s="2" t="str">
        <f>'PFAS Properties'!$Y$33</f>
        <v>-</v>
      </c>
      <c r="N370" s="33">
        <v>0</v>
      </c>
      <c r="O370" s="33">
        <v>0</v>
      </c>
      <c r="P370" s="33">
        <v>0</v>
      </c>
      <c r="Q370" s="33">
        <f t="shared" si="149"/>
        <v>0.99999998797735579</v>
      </c>
      <c r="R370" s="33">
        <v>0</v>
      </c>
      <c r="S370" s="33">
        <f t="shared" si="150"/>
        <v>1.2022644201630123E-8</v>
      </c>
      <c r="T370" s="8">
        <f t="shared" si="151"/>
        <v>1</v>
      </c>
      <c r="U370" s="33">
        <f t="shared" si="140"/>
        <v>0</v>
      </c>
      <c r="V370" s="33">
        <f t="shared" si="141"/>
        <v>-0.99999998797735579</v>
      </c>
      <c r="W370" s="33">
        <f t="shared" si="142"/>
        <v>412.97360001202264</v>
      </c>
      <c r="X370" s="33">
        <v>96485</v>
      </c>
      <c r="Y370" s="16">
        <f t="shared" si="143"/>
        <v>-233.63478642989833</v>
      </c>
      <c r="Z370" s="16">
        <v>8</v>
      </c>
      <c r="AA370" s="16">
        <v>15</v>
      </c>
      <c r="AB370" s="8">
        <f t="shared" si="144"/>
        <v>0.33684210526315789</v>
      </c>
      <c r="AC370" s="16">
        <f t="shared" si="145"/>
        <v>68.844969824162703</v>
      </c>
      <c r="AD370" s="20">
        <f>'PFAS Properties'!$W$33</f>
        <v>7</v>
      </c>
      <c r="AE370" s="8">
        <f>'PFAS Properties'!$S$33</f>
        <v>2.6821450763738319</v>
      </c>
      <c r="AF370" s="15">
        <f>'PFAS Properties'!$V$33</f>
        <v>4.9000000000000004</v>
      </c>
      <c r="AG370" s="24">
        <v>7.72</v>
      </c>
      <c r="AH370" s="2" t="s">
        <v>661</v>
      </c>
      <c r="AI370" s="2">
        <v>12</v>
      </c>
      <c r="AJ370" s="15">
        <f t="shared" si="153"/>
        <v>214.88047273704004</v>
      </c>
      <c r="AK370" s="15">
        <f t="shared" si="154"/>
        <v>1.2</v>
      </c>
      <c r="AL370" s="2">
        <v>5.8</v>
      </c>
      <c r="AM370" s="15">
        <f t="shared" si="155"/>
        <v>214.97405485544849</v>
      </c>
      <c r="AN370" s="15">
        <f t="shared" si="156"/>
        <v>0.57999999999999996</v>
      </c>
      <c r="AO370" s="2" t="s">
        <v>710</v>
      </c>
      <c r="AP370" s="71">
        <v>8.416266666666667</v>
      </c>
      <c r="AQ370" s="70" t="s">
        <v>752</v>
      </c>
      <c r="AR370" s="2">
        <v>32</v>
      </c>
      <c r="AS370" s="2">
        <v>31</v>
      </c>
      <c r="AT370" s="2">
        <v>38</v>
      </c>
      <c r="AU370" s="2" t="s">
        <v>661</v>
      </c>
      <c r="AV370" s="16">
        <f t="shared" si="157"/>
        <v>101</v>
      </c>
      <c r="AW370" s="18">
        <v>11</v>
      </c>
      <c r="AX370" s="13">
        <f t="shared" si="158"/>
        <v>0.11</v>
      </c>
      <c r="AY370" s="8" t="s">
        <v>67</v>
      </c>
      <c r="AZ370" s="16">
        <f t="shared" si="159"/>
        <v>20</v>
      </c>
      <c r="BA370" s="16" t="s">
        <v>55</v>
      </c>
      <c r="BB370" s="16">
        <v>10</v>
      </c>
      <c r="BC370" s="16" t="s">
        <v>55</v>
      </c>
      <c r="BD370" s="18">
        <v>14.66</v>
      </c>
      <c r="BE370" s="15">
        <f t="shared" si="146"/>
        <v>133.27272727272728</v>
      </c>
      <c r="BF370" s="8">
        <f t="shared" si="147"/>
        <v>2.1247412851468841</v>
      </c>
      <c r="BG370" s="8">
        <f t="shared" si="148"/>
        <v>1.1661339703051092</v>
      </c>
      <c r="BH370" s="13" t="s">
        <v>841</v>
      </c>
      <c r="BI370" s="13"/>
      <c r="BJ370" s="13"/>
      <c r="BK370" s="8"/>
      <c r="BL370" s="8"/>
      <c r="BM370" s="18"/>
      <c r="BN370" s="8"/>
      <c r="BO370" s="24"/>
    </row>
    <row r="371" spans="1:67" s="14" customFormat="1" x14ac:dyDescent="0.3">
      <c r="A371" s="20">
        <v>377</v>
      </c>
      <c r="B371" s="2" t="s">
        <v>219</v>
      </c>
      <c r="C371" s="2">
        <v>2020</v>
      </c>
      <c r="D371" s="2" t="s">
        <v>201</v>
      </c>
      <c r="E371" s="10" t="s">
        <v>801</v>
      </c>
      <c r="F371" s="20" t="s">
        <v>29</v>
      </c>
      <c r="G371" s="2" t="s">
        <v>80</v>
      </c>
      <c r="H371" s="2" t="str">
        <f>'PFAS Properties'!$B$33</f>
        <v>PFOA</v>
      </c>
      <c r="I371" s="2" t="str">
        <f>'PFAS Properties'!$C$33</f>
        <v>PFCA</v>
      </c>
      <c r="J371" s="2" t="str">
        <f>'PFAS Properties'!$D$33</f>
        <v>C8HF15O2</v>
      </c>
      <c r="K371" s="25">
        <f>'PFAS Properties'!$P$33</f>
        <v>413.97359999999998</v>
      </c>
      <c r="L371" s="2">
        <f>'PFAS Properties'!$X$33</f>
        <v>-0.2</v>
      </c>
      <c r="M371" s="2" t="str">
        <f>'PFAS Properties'!$Y$33</f>
        <v>-</v>
      </c>
      <c r="N371" s="33">
        <v>0</v>
      </c>
      <c r="O371" s="33">
        <v>0</v>
      </c>
      <c r="P371" s="33">
        <v>0</v>
      </c>
      <c r="Q371" s="33">
        <f t="shared" si="149"/>
        <v>0.99999992056718279</v>
      </c>
      <c r="R371" s="33">
        <v>0</v>
      </c>
      <c r="S371" s="33">
        <f t="shared" si="150"/>
        <v>7.9432817162854954E-8</v>
      </c>
      <c r="T371" s="8">
        <f t="shared" si="151"/>
        <v>1</v>
      </c>
      <c r="U371" s="33">
        <f t="shared" si="140"/>
        <v>0</v>
      </c>
      <c r="V371" s="33">
        <f t="shared" si="141"/>
        <v>-0.99999992056718279</v>
      </c>
      <c r="W371" s="33">
        <f t="shared" si="142"/>
        <v>412.97360007943274</v>
      </c>
      <c r="X371" s="33">
        <v>96485</v>
      </c>
      <c r="Y371" s="16">
        <f t="shared" si="143"/>
        <v>-233.63477064240035</v>
      </c>
      <c r="Z371" s="16">
        <v>8</v>
      </c>
      <c r="AA371" s="16">
        <v>15</v>
      </c>
      <c r="AB371" s="8">
        <f t="shared" si="144"/>
        <v>0.33684210526315789</v>
      </c>
      <c r="AC371" s="16">
        <f t="shared" si="145"/>
        <v>68.844969824162703</v>
      </c>
      <c r="AD371" s="20">
        <f>'PFAS Properties'!$W$33</f>
        <v>7</v>
      </c>
      <c r="AE371" s="8">
        <f>'PFAS Properties'!$S$33</f>
        <v>2.6821450763738319</v>
      </c>
      <c r="AF371" s="15">
        <f>'PFAS Properties'!$V$33</f>
        <v>4.9000000000000004</v>
      </c>
      <c r="AG371" s="24">
        <v>6.9</v>
      </c>
      <c r="AH371" s="2" t="s">
        <v>661</v>
      </c>
      <c r="AI371" s="2">
        <v>42</v>
      </c>
      <c r="AJ371" s="15">
        <f t="shared" si="153"/>
        <v>752.08165457964014</v>
      </c>
      <c r="AK371" s="15">
        <f t="shared" si="154"/>
        <v>4.2</v>
      </c>
      <c r="AL371" s="2">
        <v>1</v>
      </c>
      <c r="AM371" s="15">
        <f t="shared" si="155"/>
        <v>37.064492216456635</v>
      </c>
      <c r="AN371" s="15">
        <f t="shared" si="156"/>
        <v>0.1</v>
      </c>
      <c r="AO371" s="2" t="s">
        <v>710</v>
      </c>
      <c r="AP371" s="71">
        <v>5.6875666666666662</v>
      </c>
      <c r="AQ371" s="70" t="s">
        <v>752</v>
      </c>
      <c r="AR371" s="2">
        <v>19</v>
      </c>
      <c r="AS371" s="2">
        <v>36</v>
      </c>
      <c r="AT371" s="2">
        <v>32</v>
      </c>
      <c r="AU371" s="2" t="s">
        <v>661</v>
      </c>
      <c r="AV371" s="16">
        <f t="shared" si="157"/>
        <v>87</v>
      </c>
      <c r="AW371" s="18">
        <v>5.9</v>
      </c>
      <c r="AX371" s="13">
        <f t="shared" si="158"/>
        <v>5.9000000000000004E-2</v>
      </c>
      <c r="AY371" s="8" t="s">
        <v>67</v>
      </c>
      <c r="AZ371" s="16">
        <f t="shared" si="159"/>
        <v>20</v>
      </c>
      <c r="BA371" s="16" t="s">
        <v>55</v>
      </c>
      <c r="BB371" s="16">
        <v>10</v>
      </c>
      <c r="BC371" s="16" t="s">
        <v>55</v>
      </c>
      <c r="BD371" s="18">
        <v>4.3899999999999997</v>
      </c>
      <c r="BE371" s="15">
        <f t="shared" si="146"/>
        <v>74.406779661016941</v>
      </c>
      <c r="BF371" s="8">
        <f t="shared" si="147"/>
        <v>1.8716125085999771</v>
      </c>
      <c r="BG371" s="8">
        <f t="shared" si="148"/>
        <v>0.64246452024212131</v>
      </c>
      <c r="BH371" s="13" t="s">
        <v>841</v>
      </c>
      <c r="BI371" s="13"/>
      <c r="BJ371" s="13"/>
      <c r="BK371" s="8"/>
      <c r="BL371" s="8"/>
      <c r="BM371" s="18"/>
      <c r="BN371" s="8"/>
      <c r="BO371" s="24"/>
    </row>
    <row r="372" spans="1:67" s="14" customFormat="1" x14ac:dyDescent="0.3">
      <c r="A372" s="20">
        <v>378</v>
      </c>
      <c r="B372" s="2" t="s">
        <v>219</v>
      </c>
      <c r="C372" s="2">
        <v>2020</v>
      </c>
      <c r="D372" s="2" t="s">
        <v>201</v>
      </c>
      <c r="E372" s="10" t="s">
        <v>801</v>
      </c>
      <c r="F372" s="20" t="s">
        <v>29</v>
      </c>
      <c r="G372" s="2" t="s">
        <v>81</v>
      </c>
      <c r="H372" s="2" t="str">
        <f>'PFAS Properties'!$B$33</f>
        <v>PFOA</v>
      </c>
      <c r="I372" s="2" t="str">
        <f>'PFAS Properties'!$C$33</f>
        <v>PFCA</v>
      </c>
      <c r="J372" s="2" t="str">
        <f>'PFAS Properties'!$D$33</f>
        <v>C8HF15O2</v>
      </c>
      <c r="K372" s="25">
        <f>'PFAS Properties'!$P$33</f>
        <v>413.97359999999998</v>
      </c>
      <c r="L372" s="2">
        <f>'PFAS Properties'!$X$33</f>
        <v>-0.2</v>
      </c>
      <c r="M372" s="2" t="str">
        <f>'PFAS Properties'!$Y$33</f>
        <v>-</v>
      </c>
      <c r="N372" s="33">
        <v>0</v>
      </c>
      <c r="O372" s="33">
        <v>0</v>
      </c>
      <c r="P372" s="33">
        <v>0</v>
      </c>
      <c r="Q372" s="33">
        <f t="shared" si="149"/>
        <v>0.99999989528715616</v>
      </c>
      <c r="R372" s="33">
        <v>0</v>
      </c>
      <c r="S372" s="33">
        <f t="shared" si="150"/>
        <v>1.0471284384030905E-7</v>
      </c>
      <c r="T372" s="8">
        <f t="shared" si="151"/>
        <v>1</v>
      </c>
      <c r="U372" s="33">
        <f t="shared" si="140"/>
        <v>0</v>
      </c>
      <c r="V372" s="33">
        <f t="shared" si="141"/>
        <v>-0.99999989528715616</v>
      </c>
      <c r="W372" s="33">
        <f t="shared" si="142"/>
        <v>412.97360010471277</v>
      </c>
      <c r="X372" s="33">
        <v>96485</v>
      </c>
      <c r="Y372" s="16">
        <f t="shared" si="143"/>
        <v>-233.63476472180477</v>
      </c>
      <c r="Z372" s="16">
        <v>8</v>
      </c>
      <c r="AA372" s="16">
        <v>15</v>
      </c>
      <c r="AB372" s="8">
        <f t="shared" si="144"/>
        <v>0.33684210526315789</v>
      </c>
      <c r="AC372" s="16">
        <f t="shared" si="145"/>
        <v>68.844969824162703</v>
      </c>
      <c r="AD372" s="20">
        <f>'PFAS Properties'!$W$33</f>
        <v>7</v>
      </c>
      <c r="AE372" s="8">
        <f>'PFAS Properties'!$S$33</f>
        <v>2.6821450763738319</v>
      </c>
      <c r="AF372" s="15">
        <f>'PFAS Properties'!$V$33</f>
        <v>4.9000000000000004</v>
      </c>
      <c r="AG372" s="24">
        <v>6.78</v>
      </c>
      <c r="AH372" s="2" t="s">
        <v>661</v>
      </c>
      <c r="AI372" s="2">
        <v>15</v>
      </c>
      <c r="AJ372" s="15">
        <f t="shared" si="153"/>
        <v>268.60059092130001</v>
      </c>
      <c r="AK372" s="15">
        <f t="shared" si="154"/>
        <v>1.5</v>
      </c>
      <c r="AL372" s="2">
        <v>4.9000000000000004</v>
      </c>
      <c r="AM372" s="15">
        <f t="shared" si="155"/>
        <v>181.61601186063751</v>
      </c>
      <c r="AN372" s="15">
        <f t="shared" si="156"/>
        <v>0.49000000000000005</v>
      </c>
      <c r="AO372" s="2" t="s">
        <v>710</v>
      </c>
      <c r="AP372" s="71">
        <v>6.7671166666666656</v>
      </c>
      <c r="AQ372" s="70" t="s">
        <v>752</v>
      </c>
      <c r="AR372" s="2">
        <v>79</v>
      </c>
      <c r="AS372" s="2">
        <v>4</v>
      </c>
      <c r="AT372" s="2">
        <v>9</v>
      </c>
      <c r="AU372" s="2" t="s">
        <v>661</v>
      </c>
      <c r="AV372" s="16">
        <f t="shared" si="157"/>
        <v>92</v>
      </c>
      <c r="AW372" s="18">
        <v>3.2</v>
      </c>
      <c r="AX372" s="13">
        <f t="shared" si="158"/>
        <v>3.2000000000000001E-2</v>
      </c>
      <c r="AY372" s="8" t="s">
        <v>67</v>
      </c>
      <c r="AZ372" s="16">
        <f t="shared" si="159"/>
        <v>20</v>
      </c>
      <c r="BA372" s="16" t="s">
        <v>55</v>
      </c>
      <c r="BB372" s="16">
        <v>10</v>
      </c>
      <c r="BC372" s="16" t="s">
        <v>55</v>
      </c>
      <c r="BD372" s="18">
        <v>3.34</v>
      </c>
      <c r="BE372" s="15">
        <f t="shared" si="146"/>
        <v>104.375</v>
      </c>
      <c r="BF372" s="8">
        <f t="shared" si="147"/>
        <v>2.0185964884916583</v>
      </c>
      <c r="BG372" s="8">
        <f t="shared" si="148"/>
        <v>0.52374646681156445</v>
      </c>
      <c r="BH372" s="13" t="s">
        <v>841</v>
      </c>
      <c r="BI372" s="13"/>
      <c r="BJ372" s="13"/>
      <c r="BK372" s="8"/>
      <c r="BL372" s="8"/>
      <c r="BM372" s="18"/>
      <c r="BN372" s="8"/>
      <c r="BO372" s="24"/>
    </row>
    <row r="373" spans="1:67" s="14" customFormat="1" x14ac:dyDescent="0.3">
      <c r="A373" s="20">
        <v>379</v>
      </c>
      <c r="B373" s="2" t="s">
        <v>219</v>
      </c>
      <c r="C373" s="2">
        <v>2020</v>
      </c>
      <c r="D373" s="2" t="s">
        <v>201</v>
      </c>
      <c r="E373" s="10" t="s">
        <v>801</v>
      </c>
      <c r="F373" s="20" t="s">
        <v>29</v>
      </c>
      <c r="G373" s="2" t="s">
        <v>82</v>
      </c>
      <c r="H373" s="2" t="str">
        <f>'PFAS Properties'!$B$33</f>
        <v>PFOA</v>
      </c>
      <c r="I373" s="2" t="str">
        <f>'PFAS Properties'!$C$33</f>
        <v>PFCA</v>
      </c>
      <c r="J373" s="2" t="str">
        <f>'PFAS Properties'!$D$33</f>
        <v>C8HF15O2</v>
      </c>
      <c r="K373" s="25">
        <f>'PFAS Properties'!$P$33</f>
        <v>413.97359999999998</v>
      </c>
      <c r="L373" s="2">
        <f>'PFAS Properties'!$X$33</f>
        <v>-0.2</v>
      </c>
      <c r="M373" s="2" t="str">
        <f>'PFAS Properties'!$Y$33</f>
        <v>-</v>
      </c>
      <c r="N373" s="33">
        <v>0</v>
      </c>
      <c r="O373" s="33">
        <v>0</v>
      </c>
      <c r="P373" s="33">
        <v>0</v>
      </c>
      <c r="Q373" s="33">
        <f t="shared" si="149"/>
        <v>0.99999996532631619</v>
      </c>
      <c r="R373" s="33">
        <v>0</v>
      </c>
      <c r="S373" s="33">
        <f t="shared" si="150"/>
        <v>3.467368384298878E-8</v>
      </c>
      <c r="T373" s="8">
        <f t="shared" si="151"/>
        <v>1</v>
      </c>
      <c r="U373" s="33">
        <f t="shared" si="140"/>
        <v>0</v>
      </c>
      <c r="V373" s="33">
        <f t="shared" si="141"/>
        <v>-0.99999996532631619</v>
      </c>
      <c r="W373" s="33">
        <f t="shared" si="142"/>
        <v>412.97360003467367</v>
      </c>
      <c r="X373" s="33">
        <v>96485</v>
      </c>
      <c r="Y373" s="16">
        <f t="shared" si="143"/>
        <v>-233.63478112501292</v>
      </c>
      <c r="Z373" s="16">
        <v>8</v>
      </c>
      <c r="AA373" s="16">
        <v>15</v>
      </c>
      <c r="AB373" s="8">
        <f t="shared" si="144"/>
        <v>0.33684210526315789</v>
      </c>
      <c r="AC373" s="16">
        <f t="shared" si="145"/>
        <v>68.844969824162703</v>
      </c>
      <c r="AD373" s="20">
        <f>'PFAS Properties'!$W$33</f>
        <v>7</v>
      </c>
      <c r="AE373" s="8">
        <f>'PFAS Properties'!$S$33</f>
        <v>2.6821450763738319</v>
      </c>
      <c r="AF373" s="15">
        <f>'PFAS Properties'!$V$33</f>
        <v>4.9000000000000004</v>
      </c>
      <c r="AG373" s="24">
        <v>7.26</v>
      </c>
      <c r="AH373" s="2" t="s">
        <v>661</v>
      </c>
      <c r="AI373" s="2">
        <v>26</v>
      </c>
      <c r="AJ373" s="15">
        <f t="shared" si="153"/>
        <v>465.57435759692004</v>
      </c>
      <c r="AK373" s="15">
        <f t="shared" si="154"/>
        <v>2.6</v>
      </c>
      <c r="AL373" s="2">
        <v>9.1999999999999993</v>
      </c>
      <c r="AM373" s="15">
        <f t="shared" si="155"/>
        <v>340.99332839140101</v>
      </c>
      <c r="AN373" s="15">
        <f t="shared" si="156"/>
        <v>0.91999999999999993</v>
      </c>
      <c r="AO373" s="2" t="s">
        <v>710</v>
      </c>
      <c r="AP373" s="71">
        <v>12.88201666666667</v>
      </c>
      <c r="AQ373" s="70" t="s">
        <v>752</v>
      </c>
      <c r="AR373" s="2">
        <v>37</v>
      </c>
      <c r="AS373" s="2">
        <v>14</v>
      </c>
      <c r="AT373" s="2">
        <v>34</v>
      </c>
      <c r="AU373" s="2" t="s">
        <v>661</v>
      </c>
      <c r="AV373" s="16">
        <f t="shared" si="157"/>
        <v>85</v>
      </c>
      <c r="AW373" s="18">
        <v>10</v>
      </c>
      <c r="AX373" s="13">
        <f t="shared" si="158"/>
        <v>0.1</v>
      </c>
      <c r="AY373" s="8" t="s">
        <v>67</v>
      </c>
      <c r="AZ373" s="16">
        <f t="shared" si="159"/>
        <v>20</v>
      </c>
      <c r="BA373" s="16" t="s">
        <v>55</v>
      </c>
      <c r="BB373" s="16">
        <v>10</v>
      </c>
      <c r="BC373" s="16" t="s">
        <v>55</v>
      </c>
      <c r="BD373" s="18">
        <v>12.24</v>
      </c>
      <c r="BE373" s="15">
        <f t="shared" si="146"/>
        <v>122.39999999999999</v>
      </c>
      <c r="BF373" s="8">
        <f t="shared" si="147"/>
        <v>2.0877814178095422</v>
      </c>
      <c r="BG373" s="8">
        <f t="shared" si="148"/>
        <v>1.0877814178095424</v>
      </c>
      <c r="BH373" s="13" t="s">
        <v>841</v>
      </c>
      <c r="BI373" s="13"/>
      <c r="BJ373" s="13"/>
      <c r="BK373" s="8"/>
      <c r="BL373" s="8"/>
      <c r="BM373" s="18"/>
      <c r="BN373" s="8"/>
      <c r="BO373" s="24"/>
    </row>
    <row r="374" spans="1:67" s="14" customFormat="1" x14ac:dyDescent="0.3">
      <c r="A374" s="20">
        <v>380</v>
      </c>
      <c r="B374" s="2" t="s">
        <v>219</v>
      </c>
      <c r="C374" s="2">
        <v>2020</v>
      </c>
      <c r="D374" s="2" t="s">
        <v>201</v>
      </c>
      <c r="E374" s="10" t="s">
        <v>801</v>
      </c>
      <c r="F374" s="20" t="s">
        <v>29</v>
      </c>
      <c r="G374" s="2" t="s">
        <v>83</v>
      </c>
      <c r="H374" s="2" t="str">
        <f>'PFAS Properties'!$B$33</f>
        <v>PFOA</v>
      </c>
      <c r="I374" s="2" t="str">
        <f>'PFAS Properties'!$C$33</f>
        <v>PFCA</v>
      </c>
      <c r="J374" s="2" t="str">
        <f>'PFAS Properties'!$D$33</f>
        <v>C8HF15O2</v>
      </c>
      <c r="K374" s="25">
        <f>'PFAS Properties'!$P$33</f>
        <v>413.97359999999998</v>
      </c>
      <c r="L374" s="2">
        <f>'PFAS Properties'!$X$33</f>
        <v>-0.2</v>
      </c>
      <c r="M374" s="2" t="str">
        <f>'PFAS Properties'!$Y$33</f>
        <v>-</v>
      </c>
      <c r="N374" s="33">
        <v>0</v>
      </c>
      <c r="O374" s="33">
        <v>0</v>
      </c>
      <c r="P374" s="33">
        <v>0</v>
      </c>
      <c r="Q374" s="33">
        <f t="shared" si="149"/>
        <v>0.99999995831306343</v>
      </c>
      <c r="R374" s="33">
        <v>0</v>
      </c>
      <c r="S374" s="33">
        <f t="shared" si="150"/>
        <v>4.1686936609232756E-8</v>
      </c>
      <c r="T374" s="8">
        <f t="shared" si="151"/>
        <v>1</v>
      </c>
      <c r="U374" s="33">
        <f t="shared" si="140"/>
        <v>0</v>
      </c>
      <c r="V374" s="33">
        <f t="shared" si="141"/>
        <v>-0.99999995831306343</v>
      </c>
      <c r="W374" s="33">
        <f t="shared" si="142"/>
        <v>412.97360004168695</v>
      </c>
      <c r="X374" s="33">
        <v>96485</v>
      </c>
      <c r="Y374" s="16">
        <f t="shared" si="143"/>
        <v>-233.63477948250545</v>
      </c>
      <c r="Z374" s="16">
        <v>8</v>
      </c>
      <c r="AA374" s="16">
        <v>15</v>
      </c>
      <c r="AB374" s="8">
        <f t="shared" si="144"/>
        <v>0.33684210526315789</v>
      </c>
      <c r="AC374" s="16">
        <f t="shared" si="145"/>
        <v>68.844969824162703</v>
      </c>
      <c r="AD374" s="20">
        <f>'PFAS Properties'!$W$33</f>
        <v>7</v>
      </c>
      <c r="AE374" s="8">
        <f>'PFAS Properties'!$S$33</f>
        <v>2.6821450763738319</v>
      </c>
      <c r="AF374" s="15">
        <f>'PFAS Properties'!$V$33</f>
        <v>4.9000000000000004</v>
      </c>
      <c r="AG374" s="24">
        <v>7.18</v>
      </c>
      <c r="AH374" s="2" t="s">
        <v>661</v>
      </c>
      <c r="AI374" s="2">
        <v>25</v>
      </c>
      <c r="AJ374" s="15">
        <f t="shared" si="153"/>
        <v>447.66765153550006</v>
      </c>
      <c r="AK374" s="15">
        <f t="shared" si="154"/>
        <v>2.5</v>
      </c>
      <c r="AL374" s="2">
        <v>8.1999999999999993</v>
      </c>
      <c r="AM374" s="15">
        <f t="shared" si="155"/>
        <v>303.92883617494442</v>
      </c>
      <c r="AN374" s="15">
        <f t="shared" si="156"/>
        <v>0.82</v>
      </c>
      <c r="AO374" s="2" t="s">
        <v>710</v>
      </c>
      <c r="AP374" s="71">
        <v>12.04371666666666</v>
      </c>
      <c r="AQ374" s="70" t="s">
        <v>752</v>
      </c>
      <c r="AR374" s="2">
        <v>44</v>
      </c>
      <c r="AS374" s="2">
        <v>14</v>
      </c>
      <c r="AT374" s="2">
        <v>24</v>
      </c>
      <c r="AU374" s="2" t="s">
        <v>661</v>
      </c>
      <c r="AV374" s="16">
        <f t="shared" si="157"/>
        <v>82</v>
      </c>
      <c r="AW374" s="18">
        <v>10.1</v>
      </c>
      <c r="AX374" s="13">
        <f t="shared" si="158"/>
        <v>0.10099999999999999</v>
      </c>
      <c r="AY374" s="8" t="s">
        <v>67</v>
      </c>
      <c r="AZ374" s="16">
        <f t="shared" si="159"/>
        <v>20</v>
      </c>
      <c r="BA374" s="16" t="s">
        <v>55</v>
      </c>
      <c r="BB374" s="16">
        <v>10</v>
      </c>
      <c r="BC374" s="16" t="s">
        <v>55</v>
      </c>
      <c r="BD374" s="18">
        <v>11.22</v>
      </c>
      <c r="BE374" s="15">
        <f t="shared" si="146"/>
        <v>111.0891089108911</v>
      </c>
      <c r="BF374" s="8">
        <f t="shared" si="147"/>
        <v>2.0456714831375002</v>
      </c>
      <c r="BG374" s="8">
        <f t="shared" si="148"/>
        <v>1.0499928569201427</v>
      </c>
      <c r="BH374" s="13" t="s">
        <v>841</v>
      </c>
      <c r="BI374" s="13"/>
      <c r="BJ374" s="13"/>
      <c r="BK374" s="8"/>
      <c r="BL374" s="8"/>
      <c r="BM374" s="18"/>
      <c r="BN374" s="8"/>
      <c r="BO374" s="24"/>
    </row>
    <row r="375" spans="1:67" s="14" customFormat="1" x14ac:dyDescent="0.3">
      <c r="A375" s="20">
        <v>381</v>
      </c>
      <c r="B375" s="2" t="s">
        <v>219</v>
      </c>
      <c r="C375" s="2">
        <v>2020</v>
      </c>
      <c r="D375" s="2" t="s">
        <v>201</v>
      </c>
      <c r="E375" s="10" t="s">
        <v>801</v>
      </c>
      <c r="F375" s="20" t="s">
        <v>29</v>
      </c>
      <c r="G375" s="2" t="s">
        <v>84</v>
      </c>
      <c r="H375" s="2" t="str">
        <f>'PFAS Properties'!$B$33</f>
        <v>PFOA</v>
      </c>
      <c r="I375" s="2" t="str">
        <f>'PFAS Properties'!$C$33</f>
        <v>PFCA</v>
      </c>
      <c r="J375" s="2" t="str">
        <f>'PFAS Properties'!$D$33</f>
        <v>C8HF15O2</v>
      </c>
      <c r="K375" s="25">
        <f>'PFAS Properties'!$P$33</f>
        <v>413.97359999999998</v>
      </c>
      <c r="L375" s="2">
        <f>'PFAS Properties'!$X$33</f>
        <v>-0.2</v>
      </c>
      <c r="M375" s="2" t="str">
        <f>'PFAS Properties'!$Y$33</f>
        <v>-</v>
      </c>
      <c r="N375" s="33">
        <v>0</v>
      </c>
      <c r="O375" s="33">
        <v>0</v>
      </c>
      <c r="P375" s="33">
        <v>0</v>
      </c>
      <c r="Q375" s="33">
        <f t="shared" si="149"/>
        <v>0.99999994871386422</v>
      </c>
      <c r="R375" s="33">
        <v>0</v>
      </c>
      <c r="S375" s="33">
        <f t="shared" si="150"/>
        <v>5.1286135768868562E-8</v>
      </c>
      <c r="T375" s="8">
        <f t="shared" si="151"/>
        <v>1</v>
      </c>
      <c r="U375" s="33">
        <f t="shared" si="140"/>
        <v>0</v>
      </c>
      <c r="V375" s="33">
        <f t="shared" si="141"/>
        <v>-0.99999994871386422</v>
      </c>
      <c r="W375" s="33">
        <f t="shared" si="142"/>
        <v>412.9736000512861</v>
      </c>
      <c r="X375" s="33">
        <v>96485</v>
      </c>
      <c r="Y375" s="16">
        <f t="shared" si="143"/>
        <v>-233.63477723436796</v>
      </c>
      <c r="Z375" s="16">
        <v>8</v>
      </c>
      <c r="AA375" s="16">
        <v>15</v>
      </c>
      <c r="AB375" s="8">
        <f t="shared" si="144"/>
        <v>0.33684210526315789</v>
      </c>
      <c r="AC375" s="16">
        <f t="shared" si="145"/>
        <v>68.844969824162703</v>
      </c>
      <c r="AD375" s="20">
        <f>'PFAS Properties'!$W$33</f>
        <v>7</v>
      </c>
      <c r="AE375" s="8">
        <f>'PFAS Properties'!$S$33</f>
        <v>2.6821450763738319</v>
      </c>
      <c r="AF375" s="15">
        <f>'PFAS Properties'!$V$33</f>
        <v>4.9000000000000004</v>
      </c>
      <c r="AG375" s="24">
        <v>7.09</v>
      </c>
      <c r="AH375" s="2" t="s">
        <v>661</v>
      </c>
      <c r="AI375" s="2">
        <v>28</v>
      </c>
      <c r="AJ375" s="15">
        <f t="shared" si="153"/>
        <v>501.38776971976006</v>
      </c>
      <c r="AK375" s="15">
        <f t="shared" si="154"/>
        <v>2.8</v>
      </c>
      <c r="AL375" s="2">
        <v>10</v>
      </c>
      <c r="AM375" s="15">
        <f t="shared" si="155"/>
        <v>370.64492216456637</v>
      </c>
      <c r="AN375" s="15">
        <f t="shared" si="156"/>
        <v>1</v>
      </c>
      <c r="AO375" s="2" t="s">
        <v>710</v>
      </c>
      <c r="AP375" s="71">
        <v>15.281916666666669</v>
      </c>
      <c r="AQ375" s="70" t="s">
        <v>752</v>
      </c>
      <c r="AR375" s="2">
        <v>15</v>
      </c>
      <c r="AS375" s="2">
        <v>26</v>
      </c>
      <c r="AT375" s="2">
        <v>42</v>
      </c>
      <c r="AU375" s="2" t="s">
        <v>661</v>
      </c>
      <c r="AV375" s="16">
        <f t="shared" si="157"/>
        <v>83</v>
      </c>
      <c r="AW375" s="18">
        <v>5.6</v>
      </c>
      <c r="AX375" s="13">
        <f t="shared" si="158"/>
        <v>5.5999999999999994E-2</v>
      </c>
      <c r="AY375" s="8" t="s">
        <v>67</v>
      </c>
      <c r="AZ375" s="16">
        <f t="shared" si="159"/>
        <v>20</v>
      </c>
      <c r="BA375" s="16" t="s">
        <v>55</v>
      </c>
      <c r="BB375" s="16">
        <v>10</v>
      </c>
      <c r="BC375" s="16" t="s">
        <v>55</v>
      </c>
      <c r="BD375" s="18">
        <v>9.7100000000000009</v>
      </c>
      <c r="BE375" s="15">
        <f t="shared" si="146"/>
        <v>173.39285714285717</v>
      </c>
      <c r="BF375" s="8">
        <f t="shared" si="147"/>
        <v>2.2390312029018045</v>
      </c>
      <c r="BG375" s="8">
        <f t="shared" si="148"/>
        <v>0.98721922990800492</v>
      </c>
      <c r="BH375" s="13" t="s">
        <v>841</v>
      </c>
      <c r="BI375" s="13"/>
      <c r="BJ375" s="13"/>
      <c r="BK375" s="8"/>
      <c r="BL375" s="8"/>
      <c r="BM375" s="18"/>
      <c r="BN375" s="8"/>
      <c r="BO375" s="24"/>
    </row>
    <row r="376" spans="1:67" s="14" customFormat="1" x14ac:dyDescent="0.3">
      <c r="A376" s="20">
        <v>382</v>
      </c>
      <c r="B376" s="2" t="s">
        <v>200</v>
      </c>
      <c r="C376" s="2">
        <v>2021</v>
      </c>
      <c r="D376" s="2" t="s">
        <v>201</v>
      </c>
      <c r="E376" s="10" t="s">
        <v>794</v>
      </c>
      <c r="F376" s="20" t="s">
        <v>29</v>
      </c>
      <c r="G376" s="2" t="s">
        <v>30</v>
      </c>
      <c r="H376" s="2" t="str">
        <f>'PFAS Properties'!$B$33</f>
        <v>PFOA</v>
      </c>
      <c r="I376" s="2" t="str">
        <f>'PFAS Properties'!$C$33</f>
        <v>PFCA</v>
      </c>
      <c r="J376" s="2" t="str">
        <f>'PFAS Properties'!$D$33</f>
        <v>C8HF15O2</v>
      </c>
      <c r="K376" s="25">
        <f>'PFAS Properties'!$P$33</f>
        <v>413.97359999999998</v>
      </c>
      <c r="L376" s="2">
        <f>'PFAS Properties'!$X$33</f>
        <v>-0.2</v>
      </c>
      <c r="M376" s="2" t="str">
        <f>'PFAS Properties'!$Y$33</f>
        <v>-</v>
      </c>
      <c r="N376" s="33">
        <v>0</v>
      </c>
      <c r="O376" s="33">
        <v>0</v>
      </c>
      <c r="P376" s="33">
        <v>0</v>
      </c>
      <c r="Q376" s="33">
        <f t="shared" si="149"/>
        <v>0.99999800474166611</v>
      </c>
      <c r="R376" s="33">
        <v>0</v>
      </c>
      <c r="S376" s="33">
        <f t="shared" si="150"/>
        <v>1.9952583339051124E-6</v>
      </c>
      <c r="T376" s="8">
        <f t="shared" si="151"/>
        <v>1</v>
      </c>
      <c r="U376" s="33">
        <f t="shared" si="140"/>
        <v>0</v>
      </c>
      <c r="V376" s="33">
        <f t="shared" si="141"/>
        <v>-0.99999800474166611</v>
      </c>
      <c r="W376" s="33">
        <f t="shared" si="142"/>
        <v>412.97360199525832</v>
      </c>
      <c r="X376" s="33">
        <v>96485</v>
      </c>
      <c r="Y376" s="16">
        <f t="shared" si="143"/>
        <v>-233.63432195505678</v>
      </c>
      <c r="Z376" s="16">
        <v>8</v>
      </c>
      <c r="AA376" s="16">
        <v>15</v>
      </c>
      <c r="AB376" s="8">
        <f t="shared" si="144"/>
        <v>0.33684210526315789</v>
      </c>
      <c r="AC376" s="16">
        <f t="shared" si="145"/>
        <v>68.844969824162703</v>
      </c>
      <c r="AD376" s="20">
        <f>'PFAS Properties'!$W$33</f>
        <v>7</v>
      </c>
      <c r="AE376" s="8">
        <f>'PFAS Properties'!$S$33</f>
        <v>2.6821450763738319</v>
      </c>
      <c r="AF376" s="15">
        <f>'PFAS Properties'!$V$33</f>
        <v>4.9000000000000004</v>
      </c>
      <c r="AG376" s="24">
        <v>5.5</v>
      </c>
      <c r="AH376" s="2" t="s">
        <v>834</v>
      </c>
      <c r="AI376" s="15">
        <v>1.0129999999999999</v>
      </c>
      <c r="AJ376" s="16">
        <f t="shared" si="153"/>
        <v>18.13949324021846</v>
      </c>
      <c r="AK376" s="8">
        <f t="shared" si="154"/>
        <v>0.10129999999999999</v>
      </c>
      <c r="AL376" s="15">
        <v>0.40400000000000003</v>
      </c>
      <c r="AM376" s="16">
        <f t="shared" si="155"/>
        <v>14.974054855448481</v>
      </c>
      <c r="AN376" s="8">
        <f t="shared" si="156"/>
        <v>4.0400000000000005E-2</v>
      </c>
      <c r="AO376" s="15" t="s">
        <v>31</v>
      </c>
      <c r="AP376" s="16">
        <v>23.4</v>
      </c>
      <c r="AQ376" s="16" t="s">
        <v>689</v>
      </c>
      <c r="AR376" s="16">
        <v>54.4</v>
      </c>
      <c r="AS376" s="16">
        <v>35</v>
      </c>
      <c r="AT376" s="16">
        <v>10.6</v>
      </c>
      <c r="AU376" s="16" t="s">
        <v>664</v>
      </c>
      <c r="AV376" s="16">
        <f t="shared" si="157"/>
        <v>100</v>
      </c>
      <c r="AW376" s="18">
        <v>1.6</v>
      </c>
      <c r="AX376" s="13">
        <f t="shared" si="158"/>
        <v>1.6E-2</v>
      </c>
      <c r="AY376" s="8" t="s">
        <v>32</v>
      </c>
      <c r="AZ376" s="16">
        <f t="shared" ref="AZ376:AZ388" si="160">3/0.03</f>
        <v>100</v>
      </c>
      <c r="BA376" s="16" t="s">
        <v>55</v>
      </c>
      <c r="BB376" s="16">
        <v>50</v>
      </c>
      <c r="BC376" s="16" t="s">
        <v>55</v>
      </c>
      <c r="BD376" s="18">
        <v>5.88</v>
      </c>
      <c r="BE376" s="15">
        <f t="shared" si="146"/>
        <v>367.5</v>
      </c>
      <c r="BF376" s="8">
        <f t="shared" si="147"/>
        <v>2.5652573434202135</v>
      </c>
      <c r="BG376" s="8">
        <f t="shared" si="148"/>
        <v>0.76937732607613851</v>
      </c>
      <c r="BH376" s="2" t="s">
        <v>841</v>
      </c>
      <c r="BI376" s="2"/>
      <c r="BJ376" s="2"/>
      <c r="BK376" s="2"/>
      <c r="BL376" s="2"/>
      <c r="BM376" s="20"/>
      <c r="BN376" s="20"/>
      <c r="BO376" s="2"/>
    </row>
    <row r="377" spans="1:67" s="14" customFormat="1" x14ac:dyDescent="0.3">
      <c r="A377" s="20">
        <v>383</v>
      </c>
      <c r="B377" s="2" t="s">
        <v>200</v>
      </c>
      <c r="C377" s="2">
        <v>2021</v>
      </c>
      <c r="D377" s="2" t="s">
        <v>201</v>
      </c>
      <c r="E377" s="10" t="s">
        <v>794</v>
      </c>
      <c r="F377" s="20" t="s">
        <v>29</v>
      </c>
      <c r="G377" s="2" t="s">
        <v>33</v>
      </c>
      <c r="H377" s="2" t="str">
        <f>'PFAS Properties'!$B$33</f>
        <v>PFOA</v>
      </c>
      <c r="I377" s="2" t="str">
        <f>'PFAS Properties'!$C$33</f>
        <v>PFCA</v>
      </c>
      <c r="J377" s="2" t="str">
        <f>'PFAS Properties'!$D$33</f>
        <v>C8HF15O2</v>
      </c>
      <c r="K377" s="25">
        <f>'PFAS Properties'!$P$33</f>
        <v>413.97359999999998</v>
      </c>
      <c r="L377" s="2">
        <f>'PFAS Properties'!$X$33</f>
        <v>-0.2</v>
      </c>
      <c r="M377" s="2" t="str">
        <f>'PFAS Properties'!$Y$33</f>
        <v>-</v>
      </c>
      <c r="N377" s="33">
        <v>0</v>
      </c>
      <c r="O377" s="33">
        <v>0</v>
      </c>
      <c r="P377" s="33">
        <v>0</v>
      </c>
      <c r="Q377" s="33">
        <f t="shared" si="149"/>
        <v>0.99999999369042658</v>
      </c>
      <c r="R377" s="33">
        <v>0</v>
      </c>
      <c r="S377" s="33">
        <f t="shared" si="150"/>
        <v>6.3095734049912165E-9</v>
      </c>
      <c r="T377" s="8">
        <f t="shared" si="151"/>
        <v>1</v>
      </c>
      <c r="U377" s="33">
        <f t="shared" si="140"/>
        <v>0</v>
      </c>
      <c r="V377" s="33">
        <f t="shared" si="141"/>
        <v>-0.99999999369042658</v>
      </c>
      <c r="W377" s="33">
        <f t="shared" si="142"/>
        <v>412.97360000630954</v>
      </c>
      <c r="X377" s="33">
        <v>96485</v>
      </c>
      <c r="Y377" s="16">
        <f t="shared" si="143"/>
        <v>-233.63478776790257</v>
      </c>
      <c r="Z377" s="16">
        <v>8</v>
      </c>
      <c r="AA377" s="16">
        <v>15</v>
      </c>
      <c r="AB377" s="8">
        <f t="shared" si="144"/>
        <v>0.33684210526315789</v>
      </c>
      <c r="AC377" s="16">
        <f t="shared" si="145"/>
        <v>68.844969824162703</v>
      </c>
      <c r="AD377" s="20">
        <f>'PFAS Properties'!$W$33</f>
        <v>7</v>
      </c>
      <c r="AE377" s="8">
        <f>'PFAS Properties'!$S$33</f>
        <v>2.6821450763738319</v>
      </c>
      <c r="AF377" s="15">
        <f>'PFAS Properties'!$V$33</f>
        <v>4.9000000000000004</v>
      </c>
      <c r="AG377" s="24">
        <v>8</v>
      </c>
      <c r="AH377" s="2" t="s">
        <v>834</v>
      </c>
      <c r="AI377" s="15">
        <v>2.9660000000000002</v>
      </c>
      <c r="AJ377" s="16">
        <f t="shared" si="153"/>
        <v>53.111290178171728</v>
      </c>
      <c r="AK377" s="8">
        <f t="shared" si="154"/>
        <v>0.29660000000000003</v>
      </c>
      <c r="AL377" s="15">
        <v>0.23</v>
      </c>
      <c r="AM377" s="16">
        <f t="shared" si="155"/>
        <v>8.5248332097850259</v>
      </c>
      <c r="AN377" s="8">
        <f t="shared" si="156"/>
        <v>2.3E-2</v>
      </c>
      <c r="AO377" s="15" t="s">
        <v>31</v>
      </c>
      <c r="AP377" s="16">
        <v>87.3</v>
      </c>
      <c r="AQ377" s="16" t="s">
        <v>689</v>
      </c>
      <c r="AR377" s="16">
        <v>12.2</v>
      </c>
      <c r="AS377" s="16">
        <v>54.3</v>
      </c>
      <c r="AT377" s="16">
        <v>33.5</v>
      </c>
      <c r="AU377" s="16" t="s">
        <v>664</v>
      </c>
      <c r="AV377" s="16">
        <f t="shared" si="157"/>
        <v>100</v>
      </c>
      <c r="AW377" s="18">
        <v>7.7</v>
      </c>
      <c r="AX377" s="13">
        <f t="shared" si="158"/>
        <v>7.6999999999999999E-2</v>
      </c>
      <c r="AY377" s="8" t="s">
        <v>32</v>
      </c>
      <c r="AZ377" s="16">
        <f t="shared" si="160"/>
        <v>100</v>
      </c>
      <c r="BA377" s="16" t="s">
        <v>55</v>
      </c>
      <c r="BB377" s="16">
        <v>50</v>
      </c>
      <c r="BC377" s="16" t="s">
        <v>55</v>
      </c>
      <c r="BD377" s="18">
        <v>10.18</v>
      </c>
      <c r="BE377" s="15">
        <f t="shared" si="146"/>
        <v>132.20779220779221</v>
      </c>
      <c r="BF377" s="8">
        <f t="shared" si="147"/>
        <v>2.1212570528282582</v>
      </c>
      <c r="BG377" s="8">
        <f t="shared" si="148"/>
        <v>1.00774777800074</v>
      </c>
      <c r="BH377" s="2" t="s">
        <v>841</v>
      </c>
      <c r="BI377" s="2"/>
      <c r="BJ377" s="2"/>
      <c r="BK377" s="2"/>
      <c r="BL377" s="2"/>
      <c r="BM377" s="20"/>
      <c r="BN377" s="20"/>
      <c r="BO377" s="2"/>
    </row>
    <row r="378" spans="1:67" s="14" customFormat="1" x14ac:dyDescent="0.3">
      <c r="A378" s="20">
        <v>384</v>
      </c>
      <c r="B378" s="2" t="s">
        <v>200</v>
      </c>
      <c r="C378" s="2">
        <v>2021</v>
      </c>
      <c r="D378" s="2" t="s">
        <v>201</v>
      </c>
      <c r="E378" s="10" t="s">
        <v>794</v>
      </c>
      <c r="F378" s="20" t="s">
        <v>29</v>
      </c>
      <c r="G378" s="2" t="s">
        <v>34</v>
      </c>
      <c r="H378" s="2" t="str">
        <f>'PFAS Properties'!$B$33</f>
        <v>PFOA</v>
      </c>
      <c r="I378" s="2" t="str">
        <f>'PFAS Properties'!$C$33</f>
        <v>PFCA</v>
      </c>
      <c r="J378" s="2" t="str">
        <f>'PFAS Properties'!$D$33</f>
        <v>C8HF15O2</v>
      </c>
      <c r="K378" s="25">
        <f>'PFAS Properties'!$P$33</f>
        <v>413.97359999999998</v>
      </c>
      <c r="L378" s="2">
        <f>'PFAS Properties'!$X$33</f>
        <v>-0.2</v>
      </c>
      <c r="M378" s="2" t="str">
        <f>'PFAS Properties'!$Y$33</f>
        <v>-</v>
      </c>
      <c r="N378" s="33">
        <v>0</v>
      </c>
      <c r="O378" s="33">
        <v>0</v>
      </c>
      <c r="P378" s="33">
        <v>0</v>
      </c>
      <c r="Q378" s="33">
        <f t="shared" si="149"/>
        <v>0.99999601894414336</v>
      </c>
      <c r="R378" s="33">
        <v>0</v>
      </c>
      <c r="S378" s="33">
        <f t="shared" si="150"/>
        <v>3.981055856666137E-6</v>
      </c>
      <c r="T378" s="8">
        <f t="shared" si="151"/>
        <v>1</v>
      </c>
      <c r="U378" s="33">
        <f t="shared" si="140"/>
        <v>0</v>
      </c>
      <c r="V378" s="33">
        <f t="shared" si="141"/>
        <v>-0.99999601894414336</v>
      </c>
      <c r="W378" s="33">
        <f t="shared" si="142"/>
        <v>412.97360398105587</v>
      </c>
      <c r="X378" s="33">
        <v>96485</v>
      </c>
      <c r="Y378" s="16">
        <f t="shared" si="143"/>
        <v>-233.63385688023698</v>
      </c>
      <c r="Z378" s="16">
        <v>8</v>
      </c>
      <c r="AA378" s="16">
        <v>15</v>
      </c>
      <c r="AB378" s="8">
        <f t="shared" si="144"/>
        <v>0.33684210526315789</v>
      </c>
      <c r="AC378" s="16">
        <f t="shared" si="145"/>
        <v>68.844969824162703</v>
      </c>
      <c r="AD378" s="20">
        <f>'PFAS Properties'!$W$33</f>
        <v>7</v>
      </c>
      <c r="AE378" s="8">
        <f>'PFAS Properties'!$S$33</f>
        <v>2.6821450763738319</v>
      </c>
      <c r="AF378" s="15">
        <f>'PFAS Properties'!$V$33</f>
        <v>4.9000000000000004</v>
      </c>
      <c r="AG378" s="24">
        <v>5.2</v>
      </c>
      <c r="AH378" s="2" t="s">
        <v>834</v>
      </c>
      <c r="AI378" s="15">
        <v>4.5149999999999997</v>
      </c>
      <c r="AJ378" s="16">
        <f t="shared" si="153"/>
        <v>80.848777867311313</v>
      </c>
      <c r="AK378" s="8">
        <f t="shared" si="154"/>
        <v>0.45149999999999996</v>
      </c>
      <c r="AL378" s="15">
        <v>0.377</v>
      </c>
      <c r="AM378" s="16">
        <f t="shared" si="155"/>
        <v>13.973313565604151</v>
      </c>
      <c r="AN378" s="8">
        <f t="shared" si="156"/>
        <v>3.7699999999999997E-2</v>
      </c>
      <c r="AO378" s="15" t="s">
        <v>31</v>
      </c>
      <c r="AP378" s="16">
        <v>44.3</v>
      </c>
      <c r="AQ378" s="16" t="s">
        <v>689</v>
      </c>
      <c r="AR378" s="16">
        <v>41.3</v>
      </c>
      <c r="AS378" s="16">
        <v>39.799999999999997</v>
      </c>
      <c r="AT378" s="16">
        <v>18.899999999999999</v>
      </c>
      <c r="AU378" s="16" t="s">
        <v>664</v>
      </c>
      <c r="AV378" s="16">
        <f t="shared" si="157"/>
        <v>100</v>
      </c>
      <c r="AW378" s="18">
        <v>9.4</v>
      </c>
      <c r="AX378" s="13">
        <f t="shared" si="158"/>
        <v>9.4E-2</v>
      </c>
      <c r="AY378" s="8" t="s">
        <v>32</v>
      </c>
      <c r="AZ378" s="16">
        <f t="shared" si="160"/>
        <v>100</v>
      </c>
      <c r="BA378" s="16" t="s">
        <v>55</v>
      </c>
      <c r="BB378" s="16">
        <v>50</v>
      </c>
      <c r="BC378" s="16" t="s">
        <v>55</v>
      </c>
      <c r="BD378" s="18">
        <v>12.96</v>
      </c>
      <c r="BE378" s="15">
        <f t="shared" si="146"/>
        <v>137.87234042553192</v>
      </c>
      <c r="BF378" s="8">
        <f t="shared" si="147"/>
        <v>2.1394771479348758</v>
      </c>
      <c r="BG378" s="8">
        <f t="shared" si="148"/>
        <v>1.1126050015345745</v>
      </c>
      <c r="BH378" s="2" t="s">
        <v>841</v>
      </c>
      <c r="BI378" s="2"/>
      <c r="BJ378" s="2"/>
      <c r="BK378" s="2"/>
      <c r="BL378" s="2"/>
      <c r="BM378" s="20"/>
      <c r="BN378" s="20"/>
      <c r="BO378" s="2"/>
    </row>
    <row r="379" spans="1:67" s="14" customFormat="1" x14ac:dyDescent="0.3">
      <c r="A379" s="20">
        <v>385</v>
      </c>
      <c r="B379" s="2" t="s">
        <v>200</v>
      </c>
      <c r="C379" s="2">
        <v>2021</v>
      </c>
      <c r="D379" s="2" t="s">
        <v>201</v>
      </c>
      <c r="E379" s="10" t="s">
        <v>794</v>
      </c>
      <c r="F379" s="20" t="s">
        <v>29</v>
      </c>
      <c r="G379" s="2" t="s">
        <v>37</v>
      </c>
      <c r="H379" s="2" t="str">
        <f>'PFAS Properties'!$B$33</f>
        <v>PFOA</v>
      </c>
      <c r="I379" s="2" t="str">
        <f>'PFAS Properties'!$C$33</f>
        <v>PFCA</v>
      </c>
      <c r="J379" s="2" t="str">
        <f>'PFAS Properties'!$D$33</f>
        <v>C8HF15O2</v>
      </c>
      <c r="K379" s="25">
        <f>'PFAS Properties'!$P$33</f>
        <v>413.97359999999998</v>
      </c>
      <c r="L379" s="2">
        <f>'PFAS Properties'!$X$33</f>
        <v>-0.2</v>
      </c>
      <c r="M379" s="2" t="str">
        <f>'PFAS Properties'!$Y$33</f>
        <v>-</v>
      </c>
      <c r="N379" s="33">
        <v>0</v>
      </c>
      <c r="O379" s="33">
        <v>0</v>
      </c>
      <c r="P379" s="33">
        <v>0</v>
      </c>
      <c r="Q379" s="33">
        <f t="shared" si="149"/>
        <v>0.99999900000099995</v>
      </c>
      <c r="R379" s="33">
        <v>0</v>
      </c>
      <c r="S379" s="33">
        <f t="shared" si="150"/>
        <v>9.9999900000100006E-7</v>
      </c>
      <c r="T379" s="8">
        <f t="shared" si="151"/>
        <v>1</v>
      </c>
      <c r="U379" s="33">
        <f t="shared" ref="U379:U442" si="161">((1*N379)+(1*O379)+(1*P379))</f>
        <v>0</v>
      </c>
      <c r="V379" s="33">
        <f t="shared" ref="V379:V442" si="162">-((1*O379)+(2*P379)+(1*Q379)+(2*R379))</f>
        <v>-0.99999900000099995</v>
      </c>
      <c r="W379" s="33">
        <f t="shared" ref="W379:W442" si="163">(N379*(K379+1))+(O379*K379)+(P379*(K379-1))+(Q379*(K379-1))+(R379*(K379-2))+(S379*K379)</f>
        <v>412.97360099999895</v>
      </c>
      <c r="X379" s="33">
        <v>96485</v>
      </c>
      <c r="Y379" s="16">
        <f t="shared" ref="Y379:Y442" si="164">((V379+U379)/W379)*X379</f>
        <v>-233.63455504531566</v>
      </c>
      <c r="Z379" s="16">
        <v>8</v>
      </c>
      <c r="AA379" s="16">
        <v>15</v>
      </c>
      <c r="AB379" s="8">
        <f t="shared" ref="AB379:AB442" si="165">(Z379/AA379)*(12/19)</f>
        <v>0.33684210526315789</v>
      </c>
      <c r="AC379" s="16">
        <f t="shared" ref="AC379:AC442" si="166">((AA379*19)/K379)*100</f>
        <v>68.844969824162703</v>
      </c>
      <c r="AD379" s="20">
        <f>'PFAS Properties'!$W$33</f>
        <v>7</v>
      </c>
      <c r="AE379" s="8">
        <f>'PFAS Properties'!$S$33</f>
        <v>2.6821450763738319</v>
      </c>
      <c r="AF379" s="15">
        <f>'PFAS Properties'!$V$33</f>
        <v>4.9000000000000004</v>
      </c>
      <c r="AG379" s="24">
        <v>5.8</v>
      </c>
      <c r="AH379" s="2" t="s">
        <v>834</v>
      </c>
      <c r="AI379" s="15">
        <v>6.5019999999999998</v>
      </c>
      <c r="AJ379" s="16">
        <f t="shared" si="153"/>
        <v>116.42940281135286</v>
      </c>
      <c r="AK379" s="8">
        <f t="shared" si="154"/>
        <v>0.6502</v>
      </c>
      <c r="AL379" s="15">
        <v>1.732</v>
      </c>
      <c r="AM379" s="16">
        <f t="shared" si="155"/>
        <v>64.195700518902896</v>
      </c>
      <c r="AN379" s="8">
        <f t="shared" si="156"/>
        <v>0.17319999999999999</v>
      </c>
      <c r="AO379" s="15" t="s">
        <v>31</v>
      </c>
      <c r="AP379" s="16">
        <v>90</v>
      </c>
      <c r="AQ379" s="16" t="s">
        <v>689</v>
      </c>
      <c r="AR379" s="16">
        <v>46</v>
      </c>
      <c r="AS379" s="16">
        <v>51</v>
      </c>
      <c r="AT379" s="16">
        <v>3</v>
      </c>
      <c r="AU379" s="16" t="s">
        <v>664</v>
      </c>
      <c r="AV379" s="16">
        <f t="shared" si="157"/>
        <v>100</v>
      </c>
      <c r="AW379" s="18">
        <v>27</v>
      </c>
      <c r="AX379" s="13">
        <f t="shared" si="158"/>
        <v>0.27</v>
      </c>
      <c r="AY379" s="8" t="s">
        <v>32</v>
      </c>
      <c r="AZ379" s="16">
        <f t="shared" si="160"/>
        <v>100</v>
      </c>
      <c r="BA379" s="16" t="s">
        <v>55</v>
      </c>
      <c r="BB379" s="16">
        <v>150</v>
      </c>
      <c r="BC379" s="16" t="s">
        <v>55</v>
      </c>
      <c r="BD379" s="18">
        <v>40.630000000000003</v>
      </c>
      <c r="BE379" s="15">
        <f t="shared" ref="BE379:BE442" si="167">BD379/AX379</f>
        <v>150.4814814814815</v>
      </c>
      <c r="BF379" s="8">
        <f t="shared" ref="BF379:BF442" si="168">LOG(BE379)</f>
        <v>2.1774830581674243</v>
      </c>
      <c r="BG379" s="8">
        <f t="shared" ref="BG379:BG437" si="169">LOG(BD379)</f>
        <v>1.6088468223264116</v>
      </c>
      <c r="BH379" s="2" t="s">
        <v>841</v>
      </c>
      <c r="BI379" s="2"/>
      <c r="BJ379" s="2"/>
      <c r="BK379" s="2"/>
      <c r="BL379" s="2"/>
      <c r="BM379" s="20"/>
      <c r="BN379" s="20"/>
      <c r="BO379" s="2"/>
    </row>
    <row r="380" spans="1:67" s="14" customFormat="1" x14ac:dyDescent="0.3">
      <c r="A380" s="20">
        <v>386</v>
      </c>
      <c r="B380" s="2" t="s">
        <v>200</v>
      </c>
      <c r="C380" s="2">
        <v>2021</v>
      </c>
      <c r="D380" s="2" t="s">
        <v>201</v>
      </c>
      <c r="E380" s="10" t="s">
        <v>794</v>
      </c>
      <c r="F380" s="20" t="s">
        <v>29</v>
      </c>
      <c r="G380" s="2" t="s">
        <v>35</v>
      </c>
      <c r="H380" s="2" t="str">
        <f>'PFAS Properties'!$B$33</f>
        <v>PFOA</v>
      </c>
      <c r="I380" s="2" t="str">
        <f>'PFAS Properties'!$C$33</f>
        <v>PFCA</v>
      </c>
      <c r="J380" s="2" t="str">
        <f>'PFAS Properties'!$D$33</f>
        <v>C8HF15O2</v>
      </c>
      <c r="K380" s="25">
        <f>'PFAS Properties'!$P$33</f>
        <v>413.97359999999998</v>
      </c>
      <c r="L380" s="2">
        <f>'PFAS Properties'!$X$33</f>
        <v>-0.2</v>
      </c>
      <c r="M380" s="2" t="str">
        <f>'PFAS Properties'!$Y$33</f>
        <v>-</v>
      </c>
      <c r="N380" s="33">
        <v>0</v>
      </c>
      <c r="O380" s="33">
        <v>0</v>
      </c>
      <c r="P380" s="33">
        <v>0</v>
      </c>
      <c r="Q380" s="33">
        <f t="shared" si="149"/>
        <v>0.99999874107617315</v>
      </c>
      <c r="R380" s="33">
        <v>0</v>
      </c>
      <c r="S380" s="33">
        <f t="shared" si="150"/>
        <v>1.2589238269029671E-6</v>
      </c>
      <c r="T380" s="8">
        <f t="shared" si="151"/>
        <v>1</v>
      </c>
      <c r="U380" s="33">
        <f t="shared" si="161"/>
        <v>0</v>
      </c>
      <c r="V380" s="33">
        <f t="shared" si="162"/>
        <v>-0.99999874107617315</v>
      </c>
      <c r="W380" s="33">
        <f t="shared" si="163"/>
        <v>412.97360125892379</v>
      </c>
      <c r="X380" s="33">
        <v>96485</v>
      </c>
      <c r="Y380" s="16">
        <f t="shared" si="164"/>
        <v>-233.63449440498505</v>
      </c>
      <c r="Z380" s="16">
        <v>8</v>
      </c>
      <c r="AA380" s="16">
        <v>15</v>
      </c>
      <c r="AB380" s="8">
        <f t="shared" si="165"/>
        <v>0.33684210526315789</v>
      </c>
      <c r="AC380" s="16">
        <f t="shared" si="166"/>
        <v>68.844969824162703</v>
      </c>
      <c r="AD380" s="20">
        <f>'PFAS Properties'!$W$33</f>
        <v>7</v>
      </c>
      <c r="AE380" s="8">
        <f>'PFAS Properties'!$S$33</f>
        <v>2.6821450763738319</v>
      </c>
      <c r="AF380" s="15">
        <f>'PFAS Properties'!$V$33</f>
        <v>4.9000000000000004</v>
      </c>
      <c r="AG380" s="24">
        <v>5.7</v>
      </c>
      <c r="AH380" s="2" t="s">
        <v>834</v>
      </c>
      <c r="AI380" s="15">
        <v>12.358000000000001</v>
      </c>
      <c r="AJ380" s="16">
        <f t="shared" si="153"/>
        <v>221.29107350702839</v>
      </c>
      <c r="AK380" s="8">
        <f t="shared" si="154"/>
        <v>1.2358</v>
      </c>
      <c r="AL380" s="15">
        <v>1.0269999999999999</v>
      </c>
      <c r="AM380" s="16">
        <f t="shared" si="155"/>
        <v>38.065233506300963</v>
      </c>
      <c r="AN380" s="8">
        <f t="shared" si="156"/>
        <v>0.10269999999999999</v>
      </c>
      <c r="AO380" s="15" t="s">
        <v>31</v>
      </c>
      <c r="AP380" s="16">
        <v>103</v>
      </c>
      <c r="AQ380" s="16" t="s">
        <v>689</v>
      </c>
      <c r="AR380" s="16">
        <v>35</v>
      </c>
      <c r="AS380" s="16">
        <v>63</v>
      </c>
      <c r="AT380" s="16">
        <v>2</v>
      </c>
      <c r="AU380" s="16" t="s">
        <v>664</v>
      </c>
      <c r="AV380" s="16">
        <f t="shared" si="157"/>
        <v>100</v>
      </c>
      <c r="AW380" s="18">
        <v>32</v>
      </c>
      <c r="AX380" s="13">
        <f t="shared" si="158"/>
        <v>0.32</v>
      </c>
      <c r="AY380" s="8" t="s">
        <v>32</v>
      </c>
      <c r="AZ380" s="16">
        <f t="shared" si="160"/>
        <v>100</v>
      </c>
      <c r="BA380" s="16" t="s">
        <v>55</v>
      </c>
      <c r="BB380" s="16">
        <v>150</v>
      </c>
      <c r="BC380" s="16" t="s">
        <v>55</v>
      </c>
      <c r="BD380" s="18">
        <v>26.1</v>
      </c>
      <c r="BE380" s="15">
        <f t="shared" si="167"/>
        <v>81.5625</v>
      </c>
      <c r="BF380" s="8">
        <f t="shared" si="168"/>
        <v>1.911490529018375</v>
      </c>
      <c r="BG380" s="8">
        <f t="shared" si="169"/>
        <v>1.4166405073382811</v>
      </c>
      <c r="BH380" s="2" t="s">
        <v>841</v>
      </c>
      <c r="BI380" s="2"/>
      <c r="BJ380" s="2"/>
      <c r="BK380" s="2"/>
      <c r="BL380" s="2"/>
      <c r="BM380" s="20"/>
      <c r="BN380" s="20"/>
      <c r="BO380" s="2"/>
    </row>
    <row r="381" spans="1:67" s="14" customFormat="1" x14ac:dyDescent="0.3">
      <c r="A381" s="20">
        <v>387</v>
      </c>
      <c r="B381" s="2" t="s">
        <v>200</v>
      </c>
      <c r="C381" s="2">
        <v>2021</v>
      </c>
      <c r="D381" s="2" t="s">
        <v>201</v>
      </c>
      <c r="E381" s="10" t="s">
        <v>794</v>
      </c>
      <c r="F381" s="20" t="s">
        <v>29</v>
      </c>
      <c r="G381" s="2" t="s">
        <v>36</v>
      </c>
      <c r="H381" s="2" t="str">
        <f>'PFAS Properties'!$B$33</f>
        <v>PFOA</v>
      </c>
      <c r="I381" s="2" t="str">
        <f>'PFAS Properties'!$C$33</f>
        <v>PFCA</v>
      </c>
      <c r="J381" s="2" t="str">
        <f>'PFAS Properties'!$D$33</f>
        <v>C8HF15O2</v>
      </c>
      <c r="K381" s="25">
        <f>'PFAS Properties'!$P$33</f>
        <v>413.97359999999998</v>
      </c>
      <c r="L381" s="2">
        <f>'PFAS Properties'!$X$33</f>
        <v>-0.2</v>
      </c>
      <c r="M381" s="2" t="str">
        <f>'PFAS Properties'!$Y$33</f>
        <v>-</v>
      </c>
      <c r="N381" s="33">
        <v>0</v>
      </c>
      <c r="O381" s="33">
        <v>0</v>
      </c>
      <c r="P381" s="33">
        <v>0</v>
      </c>
      <c r="Q381" s="33">
        <f t="shared" si="149"/>
        <v>0.99999874107617315</v>
      </c>
      <c r="R381" s="33">
        <v>0</v>
      </c>
      <c r="S381" s="33">
        <f t="shared" si="150"/>
        <v>1.2589238269029671E-6</v>
      </c>
      <c r="T381" s="8">
        <f t="shared" si="151"/>
        <v>1</v>
      </c>
      <c r="U381" s="33">
        <f t="shared" si="161"/>
        <v>0</v>
      </c>
      <c r="V381" s="33">
        <f t="shared" si="162"/>
        <v>-0.99999874107617315</v>
      </c>
      <c r="W381" s="33">
        <f t="shared" si="163"/>
        <v>412.97360125892379</v>
      </c>
      <c r="X381" s="33">
        <v>96485</v>
      </c>
      <c r="Y381" s="16">
        <f t="shared" si="164"/>
        <v>-233.63449440498505</v>
      </c>
      <c r="Z381" s="16">
        <v>8</v>
      </c>
      <c r="AA381" s="16">
        <v>15</v>
      </c>
      <c r="AB381" s="8">
        <f t="shared" si="165"/>
        <v>0.33684210526315789</v>
      </c>
      <c r="AC381" s="16">
        <f t="shared" si="166"/>
        <v>68.844969824162703</v>
      </c>
      <c r="AD381" s="20">
        <f>'PFAS Properties'!$W$33</f>
        <v>7</v>
      </c>
      <c r="AE381" s="8">
        <f>'PFAS Properties'!$S$33</f>
        <v>2.6821450763738319</v>
      </c>
      <c r="AF381" s="15">
        <f>'PFAS Properties'!$V$33</f>
        <v>4.9000000000000004</v>
      </c>
      <c r="AG381" s="24">
        <v>5.7</v>
      </c>
      <c r="AH381" s="2" t="s">
        <v>834</v>
      </c>
      <c r="AI381" s="15">
        <v>10.64</v>
      </c>
      <c r="AJ381" s="16">
        <f t="shared" si="153"/>
        <v>190.52735249350883</v>
      </c>
      <c r="AK381" s="8">
        <f t="shared" si="154"/>
        <v>1.0640000000000001</v>
      </c>
      <c r="AL381" s="15">
        <v>0.16700000000000001</v>
      </c>
      <c r="AM381" s="16">
        <f t="shared" si="155"/>
        <v>6.1897702001482582</v>
      </c>
      <c r="AN381" s="8">
        <f t="shared" si="156"/>
        <v>1.67E-2</v>
      </c>
      <c r="AO381" s="15" t="s">
        <v>31</v>
      </c>
      <c r="AP381" s="16">
        <v>140</v>
      </c>
      <c r="AQ381" s="16" t="s">
        <v>689</v>
      </c>
      <c r="AR381" s="16">
        <v>20.7</v>
      </c>
      <c r="AS381" s="16">
        <v>78</v>
      </c>
      <c r="AT381" s="16">
        <v>1.3</v>
      </c>
      <c r="AU381" s="16" t="s">
        <v>664</v>
      </c>
      <c r="AV381" s="16">
        <f t="shared" si="157"/>
        <v>100</v>
      </c>
      <c r="AW381" s="18">
        <v>39</v>
      </c>
      <c r="AX381" s="13">
        <f t="shared" si="158"/>
        <v>0.39</v>
      </c>
      <c r="AY381" s="8" t="s">
        <v>32</v>
      </c>
      <c r="AZ381" s="16">
        <f t="shared" si="160"/>
        <v>100</v>
      </c>
      <c r="BA381" s="16" t="s">
        <v>55</v>
      </c>
      <c r="BB381" s="16">
        <v>150</v>
      </c>
      <c r="BC381" s="16" t="s">
        <v>55</v>
      </c>
      <c r="BD381" s="18">
        <v>26.77</v>
      </c>
      <c r="BE381" s="15">
        <f t="shared" si="167"/>
        <v>68.641025641025635</v>
      </c>
      <c r="BF381" s="8">
        <f t="shared" si="168"/>
        <v>1.8365837641604335</v>
      </c>
      <c r="BG381" s="8">
        <f t="shared" si="169"/>
        <v>1.4276483711869326</v>
      </c>
      <c r="BH381" s="2" t="s">
        <v>841</v>
      </c>
      <c r="BI381" s="2"/>
      <c r="BJ381" s="2"/>
      <c r="BK381" s="2"/>
      <c r="BL381" s="2"/>
      <c r="BM381" s="20"/>
      <c r="BN381" s="20"/>
      <c r="BO381" s="2"/>
    </row>
    <row r="382" spans="1:67" s="14" customFormat="1" x14ac:dyDescent="0.3">
      <c r="A382" s="20">
        <v>388</v>
      </c>
      <c r="B382" s="2" t="s">
        <v>200</v>
      </c>
      <c r="C382" s="2">
        <v>2021</v>
      </c>
      <c r="D382" s="2" t="s">
        <v>201</v>
      </c>
      <c r="E382" s="10" t="s">
        <v>794</v>
      </c>
      <c r="F382" s="20" t="s">
        <v>29</v>
      </c>
      <c r="G382" s="2" t="s">
        <v>38</v>
      </c>
      <c r="H382" s="2" t="str">
        <f>'PFAS Properties'!$B$33</f>
        <v>PFOA</v>
      </c>
      <c r="I382" s="2" t="str">
        <f>'PFAS Properties'!$C$33</f>
        <v>PFCA</v>
      </c>
      <c r="J382" s="2" t="str">
        <f>'PFAS Properties'!$D$33</f>
        <v>C8HF15O2</v>
      </c>
      <c r="K382" s="25">
        <f>'PFAS Properties'!$P$33</f>
        <v>413.97359999999998</v>
      </c>
      <c r="L382" s="2">
        <f>'PFAS Properties'!$X$33</f>
        <v>-0.2</v>
      </c>
      <c r="M382" s="2" t="str">
        <f>'PFAS Properties'!$Y$33</f>
        <v>-</v>
      </c>
      <c r="N382" s="33">
        <v>0</v>
      </c>
      <c r="O382" s="33">
        <v>0</v>
      </c>
      <c r="P382" s="33">
        <v>0</v>
      </c>
      <c r="Q382" s="33">
        <f t="shared" si="149"/>
        <v>0.99999874107617315</v>
      </c>
      <c r="R382" s="33">
        <v>0</v>
      </c>
      <c r="S382" s="33">
        <f t="shared" si="150"/>
        <v>1.2589238269029671E-6</v>
      </c>
      <c r="T382" s="8">
        <f t="shared" si="151"/>
        <v>1</v>
      </c>
      <c r="U382" s="33">
        <f t="shared" si="161"/>
        <v>0</v>
      </c>
      <c r="V382" s="33">
        <f t="shared" si="162"/>
        <v>-0.99999874107617315</v>
      </c>
      <c r="W382" s="33">
        <f t="shared" si="163"/>
        <v>412.97360125892379</v>
      </c>
      <c r="X382" s="33">
        <v>96485</v>
      </c>
      <c r="Y382" s="16">
        <f t="shared" si="164"/>
        <v>-233.63449440498505</v>
      </c>
      <c r="Z382" s="16">
        <v>8</v>
      </c>
      <c r="AA382" s="16">
        <v>15</v>
      </c>
      <c r="AB382" s="8">
        <f t="shared" si="165"/>
        <v>0.33684210526315789</v>
      </c>
      <c r="AC382" s="16">
        <f t="shared" si="166"/>
        <v>68.844969824162703</v>
      </c>
      <c r="AD382" s="20">
        <f>'PFAS Properties'!$W$33</f>
        <v>7</v>
      </c>
      <c r="AE382" s="8">
        <f>'PFAS Properties'!$S$33</f>
        <v>2.6821450763738319</v>
      </c>
      <c r="AF382" s="15">
        <f>'PFAS Properties'!$V$33</f>
        <v>4.9000000000000004</v>
      </c>
      <c r="AG382" s="24">
        <v>5.7</v>
      </c>
      <c r="AH382" s="2" t="s">
        <v>834</v>
      </c>
      <c r="AI382" s="15">
        <v>19.667999999999999</v>
      </c>
      <c r="AJ382" s="16">
        <f t="shared" si="153"/>
        <v>352.18909481600861</v>
      </c>
      <c r="AK382" s="8">
        <f t="shared" si="154"/>
        <v>1.9667999999999999</v>
      </c>
      <c r="AL382" s="15">
        <v>0.48099999999999998</v>
      </c>
      <c r="AM382" s="16">
        <f t="shared" si="155"/>
        <v>17.828020756115642</v>
      </c>
      <c r="AN382" s="8">
        <f t="shared" si="156"/>
        <v>4.8099999999999997E-2</v>
      </c>
      <c r="AO382" s="15" t="s">
        <v>31</v>
      </c>
      <c r="AP382" s="16">
        <v>114</v>
      </c>
      <c r="AQ382" s="16" t="s">
        <v>689</v>
      </c>
      <c r="AR382" s="16">
        <v>20</v>
      </c>
      <c r="AS382" s="16">
        <v>78.900000000000006</v>
      </c>
      <c r="AT382" s="16">
        <v>1.1000000000000001</v>
      </c>
      <c r="AU382" s="16" t="s">
        <v>664</v>
      </c>
      <c r="AV382" s="16">
        <f t="shared" si="157"/>
        <v>100</v>
      </c>
      <c r="AW382" s="18">
        <v>41</v>
      </c>
      <c r="AX382" s="13">
        <f t="shared" si="158"/>
        <v>0.41</v>
      </c>
      <c r="AY382" s="8" t="s">
        <v>32</v>
      </c>
      <c r="AZ382" s="16">
        <f t="shared" si="160"/>
        <v>100</v>
      </c>
      <c r="BA382" s="16" t="s">
        <v>55</v>
      </c>
      <c r="BB382" s="16">
        <v>150</v>
      </c>
      <c r="BC382" s="16" t="s">
        <v>55</v>
      </c>
      <c r="BD382" s="18">
        <v>36.590000000000003</v>
      </c>
      <c r="BE382" s="15">
        <f t="shared" si="167"/>
        <v>89.24390243902441</v>
      </c>
      <c r="BF382" s="8">
        <f t="shared" si="168"/>
        <v>1.9505785527668722</v>
      </c>
      <c r="BG382" s="8">
        <f t="shared" si="169"/>
        <v>1.5633624094866074</v>
      </c>
      <c r="BH382" s="2" t="s">
        <v>841</v>
      </c>
      <c r="BI382" s="2"/>
      <c r="BJ382" s="2"/>
      <c r="BK382" s="2"/>
      <c r="BL382" s="2"/>
      <c r="BM382" s="20"/>
      <c r="BN382" s="20"/>
      <c r="BO382" s="2"/>
    </row>
    <row r="383" spans="1:67" s="14" customFormat="1" x14ac:dyDescent="0.3">
      <c r="A383" s="20">
        <v>389</v>
      </c>
      <c r="B383" s="2" t="s">
        <v>207</v>
      </c>
      <c r="C383" s="2">
        <v>2015</v>
      </c>
      <c r="D383" s="2" t="s">
        <v>201</v>
      </c>
      <c r="E383" s="10" t="s">
        <v>810</v>
      </c>
      <c r="F383" s="20" t="s">
        <v>29</v>
      </c>
      <c r="G383" s="2" t="s">
        <v>51</v>
      </c>
      <c r="H383" s="2" t="str">
        <f>'PFAS Properties'!$B$33</f>
        <v>PFOA</v>
      </c>
      <c r="I383" s="2" t="str">
        <f>'PFAS Properties'!$C$33</f>
        <v>PFCA</v>
      </c>
      <c r="J383" s="2" t="str">
        <f>'PFAS Properties'!$D$33</f>
        <v>C8HF15O2</v>
      </c>
      <c r="K383" s="25">
        <f>'PFAS Properties'!$P$33</f>
        <v>413.97359999999998</v>
      </c>
      <c r="L383" s="2">
        <f>'PFAS Properties'!$X$33</f>
        <v>-0.2</v>
      </c>
      <c r="M383" s="2" t="str">
        <f>'PFAS Properties'!$Y$33</f>
        <v>-</v>
      </c>
      <c r="N383" s="33">
        <v>0</v>
      </c>
      <c r="O383" s="33">
        <v>0</v>
      </c>
      <c r="P383" s="33">
        <v>0</v>
      </c>
      <c r="Q383" s="33">
        <f t="shared" si="149"/>
        <v>0.99999999748811352</v>
      </c>
      <c r="R383" s="33">
        <v>0</v>
      </c>
      <c r="S383" s="33">
        <f t="shared" si="150"/>
        <v>2.5118864252000079E-9</v>
      </c>
      <c r="T383" s="8">
        <f t="shared" si="151"/>
        <v>1</v>
      </c>
      <c r="U383" s="33">
        <f t="shared" si="161"/>
        <v>0</v>
      </c>
      <c r="V383" s="33">
        <f t="shared" si="162"/>
        <v>-0.99999999748811352</v>
      </c>
      <c r="W383" s="33">
        <f t="shared" si="163"/>
        <v>412.97360000251183</v>
      </c>
      <c r="X383" s="33">
        <v>96485</v>
      </c>
      <c r="Y383" s="16">
        <f t="shared" si="164"/>
        <v>-233.63478865732284</v>
      </c>
      <c r="Z383" s="16">
        <v>8</v>
      </c>
      <c r="AA383" s="16">
        <v>15</v>
      </c>
      <c r="AB383" s="8">
        <f t="shared" si="165"/>
        <v>0.33684210526315789</v>
      </c>
      <c r="AC383" s="16">
        <f t="shared" si="166"/>
        <v>68.844969824162703</v>
      </c>
      <c r="AD383" s="20">
        <f>'PFAS Properties'!$W$33</f>
        <v>7</v>
      </c>
      <c r="AE383" s="8">
        <f>'PFAS Properties'!$S$33</f>
        <v>2.6821450763738319</v>
      </c>
      <c r="AF383" s="15">
        <f>'PFAS Properties'!$V$33</f>
        <v>4.9000000000000004</v>
      </c>
      <c r="AG383" s="24">
        <v>8.4</v>
      </c>
      <c r="AH383" s="2" t="s">
        <v>834</v>
      </c>
      <c r="AI383" s="2">
        <v>0.40699999999999997</v>
      </c>
      <c r="AJ383" s="15">
        <f t="shared" si="153"/>
        <v>7.2880293669979412</v>
      </c>
      <c r="AK383" s="8">
        <f t="shared" si="154"/>
        <v>4.07E-2</v>
      </c>
      <c r="AL383" s="2">
        <v>0.504</v>
      </c>
      <c r="AM383" s="15">
        <f t="shared" si="155"/>
        <v>18.680504077094145</v>
      </c>
      <c r="AN383" s="8">
        <f t="shared" si="156"/>
        <v>5.04E-2</v>
      </c>
      <c r="AO383" s="15" t="s">
        <v>31</v>
      </c>
      <c r="AP383" s="16">
        <v>42.8</v>
      </c>
      <c r="AQ383" s="16" t="s">
        <v>689</v>
      </c>
      <c r="AR383" s="2">
        <v>18.5</v>
      </c>
      <c r="AS383" s="2">
        <v>64.599999999999994</v>
      </c>
      <c r="AT383" s="2">
        <v>16.899999999999999</v>
      </c>
      <c r="AU383" s="16" t="s">
        <v>664</v>
      </c>
      <c r="AV383" s="16">
        <f t="shared" si="157"/>
        <v>100</v>
      </c>
      <c r="AW383" s="18">
        <v>0.2</v>
      </c>
      <c r="AX383" s="13">
        <f t="shared" si="158"/>
        <v>2E-3</v>
      </c>
      <c r="AY383" s="8" t="s">
        <v>32</v>
      </c>
      <c r="AZ383" s="16">
        <f t="shared" si="160"/>
        <v>100</v>
      </c>
      <c r="BA383" s="16" t="s">
        <v>55</v>
      </c>
      <c r="BB383" s="16">
        <v>1</v>
      </c>
      <c r="BC383" s="16">
        <v>300</v>
      </c>
      <c r="BD383" s="18">
        <v>2.2000000000000002</v>
      </c>
      <c r="BE383" s="15">
        <f t="shared" si="167"/>
        <v>1100</v>
      </c>
      <c r="BF383" s="8">
        <f t="shared" si="168"/>
        <v>3.0413926851582249</v>
      </c>
      <c r="BG383" s="8">
        <f t="shared" si="169"/>
        <v>0.34242268082220628</v>
      </c>
      <c r="BH383" s="2" t="s">
        <v>837</v>
      </c>
      <c r="BI383" s="15"/>
      <c r="BJ383" s="13"/>
      <c r="BK383" s="15"/>
      <c r="BL383" s="16"/>
      <c r="BM383" s="18"/>
      <c r="BN383" s="8"/>
      <c r="BO383" s="24"/>
    </row>
    <row r="384" spans="1:67" s="14" customFormat="1" x14ac:dyDescent="0.3">
      <c r="A384" s="20">
        <v>390</v>
      </c>
      <c r="B384" s="2" t="s">
        <v>207</v>
      </c>
      <c r="C384" s="2">
        <v>2015</v>
      </c>
      <c r="D384" s="2" t="s">
        <v>201</v>
      </c>
      <c r="E384" s="10" t="s">
        <v>810</v>
      </c>
      <c r="F384" s="20" t="s">
        <v>29</v>
      </c>
      <c r="G384" s="2" t="s">
        <v>30</v>
      </c>
      <c r="H384" s="2" t="str">
        <f>'PFAS Properties'!$B$33</f>
        <v>PFOA</v>
      </c>
      <c r="I384" s="2" t="str">
        <f>'PFAS Properties'!$C$33</f>
        <v>PFCA</v>
      </c>
      <c r="J384" s="2" t="str">
        <f>'PFAS Properties'!$D$33</f>
        <v>C8HF15O2</v>
      </c>
      <c r="K384" s="25">
        <f>'PFAS Properties'!$P$33</f>
        <v>413.97359999999998</v>
      </c>
      <c r="L384" s="2">
        <f>'PFAS Properties'!$X$33</f>
        <v>-0.2</v>
      </c>
      <c r="M384" s="2" t="str">
        <f>'PFAS Properties'!$Y$33</f>
        <v>-</v>
      </c>
      <c r="N384" s="33">
        <v>0</v>
      </c>
      <c r="O384" s="33">
        <v>0</v>
      </c>
      <c r="P384" s="33">
        <v>0</v>
      </c>
      <c r="Q384" s="33">
        <f t="shared" si="149"/>
        <v>0.99999800474166611</v>
      </c>
      <c r="R384" s="33">
        <v>0</v>
      </c>
      <c r="S384" s="33">
        <f t="shared" si="150"/>
        <v>1.9952583339051124E-6</v>
      </c>
      <c r="T384" s="8">
        <f t="shared" si="151"/>
        <v>1</v>
      </c>
      <c r="U384" s="33">
        <f t="shared" si="161"/>
        <v>0</v>
      </c>
      <c r="V384" s="33">
        <f t="shared" si="162"/>
        <v>-0.99999800474166611</v>
      </c>
      <c r="W384" s="33">
        <f t="shared" si="163"/>
        <v>412.97360199525832</v>
      </c>
      <c r="X384" s="33">
        <v>96485</v>
      </c>
      <c r="Y384" s="16">
        <f t="shared" si="164"/>
        <v>-233.63432195505678</v>
      </c>
      <c r="Z384" s="16">
        <v>8</v>
      </c>
      <c r="AA384" s="16">
        <v>15</v>
      </c>
      <c r="AB384" s="8">
        <f t="shared" si="165"/>
        <v>0.33684210526315789</v>
      </c>
      <c r="AC384" s="16">
        <f t="shared" si="166"/>
        <v>68.844969824162703</v>
      </c>
      <c r="AD384" s="20">
        <f>'PFAS Properties'!$W$33</f>
        <v>7</v>
      </c>
      <c r="AE384" s="8">
        <f>'PFAS Properties'!$S$33</f>
        <v>2.6821450763738319</v>
      </c>
      <c r="AF384" s="15">
        <f>'PFAS Properties'!$V$33</f>
        <v>4.9000000000000004</v>
      </c>
      <c r="AG384" s="24">
        <v>5.5</v>
      </c>
      <c r="AH384" s="2" t="s">
        <v>834</v>
      </c>
      <c r="AI384" s="15">
        <v>1.0129999999999999</v>
      </c>
      <c r="AJ384" s="15">
        <f t="shared" si="153"/>
        <v>18.13949324021846</v>
      </c>
      <c r="AK384" s="15">
        <f t="shared" si="154"/>
        <v>0.10129999999999999</v>
      </c>
      <c r="AL384" s="15">
        <v>0.40400000000000003</v>
      </c>
      <c r="AM384" s="15">
        <f t="shared" si="155"/>
        <v>14.974054855448481</v>
      </c>
      <c r="AN384" s="15">
        <f t="shared" si="156"/>
        <v>4.0400000000000005E-2</v>
      </c>
      <c r="AO384" s="2" t="s">
        <v>31</v>
      </c>
      <c r="AP384" s="16">
        <v>23.4</v>
      </c>
      <c r="AQ384" s="16" t="s">
        <v>689</v>
      </c>
      <c r="AR384" s="2">
        <v>54.4</v>
      </c>
      <c r="AS384" s="2">
        <v>35</v>
      </c>
      <c r="AT384" s="2">
        <v>10.6</v>
      </c>
      <c r="AU384" s="16" t="s">
        <v>664</v>
      </c>
      <c r="AV384" s="16">
        <f t="shared" si="157"/>
        <v>100</v>
      </c>
      <c r="AW384" s="18">
        <v>1.6</v>
      </c>
      <c r="AX384" s="13">
        <f t="shared" si="158"/>
        <v>1.6E-2</v>
      </c>
      <c r="AY384" s="8" t="s">
        <v>32</v>
      </c>
      <c r="AZ384" s="16">
        <f t="shared" si="160"/>
        <v>100</v>
      </c>
      <c r="BA384" s="16" t="s">
        <v>55</v>
      </c>
      <c r="BB384" s="16">
        <v>1</v>
      </c>
      <c r="BC384" s="16">
        <v>300</v>
      </c>
      <c r="BD384" s="18">
        <v>2.6</v>
      </c>
      <c r="BE384" s="15">
        <f t="shared" si="167"/>
        <v>162.5</v>
      </c>
      <c r="BF384" s="8">
        <f t="shared" si="168"/>
        <v>2.2108533653148932</v>
      </c>
      <c r="BG384" s="8">
        <f t="shared" si="169"/>
        <v>0.41497334797081797</v>
      </c>
      <c r="BH384" s="2" t="s">
        <v>837</v>
      </c>
      <c r="BI384" s="15"/>
      <c r="BJ384" s="13"/>
      <c r="BK384" s="15"/>
      <c r="BL384" s="16"/>
      <c r="BM384" s="18"/>
      <c r="BN384" s="8"/>
      <c r="BO384" s="24"/>
    </row>
    <row r="385" spans="1:67" s="14" customFormat="1" x14ac:dyDescent="0.3">
      <c r="A385" s="20">
        <v>391</v>
      </c>
      <c r="B385" s="2" t="s">
        <v>207</v>
      </c>
      <c r="C385" s="2">
        <v>2015</v>
      </c>
      <c r="D385" s="2" t="s">
        <v>201</v>
      </c>
      <c r="E385" s="10" t="s">
        <v>810</v>
      </c>
      <c r="F385" s="20" t="s">
        <v>29</v>
      </c>
      <c r="G385" s="2" t="s">
        <v>56</v>
      </c>
      <c r="H385" s="2" t="str">
        <f>'PFAS Properties'!$B$33</f>
        <v>PFOA</v>
      </c>
      <c r="I385" s="2" t="str">
        <f>'PFAS Properties'!$C$33</f>
        <v>PFCA</v>
      </c>
      <c r="J385" s="2" t="str">
        <f>'PFAS Properties'!$D$33</f>
        <v>C8HF15O2</v>
      </c>
      <c r="K385" s="25">
        <f>'PFAS Properties'!$P$33</f>
        <v>413.97359999999998</v>
      </c>
      <c r="L385" s="2">
        <f>'PFAS Properties'!$X$33</f>
        <v>-0.2</v>
      </c>
      <c r="M385" s="2" t="str">
        <f>'PFAS Properties'!$Y$33</f>
        <v>-</v>
      </c>
      <c r="N385" s="33">
        <v>0</v>
      </c>
      <c r="O385" s="33">
        <v>0</v>
      </c>
      <c r="P385" s="33">
        <v>0</v>
      </c>
      <c r="Q385" s="33">
        <f t="shared" si="149"/>
        <v>0.9999992056723962</v>
      </c>
      <c r="R385" s="33">
        <v>0</v>
      </c>
      <c r="S385" s="33">
        <f t="shared" si="150"/>
        <v>7.9432760376743655E-7</v>
      </c>
      <c r="T385" s="8">
        <f t="shared" si="151"/>
        <v>1</v>
      </c>
      <c r="U385" s="33">
        <f t="shared" si="161"/>
        <v>0</v>
      </c>
      <c r="V385" s="33">
        <f t="shared" si="162"/>
        <v>-0.9999992056723962</v>
      </c>
      <c r="W385" s="33">
        <f t="shared" si="163"/>
        <v>412.97360079432758</v>
      </c>
      <c r="X385" s="33">
        <v>96485</v>
      </c>
      <c r="Y385" s="16">
        <f t="shared" si="164"/>
        <v>-233.63460321366483</v>
      </c>
      <c r="Z385" s="16">
        <v>8</v>
      </c>
      <c r="AA385" s="16">
        <v>15</v>
      </c>
      <c r="AB385" s="8">
        <f t="shared" si="165"/>
        <v>0.33684210526315789</v>
      </c>
      <c r="AC385" s="16">
        <f t="shared" si="166"/>
        <v>68.844969824162703</v>
      </c>
      <c r="AD385" s="20">
        <f>'PFAS Properties'!$W$33</f>
        <v>7</v>
      </c>
      <c r="AE385" s="8">
        <f>'PFAS Properties'!$S$33</f>
        <v>2.6821450763738319</v>
      </c>
      <c r="AF385" s="15">
        <f>'PFAS Properties'!$V$33</f>
        <v>4.9000000000000004</v>
      </c>
      <c r="AG385" s="24">
        <v>5.9</v>
      </c>
      <c r="AH385" s="2" t="s">
        <v>834</v>
      </c>
      <c r="AI385" s="2">
        <v>0.13800000000000001</v>
      </c>
      <c r="AJ385" s="15">
        <f t="shared" si="153"/>
        <v>2.4711254364759605</v>
      </c>
      <c r="AK385" s="8">
        <f t="shared" si="154"/>
        <v>1.3800000000000002E-2</v>
      </c>
      <c r="AL385" s="2">
        <v>0.32500000000000001</v>
      </c>
      <c r="AM385" s="15">
        <f t="shared" si="155"/>
        <v>12.045959970348406</v>
      </c>
      <c r="AN385" s="8">
        <f t="shared" si="156"/>
        <v>3.2500000000000001E-2</v>
      </c>
      <c r="AO385" s="15" t="s">
        <v>31</v>
      </c>
      <c r="AP385" s="16">
        <v>72.400000000000006</v>
      </c>
      <c r="AQ385" s="16" t="s">
        <v>689</v>
      </c>
      <c r="AR385" s="2">
        <v>73.400000000000006</v>
      </c>
      <c r="AS385" s="2">
        <v>16.8</v>
      </c>
      <c r="AT385" s="2">
        <v>9.8000000000000007</v>
      </c>
      <c r="AU385" s="16" t="s">
        <v>664</v>
      </c>
      <c r="AV385" s="16">
        <f t="shared" si="157"/>
        <v>100</v>
      </c>
      <c r="AW385" s="18">
        <v>3.9</v>
      </c>
      <c r="AX385" s="13">
        <f t="shared" si="158"/>
        <v>3.9E-2</v>
      </c>
      <c r="AY385" s="8" t="s">
        <v>32</v>
      </c>
      <c r="AZ385" s="16">
        <f t="shared" si="160"/>
        <v>100</v>
      </c>
      <c r="BA385" s="16" t="s">
        <v>55</v>
      </c>
      <c r="BB385" s="16">
        <v>1</v>
      </c>
      <c r="BC385" s="16">
        <v>300</v>
      </c>
      <c r="BD385" s="18">
        <v>2.7</v>
      </c>
      <c r="BE385" s="15">
        <f t="shared" si="167"/>
        <v>69.230769230769241</v>
      </c>
      <c r="BF385" s="8">
        <f t="shared" si="168"/>
        <v>1.8402991571324883</v>
      </c>
      <c r="BG385" s="8">
        <f t="shared" si="169"/>
        <v>0.43136376415898736</v>
      </c>
      <c r="BH385" s="2" t="s">
        <v>837</v>
      </c>
      <c r="BI385" s="15"/>
      <c r="BJ385" s="13"/>
      <c r="BK385" s="15"/>
      <c r="BL385" s="16"/>
      <c r="BM385" s="18"/>
      <c r="BN385" s="8"/>
      <c r="BO385" s="24"/>
    </row>
    <row r="386" spans="1:67" s="14" customFormat="1" x14ac:dyDescent="0.3">
      <c r="A386" s="20">
        <v>392</v>
      </c>
      <c r="B386" s="2" t="s">
        <v>207</v>
      </c>
      <c r="C386" s="2">
        <v>2015</v>
      </c>
      <c r="D386" s="2" t="s">
        <v>201</v>
      </c>
      <c r="E386" s="10" t="s">
        <v>810</v>
      </c>
      <c r="F386" s="20" t="s">
        <v>29</v>
      </c>
      <c r="G386" s="2" t="s">
        <v>33</v>
      </c>
      <c r="H386" s="2" t="str">
        <f>'PFAS Properties'!$B$33</f>
        <v>PFOA</v>
      </c>
      <c r="I386" s="2" t="str">
        <f>'PFAS Properties'!$C$33</f>
        <v>PFCA</v>
      </c>
      <c r="J386" s="2" t="str">
        <f>'PFAS Properties'!$D$33</f>
        <v>C8HF15O2</v>
      </c>
      <c r="K386" s="25">
        <f>'PFAS Properties'!$P$33</f>
        <v>413.97359999999998</v>
      </c>
      <c r="L386" s="2">
        <f>'PFAS Properties'!$X$33</f>
        <v>-0.2</v>
      </c>
      <c r="M386" s="2" t="str">
        <f>'PFAS Properties'!$Y$33</f>
        <v>-</v>
      </c>
      <c r="N386" s="33">
        <v>0</v>
      </c>
      <c r="O386" s="33">
        <v>0</v>
      </c>
      <c r="P386" s="33">
        <v>0</v>
      </c>
      <c r="Q386" s="33">
        <f t="shared" si="149"/>
        <v>0.99999999369042658</v>
      </c>
      <c r="R386" s="33">
        <v>0</v>
      </c>
      <c r="S386" s="33">
        <f t="shared" si="150"/>
        <v>6.3095734049912165E-9</v>
      </c>
      <c r="T386" s="8">
        <f t="shared" si="151"/>
        <v>1</v>
      </c>
      <c r="U386" s="33">
        <f t="shared" si="161"/>
        <v>0</v>
      </c>
      <c r="V386" s="33">
        <f t="shared" si="162"/>
        <v>-0.99999999369042658</v>
      </c>
      <c r="W386" s="33">
        <f t="shared" si="163"/>
        <v>412.97360000630954</v>
      </c>
      <c r="X386" s="33">
        <v>96485</v>
      </c>
      <c r="Y386" s="16">
        <f t="shared" si="164"/>
        <v>-233.63478776790257</v>
      </c>
      <c r="Z386" s="16">
        <v>8</v>
      </c>
      <c r="AA386" s="16">
        <v>15</v>
      </c>
      <c r="AB386" s="8">
        <f t="shared" si="165"/>
        <v>0.33684210526315789</v>
      </c>
      <c r="AC386" s="16">
        <f t="shared" si="166"/>
        <v>68.844969824162703</v>
      </c>
      <c r="AD386" s="20">
        <f>'PFAS Properties'!$W$33</f>
        <v>7</v>
      </c>
      <c r="AE386" s="8">
        <f>'PFAS Properties'!$S$33</f>
        <v>2.6821450763738319</v>
      </c>
      <c r="AF386" s="15">
        <f>'PFAS Properties'!$V$33</f>
        <v>4.9000000000000004</v>
      </c>
      <c r="AG386" s="24">
        <v>8</v>
      </c>
      <c r="AH386" s="2" t="s">
        <v>834</v>
      </c>
      <c r="AI386" s="15">
        <v>2.9660000000000002</v>
      </c>
      <c r="AJ386" s="15">
        <f t="shared" si="153"/>
        <v>53.111290178171728</v>
      </c>
      <c r="AK386" s="15">
        <f t="shared" si="154"/>
        <v>0.29660000000000003</v>
      </c>
      <c r="AL386" s="15">
        <v>0.23</v>
      </c>
      <c r="AM386" s="15">
        <f t="shared" si="155"/>
        <v>8.5248332097850259</v>
      </c>
      <c r="AN386" s="15">
        <f t="shared" si="156"/>
        <v>2.3E-2</v>
      </c>
      <c r="AO386" s="2" t="s">
        <v>31</v>
      </c>
      <c r="AP386" s="16">
        <v>89.3</v>
      </c>
      <c r="AQ386" s="16" t="s">
        <v>689</v>
      </c>
      <c r="AR386" s="2">
        <v>12.2</v>
      </c>
      <c r="AS386" s="2">
        <v>54.3</v>
      </c>
      <c r="AT386" s="2">
        <v>33.5</v>
      </c>
      <c r="AU386" s="16" t="s">
        <v>664</v>
      </c>
      <c r="AV386" s="16">
        <f t="shared" si="157"/>
        <v>100</v>
      </c>
      <c r="AW386" s="18">
        <v>7.7</v>
      </c>
      <c r="AX386" s="13">
        <f t="shared" si="158"/>
        <v>7.6999999999999999E-2</v>
      </c>
      <c r="AY386" s="8" t="s">
        <v>32</v>
      </c>
      <c r="AZ386" s="16">
        <f t="shared" si="160"/>
        <v>100</v>
      </c>
      <c r="BA386" s="16" t="s">
        <v>55</v>
      </c>
      <c r="BB386" s="16">
        <v>1</v>
      </c>
      <c r="BC386" s="16">
        <v>300</v>
      </c>
      <c r="BD386" s="18">
        <v>3.9</v>
      </c>
      <c r="BE386" s="15">
        <f t="shared" si="167"/>
        <v>50.649350649350652</v>
      </c>
      <c r="BF386" s="8">
        <f t="shared" si="168"/>
        <v>1.7045738818540173</v>
      </c>
      <c r="BG386" s="8">
        <f t="shared" si="169"/>
        <v>0.59106460702649921</v>
      </c>
      <c r="BH386" s="2" t="s">
        <v>837</v>
      </c>
      <c r="BI386" s="15"/>
      <c r="BJ386" s="13"/>
      <c r="BK386" s="15"/>
      <c r="BL386" s="16"/>
      <c r="BM386" s="18"/>
      <c r="BN386" s="8"/>
      <c r="BO386" s="24"/>
    </row>
    <row r="387" spans="1:67" s="14" customFormat="1" x14ac:dyDescent="0.3">
      <c r="A387" s="20">
        <v>393</v>
      </c>
      <c r="B387" s="2" t="s">
        <v>207</v>
      </c>
      <c r="C387" s="2">
        <v>2015</v>
      </c>
      <c r="D387" s="2" t="s">
        <v>201</v>
      </c>
      <c r="E387" s="10" t="s">
        <v>810</v>
      </c>
      <c r="F387" s="20" t="s">
        <v>29</v>
      </c>
      <c r="G387" s="2" t="s">
        <v>34</v>
      </c>
      <c r="H387" s="2" t="str">
        <f>'PFAS Properties'!$B$33</f>
        <v>PFOA</v>
      </c>
      <c r="I387" s="2" t="str">
        <f>'PFAS Properties'!$C$33</f>
        <v>PFCA</v>
      </c>
      <c r="J387" s="2" t="str">
        <f>'PFAS Properties'!$D$33</f>
        <v>C8HF15O2</v>
      </c>
      <c r="K387" s="25">
        <f>'PFAS Properties'!$P$33</f>
        <v>413.97359999999998</v>
      </c>
      <c r="L387" s="2">
        <f>'PFAS Properties'!$X$33</f>
        <v>-0.2</v>
      </c>
      <c r="M387" s="2" t="str">
        <f>'PFAS Properties'!$Y$33</f>
        <v>-</v>
      </c>
      <c r="N387" s="33">
        <v>0</v>
      </c>
      <c r="O387" s="33">
        <v>0</v>
      </c>
      <c r="P387" s="33">
        <v>0</v>
      </c>
      <c r="Q387" s="33">
        <f t="shared" si="149"/>
        <v>0.99999601894414336</v>
      </c>
      <c r="R387" s="33">
        <v>0</v>
      </c>
      <c r="S387" s="33">
        <f t="shared" si="150"/>
        <v>3.981055856666137E-6</v>
      </c>
      <c r="T387" s="8">
        <f t="shared" si="151"/>
        <v>1</v>
      </c>
      <c r="U387" s="33">
        <f t="shared" si="161"/>
        <v>0</v>
      </c>
      <c r="V387" s="33">
        <f t="shared" si="162"/>
        <v>-0.99999601894414336</v>
      </c>
      <c r="W387" s="33">
        <f t="shared" si="163"/>
        <v>412.97360398105587</v>
      </c>
      <c r="X387" s="33">
        <v>96485</v>
      </c>
      <c r="Y387" s="16">
        <f t="shared" si="164"/>
        <v>-233.63385688023698</v>
      </c>
      <c r="Z387" s="16">
        <v>8</v>
      </c>
      <c r="AA387" s="16">
        <v>15</v>
      </c>
      <c r="AB387" s="8">
        <f t="shared" si="165"/>
        <v>0.33684210526315789</v>
      </c>
      <c r="AC387" s="16">
        <f t="shared" si="166"/>
        <v>68.844969824162703</v>
      </c>
      <c r="AD387" s="20">
        <f>'PFAS Properties'!$W$33</f>
        <v>7</v>
      </c>
      <c r="AE387" s="8">
        <f>'PFAS Properties'!$S$33</f>
        <v>2.6821450763738319</v>
      </c>
      <c r="AF387" s="15">
        <f>'PFAS Properties'!$V$33</f>
        <v>4.9000000000000004</v>
      </c>
      <c r="AG387" s="24">
        <v>5.2</v>
      </c>
      <c r="AH387" s="2" t="s">
        <v>834</v>
      </c>
      <c r="AI387" s="15">
        <v>4.5149999999999997</v>
      </c>
      <c r="AJ387" s="15">
        <f t="shared" si="153"/>
        <v>80.848777867311313</v>
      </c>
      <c r="AK387" s="15">
        <f t="shared" si="154"/>
        <v>0.45149999999999996</v>
      </c>
      <c r="AL387" s="15">
        <v>0.377</v>
      </c>
      <c r="AM387" s="15">
        <f t="shared" si="155"/>
        <v>13.973313565604151</v>
      </c>
      <c r="AN387" s="15">
        <f t="shared" si="156"/>
        <v>3.7699999999999997E-2</v>
      </c>
      <c r="AO387" s="2" t="s">
        <v>31</v>
      </c>
      <c r="AP387" s="16">
        <v>46.3</v>
      </c>
      <c r="AQ387" s="16" t="s">
        <v>689</v>
      </c>
      <c r="AR387" s="2">
        <v>41.3</v>
      </c>
      <c r="AS387" s="2">
        <v>39.799999999999997</v>
      </c>
      <c r="AT387" s="2">
        <v>18.899999999999999</v>
      </c>
      <c r="AU387" s="16" t="s">
        <v>664</v>
      </c>
      <c r="AV387" s="16">
        <f t="shared" si="157"/>
        <v>100</v>
      </c>
      <c r="AW387" s="18">
        <v>9.4</v>
      </c>
      <c r="AX387" s="13">
        <f t="shared" si="158"/>
        <v>9.4E-2</v>
      </c>
      <c r="AY387" s="8" t="s">
        <v>32</v>
      </c>
      <c r="AZ387" s="16">
        <f t="shared" si="160"/>
        <v>100</v>
      </c>
      <c r="BA387" s="16" t="s">
        <v>55</v>
      </c>
      <c r="BB387" s="16">
        <v>1</v>
      </c>
      <c r="BC387" s="16">
        <v>300</v>
      </c>
      <c r="BD387" s="18">
        <v>7.1</v>
      </c>
      <c r="BE387" s="15">
        <f t="shared" si="167"/>
        <v>75.531914893617014</v>
      </c>
      <c r="BF387" s="8">
        <f t="shared" si="168"/>
        <v>1.8781304951193767</v>
      </c>
      <c r="BG387" s="8">
        <f t="shared" si="169"/>
        <v>0.85125834871907524</v>
      </c>
      <c r="BH387" s="2" t="s">
        <v>837</v>
      </c>
      <c r="BI387" s="15"/>
      <c r="BJ387" s="13"/>
      <c r="BK387" s="15"/>
      <c r="BL387" s="16"/>
      <c r="BM387" s="18"/>
      <c r="BN387" s="8"/>
      <c r="BO387" s="24"/>
    </row>
    <row r="388" spans="1:67" s="14" customFormat="1" x14ac:dyDescent="0.3">
      <c r="A388" s="20">
        <v>394</v>
      </c>
      <c r="B388" s="2" t="s">
        <v>207</v>
      </c>
      <c r="C388" s="2">
        <v>2015</v>
      </c>
      <c r="D388" s="2" t="s">
        <v>201</v>
      </c>
      <c r="E388" s="10" t="s">
        <v>810</v>
      </c>
      <c r="F388" s="20" t="s">
        <v>29</v>
      </c>
      <c r="G388" s="2" t="s">
        <v>37</v>
      </c>
      <c r="H388" s="2" t="str">
        <f>'PFAS Properties'!$B$33</f>
        <v>PFOA</v>
      </c>
      <c r="I388" s="2" t="str">
        <f>'PFAS Properties'!$C$33</f>
        <v>PFCA</v>
      </c>
      <c r="J388" s="2" t="str">
        <f>'PFAS Properties'!$D$33</f>
        <v>C8HF15O2</v>
      </c>
      <c r="K388" s="25">
        <f>'PFAS Properties'!$P$33</f>
        <v>413.97359999999998</v>
      </c>
      <c r="L388" s="2">
        <f>'PFAS Properties'!$X$33</f>
        <v>-0.2</v>
      </c>
      <c r="M388" s="2" t="str">
        <f>'PFAS Properties'!$Y$33</f>
        <v>-</v>
      </c>
      <c r="N388" s="33">
        <v>0</v>
      </c>
      <c r="O388" s="33">
        <v>0</v>
      </c>
      <c r="P388" s="33">
        <v>0</v>
      </c>
      <c r="Q388" s="33">
        <f t="shared" si="149"/>
        <v>0.99999874107617315</v>
      </c>
      <c r="R388" s="33">
        <v>0</v>
      </c>
      <c r="S388" s="33">
        <f t="shared" si="150"/>
        <v>1.2589238269029671E-6</v>
      </c>
      <c r="T388" s="8">
        <f t="shared" si="151"/>
        <v>1</v>
      </c>
      <c r="U388" s="33">
        <f t="shared" si="161"/>
        <v>0</v>
      </c>
      <c r="V388" s="33">
        <f t="shared" si="162"/>
        <v>-0.99999874107617315</v>
      </c>
      <c r="W388" s="33">
        <f t="shared" si="163"/>
        <v>412.97360125892379</v>
      </c>
      <c r="X388" s="33">
        <v>96485</v>
      </c>
      <c r="Y388" s="16">
        <f t="shared" si="164"/>
        <v>-233.63449440498505</v>
      </c>
      <c r="Z388" s="16">
        <v>8</v>
      </c>
      <c r="AA388" s="16">
        <v>15</v>
      </c>
      <c r="AB388" s="8">
        <f t="shared" si="165"/>
        <v>0.33684210526315789</v>
      </c>
      <c r="AC388" s="16">
        <f t="shared" si="166"/>
        <v>68.844969824162703</v>
      </c>
      <c r="AD388" s="20">
        <f>'PFAS Properties'!$W$33</f>
        <v>7</v>
      </c>
      <c r="AE388" s="8">
        <f>'PFAS Properties'!$S$33</f>
        <v>2.6821450763738319</v>
      </c>
      <c r="AF388" s="15">
        <f>'PFAS Properties'!$V$33</f>
        <v>4.9000000000000004</v>
      </c>
      <c r="AG388" s="24">
        <v>5.7</v>
      </c>
      <c r="AH388" s="2" t="s">
        <v>834</v>
      </c>
      <c r="AI388" s="15">
        <v>10.64</v>
      </c>
      <c r="AJ388" s="15">
        <f t="shared" si="153"/>
        <v>190.52735249350883</v>
      </c>
      <c r="AK388" s="15">
        <f t="shared" si="154"/>
        <v>1.0640000000000001</v>
      </c>
      <c r="AL388" s="15">
        <v>0.16700000000000001</v>
      </c>
      <c r="AM388" s="15">
        <f t="shared" si="155"/>
        <v>6.1897702001482582</v>
      </c>
      <c r="AN388" s="15">
        <f t="shared" si="156"/>
        <v>1.67E-2</v>
      </c>
      <c r="AO388" s="2" t="s">
        <v>31</v>
      </c>
      <c r="AP388" s="16">
        <v>130</v>
      </c>
      <c r="AQ388" s="16" t="s">
        <v>689</v>
      </c>
      <c r="AR388" s="2">
        <v>20.7</v>
      </c>
      <c r="AS388" s="2">
        <v>78</v>
      </c>
      <c r="AT388" s="2">
        <v>1.3</v>
      </c>
      <c r="AU388" s="16" t="s">
        <v>664</v>
      </c>
      <c r="AV388" s="16">
        <f t="shared" si="157"/>
        <v>100</v>
      </c>
      <c r="AW388" s="18">
        <v>39</v>
      </c>
      <c r="AX388" s="13">
        <f t="shared" si="158"/>
        <v>0.39</v>
      </c>
      <c r="AY388" s="8" t="s">
        <v>32</v>
      </c>
      <c r="AZ388" s="16">
        <f t="shared" si="160"/>
        <v>100</v>
      </c>
      <c r="BA388" s="16" t="s">
        <v>55</v>
      </c>
      <c r="BB388" s="16">
        <v>1</v>
      </c>
      <c r="BC388" s="16">
        <v>300</v>
      </c>
      <c r="BD388" s="18">
        <v>38</v>
      </c>
      <c r="BE388" s="15">
        <f t="shared" si="167"/>
        <v>97.435897435897431</v>
      </c>
      <c r="BF388" s="8">
        <f t="shared" si="168"/>
        <v>1.988718989590311</v>
      </c>
      <c r="BG388" s="8">
        <f t="shared" si="169"/>
        <v>1.5797835966168101</v>
      </c>
      <c r="BH388" s="2" t="s">
        <v>837</v>
      </c>
      <c r="BI388" s="15"/>
      <c r="BJ388" s="13"/>
      <c r="BK388" s="15"/>
      <c r="BL388" s="16"/>
      <c r="BM388" s="18"/>
      <c r="BN388" s="8"/>
      <c r="BO388" s="24"/>
    </row>
    <row r="389" spans="1:67" s="14" customFormat="1" x14ac:dyDescent="0.3">
      <c r="A389" s="20">
        <v>395</v>
      </c>
      <c r="B389" s="2" t="s">
        <v>775</v>
      </c>
      <c r="C389" s="2">
        <v>2021</v>
      </c>
      <c r="D389" s="2" t="s">
        <v>203</v>
      </c>
      <c r="E389" s="10" t="s">
        <v>786</v>
      </c>
      <c r="F389" s="20" t="s">
        <v>29</v>
      </c>
      <c r="G389" s="2" t="s">
        <v>116</v>
      </c>
      <c r="H389" s="2" t="str">
        <f>'PFAS Properties'!$B$33</f>
        <v>PFOA</v>
      </c>
      <c r="I389" s="2" t="str">
        <f>'PFAS Properties'!$C$33</f>
        <v>PFCA</v>
      </c>
      <c r="J389" s="2" t="str">
        <f>'PFAS Properties'!$D$33</f>
        <v>C8HF15O2</v>
      </c>
      <c r="K389" s="25">
        <f>'PFAS Properties'!$P$33</f>
        <v>413.97359999999998</v>
      </c>
      <c r="L389" s="2">
        <f>'PFAS Properties'!$X$33</f>
        <v>-0.2</v>
      </c>
      <c r="M389" s="2" t="str">
        <f>'PFAS Properties'!$Y$33</f>
        <v>-</v>
      </c>
      <c r="N389" s="33">
        <v>0</v>
      </c>
      <c r="O389" s="33">
        <v>0</v>
      </c>
      <c r="P389" s="33">
        <v>0</v>
      </c>
      <c r="Q389" s="33">
        <f t="shared" si="149"/>
        <v>0.99999998221720621</v>
      </c>
      <c r="R389" s="33">
        <v>0</v>
      </c>
      <c r="S389" s="33">
        <f t="shared" si="150"/>
        <v>1.7782793784161458E-8</v>
      </c>
      <c r="T389" s="8">
        <f t="shared" si="151"/>
        <v>1</v>
      </c>
      <c r="U389" s="33">
        <f t="shared" si="161"/>
        <v>0</v>
      </c>
      <c r="V389" s="33">
        <f t="shared" si="162"/>
        <v>-0.99999998221720621</v>
      </c>
      <c r="W389" s="33">
        <f t="shared" si="163"/>
        <v>412.97360001778276</v>
      </c>
      <c r="X389" s="33">
        <v>96485</v>
      </c>
      <c r="Y389" s="16">
        <f t="shared" si="164"/>
        <v>-233.63478508086828</v>
      </c>
      <c r="Z389" s="16">
        <v>8</v>
      </c>
      <c r="AA389" s="16">
        <v>15</v>
      </c>
      <c r="AB389" s="8">
        <f t="shared" si="165"/>
        <v>0.33684210526315789</v>
      </c>
      <c r="AC389" s="16">
        <f t="shared" si="166"/>
        <v>68.844969824162703</v>
      </c>
      <c r="AD389" s="20">
        <f>'PFAS Properties'!$W$33</f>
        <v>7</v>
      </c>
      <c r="AE389" s="8">
        <f>'PFAS Properties'!$S$33</f>
        <v>2.6821450763738319</v>
      </c>
      <c r="AF389" s="15">
        <f>'PFAS Properties'!$V$33</f>
        <v>4.9000000000000004</v>
      </c>
      <c r="AG389" s="24">
        <v>7.55</v>
      </c>
      <c r="AH389" s="15" t="s">
        <v>830</v>
      </c>
      <c r="AI389" s="2" t="s">
        <v>661</v>
      </c>
      <c r="AJ389" s="2" t="s">
        <v>661</v>
      </c>
      <c r="AK389" s="2" t="s">
        <v>661</v>
      </c>
      <c r="AL389" s="2" t="s">
        <v>661</v>
      </c>
      <c r="AM389" s="2" t="s">
        <v>661</v>
      </c>
      <c r="AN389" s="2" t="s">
        <v>661</v>
      </c>
      <c r="AO389" s="2" t="s">
        <v>661</v>
      </c>
      <c r="AP389" s="15">
        <v>2.52</v>
      </c>
      <c r="AQ389" s="16" t="s">
        <v>689</v>
      </c>
      <c r="AR389" s="16">
        <v>45.3</v>
      </c>
      <c r="AS389" s="16">
        <v>30</v>
      </c>
      <c r="AT389" s="16">
        <v>24.7</v>
      </c>
      <c r="AU389" s="16" t="s">
        <v>664</v>
      </c>
      <c r="AV389" s="16">
        <f t="shared" si="157"/>
        <v>100</v>
      </c>
      <c r="AW389" s="18">
        <v>3.4</v>
      </c>
      <c r="AX389" s="13">
        <f t="shared" si="158"/>
        <v>3.4000000000000002E-2</v>
      </c>
      <c r="AY389" s="8" t="s">
        <v>342</v>
      </c>
      <c r="AZ389" s="16">
        <f>1/0.01</f>
        <v>100</v>
      </c>
      <c r="BA389" s="16" t="s">
        <v>55</v>
      </c>
      <c r="BB389" s="15">
        <f>5*K389/1000</f>
        <v>2.069868</v>
      </c>
      <c r="BC389" s="16">
        <f>5000*K389/1000</f>
        <v>2069.8679999999999</v>
      </c>
      <c r="BD389" s="18">
        <f>112.9*AX389</f>
        <v>3.8386000000000005</v>
      </c>
      <c r="BE389" s="15">
        <f t="shared" si="167"/>
        <v>112.9</v>
      </c>
      <c r="BF389" s="8">
        <f t="shared" si="168"/>
        <v>2.0526939419249679</v>
      </c>
      <c r="BG389" s="8">
        <f t="shared" si="169"/>
        <v>0.58417285896722304</v>
      </c>
      <c r="BH389" s="13" t="s">
        <v>343</v>
      </c>
      <c r="BI389" s="8"/>
      <c r="BJ389" s="13"/>
      <c r="BK389" s="15"/>
      <c r="BL389" s="15"/>
      <c r="BM389" s="18"/>
      <c r="BN389" s="8"/>
      <c r="BO389" s="24"/>
    </row>
    <row r="390" spans="1:67" s="14" customFormat="1" x14ac:dyDescent="0.3">
      <c r="A390" s="20">
        <v>396</v>
      </c>
      <c r="B390" s="2" t="s">
        <v>775</v>
      </c>
      <c r="C390" s="2">
        <v>2021</v>
      </c>
      <c r="D390" s="2" t="s">
        <v>203</v>
      </c>
      <c r="E390" s="10" t="s">
        <v>786</v>
      </c>
      <c r="F390" s="20" t="s">
        <v>29</v>
      </c>
      <c r="G390" s="2" t="s">
        <v>117</v>
      </c>
      <c r="H390" s="2" t="str">
        <f>'PFAS Properties'!$B$33</f>
        <v>PFOA</v>
      </c>
      <c r="I390" s="2" t="str">
        <f>'PFAS Properties'!$C$33</f>
        <v>PFCA</v>
      </c>
      <c r="J390" s="2" t="str">
        <f>'PFAS Properties'!$D$33</f>
        <v>C8HF15O2</v>
      </c>
      <c r="K390" s="25">
        <f>'PFAS Properties'!$P$33</f>
        <v>413.97359999999998</v>
      </c>
      <c r="L390" s="2">
        <f>'PFAS Properties'!$X$33</f>
        <v>-0.2</v>
      </c>
      <c r="M390" s="2" t="str">
        <f>'PFAS Properties'!$Y$33</f>
        <v>-</v>
      </c>
      <c r="N390" s="33">
        <v>0</v>
      </c>
      <c r="O390" s="33">
        <v>0</v>
      </c>
      <c r="P390" s="33">
        <v>0</v>
      </c>
      <c r="Q390" s="33">
        <f t="shared" si="149"/>
        <v>0.99999999610954859</v>
      </c>
      <c r="R390" s="33">
        <v>0</v>
      </c>
      <c r="S390" s="33">
        <f t="shared" si="150"/>
        <v>3.8904514348071882E-9</v>
      </c>
      <c r="T390" s="8">
        <f t="shared" si="151"/>
        <v>1</v>
      </c>
      <c r="U390" s="33">
        <f t="shared" si="161"/>
        <v>0</v>
      </c>
      <c r="V390" s="33">
        <f t="shared" si="162"/>
        <v>-0.99999999610954859</v>
      </c>
      <c r="W390" s="33">
        <f t="shared" si="163"/>
        <v>412.97360000389045</v>
      </c>
      <c r="X390" s="33">
        <v>96485</v>
      </c>
      <c r="Y390" s="16">
        <f t="shared" si="164"/>
        <v>-233.6347883344622</v>
      </c>
      <c r="Z390" s="16">
        <v>8</v>
      </c>
      <c r="AA390" s="16">
        <v>15</v>
      </c>
      <c r="AB390" s="8">
        <f t="shared" si="165"/>
        <v>0.33684210526315789</v>
      </c>
      <c r="AC390" s="16">
        <f t="shared" si="166"/>
        <v>68.844969824162703</v>
      </c>
      <c r="AD390" s="20">
        <f>'PFAS Properties'!$W$33</f>
        <v>7</v>
      </c>
      <c r="AE390" s="8">
        <f>'PFAS Properties'!$S$33</f>
        <v>2.6821450763738319</v>
      </c>
      <c r="AF390" s="15">
        <f>'PFAS Properties'!$V$33</f>
        <v>4.9000000000000004</v>
      </c>
      <c r="AG390" s="24">
        <v>8.2100000000000009</v>
      </c>
      <c r="AH390" s="15" t="s">
        <v>830</v>
      </c>
      <c r="AI390" s="2" t="s">
        <v>661</v>
      </c>
      <c r="AJ390" s="2" t="s">
        <v>661</v>
      </c>
      <c r="AK390" s="2" t="s">
        <v>661</v>
      </c>
      <c r="AL390" s="2" t="s">
        <v>661</v>
      </c>
      <c r="AM390" s="2" t="s">
        <v>661</v>
      </c>
      <c r="AN390" s="2" t="s">
        <v>661</v>
      </c>
      <c r="AO390" s="2" t="s">
        <v>661</v>
      </c>
      <c r="AP390" s="15">
        <v>11.4</v>
      </c>
      <c r="AQ390" s="16" t="s">
        <v>689</v>
      </c>
      <c r="AR390" s="16">
        <v>28.7</v>
      </c>
      <c r="AS390" s="16">
        <v>40</v>
      </c>
      <c r="AT390" s="16">
        <v>31.3</v>
      </c>
      <c r="AU390" s="16" t="s">
        <v>664</v>
      </c>
      <c r="AV390" s="16">
        <f t="shared" si="157"/>
        <v>100</v>
      </c>
      <c r="AW390" s="18">
        <v>1.7</v>
      </c>
      <c r="AX390" s="13">
        <f t="shared" si="158"/>
        <v>1.7000000000000001E-2</v>
      </c>
      <c r="AY390" s="8" t="s">
        <v>342</v>
      </c>
      <c r="AZ390" s="16">
        <f>1/0.01</f>
        <v>100</v>
      </c>
      <c r="BA390" s="16" t="s">
        <v>55</v>
      </c>
      <c r="BB390" s="15">
        <f>5*K390/1000</f>
        <v>2.069868</v>
      </c>
      <c r="BC390" s="16">
        <f>5000*K390/1000</f>
        <v>2069.8679999999999</v>
      </c>
      <c r="BD390" s="18">
        <f>171.2*AX390</f>
        <v>2.9104000000000001</v>
      </c>
      <c r="BE390" s="15">
        <f t="shared" si="167"/>
        <v>171.2</v>
      </c>
      <c r="BF390" s="8">
        <f t="shared" si="168"/>
        <v>2.2335037603411343</v>
      </c>
      <c r="BG390" s="8">
        <f t="shared" si="169"/>
        <v>0.46395268171940834</v>
      </c>
      <c r="BH390" s="13" t="s">
        <v>343</v>
      </c>
      <c r="BI390" s="16"/>
      <c r="BJ390" s="13"/>
      <c r="BK390" s="15"/>
      <c r="BL390" s="16"/>
      <c r="BM390" s="18"/>
      <c r="BN390" s="8"/>
      <c r="BO390" s="24"/>
    </row>
    <row r="391" spans="1:67" s="14" customFormat="1" x14ac:dyDescent="0.3">
      <c r="A391" s="20">
        <v>397</v>
      </c>
      <c r="B391" s="2" t="s">
        <v>775</v>
      </c>
      <c r="C391" s="2">
        <v>2021</v>
      </c>
      <c r="D391" s="2" t="s">
        <v>203</v>
      </c>
      <c r="E391" s="22" t="s">
        <v>786</v>
      </c>
      <c r="F391" s="20" t="s">
        <v>29</v>
      </c>
      <c r="G391" s="2" t="s">
        <v>118</v>
      </c>
      <c r="H391" s="2" t="str">
        <f>'PFAS Properties'!$B$33</f>
        <v>PFOA</v>
      </c>
      <c r="I391" s="2" t="str">
        <f>'PFAS Properties'!$C$33</f>
        <v>PFCA</v>
      </c>
      <c r="J391" s="2" t="str">
        <f>'PFAS Properties'!$D$33</f>
        <v>C8HF15O2</v>
      </c>
      <c r="K391" s="25">
        <f>'PFAS Properties'!$P$33</f>
        <v>413.97359999999998</v>
      </c>
      <c r="L391" s="2">
        <f>'PFAS Properties'!$X$33</f>
        <v>-0.2</v>
      </c>
      <c r="M391" s="2" t="str">
        <f>'PFAS Properties'!$Y$33</f>
        <v>-</v>
      </c>
      <c r="N391" s="33">
        <v>0</v>
      </c>
      <c r="O391" s="33">
        <v>0</v>
      </c>
      <c r="P391" s="33">
        <v>0</v>
      </c>
      <c r="Q391" s="33">
        <f t="shared" si="149"/>
        <v>0.99999983017566363</v>
      </c>
      <c r="R391" s="33">
        <v>0</v>
      </c>
      <c r="S391" s="33">
        <f t="shared" si="150"/>
        <v>1.698243364058638E-7</v>
      </c>
      <c r="T391" s="8">
        <f t="shared" si="151"/>
        <v>1</v>
      </c>
      <c r="U391" s="33">
        <f t="shared" si="161"/>
        <v>0</v>
      </c>
      <c r="V391" s="33">
        <f t="shared" si="162"/>
        <v>-0.99999983017566363</v>
      </c>
      <c r="W391" s="33">
        <f t="shared" si="163"/>
        <v>412.97360016982435</v>
      </c>
      <c r="X391" s="33">
        <v>96485</v>
      </c>
      <c r="Y391" s="16">
        <f t="shared" si="164"/>
        <v>-233.63474947265885</v>
      </c>
      <c r="Z391" s="16">
        <v>8</v>
      </c>
      <c r="AA391" s="16">
        <v>15</v>
      </c>
      <c r="AB391" s="8">
        <f t="shared" si="165"/>
        <v>0.33684210526315789</v>
      </c>
      <c r="AC391" s="16">
        <f t="shared" si="166"/>
        <v>68.844969824162703</v>
      </c>
      <c r="AD391" s="20">
        <f>'PFAS Properties'!$W$33</f>
        <v>7</v>
      </c>
      <c r="AE391" s="8">
        <f>'PFAS Properties'!$S$33</f>
        <v>2.6821450763738319</v>
      </c>
      <c r="AF391" s="15">
        <f>'PFAS Properties'!$V$33</f>
        <v>4.9000000000000004</v>
      </c>
      <c r="AG391" s="24">
        <v>6.57</v>
      </c>
      <c r="AH391" s="15" t="s">
        <v>830</v>
      </c>
      <c r="AI391" s="2" t="s">
        <v>661</v>
      </c>
      <c r="AJ391" s="2" t="s">
        <v>661</v>
      </c>
      <c r="AK391" s="2" t="s">
        <v>661</v>
      </c>
      <c r="AL391" s="2" t="s">
        <v>661</v>
      </c>
      <c r="AM391" s="2" t="s">
        <v>661</v>
      </c>
      <c r="AN391" s="2" t="s">
        <v>661</v>
      </c>
      <c r="AO391" s="2" t="s">
        <v>661</v>
      </c>
      <c r="AP391" s="15">
        <v>9.93</v>
      </c>
      <c r="AQ391" s="16" t="s">
        <v>689</v>
      </c>
      <c r="AR391" s="16">
        <v>20</v>
      </c>
      <c r="AS391" s="16">
        <v>50</v>
      </c>
      <c r="AT391" s="16">
        <v>30</v>
      </c>
      <c r="AU391" s="16" t="s">
        <v>664</v>
      </c>
      <c r="AV391" s="16">
        <f t="shared" si="157"/>
        <v>100</v>
      </c>
      <c r="AW391" s="18">
        <v>2.9</v>
      </c>
      <c r="AX391" s="13">
        <f t="shared" si="158"/>
        <v>2.8999999999999998E-2</v>
      </c>
      <c r="AY391" s="8" t="s">
        <v>342</v>
      </c>
      <c r="AZ391" s="16">
        <f>1/0.01</f>
        <v>100</v>
      </c>
      <c r="BA391" s="16" t="s">
        <v>55</v>
      </c>
      <c r="BB391" s="15">
        <f>5*K391/1000</f>
        <v>2.069868</v>
      </c>
      <c r="BC391" s="16">
        <f>5000*K391/1000</f>
        <v>2069.8679999999999</v>
      </c>
      <c r="BD391" s="18">
        <f>288.8*AX391</f>
        <v>8.3751999999999995</v>
      </c>
      <c r="BE391" s="15">
        <f t="shared" si="167"/>
        <v>288.8</v>
      </c>
      <c r="BF391" s="8">
        <f t="shared" si="168"/>
        <v>2.4605971888976015</v>
      </c>
      <c r="BG391" s="8">
        <f t="shared" si="169"/>
        <v>0.92299518679655757</v>
      </c>
      <c r="BH391" s="13" t="s">
        <v>343</v>
      </c>
      <c r="BI391" s="15"/>
      <c r="BJ391" s="13"/>
      <c r="BK391" s="15"/>
      <c r="BL391" s="16"/>
      <c r="BM391" s="18"/>
      <c r="BN391" s="8"/>
      <c r="BO391" s="24"/>
    </row>
    <row r="392" spans="1:67" s="14" customFormat="1" x14ac:dyDescent="0.3">
      <c r="A392" s="20">
        <v>398</v>
      </c>
      <c r="B392" s="2" t="s">
        <v>775</v>
      </c>
      <c r="C392" s="2">
        <v>2021</v>
      </c>
      <c r="D392" s="2" t="s">
        <v>203</v>
      </c>
      <c r="E392" s="10" t="s">
        <v>786</v>
      </c>
      <c r="F392" s="20" t="s">
        <v>29</v>
      </c>
      <c r="G392" s="2" t="s">
        <v>119</v>
      </c>
      <c r="H392" s="2" t="str">
        <f>'PFAS Properties'!$B$33</f>
        <v>PFOA</v>
      </c>
      <c r="I392" s="2" t="str">
        <f>'PFAS Properties'!$C$33</f>
        <v>PFCA</v>
      </c>
      <c r="J392" s="2" t="str">
        <f>'PFAS Properties'!$D$33</f>
        <v>C8HF15O2</v>
      </c>
      <c r="K392" s="25">
        <f>'PFAS Properties'!$P$33</f>
        <v>413.97359999999998</v>
      </c>
      <c r="L392" s="2">
        <f>'PFAS Properties'!$X$33</f>
        <v>-0.2</v>
      </c>
      <c r="M392" s="2" t="str">
        <f>'PFAS Properties'!$Y$33</f>
        <v>-</v>
      </c>
      <c r="N392" s="33">
        <v>0</v>
      </c>
      <c r="O392" s="33">
        <v>0</v>
      </c>
      <c r="P392" s="33">
        <v>0</v>
      </c>
      <c r="Q392" s="33">
        <f t="shared" ref="Q392:Q455" si="170">(10^(AG392-L392))/(1+(10^(AG392-L392)))</f>
        <v>0.99998004777494953</v>
      </c>
      <c r="R392" s="33">
        <v>0</v>
      </c>
      <c r="S392" s="33">
        <f t="shared" ref="S392:S455" si="171">(1/(1+(10^(AG392-L392))))</f>
        <v>1.9952225050461341E-5</v>
      </c>
      <c r="T392" s="8">
        <f t="shared" si="151"/>
        <v>1</v>
      </c>
      <c r="U392" s="33">
        <f t="shared" si="161"/>
        <v>0</v>
      </c>
      <c r="V392" s="33">
        <f t="shared" si="162"/>
        <v>-0.99998004777494953</v>
      </c>
      <c r="W392" s="33">
        <f t="shared" si="163"/>
        <v>412.97361995222502</v>
      </c>
      <c r="X392" s="33">
        <v>96485</v>
      </c>
      <c r="Y392" s="16">
        <f t="shared" si="164"/>
        <v>-233.63011642421051</v>
      </c>
      <c r="Z392" s="16">
        <v>8</v>
      </c>
      <c r="AA392" s="16">
        <v>15</v>
      </c>
      <c r="AB392" s="8">
        <f t="shared" si="165"/>
        <v>0.33684210526315789</v>
      </c>
      <c r="AC392" s="16">
        <f t="shared" si="166"/>
        <v>68.844969824162703</v>
      </c>
      <c r="AD392" s="20">
        <f>'PFAS Properties'!$W$33</f>
        <v>7</v>
      </c>
      <c r="AE392" s="8">
        <f>'PFAS Properties'!$S$33</f>
        <v>2.6821450763738319</v>
      </c>
      <c r="AF392" s="15">
        <f>'PFAS Properties'!$V$33</f>
        <v>4.9000000000000004</v>
      </c>
      <c r="AG392" s="24">
        <v>4.5</v>
      </c>
      <c r="AH392" s="15" t="s">
        <v>830</v>
      </c>
      <c r="AI392" s="2" t="s">
        <v>661</v>
      </c>
      <c r="AJ392" s="2" t="s">
        <v>661</v>
      </c>
      <c r="AK392" s="2" t="s">
        <v>661</v>
      </c>
      <c r="AL392" s="2" t="s">
        <v>661</v>
      </c>
      <c r="AM392" s="2" t="s">
        <v>661</v>
      </c>
      <c r="AN392" s="2" t="s">
        <v>661</v>
      </c>
      <c r="AO392" s="2" t="s">
        <v>661</v>
      </c>
      <c r="AP392" s="71">
        <v>11.497016666666671</v>
      </c>
      <c r="AQ392" s="70" t="s">
        <v>752</v>
      </c>
      <c r="AR392" s="16">
        <v>51.2</v>
      </c>
      <c r="AS392" s="16">
        <v>36.200000000000003</v>
      </c>
      <c r="AT392" s="16">
        <v>12.6</v>
      </c>
      <c r="AU392" s="16" t="s">
        <v>664</v>
      </c>
      <c r="AV392" s="16">
        <f t="shared" si="157"/>
        <v>100</v>
      </c>
      <c r="AW392" s="18">
        <v>7.3</v>
      </c>
      <c r="AX392" s="13">
        <f t="shared" si="158"/>
        <v>7.2999999999999995E-2</v>
      </c>
      <c r="AY392" s="8" t="s">
        <v>342</v>
      </c>
      <c r="AZ392" s="16">
        <f>1/0.01</f>
        <v>100</v>
      </c>
      <c r="BA392" s="16" t="s">
        <v>55</v>
      </c>
      <c r="BB392" s="15">
        <f>5*K392/1000</f>
        <v>2.069868</v>
      </c>
      <c r="BC392" s="16">
        <f>5000*K392/1000</f>
        <v>2069.8679999999999</v>
      </c>
      <c r="BD392" s="18">
        <f>276.9*AX392</f>
        <v>20.213699999999996</v>
      </c>
      <c r="BE392" s="15">
        <f t="shared" si="167"/>
        <v>276.89999999999998</v>
      </c>
      <c r="BF392" s="8">
        <f t="shared" si="168"/>
        <v>2.4423229557455746</v>
      </c>
      <c r="BG392" s="8">
        <f t="shared" si="169"/>
        <v>1.3056458158660302</v>
      </c>
      <c r="BH392" s="13" t="s">
        <v>343</v>
      </c>
      <c r="BI392" s="15"/>
      <c r="BJ392" s="13"/>
      <c r="BK392" s="15"/>
      <c r="BL392" s="16"/>
      <c r="BM392" s="18"/>
      <c r="BN392" s="8"/>
      <c r="BO392" s="24"/>
    </row>
    <row r="393" spans="1:67" s="14" customFormat="1" x14ac:dyDescent="0.3">
      <c r="A393" s="20">
        <v>399</v>
      </c>
      <c r="B393" s="2" t="s">
        <v>775</v>
      </c>
      <c r="C393" s="2">
        <v>2021</v>
      </c>
      <c r="D393" s="2" t="s">
        <v>203</v>
      </c>
      <c r="E393" s="10" t="s">
        <v>786</v>
      </c>
      <c r="F393" s="20" t="s">
        <v>29</v>
      </c>
      <c r="G393" s="2" t="s">
        <v>120</v>
      </c>
      <c r="H393" s="2" t="str">
        <f>'PFAS Properties'!$B$33</f>
        <v>PFOA</v>
      </c>
      <c r="I393" s="2" t="str">
        <f>'PFAS Properties'!$C$33</f>
        <v>PFCA</v>
      </c>
      <c r="J393" s="2" t="str">
        <f>'PFAS Properties'!$D$33</f>
        <v>C8HF15O2</v>
      </c>
      <c r="K393" s="25">
        <f>'PFAS Properties'!$P$33</f>
        <v>413.97359999999998</v>
      </c>
      <c r="L393" s="2">
        <f>'PFAS Properties'!$X$33</f>
        <v>-0.2</v>
      </c>
      <c r="M393" s="2" t="str">
        <f>'PFAS Properties'!$Y$33</f>
        <v>-</v>
      </c>
      <c r="N393" s="33">
        <v>0</v>
      </c>
      <c r="O393" s="33">
        <v>0</v>
      </c>
      <c r="P393" s="33">
        <v>0</v>
      </c>
      <c r="Q393" s="33">
        <f t="shared" si="170"/>
        <v>0.999995533184031</v>
      </c>
      <c r="R393" s="33">
        <v>0</v>
      </c>
      <c r="S393" s="33">
        <f t="shared" si="171"/>
        <v>4.4668159689755961E-6</v>
      </c>
      <c r="T393" s="8">
        <f t="shared" si="151"/>
        <v>1</v>
      </c>
      <c r="U393" s="33">
        <f t="shared" si="161"/>
        <v>0</v>
      </c>
      <c r="V393" s="33">
        <f t="shared" si="162"/>
        <v>-0.999995533184031</v>
      </c>
      <c r="W393" s="33">
        <f t="shared" si="163"/>
        <v>412.97360446681597</v>
      </c>
      <c r="X393" s="33">
        <v>96485</v>
      </c>
      <c r="Y393" s="16">
        <f t="shared" si="164"/>
        <v>-233.63374311496497</v>
      </c>
      <c r="Z393" s="16">
        <v>8</v>
      </c>
      <c r="AA393" s="16">
        <v>15</v>
      </c>
      <c r="AB393" s="8">
        <f t="shared" si="165"/>
        <v>0.33684210526315789</v>
      </c>
      <c r="AC393" s="16">
        <f t="shared" si="166"/>
        <v>68.844969824162703</v>
      </c>
      <c r="AD393" s="20">
        <f>'PFAS Properties'!$W$33</f>
        <v>7</v>
      </c>
      <c r="AE393" s="8">
        <f>'PFAS Properties'!$S$33</f>
        <v>2.6821450763738319</v>
      </c>
      <c r="AF393" s="15">
        <f>'PFAS Properties'!$V$33</f>
        <v>4.9000000000000004</v>
      </c>
      <c r="AG393" s="24">
        <v>5.15</v>
      </c>
      <c r="AH393" s="2" t="s">
        <v>830</v>
      </c>
      <c r="AI393" s="2" t="s">
        <v>661</v>
      </c>
      <c r="AJ393" s="2" t="s">
        <v>661</v>
      </c>
      <c r="AK393" s="2" t="s">
        <v>661</v>
      </c>
      <c r="AL393" s="2" t="s">
        <v>661</v>
      </c>
      <c r="AM393" s="2" t="s">
        <v>661</v>
      </c>
      <c r="AN393" s="2" t="s">
        <v>661</v>
      </c>
      <c r="AO393" s="2" t="s">
        <v>661</v>
      </c>
      <c r="AP393" s="15">
        <v>0.57999999999999996</v>
      </c>
      <c r="AQ393" s="16" t="s">
        <v>689</v>
      </c>
      <c r="AR393" s="16">
        <v>59.2</v>
      </c>
      <c r="AS393" s="16">
        <v>32.200000000000003</v>
      </c>
      <c r="AT393" s="16">
        <v>8.6</v>
      </c>
      <c r="AU393" s="16" t="s">
        <v>664</v>
      </c>
      <c r="AV393" s="16">
        <f t="shared" si="157"/>
        <v>100</v>
      </c>
      <c r="AW393" s="18">
        <v>1.8</v>
      </c>
      <c r="AX393" s="13">
        <f t="shared" si="158"/>
        <v>1.8000000000000002E-2</v>
      </c>
      <c r="AY393" s="13" t="s">
        <v>342</v>
      </c>
      <c r="AZ393" s="16">
        <f>1/0.01</f>
        <v>100</v>
      </c>
      <c r="BA393" s="16" t="s">
        <v>55</v>
      </c>
      <c r="BB393" s="15">
        <f>5*K393/1000</f>
        <v>2.069868</v>
      </c>
      <c r="BC393" s="16">
        <f>5000*K393/1000</f>
        <v>2069.8679999999999</v>
      </c>
      <c r="BD393" s="18">
        <f>27*AX393</f>
        <v>0.48600000000000004</v>
      </c>
      <c r="BE393" s="15">
        <f t="shared" si="167"/>
        <v>27</v>
      </c>
      <c r="BF393" s="8">
        <f t="shared" si="168"/>
        <v>1.4313637641589874</v>
      </c>
      <c r="BG393" s="8">
        <f t="shared" si="169"/>
        <v>-0.31336373073770657</v>
      </c>
      <c r="BH393" s="13" t="s">
        <v>343</v>
      </c>
      <c r="BI393" s="15"/>
      <c r="BJ393" s="13"/>
      <c r="BK393" s="15"/>
      <c r="BL393" s="16"/>
      <c r="BM393" s="18"/>
      <c r="BN393" s="8"/>
      <c r="BO393" s="24"/>
    </row>
    <row r="394" spans="1:67" s="14" customFormat="1" x14ac:dyDescent="0.3">
      <c r="A394" s="20">
        <v>400</v>
      </c>
      <c r="B394" s="2" t="s">
        <v>230</v>
      </c>
      <c r="C394" s="2">
        <v>2019</v>
      </c>
      <c r="D394" s="2" t="s">
        <v>203</v>
      </c>
      <c r="E394" s="10" t="s">
        <v>231</v>
      </c>
      <c r="F394" s="20" t="s">
        <v>29</v>
      </c>
      <c r="G394" s="2" t="s">
        <v>110</v>
      </c>
      <c r="H394" s="2" t="str">
        <f>'PFAS Properties'!$B$33</f>
        <v>PFOA</v>
      </c>
      <c r="I394" s="2" t="str">
        <f>'PFAS Properties'!$C$33</f>
        <v>PFCA</v>
      </c>
      <c r="J394" s="2" t="str">
        <f>'PFAS Properties'!$D$33</f>
        <v>C8HF15O2</v>
      </c>
      <c r="K394" s="25">
        <f>'PFAS Properties'!$P$33</f>
        <v>413.97359999999998</v>
      </c>
      <c r="L394" s="2">
        <f>'PFAS Properties'!$X$33</f>
        <v>-0.2</v>
      </c>
      <c r="M394" s="2" t="str">
        <f>'PFAS Properties'!$Y$33</f>
        <v>-</v>
      </c>
      <c r="N394" s="33">
        <v>0</v>
      </c>
      <c r="O394" s="33">
        <v>0</v>
      </c>
      <c r="P394" s="33">
        <v>0</v>
      </c>
      <c r="Q394" s="33">
        <f t="shared" si="170"/>
        <v>0.99999999683772234</v>
      </c>
      <c r="R394" s="33">
        <v>0</v>
      </c>
      <c r="S394" s="33">
        <f t="shared" si="171"/>
        <v>3.162277650168378E-9</v>
      </c>
      <c r="T394" s="8">
        <f t="shared" si="151"/>
        <v>1</v>
      </c>
      <c r="U394" s="33">
        <f t="shared" si="161"/>
        <v>0</v>
      </c>
      <c r="V394" s="33">
        <f t="shared" si="162"/>
        <v>-0.99999999683772234</v>
      </c>
      <c r="W394" s="33">
        <f t="shared" si="163"/>
        <v>412.97360000316223</v>
      </c>
      <c r="X394" s="33">
        <v>96485</v>
      </c>
      <c r="Y394" s="16">
        <f t="shared" si="164"/>
        <v>-233.63478850500087</v>
      </c>
      <c r="Z394" s="16">
        <v>8</v>
      </c>
      <c r="AA394" s="16">
        <v>15</v>
      </c>
      <c r="AB394" s="8">
        <f t="shared" si="165"/>
        <v>0.33684210526315789</v>
      </c>
      <c r="AC394" s="16">
        <f t="shared" si="166"/>
        <v>68.844969824162703</v>
      </c>
      <c r="AD394" s="20">
        <f>'PFAS Properties'!$W$33</f>
        <v>7</v>
      </c>
      <c r="AE394" s="8">
        <f>'PFAS Properties'!$S$33</f>
        <v>2.6821450763738319</v>
      </c>
      <c r="AF394" s="15">
        <f>'PFAS Properties'!$V$33</f>
        <v>4.9000000000000004</v>
      </c>
      <c r="AG394" s="24">
        <v>8.3000000000000007</v>
      </c>
      <c r="AH394" s="2" t="s">
        <v>355</v>
      </c>
      <c r="AI394" s="2" t="s">
        <v>661</v>
      </c>
      <c r="AJ394" s="2" t="s">
        <v>661</v>
      </c>
      <c r="AK394" s="2" t="s">
        <v>661</v>
      </c>
      <c r="AL394" s="2" t="s">
        <v>661</v>
      </c>
      <c r="AM394" s="2" t="s">
        <v>661</v>
      </c>
      <c r="AN394" s="2" t="s">
        <v>661</v>
      </c>
      <c r="AO394" s="2" t="s">
        <v>661</v>
      </c>
      <c r="AP394" s="16">
        <v>24.8</v>
      </c>
      <c r="AQ394" s="2" t="s">
        <v>661</v>
      </c>
      <c r="AR394" s="71">
        <v>30.683900000000001</v>
      </c>
      <c r="AS394" s="71">
        <v>38.891100000000002</v>
      </c>
      <c r="AT394" s="71">
        <v>30.567799999999998</v>
      </c>
      <c r="AU394" s="70" t="s">
        <v>752</v>
      </c>
      <c r="AV394" s="16">
        <f t="shared" si="157"/>
        <v>100.14279999999999</v>
      </c>
      <c r="AW394" s="18">
        <v>0.1</v>
      </c>
      <c r="AX394" s="13">
        <f t="shared" si="158"/>
        <v>1E-3</v>
      </c>
      <c r="AY394" s="8" t="s">
        <v>111</v>
      </c>
      <c r="AZ394" s="15">
        <v>0.2</v>
      </c>
      <c r="BA394" s="15">
        <v>15</v>
      </c>
      <c r="BB394" s="16" t="s">
        <v>55</v>
      </c>
      <c r="BC394" s="12" t="s">
        <v>55</v>
      </c>
      <c r="BD394" s="18">
        <f>BO394</f>
        <v>8.9796337074491426</v>
      </c>
      <c r="BE394" s="16">
        <f t="shared" si="167"/>
        <v>8979.6337074491421</v>
      </c>
      <c r="BF394" s="8">
        <f t="shared" si="168"/>
        <v>3.9532586215138426</v>
      </c>
      <c r="BG394" s="8">
        <f t="shared" si="169"/>
        <v>0.95325862151384266</v>
      </c>
      <c r="BH394" s="13" t="s">
        <v>782</v>
      </c>
      <c r="BI394" s="16">
        <f>10^1</f>
        <v>10</v>
      </c>
      <c r="BJ394" s="16" t="s">
        <v>330</v>
      </c>
      <c r="BK394" s="8">
        <v>1.05</v>
      </c>
      <c r="BL394" s="16">
        <f>BI394*(K394/1000)/((K394^BK394)/1000)</f>
        <v>7.3986309978893736</v>
      </c>
      <c r="BM394" s="25">
        <f>'PFAS Properties'!$U$33</f>
        <v>48.1</v>
      </c>
      <c r="BN394" s="16">
        <f>(BL394*(BM394^BK394))</f>
        <v>431.92038132830373</v>
      </c>
      <c r="BO394" s="24">
        <f>BN394/BM394</f>
        <v>8.9796337074491426</v>
      </c>
    </row>
    <row r="395" spans="1:67" s="14" customFormat="1" x14ac:dyDescent="0.3">
      <c r="A395" s="20">
        <v>401</v>
      </c>
      <c r="B395" s="2" t="s">
        <v>230</v>
      </c>
      <c r="C395" s="2">
        <v>2019</v>
      </c>
      <c r="D395" s="2" t="s">
        <v>203</v>
      </c>
      <c r="E395" s="10" t="s">
        <v>231</v>
      </c>
      <c r="F395" s="20" t="s">
        <v>29</v>
      </c>
      <c r="G395" s="2" t="s">
        <v>112</v>
      </c>
      <c r="H395" s="2" t="str">
        <f>'PFAS Properties'!$B$33</f>
        <v>PFOA</v>
      </c>
      <c r="I395" s="2" t="str">
        <f>'PFAS Properties'!$C$33</f>
        <v>PFCA</v>
      </c>
      <c r="J395" s="2" t="str">
        <f>'PFAS Properties'!$D$33</f>
        <v>C8HF15O2</v>
      </c>
      <c r="K395" s="25">
        <f>'PFAS Properties'!$P$33</f>
        <v>413.97359999999998</v>
      </c>
      <c r="L395" s="2">
        <f>'PFAS Properties'!$X$33</f>
        <v>-0.2</v>
      </c>
      <c r="M395" s="2" t="str">
        <f>'PFAS Properties'!$Y$33</f>
        <v>-</v>
      </c>
      <c r="N395" s="33">
        <v>0</v>
      </c>
      <c r="O395" s="33">
        <v>0</v>
      </c>
      <c r="P395" s="33">
        <v>0</v>
      </c>
      <c r="Q395" s="33">
        <f t="shared" si="170"/>
        <v>0.99999999601892831</v>
      </c>
      <c r="R395" s="33">
        <v>0</v>
      </c>
      <c r="S395" s="33">
        <f t="shared" si="171"/>
        <v>3.9810716896860486E-9</v>
      </c>
      <c r="T395" s="8">
        <f t="shared" si="151"/>
        <v>1</v>
      </c>
      <c r="U395" s="33">
        <f t="shared" si="161"/>
        <v>0</v>
      </c>
      <c r="V395" s="33">
        <f t="shared" si="162"/>
        <v>-0.99999999601892831</v>
      </c>
      <c r="W395" s="33">
        <f t="shared" si="163"/>
        <v>412.97360000398106</v>
      </c>
      <c r="X395" s="33">
        <v>96485</v>
      </c>
      <c r="Y395" s="16">
        <f t="shared" si="164"/>
        <v>-233.63478831323886</v>
      </c>
      <c r="Z395" s="16">
        <v>8</v>
      </c>
      <c r="AA395" s="16">
        <v>15</v>
      </c>
      <c r="AB395" s="8">
        <f t="shared" si="165"/>
        <v>0.33684210526315789</v>
      </c>
      <c r="AC395" s="16">
        <f t="shared" si="166"/>
        <v>68.844969824162703</v>
      </c>
      <c r="AD395" s="20">
        <f>'PFAS Properties'!$W$33</f>
        <v>7</v>
      </c>
      <c r="AE395" s="8">
        <f>'PFAS Properties'!$S$33</f>
        <v>2.6821450763738319</v>
      </c>
      <c r="AF395" s="15">
        <f>'PFAS Properties'!$V$33</f>
        <v>4.9000000000000004</v>
      </c>
      <c r="AG395" s="24">
        <v>8.1999999999999993</v>
      </c>
      <c r="AH395" s="2" t="s">
        <v>355</v>
      </c>
      <c r="AI395" s="2" t="s">
        <v>661</v>
      </c>
      <c r="AJ395" s="2" t="s">
        <v>661</v>
      </c>
      <c r="AK395" s="2" t="s">
        <v>661</v>
      </c>
      <c r="AL395" s="2" t="s">
        <v>661</v>
      </c>
      <c r="AM395" s="2" t="s">
        <v>661</v>
      </c>
      <c r="AN395" s="2" t="s">
        <v>661</v>
      </c>
      <c r="AO395" s="2" t="s">
        <v>661</v>
      </c>
      <c r="AP395" s="16">
        <v>41.3</v>
      </c>
      <c r="AQ395" s="2" t="s">
        <v>661</v>
      </c>
      <c r="AR395" s="71">
        <v>33.491900000000001</v>
      </c>
      <c r="AS395" s="71">
        <v>33.659599999999998</v>
      </c>
      <c r="AT395" s="71">
        <v>31.685300000000002</v>
      </c>
      <c r="AU395" s="70" t="s">
        <v>752</v>
      </c>
      <c r="AV395" s="16">
        <f t="shared" si="157"/>
        <v>98.836799999999997</v>
      </c>
      <c r="AW395" s="18">
        <v>0.1</v>
      </c>
      <c r="AX395" s="13">
        <f t="shared" si="158"/>
        <v>1E-3</v>
      </c>
      <c r="AY395" s="8" t="s">
        <v>111</v>
      </c>
      <c r="AZ395" s="15">
        <v>0.2</v>
      </c>
      <c r="BA395" s="15">
        <v>15</v>
      </c>
      <c r="BB395" s="16" t="s">
        <v>55</v>
      </c>
      <c r="BC395" s="12" t="s">
        <v>55</v>
      </c>
      <c r="BD395" s="18">
        <f>BO395</f>
        <v>15.511425964038613</v>
      </c>
      <c r="BE395" s="16">
        <f t="shared" si="167"/>
        <v>15511.425964038614</v>
      </c>
      <c r="BF395" s="8">
        <f t="shared" si="168"/>
        <v>4.1906517243027688</v>
      </c>
      <c r="BG395" s="8">
        <f t="shared" si="169"/>
        <v>1.1906517243027688</v>
      </c>
      <c r="BH395" s="13" t="s">
        <v>782</v>
      </c>
      <c r="BI395" s="16">
        <f>10^1.2</f>
        <v>15.848931924611136</v>
      </c>
      <c r="BJ395" s="16" t="s">
        <v>330</v>
      </c>
      <c r="BK395" s="8">
        <v>1.01</v>
      </c>
      <c r="BL395" s="16">
        <f>BI395*(K395/1000)/((K395^BK395)/1000)</f>
        <v>14.92211125148676</v>
      </c>
      <c r="BM395" s="25">
        <f>'PFAS Properties'!$U$33</f>
        <v>48.1</v>
      </c>
      <c r="BN395" s="16">
        <f>(BL395*(BM395^BK395))</f>
        <v>746.09958887025732</v>
      </c>
      <c r="BO395" s="24">
        <f>BN395/BM395</f>
        <v>15.511425964038613</v>
      </c>
    </row>
    <row r="396" spans="1:67" s="14" customFormat="1" x14ac:dyDescent="0.3">
      <c r="A396" s="20">
        <v>402</v>
      </c>
      <c r="B396" s="2" t="s">
        <v>230</v>
      </c>
      <c r="C396" s="2">
        <v>2019</v>
      </c>
      <c r="D396" s="2" t="s">
        <v>203</v>
      </c>
      <c r="E396" s="10" t="s">
        <v>231</v>
      </c>
      <c r="F396" s="20" t="s">
        <v>29</v>
      </c>
      <c r="G396" s="2" t="s">
        <v>113</v>
      </c>
      <c r="H396" s="2" t="str">
        <f>'PFAS Properties'!$B$33</f>
        <v>PFOA</v>
      </c>
      <c r="I396" s="2" t="str">
        <f>'PFAS Properties'!$C$33</f>
        <v>PFCA</v>
      </c>
      <c r="J396" s="2" t="str">
        <f>'PFAS Properties'!$D$33</f>
        <v>C8HF15O2</v>
      </c>
      <c r="K396" s="25">
        <f>'PFAS Properties'!$P$33</f>
        <v>413.97359999999998</v>
      </c>
      <c r="L396" s="2">
        <f>'PFAS Properties'!$X$33</f>
        <v>-0.2</v>
      </c>
      <c r="M396" s="2" t="str">
        <f>'PFAS Properties'!$Y$33</f>
        <v>-</v>
      </c>
      <c r="N396" s="33">
        <v>0</v>
      </c>
      <c r="O396" s="33">
        <v>0</v>
      </c>
      <c r="P396" s="33">
        <v>0</v>
      </c>
      <c r="Q396" s="33">
        <f t="shared" si="170"/>
        <v>0.99999999748811352</v>
      </c>
      <c r="R396" s="33">
        <v>0</v>
      </c>
      <c r="S396" s="33">
        <f t="shared" si="171"/>
        <v>2.5118864252000079E-9</v>
      </c>
      <c r="T396" s="8">
        <f t="shared" si="151"/>
        <v>1</v>
      </c>
      <c r="U396" s="33">
        <f t="shared" si="161"/>
        <v>0</v>
      </c>
      <c r="V396" s="33">
        <f t="shared" si="162"/>
        <v>-0.99999999748811352</v>
      </c>
      <c r="W396" s="33">
        <f t="shared" si="163"/>
        <v>412.97360000251183</v>
      </c>
      <c r="X396" s="33">
        <v>96485</v>
      </c>
      <c r="Y396" s="16">
        <f t="shared" si="164"/>
        <v>-233.63478865732284</v>
      </c>
      <c r="Z396" s="16">
        <v>8</v>
      </c>
      <c r="AA396" s="16">
        <v>15</v>
      </c>
      <c r="AB396" s="8">
        <f t="shared" si="165"/>
        <v>0.33684210526315789</v>
      </c>
      <c r="AC396" s="16">
        <f t="shared" si="166"/>
        <v>68.844969824162703</v>
      </c>
      <c r="AD396" s="20">
        <f>'PFAS Properties'!$W$33</f>
        <v>7</v>
      </c>
      <c r="AE396" s="8">
        <f>'PFAS Properties'!$S$33</f>
        <v>2.6821450763738319</v>
      </c>
      <c r="AF396" s="15">
        <f>'PFAS Properties'!$V$33</f>
        <v>4.9000000000000004</v>
      </c>
      <c r="AG396" s="24">
        <v>8.4</v>
      </c>
      <c r="AH396" s="2" t="s">
        <v>355</v>
      </c>
      <c r="AI396" s="2" t="s">
        <v>661</v>
      </c>
      <c r="AJ396" s="2" t="s">
        <v>661</v>
      </c>
      <c r="AK396" s="2" t="s">
        <v>661</v>
      </c>
      <c r="AL396" s="2" t="s">
        <v>661</v>
      </c>
      <c r="AM396" s="2" t="s">
        <v>661</v>
      </c>
      <c r="AN396" s="2" t="s">
        <v>661</v>
      </c>
      <c r="AO396" s="2" t="s">
        <v>661</v>
      </c>
      <c r="AP396" s="16">
        <v>22.5</v>
      </c>
      <c r="AQ396" s="2" t="s">
        <v>661</v>
      </c>
      <c r="AR396" s="71">
        <v>34.417400000000001</v>
      </c>
      <c r="AS396" s="71">
        <v>33.425600000000003</v>
      </c>
      <c r="AT396" s="71">
        <v>31.142800000000001</v>
      </c>
      <c r="AU396" s="70" t="s">
        <v>752</v>
      </c>
      <c r="AV396" s="16">
        <f t="shared" si="157"/>
        <v>98.985800000000012</v>
      </c>
      <c r="AW396" s="18">
        <v>0.9</v>
      </c>
      <c r="AX396" s="13">
        <f t="shared" si="158"/>
        <v>9.0000000000000011E-3</v>
      </c>
      <c r="AY396" s="8" t="s">
        <v>111</v>
      </c>
      <c r="AZ396" s="15">
        <v>0.2</v>
      </c>
      <c r="BA396" s="15">
        <v>15</v>
      </c>
      <c r="BB396" s="16" t="s">
        <v>55</v>
      </c>
      <c r="BC396" s="12" t="s">
        <v>55</v>
      </c>
      <c r="BD396" s="18">
        <f>BO396</f>
        <v>3.9810717055349731</v>
      </c>
      <c r="BE396" s="16">
        <f t="shared" si="167"/>
        <v>442.34130061499695</v>
      </c>
      <c r="BF396" s="8">
        <f t="shared" si="168"/>
        <v>2.6457574905606753</v>
      </c>
      <c r="BG396" s="8">
        <f t="shared" si="169"/>
        <v>0.60000000000000009</v>
      </c>
      <c r="BH396" s="13" t="s">
        <v>782</v>
      </c>
      <c r="BI396" s="16">
        <f>10^0.6</f>
        <v>3.9810717055349727</v>
      </c>
      <c r="BJ396" s="16" t="s">
        <v>330</v>
      </c>
      <c r="BK396" s="8">
        <v>1</v>
      </c>
      <c r="BL396" s="16">
        <f>BI396*(K396/1000)/((K396^BK396)/1000)</f>
        <v>3.9810717055349731</v>
      </c>
      <c r="BM396" s="25">
        <f>'PFAS Properties'!$U$33</f>
        <v>48.1</v>
      </c>
      <c r="BN396" s="16">
        <f>(BL396*(BM396^BK396))</f>
        <v>191.48954903623221</v>
      </c>
      <c r="BO396" s="24">
        <f>BN396/BM396</f>
        <v>3.9810717055349731</v>
      </c>
    </row>
    <row r="397" spans="1:67" s="14" customFormat="1" x14ac:dyDescent="0.3">
      <c r="A397" s="20">
        <v>403</v>
      </c>
      <c r="B397" s="2" t="s">
        <v>230</v>
      </c>
      <c r="C397" s="2">
        <v>2019</v>
      </c>
      <c r="D397" s="2" t="s">
        <v>203</v>
      </c>
      <c r="E397" s="10" t="s">
        <v>231</v>
      </c>
      <c r="F397" s="20" t="s">
        <v>29</v>
      </c>
      <c r="G397" s="2" t="s">
        <v>114</v>
      </c>
      <c r="H397" s="2" t="str">
        <f>'PFAS Properties'!$B$33</f>
        <v>PFOA</v>
      </c>
      <c r="I397" s="2" t="str">
        <f>'PFAS Properties'!$C$33</f>
        <v>PFCA</v>
      </c>
      <c r="J397" s="2" t="str">
        <f>'PFAS Properties'!$D$33</f>
        <v>C8HF15O2</v>
      </c>
      <c r="K397" s="25">
        <f>'PFAS Properties'!$P$33</f>
        <v>413.97359999999998</v>
      </c>
      <c r="L397" s="2">
        <f>'PFAS Properties'!$X$33</f>
        <v>-0.2</v>
      </c>
      <c r="M397" s="2" t="str">
        <f>'PFAS Properties'!$Y$33</f>
        <v>-</v>
      </c>
      <c r="N397" s="33">
        <v>0</v>
      </c>
      <c r="O397" s="33">
        <v>0</v>
      </c>
      <c r="P397" s="33">
        <v>0</v>
      </c>
      <c r="Q397" s="33">
        <f t="shared" si="170"/>
        <v>0.99999999601892831</v>
      </c>
      <c r="R397" s="33">
        <v>0</v>
      </c>
      <c r="S397" s="33">
        <f t="shared" si="171"/>
        <v>3.9810716896860486E-9</v>
      </c>
      <c r="T397" s="8">
        <f t="shared" si="151"/>
        <v>1</v>
      </c>
      <c r="U397" s="33">
        <f t="shared" si="161"/>
        <v>0</v>
      </c>
      <c r="V397" s="33">
        <f t="shared" si="162"/>
        <v>-0.99999999601892831</v>
      </c>
      <c r="W397" s="33">
        <f t="shared" si="163"/>
        <v>412.97360000398106</v>
      </c>
      <c r="X397" s="33">
        <v>96485</v>
      </c>
      <c r="Y397" s="16">
        <f t="shared" si="164"/>
        <v>-233.63478831323886</v>
      </c>
      <c r="Z397" s="16">
        <v>8</v>
      </c>
      <c r="AA397" s="16">
        <v>15</v>
      </c>
      <c r="AB397" s="8">
        <f t="shared" si="165"/>
        <v>0.33684210526315789</v>
      </c>
      <c r="AC397" s="16">
        <f t="shared" si="166"/>
        <v>68.844969824162703</v>
      </c>
      <c r="AD397" s="20">
        <f>'PFAS Properties'!$W$33</f>
        <v>7</v>
      </c>
      <c r="AE397" s="8">
        <f>'PFAS Properties'!$S$33</f>
        <v>2.6821450763738319</v>
      </c>
      <c r="AF397" s="15">
        <f>'PFAS Properties'!$V$33</f>
        <v>4.9000000000000004</v>
      </c>
      <c r="AG397" s="24">
        <v>8.1999999999999993</v>
      </c>
      <c r="AH397" s="2" t="s">
        <v>355</v>
      </c>
      <c r="AI397" s="2" t="s">
        <v>661</v>
      </c>
      <c r="AJ397" s="2" t="s">
        <v>661</v>
      </c>
      <c r="AK397" s="2" t="s">
        <v>661</v>
      </c>
      <c r="AL397" s="2" t="s">
        <v>661</v>
      </c>
      <c r="AM397" s="2" t="s">
        <v>661</v>
      </c>
      <c r="AN397" s="2" t="s">
        <v>661</v>
      </c>
      <c r="AO397" s="2" t="s">
        <v>661</v>
      </c>
      <c r="AP397" s="16">
        <v>38.200000000000003</v>
      </c>
      <c r="AQ397" s="2" t="s">
        <v>661</v>
      </c>
      <c r="AR397" s="71">
        <v>31.346399999999999</v>
      </c>
      <c r="AS397" s="71">
        <v>39.162100000000002</v>
      </c>
      <c r="AT397" s="71">
        <v>29.6173</v>
      </c>
      <c r="AU397" s="70" t="s">
        <v>752</v>
      </c>
      <c r="AV397" s="16">
        <f t="shared" si="157"/>
        <v>100.1258</v>
      </c>
      <c r="AW397" s="18">
        <v>1.2</v>
      </c>
      <c r="AX397" s="13">
        <f t="shared" si="158"/>
        <v>1.2E-2</v>
      </c>
      <c r="AY397" s="8" t="s">
        <v>111</v>
      </c>
      <c r="AZ397" s="15">
        <v>0.2</v>
      </c>
      <c r="BA397" s="15">
        <v>15</v>
      </c>
      <c r="BB397" s="16" t="s">
        <v>55</v>
      </c>
      <c r="BC397" s="12" t="s">
        <v>55</v>
      </c>
      <c r="BD397" s="18">
        <f>BO397</f>
        <v>10.828344646452289</v>
      </c>
      <c r="BE397" s="16">
        <f t="shared" si="167"/>
        <v>902.36205387102405</v>
      </c>
      <c r="BF397" s="8">
        <f t="shared" si="168"/>
        <v>2.9553808240717547</v>
      </c>
      <c r="BG397" s="8">
        <f t="shared" si="169"/>
        <v>1.0345620701193796</v>
      </c>
      <c r="BH397" s="13" t="s">
        <v>782</v>
      </c>
      <c r="BI397" s="16">
        <f>10^1.1</f>
        <v>12.58925411794168</v>
      </c>
      <c r="BJ397" s="16" t="s">
        <v>330</v>
      </c>
      <c r="BK397" s="8">
        <v>1.07</v>
      </c>
      <c r="BL397" s="16">
        <f>BI397*(K397/1000)/((K397^BK397)/1000)</f>
        <v>8.256802846668835</v>
      </c>
      <c r="BM397" s="25">
        <f>'PFAS Properties'!$U$33</f>
        <v>48.1</v>
      </c>
      <c r="BN397" s="16">
        <f>(BL397*(BM397^BK397))</f>
        <v>520.84337749435508</v>
      </c>
      <c r="BO397" s="24">
        <f>BN397/BM397</f>
        <v>10.828344646452289</v>
      </c>
    </row>
    <row r="398" spans="1:67" s="14" customFormat="1" x14ac:dyDescent="0.3">
      <c r="A398" s="20">
        <v>404</v>
      </c>
      <c r="B398" s="2" t="s">
        <v>230</v>
      </c>
      <c r="C398" s="2">
        <v>2019</v>
      </c>
      <c r="D398" s="2" t="s">
        <v>203</v>
      </c>
      <c r="E398" s="10" t="s">
        <v>231</v>
      </c>
      <c r="F398" s="20" t="s">
        <v>29</v>
      </c>
      <c r="G398" s="2" t="s">
        <v>115</v>
      </c>
      <c r="H398" s="2" t="str">
        <f>'PFAS Properties'!$B$33</f>
        <v>PFOA</v>
      </c>
      <c r="I398" s="2" t="str">
        <f>'PFAS Properties'!$C$33</f>
        <v>PFCA</v>
      </c>
      <c r="J398" s="2" t="str">
        <f>'PFAS Properties'!$D$33</f>
        <v>C8HF15O2</v>
      </c>
      <c r="K398" s="25">
        <f>'PFAS Properties'!$P$33</f>
        <v>413.97359999999998</v>
      </c>
      <c r="L398" s="2">
        <f>'PFAS Properties'!$X$33</f>
        <v>-0.2</v>
      </c>
      <c r="M398" s="2" t="str">
        <f>'PFAS Properties'!$Y$33</f>
        <v>-</v>
      </c>
      <c r="N398" s="33">
        <v>0</v>
      </c>
      <c r="O398" s="33">
        <v>0</v>
      </c>
      <c r="P398" s="33">
        <v>0</v>
      </c>
      <c r="Q398" s="33">
        <f t="shared" si="170"/>
        <v>0.99999999601892831</v>
      </c>
      <c r="R398" s="33">
        <v>0</v>
      </c>
      <c r="S398" s="33">
        <f t="shared" si="171"/>
        <v>3.9810716896860486E-9</v>
      </c>
      <c r="T398" s="8">
        <f t="shared" si="151"/>
        <v>1</v>
      </c>
      <c r="U398" s="33">
        <f t="shared" si="161"/>
        <v>0</v>
      </c>
      <c r="V398" s="33">
        <f t="shared" si="162"/>
        <v>-0.99999999601892831</v>
      </c>
      <c r="W398" s="33">
        <f t="shared" si="163"/>
        <v>412.97360000398106</v>
      </c>
      <c r="X398" s="33">
        <v>96485</v>
      </c>
      <c r="Y398" s="16">
        <f t="shared" si="164"/>
        <v>-233.63478831323886</v>
      </c>
      <c r="Z398" s="16">
        <v>8</v>
      </c>
      <c r="AA398" s="16">
        <v>15</v>
      </c>
      <c r="AB398" s="8">
        <f t="shared" si="165"/>
        <v>0.33684210526315789</v>
      </c>
      <c r="AC398" s="16">
        <f t="shared" si="166"/>
        <v>68.844969824162703</v>
      </c>
      <c r="AD398" s="20">
        <f>'PFAS Properties'!$W$33</f>
        <v>7</v>
      </c>
      <c r="AE398" s="8">
        <f>'PFAS Properties'!$S$33</f>
        <v>2.6821450763738319</v>
      </c>
      <c r="AF398" s="15">
        <f>'PFAS Properties'!$V$33</f>
        <v>4.9000000000000004</v>
      </c>
      <c r="AG398" s="24">
        <v>8.1999999999999993</v>
      </c>
      <c r="AH398" s="2" t="s">
        <v>355</v>
      </c>
      <c r="AI398" s="2" t="s">
        <v>661</v>
      </c>
      <c r="AJ398" s="2" t="s">
        <v>661</v>
      </c>
      <c r="AK398" s="2" t="s">
        <v>661</v>
      </c>
      <c r="AL398" s="2" t="s">
        <v>661</v>
      </c>
      <c r="AM398" s="2" t="s">
        <v>661</v>
      </c>
      <c r="AN398" s="2" t="s">
        <v>661</v>
      </c>
      <c r="AO398" s="2" t="s">
        <v>661</v>
      </c>
      <c r="AP398" s="16">
        <v>41</v>
      </c>
      <c r="AQ398" s="2" t="s">
        <v>661</v>
      </c>
      <c r="AR398" s="71">
        <v>34.556900000000013</v>
      </c>
      <c r="AS398" s="71">
        <v>33.706099999999999</v>
      </c>
      <c r="AT398" s="71">
        <v>30.8308</v>
      </c>
      <c r="AU398" s="70" t="s">
        <v>752</v>
      </c>
      <c r="AV398" s="16">
        <f t="shared" si="157"/>
        <v>99.093800000000002</v>
      </c>
      <c r="AW398" s="18">
        <v>5.3</v>
      </c>
      <c r="AX398" s="13">
        <f t="shared" si="158"/>
        <v>5.2999999999999999E-2</v>
      </c>
      <c r="AY398" s="8" t="s">
        <v>111</v>
      </c>
      <c r="AZ398" s="15">
        <v>0.2</v>
      </c>
      <c r="BA398" s="15">
        <v>15</v>
      </c>
      <c r="BB398" s="16" t="s">
        <v>55</v>
      </c>
      <c r="BC398" s="12" t="s">
        <v>55</v>
      </c>
      <c r="BD398" s="18">
        <f>BO398</f>
        <v>5.2323471624199085</v>
      </c>
      <c r="BE398" s="16">
        <f t="shared" si="167"/>
        <v>98.723531366413368</v>
      </c>
      <c r="BF398" s="8">
        <f t="shared" si="168"/>
        <v>1.994420681793674</v>
      </c>
      <c r="BG398" s="8">
        <f t="shared" si="169"/>
        <v>0.7186965513944632</v>
      </c>
      <c r="BH398" s="13" t="s">
        <v>782</v>
      </c>
      <c r="BI398" s="16">
        <f>10^0.7</f>
        <v>5.0118723362727229</v>
      </c>
      <c r="BJ398" s="16" t="s">
        <v>330</v>
      </c>
      <c r="BK398" s="8">
        <v>0.98</v>
      </c>
      <c r="BL398" s="16">
        <f>BI398*(K398/1000)/((K398^BK398)/1000)</f>
        <v>5.6537871303303477</v>
      </c>
      <c r="BM398" s="25">
        <f>'PFAS Properties'!$U$33</f>
        <v>48.1</v>
      </c>
      <c r="BN398" s="16">
        <f>(BL398*(BM398^BK398))</f>
        <v>251.67589851239762</v>
      </c>
      <c r="BO398" s="24">
        <f>BN398/BM398</f>
        <v>5.2323471624199085</v>
      </c>
    </row>
    <row r="399" spans="1:67" s="14" customFormat="1" x14ac:dyDescent="0.3">
      <c r="A399" s="20">
        <v>405</v>
      </c>
      <c r="B399" s="2" t="s">
        <v>221</v>
      </c>
      <c r="C399" s="2">
        <v>2016</v>
      </c>
      <c r="D399" s="2" t="s">
        <v>199</v>
      </c>
      <c r="E399" s="22" t="s">
        <v>811</v>
      </c>
      <c r="F399" s="20" t="s">
        <v>63</v>
      </c>
      <c r="G399" s="2" t="s">
        <v>64</v>
      </c>
      <c r="H399" s="2" t="str">
        <f>'PFAS Properties'!$B$33</f>
        <v>PFOA</v>
      </c>
      <c r="I399" s="2" t="str">
        <f>'PFAS Properties'!$C$33</f>
        <v>PFCA</v>
      </c>
      <c r="J399" s="2" t="str">
        <f>'PFAS Properties'!$D$33</f>
        <v>C8HF15O2</v>
      </c>
      <c r="K399" s="25">
        <f>'PFAS Properties'!$P$33</f>
        <v>413.97359999999998</v>
      </c>
      <c r="L399" s="2">
        <f>'PFAS Properties'!$X$33</f>
        <v>-0.2</v>
      </c>
      <c r="M399" s="2" t="str">
        <f>'PFAS Properties'!$Y$33</f>
        <v>-</v>
      </c>
      <c r="N399" s="33">
        <v>0</v>
      </c>
      <c r="O399" s="33">
        <v>0</v>
      </c>
      <c r="P399" s="33">
        <v>0</v>
      </c>
      <c r="Q399" s="33">
        <f t="shared" si="170"/>
        <v>0.99999998415106828</v>
      </c>
      <c r="R399" s="33">
        <v>0</v>
      </c>
      <c r="S399" s="33">
        <f t="shared" si="171"/>
        <v>1.5848931673422493E-8</v>
      </c>
      <c r="T399" s="8">
        <f t="shared" si="151"/>
        <v>1</v>
      </c>
      <c r="U399" s="33">
        <f t="shared" si="161"/>
        <v>0</v>
      </c>
      <c r="V399" s="33">
        <f t="shared" si="162"/>
        <v>-0.99999998415106828</v>
      </c>
      <c r="W399" s="33">
        <f t="shared" si="163"/>
        <v>412.97360001584889</v>
      </c>
      <c r="X399" s="33">
        <v>96485</v>
      </c>
      <c r="Y399" s="16">
        <f t="shared" si="164"/>
        <v>-233.63478553377979</v>
      </c>
      <c r="Z399" s="16">
        <v>8</v>
      </c>
      <c r="AA399" s="16">
        <v>15</v>
      </c>
      <c r="AB399" s="8">
        <f t="shared" si="165"/>
        <v>0.33684210526315789</v>
      </c>
      <c r="AC399" s="16">
        <f t="shared" si="166"/>
        <v>68.844969824162703</v>
      </c>
      <c r="AD399" s="20">
        <f>'PFAS Properties'!$W$33</f>
        <v>7</v>
      </c>
      <c r="AE399" s="8">
        <f>'PFAS Properties'!$S$33</f>
        <v>2.6821450763738319</v>
      </c>
      <c r="AF399" s="15">
        <f>'PFAS Properties'!$V$33</f>
        <v>4.9000000000000004</v>
      </c>
      <c r="AG399" s="24">
        <v>7.6</v>
      </c>
      <c r="AH399" s="2" t="s">
        <v>661</v>
      </c>
      <c r="AI399" s="2">
        <v>2.8492E-2</v>
      </c>
      <c r="AJ399" s="15">
        <f>AI399*1000/55.845</f>
        <v>0.51019786910197873</v>
      </c>
      <c r="AK399" s="8">
        <f>AI399/10</f>
        <v>2.8492000000000001E-3</v>
      </c>
      <c r="AL399" s="12">
        <v>1.2054E-2</v>
      </c>
      <c r="AM399" s="15">
        <f>AL399*1000/26.98</f>
        <v>0.4467753891771683</v>
      </c>
      <c r="AN399" s="8">
        <f>AL399/10</f>
        <v>1.2054000000000001E-3</v>
      </c>
      <c r="AO399" s="2" t="s">
        <v>661</v>
      </c>
      <c r="AP399" s="71">
        <v>15.90036666666667</v>
      </c>
      <c r="AQ399" s="70" t="s">
        <v>752</v>
      </c>
      <c r="AR399" s="2">
        <v>4</v>
      </c>
      <c r="AS399" s="2">
        <v>61</v>
      </c>
      <c r="AT399" s="2">
        <v>35</v>
      </c>
      <c r="AU399" s="2" t="s">
        <v>661</v>
      </c>
      <c r="AV399" s="16">
        <f t="shared" si="157"/>
        <v>100</v>
      </c>
      <c r="AW399" s="18">
        <v>2.52</v>
      </c>
      <c r="AX399" s="13">
        <f t="shared" si="158"/>
        <v>2.52E-2</v>
      </c>
      <c r="AY399" s="13" t="s">
        <v>65</v>
      </c>
      <c r="AZ399" s="16">
        <f>5/0.04</f>
        <v>125</v>
      </c>
      <c r="BA399" s="16" t="s">
        <v>55</v>
      </c>
      <c r="BB399" s="15">
        <v>0.5</v>
      </c>
      <c r="BC399" s="16">
        <v>100</v>
      </c>
      <c r="BD399" s="18">
        <f>10^0.45</f>
        <v>2.8183829312644542</v>
      </c>
      <c r="BE399" s="15">
        <f t="shared" si="167"/>
        <v>111.84059251049422</v>
      </c>
      <c r="BF399" s="8">
        <f t="shared" si="168"/>
        <v>2.048599459218456</v>
      </c>
      <c r="BG399" s="8">
        <f t="shared" si="169"/>
        <v>0.45000000000000007</v>
      </c>
      <c r="BH399" s="13" t="s">
        <v>390</v>
      </c>
      <c r="BI399" s="13"/>
      <c r="BJ399" s="13"/>
      <c r="BK399" s="15"/>
      <c r="BL399" s="8"/>
      <c r="BM399" s="18"/>
      <c r="BN399" s="8"/>
      <c r="BO399" s="24"/>
    </row>
    <row r="400" spans="1:67" s="14" customFormat="1" x14ac:dyDescent="0.3">
      <c r="A400" s="20">
        <v>406</v>
      </c>
      <c r="B400" s="2" t="s">
        <v>202</v>
      </c>
      <c r="C400" s="2">
        <v>2019</v>
      </c>
      <c r="D400" s="2" t="s">
        <v>199</v>
      </c>
      <c r="E400" s="10" t="s">
        <v>791</v>
      </c>
      <c r="F400" s="20" t="s">
        <v>29</v>
      </c>
      <c r="G400" s="2" t="s">
        <v>39</v>
      </c>
      <c r="H400" s="2" t="str">
        <f>'PFAS Properties'!$B$33</f>
        <v>PFOA</v>
      </c>
      <c r="I400" s="2" t="str">
        <f>'PFAS Properties'!$C$33</f>
        <v>PFCA</v>
      </c>
      <c r="J400" s="2" t="str">
        <f>'PFAS Properties'!$D$33</f>
        <v>C8HF15O2</v>
      </c>
      <c r="K400" s="25">
        <f>'PFAS Properties'!$P$33</f>
        <v>413.97359999999998</v>
      </c>
      <c r="L400" s="2">
        <f>'PFAS Properties'!$X$33</f>
        <v>-0.2</v>
      </c>
      <c r="M400" s="2" t="str">
        <f>'PFAS Properties'!$Y$33</f>
        <v>-</v>
      </c>
      <c r="N400" s="33">
        <v>0</v>
      </c>
      <c r="O400" s="33">
        <v>0</v>
      </c>
      <c r="P400" s="33">
        <v>0</v>
      </c>
      <c r="Q400" s="33">
        <f t="shared" si="170"/>
        <v>0.9999964518786969</v>
      </c>
      <c r="R400" s="33">
        <v>0</v>
      </c>
      <c r="S400" s="33">
        <f t="shared" si="171"/>
        <v>3.5481213031263005E-6</v>
      </c>
      <c r="T400" s="8">
        <f t="shared" si="151"/>
        <v>1</v>
      </c>
      <c r="U400" s="33">
        <f t="shared" si="161"/>
        <v>0</v>
      </c>
      <c r="V400" s="33">
        <f t="shared" si="162"/>
        <v>-0.9999964518786969</v>
      </c>
      <c r="W400" s="33">
        <f t="shared" si="163"/>
        <v>412.97360354812128</v>
      </c>
      <c r="X400" s="33">
        <v>96485</v>
      </c>
      <c r="Y400" s="16">
        <f t="shared" si="164"/>
        <v>-233.6339582737358</v>
      </c>
      <c r="Z400" s="16">
        <v>8</v>
      </c>
      <c r="AA400" s="16">
        <v>15</v>
      </c>
      <c r="AB400" s="8">
        <f t="shared" si="165"/>
        <v>0.33684210526315789</v>
      </c>
      <c r="AC400" s="16">
        <f t="shared" si="166"/>
        <v>68.844969824162703</v>
      </c>
      <c r="AD400" s="20">
        <f>'PFAS Properties'!$W$33</f>
        <v>7</v>
      </c>
      <c r="AE400" s="8">
        <f>'PFAS Properties'!$S$33</f>
        <v>2.6821450763738319</v>
      </c>
      <c r="AF400" s="15">
        <f>'PFAS Properties'!$V$33</f>
        <v>4.9000000000000004</v>
      </c>
      <c r="AG400" s="24">
        <v>5.25</v>
      </c>
      <c r="AH400" s="2" t="s">
        <v>661</v>
      </c>
      <c r="AI400" s="2" t="s">
        <v>661</v>
      </c>
      <c r="AJ400" s="2" t="s">
        <v>661</v>
      </c>
      <c r="AK400" s="2" t="s">
        <v>661</v>
      </c>
      <c r="AL400" s="2" t="s">
        <v>661</v>
      </c>
      <c r="AM400" s="2" t="s">
        <v>661</v>
      </c>
      <c r="AN400" s="2" t="s">
        <v>661</v>
      </c>
      <c r="AO400" s="2" t="s">
        <v>661</v>
      </c>
      <c r="AP400" s="71">
        <v>5.7023166666666656</v>
      </c>
      <c r="AQ400" s="70" t="s">
        <v>752</v>
      </c>
      <c r="AR400" s="16">
        <v>100</v>
      </c>
      <c r="AS400" s="16">
        <v>0</v>
      </c>
      <c r="AT400" s="16">
        <v>0</v>
      </c>
      <c r="AU400" s="2" t="s">
        <v>661</v>
      </c>
      <c r="AV400" s="16">
        <f t="shared" si="157"/>
        <v>100</v>
      </c>
      <c r="AW400" s="18">
        <v>0.4</v>
      </c>
      <c r="AX400" s="13">
        <f t="shared" si="158"/>
        <v>4.0000000000000001E-3</v>
      </c>
      <c r="AY400" s="13" t="s">
        <v>658</v>
      </c>
      <c r="AZ400" s="16">
        <f>2/0.01</f>
        <v>200</v>
      </c>
      <c r="BA400" s="16" t="s">
        <v>55</v>
      </c>
      <c r="BB400" s="16">
        <v>1</v>
      </c>
      <c r="BC400" s="16">
        <v>1000</v>
      </c>
      <c r="BD400" s="18">
        <v>0.22</v>
      </c>
      <c r="BE400" s="15">
        <f t="shared" si="167"/>
        <v>55</v>
      </c>
      <c r="BF400" s="8">
        <f t="shared" si="168"/>
        <v>1.7403626894942439</v>
      </c>
      <c r="BG400" s="8">
        <f t="shared" si="169"/>
        <v>-0.65757731917779372</v>
      </c>
      <c r="BH400" s="13" t="s">
        <v>272</v>
      </c>
      <c r="BI400" s="13"/>
      <c r="BJ400" s="13"/>
      <c r="BK400" s="13"/>
      <c r="BL400" s="13"/>
      <c r="BM400" s="17"/>
      <c r="BN400" s="17"/>
      <c r="BO400" s="2"/>
    </row>
    <row r="401" spans="1:67" s="14" customFormat="1" x14ac:dyDescent="0.3">
      <c r="A401" s="20">
        <v>407</v>
      </c>
      <c r="B401" s="2" t="s">
        <v>202</v>
      </c>
      <c r="C401" s="2">
        <v>2019</v>
      </c>
      <c r="D401" s="2" t="s">
        <v>199</v>
      </c>
      <c r="E401" s="10" t="s">
        <v>791</v>
      </c>
      <c r="F401" s="20" t="s">
        <v>29</v>
      </c>
      <c r="G401" s="2" t="s">
        <v>43</v>
      </c>
      <c r="H401" s="2" t="str">
        <f>'PFAS Properties'!$B$33</f>
        <v>PFOA</v>
      </c>
      <c r="I401" s="2" t="str">
        <f>'PFAS Properties'!$C$33</f>
        <v>PFCA</v>
      </c>
      <c r="J401" s="2" t="str">
        <f>'PFAS Properties'!$D$33</f>
        <v>C8HF15O2</v>
      </c>
      <c r="K401" s="25">
        <f>'PFAS Properties'!$P$33</f>
        <v>413.97359999999998</v>
      </c>
      <c r="L401" s="2">
        <f>'PFAS Properties'!$X$33</f>
        <v>-0.2</v>
      </c>
      <c r="M401" s="2" t="str">
        <f>'PFAS Properties'!$Y$33</f>
        <v>-</v>
      </c>
      <c r="N401" s="33">
        <v>0</v>
      </c>
      <c r="O401" s="33">
        <v>0</v>
      </c>
      <c r="P401" s="33">
        <v>0</v>
      </c>
      <c r="Q401" s="33">
        <f t="shared" si="170"/>
        <v>0.99999865103893715</v>
      </c>
      <c r="R401" s="33">
        <v>0</v>
      </c>
      <c r="S401" s="33">
        <f t="shared" si="171"/>
        <v>1.3489610628932487E-6</v>
      </c>
      <c r="T401" s="8">
        <f t="shared" si="151"/>
        <v>1</v>
      </c>
      <c r="U401" s="33">
        <f t="shared" si="161"/>
        <v>0</v>
      </c>
      <c r="V401" s="33">
        <f t="shared" si="162"/>
        <v>-0.99999865103893715</v>
      </c>
      <c r="W401" s="33">
        <f t="shared" si="163"/>
        <v>412.97360134896104</v>
      </c>
      <c r="X401" s="33">
        <v>96485</v>
      </c>
      <c r="Y401" s="16">
        <f t="shared" si="164"/>
        <v>-233.63447331821709</v>
      </c>
      <c r="Z401" s="16">
        <v>8</v>
      </c>
      <c r="AA401" s="16">
        <v>15</v>
      </c>
      <c r="AB401" s="8">
        <f t="shared" si="165"/>
        <v>0.33684210526315789</v>
      </c>
      <c r="AC401" s="16">
        <f t="shared" si="166"/>
        <v>68.844969824162703</v>
      </c>
      <c r="AD401" s="20">
        <f>'PFAS Properties'!$W$33</f>
        <v>7</v>
      </c>
      <c r="AE401" s="8">
        <f>'PFAS Properties'!$S$33</f>
        <v>2.6821450763738319</v>
      </c>
      <c r="AF401" s="15">
        <f>'PFAS Properties'!$V$33</f>
        <v>4.9000000000000004</v>
      </c>
      <c r="AG401" s="24">
        <v>5.67</v>
      </c>
      <c r="AH401" s="2" t="s">
        <v>661</v>
      </c>
      <c r="AI401" s="15" t="s">
        <v>661</v>
      </c>
      <c r="AJ401" s="16" t="s">
        <v>661</v>
      </c>
      <c r="AK401" s="2" t="s">
        <v>661</v>
      </c>
      <c r="AL401" s="15" t="s">
        <v>661</v>
      </c>
      <c r="AM401" s="16" t="s">
        <v>661</v>
      </c>
      <c r="AN401" s="2" t="s">
        <v>661</v>
      </c>
      <c r="AO401" s="2" t="s">
        <v>661</v>
      </c>
      <c r="AP401" s="71">
        <v>9.2037666666666649</v>
      </c>
      <c r="AQ401" s="70" t="s">
        <v>752</v>
      </c>
      <c r="AR401" s="16">
        <v>71</v>
      </c>
      <c r="AS401" s="16">
        <v>24</v>
      </c>
      <c r="AT401" s="16">
        <v>5</v>
      </c>
      <c r="AU401" s="2" t="s">
        <v>661</v>
      </c>
      <c r="AV401" s="16">
        <f t="shared" si="157"/>
        <v>100</v>
      </c>
      <c r="AW401" s="18">
        <v>0.93</v>
      </c>
      <c r="AX401" s="13">
        <f t="shared" si="158"/>
        <v>9.300000000000001E-3</v>
      </c>
      <c r="AY401" s="13" t="s">
        <v>658</v>
      </c>
      <c r="AZ401" s="16">
        <f>2/0.01</f>
        <v>200</v>
      </c>
      <c r="BA401" s="16" t="s">
        <v>55</v>
      </c>
      <c r="BB401" s="16">
        <v>1</v>
      </c>
      <c r="BC401" s="16">
        <v>1000</v>
      </c>
      <c r="BD401" s="18">
        <v>0.92</v>
      </c>
      <c r="BE401" s="15">
        <f t="shared" si="167"/>
        <v>98.924731182795696</v>
      </c>
      <c r="BF401" s="8">
        <f t="shared" si="168"/>
        <v>1.9953048787916201</v>
      </c>
      <c r="BG401" s="8">
        <f t="shared" si="169"/>
        <v>-3.6212172654444715E-2</v>
      </c>
      <c r="BH401" s="13" t="s">
        <v>272</v>
      </c>
      <c r="BI401" s="13"/>
      <c r="BJ401" s="13"/>
      <c r="BK401" s="13"/>
      <c r="BL401" s="13"/>
      <c r="BM401" s="17"/>
      <c r="BN401" s="17"/>
      <c r="BO401" s="2"/>
    </row>
    <row r="402" spans="1:67" s="14" customFormat="1" x14ac:dyDescent="0.3">
      <c r="A402" s="20">
        <v>408</v>
      </c>
      <c r="B402" s="2" t="s">
        <v>211</v>
      </c>
      <c r="C402" s="2">
        <v>2019</v>
      </c>
      <c r="D402" s="2" t="s">
        <v>212</v>
      </c>
      <c r="E402" s="10" t="s">
        <v>213</v>
      </c>
      <c r="F402" s="20" t="s">
        <v>29</v>
      </c>
      <c r="G402" s="2" t="s">
        <v>55</v>
      </c>
      <c r="H402" s="2" t="str">
        <f>'PFAS Properties'!$B$33</f>
        <v>PFOA</v>
      </c>
      <c r="I402" s="2" t="str">
        <f>'PFAS Properties'!$C$33</f>
        <v>PFCA</v>
      </c>
      <c r="J402" s="2" t="str">
        <f>'PFAS Properties'!$D$33</f>
        <v>C8HF15O2</v>
      </c>
      <c r="K402" s="25">
        <f>'PFAS Properties'!$P$33</f>
        <v>413.97359999999998</v>
      </c>
      <c r="L402" s="2">
        <f>'PFAS Properties'!$X$33</f>
        <v>-0.2</v>
      </c>
      <c r="M402" s="2" t="str">
        <f>'PFAS Properties'!$Y$33</f>
        <v>-</v>
      </c>
      <c r="N402" s="33">
        <v>0</v>
      </c>
      <c r="O402" s="33">
        <v>0</v>
      </c>
      <c r="P402" s="33">
        <v>0</v>
      </c>
      <c r="Q402" s="33">
        <f t="shared" si="170"/>
        <v>0.99999993690426958</v>
      </c>
      <c r="R402" s="33">
        <v>0</v>
      </c>
      <c r="S402" s="33">
        <f t="shared" si="171"/>
        <v>6.3095730466947729E-8</v>
      </c>
      <c r="T402" s="8">
        <f t="shared" si="151"/>
        <v>1</v>
      </c>
      <c r="U402" s="33">
        <f t="shared" si="161"/>
        <v>0</v>
      </c>
      <c r="V402" s="33">
        <f t="shared" si="162"/>
        <v>-0.99999993690426958</v>
      </c>
      <c r="W402" s="33">
        <f t="shared" si="163"/>
        <v>412.97360006309572</v>
      </c>
      <c r="X402" s="33">
        <v>96485</v>
      </c>
      <c r="Y402" s="16">
        <f t="shared" si="164"/>
        <v>-233.63477446855464</v>
      </c>
      <c r="Z402" s="16">
        <v>8</v>
      </c>
      <c r="AA402" s="16">
        <v>15</v>
      </c>
      <c r="AB402" s="8">
        <f t="shared" si="165"/>
        <v>0.33684210526315789</v>
      </c>
      <c r="AC402" s="16">
        <f t="shared" si="166"/>
        <v>68.844969824162703</v>
      </c>
      <c r="AD402" s="20">
        <f>'PFAS Properties'!$W$33</f>
        <v>7</v>
      </c>
      <c r="AE402" s="8">
        <f>'PFAS Properties'!$S$33</f>
        <v>2.6821450763738319</v>
      </c>
      <c r="AF402" s="15">
        <f>'PFAS Properties'!$V$33</f>
        <v>4.9000000000000004</v>
      </c>
      <c r="AG402" s="24">
        <v>7</v>
      </c>
      <c r="AH402" s="2" t="s">
        <v>661</v>
      </c>
      <c r="AI402" s="2" t="s">
        <v>661</v>
      </c>
      <c r="AJ402" s="2" t="s">
        <v>661</v>
      </c>
      <c r="AK402" s="2" t="s">
        <v>661</v>
      </c>
      <c r="AL402" s="2" t="s">
        <v>661</v>
      </c>
      <c r="AM402" s="2" t="s">
        <v>661</v>
      </c>
      <c r="AN402" s="2" t="s">
        <v>661</v>
      </c>
      <c r="AO402" s="2" t="s">
        <v>661</v>
      </c>
      <c r="AP402" s="37">
        <f>(26.31+26.59+27.81)/3</f>
        <v>26.903333333333332</v>
      </c>
      <c r="AQ402" s="16" t="s">
        <v>661</v>
      </c>
      <c r="AR402" s="71">
        <v>31.549399999999999</v>
      </c>
      <c r="AS402" s="71">
        <v>38.265099999999997</v>
      </c>
      <c r="AT402" s="71">
        <v>30.404799999999991</v>
      </c>
      <c r="AU402" s="70" t="s">
        <v>752</v>
      </c>
      <c r="AV402" s="16">
        <f t="shared" si="157"/>
        <v>100.21929999999999</v>
      </c>
      <c r="AW402" s="18">
        <f>(1.55+1.44+1.34)/3</f>
        <v>1.4433333333333334</v>
      </c>
      <c r="AX402" s="13">
        <f t="shared" si="158"/>
        <v>1.4433333333333333E-2</v>
      </c>
      <c r="AY402" s="8" t="s">
        <v>829</v>
      </c>
      <c r="AZ402" s="16">
        <f>5/0.01</f>
        <v>500</v>
      </c>
      <c r="BA402" s="16" t="s">
        <v>55</v>
      </c>
      <c r="BB402" s="16">
        <v>10</v>
      </c>
      <c r="BC402" s="16">
        <v>100</v>
      </c>
      <c r="BD402" s="18">
        <v>1.62</v>
      </c>
      <c r="BE402" s="15">
        <f t="shared" si="167"/>
        <v>112.24018475750579</v>
      </c>
      <c r="BF402" s="8">
        <f t="shared" si="168"/>
        <v>2.0501483729089278</v>
      </c>
      <c r="BG402" s="8">
        <f t="shared" si="169"/>
        <v>0.20951501454263097</v>
      </c>
      <c r="BH402" s="2" t="s">
        <v>837</v>
      </c>
      <c r="BI402" s="13"/>
      <c r="BJ402" s="13"/>
      <c r="BK402" s="13"/>
      <c r="BL402" s="13"/>
      <c r="BM402" s="17"/>
      <c r="BN402" s="17"/>
      <c r="BO402" s="2"/>
    </row>
    <row r="403" spans="1:67" s="14" customFormat="1" x14ac:dyDescent="0.3">
      <c r="A403" s="20">
        <v>409</v>
      </c>
      <c r="B403" s="2" t="s">
        <v>206</v>
      </c>
      <c r="C403" s="2">
        <v>2020</v>
      </c>
      <c r="D403" s="2" t="s">
        <v>201</v>
      </c>
      <c r="E403" s="10" t="s">
        <v>793</v>
      </c>
      <c r="F403" s="20" t="s">
        <v>29</v>
      </c>
      <c r="G403" s="2" t="s">
        <v>44</v>
      </c>
      <c r="H403" s="2" t="str">
        <f>'PFAS Properties'!$B$33</f>
        <v>PFOA</v>
      </c>
      <c r="I403" s="2" t="str">
        <f>'PFAS Properties'!$C$33</f>
        <v>PFCA</v>
      </c>
      <c r="J403" s="2" t="str">
        <f>'PFAS Properties'!$D$33</f>
        <v>C8HF15O2</v>
      </c>
      <c r="K403" s="25">
        <f>'PFAS Properties'!$P$33</f>
        <v>413.97359999999998</v>
      </c>
      <c r="L403" s="2">
        <f>'PFAS Properties'!$X$33</f>
        <v>-0.2</v>
      </c>
      <c r="M403" s="2" t="str">
        <f>'PFAS Properties'!$Y$33</f>
        <v>-</v>
      </c>
      <c r="N403" s="33">
        <v>0</v>
      </c>
      <c r="O403" s="33">
        <v>0</v>
      </c>
      <c r="P403" s="33">
        <v>0</v>
      </c>
      <c r="Q403" s="33">
        <f t="shared" si="170"/>
        <v>0.99999999000000006</v>
      </c>
      <c r="R403" s="33">
        <v>0</v>
      </c>
      <c r="S403" s="33">
        <f t="shared" si="171"/>
        <v>9.9999999000000002E-9</v>
      </c>
      <c r="T403" s="8">
        <f t="shared" si="151"/>
        <v>1</v>
      </c>
      <c r="U403" s="33">
        <f t="shared" si="161"/>
        <v>0</v>
      </c>
      <c r="V403" s="33">
        <f t="shared" si="162"/>
        <v>-0.99999999000000006</v>
      </c>
      <c r="W403" s="33">
        <f t="shared" si="163"/>
        <v>412.97360000999993</v>
      </c>
      <c r="X403" s="33">
        <v>96485</v>
      </c>
      <c r="Y403" s="16">
        <f t="shared" si="164"/>
        <v>-233.63478690360273</v>
      </c>
      <c r="Z403" s="16">
        <v>8</v>
      </c>
      <c r="AA403" s="16">
        <v>15</v>
      </c>
      <c r="AB403" s="8">
        <f t="shared" si="165"/>
        <v>0.33684210526315789</v>
      </c>
      <c r="AC403" s="16">
        <f t="shared" si="166"/>
        <v>68.844969824162703</v>
      </c>
      <c r="AD403" s="20">
        <f>'PFAS Properties'!$W$33</f>
        <v>7</v>
      </c>
      <c r="AE403" s="8">
        <f>'PFAS Properties'!$S$33</f>
        <v>2.6821450763738319</v>
      </c>
      <c r="AF403" s="15">
        <f>'PFAS Properties'!$V$33</f>
        <v>4.9000000000000004</v>
      </c>
      <c r="AG403" s="24">
        <v>7.8</v>
      </c>
      <c r="AH403" s="2" t="s">
        <v>661</v>
      </c>
      <c r="AI403" s="2" t="s">
        <v>661</v>
      </c>
      <c r="AJ403" s="2" t="s">
        <v>661</v>
      </c>
      <c r="AK403" s="2" t="s">
        <v>661</v>
      </c>
      <c r="AL403" s="2" t="s">
        <v>661</v>
      </c>
      <c r="AM403" s="2" t="s">
        <v>661</v>
      </c>
      <c r="AN403" s="2" t="s">
        <v>661</v>
      </c>
      <c r="AO403" s="2" t="s">
        <v>661</v>
      </c>
      <c r="AP403" s="71">
        <v>11.17476666666666</v>
      </c>
      <c r="AQ403" s="70" t="s">
        <v>752</v>
      </c>
      <c r="AR403" s="16">
        <v>47</v>
      </c>
      <c r="AS403" s="16">
        <v>38</v>
      </c>
      <c r="AT403" s="16">
        <v>15</v>
      </c>
      <c r="AU403" s="16" t="s">
        <v>661</v>
      </c>
      <c r="AV403" s="16">
        <f t="shared" si="157"/>
        <v>100</v>
      </c>
      <c r="AW403" s="18">
        <v>1.43</v>
      </c>
      <c r="AX403" s="13">
        <f t="shared" si="158"/>
        <v>1.43E-2</v>
      </c>
      <c r="AY403" s="8" t="s">
        <v>45</v>
      </c>
      <c r="AZ403" s="16">
        <f>5/0.025</f>
        <v>200</v>
      </c>
      <c r="BA403" s="16" t="s">
        <v>55</v>
      </c>
      <c r="BB403" s="16">
        <v>10</v>
      </c>
      <c r="BC403" s="16">
        <v>100</v>
      </c>
      <c r="BD403" s="18">
        <v>1.1599999999999999</v>
      </c>
      <c r="BE403" s="15">
        <f t="shared" si="167"/>
        <v>81.118881118881106</v>
      </c>
      <c r="BF403" s="8">
        <f t="shared" si="168"/>
        <v>1.9091219517618565</v>
      </c>
      <c r="BG403" s="8">
        <f t="shared" si="169"/>
        <v>6.445798922691845E-2</v>
      </c>
      <c r="BH403" s="2" t="s">
        <v>837</v>
      </c>
      <c r="BI403" s="8"/>
      <c r="BJ403" s="13"/>
      <c r="BK403" s="15"/>
      <c r="BL403" s="8"/>
      <c r="BM403" s="18"/>
      <c r="BN403" s="8"/>
      <c r="BO403" s="24"/>
    </row>
    <row r="404" spans="1:67" s="14" customFormat="1" x14ac:dyDescent="0.3">
      <c r="A404" s="20">
        <v>410</v>
      </c>
      <c r="B404" s="2" t="s">
        <v>242</v>
      </c>
      <c r="C404" s="2">
        <v>2018</v>
      </c>
      <c r="D404" s="2" t="s">
        <v>243</v>
      </c>
      <c r="E404" s="10" t="s">
        <v>788</v>
      </c>
      <c r="F404" s="20" t="s">
        <v>29</v>
      </c>
      <c r="G404" s="2" t="s">
        <v>129</v>
      </c>
      <c r="H404" s="2" t="str">
        <f>'PFAS Properties'!$B$33</f>
        <v>PFOA</v>
      </c>
      <c r="I404" s="2" t="str">
        <f>'PFAS Properties'!$C$33</f>
        <v>PFCA</v>
      </c>
      <c r="J404" s="2" t="str">
        <f>'PFAS Properties'!$D$33</f>
        <v>C8HF15O2</v>
      </c>
      <c r="K404" s="25">
        <f>'PFAS Properties'!$P$33</f>
        <v>413.97359999999998</v>
      </c>
      <c r="L404" s="2">
        <f>'PFAS Properties'!$X$33</f>
        <v>-0.2</v>
      </c>
      <c r="M404" s="2" t="str">
        <f>'PFAS Properties'!$Y$33</f>
        <v>-</v>
      </c>
      <c r="N404" s="33">
        <v>0</v>
      </c>
      <c r="O404" s="33">
        <v>0</v>
      </c>
      <c r="P404" s="33">
        <v>0</v>
      </c>
      <c r="Q404" s="33">
        <f t="shared" si="170"/>
        <v>0.99999785612693026</v>
      </c>
      <c r="R404" s="33">
        <v>0</v>
      </c>
      <c r="S404" s="33">
        <f t="shared" si="171"/>
        <v>2.1438730697719104E-6</v>
      </c>
      <c r="T404" s="8">
        <f t="shared" ref="T404:T467" si="172">SUM(N404:S404)</f>
        <v>1</v>
      </c>
      <c r="U404" s="33">
        <f t="shared" si="161"/>
        <v>0</v>
      </c>
      <c r="V404" s="33">
        <f t="shared" si="162"/>
        <v>-0.99999785612693026</v>
      </c>
      <c r="W404" s="33">
        <f t="shared" si="163"/>
        <v>412.97360214387305</v>
      </c>
      <c r="X404" s="33">
        <v>96485</v>
      </c>
      <c r="Y404" s="16">
        <f t="shared" si="164"/>
        <v>-233.63428714940764</v>
      </c>
      <c r="Z404" s="16">
        <v>8</v>
      </c>
      <c r="AA404" s="16">
        <v>15</v>
      </c>
      <c r="AB404" s="8">
        <f t="shared" si="165"/>
        <v>0.33684210526315789</v>
      </c>
      <c r="AC404" s="16">
        <f t="shared" si="166"/>
        <v>68.844969824162703</v>
      </c>
      <c r="AD404" s="20">
        <f>'PFAS Properties'!$W$33</f>
        <v>7</v>
      </c>
      <c r="AE404" s="8">
        <f>'PFAS Properties'!$S$33</f>
        <v>2.6821450763738319</v>
      </c>
      <c r="AF404" s="15">
        <f>'PFAS Properties'!$V$33</f>
        <v>4.9000000000000004</v>
      </c>
      <c r="AG404" s="124">
        <v>5.4687999999999999</v>
      </c>
      <c r="AH404" s="70" t="s">
        <v>752</v>
      </c>
      <c r="AI404" s="2" t="s">
        <v>661</v>
      </c>
      <c r="AJ404" s="2" t="s">
        <v>661</v>
      </c>
      <c r="AK404" s="2" t="s">
        <v>661</v>
      </c>
      <c r="AL404" s="2" t="s">
        <v>661</v>
      </c>
      <c r="AM404" s="2" t="s">
        <v>661</v>
      </c>
      <c r="AN404" s="2" t="s">
        <v>661</v>
      </c>
      <c r="AO404" s="2" t="s">
        <v>661</v>
      </c>
      <c r="AP404" s="71">
        <v>21.5806</v>
      </c>
      <c r="AQ404" s="70" t="s">
        <v>752</v>
      </c>
      <c r="AR404" s="71">
        <v>41.737499999999997</v>
      </c>
      <c r="AS404" s="71">
        <v>35.036999999999999</v>
      </c>
      <c r="AT404" s="71">
        <v>21.887</v>
      </c>
      <c r="AU404" s="70" t="s">
        <v>752</v>
      </c>
      <c r="AV404" s="16">
        <f t="shared" si="157"/>
        <v>98.66149999999999</v>
      </c>
      <c r="AW404" s="18">
        <v>46.9</v>
      </c>
      <c r="AX404" s="13">
        <f t="shared" si="158"/>
        <v>0.46899999999999997</v>
      </c>
      <c r="AY404" s="13" t="s">
        <v>344</v>
      </c>
      <c r="AZ404" s="15">
        <f>0.01/0.05</f>
        <v>0.19999999999999998</v>
      </c>
      <c r="BA404" s="16" t="s">
        <v>55</v>
      </c>
      <c r="BB404" s="15">
        <v>2</v>
      </c>
      <c r="BC404" s="16">
        <v>3500</v>
      </c>
      <c r="BD404" s="18">
        <f>10^1.85</f>
        <v>70.794578438413865</v>
      </c>
      <c r="BE404" s="16">
        <f t="shared" si="167"/>
        <v>150.94792844011485</v>
      </c>
      <c r="BF404" s="8">
        <f t="shared" si="168"/>
        <v>2.1788271572849172</v>
      </c>
      <c r="BG404" s="8">
        <f t="shared" si="169"/>
        <v>1.8500000000000005</v>
      </c>
      <c r="BH404" s="13" t="s">
        <v>346</v>
      </c>
      <c r="BI404" s="8"/>
      <c r="BJ404" s="13"/>
      <c r="BK404" s="15"/>
      <c r="BL404" s="16"/>
      <c r="BM404" s="18"/>
      <c r="BN404" s="8"/>
      <c r="BO404" s="24"/>
    </row>
    <row r="405" spans="1:67" s="14" customFormat="1" x14ac:dyDescent="0.3">
      <c r="A405" s="20">
        <v>411</v>
      </c>
      <c r="B405" s="2" t="s">
        <v>248</v>
      </c>
      <c r="C405" s="2">
        <v>2018</v>
      </c>
      <c r="D405" s="2" t="s">
        <v>245</v>
      </c>
      <c r="E405" s="10" t="s">
        <v>244</v>
      </c>
      <c r="F405" s="20" t="s">
        <v>29</v>
      </c>
      <c r="G405" s="2" t="s">
        <v>124</v>
      </c>
      <c r="H405" s="2" t="str">
        <f>'PFAS Properties'!$B$33</f>
        <v>PFOA</v>
      </c>
      <c r="I405" s="2" t="str">
        <f>'PFAS Properties'!$C$33</f>
        <v>PFCA</v>
      </c>
      <c r="J405" s="2" t="str">
        <f>'PFAS Properties'!$D$33</f>
        <v>C8HF15O2</v>
      </c>
      <c r="K405" s="25">
        <f>'PFAS Properties'!$P$33</f>
        <v>413.97359999999998</v>
      </c>
      <c r="L405" s="2">
        <f>'PFAS Properties'!$X$33</f>
        <v>-0.2</v>
      </c>
      <c r="M405" s="2" t="str">
        <f>'PFAS Properties'!$Y$33</f>
        <v>-</v>
      </c>
      <c r="N405" s="33">
        <v>0</v>
      </c>
      <c r="O405" s="33">
        <v>0</v>
      </c>
      <c r="P405" s="33">
        <v>0</v>
      </c>
      <c r="Q405" s="33">
        <f t="shared" si="170"/>
        <v>0.99999976011676561</v>
      </c>
      <c r="R405" s="33">
        <v>0</v>
      </c>
      <c r="S405" s="33">
        <f t="shared" si="171"/>
        <v>2.3988323435796854E-7</v>
      </c>
      <c r="T405" s="8">
        <f t="shared" si="172"/>
        <v>1</v>
      </c>
      <c r="U405" s="33">
        <f t="shared" si="161"/>
        <v>0</v>
      </c>
      <c r="V405" s="33">
        <f t="shared" si="162"/>
        <v>-0.99999976011676561</v>
      </c>
      <c r="W405" s="33">
        <f t="shared" si="163"/>
        <v>412.97360023988318</v>
      </c>
      <c r="X405" s="33">
        <v>96485</v>
      </c>
      <c r="Y405" s="16">
        <f t="shared" si="164"/>
        <v>-233.63473306482808</v>
      </c>
      <c r="Z405" s="16">
        <v>8</v>
      </c>
      <c r="AA405" s="16">
        <v>15</v>
      </c>
      <c r="AB405" s="8">
        <f t="shared" si="165"/>
        <v>0.33684210526315789</v>
      </c>
      <c r="AC405" s="16">
        <f t="shared" si="166"/>
        <v>68.844969824162703</v>
      </c>
      <c r="AD405" s="20">
        <f>'PFAS Properties'!$W$33</f>
        <v>7</v>
      </c>
      <c r="AE405" s="8">
        <f>'PFAS Properties'!$S$33</f>
        <v>2.6821450763738319</v>
      </c>
      <c r="AF405" s="15">
        <f>'PFAS Properties'!$V$33</f>
        <v>4.9000000000000004</v>
      </c>
      <c r="AG405" s="24">
        <v>6.42</v>
      </c>
      <c r="AH405" s="2" t="s">
        <v>661</v>
      </c>
      <c r="AI405" s="2" t="s">
        <v>661</v>
      </c>
      <c r="AJ405" s="2" t="s">
        <v>661</v>
      </c>
      <c r="AK405" s="2" t="s">
        <v>661</v>
      </c>
      <c r="AL405" s="2" t="s">
        <v>661</v>
      </c>
      <c r="AM405" s="2" t="s">
        <v>661</v>
      </c>
      <c r="AN405" s="2" t="s">
        <v>661</v>
      </c>
      <c r="AO405" s="2" t="s">
        <v>661</v>
      </c>
      <c r="AP405" s="16">
        <v>99</v>
      </c>
      <c r="AQ405" s="2" t="s">
        <v>661</v>
      </c>
      <c r="AR405" s="2">
        <f>31.9+29.6</f>
        <v>61.5</v>
      </c>
      <c r="AS405" s="2">
        <f>17.1+11</f>
        <v>28.1</v>
      </c>
      <c r="AT405" s="2">
        <v>8.6</v>
      </c>
      <c r="AU405" s="2" t="s">
        <v>661</v>
      </c>
      <c r="AV405" s="16">
        <f t="shared" si="157"/>
        <v>98.199999999999989</v>
      </c>
      <c r="AW405" s="18">
        <v>1.38</v>
      </c>
      <c r="AX405" s="13">
        <f t="shared" si="158"/>
        <v>1.38E-2</v>
      </c>
      <c r="AY405" s="8" t="s">
        <v>125</v>
      </c>
      <c r="AZ405" s="15">
        <f>1/0.02</f>
        <v>50</v>
      </c>
      <c r="BA405" s="15" t="s">
        <v>55</v>
      </c>
      <c r="BB405" s="16">
        <v>10</v>
      </c>
      <c r="BC405" s="16">
        <v>1000</v>
      </c>
      <c r="BD405" s="18">
        <v>8</v>
      </c>
      <c r="BE405" s="16">
        <f t="shared" si="167"/>
        <v>579.71014492753625</v>
      </c>
      <c r="BF405" s="8">
        <f t="shared" si="168"/>
        <v>2.7632109005907073</v>
      </c>
      <c r="BG405" s="8">
        <f t="shared" si="169"/>
        <v>0.90308998699194354</v>
      </c>
      <c r="BH405" s="2" t="s">
        <v>837</v>
      </c>
      <c r="BI405" s="13"/>
      <c r="BJ405" s="13"/>
      <c r="BK405" s="13"/>
      <c r="BL405" s="13"/>
      <c r="BM405" s="18"/>
      <c r="BN405" s="18"/>
      <c r="BO405" s="2"/>
    </row>
    <row r="406" spans="1:67" s="14" customFormat="1" x14ac:dyDescent="0.3">
      <c r="A406" s="20">
        <v>412</v>
      </c>
      <c r="B406" s="2" t="s">
        <v>247</v>
      </c>
      <c r="C406" s="2">
        <v>2011</v>
      </c>
      <c r="D406" s="2" t="s">
        <v>199</v>
      </c>
      <c r="E406" s="10" t="s">
        <v>246</v>
      </c>
      <c r="F406" s="20" t="s">
        <v>63</v>
      </c>
      <c r="G406" s="2" t="s">
        <v>126</v>
      </c>
      <c r="H406" s="2" t="str">
        <f>'PFAS Properties'!$B$33</f>
        <v>PFOA</v>
      </c>
      <c r="I406" s="2" t="str">
        <f>'PFAS Properties'!$C$33</f>
        <v>PFCA</v>
      </c>
      <c r="J406" s="2" t="str">
        <f>'PFAS Properties'!$D$33</f>
        <v>C8HF15O2</v>
      </c>
      <c r="K406" s="25">
        <f>'PFAS Properties'!$P$33</f>
        <v>413.97359999999998</v>
      </c>
      <c r="L406" s="2">
        <f>'PFAS Properties'!$X$33</f>
        <v>-0.2</v>
      </c>
      <c r="M406" s="2" t="str">
        <f>'PFAS Properties'!$Y$33</f>
        <v>-</v>
      </c>
      <c r="N406" s="33">
        <v>0</v>
      </c>
      <c r="O406" s="33">
        <v>0</v>
      </c>
      <c r="P406" s="33">
        <v>0</v>
      </c>
      <c r="Q406" s="33">
        <f t="shared" si="170"/>
        <v>0.99999986240585936</v>
      </c>
      <c r="R406" s="33">
        <v>0</v>
      </c>
      <c r="S406" s="33">
        <f t="shared" si="171"/>
        <v>1.3759414067418832E-7</v>
      </c>
      <c r="T406" s="8">
        <f t="shared" si="172"/>
        <v>1</v>
      </c>
      <c r="U406" s="33">
        <f t="shared" si="161"/>
        <v>0</v>
      </c>
      <c r="V406" s="33">
        <f t="shared" si="162"/>
        <v>-0.99999986240585936</v>
      </c>
      <c r="W406" s="33">
        <f t="shared" si="163"/>
        <v>412.97360013759413</v>
      </c>
      <c r="X406" s="33">
        <v>96485</v>
      </c>
      <c r="Y406" s="16">
        <f t="shared" si="164"/>
        <v>-233.63475702098768</v>
      </c>
      <c r="Z406" s="16">
        <v>8</v>
      </c>
      <c r="AA406" s="16">
        <v>15</v>
      </c>
      <c r="AB406" s="8">
        <f t="shared" si="165"/>
        <v>0.33684210526315789</v>
      </c>
      <c r="AC406" s="16">
        <f t="shared" si="166"/>
        <v>68.844969824162703</v>
      </c>
      <c r="AD406" s="20">
        <f>'PFAS Properties'!$W$33</f>
        <v>7</v>
      </c>
      <c r="AE406" s="8">
        <f>'PFAS Properties'!$S$33</f>
        <v>2.6821450763738319</v>
      </c>
      <c r="AF406" s="15">
        <f>'PFAS Properties'!$V$33</f>
        <v>4.9000000000000004</v>
      </c>
      <c r="AG406" s="124">
        <v>6.6614000000000004</v>
      </c>
      <c r="AH406" s="70" t="s">
        <v>752</v>
      </c>
      <c r="AI406" s="2" t="s">
        <v>661</v>
      </c>
      <c r="AJ406" s="2" t="s">
        <v>661</v>
      </c>
      <c r="AK406" s="2" t="s">
        <v>661</v>
      </c>
      <c r="AL406" s="2" t="s">
        <v>661</v>
      </c>
      <c r="AM406" s="2" t="s">
        <v>661</v>
      </c>
      <c r="AN406" s="2" t="s">
        <v>661</v>
      </c>
      <c r="AO406" s="2" t="s">
        <v>661</v>
      </c>
      <c r="AP406" s="71">
        <v>5.6683166666666667</v>
      </c>
      <c r="AQ406" s="70" t="s">
        <v>752</v>
      </c>
      <c r="AR406" s="16">
        <v>100</v>
      </c>
      <c r="AS406" s="16">
        <v>0</v>
      </c>
      <c r="AT406" s="16">
        <v>0</v>
      </c>
      <c r="AU406" s="16" t="s">
        <v>337</v>
      </c>
      <c r="AV406" s="16">
        <f t="shared" si="157"/>
        <v>100</v>
      </c>
      <c r="AW406" s="18">
        <v>0.03</v>
      </c>
      <c r="AX406" s="13">
        <f t="shared" si="158"/>
        <v>2.9999999999999997E-4</v>
      </c>
      <c r="AY406" s="13" t="s">
        <v>127</v>
      </c>
      <c r="AZ406" s="16">
        <v>20</v>
      </c>
      <c r="BA406" s="16" t="s">
        <v>55</v>
      </c>
      <c r="BB406" s="15">
        <v>1.4</v>
      </c>
      <c r="BC406" s="16">
        <v>143</v>
      </c>
      <c r="BD406" s="18">
        <v>5.73</v>
      </c>
      <c r="BE406" s="16">
        <f t="shared" si="167"/>
        <v>19100.000000000004</v>
      </c>
      <c r="BF406" s="8">
        <f t="shared" si="168"/>
        <v>4.2810333672477272</v>
      </c>
      <c r="BG406" s="8">
        <f t="shared" si="169"/>
        <v>0.75815462196739003</v>
      </c>
      <c r="BH406" s="13" t="s">
        <v>842</v>
      </c>
      <c r="BI406" s="13"/>
      <c r="BJ406" s="13"/>
      <c r="BK406" s="13"/>
      <c r="BL406" s="13"/>
      <c r="BM406" s="17"/>
      <c r="BN406" s="17"/>
      <c r="BO406" s="2"/>
    </row>
    <row r="407" spans="1:67" s="14" customFormat="1" x14ac:dyDescent="0.3">
      <c r="A407" s="20">
        <v>413</v>
      </c>
      <c r="B407" s="2" t="s">
        <v>249</v>
      </c>
      <c r="C407" s="2">
        <v>2012</v>
      </c>
      <c r="D407" s="2" t="s">
        <v>227</v>
      </c>
      <c r="E407" s="10" t="s">
        <v>250</v>
      </c>
      <c r="F407" s="20" t="s">
        <v>63</v>
      </c>
      <c r="G407" s="2" t="s">
        <v>131</v>
      </c>
      <c r="H407" s="2" t="str">
        <f>'PFAS Properties'!$B$33</f>
        <v>PFOA</v>
      </c>
      <c r="I407" s="2" t="str">
        <f>'PFAS Properties'!$C$33</f>
        <v>PFCA</v>
      </c>
      <c r="J407" s="2" t="str">
        <f>'PFAS Properties'!$D$33</f>
        <v>C8HF15O2</v>
      </c>
      <c r="K407" s="25">
        <f>'PFAS Properties'!$P$33</f>
        <v>413.97359999999998</v>
      </c>
      <c r="L407" s="2">
        <f>'PFAS Properties'!$X$33</f>
        <v>-0.2</v>
      </c>
      <c r="M407" s="2" t="str">
        <f>'PFAS Properties'!$Y$33</f>
        <v>-</v>
      </c>
      <c r="N407" s="33">
        <v>0</v>
      </c>
      <c r="O407" s="33">
        <v>0</v>
      </c>
      <c r="P407" s="33">
        <v>0</v>
      </c>
      <c r="Q407" s="33">
        <f t="shared" si="170"/>
        <v>0.99999997488113634</v>
      </c>
      <c r="R407" s="33">
        <v>0</v>
      </c>
      <c r="S407" s="33">
        <f t="shared" si="171"/>
        <v>2.5118863684138424E-8</v>
      </c>
      <c r="T407" s="8">
        <f t="shared" si="172"/>
        <v>1</v>
      </c>
      <c r="U407" s="33">
        <f t="shared" si="161"/>
        <v>0</v>
      </c>
      <c r="V407" s="33">
        <f t="shared" si="162"/>
        <v>-0.99999997488113634</v>
      </c>
      <c r="W407" s="33">
        <f t="shared" si="163"/>
        <v>412.97360002511886</v>
      </c>
      <c r="X407" s="33">
        <v>96485</v>
      </c>
      <c r="Y407" s="16">
        <f t="shared" si="164"/>
        <v>-233.63478336275685</v>
      </c>
      <c r="Z407" s="16">
        <v>8</v>
      </c>
      <c r="AA407" s="16">
        <v>15</v>
      </c>
      <c r="AB407" s="8">
        <f t="shared" si="165"/>
        <v>0.33684210526315789</v>
      </c>
      <c r="AC407" s="16">
        <f t="shared" si="166"/>
        <v>68.844969824162703</v>
      </c>
      <c r="AD407" s="20">
        <f>'PFAS Properties'!$W$33</f>
        <v>7</v>
      </c>
      <c r="AE407" s="8">
        <f>'PFAS Properties'!$S$33</f>
        <v>2.6821450763738319</v>
      </c>
      <c r="AF407" s="15">
        <f>'PFAS Properties'!$V$33</f>
        <v>4.9000000000000004</v>
      </c>
      <c r="AG407" s="24">
        <v>7.4</v>
      </c>
      <c r="AH407" s="2" t="s">
        <v>661</v>
      </c>
      <c r="AI407" s="2">
        <v>3.3</v>
      </c>
      <c r="AJ407" s="15">
        <f t="shared" ref="AJ407:AJ437" si="173">AI407*1000/55.845</f>
        <v>59.092130002686005</v>
      </c>
      <c r="AK407" s="15">
        <f t="shared" ref="AK407:AK447" si="174">AI407/10</f>
        <v>0.32999999999999996</v>
      </c>
      <c r="AL407" s="2" t="s">
        <v>661</v>
      </c>
      <c r="AM407" s="2" t="s">
        <v>661</v>
      </c>
      <c r="AN407" s="2" t="s">
        <v>661</v>
      </c>
      <c r="AO407" s="13" t="s">
        <v>93</v>
      </c>
      <c r="AP407" s="71">
        <v>11.74244166666667</v>
      </c>
      <c r="AQ407" s="70" t="s">
        <v>752</v>
      </c>
      <c r="AR407" s="16">
        <v>5.7</v>
      </c>
      <c r="AS407" s="16">
        <v>84.1</v>
      </c>
      <c r="AT407" s="16">
        <v>10.1</v>
      </c>
      <c r="AU407" s="2" t="s">
        <v>661</v>
      </c>
      <c r="AV407" s="16">
        <f t="shared" si="157"/>
        <v>99.899999999999991</v>
      </c>
      <c r="AW407" s="18">
        <v>0.28000000000000003</v>
      </c>
      <c r="AX407" s="13">
        <f t="shared" si="158"/>
        <v>2.8000000000000004E-3</v>
      </c>
      <c r="AY407" s="8" t="s">
        <v>132</v>
      </c>
      <c r="AZ407" s="16">
        <f t="shared" ref="AZ407:AZ412" si="175">0.2/0.01</f>
        <v>20</v>
      </c>
      <c r="BA407" s="16">
        <f t="shared" ref="BA407:BA412" si="176">2/0.01</f>
        <v>200</v>
      </c>
      <c r="BB407" s="16" t="s">
        <v>55</v>
      </c>
      <c r="BC407" s="12" t="s">
        <v>55</v>
      </c>
      <c r="BD407" s="18">
        <v>0.12</v>
      </c>
      <c r="BE407" s="16">
        <f t="shared" si="167"/>
        <v>42.857142857142847</v>
      </c>
      <c r="BF407" s="8">
        <f t="shared" si="168"/>
        <v>1.6320232147054055</v>
      </c>
      <c r="BG407" s="8">
        <f t="shared" si="169"/>
        <v>-0.92081875395237522</v>
      </c>
      <c r="BH407" s="2" t="s">
        <v>837</v>
      </c>
      <c r="BI407" s="2"/>
      <c r="BJ407" s="2"/>
      <c r="BK407" s="2"/>
      <c r="BL407" s="2"/>
      <c r="BM407" s="20"/>
      <c r="BN407" s="20"/>
      <c r="BO407" s="2"/>
    </row>
    <row r="408" spans="1:67" s="14" customFormat="1" x14ac:dyDescent="0.3">
      <c r="A408" s="20">
        <v>414</v>
      </c>
      <c r="B408" s="2" t="s">
        <v>249</v>
      </c>
      <c r="C408" s="2">
        <v>2012</v>
      </c>
      <c r="D408" s="2" t="s">
        <v>227</v>
      </c>
      <c r="E408" s="10" t="s">
        <v>250</v>
      </c>
      <c r="F408" s="20" t="s">
        <v>63</v>
      </c>
      <c r="G408" s="2" t="s">
        <v>133</v>
      </c>
      <c r="H408" s="2" t="str">
        <f>'PFAS Properties'!$B$33</f>
        <v>PFOA</v>
      </c>
      <c r="I408" s="2" t="str">
        <f>'PFAS Properties'!$C$33</f>
        <v>PFCA</v>
      </c>
      <c r="J408" s="2" t="str">
        <f>'PFAS Properties'!$D$33</f>
        <v>C8HF15O2</v>
      </c>
      <c r="K408" s="25">
        <f>'PFAS Properties'!$P$33</f>
        <v>413.97359999999998</v>
      </c>
      <c r="L408" s="2">
        <f>'PFAS Properties'!$X$33</f>
        <v>-0.2</v>
      </c>
      <c r="M408" s="2" t="str">
        <f>'PFAS Properties'!$Y$33</f>
        <v>-</v>
      </c>
      <c r="N408" s="33">
        <v>0</v>
      </c>
      <c r="O408" s="33">
        <v>0</v>
      </c>
      <c r="P408" s="33">
        <v>0</v>
      </c>
      <c r="Q408" s="33">
        <f t="shared" si="170"/>
        <v>0.99999997488113634</v>
      </c>
      <c r="R408" s="33">
        <v>0</v>
      </c>
      <c r="S408" s="33">
        <f t="shared" si="171"/>
        <v>2.5118863684138424E-8</v>
      </c>
      <c r="T408" s="8">
        <f t="shared" si="172"/>
        <v>1</v>
      </c>
      <c r="U408" s="33">
        <f t="shared" si="161"/>
        <v>0</v>
      </c>
      <c r="V408" s="33">
        <f t="shared" si="162"/>
        <v>-0.99999997488113634</v>
      </c>
      <c r="W408" s="33">
        <f t="shared" si="163"/>
        <v>412.97360002511886</v>
      </c>
      <c r="X408" s="33">
        <v>96485</v>
      </c>
      <c r="Y408" s="16">
        <f t="shared" si="164"/>
        <v>-233.63478336275685</v>
      </c>
      <c r="Z408" s="16">
        <v>8</v>
      </c>
      <c r="AA408" s="16">
        <v>15</v>
      </c>
      <c r="AB408" s="8">
        <f t="shared" si="165"/>
        <v>0.33684210526315789</v>
      </c>
      <c r="AC408" s="16">
        <f t="shared" si="166"/>
        <v>68.844969824162703</v>
      </c>
      <c r="AD408" s="20">
        <f>'PFAS Properties'!$W$33</f>
        <v>7</v>
      </c>
      <c r="AE408" s="8">
        <f>'PFAS Properties'!$S$33</f>
        <v>2.6821450763738319</v>
      </c>
      <c r="AF408" s="15">
        <f>'PFAS Properties'!$V$33</f>
        <v>4.9000000000000004</v>
      </c>
      <c r="AG408" s="24">
        <v>7.4</v>
      </c>
      <c r="AH408" s="2" t="s">
        <v>661</v>
      </c>
      <c r="AI408" s="2">
        <v>10.8</v>
      </c>
      <c r="AJ408" s="15">
        <f t="shared" si="173"/>
        <v>193.39242546333602</v>
      </c>
      <c r="AK408" s="15">
        <f t="shared" si="174"/>
        <v>1.08</v>
      </c>
      <c r="AL408" s="2" t="s">
        <v>661</v>
      </c>
      <c r="AM408" s="2" t="s">
        <v>661</v>
      </c>
      <c r="AN408" s="2" t="s">
        <v>661</v>
      </c>
      <c r="AO408" s="13" t="s">
        <v>93</v>
      </c>
      <c r="AP408" s="71">
        <v>12.994766666666671</v>
      </c>
      <c r="AQ408" s="70" t="s">
        <v>752</v>
      </c>
      <c r="AR408" s="16">
        <v>14.9</v>
      </c>
      <c r="AS408" s="16">
        <v>58.5</v>
      </c>
      <c r="AT408" s="16">
        <v>26.6</v>
      </c>
      <c r="AU408" s="2" t="s">
        <v>661</v>
      </c>
      <c r="AV408" s="16">
        <f t="shared" si="157"/>
        <v>100</v>
      </c>
      <c r="AW408" s="18">
        <v>0.65</v>
      </c>
      <c r="AX408" s="13">
        <f t="shared" si="158"/>
        <v>6.5000000000000006E-3</v>
      </c>
      <c r="AY408" s="8" t="s">
        <v>132</v>
      </c>
      <c r="AZ408" s="16">
        <f t="shared" si="175"/>
        <v>20</v>
      </c>
      <c r="BA408" s="16">
        <f t="shared" si="176"/>
        <v>200</v>
      </c>
      <c r="BB408" s="16" t="s">
        <v>55</v>
      </c>
      <c r="BC408" s="12" t="s">
        <v>55</v>
      </c>
      <c r="BD408" s="18">
        <v>0.17</v>
      </c>
      <c r="BE408" s="16">
        <f t="shared" si="167"/>
        <v>26.153846153846153</v>
      </c>
      <c r="BF408" s="8">
        <f t="shared" si="168"/>
        <v>1.4175355647354184</v>
      </c>
      <c r="BG408" s="8">
        <f t="shared" si="169"/>
        <v>-0.769551078621726</v>
      </c>
      <c r="BH408" s="2" t="s">
        <v>837</v>
      </c>
      <c r="BI408" s="2"/>
      <c r="BJ408" s="2"/>
      <c r="BK408" s="2"/>
      <c r="BL408" s="2"/>
      <c r="BM408" s="20"/>
      <c r="BN408" s="20"/>
      <c r="BO408" s="2"/>
    </row>
    <row r="409" spans="1:67" s="14" customFormat="1" x14ac:dyDescent="0.3">
      <c r="A409" s="20">
        <v>415</v>
      </c>
      <c r="B409" s="2" t="s">
        <v>249</v>
      </c>
      <c r="C409" s="2">
        <v>2012</v>
      </c>
      <c r="D409" s="2" t="s">
        <v>227</v>
      </c>
      <c r="E409" s="10" t="s">
        <v>250</v>
      </c>
      <c r="F409" s="20" t="s">
        <v>63</v>
      </c>
      <c r="G409" s="2" t="s">
        <v>134</v>
      </c>
      <c r="H409" s="2" t="str">
        <f>'PFAS Properties'!$B$33</f>
        <v>PFOA</v>
      </c>
      <c r="I409" s="2" t="str">
        <f>'PFAS Properties'!$C$33</f>
        <v>PFCA</v>
      </c>
      <c r="J409" s="2" t="str">
        <f>'PFAS Properties'!$D$33</f>
        <v>C8HF15O2</v>
      </c>
      <c r="K409" s="25">
        <f>'PFAS Properties'!$P$33</f>
        <v>413.97359999999998</v>
      </c>
      <c r="L409" s="2">
        <f>'PFAS Properties'!$X$33</f>
        <v>-0.2</v>
      </c>
      <c r="M409" s="2" t="str">
        <f>'PFAS Properties'!$Y$33</f>
        <v>-</v>
      </c>
      <c r="N409" s="33">
        <v>0</v>
      </c>
      <c r="O409" s="33">
        <v>0</v>
      </c>
      <c r="P409" s="33">
        <v>0</v>
      </c>
      <c r="Q409" s="33">
        <f t="shared" si="170"/>
        <v>0.99999997488113634</v>
      </c>
      <c r="R409" s="33">
        <v>0</v>
      </c>
      <c r="S409" s="33">
        <f t="shared" si="171"/>
        <v>2.5118863684138424E-8</v>
      </c>
      <c r="T409" s="8">
        <f t="shared" si="172"/>
        <v>1</v>
      </c>
      <c r="U409" s="33">
        <f t="shared" si="161"/>
        <v>0</v>
      </c>
      <c r="V409" s="33">
        <f t="shared" si="162"/>
        <v>-0.99999997488113634</v>
      </c>
      <c r="W409" s="33">
        <f t="shared" si="163"/>
        <v>412.97360002511886</v>
      </c>
      <c r="X409" s="33">
        <v>96485</v>
      </c>
      <c r="Y409" s="16">
        <f t="shared" si="164"/>
        <v>-233.63478336275685</v>
      </c>
      <c r="Z409" s="16">
        <v>8</v>
      </c>
      <c r="AA409" s="16">
        <v>15</v>
      </c>
      <c r="AB409" s="8">
        <f t="shared" si="165"/>
        <v>0.33684210526315789</v>
      </c>
      <c r="AC409" s="16">
        <f t="shared" si="166"/>
        <v>68.844969824162703</v>
      </c>
      <c r="AD409" s="20">
        <f>'PFAS Properties'!$W$33</f>
        <v>7</v>
      </c>
      <c r="AE409" s="8">
        <f>'PFAS Properties'!$S$33</f>
        <v>2.6821450763738319</v>
      </c>
      <c r="AF409" s="15">
        <f>'PFAS Properties'!$V$33</f>
        <v>4.9000000000000004</v>
      </c>
      <c r="AG409" s="24">
        <v>7.4</v>
      </c>
      <c r="AH409" s="2" t="s">
        <v>661</v>
      </c>
      <c r="AI409" s="2">
        <v>16.100000000000001</v>
      </c>
      <c r="AJ409" s="15">
        <f t="shared" si="173"/>
        <v>288.29796758886209</v>
      </c>
      <c r="AK409" s="15">
        <f t="shared" si="174"/>
        <v>1.61</v>
      </c>
      <c r="AL409" s="2" t="s">
        <v>661</v>
      </c>
      <c r="AM409" s="2" t="s">
        <v>661</v>
      </c>
      <c r="AN409" s="2" t="s">
        <v>661</v>
      </c>
      <c r="AO409" s="13" t="s">
        <v>93</v>
      </c>
      <c r="AP409" s="71">
        <v>11.134266666666671</v>
      </c>
      <c r="AQ409" s="70" t="s">
        <v>752</v>
      </c>
      <c r="AR409" s="16">
        <v>17.600000000000001</v>
      </c>
      <c r="AS409" s="16">
        <v>78.3</v>
      </c>
      <c r="AT409" s="16">
        <v>4.2</v>
      </c>
      <c r="AU409" s="2" t="s">
        <v>661</v>
      </c>
      <c r="AV409" s="16">
        <f t="shared" si="157"/>
        <v>100.10000000000001</v>
      </c>
      <c r="AW409" s="18">
        <v>0.7</v>
      </c>
      <c r="AX409" s="13">
        <f t="shared" si="158"/>
        <v>6.9999999999999993E-3</v>
      </c>
      <c r="AY409" s="8" t="s">
        <v>132</v>
      </c>
      <c r="AZ409" s="16">
        <f t="shared" si="175"/>
        <v>20</v>
      </c>
      <c r="BA409" s="16">
        <f t="shared" si="176"/>
        <v>200</v>
      </c>
      <c r="BB409" s="16" t="s">
        <v>55</v>
      </c>
      <c r="BC409" s="12" t="s">
        <v>55</v>
      </c>
      <c r="BD409" s="18">
        <v>0.13</v>
      </c>
      <c r="BE409" s="16">
        <f t="shared" si="167"/>
        <v>18.571428571428573</v>
      </c>
      <c r="BF409" s="8">
        <f t="shared" si="168"/>
        <v>1.26884531229258</v>
      </c>
      <c r="BG409" s="8">
        <f t="shared" si="169"/>
        <v>-0.88605664769316317</v>
      </c>
      <c r="BH409" s="2" t="s">
        <v>837</v>
      </c>
      <c r="BI409" s="2"/>
      <c r="BJ409" s="2"/>
      <c r="BK409" s="2"/>
      <c r="BL409" s="2"/>
      <c r="BM409" s="20"/>
      <c r="BN409" s="20"/>
      <c r="BO409" s="2"/>
    </row>
    <row r="410" spans="1:67" s="14" customFormat="1" x14ac:dyDescent="0.3">
      <c r="A410" s="20">
        <v>416</v>
      </c>
      <c r="B410" s="2" t="s">
        <v>249</v>
      </c>
      <c r="C410" s="2">
        <v>2012</v>
      </c>
      <c r="D410" s="2" t="s">
        <v>227</v>
      </c>
      <c r="E410" s="10" t="s">
        <v>250</v>
      </c>
      <c r="F410" s="20" t="s">
        <v>63</v>
      </c>
      <c r="G410" s="2" t="s">
        <v>135</v>
      </c>
      <c r="H410" s="2" t="str">
        <f>'PFAS Properties'!$B$33</f>
        <v>PFOA</v>
      </c>
      <c r="I410" s="2" t="str">
        <f>'PFAS Properties'!$C$33</f>
        <v>PFCA</v>
      </c>
      <c r="J410" s="2" t="str">
        <f>'PFAS Properties'!$D$33</f>
        <v>C8HF15O2</v>
      </c>
      <c r="K410" s="25">
        <f>'PFAS Properties'!$P$33</f>
        <v>413.97359999999998</v>
      </c>
      <c r="L410" s="2">
        <f>'PFAS Properties'!$X$33</f>
        <v>-0.2</v>
      </c>
      <c r="M410" s="2" t="str">
        <f>'PFAS Properties'!$Y$33</f>
        <v>-</v>
      </c>
      <c r="N410" s="33">
        <v>0</v>
      </c>
      <c r="O410" s="33">
        <v>0</v>
      </c>
      <c r="P410" s="33">
        <v>0</v>
      </c>
      <c r="Q410" s="33">
        <f t="shared" si="170"/>
        <v>0.99999996837722438</v>
      </c>
      <c r="R410" s="33">
        <v>0</v>
      </c>
      <c r="S410" s="33">
        <f t="shared" si="171"/>
        <v>3.1622775601683729E-8</v>
      </c>
      <c r="T410" s="8">
        <f t="shared" si="172"/>
        <v>1</v>
      </c>
      <c r="U410" s="33">
        <f t="shared" si="161"/>
        <v>0</v>
      </c>
      <c r="V410" s="33">
        <f t="shared" si="162"/>
        <v>-0.99999996837722438</v>
      </c>
      <c r="W410" s="33">
        <f t="shared" si="163"/>
        <v>412.97360003162271</v>
      </c>
      <c r="X410" s="33">
        <v>96485</v>
      </c>
      <c r="Y410" s="16">
        <f t="shared" si="164"/>
        <v>-233.63478183953725</v>
      </c>
      <c r="Z410" s="16">
        <v>8</v>
      </c>
      <c r="AA410" s="16">
        <v>15</v>
      </c>
      <c r="AB410" s="8">
        <f t="shared" si="165"/>
        <v>0.33684210526315789</v>
      </c>
      <c r="AC410" s="16">
        <f t="shared" si="166"/>
        <v>68.844969824162703</v>
      </c>
      <c r="AD410" s="20">
        <f>'PFAS Properties'!$W$33</f>
        <v>7</v>
      </c>
      <c r="AE410" s="8">
        <f>'PFAS Properties'!$S$33</f>
        <v>2.6821450763738319</v>
      </c>
      <c r="AF410" s="15">
        <f>'PFAS Properties'!$V$33</f>
        <v>4.9000000000000004</v>
      </c>
      <c r="AG410" s="24">
        <v>7.3</v>
      </c>
      <c r="AH410" s="2" t="s">
        <v>661</v>
      </c>
      <c r="AI410" s="2">
        <v>8.6</v>
      </c>
      <c r="AJ410" s="15">
        <f t="shared" si="173"/>
        <v>153.99767212821203</v>
      </c>
      <c r="AK410" s="15">
        <f t="shared" si="174"/>
        <v>0.86</v>
      </c>
      <c r="AL410" s="2" t="s">
        <v>661</v>
      </c>
      <c r="AM410" s="2" t="s">
        <v>661</v>
      </c>
      <c r="AN410" s="2" t="s">
        <v>661</v>
      </c>
      <c r="AO410" s="13" t="s">
        <v>93</v>
      </c>
      <c r="AP410" s="71">
        <v>11.550541666666669</v>
      </c>
      <c r="AQ410" s="70" t="s">
        <v>752</v>
      </c>
      <c r="AR410" s="16">
        <v>13.6</v>
      </c>
      <c r="AS410" s="16">
        <v>79.2</v>
      </c>
      <c r="AT410" s="16">
        <v>7.2</v>
      </c>
      <c r="AU410" s="2" t="s">
        <v>661</v>
      </c>
      <c r="AV410" s="16">
        <f t="shared" si="157"/>
        <v>100</v>
      </c>
      <c r="AW410" s="18">
        <v>0.75</v>
      </c>
      <c r="AX410" s="13">
        <f t="shared" si="158"/>
        <v>7.4999999999999997E-3</v>
      </c>
      <c r="AY410" s="8" t="s">
        <v>132</v>
      </c>
      <c r="AZ410" s="16">
        <f t="shared" si="175"/>
        <v>20</v>
      </c>
      <c r="BA410" s="16">
        <f t="shared" si="176"/>
        <v>200</v>
      </c>
      <c r="BB410" s="16" t="s">
        <v>55</v>
      </c>
      <c r="BC410" s="12" t="s">
        <v>55</v>
      </c>
      <c r="BD410" s="18">
        <v>0.15</v>
      </c>
      <c r="BE410" s="16">
        <f t="shared" si="167"/>
        <v>20</v>
      </c>
      <c r="BF410" s="8">
        <f t="shared" si="168"/>
        <v>1.3010299956639813</v>
      </c>
      <c r="BG410" s="8">
        <f t="shared" si="169"/>
        <v>-0.82390874094431876</v>
      </c>
      <c r="BH410" s="2" t="s">
        <v>837</v>
      </c>
      <c r="BI410" s="2"/>
      <c r="BJ410" s="2"/>
      <c r="BK410" s="2"/>
      <c r="BL410" s="2"/>
      <c r="BM410" s="20"/>
      <c r="BN410" s="20"/>
      <c r="BO410" s="2"/>
    </row>
    <row r="411" spans="1:67" s="14" customFormat="1" x14ac:dyDescent="0.3">
      <c r="A411" s="20">
        <v>417</v>
      </c>
      <c r="B411" s="2" t="s">
        <v>249</v>
      </c>
      <c r="C411" s="2">
        <v>2012</v>
      </c>
      <c r="D411" s="2" t="s">
        <v>227</v>
      </c>
      <c r="E411" s="10" t="s">
        <v>250</v>
      </c>
      <c r="F411" s="20" t="s">
        <v>63</v>
      </c>
      <c r="G411" s="2" t="s">
        <v>136</v>
      </c>
      <c r="H411" s="2" t="str">
        <f>'PFAS Properties'!$B$33</f>
        <v>PFOA</v>
      </c>
      <c r="I411" s="2" t="str">
        <f>'PFAS Properties'!$C$33</f>
        <v>PFCA</v>
      </c>
      <c r="J411" s="2" t="str">
        <f>'PFAS Properties'!$D$33</f>
        <v>C8HF15O2</v>
      </c>
      <c r="K411" s="25">
        <f>'PFAS Properties'!$P$33</f>
        <v>413.97359999999998</v>
      </c>
      <c r="L411" s="2">
        <f>'PFAS Properties'!$X$33</f>
        <v>-0.2</v>
      </c>
      <c r="M411" s="2" t="str">
        <f>'PFAS Properties'!$Y$33</f>
        <v>-</v>
      </c>
      <c r="N411" s="33">
        <v>0</v>
      </c>
      <c r="O411" s="33">
        <v>0</v>
      </c>
      <c r="P411" s="33">
        <v>0</v>
      </c>
      <c r="Q411" s="33">
        <f t="shared" si="170"/>
        <v>0.99999996837722438</v>
      </c>
      <c r="R411" s="33">
        <v>0</v>
      </c>
      <c r="S411" s="33">
        <f t="shared" si="171"/>
        <v>3.1622775601683729E-8</v>
      </c>
      <c r="T411" s="8">
        <f t="shared" si="172"/>
        <v>1</v>
      </c>
      <c r="U411" s="33">
        <f t="shared" si="161"/>
        <v>0</v>
      </c>
      <c r="V411" s="33">
        <f t="shared" si="162"/>
        <v>-0.99999996837722438</v>
      </c>
      <c r="W411" s="33">
        <f t="shared" si="163"/>
        <v>412.97360003162271</v>
      </c>
      <c r="X411" s="33">
        <v>96485</v>
      </c>
      <c r="Y411" s="16">
        <f t="shared" si="164"/>
        <v>-233.63478183953725</v>
      </c>
      <c r="Z411" s="16">
        <v>8</v>
      </c>
      <c r="AA411" s="16">
        <v>15</v>
      </c>
      <c r="AB411" s="8">
        <f t="shared" si="165"/>
        <v>0.33684210526315789</v>
      </c>
      <c r="AC411" s="16">
        <f t="shared" si="166"/>
        <v>68.844969824162703</v>
      </c>
      <c r="AD411" s="20">
        <f>'PFAS Properties'!$W$33</f>
        <v>7</v>
      </c>
      <c r="AE411" s="8">
        <f>'PFAS Properties'!$S$33</f>
        <v>2.6821450763738319</v>
      </c>
      <c r="AF411" s="15">
        <f>'PFAS Properties'!$V$33</f>
        <v>4.9000000000000004</v>
      </c>
      <c r="AG411" s="24">
        <v>7.3</v>
      </c>
      <c r="AH411" s="2" t="s">
        <v>661</v>
      </c>
      <c r="AI411" s="2">
        <v>4.5999999999999996</v>
      </c>
      <c r="AJ411" s="15">
        <f t="shared" si="173"/>
        <v>82.370847882532004</v>
      </c>
      <c r="AK411" s="15">
        <f t="shared" si="174"/>
        <v>0.45999999999999996</v>
      </c>
      <c r="AL411" s="2" t="s">
        <v>661</v>
      </c>
      <c r="AM411" s="2" t="s">
        <v>661</v>
      </c>
      <c r="AN411" s="2" t="s">
        <v>661</v>
      </c>
      <c r="AO411" s="13" t="s">
        <v>93</v>
      </c>
      <c r="AP411" s="71">
        <v>12.462391666666671</v>
      </c>
      <c r="AQ411" s="70" t="s">
        <v>752</v>
      </c>
      <c r="AR411" s="16">
        <v>10</v>
      </c>
      <c r="AS411" s="16">
        <v>71.7</v>
      </c>
      <c r="AT411" s="16">
        <v>18.399999999999999</v>
      </c>
      <c r="AU411" s="2" t="s">
        <v>661</v>
      </c>
      <c r="AV411" s="16">
        <f t="shared" si="157"/>
        <v>100.1</v>
      </c>
      <c r="AW411" s="18">
        <v>0.94</v>
      </c>
      <c r="AX411" s="13">
        <f t="shared" si="158"/>
        <v>9.3999999999999986E-3</v>
      </c>
      <c r="AY411" s="8" t="s">
        <v>132</v>
      </c>
      <c r="AZ411" s="16">
        <f t="shared" si="175"/>
        <v>20</v>
      </c>
      <c r="BA411" s="16">
        <f t="shared" si="176"/>
        <v>200</v>
      </c>
      <c r="BB411" s="16" t="s">
        <v>55</v>
      </c>
      <c r="BC411" s="12" t="s">
        <v>55</v>
      </c>
      <c r="BD411" s="18">
        <v>0.24</v>
      </c>
      <c r="BE411" s="16">
        <f t="shared" si="167"/>
        <v>25.531914893617024</v>
      </c>
      <c r="BF411" s="8">
        <f t="shared" si="168"/>
        <v>1.4070833881119074</v>
      </c>
      <c r="BG411" s="8">
        <f t="shared" si="169"/>
        <v>-0.61978875828839397</v>
      </c>
      <c r="BH411" s="2" t="s">
        <v>837</v>
      </c>
      <c r="BI411" s="2"/>
      <c r="BJ411" s="2"/>
      <c r="BK411" s="2"/>
      <c r="BL411" s="2"/>
      <c r="BM411" s="20"/>
      <c r="BN411" s="20"/>
      <c r="BO411" s="2"/>
    </row>
    <row r="412" spans="1:67" s="14" customFormat="1" x14ac:dyDescent="0.3">
      <c r="A412" s="20">
        <v>418</v>
      </c>
      <c r="B412" s="2" t="s">
        <v>249</v>
      </c>
      <c r="C412" s="2">
        <v>2012</v>
      </c>
      <c r="D412" s="2" t="s">
        <v>227</v>
      </c>
      <c r="E412" s="10" t="s">
        <v>250</v>
      </c>
      <c r="F412" s="20" t="s">
        <v>63</v>
      </c>
      <c r="G412" s="2" t="s">
        <v>137</v>
      </c>
      <c r="H412" s="2" t="str">
        <f>'PFAS Properties'!$B$33</f>
        <v>PFOA</v>
      </c>
      <c r="I412" s="2" t="str">
        <f>'PFAS Properties'!$C$33</f>
        <v>PFCA</v>
      </c>
      <c r="J412" s="2" t="str">
        <f>'PFAS Properties'!$D$33</f>
        <v>C8HF15O2</v>
      </c>
      <c r="K412" s="25">
        <f>'PFAS Properties'!$P$33</f>
        <v>413.97359999999998</v>
      </c>
      <c r="L412" s="2">
        <f>'PFAS Properties'!$X$33</f>
        <v>-0.2</v>
      </c>
      <c r="M412" s="2" t="str">
        <f>'PFAS Properties'!$Y$33</f>
        <v>-</v>
      </c>
      <c r="N412" s="33">
        <v>0</v>
      </c>
      <c r="O412" s="33">
        <v>0</v>
      </c>
      <c r="P412" s="33">
        <v>0</v>
      </c>
      <c r="Q412" s="33">
        <f t="shared" si="170"/>
        <v>0.99999996837722438</v>
      </c>
      <c r="R412" s="33">
        <v>0</v>
      </c>
      <c r="S412" s="33">
        <f t="shared" si="171"/>
        <v>3.1622775601683729E-8</v>
      </c>
      <c r="T412" s="8">
        <f t="shared" si="172"/>
        <v>1</v>
      </c>
      <c r="U412" s="33">
        <f t="shared" si="161"/>
        <v>0</v>
      </c>
      <c r="V412" s="33">
        <f t="shared" si="162"/>
        <v>-0.99999996837722438</v>
      </c>
      <c r="W412" s="33">
        <f t="shared" si="163"/>
        <v>412.97360003162271</v>
      </c>
      <c r="X412" s="33">
        <v>96485</v>
      </c>
      <c r="Y412" s="16">
        <f t="shared" si="164"/>
        <v>-233.63478183953725</v>
      </c>
      <c r="Z412" s="16">
        <v>8</v>
      </c>
      <c r="AA412" s="16">
        <v>15</v>
      </c>
      <c r="AB412" s="8">
        <f t="shared" si="165"/>
        <v>0.33684210526315789</v>
      </c>
      <c r="AC412" s="16">
        <f t="shared" si="166"/>
        <v>68.844969824162703</v>
      </c>
      <c r="AD412" s="20">
        <f>'PFAS Properties'!$W$33</f>
        <v>7</v>
      </c>
      <c r="AE412" s="8">
        <f>'PFAS Properties'!$S$33</f>
        <v>2.6821450763738319</v>
      </c>
      <c r="AF412" s="15">
        <f>'PFAS Properties'!$V$33</f>
        <v>4.9000000000000004</v>
      </c>
      <c r="AG412" s="24">
        <v>7.3</v>
      </c>
      <c r="AH412" s="2" t="s">
        <v>661</v>
      </c>
      <c r="AI412" s="2">
        <v>11.4</v>
      </c>
      <c r="AJ412" s="15">
        <f t="shared" si="173"/>
        <v>204.13644910018803</v>
      </c>
      <c r="AK412" s="15">
        <f t="shared" si="174"/>
        <v>1.1400000000000001</v>
      </c>
      <c r="AL412" s="2" t="s">
        <v>661</v>
      </c>
      <c r="AM412" s="2" t="s">
        <v>661</v>
      </c>
      <c r="AN412" s="2" t="s">
        <v>661</v>
      </c>
      <c r="AO412" s="13" t="s">
        <v>93</v>
      </c>
      <c r="AP412" s="71">
        <v>12.535391666666669</v>
      </c>
      <c r="AQ412" s="70" t="s">
        <v>752</v>
      </c>
      <c r="AR412" s="16">
        <v>4.0999999999999996</v>
      </c>
      <c r="AS412" s="16">
        <v>84.1</v>
      </c>
      <c r="AT412" s="16">
        <v>17.899999999999999</v>
      </c>
      <c r="AU412" s="2" t="s">
        <v>661</v>
      </c>
      <c r="AV412" s="16">
        <f t="shared" si="157"/>
        <v>106.1</v>
      </c>
      <c r="AW412" s="18">
        <v>0.96</v>
      </c>
      <c r="AX412" s="13">
        <f t="shared" si="158"/>
        <v>9.5999999999999992E-3</v>
      </c>
      <c r="AY412" s="8" t="s">
        <v>132</v>
      </c>
      <c r="AZ412" s="16">
        <f t="shared" si="175"/>
        <v>20</v>
      </c>
      <c r="BA412" s="16">
        <f t="shared" si="176"/>
        <v>200</v>
      </c>
      <c r="BB412" s="16" t="s">
        <v>55</v>
      </c>
      <c r="BC412" s="12" t="s">
        <v>55</v>
      </c>
      <c r="BD412" s="18">
        <v>0.19</v>
      </c>
      <c r="BE412" s="16">
        <f t="shared" si="167"/>
        <v>19.791666666666668</v>
      </c>
      <c r="BF412" s="8">
        <f t="shared" si="168"/>
        <v>1.2964823679132607</v>
      </c>
      <c r="BG412" s="8">
        <f t="shared" si="169"/>
        <v>-0.72124639904717103</v>
      </c>
      <c r="BH412" s="2" t="s">
        <v>837</v>
      </c>
      <c r="BI412" s="2"/>
      <c r="BJ412" s="2"/>
      <c r="BK412" s="2"/>
      <c r="BL412" s="2"/>
      <c r="BM412" s="20"/>
      <c r="BN412" s="20"/>
      <c r="BO412" s="2"/>
    </row>
    <row r="413" spans="1:67" s="14" customFormat="1" x14ac:dyDescent="0.3">
      <c r="A413" s="20">
        <v>419</v>
      </c>
      <c r="B413" s="2" t="s">
        <v>219</v>
      </c>
      <c r="C413" s="2">
        <v>2020</v>
      </c>
      <c r="D413" s="2" t="s">
        <v>205</v>
      </c>
      <c r="E413" s="22" t="s">
        <v>802</v>
      </c>
      <c r="F413" s="20" t="s">
        <v>29</v>
      </c>
      <c r="G413" s="2">
        <v>1</v>
      </c>
      <c r="H413" s="2" t="str">
        <f>'PFAS Properties'!$B$33</f>
        <v>PFOA</v>
      </c>
      <c r="I413" s="2" t="str">
        <f>'PFAS Properties'!$C$33</f>
        <v>PFCA</v>
      </c>
      <c r="J413" s="2" t="str">
        <f>'PFAS Properties'!$D$33</f>
        <v>C8HF15O2</v>
      </c>
      <c r="K413" s="25">
        <f>'PFAS Properties'!$P$33</f>
        <v>413.97359999999998</v>
      </c>
      <c r="L413" s="2">
        <f>'PFAS Properties'!$X$33</f>
        <v>-0.2</v>
      </c>
      <c r="M413" s="2" t="str">
        <f>'PFAS Properties'!$Y$33</f>
        <v>-</v>
      </c>
      <c r="N413" s="33">
        <v>0</v>
      </c>
      <c r="O413" s="33">
        <v>0</v>
      </c>
      <c r="P413" s="33">
        <v>0</v>
      </c>
      <c r="Q413" s="33">
        <f t="shared" si="170"/>
        <v>0.99999984151070587</v>
      </c>
      <c r="R413" s="33">
        <v>0</v>
      </c>
      <c r="S413" s="33">
        <f t="shared" si="171"/>
        <v>1.5848929412725089E-7</v>
      </c>
      <c r="T413" s="8">
        <f t="shared" si="172"/>
        <v>1</v>
      </c>
      <c r="U413" s="33">
        <f t="shared" si="161"/>
        <v>0</v>
      </c>
      <c r="V413" s="33">
        <f t="shared" si="162"/>
        <v>-0.99999984151070587</v>
      </c>
      <c r="W413" s="33">
        <f t="shared" si="163"/>
        <v>412.97360015848926</v>
      </c>
      <c r="X413" s="33">
        <v>96485</v>
      </c>
      <c r="Y413" s="16">
        <f t="shared" si="164"/>
        <v>-233.63475212733178</v>
      </c>
      <c r="Z413" s="16">
        <v>8</v>
      </c>
      <c r="AA413" s="16">
        <v>15</v>
      </c>
      <c r="AB413" s="8">
        <f t="shared" si="165"/>
        <v>0.33684210526315789</v>
      </c>
      <c r="AC413" s="16">
        <f t="shared" si="166"/>
        <v>68.844969824162703</v>
      </c>
      <c r="AD413" s="20">
        <f>'PFAS Properties'!$W$33</f>
        <v>7</v>
      </c>
      <c r="AE413" s="8">
        <f>'PFAS Properties'!$S$33</f>
        <v>2.6821450763738319</v>
      </c>
      <c r="AF413" s="15">
        <f>'PFAS Properties'!$V$33</f>
        <v>4.9000000000000004</v>
      </c>
      <c r="AG413" s="24">
        <v>6.6</v>
      </c>
      <c r="AH413" s="2" t="s">
        <v>85</v>
      </c>
      <c r="AI413" s="2">
        <v>4.17</v>
      </c>
      <c r="AJ413" s="15">
        <f t="shared" si="173"/>
        <v>74.67096427612141</v>
      </c>
      <c r="AK413" s="8">
        <f t="shared" si="174"/>
        <v>0.41699999999999998</v>
      </c>
      <c r="AL413" s="2">
        <v>2.58</v>
      </c>
      <c r="AM413" s="15">
        <f t="shared" ref="AM413:AM437" si="177">AL413*1000/26.98</f>
        <v>95.626389918458116</v>
      </c>
      <c r="AN413" s="8">
        <f t="shared" ref="AN413:AN447" si="178">AL413/10</f>
        <v>0.25800000000000001</v>
      </c>
      <c r="AO413" s="15" t="s">
        <v>86</v>
      </c>
      <c r="AP413" s="15">
        <v>10</v>
      </c>
      <c r="AQ413" s="15" t="s">
        <v>661</v>
      </c>
      <c r="AR413" s="16">
        <v>43</v>
      </c>
      <c r="AS413" s="2">
        <v>12</v>
      </c>
      <c r="AT413" s="2">
        <v>45</v>
      </c>
      <c r="AU413" s="15" t="s">
        <v>661</v>
      </c>
      <c r="AV413" s="16">
        <f t="shared" si="157"/>
        <v>100</v>
      </c>
      <c r="AW413" s="18">
        <v>1.8</v>
      </c>
      <c r="AX413" s="13">
        <f t="shared" si="158"/>
        <v>1.8000000000000002E-2</v>
      </c>
      <c r="AY413" s="8" t="s">
        <v>87</v>
      </c>
      <c r="AZ413" s="16">
        <v>200</v>
      </c>
      <c r="BA413" s="16" t="s">
        <v>55</v>
      </c>
      <c r="BB413" s="16" t="s">
        <v>391</v>
      </c>
      <c r="BC413" s="16" t="s">
        <v>55</v>
      </c>
      <c r="BD413" s="18">
        <v>0.33</v>
      </c>
      <c r="BE413" s="15">
        <f t="shared" si="167"/>
        <v>18.333333333333332</v>
      </c>
      <c r="BF413" s="8">
        <f t="shared" si="168"/>
        <v>1.2632414347745813</v>
      </c>
      <c r="BG413" s="8">
        <f t="shared" si="169"/>
        <v>-0.48148606012211248</v>
      </c>
      <c r="BH413" s="13" t="s">
        <v>841</v>
      </c>
      <c r="BI413" s="13"/>
      <c r="BJ413" s="13"/>
      <c r="BK413" s="13"/>
      <c r="BL413" s="13"/>
      <c r="BM413" s="17"/>
      <c r="BN413" s="17"/>
      <c r="BO413" s="2"/>
    </row>
    <row r="414" spans="1:67" s="14" customFormat="1" x14ac:dyDescent="0.3">
      <c r="A414" s="20">
        <v>420</v>
      </c>
      <c r="B414" s="2" t="s">
        <v>219</v>
      </c>
      <c r="C414" s="2">
        <v>2020</v>
      </c>
      <c r="D414" s="2" t="s">
        <v>205</v>
      </c>
      <c r="E414" s="10" t="s">
        <v>802</v>
      </c>
      <c r="F414" s="20" t="s">
        <v>29</v>
      </c>
      <c r="G414" s="2">
        <v>2</v>
      </c>
      <c r="H414" s="2" t="str">
        <f>'PFAS Properties'!$B$33</f>
        <v>PFOA</v>
      </c>
      <c r="I414" s="2" t="str">
        <f>'PFAS Properties'!$C$33</f>
        <v>PFCA</v>
      </c>
      <c r="J414" s="2" t="str">
        <f>'PFAS Properties'!$D$33</f>
        <v>C8HF15O2</v>
      </c>
      <c r="K414" s="25">
        <f>'PFAS Properties'!$P$33</f>
        <v>413.97359999999998</v>
      </c>
      <c r="L414" s="2">
        <f>'PFAS Properties'!$X$33</f>
        <v>-0.2</v>
      </c>
      <c r="M414" s="2" t="str">
        <f>'PFAS Properties'!$Y$33</f>
        <v>-</v>
      </c>
      <c r="N414" s="33">
        <v>0</v>
      </c>
      <c r="O414" s="33">
        <v>0</v>
      </c>
      <c r="P414" s="33">
        <v>0</v>
      </c>
      <c r="Q414" s="33">
        <f t="shared" si="170"/>
        <v>0.99999984151070587</v>
      </c>
      <c r="R414" s="33">
        <v>0</v>
      </c>
      <c r="S414" s="33">
        <f t="shared" si="171"/>
        <v>1.5848929412725089E-7</v>
      </c>
      <c r="T414" s="8">
        <f t="shared" si="172"/>
        <v>1</v>
      </c>
      <c r="U414" s="33">
        <f t="shared" si="161"/>
        <v>0</v>
      </c>
      <c r="V414" s="33">
        <f t="shared" si="162"/>
        <v>-0.99999984151070587</v>
      </c>
      <c r="W414" s="33">
        <f t="shared" si="163"/>
        <v>412.97360015848926</v>
      </c>
      <c r="X414" s="33">
        <v>96485</v>
      </c>
      <c r="Y414" s="16">
        <f t="shared" si="164"/>
        <v>-233.63475212733178</v>
      </c>
      <c r="Z414" s="16">
        <v>8</v>
      </c>
      <c r="AA414" s="16">
        <v>15</v>
      </c>
      <c r="AB414" s="8">
        <f t="shared" si="165"/>
        <v>0.33684210526315789</v>
      </c>
      <c r="AC414" s="16">
        <f t="shared" si="166"/>
        <v>68.844969824162703</v>
      </c>
      <c r="AD414" s="20">
        <f>'PFAS Properties'!$W$33</f>
        <v>7</v>
      </c>
      <c r="AE414" s="8">
        <f>'PFAS Properties'!$S$33</f>
        <v>2.6821450763738319</v>
      </c>
      <c r="AF414" s="15">
        <f>'PFAS Properties'!$V$33</f>
        <v>4.9000000000000004</v>
      </c>
      <c r="AG414" s="24">
        <v>6.6</v>
      </c>
      <c r="AH414" s="2" t="s">
        <v>85</v>
      </c>
      <c r="AI414" s="2">
        <v>6.06</v>
      </c>
      <c r="AJ414" s="15">
        <f t="shared" si="173"/>
        <v>108.51463873220521</v>
      </c>
      <c r="AK414" s="8">
        <f t="shared" si="174"/>
        <v>0.60599999999999998</v>
      </c>
      <c r="AL414" s="2">
        <v>3.75</v>
      </c>
      <c r="AM414" s="15">
        <f t="shared" si="177"/>
        <v>138.99184581171238</v>
      </c>
      <c r="AN414" s="8">
        <f t="shared" si="178"/>
        <v>0.375</v>
      </c>
      <c r="AO414" s="15" t="s">
        <v>86</v>
      </c>
      <c r="AP414" s="15">
        <v>9.5399999999999991</v>
      </c>
      <c r="AQ414" s="15" t="s">
        <v>661</v>
      </c>
      <c r="AR414" s="16">
        <v>36</v>
      </c>
      <c r="AS414" s="16">
        <v>23</v>
      </c>
      <c r="AT414" s="16">
        <v>41</v>
      </c>
      <c r="AU414" s="15" t="s">
        <v>661</v>
      </c>
      <c r="AV414" s="16">
        <f t="shared" si="157"/>
        <v>100</v>
      </c>
      <c r="AW414" s="18">
        <v>2.1</v>
      </c>
      <c r="AX414" s="13">
        <f t="shared" si="158"/>
        <v>2.1000000000000001E-2</v>
      </c>
      <c r="AY414" s="8" t="s">
        <v>87</v>
      </c>
      <c r="AZ414" s="16">
        <v>20</v>
      </c>
      <c r="BA414" s="16" t="s">
        <v>55</v>
      </c>
      <c r="BB414" s="16" t="s">
        <v>391</v>
      </c>
      <c r="BC414" s="16" t="s">
        <v>55</v>
      </c>
      <c r="BD414" s="18">
        <v>0.20699999999999999</v>
      </c>
      <c r="BE414" s="15">
        <f t="shared" si="167"/>
        <v>9.8571428571428559</v>
      </c>
      <c r="BF414" s="8">
        <f t="shared" si="168"/>
        <v>0.99375105072299841</v>
      </c>
      <c r="BG414" s="8">
        <f t="shared" si="169"/>
        <v>-0.68402965454308229</v>
      </c>
      <c r="BH414" s="13" t="s">
        <v>841</v>
      </c>
      <c r="BI414" s="13"/>
      <c r="BJ414" s="13"/>
      <c r="BK414" s="13"/>
      <c r="BL414" s="13"/>
      <c r="BM414" s="17"/>
      <c r="BN414" s="17"/>
      <c r="BO414" s="2"/>
    </row>
    <row r="415" spans="1:67" s="14" customFormat="1" x14ac:dyDescent="0.3">
      <c r="A415" s="20">
        <v>421</v>
      </c>
      <c r="B415" s="2" t="s">
        <v>219</v>
      </c>
      <c r="C415" s="2">
        <v>2020</v>
      </c>
      <c r="D415" s="2" t="s">
        <v>205</v>
      </c>
      <c r="E415" s="10" t="s">
        <v>802</v>
      </c>
      <c r="F415" s="20" t="s">
        <v>29</v>
      </c>
      <c r="G415" s="2">
        <v>3</v>
      </c>
      <c r="H415" s="2" t="str">
        <f>'PFAS Properties'!$B$33</f>
        <v>PFOA</v>
      </c>
      <c r="I415" s="2" t="str">
        <f>'PFAS Properties'!$C$33</f>
        <v>PFCA</v>
      </c>
      <c r="J415" s="2" t="str">
        <f>'PFAS Properties'!$D$33</f>
        <v>C8HF15O2</v>
      </c>
      <c r="K415" s="25">
        <f>'PFAS Properties'!$P$33</f>
        <v>413.97359999999998</v>
      </c>
      <c r="L415" s="2">
        <f>'PFAS Properties'!$X$33</f>
        <v>-0.2</v>
      </c>
      <c r="M415" s="2" t="str">
        <f>'PFAS Properties'!$Y$33</f>
        <v>-</v>
      </c>
      <c r="N415" s="33">
        <v>0</v>
      </c>
      <c r="O415" s="33">
        <v>0</v>
      </c>
      <c r="P415" s="33">
        <v>0</v>
      </c>
      <c r="Q415" s="33">
        <f t="shared" si="170"/>
        <v>0.99999968377233395</v>
      </c>
      <c r="R415" s="33">
        <v>0</v>
      </c>
      <c r="S415" s="33">
        <f t="shared" si="171"/>
        <v>3.1622766601686895E-7</v>
      </c>
      <c r="T415" s="8">
        <f t="shared" si="172"/>
        <v>1</v>
      </c>
      <c r="U415" s="33">
        <f t="shared" si="161"/>
        <v>0</v>
      </c>
      <c r="V415" s="33">
        <f t="shared" si="162"/>
        <v>-0.99999968377233395</v>
      </c>
      <c r="W415" s="33">
        <f t="shared" si="163"/>
        <v>412.97360031622759</v>
      </c>
      <c r="X415" s="33">
        <v>96485</v>
      </c>
      <c r="Y415" s="16">
        <f t="shared" si="164"/>
        <v>-233.63471518492202</v>
      </c>
      <c r="Z415" s="16">
        <v>8</v>
      </c>
      <c r="AA415" s="16">
        <v>15</v>
      </c>
      <c r="AB415" s="8">
        <f t="shared" si="165"/>
        <v>0.33684210526315789</v>
      </c>
      <c r="AC415" s="16">
        <f t="shared" si="166"/>
        <v>68.844969824162703</v>
      </c>
      <c r="AD415" s="20">
        <f>'PFAS Properties'!$W$33</f>
        <v>7</v>
      </c>
      <c r="AE415" s="8">
        <f>'PFAS Properties'!$S$33</f>
        <v>2.6821450763738319</v>
      </c>
      <c r="AF415" s="15">
        <f>'PFAS Properties'!$V$33</f>
        <v>4.9000000000000004</v>
      </c>
      <c r="AG415" s="24">
        <v>6.3</v>
      </c>
      <c r="AH415" s="2" t="s">
        <v>85</v>
      </c>
      <c r="AI415" s="2">
        <v>0.46600000000000003</v>
      </c>
      <c r="AJ415" s="15">
        <f t="shared" si="173"/>
        <v>8.3445250246217206</v>
      </c>
      <c r="AK415" s="8">
        <f t="shared" si="174"/>
        <v>4.6600000000000003E-2</v>
      </c>
      <c r="AL415" s="2">
        <v>0.185</v>
      </c>
      <c r="AM415" s="15">
        <f t="shared" si="177"/>
        <v>6.8569310600444773</v>
      </c>
      <c r="AN415" s="8">
        <f t="shared" si="178"/>
        <v>1.8499999999999999E-2</v>
      </c>
      <c r="AO415" s="15" t="s">
        <v>86</v>
      </c>
      <c r="AP415" s="15">
        <v>2.83</v>
      </c>
      <c r="AQ415" s="15" t="s">
        <v>661</v>
      </c>
      <c r="AR415" s="16">
        <v>91</v>
      </c>
      <c r="AS415" s="16">
        <v>2</v>
      </c>
      <c r="AT415" s="16">
        <v>7</v>
      </c>
      <c r="AU415" s="15" t="s">
        <v>661</v>
      </c>
      <c r="AV415" s="16">
        <f t="shared" si="157"/>
        <v>100</v>
      </c>
      <c r="AW415" s="18">
        <v>0.6</v>
      </c>
      <c r="AX415" s="13">
        <f t="shared" si="158"/>
        <v>6.0000000000000001E-3</v>
      </c>
      <c r="AY415" s="8" t="s">
        <v>87</v>
      </c>
      <c r="AZ415" s="16">
        <v>20</v>
      </c>
      <c r="BA415" s="16" t="s">
        <v>55</v>
      </c>
      <c r="BB415" s="16" t="s">
        <v>391</v>
      </c>
      <c r="BC415" s="16" t="s">
        <v>55</v>
      </c>
      <c r="BD415" s="18">
        <v>4.88</v>
      </c>
      <c r="BE415" s="15">
        <f t="shared" si="167"/>
        <v>813.33333333333326</v>
      </c>
      <c r="BF415" s="8">
        <f t="shared" si="168"/>
        <v>2.910268571619067</v>
      </c>
      <c r="BG415" s="8">
        <f t="shared" si="169"/>
        <v>0.68841982200271057</v>
      </c>
      <c r="BH415" s="13" t="s">
        <v>841</v>
      </c>
      <c r="BI415" s="13"/>
      <c r="BJ415" s="13"/>
      <c r="BK415" s="13"/>
      <c r="BL415" s="13"/>
      <c r="BM415" s="17"/>
      <c r="BN415" s="17"/>
      <c r="BO415" s="2"/>
    </row>
    <row r="416" spans="1:67" s="14" customFormat="1" x14ac:dyDescent="0.3">
      <c r="A416" s="20">
        <v>422</v>
      </c>
      <c r="B416" s="2" t="s">
        <v>219</v>
      </c>
      <c r="C416" s="2">
        <v>2020</v>
      </c>
      <c r="D416" s="2" t="s">
        <v>205</v>
      </c>
      <c r="E416" s="10" t="s">
        <v>802</v>
      </c>
      <c r="F416" s="20" t="s">
        <v>29</v>
      </c>
      <c r="G416" s="2">
        <v>4</v>
      </c>
      <c r="H416" s="2" t="str">
        <f>'PFAS Properties'!$B$33</f>
        <v>PFOA</v>
      </c>
      <c r="I416" s="2" t="str">
        <f>'PFAS Properties'!$C$33</f>
        <v>PFCA</v>
      </c>
      <c r="J416" s="2" t="str">
        <f>'PFAS Properties'!$D$33</f>
        <v>C8HF15O2</v>
      </c>
      <c r="K416" s="25">
        <f>'PFAS Properties'!$P$33</f>
        <v>413.97359999999998</v>
      </c>
      <c r="L416" s="2">
        <f>'PFAS Properties'!$X$33</f>
        <v>-0.2</v>
      </c>
      <c r="M416" s="2" t="str">
        <f>'PFAS Properties'!$Y$33</f>
        <v>-</v>
      </c>
      <c r="N416" s="33">
        <v>0</v>
      </c>
      <c r="O416" s="33">
        <v>0</v>
      </c>
      <c r="P416" s="33">
        <v>0</v>
      </c>
      <c r="Q416" s="33">
        <f t="shared" si="170"/>
        <v>0.99999996837722438</v>
      </c>
      <c r="R416" s="33">
        <v>0</v>
      </c>
      <c r="S416" s="33">
        <f t="shared" si="171"/>
        <v>3.1622775601683729E-8</v>
      </c>
      <c r="T416" s="8">
        <f t="shared" si="172"/>
        <v>1</v>
      </c>
      <c r="U416" s="33">
        <f t="shared" si="161"/>
        <v>0</v>
      </c>
      <c r="V416" s="33">
        <f t="shared" si="162"/>
        <v>-0.99999996837722438</v>
      </c>
      <c r="W416" s="33">
        <f t="shared" si="163"/>
        <v>412.97360003162271</v>
      </c>
      <c r="X416" s="33">
        <v>96485</v>
      </c>
      <c r="Y416" s="16">
        <f t="shared" si="164"/>
        <v>-233.63478183953725</v>
      </c>
      <c r="Z416" s="16">
        <v>8</v>
      </c>
      <c r="AA416" s="16">
        <v>15</v>
      </c>
      <c r="AB416" s="8">
        <f t="shared" si="165"/>
        <v>0.33684210526315789</v>
      </c>
      <c r="AC416" s="16">
        <f t="shared" si="166"/>
        <v>68.844969824162703</v>
      </c>
      <c r="AD416" s="20">
        <f>'PFAS Properties'!$W$33</f>
        <v>7</v>
      </c>
      <c r="AE416" s="8">
        <f>'PFAS Properties'!$S$33</f>
        <v>2.6821450763738319</v>
      </c>
      <c r="AF416" s="15">
        <f>'PFAS Properties'!$V$33</f>
        <v>4.9000000000000004</v>
      </c>
      <c r="AG416" s="24">
        <v>7.3</v>
      </c>
      <c r="AH416" s="2" t="s">
        <v>85</v>
      </c>
      <c r="AI416" s="2">
        <v>7.87</v>
      </c>
      <c r="AJ416" s="15">
        <f t="shared" si="173"/>
        <v>140.92577670337542</v>
      </c>
      <c r="AK416" s="8">
        <f t="shared" si="174"/>
        <v>0.78700000000000003</v>
      </c>
      <c r="AL416" s="2">
        <v>2.4</v>
      </c>
      <c r="AM416" s="15">
        <f t="shared" si="177"/>
        <v>88.954781319495922</v>
      </c>
      <c r="AN416" s="8">
        <f t="shared" si="178"/>
        <v>0.24</v>
      </c>
      <c r="AO416" s="15" t="s">
        <v>86</v>
      </c>
      <c r="AP416" s="15">
        <v>27.69</v>
      </c>
      <c r="AQ416" s="15" t="s">
        <v>661</v>
      </c>
      <c r="AR416" s="16">
        <v>27</v>
      </c>
      <c r="AS416" s="16">
        <v>21</v>
      </c>
      <c r="AT416" s="16">
        <v>52</v>
      </c>
      <c r="AU416" s="15" t="s">
        <v>661</v>
      </c>
      <c r="AV416" s="16">
        <f t="shared" si="157"/>
        <v>100</v>
      </c>
      <c r="AW416" s="18">
        <v>1.8</v>
      </c>
      <c r="AX416" s="13">
        <f t="shared" si="158"/>
        <v>1.8000000000000002E-2</v>
      </c>
      <c r="AY416" s="8" t="s">
        <v>87</v>
      </c>
      <c r="AZ416" s="16">
        <v>20</v>
      </c>
      <c r="BA416" s="16" t="s">
        <v>55</v>
      </c>
      <c r="BB416" s="16" t="s">
        <v>391</v>
      </c>
      <c r="BC416" s="16" t="s">
        <v>55</v>
      </c>
      <c r="BD416" s="18">
        <v>3.22</v>
      </c>
      <c r="BE416" s="15">
        <f t="shared" si="167"/>
        <v>178.88888888888889</v>
      </c>
      <c r="BF416" s="8">
        <f t="shared" si="168"/>
        <v>2.2525833665925248</v>
      </c>
      <c r="BG416" s="8">
        <f t="shared" si="169"/>
        <v>0.50785587169583091</v>
      </c>
      <c r="BH416" s="13" t="s">
        <v>841</v>
      </c>
      <c r="BI416" s="13"/>
      <c r="BJ416" s="13"/>
      <c r="BK416" s="13"/>
      <c r="BL416" s="13"/>
      <c r="BM416" s="17"/>
      <c r="BN416" s="17"/>
      <c r="BO416" s="2"/>
    </row>
    <row r="417" spans="1:67" s="14" customFormat="1" x14ac:dyDescent="0.3">
      <c r="A417" s="20">
        <v>423</v>
      </c>
      <c r="B417" s="2" t="s">
        <v>219</v>
      </c>
      <c r="C417" s="2">
        <v>2020</v>
      </c>
      <c r="D417" s="2" t="s">
        <v>205</v>
      </c>
      <c r="E417" s="10" t="s">
        <v>802</v>
      </c>
      <c r="F417" s="20" t="s">
        <v>29</v>
      </c>
      <c r="G417" s="2">
        <v>5</v>
      </c>
      <c r="H417" s="2" t="str">
        <f>'PFAS Properties'!$B$33</f>
        <v>PFOA</v>
      </c>
      <c r="I417" s="2" t="str">
        <f>'PFAS Properties'!$C$33</f>
        <v>PFCA</v>
      </c>
      <c r="J417" s="2" t="str">
        <f>'PFAS Properties'!$D$33</f>
        <v>C8HF15O2</v>
      </c>
      <c r="K417" s="25">
        <f>'PFAS Properties'!$P$33</f>
        <v>413.97359999999998</v>
      </c>
      <c r="L417" s="2">
        <f>'PFAS Properties'!$X$33</f>
        <v>-0.2</v>
      </c>
      <c r="M417" s="2" t="str">
        <f>'PFAS Properties'!$Y$33</f>
        <v>-</v>
      </c>
      <c r="N417" s="33">
        <v>0</v>
      </c>
      <c r="O417" s="33">
        <v>0</v>
      </c>
      <c r="P417" s="33">
        <v>0</v>
      </c>
      <c r="Q417" s="33">
        <f t="shared" si="170"/>
        <v>0.99999968377233395</v>
      </c>
      <c r="R417" s="33">
        <v>0</v>
      </c>
      <c r="S417" s="33">
        <f t="shared" si="171"/>
        <v>3.1622766601686895E-7</v>
      </c>
      <c r="T417" s="8">
        <f t="shared" si="172"/>
        <v>1</v>
      </c>
      <c r="U417" s="33">
        <f t="shared" si="161"/>
        <v>0</v>
      </c>
      <c r="V417" s="33">
        <f t="shared" si="162"/>
        <v>-0.99999968377233395</v>
      </c>
      <c r="W417" s="33">
        <f t="shared" si="163"/>
        <v>412.97360031622759</v>
      </c>
      <c r="X417" s="33">
        <v>96485</v>
      </c>
      <c r="Y417" s="16">
        <f t="shared" si="164"/>
        <v>-233.63471518492202</v>
      </c>
      <c r="Z417" s="16">
        <v>8</v>
      </c>
      <c r="AA417" s="16">
        <v>15</v>
      </c>
      <c r="AB417" s="8">
        <f t="shared" si="165"/>
        <v>0.33684210526315789</v>
      </c>
      <c r="AC417" s="16">
        <f t="shared" si="166"/>
        <v>68.844969824162703</v>
      </c>
      <c r="AD417" s="20">
        <f>'PFAS Properties'!$W$33</f>
        <v>7</v>
      </c>
      <c r="AE417" s="8">
        <f>'PFAS Properties'!$S$33</f>
        <v>2.6821450763738319</v>
      </c>
      <c r="AF417" s="15">
        <f>'PFAS Properties'!$V$33</f>
        <v>4.9000000000000004</v>
      </c>
      <c r="AG417" s="24">
        <v>6.3</v>
      </c>
      <c r="AH417" s="2" t="s">
        <v>85</v>
      </c>
      <c r="AI417" s="2">
        <v>4.12</v>
      </c>
      <c r="AJ417" s="15">
        <f t="shared" si="173"/>
        <v>73.775628973050402</v>
      </c>
      <c r="AK417" s="8">
        <f t="shared" si="174"/>
        <v>0.41200000000000003</v>
      </c>
      <c r="AL417" s="2">
        <v>2.57</v>
      </c>
      <c r="AM417" s="15">
        <f t="shared" si="177"/>
        <v>95.255744996293544</v>
      </c>
      <c r="AN417" s="8">
        <f t="shared" si="178"/>
        <v>0.25700000000000001</v>
      </c>
      <c r="AO417" s="15" t="s">
        <v>86</v>
      </c>
      <c r="AP417" s="15">
        <v>7.18</v>
      </c>
      <c r="AQ417" s="15" t="s">
        <v>661</v>
      </c>
      <c r="AR417" s="16">
        <v>40</v>
      </c>
      <c r="AS417" s="16">
        <v>12</v>
      </c>
      <c r="AT417" s="16">
        <v>48</v>
      </c>
      <c r="AU417" s="15" t="s">
        <v>661</v>
      </c>
      <c r="AV417" s="16">
        <f t="shared" si="157"/>
        <v>100</v>
      </c>
      <c r="AW417" s="18">
        <v>1.5</v>
      </c>
      <c r="AX417" s="13">
        <f t="shared" si="158"/>
        <v>1.4999999999999999E-2</v>
      </c>
      <c r="AY417" s="8" t="s">
        <v>87</v>
      </c>
      <c r="AZ417" s="16">
        <v>20</v>
      </c>
      <c r="BA417" s="16" t="s">
        <v>55</v>
      </c>
      <c r="BB417" s="16" t="s">
        <v>391</v>
      </c>
      <c r="BC417" s="16" t="s">
        <v>55</v>
      </c>
      <c r="BD417" s="18">
        <v>4.8099999999999996</v>
      </c>
      <c r="BE417" s="15">
        <f t="shared" si="167"/>
        <v>320.66666666666663</v>
      </c>
      <c r="BF417" s="8">
        <f t="shared" si="168"/>
        <v>2.5060538173181506</v>
      </c>
      <c r="BG417" s="8">
        <f t="shared" si="169"/>
        <v>0.6821450763738317</v>
      </c>
      <c r="BH417" s="13" t="s">
        <v>841</v>
      </c>
      <c r="BI417" s="13"/>
      <c r="BJ417" s="13"/>
      <c r="BK417" s="13"/>
      <c r="BL417" s="13"/>
      <c r="BM417" s="17"/>
      <c r="BN417" s="17"/>
      <c r="BO417" s="2"/>
    </row>
    <row r="418" spans="1:67" s="14" customFormat="1" x14ac:dyDescent="0.3">
      <c r="A418" s="20">
        <v>424</v>
      </c>
      <c r="B418" s="2" t="s">
        <v>219</v>
      </c>
      <c r="C418" s="2">
        <v>2020</v>
      </c>
      <c r="D418" s="2" t="s">
        <v>205</v>
      </c>
      <c r="E418" s="10" t="s">
        <v>802</v>
      </c>
      <c r="F418" s="20" t="s">
        <v>29</v>
      </c>
      <c r="G418" s="2">
        <v>6</v>
      </c>
      <c r="H418" s="2" t="str">
        <f>'PFAS Properties'!$B$33</f>
        <v>PFOA</v>
      </c>
      <c r="I418" s="2" t="str">
        <f>'PFAS Properties'!$C$33</f>
        <v>PFCA</v>
      </c>
      <c r="J418" s="2" t="str">
        <f>'PFAS Properties'!$D$33</f>
        <v>C8HF15O2</v>
      </c>
      <c r="K418" s="25">
        <f>'PFAS Properties'!$P$33</f>
        <v>413.97359999999998</v>
      </c>
      <c r="L418" s="2">
        <f>'PFAS Properties'!$X$33</f>
        <v>-0.2</v>
      </c>
      <c r="M418" s="2" t="str">
        <f>'PFAS Properties'!$Y$33</f>
        <v>-</v>
      </c>
      <c r="N418" s="33">
        <v>0</v>
      </c>
      <c r="O418" s="33">
        <v>0</v>
      </c>
      <c r="P418" s="33">
        <v>0</v>
      </c>
      <c r="Q418" s="33">
        <f t="shared" si="170"/>
        <v>0.99999498815278243</v>
      </c>
      <c r="R418" s="33">
        <v>0</v>
      </c>
      <c r="S418" s="33">
        <f t="shared" si="171"/>
        <v>5.0118472175342954E-6</v>
      </c>
      <c r="T418" s="8">
        <f t="shared" si="172"/>
        <v>1</v>
      </c>
      <c r="U418" s="33">
        <f t="shared" si="161"/>
        <v>0</v>
      </c>
      <c r="V418" s="33">
        <f t="shared" si="162"/>
        <v>-0.99999498815278243</v>
      </c>
      <c r="W418" s="33">
        <f t="shared" si="163"/>
        <v>412.97360501184716</v>
      </c>
      <c r="X418" s="33">
        <v>96485</v>
      </c>
      <c r="Y418" s="16">
        <f t="shared" si="164"/>
        <v>-233.63361546836225</v>
      </c>
      <c r="Z418" s="16">
        <v>8</v>
      </c>
      <c r="AA418" s="16">
        <v>15</v>
      </c>
      <c r="AB418" s="8">
        <f t="shared" si="165"/>
        <v>0.33684210526315789</v>
      </c>
      <c r="AC418" s="16">
        <f t="shared" si="166"/>
        <v>68.844969824162703</v>
      </c>
      <c r="AD418" s="20">
        <f>'PFAS Properties'!$W$33</f>
        <v>7</v>
      </c>
      <c r="AE418" s="8">
        <f>'PFAS Properties'!$S$33</f>
        <v>2.6821450763738319</v>
      </c>
      <c r="AF418" s="15">
        <f>'PFAS Properties'!$V$33</f>
        <v>4.9000000000000004</v>
      </c>
      <c r="AG418" s="24">
        <v>5.0999999999999996</v>
      </c>
      <c r="AH418" s="2" t="s">
        <v>85</v>
      </c>
      <c r="AI418" s="2">
        <v>2.35</v>
      </c>
      <c r="AJ418" s="15">
        <f t="shared" si="173"/>
        <v>42.080759244337003</v>
      </c>
      <c r="AK418" s="8">
        <f t="shared" si="174"/>
        <v>0.23500000000000001</v>
      </c>
      <c r="AL418" s="2">
        <v>0.92900000000000005</v>
      </c>
      <c r="AM418" s="15">
        <f t="shared" si="177"/>
        <v>34.43291326908821</v>
      </c>
      <c r="AN418" s="8">
        <f t="shared" si="178"/>
        <v>9.290000000000001E-2</v>
      </c>
      <c r="AO418" s="15" t="s">
        <v>86</v>
      </c>
      <c r="AP418" s="15">
        <v>3.64</v>
      </c>
      <c r="AQ418" s="15" t="s">
        <v>661</v>
      </c>
      <c r="AR418" s="16">
        <v>48</v>
      </c>
      <c r="AS418" s="16">
        <v>22</v>
      </c>
      <c r="AT418" s="16">
        <v>30</v>
      </c>
      <c r="AU418" s="15" t="s">
        <v>661</v>
      </c>
      <c r="AV418" s="16">
        <f t="shared" si="157"/>
        <v>100</v>
      </c>
      <c r="AW418" s="18">
        <v>0.9</v>
      </c>
      <c r="AX418" s="13">
        <f t="shared" si="158"/>
        <v>9.0000000000000011E-3</v>
      </c>
      <c r="AY418" s="8" t="s">
        <v>87</v>
      </c>
      <c r="AZ418" s="16">
        <v>20</v>
      </c>
      <c r="BA418" s="16" t="s">
        <v>55</v>
      </c>
      <c r="BB418" s="16" t="s">
        <v>391</v>
      </c>
      <c r="BC418" s="16" t="s">
        <v>55</v>
      </c>
      <c r="BD418" s="18">
        <v>0.42</v>
      </c>
      <c r="BE418" s="15">
        <f t="shared" si="167"/>
        <v>46.666666666666657</v>
      </c>
      <c r="BF418" s="8">
        <f t="shared" si="168"/>
        <v>1.6690067809585756</v>
      </c>
      <c r="BG418" s="8">
        <f t="shared" si="169"/>
        <v>-0.37675070960209955</v>
      </c>
      <c r="BH418" s="13" t="s">
        <v>841</v>
      </c>
      <c r="BI418" s="13"/>
      <c r="BJ418" s="13"/>
      <c r="BK418" s="13"/>
      <c r="BL418" s="13"/>
      <c r="BM418" s="17"/>
      <c r="BN418" s="17"/>
      <c r="BO418" s="2"/>
    </row>
    <row r="419" spans="1:67" s="14" customFormat="1" x14ac:dyDescent="0.3">
      <c r="A419" s="20">
        <v>425</v>
      </c>
      <c r="B419" s="2" t="s">
        <v>219</v>
      </c>
      <c r="C419" s="2">
        <v>2020</v>
      </c>
      <c r="D419" s="2" t="s">
        <v>205</v>
      </c>
      <c r="E419" s="10" t="s">
        <v>802</v>
      </c>
      <c r="F419" s="20" t="s">
        <v>29</v>
      </c>
      <c r="G419" s="2">
        <v>8</v>
      </c>
      <c r="H419" s="2" t="str">
        <f>'PFAS Properties'!$B$33</f>
        <v>PFOA</v>
      </c>
      <c r="I419" s="2" t="str">
        <f>'PFAS Properties'!$C$33</f>
        <v>PFCA</v>
      </c>
      <c r="J419" s="2" t="str">
        <f>'PFAS Properties'!$D$33</f>
        <v>C8HF15O2</v>
      </c>
      <c r="K419" s="25">
        <f>'PFAS Properties'!$P$33</f>
        <v>413.97359999999998</v>
      </c>
      <c r="L419" s="2">
        <f>'PFAS Properties'!$X$33</f>
        <v>-0.2</v>
      </c>
      <c r="M419" s="2" t="str">
        <f>'PFAS Properties'!$Y$33</f>
        <v>-</v>
      </c>
      <c r="N419" s="33">
        <v>0</v>
      </c>
      <c r="O419" s="33">
        <v>0</v>
      </c>
      <c r="P419" s="33">
        <v>0</v>
      </c>
      <c r="Q419" s="33">
        <f t="shared" si="170"/>
        <v>0.99999990000001004</v>
      </c>
      <c r="R419" s="33">
        <v>0</v>
      </c>
      <c r="S419" s="33">
        <f t="shared" si="171"/>
        <v>9.9999990000001005E-8</v>
      </c>
      <c r="T419" s="8">
        <f t="shared" si="172"/>
        <v>1</v>
      </c>
      <c r="U419" s="33">
        <f t="shared" si="161"/>
        <v>0</v>
      </c>
      <c r="V419" s="33">
        <f t="shared" si="162"/>
        <v>-0.99999990000001004</v>
      </c>
      <c r="W419" s="33">
        <f t="shared" si="163"/>
        <v>412.9736001</v>
      </c>
      <c r="X419" s="33">
        <v>96485</v>
      </c>
      <c r="Y419" s="16">
        <f t="shared" si="164"/>
        <v>-233.63476582555762</v>
      </c>
      <c r="Z419" s="16">
        <v>8</v>
      </c>
      <c r="AA419" s="16">
        <v>15</v>
      </c>
      <c r="AB419" s="8">
        <f t="shared" si="165"/>
        <v>0.33684210526315789</v>
      </c>
      <c r="AC419" s="16">
        <f t="shared" si="166"/>
        <v>68.844969824162703</v>
      </c>
      <c r="AD419" s="20">
        <f>'PFAS Properties'!$W$33</f>
        <v>7</v>
      </c>
      <c r="AE419" s="8">
        <f>'PFAS Properties'!$S$33</f>
        <v>2.6821450763738319</v>
      </c>
      <c r="AF419" s="15">
        <f>'PFAS Properties'!$V$33</f>
        <v>4.9000000000000004</v>
      </c>
      <c r="AG419" s="24">
        <v>6.8</v>
      </c>
      <c r="AH419" s="2" t="s">
        <v>85</v>
      </c>
      <c r="AI419" s="2">
        <v>4.41</v>
      </c>
      <c r="AJ419" s="15">
        <f t="shared" si="173"/>
        <v>78.968573730862204</v>
      </c>
      <c r="AK419" s="8">
        <f t="shared" si="174"/>
        <v>0.441</v>
      </c>
      <c r="AL419" s="2">
        <v>1.85</v>
      </c>
      <c r="AM419" s="15">
        <f t="shared" si="177"/>
        <v>68.56931060044478</v>
      </c>
      <c r="AN419" s="8">
        <f t="shared" si="178"/>
        <v>0.185</v>
      </c>
      <c r="AO419" s="15" t="s">
        <v>86</v>
      </c>
      <c r="AP419" s="15">
        <v>10.86</v>
      </c>
      <c r="AQ419" s="15" t="s">
        <v>661</v>
      </c>
      <c r="AR419" s="16">
        <v>54</v>
      </c>
      <c r="AS419" s="16">
        <v>21</v>
      </c>
      <c r="AT419" s="16">
        <v>25</v>
      </c>
      <c r="AU419" s="15" t="s">
        <v>661</v>
      </c>
      <c r="AV419" s="16">
        <f t="shared" si="157"/>
        <v>100</v>
      </c>
      <c r="AW419" s="18">
        <v>1.1000000000000001</v>
      </c>
      <c r="AX419" s="13">
        <f t="shared" si="158"/>
        <v>1.1000000000000001E-2</v>
      </c>
      <c r="AY419" s="8" t="s">
        <v>87</v>
      </c>
      <c r="AZ419" s="16">
        <v>20</v>
      </c>
      <c r="BA419" s="16" t="s">
        <v>55</v>
      </c>
      <c r="BB419" s="16" t="s">
        <v>391</v>
      </c>
      <c r="BC419" s="16" t="s">
        <v>55</v>
      </c>
      <c r="BD419" s="18">
        <v>2.74</v>
      </c>
      <c r="BE419" s="15">
        <f t="shared" si="167"/>
        <v>249.09090909090909</v>
      </c>
      <c r="BF419" s="8">
        <f t="shared" si="168"/>
        <v>2.396357877662163</v>
      </c>
      <c r="BG419" s="8">
        <f t="shared" si="169"/>
        <v>0.43775056282038799</v>
      </c>
      <c r="BH419" s="13" t="s">
        <v>841</v>
      </c>
      <c r="BI419" s="13"/>
      <c r="BJ419" s="13"/>
      <c r="BK419" s="13"/>
      <c r="BL419" s="13"/>
      <c r="BM419" s="17"/>
      <c r="BN419" s="17"/>
      <c r="BO419" s="2"/>
    </row>
    <row r="420" spans="1:67" s="14" customFormat="1" x14ac:dyDescent="0.3">
      <c r="A420" s="20">
        <v>426</v>
      </c>
      <c r="B420" s="2" t="s">
        <v>219</v>
      </c>
      <c r="C420" s="2">
        <v>2020</v>
      </c>
      <c r="D420" s="2" t="s">
        <v>205</v>
      </c>
      <c r="E420" s="10" t="s">
        <v>802</v>
      </c>
      <c r="F420" s="20" t="s">
        <v>29</v>
      </c>
      <c r="G420" s="2">
        <v>11</v>
      </c>
      <c r="H420" s="2" t="str">
        <f>'PFAS Properties'!$B$33</f>
        <v>PFOA</v>
      </c>
      <c r="I420" s="2" t="str">
        <f>'PFAS Properties'!$C$33</f>
        <v>PFCA</v>
      </c>
      <c r="J420" s="2" t="str">
        <f>'PFAS Properties'!$D$33</f>
        <v>C8HF15O2</v>
      </c>
      <c r="K420" s="25">
        <f>'PFAS Properties'!$P$33</f>
        <v>413.97359999999998</v>
      </c>
      <c r="L420" s="2">
        <f>'PFAS Properties'!$X$33</f>
        <v>-0.2</v>
      </c>
      <c r="M420" s="2" t="str">
        <f>'PFAS Properties'!$Y$33</f>
        <v>-</v>
      </c>
      <c r="N420" s="33">
        <v>0</v>
      </c>
      <c r="O420" s="33">
        <v>0</v>
      </c>
      <c r="P420" s="33">
        <v>0</v>
      </c>
      <c r="Q420" s="33">
        <f t="shared" si="170"/>
        <v>0.9999974881198781</v>
      </c>
      <c r="R420" s="33">
        <v>0</v>
      </c>
      <c r="S420" s="33">
        <f t="shared" si="171"/>
        <v>2.5118801219519806E-6</v>
      </c>
      <c r="T420" s="8">
        <f t="shared" si="172"/>
        <v>1</v>
      </c>
      <c r="U420" s="33">
        <f t="shared" si="161"/>
        <v>0</v>
      </c>
      <c r="V420" s="33">
        <f t="shared" si="162"/>
        <v>-0.9999974881198781</v>
      </c>
      <c r="W420" s="33">
        <f t="shared" si="163"/>
        <v>412.97360251188013</v>
      </c>
      <c r="X420" s="33">
        <v>96485</v>
      </c>
      <c r="Y420" s="16">
        <f t="shared" si="164"/>
        <v>-233.63420096196302</v>
      </c>
      <c r="Z420" s="16">
        <v>8</v>
      </c>
      <c r="AA420" s="16">
        <v>15</v>
      </c>
      <c r="AB420" s="8">
        <f t="shared" si="165"/>
        <v>0.33684210526315789</v>
      </c>
      <c r="AC420" s="16">
        <f t="shared" si="166"/>
        <v>68.844969824162703</v>
      </c>
      <c r="AD420" s="20">
        <f>'PFAS Properties'!$W$33</f>
        <v>7</v>
      </c>
      <c r="AE420" s="8">
        <f>'PFAS Properties'!$S$33</f>
        <v>2.6821450763738319</v>
      </c>
      <c r="AF420" s="15">
        <f>'PFAS Properties'!$V$33</f>
        <v>4.9000000000000004</v>
      </c>
      <c r="AG420" s="24">
        <v>5.4</v>
      </c>
      <c r="AH420" s="2" t="s">
        <v>85</v>
      </c>
      <c r="AI420" s="2">
        <v>2.72</v>
      </c>
      <c r="AJ420" s="15">
        <f t="shared" si="173"/>
        <v>48.706240487062409</v>
      </c>
      <c r="AK420" s="8">
        <f t="shared" si="174"/>
        <v>0.27200000000000002</v>
      </c>
      <c r="AL420" s="2">
        <v>2.65</v>
      </c>
      <c r="AM420" s="15">
        <f t="shared" si="177"/>
        <v>98.220904373610082</v>
      </c>
      <c r="AN420" s="8">
        <f t="shared" si="178"/>
        <v>0.26500000000000001</v>
      </c>
      <c r="AO420" s="15" t="s">
        <v>86</v>
      </c>
      <c r="AP420" s="15">
        <v>7.61</v>
      </c>
      <c r="AQ420" s="15" t="s">
        <v>661</v>
      </c>
      <c r="AR420" s="16">
        <v>34</v>
      </c>
      <c r="AS420" s="16">
        <v>22</v>
      </c>
      <c r="AT420" s="16">
        <v>44</v>
      </c>
      <c r="AU420" s="15" t="s">
        <v>661</v>
      </c>
      <c r="AV420" s="16">
        <f t="shared" si="157"/>
        <v>100</v>
      </c>
      <c r="AW420" s="18">
        <v>1.7</v>
      </c>
      <c r="AX420" s="13">
        <f t="shared" si="158"/>
        <v>1.7000000000000001E-2</v>
      </c>
      <c r="AY420" s="8" t="s">
        <v>87</v>
      </c>
      <c r="AZ420" s="16">
        <v>20</v>
      </c>
      <c r="BA420" s="16" t="s">
        <v>55</v>
      </c>
      <c r="BB420" s="16" t="s">
        <v>391</v>
      </c>
      <c r="BC420" s="16" t="s">
        <v>55</v>
      </c>
      <c r="BD420" s="18">
        <v>0.22</v>
      </c>
      <c r="BE420" s="15">
        <f t="shared" si="167"/>
        <v>12.941176470588234</v>
      </c>
      <c r="BF420" s="8">
        <f t="shared" si="168"/>
        <v>1.1119737594439323</v>
      </c>
      <c r="BG420" s="8">
        <f t="shared" si="169"/>
        <v>-0.65757731917779372</v>
      </c>
      <c r="BH420" s="13" t="s">
        <v>841</v>
      </c>
      <c r="BI420" s="13"/>
      <c r="BJ420" s="13"/>
      <c r="BK420" s="13"/>
      <c r="BL420" s="13"/>
      <c r="BM420" s="17"/>
      <c r="BN420" s="17"/>
      <c r="BO420" s="2"/>
    </row>
    <row r="421" spans="1:67" s="14" customFormat="1" x14ac:dyDescent="0.3">
      <c r="A421" s="20">
        <v>427</v>
      </c>
      <c r="B421" s="2" t="s">
        <v>219</v>
      </c>
      <c r="C421" s="2">
        <v>2020</v>
      </c>
      <c r="D421" s="2" t="s">
        <v>205</v>
      </c>
      <c r="E421" s="10" t="s">
        <v>802</v>
      </c>
      <c r="F421" s="20" t="s">
        <v>29</v>
      </c>
      <c r="G421" s="2">
        <v>12</v>
      </c>
      <c r="H421" s="2" t="str">
        <f>'PFAS Properties'!$B$33</f>
        <v>PFOA</v>
      </c>
      <c r="I421" s="2" t="str">
        <f>'PFAS Properties'!$C$33</f>
        <v>PFCA</v>
      </c>
      <c r="J421" s="2" t="str">
        <f>'PFAS Properties'!$D$33</f>
        <v>C8HF15O2</v>
      </c>
      <c r="K421" s="25">
        <f>'PFAS Properties'!$P$33</f>
        <v>413.97359999999998</v>
      </c>
      <c r="L421" s="2">
        <f>'PFAS Properties'!$X$33</f>
        <v>-0.2</v>
      </c>
      <c r="M421" s="2" t="str">
        <f>'PFAS Properties'!$Y$33</f>
        <v>-</v>
      </c>
      <c r="N421" s="33">
        <v>0</v>
      </c>
      <c r="O421" s="33">
        <v>0</v>
      </c>
      <c r="P421" s="33">
        <v>0</v>
      </c>
      <c r="Q421" s="33">
        <f t="shared" si="170"/>
        <v>0.99999987410747471</v>
      </c>
      <c r="R421" s="33">
        <v>0</v>
      </c>
      <c r="S421" s="33">
        <f t="shared" si="171"/>
        <v>1.2589252533048661E-7</v>
      </c>
      <c r="T421" s="8">
        <f t="shared" si="172"/>
        <v>1</v>
      </c>
      <c r="U421" s="33">
        <f t="shared" si="161"/>
        <v>0</v>
      </c>
      <c r="V421" s="33">
        <f t="shared" si="162"/>
        <v>-0.99999987410747471</v>
      </c>
      <c r="W421" s="33">
        <f t="shared" si="163"/>
        <v>412.97360012589252</v>
      </c>
      <c r="X421" s="33">
        <v>96485</v>
      </c>
      <c r="Y421" s="16">
        <f t="shared" si="164"/>
        <v>-233.63475976151219</v>
      </c>
      <c r="Z421" s="16">
        <v>8</v>
      </c>
      <c r="AA421" s="16">
        <v>15</v>
      </c>
      <c r="AB421" s="8">
        <f t="shared" si="165"/>
        <v>0.33684210526315789</v>
      </c>
      <c r="AC421" s="16">
        <f t="shared" si="166"/>
        <v>68.844969824162703</v>
      </c>
      <c r="AD421" s="20">
        <f>'PFAS Properties'!$W$33</f>
        <v>7</v>
      </c>
      <c r="AE421" s="8">
        <f>'PFAS Properties'!$S$33</f>
        <v>2.6821450763738319</v>
      </c>
      <c r="AF421" s="15">
        <f>'PFAS Properties'!$V$33</f>
        <v>4.9000000000000004</v>
      </c>
      <c r="AG421" s="24">
        <v>6.7</v>
      </c>
      <c r="AH421" s="2" t="s">
        <v>85</v>
      </c>
      <c r="AI421" s="2">
        <v>3.45</v>
      </c>
      <c r="AJ421" s="15">
        <f t="shared" si="173"/>
        <v>61.778135911899007</v>
      </c>
      <c r="AK421" s="8">
        <f t="shared" si="174"/>
        <v>0.34500000000000003</v>
      </c>
      <c r="AL421" s="2">
        <v>2.15</v>
      </c>
      <c r="AM421" s="15">
        <f t="shared" si="177"/>
        <v>79.688658265381761</v>
      </c>
      <c r="AN421" s="8">
        <f t="shared" si="178"/>
        <v>0.215</v>
      </c>
      <c r="AO421" s="15" t="s">
        <v>86</v>
      </c>
      <c r="AP421" s="15">
        <v>12.76</v>
      </c>
      <c r="AQ421" s="15" t="s">
        <v>661</v>
      </c>
      <c r="AR421" s="16">
        <v>54</v>
      </c>
      <c r="AS421" s="16">
        <v>19</v>
      </c>
      <c r="AT421" s="16">
        <v>28</v>
      </c>
      <c r="AU421" s="15" t="s">
        <v>661</v>
      </c>
      <c r="AV421" s="16">
        <f t="shared" ref="AV421:AV483" si="179">SUM(AR421:AT421)</f>
        <v>101</v>
      </c>
      <c r="AW421" s="18">
        <v>1.3</v>
      </c>
      <c r="AX421" s="13">
        <f t="shared" ref="AX421:AX459" si="180">AW421/100</f>
        <v>1.3000000000000001E-2</v>
      </c>
      <c r="AY421" s="8" t="s">
        <v>87</v>
      </c>
      <c r="AZ421" s="16">
        <v>20</v>
      </c>
      <c r="BA421" s="16" t="s">
        <v>55</v>
      </c>
      <c r="BB421" s="16" t="s">
        <v>391</v>
      </c>
      <c r="BC421" s="16" t="s">
        <v>55</v>
      </c>
      <c r="BD421" s="18">
        <v>0.1</v>
      </c>
      <c r="BE421" s="15">
        <f t="shared" si="167"/>
        <v>7.6923076923076916</v>
      </c>
      <c r="BF421" s="8">
        <f t="shared" si="168"/>
        <v>0.88605664769316317</v>
      </c>
      <c r="BG421" s="8">
        <f t="shared" si="169"/>
        <v>-1</v>
      </c>
      <c r="BH421" s="13" t="s">
        <v>841</v>
      </c>
      <c r="BI421" s="13"/>
      <c r="BJ421" s="13"/>
      <c r="BK421" s="13"/>
      <c r="BL421" s="13"/>
      <c r="BM421" s="17"/>
      <c r="BN421" s="17"/>
      <c r="BO421" s="2"/>
    </row>
    <row r="422" spans="1:67" s="14" customFormat="1" x14ac:dyDescent="0.3">
      <c r="A422" s="20">
        <v>428</v>
      </c>
      <c r="B422" s="2" t="s">
        <v>219</v>
      </c>
      <c r="C422" s="2">
        <v>2020</v>
      </c>
      <c r="D422" s="2" t="s">
        <v>205</v>
      </c>
      <c r="E422" s="10" t="s">
        <v>802</v>
      </c>
      <c r="F422" s="20" t="s">
        <v>29</v>
      </c>
      <c r="G422" s="2">
        <v>13</v>
      </c>
      <c r="H422" s="2" t="str">
        <f>'PFAS Properties'!$B$33</f>
        <v>PFOA</v>
      </c>
      <c r="I422" s="2" t="str">
        <f>'PFAS Properties'!$C$33</f>
        <v>PFCA</v>
      </c>
      <c r="J422" s="2" t="str">
        <f>'PFAS Properties'!$D$33</f>
        <v>C8HF15O2</v>
      </c>
      <c r="K422" s="25">
        <f>'PFAS Properties'!$P$33</f>
        <v>413.97359999999998</v>
      </c>
      <c r="L422" s="2">
        <f>'PFAS Properties'!$X$33</f>
        <v>-0.2</v>
      </c>
      <c r="M422" s="2" t="str">
        <f>'PFAS Properties'!$Y$33</f>
        <v>-</v>
      </c>
      <c r="N422" s="33">
        <v>0</v>
      </c>
      <c r="O422" s="33">
        <v>0</v>
      </c>
      <c r="P422" s="33">
        <v>0</v>
      </c>
      <c r="Q422" s="33">
        <f t="shared" si="170"/>
        <v>0.99999960189298798</v>
      </c>
      <c r="R422" s="33">
        <v>0</v>
      </c>
      <c r="S422" s="33">
        <f t="shared" si="171"/>
        <v>3.9810701206424001E-7</v>
      </c>
      <c r="T422" s="8">
        <f t="shared" si="172"/>
        <v>1</v>
      </c>
      <c r="U422" s="33">
        <f t="shared" si="161"/>
        <v>0</v>
      </c>
      <c r="V422" s="33">
        <f t="shared" si="162"/>
        <v>-0.99999960189298798</v>
      </c>
      <c r="W422" s="33">
        <f t="shared" si="163"/>
        <v>412.97360039810701</v>
      </c>
      <c r="X422" s="33">
        <v>96485</v>
      </c>
      <c r="Y422" s="16">
        <f t="shared" si="164"/>
        <v>-233.634696008736</v>
      </c>
      <c r="Z422" s="16">
        <v>8</v>
      </c>
      <c r="AA422" s="16">
        <v>15</v>
      </c>
      <c r="AB422" s="8">
        <f t="shared" si="165"/>
        <v>0.33684210526315789</v>
      </c>
      <c r="AC422" s="16">
        <f t="shared" si="166"/>
        <v>68.844969824162703</v>
      </c>
      <c r="AD422" s="20">
        <f>'PFAS Properties'!$W$33</f>
        <v>7</v>
      </c>
      <c r="AE422" s="8">
        <f>'PFAS Properties'!$S$33</f>
        <v>2.6821450763738319</v>
      </c>
      <c r="AF422" s="15">
        <f>'PFAS Properties'!$V$33</f>
        <v>4.9000000000000004</v>
      </c>
      <c r="AG422" s="24">
        <v>6.2</v>
      </c>
      <c r="AH422" s="2" t="s">
        <v>85</v>
      </c>
      <c r="AI422" s="2">
        <v>2.71</v>
      </c>
      <c r="AJ422" s="15">
        <f t="shared" si="173"/>
        <v>48.527173426448208</v>
      </c>
      <c r="AK422" s="8">
        <f t="shared" si="174"/>
        <v>0.27100000000000002</v>
      </c>
      <c r="AL422" s="2">
        <v>1.63</v>
      </c>
      <c r="AM422" s="15">
        <f t="shared" si="177"/>
        <v>60.415122312824316</v>
      </c>
      <c r="AN422" s="8">
        <f t="shared" si="178"/>
        <v>0.16299999999999998</v>
      </c>
      <c r="AO422" s="15" t="s">
        <v>86</v>
      </c>
      <c r="AP422" s="15">
        <v>5.24</v>
      </c>
      <c r="AQ422" s="15" t="s">
        <v>661</v>
      </c>
      <c r="AR422" s="16">
        <v>55</v>
      </c>
      <c r="AS422" s="16">
        <v>13</v>
      </c>
      <c r="AT422" s="16">
        <v>32</v>
      </c>
      <c r="AU422" s="15" t="s">
        <v>661</v>
      </c>
      <c r="AV422" s="16">
        <f t="shared" si="179"/>
        <v>100</v>
      </c>
      <c r="AW422" s="18">
        <v>1.6</v>
      </c>
      <c r="AX422" s="13">
        <f t="shared" si="180"/>
        <v>1.6E-2</v>
      </c>
      <c r="AY422" s="8" t="s">
        <v>87</v>
      </c>
      <c r="AZ422" s="16">
        <v>20</v>
      </c>
      <c r="BA422" s="16" t="s">
        <v>55</v>
      </c>
      <c r="BB422" s="16" t="s">
        <v>391</v>
      </c>
      <c r="BC422" s="16" t="s">
        <v>55</v>
      </c>
      <c r="BD422" s="18">
        <v>0.33</v>
      </c>
      <c r="BE422" s="15">
        <f t="shared" si="167"/>
        <v>20.625</v>
      </c>
      <c r="BF422" s="8">
        <f t="shared" si="168"/>
        <v>1.3143939572219627</v>
      </c>
      <c r="BG422" s="8">
        <f t="shared" si="169"/>
        <v>-0.48148606012211248</v>
      </c>
      <c r="BH422" s="13" t="s">
        <v>841</v>
      </c>
      <c r="BI422" s="13"/>
      <c r="BJ422" s="13"/>
      <c r="BK422" s="13"/>
      <c r="BL422" s="13"/>
      <c r="BM422" s="17"/>
      <c r="BN422" s="17"/>
      <c r="BO422" s="2"/>
    </row>
    <row r="423" spans="1:67" s="14" customFormat="1" x14ac:dyDescent="0.3">
      <c r="A423" s="20">
        <v>429</v>
      </c>
      <c r="B423" s="2" t="s">
        <v>219</v>
      </c>
      <c r="C423" s="2">
        <v>2020</v>
      </c>
      <c r="D423" s="2" t="s">
        <v>205</v>
      </c>
      <c r="E423" s="10" t="s">
        <v>802</v>
      </c>
      <c r="F423" s="20" t="s">
        <v>29</v>
      </c>
      <c r="G423" s="2">
        <v>14</v>
      </c>
      <c r="H423" s="2" t="str">
        <f>'PFAS Properties'!$B$33</f>
        <v>PFOA</v>
      </c>
      <c r="I423" s="2" t="str">
        <f>'PFAS Properties'!$C$33</f>
        <v>PFCA</v>
      </c>
      <c r="J423" s="2" t="str">
        <f>'PFAS Properties'!$D$33</f>
        <v>C8HF15O2</v>
      </c>
      <c r="K423" s="25">
        <f>'PFAS Properties'!$P$33</f>
        <v>413.97359999999998</v>
      </c>
      <c r="L423" s="2">
        <f>'PFAS Properties'!$X$33</f>
        <v>-0.2</v>
      </c>
      <c r="M423" s="2" t="str">
        <f>'PFAS Properties'!$Y$33</f>
        <v>-</v>
      </c>
      <c r="N423" s="33">
        <v>0</v>
      </c>
      <c r="O423" s="33">
        <v>0</v>
      </c>
      <c r="P423" s="33">
        <v>0</v>
      </c>
      <c r="Q423" s="33">
        <f t="shared" si="170"/>
        <v>0.99999993690426958</v>
      </c>
      <c r="R423" s="33">
        <v>0</v>
      </c>
      <c r="S423" s="33">
        <f t="shared" si="171"/>
        <v>6.3095730466947729E-8</v>
      </c>
      <c r="T423" s="8">
        <f t="shared" si="172"/>
        <v>1</v>
      </c>
      <c r="U423" s="33">
        <f t="shared" si="161"/>
        <v>0</v>
      </c>
      <c r="V423" s="33">
        <f t="shared" si="162"/>
        <v>-0.99999993690426958</v>
      </c>
      <c r="W423" s="33">
        <f t="shared" si="163"/>
        <v>412.97360006309572</v>
      </c>
      <c r="X423" s="33">
        <v>96485</v>
      </c>
      <c r="Y423" s="16">
        <f t="shared" si="164"/>
        <v>-233.63477446855464</v>
      </c>
      <c r="Z423" s="16">
        <v>8</v>
      </c>
      <c r="AA423" s="16">
        <v>15</v>
      </c>
      <c r="AB423" s="8">
        <f t="shared" si="165"/>
        <v>0.33684210526315789</v>
      </c>
      <c r="AC423" s="16">
        <f t="shared" si="166"/>
        <v>68.844969824162703</v>
      </c>
      <c r="AD423" s="20">
        <f>'PFAS Properties'!$W$33</f>
        <v>7</v>
      </c>
      <c r="AE423" s="8">
        <f>'PFAS Properties'!$S$33</f>
        <v>2.6821450763738319</v>
      </c>
      <c r="AF423" s="15">
        <f>'PFAS Properties'!$V$33</f>
        <v>4.9000000000000004</v>
      </c>
      <c r="AG423" s="24">
        <v>7</v>
      </c>
      <c r="AH423" s="2" t="s">
        <v>85</v>
      </c>
      <c r="AI423" s="2">
        <v>3.22</v>
      </c>
      <c r="AJ423" s="15">
        <f t="shared" si="173"/>
        <v>57.659593517772407</v>
      </c>
      <c r="AK423" s="8">
        <f t="shared" si="174"/>
        <v>0.32200000000000001</v>
      </c>
      <c r="AL423" s="2">
        <v>1.79</v>
      </c>
      <c r="AM423" s="15">
        <f t="shared" si="177"/>
        <v>66.345441067457372</v>
      </c>
      <c r="AN423" s="8">
        <f t="shared" si="178"/>
        <v>0.17899999999999999</v>
      </c>
      <c r="AO423" s="15" t="s">
        <v>86</v>
      </c>
      <c r="AP423" s="15">
        <v>17.75</v>
      </c>
      <c r="AQ423" s="15" t="s">
        <v>661</v>
      </c>
      <c r="AR423" s="16">
        <v>36</v>
      </c>
      <c r="AS423" s="16">
        <v>8</v>
      </c>
      <c r="AT423" s="16">
        <v>56</v>
      </c>
      <c r="AU423" s="15" t="s">
        <v>661</v>
      </c>
      <c r="AV423" s="16">
        <f t="shared" si="179"/>
        <v>100</v>
      </c>
      <c r="AW423" s="18">
        <v>1.2</v>
      </c>
      <c r="AX423" s="13">
        <f t="shared" si="180"/>
        <v>1.2E-2</v>
      </c>
      <c r="AY423" s="8" t="s">
        <v>87</v>
      </c>
      <c r="AZ423" s="16">
        <v>20</v>
      </c>
      <c r="BA423" s="16" t="s">
        <v>55</v>
      </c>
      <c r="BB423" s="16" t="s">
        <v>391</v>
      </c>
      <c r="BC423" s="16" t="s">
        <v>55</v>
      </c>
      <c r="BD423" s="18">
        <v>2.88</v>
      </c>
      <c r="BE423" s="15">
        <f t="shared" si="167"/>
        <v>240</v>
      </c>
      <c r="BF423" s="8">
        <f t="shared" si="168"/>
        <v>2.3802112417116059</v>
      </c>
      <c r="BG423" s="8">
        <f t="shared" si="169"/>
        <v>0.45939248775923086</v>
      </c>
      <c r="BH423" s="13" t="s">
        <v>841</v>
      </c>
      <c r="BI423" s="13"/>
      <c r="BJ423" s="13"/>
      <c r="BK423" s="13"/>
      <c r="BL423" s="13"/>
      <c r="BM423" s="17"/>
      <c r="BN423" s="17"/>
      <c r="BO423" s="2"/>
    </row>
    <row r="424" spans="1:67" s="14" customFormat="1" x14ac:dyDescent="0.3">
      <c r="A424" s="20">
        <v>430</v>
      </c>
      <c r="B424" s="2" t="s">
        <v>219</v>
      </c>
      <c r="C424" s="2">
        <v>2020</v>
      </c>
      <c r="D424" s="2" t="s">
        <v>205</v>
      </c>
      <c r="E424" s="10" t="s">
        <v>802</v>
      </c>
      <c r="F424" s="20" t="s">
        <v>29</v>
      </c>
      <c r="G424" s="2">
        <v>15</v>
      </c>
      <c r="H424" s="2" t="str">
        <f>'PFAS Properties'!$B$33</f>
        <v>PFOA</v>
      </c>
      <c r="I424" s="2" t="str">
        <f>'PFAS Properties'!$C$33</f>
        <v>PFCA</v>
      </c>
      <c r="J424" s="2" t="str">
        <f>'PFAS Properties'!$D$33</f>
        <v>C8HF15O2</v>
      </c>
      <c r="K424" s="25">
        <f>'PFAS Properties'!$P$33</f>
        <v>413.97359999999998</v>
      </c>
      <c r="L424" s="2">
        <f>'PFAS Properties'!$X$33</f>
        <v>-0.2</v>
      </c>
      <c r="M424" s="2" t="str">
        <f>'PFAS Properties'!$Y$33</f>
        <v>-</v>
      </c>
      <c r="N424" s="33">
        <v>0</v>
      </c>
      <c r="O424" s="33">
        <v>0</v>
      </c>
      <c r="P424" s="33">
        <v>0</v>
      </c>
      <c r="Q424" s="33">
        <f t="shared" si="170"/>
        <v>0.9999999601892845</v>
      </c>
      <c r="R424" s="33">
        <v>0</v>
      </c>
      <c r="S424" s="33">
        <f t="shared" si="171"/>
        <v>3.9810715470456442E-8</v>
      </c>
      <c r="T424" s="8">
        <f t="shared" si="172"/>
        <v>1</v>
      </c>
      <c r="U424" s="33">
        <f t="shared" si="161"/>
        <v>0</v>
      </c>
      <c r="V424" s="33">
        <f t="shared" si="162"/>
        <v>-0.9999999601892845</v>
      </c>
      <c r="W424" s="33">
        <f t="shared" si="163"/>
        <v>412.97360003981066</v>
      </c>
      <c r="X424" s="33">
        <v>96485</v>
      </c>
      <c r="Y424" s="16">
        <f t="shared" si="164"/>
        <v>-233.63477992191741</v>
      </c>
      <c r="Z424" s="16">
        <v>8</v>
      </c>
      <c r="AA424" s="16">
        <v>15</v>
      </c>
      <c r="AB424" s="8">
        <f t="shared" si="165"/>
        <v>0.33684210526315789</v>
      </c>
      <c r="AC424" s="16">
        <f t="shared" si="166"/>
        <v>68.844969824162703</v>
      </c>
      <c r="AD424" s="20">
        <f>'PFAS Properties'!$W$33</f>
        <v>7</v>
      </c>
      <c r="AE424" s="8">
        <f>'PFAS Properties'!$S$33</f>
        <v>2.6821450763738319</v>
      </c>
      <c r="AF424" s="15">
        <f>'PFAS Properties'!$V$33</f>
        <v>4.9000000000000004</v>
      </c>
      <c r="AG424" s="24">
        <v>7.2</v>
      </c>
      <c r="AH424" s="2" t="s">
        <v>85</v>
      </c>
      <c r="AI424" s="2">
        <v>2.4300000000000002</v>
      </c>
      <c r="AJ424" s="15">
        <f t="shared" si="173"/>
        <v>43.513295729250608</v>
      </c>
      <c r="AK424" s="8">
        <f t="shared" si="174"/>
        <v>0.24300000000000002</v>
      </c>
      <c r="AL424" s="2">
        <v>2.08</v>
      </c>
      <c r="AM424" s="15">
        <f t="shared" si="177"/>
        <v>77.094143810229795</v>
      </c>
      <c r="AN424" s="8">
        <f t="shared" si="178"/>
        <v>0.20800000000000002</v>
      </c>
      <c r="AO424" s="15" t="s">
        <v>86</v>
      </c>
      <c r="AP424" s="15">
        <v>10.81</v>
      </c>
      <c r="AQ424" s="15" t="s">
        <v>661</v>
      </c>
      <c r="AR424" s="16">
        <v>67</v>
      </c>
      <c r="AS424" s="16">
        <v>4</v>
      </c>
      <c r="AT424" s="16">
        <v>29</v>
      </c>
      <c r="AU424" s="15" t="s">
        <v>661</v>
      </c>
      <c r="AV424" s="16">
        <f t="shared" si="179"/>
        <v>100</v>
      </c>
      <c r="AW424" s="18">
        <v>1.5</v>
      </c>
      <c r="AX424" s="13">
        <f t="shared" si="180"/>
        <v>1.4999999999999999E-2</v>
      </c>
      <c r="AY424" s="8" t="s">
        <v>87</v>
      </c>
      <c r="AZ424" s="16">
        <v>20</v>
      </c>
      <c r="BA424" s="16" t="s">
        <v>55</v>
      </c>
      <c r="BB424" s="16" t="s">
        <v>391</v>
      </c>
      <c r="BC424" s="16" t="s">
        <v>55</v>
      </c>
      <c r="BD424" s="18">
        <v>3.65</v>
      </c>
      <c r="BE424" s="15">
        <f t="shared" si="167"/>
        <v>243.33333333333334</v>
      </c>
      <c r="BF424" s="8">
        <f t="shared" si="168"/>
        <v>2.3862016054007933</v>
      </c>
      <c r="BG424" s="8">
        <f t="shared" si="169"/>
        <v>0.56229286445647475</v>
      </c>
      <c r="BH424" s="13" t="s">
        <v>841</v>
      </c>
      <c r="BI424" s="13"/>
      <c r="BJ424" s="13"/>
      <c r="BK424" s="13"/>
      <c r="BL424" s="13"/>
      <c r="BM424" s="17"/>
      <c r="BN424" s="17"/>
      <c r="BO424" s="2"/>
    </row>
    <row r="425" spans="1:67" s="14" customFormat="1" x14ac:dyDescent="0.3">
      <c r="A425" s="20">
        <v>431</v>
      </c>
      <c r="B425" s="2" t="s">
        <v>219</v>
      </c>
      <c r="C425" s="2">
        <v>2020</v>
      </c>
      <c r="D425" s="2" t="s">
        <v>205</v>
      </c>
      <c r="E425" s="10" t="s">
        <v>802</v>
      </c>
      <c r="F425" s="20" t="s">
        <v>29</v>
      </c>
      <c r="G425" s="2">
        <v>16</v>
      </c>
      <c r="H425" s="2" t="str">
        <f>'PFAS Properties'!$B$33</f>
        <v>PFOA</v>
      </c>
      <c r="I425" s="2" t="str">
        <f>'PFAS Properties'!$C$33</f>
        <v>PFCA</v>
      </c>
      <c r="J425" s="2" t="str">
        <f>'PFAS Properties'!$D$33</f>
        <v>C8HF15O2</v>
      </c>
      <c r="K425" s="25">
        <f>'PFAS Properties'!$P$33</f>
        <v>413.97359999999998</v>
      </c>
      <c r="L425" s="2">
        <f>'PFAS Properties'!$X$33</f>
        <v>-0.2</v>
      </c>
      <c r="M425" s="2" t="str">
        <f>'PFAS Properties'!$Y$33</f>
        <v>-</v>
      </c>
      <c r="N425" s="33">
        <v>0</v>
      </c>
      <c r="O425" s="33">
        <v>0</v>
      </c>
      <c r="P425" s="33">
        <v>0</v>
      </c>
      <c r="Q425" s="33">
        <f t="shared" si="170"/>
        <v>0.99999994988127916</v>
      </c>
      <c r="R425" s="33">
        <v>0</v>
      </c>
      <c r="S425" s="33">
        <f t="shared" si="171"/>
        <v>5.011872085084086E-8</v>
      </c>
      <c r="T425" s="8">
        <f t="shared" si="172"/>
        <v>1</v>
      </c>
      <c r="U425" s="33">
        <f t="shared" si="161"/>
        <v>0</v>
      </c>
      <c r="V425" s="33">
        <f t="shared" si="162"/>
        <v>-0.99999994988127916</v>
      </c>
      <c r="W425" s="33">
        <f t="shared" si="163"/>
        <v>412.9736000501187</v>
      </c>
      <c r="X425" s="33">
        <v>96485</v>
      </c>
      <c r="Y425" s="16">
        <f t="shared" si="164"/>
        <v>-233.6347775077771</v>
      </c>
      <c r="Z425" s="16">
        <v>8</v>
      </c>
      <c r="AA425" s="16">
        <v>15</v>
      </c>
      <c r="AB425" s="8">
        <f t="shared" si="165"/>
        <v>0.33684210526315789</v>
      </c>
      <c r="AC425" s="16">
        <f t="shared" si="166"/>
        <v>68.844969824162703</v>
      </c>
      <c r="AD425" s="20">
        <f>'PFAS Properties'!$W$33</f>
        <v>7</v>
      </c>
      <c r="AE425" s="8">
        <f>'PFAS Properties'!$S$33</f>
        <v>2.6821450763738319</v>
      </c>
      <c r="AF425" s="15">
        <f>'PFAS Properties'!$V$33</f>
        <v>4.9000000000000004</v>
      </c>
      <c r="AG425" s="24">
        <v>7.1</v>
      </c>
      <c r="AH425" s="2" t="s">
        <v>85</v>
      </c>
      <c r="AI425" s="2">
        <v>1.82</v>
      </c>
      <c r="AJ425" s="15">
        <f t="shared" si="173"/>
        <v>32.590205031784407</v>
      </c>
      <c r="AK425" s="8">
        <f t="shared" si="174"/>
        <v>0.182</v>
      </c>
      <c r="AL425" s="2">
        <v>1.61</v>
      </c>
      <c r="AM425" s="15">
        <f t="shared" si="177"/>
        <v>59.673832468495178</v>
      </c>
      <c r="AN425" s="8">
        <f t="shared" si="178"/>
        <v>0.161</v>
      </c>
      <c r="AO425" s="15" t="s">
        <v>86</v>
      </c>
      <c r="AP425" s="15">
        <v>14.74</v>
      </c>
      <c r="AQ425" s="15" t="s">
        <v>661</v>
      </c>
      <c r="AR425" s="16">
        <v>60</v>
      </c>
      <c r="AS425" s="16">
        <v>9</v>
      </c>
      <c r="AT425" s="16">
        <v>31</v>
      </c>
      <c r="AU425" s="15" t="s">
        <v>661</v>
      </c>
      <c r="AV425" s="16">
        <f t="shared" si="179"/>
        <v>100</v>
      </c>
      <c r="AW425" s="18">
        <v>1</v>
      </c>
      <c r="AX425" s="13">
        <f t="shared" si="180"/>
        <v>0.01</v>
      </c>
      <c r="AY425" s="8" t="s">
        <v>87</v>
      </c>
      <c r="AZ425" s="16">
        <v>20</v>
      </c>
      <c r="BA425" s="16" t="s">
        <v>55</v>
      </c>
      <c r="BB425" s="16" t="s">
        <v>391</v>
      </c>
      <c r="BC425" s="16" t="s">
        <v>55</v>
      </c>
      <c r="BD425" s="18">
        <v>1.6</v>
      </c>
      <c r="BE425" s="15">
        <f t="shared" si="167"/>
        <v>160</v>
      </c>
      <c r="BF425" s="8">
        <f t="shared" si="168"/>
        <v>2.2041199826559246</v>
      </c>
      <c r="BG425" s="8">
        <f t="shared" si="169"/>
        <v>0.20411998265592479</v>
      </c>
      <c r="BH425" s="13" t="s">
        <v>841</v>
      </c>
      <c r="BI425" s="13"/>
      <c r="BJ425" s="13"/>
      <c r="BK425" s="13"/>
      <c r="BL425" s="13"/>
      <c r="BM425" s="17"/>
      <c r="BN425" s="17"/>
      <c r="BO425" s="2"/>
    </row>
    <row r="426" spans="1:67" s="14" customFormat="1" x14ac:dyDescent="0.3">
      <c r="A426" s="20">
        <v>432</v>
      </c>
      <c r="B426" s="2" t="s">
        <v>219</v>
      </c>
      <c r="C426" s="2">
        <v>2020</v>
      </c>
      <c r="D426" s="2" t="s">
        <v>205</v>
      </c>
      <c r="E426" s="10" t="s">
        <v>802</v>
      </c>
      <c r="F426" s="20" t="s">
        <v>29</v>
      </c>
      <c r="G426" s="2">
        <v>17</v>
      </c>
      <c r="H426" s="2" t="str">
        <f>'PFAS Properties'!$B$33</f>
        <v>PFOA</v>
      </c>
      <c r="I426" s="2" t="str">
        <f>'PFAS Properties'!$C$33</f>
        <v>PFCA</v>
      </c>
      <c r="J426" s="2" t="str">
        <f>'PFAS Properties'!$D$33</f>
        <v>C8HF15O2</v>
      </c>
      <c r="K426" s="25">
        <f>'PFAS Properties'!$P$33</f>
        <v>413.97359999999998</v>
      </c>
      <c r="L426" s="2">
        <f>'PFAS Properties'!$X$33</f>
        <v>-0.2</v>
      </c>
      <c r="M426" s="2" t="str">
        <f>'PFAS Properties'!$Y$33</f>
        <v>-</v>
      </c>
      <c r="N426" s="33">
        <v>0</v>
      </c>
      <c r="O426" s="33">
        <v>0</v>
      </c>
      <c r="P426" s="33">
        <v>0</v>
      </c>
      <c r="Q426" s="33">
        <f t="shared" si="170"/>
        <v>0.99999369046636566</v>
      </c>
      <c r="R426" s="33">
        <v>0</v>
      </c>
      <c r="S426" s="33">
        <f t="shared" si="171"/>
        <v>6.3095336343360528E-6</v>
      </c>
      <c r="T426" s="8">
        <f t="shared" si="172"/>
        <v>1</v>
      </c>
      <c r="U426" s="33">
        <f t="shared" si="161"/>
        <v>0</v>
      </c>
      <c r="V426" s="33">
        <f t="shared" si="162"/>
        <v>-0.99999369046636566</v>
      </c>
      <c r="W426" s="33">
        <f t="shared" si="163"/>
        <v>412.97360630953358</v>
      </c>
      <c r="X426" s="33">
        <v>96485</v>
      </c>
      <c r="Y426" s="16">
        <f t="shared" si="164"/>
        <v>-233.63331154952778</v>
      </c>
      <c r="Z426" s="16">
        <v>8</v>
      </c>
      <c r="AA426" s="16">
        <v>15</v>
      </c>
      <c r="AB426" s="8">
        <f t="shared" si="165"/>
        <v>0.33684210526315789</v>
      </c>
      <c r="AC426" s="16">
        <f t="shared" si="166"/>
        <v>68.844969824162703</v>
      </c>
      <c r="AD426" s="20">
        <f>'PFAS Properties'!$W$33</f>
        <v>7</v>
      </c>
      <c r="AE426" s="8">
        <f>'PFAS Properties'!$S$33</f>
        <v>2.6821450763738319</v>
      </c>
      <c r="AF426" s="15">
        <f>'PFAS Properties'!$V$33</f>
        <v>4.9000000000000004</v>
      </c>
      <c r="AG426" s="24">
        <v>5</v>
      </c>
      <c r="AH426" s="2" t="s">
        <v>85</v>
      </c>
      <c r="AI426" s="2">
        <v>3.66</v>
      </c>
      <c r="AJ426" s="15">
        <f t="shared" si="173"/>
        <v>65.538544184797203</v>
      </c>
      <c r="AK426" s="8">
        <f t="shared" si="174"/>
        <v>0.36599999999999999</v>
      </c>
      <c r="AL426" s="2">
        <v>2.37</v>
      </c>
      <c r="AM426" s="15">
        <f t="shared" si="177"/>
        <v>87.842846553002218</v>
      </c>
      <c r="AN426" s="8">
        <f t="shared" si="178"/>
        <v>0.23700000000000002</v>
      </c>
      <c r="AO426" s="15" t="s">
        <v>86</v>
      </c>
      <c r="AP426" s="15">
        <v>5.42</v>
      </c>
      <c r="AQ426" s="15" t="s">
        <v>661</v>
      </c>
      <c r="AR426" s="16">
        <v>38</v>
      </c>
      <c r="AS426" s="16">
        <v>16</v>
      </c>
      <c r="AT426" s="16">
        <v>46</v>
      </c>
      <c r="AU426" s="15" t="s">
        <v>661</v>
      </c>
      <c r="AV426" s="16">
        <f t="shared" si="179"/>
        <v>100</v>
      </c>
      <c r="AW426" s="18">
        <v>1.6</v>
      </c>
      <c r="AX426" s="13">
        <f t="shared" si="180"/>
        <v>1.6E-2</v>
      </c>
      <c r="AY426" s="8" t="s">
        <v>87</v>
      </c>
      <c r="AZ426" s="16">
        <v>20</v>
      </c>
      <c r="BA426" s="16" t="s">
        <v>55</v>
      </c>
      <c r="BB426" s="16" t="s">
        <v>391</v>
      </c>
      <c r="BC426" s="16" t="s">
        <v>55</v>
      </c>
      <c r="BD426" s="18">
        <v>0.5</v>
      </c>
      <c r="BE426" s="15">
        <f t="shared" si="167"/>
        <v>31.25</v>
      </c>
      <c r="BF426" s="8">
        <f t="shared" si="168"/>
        <v>1.494850021680094</v>
      </c>
      <c r="BG426" s="8">
        <f t="shared" si="169"/>
        <v>-0.3010299956639812</v>
      </c>
      <c r="BH426" s="13" t="s">
        <v>841</v>
      </c>
      <c r="BI426" s="13"/>
      <c r="BJ426" s="13"/>
      <c r="BK426" s="13"/>
      <c r="BL426" s="13"/>
      <c r="BM426" s="17"/>
      <c r="BN426" s="17"/>
      <c r="BO426" s="2"/>
    </row>
    <row r="427" spans="1:67" s="14" customFormat="1" x14ac:dyDescent="0.3">
      <c r="A427" s="20">
        <v>433</v>
      </c>
      <c r="B427" s="2" t="s">
        <v>219</v>
      </c>
      <c r="C427" s="2">
        <v>2020</v>
      </c>
      <c r="D427" s="2" t="s">
        <v>205</v>
      </c>
      <c r="E427" s="10" t="s">
        <v>802</v>
      </c>
      <c r="F427" s="20" t="s">
        <v>29</v>
      </c>
      <c r="G427" s="2">
        <v>18</v>
      </c>
      <c r="H427" s="2" t="str">
        <f>'PFAS Properties'!$B$33</f>
        <v>PFOA</v>
      </c>
      <c r="I427" s="2" t="str">
        <f>'PFAS Properties'!$C$33</f>
        <v>PFCA</v>
      </c>
      <c r="J427" s="2" t="str">
        <f>'PFAS Properties'!$D$33</f>
        <v>C8HF15O2</v>
      </c>
      <c r="K427" s="25">
        <f>'PFAS Properties'!$P$33</f>
        <v>413.97359999999998</v>
      </c>
      <c r="L427" s="2">
        <f>'PFAS Properties'!$X$33</f>
        <v>-0.2</v>
      </c>
      <c r="M427" s="2" t="str">
        <f>'PFAS Properties'!$Y$33</f>
        <v>-</v>
      </c>
      <c r="N427" s="33">
        <v>0</v>
      </c>
      <c r="O427" s="33">
        <v>0</v>
      </c>
      <c r="P427" s="33">
        <v>0</v>
      </c>
      <c r="Q427" s="33">
        <f t="shared" si="170"/>
        <v>0.99999369046636566</v>
      </c>
      <c r="R427" s="33">
        <v>0</v>
      </c>
      <c r="S427" s="33">
        <f t="shared" si="171"/>
        <v>6.3095336343360528E-6</v>
      </c>
      <c r="T427" s="8">
        <f t="shared" si="172"/>
        <v>1</v>
      </c>
      <c r="U427" s="33">
        <f t="shared" si="161"/>
        <v>0</v>
      </c>
      <c r="V427" s="33">
        <f t="shared" si="162"/>
        <v>-0.99999369046636566</v>
      </c>
      <c r="W427" s="33">
        <f t="shared" si="163"/>
        <v>412.97360630953358</v>
      </c>
      <c r="X427" s="33">
        <v>96485</v>
      </c>
      <c r="Y427" s="16">
        <f t="shared" si="164"/>
        <v>-233.63331154952778</v>
      </c>
      <c r="Z427" s="16">
        <v>8</v>
      </c>
      <c r="AA427" s="16">
        <v>15</v>
      </c>
      <c r="AB427" s="8">
        <f t="shared" si="165"/>
        <v>0.33684210526315789</v>
      </c>
      <c r="AC427" s="16">
        <f t="shared" si="166"/>
        <v>68.844969824162703</v>
      </c>
      <c r="AD427" s="20">
        <f>'PFAS Properties'!$W$33</f>
        <v>7</v>
      </c>
      <c r="AE427" s="8">
        <f>'PFAS Properties'!$S$33</f>
        <v>2.6821450763738319</v>
      </c>
      <c r="AF427" s="15">
        <f>'PFAS Properties'!$V$33</f>
        <v>4.9000000000000004</v>
      </c>
      <c r="AG427" s="24">
        <v>5</v>
      </c>
      <c r="AH427" s="2" t="s">
        <v>85</v>
      </c>
      <c r="AI427" s="2">
        <v>4.32</v>
      </c>
      <c r="AJ427" s="15">
        <f t="shared" si="173"/>
        <v>77.356970185334404</v>
      </c>
      <c r="AK427" s="8">
        <f t="shared" si="174"/>
        <v>0.43200000000000005</v>
      </c>
      <c r="AL427" s="2">
        <v>19.399999999999999</v>
      </c>
      <c r="AM427" s="15">
        <f t="shared" si="177"/>
        <v>719.05114899925866</v>
      </c>
      <c r="AN427" s="8">
        <f t="shared" si="178"/>
        <v>1.94</v>
      </c>
      <c r="AO427" s="15" t="s">
        <v>86</v>
      </c>
      <c r="AP427" s="15">
        <v>17.3</v>
      </c>
      <c r="AQ427" s="15" t="s">
        <v>661</v>
      </c>
      <c r="AR427" s="16">
        <v>49</v>
      </c>
      <c r="AS427" s="16">
        <v>38</v>
      </c>
      <c r="AT427" s="16">
        <v>13</v>
      </c>
      <c r="AU427" s="15" t="s">
        <v>661</v>
      </c>
      <c r="AV427" s="16">
        <f t="shared" si="179"/>
        <v>100</v>
      </c>
      <c r="AW427" s="18">
        <v>4.8</v>
      </c>
      <c r="AX427" s="13">
        <f t="shared" si="180"/>
        <v>4.8000000000000001E-2</v>
      </c>
      <c r="AY427" s="8" t="s">
        <v>87</v>
      </c>
      <c r="AZ427" s="16">
        <v>20</v>
      </c>
      <c r="BA427" s="16" t="s">
        <v>55</v>
      </c>
      <c r="BB427" s="16" t="s">
        <v>391</v>
      </c>
      <c r="BC427" s="16" t="s">
        <v>55</v>
      </c>
      <c r="BD427" s="18">
        <v>3.94</v>
      </c>
      <c r="BE427" s="15">
        <f t="shared" si="167"/>
        <v>82.083333333333329</v>
      </c>
      <c r="BF427" s="8">
        <f t="shared" si="168"/>
        <v>1.914254984449987</v>
      </c>
      <c r="BG427" s="8">
        <f t="shared" si="169"/>
        <v>0.59549622182557416</v>
      </c>
      <c r="BH427" s="13" t="s">
        <v>841</v>
      </c>
      <c r="BI427" s="13"/>
      <c r="BJ427" s="13"/>
      <c r="BK427" s="13"/>
      <c r="BL427" s="13"/>
      <c r="BM427" s="17"/>
      <c r="BN427" s="17"/>
      <c r="BO427" s="2"/>
    </row>
    <row r="428" spans="1:67" s="14" customFormat="1" x14ac:dyDescent="0.3">
      <c r="A428" s="20">
        <v>434</v>
      </c>
      <c r="B428" s="2" t="s">
        <v>219</v>
      </c>
      <c r="C428" s="2">
        <v>2020</v>
      </c>
      <c r="D428" s="2" t="s">
        <v>205</v>
      </c>
      <c r="E428" s="10" t="s">
        <v>802</v>
      </c>
      <c r="F428" s="20" t="s">
        <v>29</v>
      </c>
      <c r="G428" s="2">
        <v>19</v>
      </c>
      <c r="H428" s="2" t="str">
        <f>'PFAS Properties'!$B$33</f>
        <v>PFOA</v>
      </c>
      <c r="I428" s="2" t="str">
        <f>'PFAS Properties'!$C$33</f>
        <v>PFCA</v>
      </c>
      <c r="J428" s="2" t="str">
        <f>'PFAS Properties'!$D$33</f>
        <v>C8HF15O2</v>
      </c>
      <c r="K428" s="25">
        <f>'PFAS Properties'!$P$33</f>
        <v>413.97359999999998</v>
      </c>
      <c r="L428" s="2">
        <f>'PFAS Properties'!$X$33</f>
        <v>-0.2</v>
      </c>
      <c r="M428" s="2" t="str">
        <f>'PFAS Properties'!$Y$33</f>
        <v>-</v>
      </c>
      <c r="N428" s="33">
        <v>0</v>
      </c>
      <c r="O428" s="33">
        <v>0</v>
      </c>
      <c r="P428" s="33">
        <v>0</v>
      </c>
      <c r="Q428" s="33">
        <f t="shared" si="170"/>
        <v>0.99999900000099995</v>
      </c>
      <c r="R428" s="33">
        <v>0</v>
      </c>
      <c r="S428" s="33">
        <f t="shared" si="171"/>
        <v>9.9999900000100006E-7</v>
      </c>
      <c r="T428" s="8">
        <f t="shared" si="172"/>
        <v>1</v>
      </c>
      <c r="U428" s="33">
        <f t="shared" si="161"/>
        <v>0</v>
      </c>
      <c r="V428" s="33">
        <f t="shared" si="162"/>
        <v>-0.99999900000099995</v>
      </c>
      <c r="W428" s="33">
        <f t="shared" si="163"/>
        <v>412.97360099999895</v>
      </c>
      <c r="X428" s="33">
        <v>96485</v>
      </c>
      <c r="Y428" s="16">
        <f t="shared" si="164"/>
        <v>-233.63455504531566</v>
      </c>
      <c r="Z428" s="16">
        <v>8</v>
      </c>
      <c r="AA428" s="16">
        <v>15</v>
      </c>
      <c r="AB428" s="8">
        <f t="shared" si="165"/>
        <v>0.33684210526315789</v>
      </c>
      <c r="AC428" s="16">
        <f t="shared" si="166"/>
        <v>68.844969824162703</v>
      </c>
      <c r="AD428" s="20">
        <f>'PFAS Properties'!$W$33</f>
        <v>7</v>
      </c>
      <c r="AE428" s="8">
        <f>'PFAS Properties'!$S$33</f>
        <v>2.6821450763738319</v>
      </c>
      <c r="AF428" s="15">
        <f>'PFAS Properties'!$V$33</f>
        <v>4.9000000000000004</v>
      </c>
      <c r="AG428" s="24">
        <v>5.8</v>
      </c>
      <c r="AH428" s="2" t="s">
        <v>85</v>
      </c>
      <c r="AI428" s="2">
        <v>1.58</v>
      </c>
      <c r="AJ428" s="15">
        <f t="shared" si="173"/>
        <v>28.292595577043603</v>
      </c>
      <c r="AK428" s="8">
        <f t="shared" si="174"/>
        <v>0.158</v>
      </c>
      <c r="AL428" s="2">
        <v>0.65500000000000003</v>
      </c>
      <c r="AM428" s="15">
        <f t="shared" si="177"/>
        <v>24.277242401779095</v>
      </c>
      <c r="AN428" s="8">
        <f t="shared" si="178"/>
        <v>6.5500000000000003E-2</v>
      </c>
      <c r="AO428" s="15" t="s">
        <v>86</v>
      </c>
      <c r="AP428" s="15">
        <v>4.34</v>
      </c>
      <c r="AQ428" s="15" t="s">
        <v>661</v>
      </c>
      <c r="AR428" s="16">
        <v>74</v>
      </c>
      <c r="AS428" s="16">
        <v>5</v>
      </c>
      <c r="AT428" s="16">
        <v>21</v>
      </c>
      <c r="AU428" s="15" t="s">
        <v>661</v>
      </c>
      <c r="AV428" s="16">
        <f t="shared" si="179"/>
        <v>100</v>
      </c>
      <c r="AW428" s="18">
        <v>0.8</v>
      </c>
      <c r="AX428" s="13">
        <f t="shared" si="180"/>
        <v>8.0000000000000002E-3</v>
      </c>
      <c r="AY428" s="8" t="s">
        <v>87</v>
      </c>
      <c r="AZ428" s="16">
        <v>20</v>
      </c>
      <c r="BA428" s="16" t="s">
        <v>55</v>
      </c>
      <c r="BB428" s="16" t="s">
        <v>391</v>
      </c>
      <c r="BC428" s="16" t="s">
        <v>55</v>
      </c>
      <c r="BD428" s="18">
        <v>0.61</v>
      </c>
      <c r="BE428" s="15">
        <f t="shared" si="167"/>
        <v>76.25</v>
      </c>
      <c r="BF428" s="8">
        <f t="shared" si="168"/>
        <v>1.8822398480188234</v>
      </c>
      <c r="BG428" s="8">
        <f t="shared" si="169"/>
        <v>-0.21467016498923297</v>
      </c>
      <c r="BH428" s="13" t="s">
        <v>841</v>
      </c>
      <c r="BI428" s="13"/>
      <c r="BJ428" s="13"/>
      <c r="BK428" s="13"/>
      <c r="BL428" s="13"/>
      <c r="BM428" s="17"/>
      <c r="BN428" s="17"/>
      <c r="BO428" s="2"/>
    </row>
    <row r="429" spans="1:67" s="14" customFormat="1" x14ac:dyDescent="0.3">
      <c r="A429" s="20">
        <v>435</v>
      </c>
      <c r="B429" s="2" t="s">
        <v>219</v>
      </c>
      <c r="C429" s="2">
        <v>2020</v>
      </c>
      <c r="D429" s="2" t="s">
        <v>205</v>
      </c>
      <c r="E429" s="10" t="s">
        <v>802</v>
      </c>
      <c r="F429" s="20" t="s">
        <v>29</v>
      </c>
      <c r="G429" s="2">
        <v>20</v>
      </c>
      <c r="H429" s="2" t="str">
        <f>'PFAS Properties'!$B$33</f>
        <v>PFOA</v>
      </c>
      <c r="I429" s="2" t="str">
        <f>'PFAS Properties'!$C$33</f>
        <v>PFCA</v>
      </c>
      <c r="J429" s="2" t="str">
        <f>'PFAS Properties'!$D$33</f>
        <v>C8HF15O2</v>
      </c>
      <c r="K429" s="25">
        <f>'PFAS Properties'!$P$33</f>
        <v>413.97359999999998</v>
      </c>
      <c r="L429" s="2">
        <f>'PFAS Properties'!$X$33</f>
        <v>-0.2</v>
      </c>
      <c r="M429" s="2" t="str">
        <f>'PFAS Properties'!$Y$33</f>
        <v>-</v>
      </c>
      <c r="N429" s="33">
        <v>0</v>
      </c>
      <c r="O429" s="33">
        <v>0</v>
      </c>
      <c r="P429" s="33">
        <v>0</v>
      </c>
      <c r="Q429" s="33">
        <f t="shared" si="170"/>
        <v>0.99999800474166611</v>
      </c>
      <c r="R429" s="33">
        <v>0</v>
      </c>
      <c r="S429" s="33">
        <f t="shared" si="171"/>
        <v>1.9952583339051124E-6</v>
      </c>
      <c r="T429" s="8">
        <f t="shared" si="172"/>
        <v>1</v>
      </c>
      <c r="U429" s="33">
        <f t="shared" si="161"/>
        <v>0</v>
      </c>
      <c r="V429" s="33">
        <f t="shared" si="162"/>
        <v>-0.99999800474166611</v>
      </c>
      <c r="W429" s="33">
        <f t="shared" si="163"/>
        <v>412.97360199525832</v>
      </c>
      <c r="X429" s="33">
        <v>96485</v>
      </c>
      <c r="Y429" s="16">
        <f t="shared" si="164"/>
        <v>-233.63432195505678</v>
      </c>
      <c r="Z429" s="16">
        <v>8</v>
      </c>
      <c r="AA429" s="16">
        <v>15</v>
      </c>
      <c r="AB429" s="8">
        <f t="shared" si="165"/>
        <v>0.33684210526315789</v>
      </c>
      <c r="AC429" s="16">
        <f t="shared" si="166"/>
        <v>68.844969824162703</v>
      </c>
      <c r="AD429" s="20">
        <f>'PFAS Properties'!$W$33</f>
        <v>7</v>
      </c>
      <c r="AE429" s="8">
        <f>'PFAS Properties'!$S$33</f>
        <v>2.6821450763738319</v>
      </c>
      <c r="AF429" s="15">
        <f>'PFAS Properties'!$V$33</f>
        <v>4.9000000000000004</v>
      </c>
      <c r="AG429" s="24">
        <v>5.5</v>
      </c>
      <c r="AH429" s="2" t="s">
        <v>85</v>
      </c>
      <c r="AI429" s="2">
        <v>2.91</v>
      </c>
      <c r="AJ429" s="15">
        <f t="shared" si="173"/>
        <v>52.10851463873221</v>
      </c>
      <c r="AK429" s="8">
        <f t="shared" si="174"/>
        <v>0.29100000000000004</v>
      </c>
      <c r="AL429" s="2">
        <v>2.72</v>
      </c>
      <c r="AM429" s="15">
        <f t="shared" si="177"/>
        <v>100.81541882876205</v>
      </c>
      <c r="AN429" s="8">
        <f t="shared" si="178"/>
        <v>0.27200000000000002</v>
      </c>
      <c r="AO429" s="15" t="s">
        <v>86</v>
      </c>
      <c r="AP429" s="15">
        <v>16.3</v>
      </c>
      <c r="AQ429" s="15" t="s">
        <v>661</v>
      </c>
      <c r="AR429" s="16">
        <v>21</v>
      </c>
      <c r="AS429" s="16">
        <v>21</v>
      </c>
      <c r="AT429" s="16">
        <v>58</v>
      </c>
      <c r="AU429" s="15" t="s">
        <v>661</v>
      </c>
      <c r="AV429" s="16">
        <f t="shared" si="179"/>
        <v>100</v>
      </c>
      <c r="AW429" s="18">
        <v>1</v>
      </c>
      <c r="AX429" s="13">
        <f t="shared" si="180"/>
        <v>0.01</v>
      </c>
      <c r="AY429" s="8" t="s">
        <v>87</v>
      </c>
      <c r="AZ429" s="16">
        <v>20</v>
      </c>
      <c r="BA429" s="16" t="s">
        <v>55</v>
      </c>
      <c r="BB429" s="16" t="s">
        <v>391</v>
      </c>
      <c r="BC429" s="16" t="s">
        <v>55</v>
      </c>
      <c r="BD429" s="18">
        <v>3.71</v>
      </c>
      <c r="BE429" s="15">
        <f t="shared" si="167"/>
        <v>371</v>
      </c>
      <c r="BF429" s="8">
        <f t="shared" si="168"/>
        <v>2.5693739096150461</v>
      </c>
      <c r="BG429" s="8">
        <f t="shared" si="169"/>
        <v>0.56937390961504586</v>
      </c>
      <c r="BH429" s="13" t="s">
        <v>841</v>
      </c>
      <c r="BI429" s="13"/>
      <c r="BJ429" s="13"/>
      <c r="BK429" s="13"/>
      <c r="BL429" s="13"/>
      <c r="BM429" s="17"/>
      <c r="BN429" s="17"/>
      <c r="BO429" s="2"/>
    </row>
    <row r="430" spans="1:67" s="14" customFormat="1" x14ac:dyDescent="0.3">
      <c r="A430" s="20">
        <v>436</v>
      </c>
      <c r="B430" s="2" t="s">
        <v>219</v>
      </c>
      <c r="C430" s="2">
        <v>2020</v>
      </c>
      <c r="D430" s="2" t="s">
        <v>205</v>
      </c>
      <c r="E430" s="10" t="s">
        <v>802</v>
      </c>
      <c r="F430" s="20" t="s">
        <v>29</v>
      </c>
      <c r="G430" s="2">
        <v>21</v>
      </c>
      <c r="H430" s="2" t="str">
        <f>'PFAS Properties'!$B$33</f>
        <v>PFOA</v>
      </c>
      <c r="I430" s="2" t="str">
        <f>'PFAS Properties'!$C$33</f>
        <v>PFCA</v>
      </c>
      <c r="J430" s="2" t="str">
        <f>'PFAS Properties'!$D$33</f>
        <v>C8HF15O2</v>
      </c>
      <c r="K430" s="25">
        <f>'PFAS Properties'!$P$33</f>
        <v>413.97359999999998</v>
      </c>
      <c r="L430" s="2">
        <f>'PFAS Properties'!$X$33</f>
        <v>-0.2</v>
      </c>
      <c r="M430" s="2" t="str">
        <f>'PFAS Properties'!$Y$33</f>
        <v>-</v>
      </c>
      <c r="N430" s="33">
        <v>0</v>
      </c>
      <c r="O430" s="33">
        <v>0</v>
      </c>
      <c r="P430" s="33">
        <v>0</v>
      </c>
      <c r="Q430" s="33">
        <f t="shared" si="170"/>
        <v>0.99999874107617315</v>
      </c>
      <c r="R430" s="33">
        <v>0</v>
      </c>
      <c r="S430" s="33">
        <f t="shared" si="171"/>
        <v>1.2589238269029671E-6</v>
      </c>
      <c r="T430" s="8">
        <f t="shared" si="172"/>
        <v>1</v>
      </c>
      <c r="U430" s="33">
        <f t="shared" si="161"/>
        <v>0</v>
      </c>
      <c r="V430" s="33">
        <f t="shared" si="162"/>
        <v>-0.99999874107617315</v>
      </c>
      <c r="W430" s="33">
        <f t="shared" si="163"/>
        <v>412.97360125892379</v>
      </c>
      <c r="X430" s="33">
        <v>96485</v>
      </c>
      <c r="Y430" s="16">
        <f t="shared" si="164"/>
        <v>-233.63449440498505</v>
      </c>
      <c r="Z430" s="16">
        <v>8</v>
      </c>
      <c r="AA430" s="16">
        <v>15</v>
      </c>
      <c r="AB430" s="8">
        <f t="shared" si="165"/>
        <v>0.33684210526315789</v>
      </c>
      <c r="AC430" s="16">
        <f t="shared" si="166"/>
        <v>68.844969824162703</v>
      </c>
      <c r="AD430" s="20">
        <f>'PFAS Properties'!$W$33</f>
        <v>7</v>
      </c>
      <c r="AE430" s="8">
        <f>'PFAS Properties'!$S$33</f>
        <v>2.6821450763738319</v>
      </c>
      <c r="AF430" s="15">
        <f>'PFAS Properties'!$V$33</f>
        <v>4.9000000000000004</v>
      </c>
      <c r="AG430" s="24">
        <v>5.7</v>
      </c>
      <c r="AH430" s="2" t="s">
        <v>85</v>
      </c>
      <c r="AI430" s="2">
        <v>2.2599999999999998</v>
      </c>
      <c r="AJ430" s="15">
        <f t="shared" si="173"/>
        <v>40.469155698809203</v>
      </c>
      <c r="AK430" s="8">
        <f t="shared" si="174"/>
        <v>0.22599999999999998</v>
      </c>
      <c r="AL430" s="2">
        <v>5.72</v>
      </c>
      <c r="AM430" s="15">
        <f t="shared" si="177"/>
        <v>212.00889547813193</v>
      </c>
      <c r="AN430" s="8">
        <f t="shared" si="178"/>
        <v>0.57199999999999995</v>
      </c>
      <c r="AO430" s="15" t="s">
        <v>86</v>
      </c>
      <c r="AP430" s="15">
        <v>9.98</v>
      </c>
      <c r="AQ430" s="15" t="s">
        <v>661</v>
      </c>
      <c r="AR430" s="16">
        <v>70</v>
      </c>
      <c r="AS430" s="16">
        <v>8</v>
      </c>
      <c r="AT430" s="16">
        <v>22</v>
      </c>
      <c r="AU430" s="15" t="s">
        <v>661</v>
      </c>
      <c r="AV430" s="16">
        <f t="shared" si="179"/>
        <v>100</v>
      </c>
      <c r="AW430" s="18">
        <v>3.5</v>
      </c>
      <c r="AX430" s="13">
        <f t="shared" si="180"/>
        <v>3.5000000000000003E-2</v>
      </c>
      <c r="AY430" s="8" t="s">
        <v>87</v>
      </c>
      <c r="AZ430" s="16">
        <v>20</v>
      </c>
      <c r="BA430" s="16" t="s">
        <v>55</v>
      </c>
      <c r="BB430" s="16" t="s">
        <v>391</v>
      </c>
      <c r="BC430" s="16" t="s">
        <v>55</v>
      </c>
      <c r="BD430" s="18">
        <v>0.92</v>
      </c>
      <c r="BE430" s="15">
        <f t="shared" si="167"/>
        <v>26.285714285714285</v>
      </c>
      <c r="BF430" s="8">
        <f t="shared" si="168"/>
        <v>1.4197197829952797</v>
      </c>
      <c r="BG430" s="8">
        <f t="shared" si="169"/>
        <v>-3.6212172654444715E-2</v>
      </c>
      <c r="BH430" s="13" t="s">
        <v>841</v>
      </c>
      <c r="BI430" s="13"/>
      <c r="BJ430" s="13"/>
      <c r="BK430" s="13"/>
      <c r="BL430" s="13"/>
      <c r="BM430" s="17"/>
      <c r="BN430" s="17"/>
      <c r="BO430" s="2"/>
    </row>
    <row r="431" spans="1:67" s="14" customFormat="1" x14ac:dyDescent="0.3">
      <c r="A431" s="20">
        <v>437</v>
      </c>
      <c r="B431" s="2" t="s">
        <v>219</v>
      </c>
      <c r="C431" s="2">
        <v>2020</v>
      </c>
      <c r="D431" s="2" t="s">
        <v>205</v>
      </c>
      <c r="E431" s="10" t="s">
        <v>802</v>
      </c>
      <c r="F431" s="20" t="s">
        <v>29</v>
      </c>
      <c r="G431" s="2">
        <v>22</v>
      </c>
      <c r="H431" s="2" t="str">
        <f>'PFAS Properties'!$B$33</f>
        <v>PFOA</v>
      </c>
      <c r="I431" s="2" t="str">
        <f>'PFAS Properties'!$C$33</f>
        <v>PFCA</v>
      </c>
      <c r="J431" s="2" t="str">
        <f>'PFAS Properties'!$D$33</f>
        <v>C8HF15O2</v>
      </c>
      <c r="K431" s="25">
        <f>'PFAS Properties'!$P$33</f>
        <v>413.97359999999998</v>
      </c>
      <c r="L431" s="2">
        <f>'PFAS Properties'!$X$33</f>
        <v>-0.2</v>
      </c>
      <c r="M431" s="2" t="str">
        <f>'PFAS Properties'!$Y$33</f>
        <v>-</v>
      </c>
      <c r="N431" s="33">
        <v>0</v>
      </c>
      <c r="O431" s="33">
        <v>0</v>
      </c>
      <c r="P431" s="33">
        <v>0</v>
      </c>
      <c r="Q431" s="33">
        <f t="shared" si="170"/>
        <v>0.99999993690426958</v>
      </c>
      <c r="R431" s="33">
        <v>0</v>
      </c>
      <c r="S431" s="33">
        <f t="shared" si="171"/>
        <v>6.3095730466947729E-8</v>
      </c>
      <c r="T431" s="8">
        <f t="shared" si="172"/>
        <v>1</v>
      </c>
      <c r="U431" s="33">
        <f t="shared" si="161"/>
        <v>0</v>
      </c>
      <c r="V431" s="33">
        <f t="shared" si="162"/>
        <v>-0.99999993690426958</v>
      </c>
      <c r="W431" s="33">
        <f t="shared" si="163"/>
        <v>412.97360006309572</v>
      </c>
      <c r="X431" s="33">
        <v>96485</v>
      </c>
      <c r="Y431" s="16">
        <f t="shared" si="164"/>
        <v>-233.63477446855464</v>
      </c>
      <c r="Z431" s="16">
        <v>8</v>
      </c>
      <c r="AA431" s="16">
        <v>15</v>
      </c>
      <c r="AB431" s="8">
        <f t="shared" si="165"/>
        <v>0.33684210526315789</v>
      </c>
      <c r="AC431" s="16">
        <f t="shared" si="166"/>
        <v>68.844969824162703</v>
      </c>
      <c r="AD431" s="20">
        <f>'PFAS Properties'!$W$33</f>
        <v>7</v>
      </c>
      <c r="AE431" s="8">
        <f>'PFAS Properties'!$S$33</f>
        <v>2.6821450763738319</v>
      </c>
      <c r="AF431" s="15">
        <f>'PFAS Properties'!$V$33</f>
        <v>4.9000000000000004</v>
      </c>
      <c r="AG431" s="24">
        <v>7</v>
      </c>
      <c r="AH431" s="2" t="s">
        <v>85</v>
      </c>
      <c r="AI431" s="2">
        <v>3.78</v>
      </c>
      <c r="AJ431" s="15">
        <f t="shared" si="173"/>
        <v>67.687348912167607</v>
      </c>
      <c r="AK431" s="8">
        <f t="shared" si="174"/>
        <v>0.378</v>
      </c>
      <c r="AL431" s="2">
        <v>2.46</v>
      </c>
      <c r="AM431" s="15">
        <f t="shared" si="177"/>
        <v>91.178650852483315</v>
      </c>
      <c r="AN431" s="8">
        <f t="shared" si="178"/>
        <v>0.246</v>
      </c>
      <c r="AO431" s="15" t="s">
        <v>86</v>
      </c>
      <c r="AP431" s="15">
        <v>19.12</v>
      </c>
      <c r="AQ431" s="15" t="s">
        <v>661</v>
      </c>
      <c r="AR431" s="16">
        <v>35</v>
      </c>
      <c r="AS431" s="16">
        <v>13</v>
      </c>
      <c r="AT431" s="16">
        <v>52</v>
      </c>
      <c r="AU431" s="15" t="s">
        <v>661</v>
      </c>
      <c r="AV431" s="16">
        <f t="shared" si="179"/>
        <v>100</v>
      </c>
      <c r="AW431" s="18">
        <v>1.1000000000000001</v>
      </c>
      <c r="AX431" s="13">
        <f t="shared" si="180"/>
        <v>1.1000000000000001E-2</v>
      </c>
      <c r="AY431" s="8" t="s">
        <v>87</v>
      </c>
      <c r="AZ431" s="16">
        <v>20</v>
      </c>
      <c r="BA431" s="16" t="s">
        <v>55</v>
      </c>
      <c r="BB431" s="16" t="s">
        <v>391</v>
      </c>
      <c r="BC431" s="16" t="s">
        <v>55</v>
      </c>
      <c r="BD431" s="18">
        <v>0.5</v>
      </c>
      <c r="BE431" s="15">
        <f t="shared" si="167"/>
        <v>45.454545454545453</v>
      </c>
      <c r="BF431" s="8">
        <f t="shared" si="168"/>
        <v>1.6575773191777938</v>
      </c>
      <c r="BG431" s="8">
        <f t="shared" si="169"/>
        <v>-0.3010299956639812</v>
      </c>
      <c r="BH431" s="13" t="s">
        <v>841</v>
      </c>
      <c r="BI431" s="13"/>
      <c r="BJ431" s="13"/>
      <c r="BK431" s="13"/>
      <c r="BL431" s="13"/>
      <c r="BM431" s="17"/>
      <c r="BN431" s="17"/>
      <c r="BO431" s="2"/>
    </row>
    <row r="432" spans="1:67" s="14" customFormat="1" x14ac:dyDescent="0.3">
      <c r="A432" s="20">
        <v>438</v>
      </c>
      <c r="B432" s="2" t="s">
        <v>219</v>
      </c>
      <c r="C432" s="2">
        <v>2020</v>
      </c>
      <c r="D432" s="2" t="s">
        <v>205</v>
      </c>
      <c r="E432" s="10" t="s">
        <v>802</v>
      </c>
      <c r="F432" s="20" t="s">
        <v>29</v>
      </c>
      <c r="G432" s="2">
        <v>23</v>
      </c>
      <c r="H432" s="2" t="str">
        <f>'PFAS Properties'!$B$33</f>
        <v>PFOA</v>
      </c>
      <c r="I432" s="2" t="str">
        <f>'PFAS Properties'!$C$33</f>
        <v>PFCA</v>
      </c>
      <c r="J432" s="2" t="str">
        <f>'PFAS Properties'!$D$33</f>
        <v>C8HF15O2</v>
      </c>
      <c r="K432" s="25">
        <f>'PFAS Properties'!$P$33</f>
        <v>413.97359999999998</v>
      </c>
      <c r="L432" s="2">
        <f>'PFAS Properties'!$X$33</f>
        <v>-0.2</v>
      </c>
      <c r="M432" s="2" t="str">
        <f>'PFAS Properties'!$Y$33</f>
        <v>-</v>
      </c>
      <c r="N432" s="33">
        <v>0</v>
      </c>
      <c r="O432" s="33">
        <v>0</v>
      </c>
      <c r="P432" s="33">
        <v>0</v>
      </c>
      <c r="Q432" s="33">
        <f t="shared" si="170"/>
        <v>0.99999980047380832</v>
      </c>
      <c r="R432" s="33">
        <v>0</v>
      </c>
      <c r="S432" s="33">
        <f t="shared" si="171"/>
        <v>1.9952619168617852E-7</v>
      </c>
      <c r="T432" s="8">
        <f t="shared" si="172"/>
        <v>1</v>
      </c>
      <c r="U432" s="33">
        <f t="shared" si="161"/>
        <v>0</v>
      </c>
      <c r="V432" s="33">
        <f t="shared" si="162"/>
        <v>-0.99999980047380832</v>
      </c>
      <c r="W432" s="33">
        <f t="shared" si="163"/>
        <v>412.97360019952617</v>
      </c>
      <c r="X432" s="33">
        <v>96485</v>
      </c>
      <c r="Y432" s="16">
        <f t="shared" si="164"/>
        <v>-233.63474251646872</v>
      </c>
      <c r="Z432" s="16">
        <v>8</v>
      </c>
      <c r="AA432" s="16">
        <v>15</v>
      </c>
      <c r="AB432" s="8">
        <f t="shared" si="165"/>
        <v>0.33684210526315789</v>
      </c>
      <c r="AC432" s="16">
        <f t="shared" si="166"/>
        <v>68.844969824162703</v>
      </c>
      <c r="AD432" s="20">
        <f>'PFAS Properties'!$W$33</f>
        <v>7</v>
      </c>
      <c r="AE432" s="8">
        <f>'PFAS Properties'!$S$33</f>
        <v>2.6821450763738319</v>
      </c>
      <c r="AF432" s="15">
        <f>'PFAS Properties'!$V$33</f>
        <v>4.9000000000000004</v>
      </c>
      <c r="AG432" s="24">
        <v>6.5</v>
      </c>
      <c r="AH432" s="2" t="s">
        <v>85</v>
      </c>
      <c r="AI432" s="2">
        <v>2.0299999999999998</v>
      </c>
      <c r="AJ432" s="15">
        <f t="shared" si="173"/>
        <v>36.350613304682604</v>
      </c>
      <c r="AK432" s="8">
        <f t="shared" si="174"/>
        <v>0.20299999999999999</v>
      </c>
      <c r="AL432" s="2">
        <v>1.53</v>
      </c>
      <c r="AM432" s="15">
        <f t="shared" si="177"/>
        <v>56.708673091178653</v>
      </c>
      <c r="AN432" s="8">
        <f t="shared" si="178"/>
        <v>0.153</v>
      </c>
      <c r="AO432" s="15" t="s">
        <v>86</v>
      </c>
      <c r="AP432" s="15">
        <v>7.1</v>
      </c>
      <c r="AQ432" s="15" t="s">
        <v>661</v>
      </c>
      <c r="AR432" s="16">
        <v>60</v>
      </c>
      <c r="AS432" s="16">
        <v>16</v>
      </c>
      <c r="AT432" s="16">
        <v>24</v>
      </c>
      <c r="AU432" s="15" t="s">
        <v>661</v>
      </c>
      <c r="AV432" s="16">
        <f t="shared" si="179"/>
        <v>100</v>
      </c>
      <c r="AW432" s="18">
        <v>1.3</v>
      </c>
      <c r="AX432" s="13">
        <f t="shared" si="180"/>
        <v>1.3000000000000001E-2</v>
      </c>
      <c r="AY432" s="8" t="s">
        <v>87</v>
      </c>
      <c r="AZ432" s="16">
        <v>20</v>
      </c>
      <c r="BA432" s="16" t="s">
        <v>55</v>
      </c>
      <c r="BB432" s="16" t="s">
        <v>391</v>
      </c>
      <c r="BC432" s="16" t="s">
        <v>55</v>
      </c>
      <c r="BD432" s="18">
        <v>0.16</v>
      </c>
      <c r="BE432" s="15">
        <f t="shared" si="167"/>
        <v>12.307692307692307</v>
      </c>
      <c r="BF432" s="8">
        <f t="shared" si="168"/>
        <v>1.0901766303490881</v>
      </c>
      <c r="BG432" s="8">
        <f t="shared" si="169"/>
        <v>-0.79588001734407521</v>
      </c>
      <c r="BH432" s="13" t="s">
        <v>841</v>
      </c>
      <c r="BI432" s="13"/>
      <c r="BJ432" s="13"/>
      <c r="BK432" s="13"/>
      <c r="BL432" s="13"/>
      <c r="BM432" s="17"/>
      <c r="BN432" s="17"/>
      <c r="BO432" s="2"/>
    </row>
    <row r="433" spans="1:69" s="14" customFormat="1" x14ac:dyDescent="0.3">
      <c r="A433" s="20">
        <v>439</v>
      </c>
      <c r="B433" s="2" t="s">
        <v>219</v>
      </c>
      <c r="C433" s="2">
        <v>2020</v>
      </c>
      <c r="D433" s="2" t="s">
        <v>205</v>
      </c>
      <c r="E433" s="10" t="s">
        <v>802</v>
      </c>
      <c r="F433" s="20" t="s">
        <v>29</v>
      </c>
      <c r="G433" s="2">
        <v>24</v>
      </c>
      <c r="H433" s="2" t="str">
        <f>'PFAS Properties'!$B$33</f>
        <v>PFOA</v>
      </c>
      <c r="I433" s="2" t="str">
        <f>'PFAS Properties'!$C$33</f>
        <v>PFCA</v>
      </c>
      <c r="J433" s="2" t="str">
        <f>'PFAS Properties'!$D$33</f>
        <v>C8HF15O2</v>
      </c>
      <c r="K433" s="25">
        <f>'PFAS Properties'!$P$33</f>
        <v>413.97359999999998</v>
      </c>
      <c r="L433" s="2">
        <f>'PFAS Properties'!$X$33</f>
        <v>-0.2</v>
      </c>
      <c r="M433" s="2" t="str">
        <f>'PFAS Properties'!$Y$33</f>
        <v>-</v>
      </c>
      <c r="N433" s="33">
        <v>0</v>
      </c>
      <c r="O433" s="33">
        <v>0</v>
      </c>
      <c r="P433" s="33">
        <v>0</v>
      </c>
      <c r="Q433" s="33">
        <f t="shared" si="170"/>
        <v>0.99999984151070587</v>
      </c>
      <c r="R433" s="33">
        <v>0</v>
      </c>
      <c r="S433" s="33">
        <f t="shared" si="171"/>
        <v>1.5848929412725089E-7</v>
      </c>
      <c r="T433" s="8">
        <f t="shared" si="172"/>
        <v>1</v>
      </c>
      <c r="U433" s="33">
        <f t="shared" si="161"/>
        <v>0</v>
      </c>
      <c r="V433" s="33">
        <f t="shared" si="162"/>
        <v>-0.99999984151070587</v>
      </c>
      <c r="W433" s="33">
        <f t="shared" si="163"/>
        <v>412.97360015848926</v>
      </c>
      <c r="X433" s="33">
        <v>96485</v>
      </c>
      <c r="Y433" s="16">
        <f t="shared" si="164"/>
        <v>-233.63475212733178</v>
      </c>
      <c r="Z433" s="16">
        <v>8</v>
      </c>
      <c r="AA433" s="16">
        <v>15</v>
      </c>
      <c r="AB433" s="8">
        <f t="shared" si="165"/>
        <v>0.33684210526315789</v>
      </c>
      <c r="AC433" s="16">
        <f t="shared" si="166"/>
        <v>68.844969824162703</v>
      </c>
      <c r="AD433" s="20">
        <f>'PFAS Properties'!$W$33</f>
        <v>7</v>
      </c>
      <c r="AE433" s="8">
        <f>'PFAS Properties'!$S$33</f>
        <v>2.6821450763738319</v>
      </c>
      <c r="AF433" s="15">
        <f>'PFAS Properties'!$V$33</f>
        <v>4.9000000000000004</v>
      </c>
      <c r="AG433" s="24">
        <v>6.6</v>
      </c>
      <c r="AH433" s="2" t="s">
        <v>85</v>
      </c>
      <c r="AI433" s="2">
        <v>1.82</v>
      </c>
      <c r="AJ433" s="15">
        <f t="shared" si="173"/>
        <v>32.590205031784407</v>
      </c>
      <c r="AK433" s="8">
        <f t="shared" si="174"/>
        <v>0.182</v>
      </c>
      <c r="AL433" s="2">
        <v>2.0699999999999998</v>
      </c>
      <c r="AM433" s="15">
        <f t="shared" si="177"/>
        <v>76.723498888065237</v>
      </c>
      <c r="AN433" s="8">
        <f t="shared" si="178"/>
        <v>0.20699999999999999</v>
      </c>
      <c r="AO433" s="15" t="s">
        <v>86</v>
      </c>
      <c r="AP433" s="15">
        <v>7.54</v>
      </c>
      <c r="AQ433" s="15" t="s">
        <v>661</v>
      </c>
      <c r="AR433" s="16">
        <v>67</v>
      </c>
      <c r="AS433" s="16">
        <v>11</v>
      </c>
      <c r="AT433" s="16">
        <v>22</v>
      </c>
      <c r="AU433" s="15" t="s">
        <v>661</v>
      </c>
      <c r="AV433" s="16">
        <f t="shared" si="179"/>
        <v>100</v>
      </c>
      <c r="AW433" s="18">
        <v>1.3</v>
      </c>
      <c r="AX433" s="13">
        <f t="shared" si="180"/>
        <v>1.3000000000000001E-2</v>
      </c>
      <c r="AY433" s="8" t="s">
        <v>87</v>
      </c>
      <c r="AZ433" s="16">
        <v>20</v>
      </c>
      <c r="BA433" s="16" t="s">
        <v>55</v>
      </c>
      <c r="BB433" s="16" t="s">
        <v>391</v>
      </c>
      <c r="BC433" s="16" t="s">
        <v>55</v>
      </c>
      <c r="BD433" s="18">
        <v>0.59</v>
      </c>
      <c r="BE433" s="15">
        <f t="shared" si="167"/>
        <v>45.38461538461538</v>
      </c>
      <c r="BF433" s="8">
        <f t="shared" si="168"/>
        <v>1.6569086593353073</v>
      </c>
      <c r="BG433" s="8">
        <f t="shared" si="169"/>
        <v>-0.22914798835785583</v>
      </c>
      <c r="BH433" s="13" t="s">
        <v>841</v>
      </c>
      <c r="BI433" s="13"/>
      <c r="BJ433" s="13"/>
      <c r="BK433" s="13"/>
      <c r="BL433" s="13"/>
      <c r="BM433" s="17"/>
      <c r="BN433" s="17"/>
      <c r="BO433" s="2"/>
    </row>
    <row r="434" spans="1:69" s="14" customFormat="1" x14ac:dyDescent="0.3">
      <c r="A434" s="20">
        <v>440</v>
      </c>
      <c r="B434" s="2" t="s">
        <v>219</v>
      </c>
      <c r="C434" s="2">
        <v>2020</v>
      </c>
      <c r="D434" s="2" t="s">
        <v>205</v>
      </c>
      <c r="E434" s="10" t="s">
        <v>802</v>
      </c>
      <c r="F434" s="20" t="s">
        <v>29</v>
      </c>
      <c r="G434" s="2">
        <v>25</v>
      </c>
      <c r="H434" s="2" t="str">
        <f>'PFAS Properties'!$B$33</f>
        <v>PFOA</v>
      </c>
      <c r="I434" s="2" t="str">
        <f>'PFAS Properties'!$C$33</f>
        <v>PFCA</v>
      </c>
      <c r="J434" s="2" t="str">
        <f>'PFAS Properties'!$D$33</f>
        <v>C8HF15O2</v>
      </c>
      <c r="K434" s="25">
        <f>'PFAS Properties'!$P$33</f>
        <v>413.97359999999998</v>
      </c>
      <c r="L434" s="2">
        <f>'PFAS Properties'!$X$33</f>
        <v>-0.2</v>
      </c>
      <c r="M434" s="2" t="str">
        <f>'PFAS Properties'!$Y$33</f>
        <v>-</v>
      </c>
      <c r="N434" s="33">
        <v>0</v>
      </c>
      <c r="O434" s="33">
        <v>0</v>
      </c>
      <c r="P434" s="33">
        <v>0</v>
      </c>
      <c r="Q434" s="33">
        <f t="shared" si="170"/>
        <v>0.99999900000099995</v>
      </c>
      <c r="R434" s="33">
        <v>0</v>
      </c>
      <c r="S434" s="33">
        <f t="shared" si="171"/>
        <v>9.9999900000100006E-7</v>
      </c>
      <c r="T434" s="8">
        <f t="shared" si="172"/>
        <v>1</v>
      </c>
      <c r="U434" s="33">
        <f t="shared" si="161"/>
        <v>0</v>
      </c>
      <c r="V434" s="33">
        <f t="shared" si="162"/>
        <v>-0.99999900000099995</v>
      </c>
      <c r="W434" s="33">
        <f t="shared" si="163"/>
        <v>412.97360099999895</v>
      </c>
      <c r="X434" s="33">
        <v>96485</v>
      </c>
      <c r="Y434" s="16">
        <f t="shared" si="164"/>
        <v>-233.63455504531566</v>
      </c>
      <c r="Z434" s="16">
        <v>8</v>
      </c>
      <c r="AA434" s="16">
        <v>15</v>
      </c>
      <c r="AB434" s="8">
        <f t="shared" si="165"/>
        <v>0.33684210526315789</v>
      </c>
      <c r="AC434" s="16">
        <f t="shared" si="166"/>
        <v>68.844969824162703</v>
      </c>
      <c r="AD434" s="20">
        <f>'PFAS Properties'!$W$33</f>
        <v>7</v>
      </c>
      <c r="AE434" s="8">
        <f>'PFAS Properties'!$S$33</f>
        <v>2.6821450763738319</v>
      </c>
      <c r="AF434" s="15">
        <f>'PFAS Properties'!$V$33</f>
        <v>4.9000000000000004</v>
      </c>
      <c r="AG434" s="24">
        <v>5.8</v>
      </c>
      <c r="AH434" s="2" t="s">
        <v>85</v>
      </c>
      <c r="AI434" s="2">
        <v>2.56</v>
      </c>
      <c r="AJ434" s="15">
        <f t="shared" si="173"/>
        <v>45.841167517235206</v>
      </c>
      <c r="AK434" s="8">
        <f t="shared" si="174"/>
        <v>0.25600000000000001</v>
      </c>
      <c r="AL434" s="2">
        <v>1.68</v>
      </c>
      <c r="AM434" s="15">
        <f t="shared" si="177"/>
        <v>62.268346923647144</v>
      </c>
      <c r="AN434" s="8">
        <f t="shared" si="178"/>
        <v>0.16799999999999998</v>
      </c>
      <c r="AO434" s="15" t="s">
        <v>86</v>
      </c>
      <c r="AP434" s="15">
        <v>6.17</v>
      </c>
      <c r="AQ434" s="15" t="s">
        <v>661</v>
      </c>
      <c r="AR434" s="16">
        <v>59</v>
      </c>
      <c r="AS434" s="16">
        <v>15</v>
      </c>
      <c r="AT434" s="16">
        <v>26</v>
      </c>
      <c r="AU434" s="15" t="s">
        <v>661</v>
      </c>
      <c r="AV434" s="16">
        <f t="shared" si="179"/>
        <v>100</v>
      </c>
      <c r="AW434" s="18">
        <v>0.9</v>
      </c>
      <c r="AX434" s="13">
        <f t="shared" si="180"/>
        <v>9.0000000000000011E-3</v>
      </c>
      <c r="AY434" s="8" t="s">
        <v>87</v>
      </c>
      <c r="AZ434" s="16">
        <v>20</v>
      </c>
      <c r="BA434" s="16" t="s">
        <v>55</v>
      </c>
      <c r="BB434" s="16" t="s">
        <v>391</v>
      </c>
      <c r="BC434" s="16" t="s">
        <v>55</v>
      </c>
      <c r="BD434" s="18">
        <v>1.57</v>
      </c>
      <c r="BE434" s="15">
        <f t="shared" si="167"/>
        <v>174.44444444444443</v>
      </c>
      <c r="BF434" s="8">
        <f t="shared" si="168"/>
        <v>2.2416571429699088</v>
      </c>
      <c r="BG434" s="8">
        <f t="shared" si="169"/>
        <v>0.19589965240923377</v>
      </c>
      <c r="BH434" s="13" t="s">
        <v>841</v>
      </c>
      <c r="BI434" s="13"/>
      <c r="BJ434" s="13"/>
      <c r="BK434" s="13"/>
      <c r="BL434" s="13"/>
      <c r="BM434" s="17"/>
      <c r="BN434" s="17"/>
      <c r="BO434" s="2"/>
    </row>
    <row r="435" spans="1:69" s="14" customFormat="1" x14ac:dyDescent="0.3">
      <c r="A435" s="20">
        <v>441</v>
      </c>
      <c r="B435" s="2" t="s">
        <v>219</v>
      </c>
      <c r="C435" s="2">
        <v>2020</v>
      </c>
      <c r="D435" s="2" t="s">
        <v>205</v>
      </c>
      <c r="E435" s="10" t="s">
        <v>802</v>
      </c>
      <c r="F435" s="20" t="s">
        <v>29</v>
      </c>
      <c r="G435" s="2">
        <v>26</v>
      </c>
      <c r="H435" s="2" t="str">
        <f>'PFAS Properties'!$B$33</f>
        <v>PFOA</v>
      </c>
      <c r="I435" s="2" t="str">
        <f>'PFAS Properties'!$C$33</f>
        <v>PFCA</v>
      </c>
      <c r="J435" s="2" t="str">
        <f>'PFAS Properties'!$D$33</f>
        <v>C8HF15O2</v>
      </c>
      <c r="K435" s="25">
        <f>'PFAS Properties'!$P$33</f>
        <v>413.97359999999998</v>
      </c>
      <c r="L435" s="2">
        <f>'PFAS Properties'!$X$33</f>
        <v>-0.2</v>
      </c>
      <c r="M435" s="2" t="str">
        <f>'PFAS Properties'!$Y$33</f>
        <v>-</v>
      </c>
      <c r="N435" s="33">
        <v>0</v>
      </c>
      <c r="O435" s="33">
        <v>0</v>
      </c>
      <c r="P435" s="33">
        <v>0</v>
      </c>
      <c r="Q435" s="33">
        <f t="shared" si="170"/>
        <v>0.99999980047380832</v>
      </c>
      <c r="R435" s="33">
        <v>0</v>
      </c>
      <c r="S435" s="33">
        <f t="shared" si="171"/>
        <v>1.9952619168617852E-7</v>
      </c>
      <c r="T435" s="8">
        <f t="shared" si="172"/>
        <v>1</v>
      </c>
      <c r="U435" s="33">
        <f t="shared" si="161"/>
        <v>0</v>
      </c>
      <c r="V435" s="33">
        <f t="shared" si="162"/>
        <v>-0.99999980047380832</v>
      </c>
      <c r="W435" s="33">
        <f t="shared" si="163"/>
        <v>412.97360019952617</v>
      </c>
      <c r="X435" s="33">
        <v>96485</v>
      </c>
      <c r="Y435" s="16">
        <f t="shared" si="164"/>
        <v>-233.63474251646872</v>
      </c>
      <c r="Z435" s="16">
        <v>8</v>
      </c>
      <c r="AA435" s="16">
        <v>15</v>
      </c>
      <c r="AB435" s="8">
        <f t="shared" si="165"/>
        <v>0.33684210526315789</v>
      </c>
      <c r="AC435" s="16">
        <f t="shared" si="166"/>
        <v>68.844969824162703</v>
      </c>
      <c r="AD435" s="20">
        <f>'PFAS Properties'!$W$33</f>
        <v>7</v>
      </c>
      <c r="AE435" s="8">
        <f>'PFAS Properties'!$S$33</f>
        <v>2.6821450763738319</v>
      </c>
      <c r="AF435" s="15">
        <f>'PFAS Properties'!$V$33</f>
        <v>4.9000000000000004</v>
      </c>
      <c r="AG435" s="24">
        <v>6.5</v>
      </c>
      <c r="AH435" s="2" t="s">
        <v>85</v>
      </c>
      <c r="AI435" s="2">
        <v>3.27</v>
      </c>
      <c r="AJ435" s="15">
        <f t="shared" si="173"/>
        <v>58.554928820843408</v>
      </c>
      <c r="AK435" s="8">
        <f t="shared" si="174"/>
        <v>0.32700000000000001</v>
      </c>
      <c r="AL435" s="2">
        <v>1.42</v>
      </c>
      <c r="AM435" s="15">
        <f t="shared" si="177"/>
        <v>52.631578947368418</v>
      </c>
      <c r="AN435" s="8">
        <f t="shared" si="178"/>
        <v>0.14199999999999999</v>
      </c>
      <c r="AO435" s="15" t="s">
        <v>86</v>
      </c>
      <c r="AP435" s="15">
        <v>12.67</v>
      </c>
      <c r="AQ435" s="15" t="s">
        <v>661</v>
      </c>
      <c r="AR435" s="16">
        <v>49</v>
      </c>
      <c r="AS435" s="16">
        <v>8</v>
      </c>
      <c r="AT435" s="16">
        <v>43</v>
      </c>
      <c r="AU435" s="15" t="s">
        <v>661</v>
      </c>
      <c r="AV435" s="16">
        <f t="shared" si="179"/>
        <v>100</v>
      </c>
      <c r="AW435" s="18">
        <v>1.3</v>
      </c>
      <c r="AX435" s="13">
        <f t="shared" si="180"/>
        <v>1.3000000000000001E-2</v>
      </c>
      <c r="AY435" s="8" t="s">
        <v>87</v>
      </c>
      <c r="AZ435" s="16">
        <v>20</v>
      </c>
      <c r="BA435" s="16" t="s">
        <v>55</v>
      </c>
      <c r="BB435" s="16" t="s">
        <v>391</v>
      </c>
      <c r="BC435" s="16" t="s">
        <v>55</v>
      </c>
      <c r="BD435" s="18">
        <v>1.47</v>
      </c>
      <c r="BE435" s="15">
        <f t="shared" si="167"/>
        <v>113.07692307692307</v>
      </c>
      <c r="BF435" s="8">
        <f t="shared" si="168"/>
        <v>2.0533739824413395</v>
      </c>
      <c r="BG435" s="8">
        <f t="shared" si="169"/>
        <v>0.16731733474817609</v>
      </c>
      <c r="BH435" s="13" t="s">
        <v>841</v>
      </c>
      <c r="BI435" s="2"/>
      <c r="BJ435" s="2"/>
      <c r="BK435" s="2"/>
      <c r="BL435" s="2"/>
      <c r="BM435" s="2"/>
      <c r="BN435" s="2"/>
      <c r="BO435" s="2"/>
    </row>
    <row r="436" spans="1:69" s="14" customFormat="1" x14ac:dyDescent="0.3">
      <c r="A436" s="20">
        <v>442</v>
      </c>
      <c r="B436" s="2" t="s">
        <v>219</v>
      </c>
      <c r="C436" s="2">
        <v>2020</v>
      </c>
      <c r="D436" s="2" t="s">
        <v>205</v>
      </c>
      <c r="E436" s="10" t="s">
        <v>802</v>
      </c>
      <c r="F436" s="20" t="s">
        <v>29</v>
      </c>
      <c r="G436" s="2">
        <v>27</v>
      </c>
      <c r="H436" s="2" t="str">
        <f>'PFAS Properties'!$B$33</f>
        <v>PFOA</v>
      </c>
      <c r="I436" s="2" t="str">
        <f>'PFAS Properties'!$C$33</f>
        <v>PFCA</v>
      </c>
      <c r="J436" s="2" t="str">
        <f>'PFAS Properties'!$D$33</f>
        <v>C8HF15O2</v>
      </c>
      <c r="K436" s="25">
        <f>'PFAS Properties'!$P$33</f>
        <v>413.97359999999998</v>
      </c>
      <c r="L436" s="2">
        <f>'PFAS Properties'!$X$33</f>
        <v>-0.2</v>
      </c>
      <c r="M436" s="2" t="str">
        <f>'PFAS Properties'!$Y$33</f>
        <v>-</v>
      </c>
      <c r="N436" s="33">
        <v>0</v>
      </c>
      <c r="O436" s="33">
        <v>0</v>
      </c>
      <c r="P436" s="33">
        <v>0</v>
      </c>
      <c r="Q436" s="33">
        <f t="shared" si="170"/>
        <v>0.99999369046636566</v>
      </c>
      <c r="R436" s="33">
        <v>0</v>
      </c>
      <c r="S436" s="33">
        <f t="shared" si="171"/>
        <v>6.3095336343360528E-6</v>
      </c>
      <c r="T436" s="8">
        <f t="shared" si="172"/>
        <v>1</v>
      </c>
      <c r="U436" s="33">
        <f t="shared" si="161"/>
        <v>0</v>
      </c>
      <c r="V436" s="33">
        <f t="shared" si="162"/>
        <v>-0.99999369046636566</v>
      </c>
      <c r="W436" s="33">
        <f t="shared" si="163"/>
        <v>412.97360630953358</v>
      </c>
      <c r="X436" s="33">
        <v>96485</v>
      </c>
      <c r="Y436" s="16">
        <f t="shared" si="164"/>
        <v>-233.63331154952778</v>
      </c>
      <c r="Z436" s="16">
        <v>8</v>
      </c>
      <c r="AA436" s="16">
        <v>15</v>
      </c>
      <c r="AB436" s="8">
        <f t="shared" si="165"/>
        <v>0.33684210526315789</v>
      </c>
      <c r="AC436" s="16">
        <f t="shared" si="166"/>
        <v>68.844969824162703</v>
      </c>
      <c r="AD436" s="20">
        <f>'PFAS Properties'!$W$33</f>
        <v>7</v>
      </c>
      <c r="AE436" s="8">
        <f>'PFAS Properties'!$S$33</f>
        <v>2.6821450763738319</v>
      </c>
      <c r="AF436" s="15">
        <f>'PFAS Properties'!$V$33</f>
        <v>4.9000000000000004</v>
      </c>
      <c r="AG436" s="24">
        <v>5</v>
      </c>
      <c r="AH436" s="2" t="s">
        <v>85</v>
      </c>
      <c r="AI436" s="2">
        <v>10.4</v>
      </c>
      <c r="AJ436" s="15">
        <f t="shared" si="173"/>
        <v>186.22974303876802</v>
      </c>
      <c r="AK436" s="8">
        <f t="shared" si="174"/>
        <v>1.04</v>
      </c>
      <c r="AL436" s="2">
        <v>4.1500000000000004</v>
      </c>
      <c r="AM436" s="15">
        <f t="shared" si="177"/>
        <v>153.81764269829503</v>
      </c>
      <c r="AN436" s="8">
        <f t="shared" si="178"/>
        <v>0.41500000000000004</v>
      </c>
      <c r="AO436" s="15" t="s">
        <v>86</v>
      </c>
      <c r="AP436" s="15">
        <v>6.82</v>
      </c>
      <c r="AQ436" s="15" t="s">
        <v>661</v>
      </c>
      <c r="AR436" s="16">
        <v>24</v>
      </c>
      <c r="AS436" s="16">
        <v>29</v>
      </c>
      <c r="AT436" s="16">
        <v>47</v>
      </c>
      <c r="AU436" s="15" t="s">
        <v>661</v>
      </c>
      <c r="AV436" s="16">
        <f t="shared" si="179"/>
        <v>100</v>
      </c>
      <c r="AW436" s="18">
        <v>2</v>
      </c>
      <c r="AX436" s="13">
        <f t="shared" si="180"/>
        <v>0.02</v>
      </c>
      <c r="AY436" s="8" t="s">
        <v>87</v>
      </c>
      <c r="AZ436" s="16">
        <v>20</v>
      </c>
      <c r="BA436" s="16" t="s">
        <v>55</v>
      </c>
      <c r="BB436" s="16" t="s">
        <v>391</v>
      </c>
      <c r="BC436" s="16" t="s">
        <v>55</v>
      </c>
      <c r="BD436" s="18">
        <v>2.0499999999999998</v>
      </c>
      <c r="BE436" s="15">
        <f t="shared" si="167"/>
        <v>102.49999999999999</v>
      </c>
      <c r="BF436" s="8">
        <f t="shared" si="168"/>
        <v>2.0107238653917729</v>
      </c>
      <c r="BG436" s="8">
        <f t="shared" si="169"/>
        <v>0.31175386105575426</v>
      </c>
      <c r="BH436" s="13" t="s">
        <v>841</v>
      </c>
      <c r="BI436" s="13"/>
      <c r="BJ436" s="13"/>
      <c r="BK436" s="13"/>
      <c r="BL436" s="13"/>
      <c r="BM436" s="17"/>
      <c r="BN436" s="17"/>
      <c r="BO436" s="2"/>
    </row>
    <row r="437" spans="1:69" s="14" customFormat="1" x14ac:dyDescent="0.3">
      <c r="A437" s="20">
        <v>443</v>
      </c>
      <c r="B437" s="2" t="s">
        <v>219</v>
      </c>
      <c r="C437" s="2">
        <v>2020</v>
      </c>
      <c r="D437" s="2" t="s">
        <v>205</v>
      </c>
      <c r="E437" s="10" t="s">
        <v>802</v>
      </c>
      <c r="F437" s="20" t="s">
        <v>29</v>
      </c>
      <c r="G437" s="2">
        <v>28</v>
      </c>
      <c r="H437" s="2" t="str">
        <f>'PFAS Properties'!$B$33</f>
        <v>PFOA</v>
      </c>
      <c r="I437" s="2" t="str">
        <f>'PFAS Properties'!$C$33</f>
        <v>PFCA</v>
      </c>
      <c r="J437" s="2" t="str">
        <f>'PFAS Properties'!$D$33</f>
        <v>C8HF15O2</v>
      </c>
      <c r="K437" s="25">
        <f>'PFAS Properties'!$P$33</f>
        <v>413.97359999999998</v>
      </c>
      <c r="L437" s="2">
        <f>'PFAS Properties'!$X$33</f>
        <v>-0.2</v>
      </c>
      <c r="M437" s="2" t="str">
        <f>'PFAS Properties'!$Y$33</f>
        <v>-</v>
      </c>
      <c r="N437" s="33">
        <v>0</v>
      </c>
      <c r="O437" s="33">
        <v>0</v>
      </c>
      <c r="P437" s="33">
        <v>0</v>
      </c>
      <c r="Q437" s="33">
        <f t="shared" si="170"/>
        <v>0.99999992056718279</v>
      </c>
      <c r="R437" s="33">
        <v>0</v>
      </c>
      <c r="S437" s="33">
        <f t="shared" si="171"/>
        <v>7.9432817162854954E-8</v>
      </c>
      <c r="T437" s="8">
        <f t="shared" si="172"/>
        <v>1</v>
      </c>
      <c r="U437" s="33">
        <f t="shared" si="161"/>
        <v>0</v>
      </c>
      <c r="V437" s="33">
        <f t="shared" si="162"/>
        <v>-0.99999992056718279</v>
      </c>
      <c r="W437" s="33">
        <f t="shared" si="163"/>
        <v>412.97360007943274</v>
      </c>
      <c r="X437" s="33">
        <v>96485</v>
      </c>
      <c r="Y437" s="16">
        <f t="shared" si="164"/>
        <v>-233.63477064240035</v>
      </c>
      <c r="Z437" s="16">
        <v>8</v>
      </c>
      <c r="AA437" s="16">
        <v>15</v>
      </c>
      <c r="AB437" s="8">
        <f t="shared" si="165"/>
        <v>0.33684210526315789</v>
      </c>
      <c r="AC437" s="16">
        <f t="shared" si="166"/>
        <v>68.844969824162703</v>
      </c>
      <c r="AD437" s="20">
        <f>'PFAS Properties'!$W$33</f>
        <v>7</v>
      </c>
      <c r="AE437" s="8">
        <f>'PFAS Properties'!$S$33</f>
        <v>2.6821450763738319</v>
      </c>
      <c r="AF437" s="15">
        <f>'PFAS Properties'!$V$33</f>
        <v>4.9000000000000004</v>
      </c>
      <c r="AG437" s="24">
        <v>6.9</v>
      </c>
      <c r="AH437" s="2" t="s">
        <v>85</v>
      </c>
      <c r="AI437" s="2">
        <v>4.2</v>
      </c>
      <c r="AJ437" s="15">
        <f t="shared" si="173"/>
        <v>75.208165457964014</v>
      </c>
      <c r="AK437" s="8">
        <f t="shared" si="174"/>
        <v>0.42000000000000004</v>
      </c>
      <c r="AL437" s="2">
        <v>1.48</v>
      </c>
      <c r="AM437" s="15">
        <f t="shared" si="177"/>
        <v>54.855448480355818</v>
      </c>
      <c r="AN437" s="8">
        <f t="shared" si="178"/>
        <v>0.14799999999999999</v>
      </c>
      <c r="AO437" s="15" t="s">
        <v>86</v>
      </c>
      <c r="AP437" s="15">
        <v>20.41</v>
      </c>
      <c r="AQ437" s="15" t="s">
        <v>661</v>
      </c>
      <c r="AR437" s="16">
        <v>42</v>
      </c>
      <c r="AS437" s="16">
        <v>6</v>
      </c>
      <c r="AT437" s="16">
        <v>52</v>
      </c>
      <c r="AU437" s="15" t="s">
        <v>661</v>
      </c>
      <c r="AV437" s="16">
        <f t="shared" si="179"/>
        <v>100</v>
      </c>
      <c r="AW437" s="18">
        <v>1.8</v>
      </c>
      <c r="AX437" s="13">
        <f t="shared" si="180"/>
        <v>1.8000000000000002E-2</v>
      </c>
      <c r="AY437" s="8" t="s">
        <v>87</v>
      </c>
      <c r="AZ437" s="16">
        <v>20</v>
      </c>
      <c r="BA437" s="16" t="s">
        <v>55</v>
      </c>
      <c r="BB437" s="16" t="s">
        <v>391</v>
      </c>
      <c r="BC437" s="16" t="s">
        <v>55</v>
      </c>
      <c r="BD437" s="18">
        <v>3.57</v>
      </c>
      <c r="BE437" s="15">
        <f t="shared" si="167"/>
        <v>198.33333333333331</v>
      </c>
      <c r="BF437" s="8">
        <f t="shared" si="168"/>
        <v>2.2973957110088872</v>
      </c>
      <c r="BG437" s="8">
        <f t="shared" si="169"/>
        <v>0.55266821611219319</v>
      </c>
      <c r="BH437" s="13" t="s">
        <v>841</v>
      </c>
      <c r="BI437" s="2"/>
      <c r="BJ437" s="2"/>
      <c r="BK437" s="2"/>
      <c r="BL437" s="2"/>
      <c r="BM437" s="2"/>
      <c r="BN437" s="2"/>
      <c r="BO437" s="2"/>
    </row>
    <row r="438" spans="1:69" s="14" customFormat="1" x14ac:dyDescent="0.3">
      <c r="A438" s="20">
        <v>444</v>
      </c>
      <c r="B438" s="2" t="s">
        <v>690</v>
      </c>
      <c r="C438" s="2">
        <v>2023</v>
      </c>
      <c r="D438" s="2" t="s">
        <v>199</v>
      </c>
      <c r="E438" s="10" t="s">
        <v>803</v>
      </c>
      <c r="F438" s="20" t="s">
        <v>29</v>
      </c>
      <c r="G438" s="2" t="s">
        <v>691</v>
      </c>
      <c r="H438" s="2" t="str">
        <f>'PFAS Properties'!$B$33</f>
        <v>PFOA</v>
      </c>
      <c r="I438" s="2" t="str">
        <f>'PFAS Properties'!$C$33</f>
        <v>PFCA</v>
      </c>
      <c r="J438" s="2" t="str">
        <f>'PFAS Properties'!$D$33</f>
        <v>C8HF15O2</v>
      </c>
      <c r="K438" s="25">
        <f>'PFAS Properties'!$P$33</f>
        <v>413.97359999999998</v>
      </c>
      <c r="L438" s="2">
        <f>'PFAS Properties'!$X$33</f>
        <v>-0.2</v>
      </c>
      <c r="M438" s="2" t="str">
        <f>'PFAS Properties'!$Y$33</f>
        <v>-</v>
      </c>
      <c r="N438" s="33">
        <v>0</v>
      </c>
      <c r="O438" s="33">
        <v>0</v>
      </c>
      <c r="P438" s="33">
        <v>0</v>
      </c>
      <c r="Q438" s="33">
        <f t="shared" si="170"/>
        <v>0.9999992056723962</v>
      </c>
      <c r="R438" s="33">
        <v>0</v>
      </c>
      <c r="S438" s="33">
        <f t="shared" si="171"/>
        <v>7.9432760376743655E-7</v>
      </c>
      <c r="T438" s="8">
        <f t="shared" si="172"/>
        <v>1</v>
      </c>
      <c r="U438" s="33">
        <f t="shared" si="161"/>
        <v>0</v>
      </c>
      <c r="V438" s="33">
        <f t="shared" si="162"/>
        <v>-0.9999992056723962</v>
      </c>
      <c r="W438" s="33">
        <f t="shared" si="163"/>
        <v>412.97360079432758</v>
      </c>
      <c r="X438" s="33">
        <v>96485</v>
      </c>
      <c r="Y438" s="16">
        <f t="shared" si="164"/>
        <v>-233.63460321366483</v>
      </c>
      <c r="Z438" s="16">
        <v>8</v>
      </c>
      <c r="AA438" s="16">
        <v>15</v>
      </c>
      <c r="AB438" s="8">
        <f t="shared" si="165"/>
        <v>0.33684210526315789</v>
      </c>
      <c r="AC438" s="16">
        <f t="shared" si="166"/>
        <v>68.844969824162703</v>
      </c>
      <c r="AD438" s="20">
        <f>'PFAS Properties'!$W$33</f>
        <v>7</v>
      </c>
      <c r="AE438" s="8">
        <f>'PFAS Properties'!$S$33</f>
        <v>2.6821450763738319</v>
      </c>
      <c r="AF438" s="15">
        <f>'PFAS Properties'!$V$33</f>
        <v>4.9000000000000004</v>
      </c>
      <c r="AG438" s="24">
        <v>5.9</v>
      </c>
      <c r="AH438" s="2" t="s">
        <v>701</v>
      </c>
      <c r="AI438" s="15">
        <f t="shared" ref="AI438:AI447" si="181">AJ438*55.845/1000</f>
        <v>10.052100000000001</v>
      </c>
      <c r="AJ438" s="16">
        <v>180</v>
      </c>
      <c r="AK438" s="8">
        <f t="shared" si="174"/>
        <v>1.0052100000000002</v>
      </c>
      <c r="AL438" s="15">
        <f t="shared" ref="AL438:AL446" si="182">AM438*26.982/1000</f>
        <v>1.3491</v>
      </c>
      <c r="AM438" s="16">
        <v>50</v>
      </c>
      <c r="AN438" s="8">
        <f t="shared" si="178"/>
        <v>0.13491</v>
      </c>
      <c r="AO438" s="15" t="s">
        <v>705</v>
      </c>
      <c r="AP438" s="15">
        <v>20</v>
      </c>
      <c r="AQ438" s="15" t="s">
        <v>702</v>
      </c>
      <c r="AR438" s="2">
        <v>4.2</v>
      </c>
      <c r="AS438" s="2">
        <v>53</v>
      </c>
      <c r="AT438" s="2">
        <v>43</v>
      </c>
      <c r="AU438" s="2" t="s">
        <v>703</v>
      </c>
      <c r="AV438" s="16">
        <f t="shared" si="179"/>
        <v>100.2</v>
      </c>
      <c r="AW438" s="18">
        <v>3.1</v>
      </c>
      <c r="AX438" s="13">
        <f t="shared" si="180"/>
        <v>3.1E-2</v>
      </c>
      <c r="AY438" s="8" t="s">
        <v>704</v>
      </c>
      <c r="AZ438" s="16">
        <v>10</v>
      </c>
      <c r="BA438" s="16" t="s">
        <v>55</v>
      </c>
      <c r="BB438" s="16" t="s">
        <v>55</v>
      </c>
      <c r="BC438" s="16" t="s">
        <v>55</v>
      </c>
      <c r="BD438" s="18">
        <f t="shared" ref="BD438:BD446" si="183">10^BG438</f>
        <v>2.8840315031266059</v>
      </c>
      <c r="BE438" s="16">
        <f t="shared" si="167"/>
        <v>93.033274294406638</v>
      </c>
      <c r="BF438" s="16">
        <f t="shared" si="168"/>
        <v>1.9686383061657273</v>
      </c>
      <c r="BG438" s="8">
        <v>0.46</v>
      </c>
      <c r="BH438" s="15" t="s">
        <v>846</v>
      </c>
      <c r="BI438" s="8"/>
      <c r="BJ438" s="13"/>
      <c r="BK438" s="16"/>
      <c r="BL438" s="16"/>
      <c r="BM438" s="16"/>
      <c r="BN438" s="16"/>
      <c r="BO438" s="2"/>
    </row>
    <row r="439" spans="1:69" x14ac:dyDescent="0.3">
      <c r="A439" s="20">
        <v>445</v>
      </c>
      <c r="B439" s="2" t="s">
        <v>690</v>
      </c>
      <c r="C439" s="2">
        <v>2023</v>
      </c>
      <c r="D439" s="2" t="s">
        <v>199</v>
      </c>
      <c r="E439" s="10" t="s">
        <v>803</v>
      </c>
      <c r="F439" s="20" t="s">
        <v>29</v>
      </c>
      <c r="G439" s="2" t="s">
        <v>692</v>
      </c>
      <c r="H439" s="2" t="str">
        <f>'PFAS Properties'!$B$33</f>
        <v>PFOA</v>
      </c>
      <c r="I439" s="2" t="str">
        <f>'PFAS Properties'!$C$33</f>
        <v>PFCA</v>
      </c>
      <c r="J439" s="2" t="str">
        <f>'PFAS Properties'!$D$33</f>
        <v>C8HF15O2</v>
      </c>
      <c r="K439" s="25">
        <f>'PFAS Properties'!$P$33</f>
        <v>413.97359999999998</v>
      </c>
      <c r="L439" s="2">
        <f>'PFAS Properties'!$X$33</f>
        <v>-0.2</v>
      </c>
      <c r="M439" s="2" t="str">
        <f>'PFAS Properties'!$Y$33</f>
        <v>-</v>
      </c>
      <c r="N439" s="33">
        <v>0</v>
      </c>
      <c r="O439" s="33">
        <v>0</v>
      </c>
      <c r="P439" s="33">
        <v>0</v>
      </c>
      <c r="Q439" s="33">
        <f t="shared" si="170"/>
        <v>0.99999800474166611</v>
      </c>
      <c r="R439" s="33">
        <v>0</v>
      </c>
      <c r="S439" s="33">
        <f t="shared" si="171"/>
        <v>1.9952583339051124E-6</v>
      </c>
      <c r="T439" s="8">
        <f t="shared" si="172"/>
        <v>1</v>
      </c>
      <c r="U439" s="33">
        <f t="shared" si="161"/>
        <v>0</v>
      </c>
      <c r="V439" s="33">
        <f t="shared" si="162"/>
        <v>-0.99999800474166611</v>
      </c>
      <c r="W439" s="33">
        <f t="shared" si="163"/>
        <v>412.97360199525832</v>
      </c>
      <c r="X439" s="33">
        <v>96485</v>
      </c>
      <c r="Y439" s="16">
        <f t="shared" si="164"/>
        <v>-233.63432195505678</v>
      </c>
      <c r="Z439" s="16">
        <v>8</v>
      </c>
      <c r="AA439" s="16">
        <v>15</v>
      </c>
      <c r="AB439" s="8">
        <f t="shared" si="165"/>
        <v>0.33684210526315789</v>
      </c>
      <c r="AC439" s="16">
        <f t="shared" si="166"/>
        <v>68.844969824162703</v>
      </c>
      <c r="AD439" s="20">
        <f>'PFAS Properties'!$W$33</f>
        <v>7</v>
      </c>
      <c r="AE439" s="8">
        <f>'PFAS Properties'!$S$33</f>
        <v>2.6821450763738319</v>
      </c>
      <c r="AF439" s="15">
        <f>'PFAS Properties'!$V$33</f>
        <v>4.9000000000000004</v>
      </c>
      <c r="AG439" s="26">
        <v>5.5</v>
      </c>
      <c r="AH439" s="2" t="s">
        <v>701</v>
      </c>
      <c r="AI439" s="15">
        <f t="shared" si="181"/>
        <v>7.2598499999999992</v>
      </c>
      <c r="AJ439" s="16">
        <v>130</v>
      </c>
      <c r="AK439" s="8">
        <f t="shared" si="174"/>
        <v>0.72598499999999988</v>
      </c>
      <c r="AL439" s="15">
        <f t="shared" si="182"/>
        <v>13.491</v>
      </c>
      <c r="AM439" s="16">
        <v>500</v>
      </c>
      <c r="AN439" s="8">
        <f t="shared" si="178"/>
        <v>1.3491</v>
      </c>
      <c r="AO439" s="15" t="s">
        <v>705</v>
      </c>
      <c r="AP439" s="2">
        <v>1</v>
      </c>
      <c r="AQ439" s="15" t="s">
        <v>702</v>
      </c>
      <c r="AR439" s="4">
        <v>54</v>
      </c>
      <c r="AS439" s="4">
        <v>42</v>
      </c>
      <c r="AT439" s="4">
        <v>4</v>
      </c>
      <c r="AU439" s="2" t="s">
        <v>703</v>
      </c>
      <c r="AV439" s="16">
        <f t="shared" si="179"/>
        <v>100</v>
      </c>
      <c r="AW439" s="27">
        <v>2.2000000000000002</v>
      </c>
      <c r="AX439" s="13">
        <f t="shared" si="180"/>
        <v>2.2000000000000002E-2</v>
      </c>
      <c r="AY439" s="8" t="s">
        <v>704</v>
      </c>
      <c r="AZ439" s="16">
        <v>10</v>
      </c>
      <c r="BA439" s="16" t="s">
        <v>55</v>
      </c>
      <c r="BB439" s="16" t="s">
        <v>55</v>
      </c>
      <c r="BC439" s="16" t="s">
        <v>55</v>
      </c>
      <c r="BD439" s="18">
        <f t="shared" si="183"/>
        <v>7.5857757502918375</v>
      </c>
      <c r="BE439" s="16">
        <f t="shared" si="167"/>
        <v>344.80798864962895</v>
      </c>
      <c r="BF439" s="16">
        <f t="shared" si="168"/>
        <v>2.5375773191777937</v>
      </c>
      <c r="BG439" s="8">
        <f>(0.83+0.93)/2</f>
        <v>0.88</v>
      </c>
      <c r="BH439" s="15" t="s">
        <v>847</v>
      </c>
      <c r="BI439" s="1"/>
      <c r="BJ439" s="2"/>
      <c r="BK439" s="1"/>
      <c r="BL439" s="1"/>
      <c r="BM439" s="7"/>
      <c r="BN439" s="7"/>
      <c r="BO439" s="1"/>
      <c r="BP439" s="11"/>
      <c r="BQ439" s="11"/>
    </row>
    <row r="440" spans="1:69" x14ac:dyDescent="0.3">
      <c r="A440" s="20">
        <v>446</v>
      </c>
      <c r="B440" s="2" t="s">
        <v>690</v>
      </c>
      <c r="C440" s="2">
        <v>2023</v>
      </c>
      <c r="D440" s="2" t="s">
        <v>199</v>
      </c>
      <c r="E440" s="10" t="s">
        <v>803</v>
      </c>
      <c r="F440" s="20" t="s">
        <v>29</v>
      </c>
      <c r="G440" s="2" t="s">
        <v>694</v>
      </c>
      <c r="H440" s="2" t="str">
        <f>'PFAS Properties'!$B$33</f>
        <v>PFOA</v>
      </c>
      <c r="I440" s="2" t="str">
        <f>'PFAS Properties'!$C$33</f>
        <v>PFCA</v>
      </c>
      <c r="J440" s="2" t="str">
        <f>'PFAS Properties'!$D$33</f>
        <v>C8HF15O2</v>
      </c>
      <c r="K440" s="25">
        <f>'PFAS Properties'!$P$33</f>
        <v>413.97359999999998</v>
      </c>
      <c r="L440" s="2">
        <f>'PFAS Properties'!$X$33</f>
        <v>-0.2</v>
      </c>
      <c r="M440" s="2" t="str">
        <f>'PFAS Properties'!$Y$33</f>
        <v>-</v>
      </c>
      <c r="N440" s="33">
        <v>0</v>
      </c>
      <c r="O440" s="33">
        <v>0</v>
      </c>
      <c r="P440" s="33">
        <v>0</v>
      </c>
      <c r="Q440" s="33">
        <f t="shared" si="170"/>
        <v>0.99999999601892831</v>
      </c>
      <c r="R440" s="33">
        <v>0</v>
      </c>
      <c r="S440" s="33">
        <f t="shared" si="171"/>
        <v>3.9810716896860486E-9</v>
      </c>
      <c r="T440" s="8">
        <f t="shared" si="172"/>
        <v>1</v>
      </c>
      <c r="U440" s="33">
        <f t="shared" si="161"/>
        <v>0</v>
      </c>
      <c r="V440" s="33">
        <f t="shared" si="162"/>
        <v>-0.99999999601892831</v>
      </c>
      <c r="W440" s="33">
        <f t="shared" si="163"/>
        <v>412.97360000398106</v>
      </c>
      <c r="X440" s="33">
        <v>96485</v>
      </c>
      <c r="Y440" s="16">
        <f t="shared" si="164"/>
        <v>-233.63478831323886</v>
      </c>
      <c r="Z440" s="16">
        <v>8</v>
      </c>
      <c r="AA440" s="16">
        <v>15</v>
      </c>
      <c r="AB440" s="8">
        <f t="shared" si="165"/>
        <v>0.33684210526315789</v>
      </c>
      <c r="AC440" s="16">
        <f t="shared" si="166"/>
        <v>68.844969824162703</v>
      </c>
      <c r="AD440" s="20">
        <f>'PFAS Properties'!$W$33</f>
        <v>7</v>
      </c>
      <c r="AE440" s="8">
        <f>'PFAS Properties'!$S$33</f>
        <v>2.6821450763738319</v>
      </c>
      <c r="AF440" s="15">
        <f>'PFAS Properties'!$V$33</f>
        <v>4.9000000000000004</v>
      </c>
      <c r="AG440" s="26">
        <v>8.1999999999999993</v>
      </c>
      <c r="AH440" s="2" t="s">
        <v>701</v>
      </c>
      <c r="AI440" s="15">
        <f t="shared" si="181"/>
        <v>1.89873</v>
      </c>
      <c r="AJ440" s="16">
        <v>34</v>
      </c>
      <c r="AK440" s="8">
        <f t="shared" si="174"/>
        <v>0.18987300000000001</v>
      </c>
      <c r="AL440" s="15">
        <f t="shared" si="182"/>
        <v>0.75549599999999995</v>
      </c>
      <c r="AM440" s="16">
        <v>28</v>
      </c>
      <c r="AN440" s="8">
        <f t="shared" si="178"/>
        <v>7.5549599999999995E-2</v>
      </c>
      <c r="AO440" s="15" t="s">
        <v>705</v>
      </c>
      <c r="AP440" s="2">
        <v>15</v>
      </c>
      <c r="AQ440" s="15" t="s">
        <v>702</v>
      </c>
      <c r="AR440" s="4">
        <v>27</v>
      </c>
      <c r="AS440" s="4">
        <v>56</v>
      </c>
      <c r="AT440" s="4">
        <v>16</v>
      </c>
      <c r="AU440" s="2" t="s">
        <v>703</v>
      </c>
      <c r="AV440" s="16">
        <f t="shared" si="179"/>
        <v>99</v>
      </c>
      <c r="AW440" s="27">
        <v>1.6</v>
      </c>
      <c r="AX440" s="13">
        <f t="shared" si="180"/>
        <v>1.6E-2</v>
      </c>
      <c r="AY440" s="8" t="s">
        <v>704</v>
      </c>
      <c r="AZ440" s="16">
        <v>10</v>
      </c>
      <c r="BA440" s="16" t="s">
        <v>55</v>
      </c>
      <c r="BB440" s="16" t="s">
        <v>55</v>
      </c>
      <c r="BC440" s="16" t="s">
        <v>55</v>
      </c>
      <c r="BD440" s="18">
        <f t="shared" si="183"/>
        <v>6.0255958607435796</v>
      </c>
      <c r="BE440" s="16">
        <f t="shared" si="167"/>
        <v>376.59974129647372</v>
      </c>
      <c r="BF440" s="16">
        <f t="shared" si="168"/>
        <v>2.5758800173440752</v>
      </c>
      <c r="BG440" s="8">
        <v>0.78</v>
      </c>
      <c r="BH440" s="15" t="s">
        <v>848</v>
      </c>
      <c r="BI440" s="1"/>
      <c r="BJ440" s="2"/>
      <c r="BK440" s="1"/>
      <c r="BL440" s="1"/>
      <c r="BM440" s="7"/>
      <c r="BN440" s="7"/>
      <c r="BO440" s="1"/>
      <c r="BP440" s="11"/>
      <c r="BQ440" s="11"/>
    </row>
    <row r="441" spans="1:69" x14ac:dyDescent="0.3">
      <c r="A441" s="20">
        <v>447</v>
      </c>
      <c r="B441" s="2" t="s">
        <v>690</v>
      </c>
      <c r="C441" s="2">
        <v>2023</v>
      </c>
      <c r="D441" s="2" t="s">
        <v>199</v>
      </c>
      <c r="E441" s="10" t="s">
        <v>803</v>
      </c>
      <c r="F441" s="20" t="s">
        <v>29</v>
      </c>
      <c r="G441" s="2" t="s">
        <v>693</v>
      </c>
      <c r="H441" s="2" t="str">
        <f>'PFAS Properties'!$B$33</f>
        <v>PFOA</v>
      </c>
      <c r="I441" s="2" t="str">
        <f>'PFAS Properties'!$C$33</f>
        <v>PFCA</v>
      </c>
      <c r="J441" s="2" t="str">
        <f>'PFAS Properties'!$D$33</f>
        <v>C8HF15O2</v>
      </c>
      <c r="K441" s="25">
        <f>'PFAS Properties'!$P$33</f>
        <v>413.97359999999998</v>
      </c>
      <c r="L441" s="2">
        <f>'PFAS Properties'!$X$33</f>
        <v>-0.2</v>
      </c>
      <c r="M441" s="2" t="str">
        <f>'PFAS Properties'!$Y$33</f>
        <v>-</v>
      </c>
      <c r="N441" s="33">
        <v>0</v>
      </c>
      <c r="O441" s="33">
        <v>0</v>
      </c>
      <c r="P441" s="33">
        <v>0</v>
      </c>
      <c r="Q441" s="33">
        <f t="shared" si="170"/>
        <v>0.99999800474166611</v>
      </c>
      <c r="R441" s="33">
        <v>0</v>
      </c>
      <c r="S441" s="33">
        <f t="shared" si="171"/>
        <v>1.9952583339051124E-6</v>
      </c>
      <c r="T441" s="8">
        <f t="shared" si="172"/>
        <v>1</v>
      </c>
      <c r="U441" s="33">
        <f t="shared" si="161"/>
        <v>0</v>
      </c>
      <c r="V441" s="33">
        <f t="shared" si="162"/>
        <v>-0.99999800474166611</v>
      </c>
      <c r="W441" s="33">
        <f t="shared" si="163"/>
        <v>412.97360199525832</v>
      </c>
      <c r="X441" s="33">
        <v>96485</v>
      </c>
      <c r="Y441" s="16">
        <f t="shared" si="164"/>
        <v>-233.63432195505678</v>
      </c>
      <c r="Z441" s="16">
        <v>8</v>
      </c>
      <c r="AA441" s="16">
        <v>15</v>
      </c>
      <c r="AB441" s="8">
        <f t="shared" si="165"/>
        <v>0.33684210526315789</v>
      </c>
      <c r="AC441" s="16">
        <f t="shared" si="166"/>
        <v>68.844969824162703</v>
      </c>
      <c r="AD441" s="20">
        <f>'PFAS Properties'!$W$33</f>
        <v>7</v>
      </c>
      <c r="AE441" s="8">
        <f>'PFAS Properties'!$S$33</f>
        <v>2.6821450763738319</v>
      </c>
      <c r="AF441" s="15">
        <f>'PFAS Properties'!$V$33</f>
        <v>4.9000000000000004</v>
      </c>
      <c r="AG441" s="26">
        <v>5.5</v>
      </c>
      <c r="AH441" s="2" t="s">
        <v>701</v>
      </c>
      <c r="AI441" s="15">
        <f t="shared" si="181"/>
        <v>6.1429499999999999</v>
      </c>
      <c r="AJ441" s="16">
        <v>110</v>
      </c>
      <c r="AK441" s="8">
        <f t="shared" si="174"/>
        <v>0.61429500000000004</v>
      </c>
      <c r="AL441" s="15">
        <f t="shared" si="182"/>
        <v>0.83644200000000002</v>
      </c>
      <c r="AM441" s="16">
        <v>31</v>
      </c>
      <c r="AN441" s="8">
        <f t="shared" si="178"/>
        <v>8.3644200000000002E-2</v>
      </c>
      <c r="AO441" s="15" t="s">
        <v>705</v>
      </c>
      <c r="AP441" s="2">
        <v>8.6</v>
      </c>
      <c r="AQ441" s="15" t="s">
        <v>702</v>
      </c>
      <c r="AR441" s="4">
        <v>27</v>
      </c>
      <c r="AS441" s="4">
        <v>44</v>
      </c>
      <c r="AT441" s="4">
        <v>29</v>
      </c>
      <c r="AU441" s="2" t="s">
        <v>703</v>
      </c>
      <c r="AV441" s="16">
        <f t="shared" si="179"/>
        <v>100</v>
      </c>
      <c r="AW441" s="27">
        <v>1.3</v>
      </c>
      <c r="AX441" s="13">
        <f t="shared" si="180"/>
        <v>1.3000000000000001E-2</v>
      </c>
      <c r="AY441" s="8" t="s">
        <v>704</v>
      </c>
      <c r="AZ441" s="16">
        <v>10</v>
      </c>
      <c r="BA441" s="16" t="s">
        <v>55</v>
      </c>
      <c r="BB441" s="16" t="s">
        <v>55</v>
      </c>
      <c r="BC441" s="16" t="s">
        <v>55</v>
      </c>
      <c r="BD441" s="18">
        <f t="shared" si="183"/>
        <v>4.2657951880159271</v>
      </c>
      <c r="BE441" s="16">
        <f t="shared" si="167"/>
        <v>328.13809138584054</v>
      </c>
      <c r="BF441" s="16">
        <f t="shared" si="168"/>
        <v>2.5160566476931634</v>
      </c>
      <c r="BG441" s="8">
        <v>0.63</v>
      </c>
      <c r="BH441" s="15" t="s">
        <v>849</v>
      </c>
      <c r="BI441" s="1"/>
      <c r="BJ441" s="2"/>
      <c r="BK441" s="1"/>
      <c r="BL441" s="1"/>
      <c r="BM441" s="7"/>
      <c r="BN441" s="7"/>
      <c r="BO441" s="1"/>
      <c r="BP441" s="11"/>
      <c r="BQ441" s="11"/>
    </row>
    <row r="442" spans="1:69" x14ac:dyDescent="0.3">
      <c r="A442" s="20">
        <v>448</v>
      </c>
      <c r="B442" s="2" t="s">
        <v>690</v>
      </c>
      <c r="C442" s="2">
        <v>2023</v>
      </c>
      <c r="D442" s="2" t="s">
        <v>199</v>
      </c>
      <c r="E442" s="10" t="s">
        <v>803</v>
      </c>
      <c r="F442" s="20" t="s">
        <v>29</v>
      </c>
      <c r="G442" s="2" t="s">
        <v>695</v>
      </c>
      <c r="H442" s="2" t="str">
        <f>'PFAS Properties'!$B$33</f>
        <v>PFOA</v>
      </c>
      <c r="I442" s="2" t="str">
        <f>'PFAS Properties'!$C$33</f>
        <v>PFCA</v>
      </c>
      <c r="J442" s="2" t="str">
        <f>'PFAS Properties'!$D$33</f>
        <v>C8HF15O2</v>
      </c>
      <c r="K442" s="25">
        <f>'PFAS Properties'!$P$33</f>
        <v>413.97359999999998</v>
      </c>
      <c r="L442" s="2">
        <f>'PFAS Properties'!$X$33</f>
        <v>-0.2</v>
      </c>
      <c r="M442" s="2" t="str">
        <f>'PFAS Properties'!$Y$33</f>
        <v>-</v>
      </c>
      <c r="N442" s="33">
        <v>0</v>
      </c>
      <c r="O442" s="33">
        <v>0</v>
      </c>
      <c r="P442" s="33">
        <v>0</v>
      </c>
      <c r="Q442" s="33">
        <f t="shared" si="170"/>
        <v>0.99999999683772234</v>
      </c>
      <c r="R442" s="33">
        <v>0</v>
      </c>
      <c r="S442" s="33">
        <f t="shared" si="171"/>
        <v>3.162277650168378E-9</v>
      </c>
      <c r="T442" s="8">
        <f t="shared" si="172"/>
        <v>1</v>
      </c>
      <c r="U442" s="33">
        <f t="shared" si="161"/>
        <v>0</v>
      </c>
      <c r="V442" s="33">
        <f t="shared" si="162"/>
        <v>-0.99999999683772234</v>
      </c>
      <c r="W442" s="33">
        <f t="shared" si="163"/>
        <v>412.97360000316223</v>
      </c>
      <c r="X442" s="33">
        <v>96485</v>
      </c>
      <c r="Y442" s="16">
        <f t="shared" si="164"/>
        <v>-233.63478850500087</v>
      </c>
      <c r="Z442" s="16">
        <v>8</v>
      </c>
      <c r="AA442" s="16">
        <v>15</v>
      </c>
      <c r="AB442" s="8">
        <f t="shared" si="165"/>
        <v>0.33684210526315789</v>
      </c>
      <c r="AC442" s="16">
        <f t="shared" si="166"/>
        <v>68.844969824162703</v>
      </c>
      <c r="AD442" s="20">
        <f>'PFAS Properties'!$W$33</f>
        <v>7</v>
      </c>
      <c r="AE442" s="8">
        <f>'PFAS Properties'!$S$33</f>
        <v>2.6821450763738319</v>
      </c>
      <c r="AF442" s="15">
        <f>'PFAS Properties'!$V$33</f>
        <v>4.9000000000000004</v>
      </c>
      <c r="AG442" s="26">
        <v>8.3000000000000007</v>
      </c>
      <c r="AH442" s="2" t="s">
        <v>701</v>
      </c>
      <c r="AI442" s="15">
        <f t="shared" si="181"/>
        <v>2.066265</v>
      </c>
      <c r="AJ442" s="16">
        <v>37</v>
      </c>
      <c r="AK442" s="8">
        <f t="shared" si="174"/>
        <v>0.20662649999999999</v>
      </c>
      <c r="AL442" s="15">
        <f t="shared" si="182"/>
        <v>0.72851399999999999</v>
      </c>
      <c r="AM442" s="16">
        <v>27</v>
      </c>
      <c r="AN442" s="8">
        <f t="shared" si="178"/>
        <v>7.2851399999999997E-2</v>
      </c>
      <c r="AO442" s="15" t="s">
        <v>705</v>
      </c>
      <c r="AP442" s="2">
        <v>14</v>
      </c>
      <c r="AQ442" s="15" t="s">
        <v>702</v>
      </c>
      <c r="AR442" s="4">
        <v>80</v>
      </c>
      <c r="AS442" s="4">
        <v>15</v>
      </c>
      <c r="AT442" s="4">
        <v>4.4000000000000004</v>
      </c>
      <c r="AU442" s="2" t="s">
        <v>703</v>
      </c>
      <c r="AV442" s="16">
        <f t="shared" si="179"/>
        <v>99.4</v>
      </c>
      <c r="AW442" s="27">
        <v>1.2</v>
      </c>
      <c r="AX442" s="13">
        <f t="shared" si="180"/>
        <v>1.2E-2</v>
      </c>
      <c r="AY442" s="8" t="s">
        <v>704</v>
      </c>
      <c r="AZ442" s="16">
        <v>10</v>
      </c>
      <c r="BA442" s="16" t="s">
        <v>55</v>
      </c>
      <c r="BB442" s="16" t="s">
        <v>55</v>
      </c>
      <c r="BC442" s="16" t="s">
        <v>55</v>
      </c>
      <c r="BD442" s="18">
        <f t="shared" si="183"/>
        <v>5.3088444423098844</v>
      </c>
      <c r="BE442" s="16">
        <f t="shared" si="167"/>
        <v>442.40370352582369</v>
      </c>
      <c r="BF442" s="16">
        <f t="shared" si="168"/>
        <v>2.6458187539523754</v>
      </c>
      <c r="BG442" s="8">
        <f>(0.71+0.74)/2</f>
        <v>0.72499999999999998</v>
      </c>
      <c r="BH442" s="15" t="s">
        <v>850</v>
      </c>
      <c r="BI442" s="1"/>
      <c r="BJ442" s="2"/>
      <c r="BK442" s="1"/>
      <c r="BL442" s="1"/>
      <c r="BM442" s="7"/>
      <c r="BN442" s="7"/>
      <c r="BO442" s="1"/>
      <c r="BP442" s="11"/>
      <c r="BQ442" s="11"/>
    </row>
    <row r="443" spans="1:69" x14ac:dyDescent="0.3">
      <c r="A443" s="20">
        <v>449</v>
      </c>
      <c r="B443" s="2" t="s">
        <v>690</v>
      </c>
      <c r="C443" s="2">
        <v>2023</v>
      </c>
      <c r="D443" s="2" t="s">
        <v>199</v>
      </c>
      <c r="E443" s="10" t="s">
        <v>803</v>
      </c>
      <c r="F443" s="20" t="s">
        <v>29</v>
      </c>
      <c r="G443" s="2" t="s">
        <v>696</v>
      </c>
      <c r="H443" s="2" t="str">
        <f>'PFAS Properties'!$B$33</f>
        <v>PFOA</v>
      </c>
      <c r="I443" s="2" t="str">
        <f>'PFAS Properties'!$C$33</f>
        <v>PFCA</v>
      </c>
      <c r="J443" s="2" t="str">
        <f>'PFAS Properties'!$D$33</f>
        <v>C8HF15O2</v>
      </c>
      <c r="K443" s="25">
        <f>'PFAS Properties'!$P$33</f>
        <v>413.97359999999998</v>
      </c>
      <c r="L443" s="2">
        <f>'PFAS Properties'!$X$33</f>
        <v>-0.2</v>
      </c>
      <c r="M443" s="2" t="str">
        <f>'PFAS Properties'!$Y$33</f>
        <v>-</v>
      </c>
      <c r="N443" s="33">
        <v>0</v>
      </c>
      <c r="O443" s="33">
        <v>0</v>
      </c>
      <c r="P443" s="33">
        <v>0</v>
      </c>
      <c r="Q443" s="33">
        <f t="shared" si="170"/>
        <v>0.99999800474166611</v>
      </c>
      <c r="R443" s="33">
        <v>0</v>
      </c>
      <c r="S443" s="33">
        <f t="shared" si="171"/>
        <v>1.9952583339051124E-6</v>
      </c>
      <c r="T443" s="8">
        <f t="shared" si="172"/>
        <v>1</v>
      </c>
      <c r="U443" s="33">
        <f t="shared" ref="U443:U504" si="184">((1*N443)+(1*O443)+(1*P443))</f>
        <v>0</v>
      </c>
      <c r="V443" s="33">
        <f t="shared" ref="V443:V504" si="185">-((1*O443)+(2*P443)+(1*Q443)+(2*R443))</f>
        <v>-0.99999800474166611</v>
      </c>
      <c r="W443" s="33">
        <f t="shared" ref="W443:W504" si="186">(N443*(K443+1))+(O443*K443)+(P443*(K443-1))+(Q443*(K443-1))+(R443*(K443-2))+(S443*K443)</f>
        <v>412.97360199525832</v>
      </c>
      <c r="X443" s="33">
        <v>96485</v>
      </c>
      <c r="Y443" s="16">
        <f t="shared" ref="Y443:Y504" si="187">((V443+U443)/W443)*X443</f>
        <v>-233.63432195505678</v>
      </c>
      <c r="Z443" s="16">
        <v>8</v>
      </c>
      <c r="AA443" s="16">
        <v>15</v>
      </c>
      <c r="AB443" s="8">
        <f t="shared" ref="AB443:AB504" si="188">(Z443/AA443)*(12/19)</f>
        <v>0.33684210526315789</v>
      </c>
      <c r="AC443" s="16">
        <f t="shared" ref="AC443:AC504" si="189">((AA443*19)/K443)*100</f>
        <v>68.844969824162703</v>
      </c>
      <c r="AD443" s="20">
        <f>'PFAS Properties'!$W$33</f>
        <v>7</v>
      </c>
      <c r="AE443" s="8">
        <f>'PFAS Properties'!$S$33</f>
        <v>2.6821450763738319</v>
      </c>
      <c r="AF443" s="15">
        <f>'PFAS Properties'!$V$33</f>
        <v>4.9000000000000004</v>
      </c>
      <c r="AG443" s="26">
        <v>5.5</v>
      </c>
      <c r="AH443" s="2" t="s">
        <v>701</v>
      </c>
      <c r="AI443" s="15">
        <f t="shared" si="181"/>
        <v>1.3402799999999999</v>
      </c>
      <c r="AJ443" s="16">
        <v>24</v>
      </c>
      <c r="AK443" s="8">
        <f t="shared" si="174"/>
        <v>0.13402799999999998</v>
      </c>
      <c r="AL443" s="15">
        <f t="shared" si="182"/>
        <v>0.32378400000000002</v>
      </c>
      <c r="AM443" s="16">
        <v>12</v>
      </c>
      <c r="AN443" s="8">
        <f t="shared" si="178"/>
        <v>3.2378400000000002E-2</v>
      </c>
      <c r="AO443" s="15" t="s">
        <v>705</v>
      </c>
      <c r="AP443" s="2">
        <v>2.6</v>
      </c>
      <c r="AQ443" s="15" t="s">
        <v>702</v>
      </c>
      <c r="AR443" s="4">
        <v>86</v>
      </c>
      <c r="AS443" s="4">
        <v>8</v>
      </c>
      <c r="AT443" s="4">
        <v>6</v>
      </c>
      <c r="AU443" s="2" t="s">
        <v>703</v>
      </c>
      <c r="AV443" s="16">
        <f t="shared" si="179"/>
        <v>100</v>
      </c>
      <c r="AW443" s="27">
        <v>1.2</v>
      </c>
      <c r="AX443" s="13">
        <f t="shared" si="180"/>
        <v>1.2E-2</v>
      </c>
      <c r="AY443" s="8" t="s">
        <v>704</v>
      </c>
      <c r="AZ443" s="16">
        <v>10</v>
      </c>
      <c r="BA443" s="16" t="s">
        <v>55</v>
      </c>
      <c r="BB443" s="16" t="s">
        <v>55</v>
      </c>
      <c r="BC443" s="16" t="s">
        <v>55</v>
      </c>
      <c r="BD443" s="18">
        <f t="shared" si="183"/>
        <v>3.8904514499428067</v>
      </c>
      <c r="BE443" s="16">
        <f t="shared" ref="BE443:BE504" si="190">BD443/AX443</f>
        <v>324.20428749523387</v>
      </c>
      <c r="BF443" s="16">
        <f t="shared" ref="BF443:BF504" si="191">LOG(BE443)</f>
        <v>2.5108187539523752</v>
      </c>
      <c r="BG443" s="8">
        <f>(0.48+0.7)/2</f>
        <v>0.59</v>
      </c>
      <c r="BH443" s="15" t="s">
        <v>851</v>
      </c>
      <c r="BI443" s="1"/>
      <c r="BJ443" s="2"/>
      <c r="BK443" s="1"/>
      <c r="BL443" s="1"/>
      <c r="BM443" s="7"/>
      <c r="BN443" s="7"/>
      <c r="BO443" s="1"/>
      <c r="BP443" s="11"/>
      <c r="BQ443" s="11"/>
    </row>
    <row r="444" spans="1:69" x14ac:dyDescent="0.3">
      <c r="A444" s="20">
        <v>450</v>
      </c>
      <c r="B444" s="2" t="s">
        <v>690</v>
      </c>
      <c r="C444" s="2">
        <v>2023</v>
      </c>
      <c r="D444" s="2" t="s">
        <v>199</v>
      </c>
      <c r="E444" s="10" t="s">
        <v>803</v>
      </c>
      <c r="F444" s="20" t="s">
        <v>29</v>
      </c>
      <c r="G444" s="2" t="s">
        <v>697</v>
      </c>
      <c r="H444" s="2" t="str">
        <f>'PFAS Properties'!$B$33</f>
        <v>PFOA</v>
      </c>
      <c r="I444" s="2" t="str">
        <f>'PFAS Properties'!$C$33</f>
        <v>PFCA</v>
      </c>
      <c r="J444" s="2" t="str">
        <f>'PFAS Properties'!$D$33</f>
        <v>C8HF15O2</v>
      </c>
      <c r="K444" s="25">
        <f>'PFAS Properties'!$P$33</f>
        <v>413.97359999999998</v>
      </c>
      <c r="L444" s="2">
        <f>'PFAS Properties'!$X$33</f>
        <v>-0.2</v>
      </c>
      <c r="M444" s="2" t="str">
        <f>'PFAS Properties'!$Y$33</f>
        <v>-</v>
      </c>
      <c r="N444" s="33">
        <v>0</v>
      </c>
      <c r="O444" s="33">
        <v>0</v>
      </c>
      <c r="P444" s="33">
        <v>0</v>
      </c>
      <c r="Q444" s="33">
        <f t="shared" si="170"/>
        <v>0.99998415131926011</v>
      </c>
      <c r="R444" s="33">
        <v>0</v>
      </c>
      <c r="S444" s="33">
        <f t="shared" si="171"/>
        <v>1.5848680739948987E-5</v>
      </c>
      <c r="T444" s="8">
        <f t="shared" si="172"/>
        <v>1</v>
      </c>
      <c r="U444" s="33">
        <f t="shared" si="184"/>
        <v>0</v>
      </c>
      <c r="V444" s="33">
        <f t="shared" si="185"/>
        <v>-0.99998415131926011</v>
      </c>
      <c r="W444" s="33">
        <f t="shared" si="186"/>
        <v>412.97361584868077</v>
      </c>
      <c r="X444" s="33">
        <v>96485</v>
      </c>
      <c r="Y444" s="16">
        <f t="shared" si="187"/>
        <v>-233.63107747636758</v>
      </c>
      <c r="Z444" s="16">
        <v>8</v>
      </c>
      <c r="AA444" s="16">
        <v>15</v>
      </c>
      <c r="AB444" s="8">
        <f t="shared" si="188"/>
        <v>0.33684210526315789</v>
      </c>
      <c r="AC444" s="16">
        <f t="shared" si="189"/>
        <v>68.844969824162703</v>
      </c>
      <c r="AD444" s="20">
        <f>'PFAS Properties'!$W$33</f>
        <v>7</v>
      </c>
      <c r="AE444" s="8">
        <f>'PFAS Properties'!$S$33</f>
        <v>2.6821450763738319</v>
      </c>
      <c r="AF444" s="15">
        <f>'PFAS Properties'!$V$33</f>
        <v>4.9000000000000004</v>
      </c>
      <c r="AG444" s="26">
        <v>4.5999999999999996</v>
      </c>
      <c r="AH444" s="2" t="s">
        <v>701</v>
      </c>
      <c r="AI444" s="15">
        <f t="shared" si="181"/>
        <v>0.1396125</v>
      </c>
      <c r="AJ444" s="16">
        <v>2.5</v>
      </c>
      <c r="AK444" s="8">
        <f t="shared" si="174"/>
        <v>1.396125E-2</v>
      </c>
      <c r="AL444" s="15">
        <f t="shared" si="182"/>
        <v>5.12658E-2</v>
      </c>
      <c r="AM444" s="16">
        <v>1.9</v>
      </c>
      <c r="AN444" s="8">
        <f t="shared" si="178"/>
        <v>5.1265800000000004E-3</v>
      </c>
      <c r="AO444" s="15" t="s">
        <v>705</v>
      </c>
      <c r="AP444" s="2">
        <v>1.8</v>
      </c>
      <c r="AQ444" s="15" t="s">
        <v>702</v>
      </c>
      <c r="AR444" s="4">
        <v>53</v>
      </c>
      <c r="AS444" s="4">
        <v>40</v>
      </c>
      <c r="AT444" s="4">
        <v>7</v>
      </c>
      <c r="AU444" s="2" t="s">
        <v>703</v>
      </c>
      <c r="AV444" s="16">
        <f t="shared" si="179"/>
        <v>100</v>
      </c>
      <c r="AW444" s="27">
        <v>1.1000000000000001</v>
      </c>
      <c r="AX444" s="13">
        <f t="shared" si="180"/>
        <v>1.1000000000000001E-2</v>
      </c>
      <c r="AY444" s="8" t="s">
        <v>704</v>
      </c>
      <c r="AZ444" s="16">
        <v>10</v>
      </c>
      <c r="BA444" s="16" t="s">
        <v>55</v>
      </c>
      <c r="BB444" s="16" t="s">
        <v>55</v>
      </c>
      <c r="BC444" s="16" t="s">
        <v>55</v>
      </c>
      <c r="BD444" s="18">
        <f t="shared" si="183"/>
        <v>2.2908676527677732</v>
      </c>
      <c r="BE444" s="16">
        <f t="shared" si="190"/>
        <v>208.26069570616119</v>
      </c>
      <c r="BF444" s="16">
        <f t="shared" si="191"/>
        <v>2.318607314841775</v>
      </c>
      <c r="BG444" s="8">
        <v>0.36</v>
      </c>
      <c r="BH444" s="15" t="s">
        <v>849</v>
      </c>
      <c r="BI444" s="1"/>
      <c r="BJ444" s="2"/>
      <c r="BK444" s="1"/>
      <c r="BL444" s="1"/>
      <c r="BM444" s="7"/>
      <c r="BN444" s="7"/>
      <c r="BO444" s="1"/>
      <c r="BP444" s="11"/>
      <c r="BQ444" s="11"/>
    </row>
    <row r="445" spans="1:69" x14ac:dyDescent="0.3">
      <c r="A445" s="20">
        <v>451</v>
      </c>
      <c r="B445" s="2" t="s">
        <v>690</v>
      </c>
      <c r="C445" s="2">
        <v>2023</v>
      </c>
      <c r="D445" s="2" t="s">
        <v>199</v>
      </c>
      <c r="E445" s="10" t="s">
        <v>803</v>
      </c>
      <c r="F445" s="20" t="s">
        <v>29</v>
      </c>
      <c r="G445" s="2" t="s">
        <v>698</v>
      </c>
      <c r="H445" s="2" t="str">
        <f>'PFAS Properties'!$B$33</f>
        <v>PFOA</v>
      </c>
      <c r="I445" s="2" t="str">
        <f>'PFAS Properties'!$C$33</f>
        <v>PFCA</v>
      </c>
      <c r="J445" s="2" t="str">
        <f>'PFAS Properties'!$D$33</f>
        <v>C8HF15O2</v>
      </c>
      <c r="K445" s="25">
        <f>'PFAS Properties'!$P$33</f>
        <v>413.97359999999998</v>
      </c>
      <c r="L445" s="2">
        <f>'PFAS Properties'!$X$33</f>
        <v>-0.2</v>
      </c>
      <c r="M445" s="2" t="str">
        <f>'PFAS Properties'!$Y$33</f>
        <v>-</v>
      </c>
      <c r="N445" s="33">
        <v>0</v>
      </c>
      <c r="O445" s="33">
        <v>0</v>
      </c>
      <c r="P445" s="33">
        <v>0</v>
      </c>
      <c r="Q445" s="33">
        <f t="shared" si="170"/>
        <v>0.99999984151070587</v>
      </c>
      <c r="R445" s="33">
        <v>0</v>
      </c>
      <c r="S445" s="33">
        <f t="shared" si="171"/>
        <v>1.5848929412725089E-7</v>
      </c>
      <c r="T445" s="8">
        <f t="shared" si="172"/>
        <v>1</v>
      </c>
      <c r="U445" s="33">
        <f t="shared" si="184"/>
        <v>0</v>
      </c>
      <c r="V445" s="33">
        <f t="shared" si="185"/>
        <v>-0.99999984151070587</v>
      </c>
      <c r="W445" s="33">
        <f t="shared" si="186"/>
        <v>412.97360015848926</v>
      </c>
      <c r="X445" s="33">
        <v>96485</v>
      </c>
      <c r="Y445" s="16">
        <f t="shared" si="187"/>
        <v>-233.63475212733178</v>
      </c>
      <c r="Z445" s="16">
        <v>8</v>
      </c>
      <c r="AA445" s="16">
        <v>15</v>
      </c>
      <c r="AB445" s="8">
        <f t="shared" si="188"/>
        <v>0.33684210526315789</v>
      </c>
      <c r="AC445" s="16">
        <f t="shared" si="189"/>
        <v>68.844969824162703</v>
      </c>
      <c r="AD445" s="20">
        <f>'PFAS Properties'!$W$33</f>
        <v>7</v>
      </c>
      <c r="AE445" s="8">
        <f>'PFAS Properties'!$S$33</f>
        <v>2.6821450763738319</v>
      </c>
      <c r="AF445" s="15">
        <f>'PFAS Properties'!$V$33</f>
        <v>4.9000000000000004</v>
      </c>
      <c r="AG445" s="26">
        <v>6.6</v>
      </c>
      <c r="AH445" s="2" t="s">
        <v>701</v>
      </c>
      <c r="AI445" s="15">
        <f t="shared" si="181"/>
        <v>11.169</v>
      </c>
      <c r="AJ445" s="16">
        <v>200</v>
      </c>
      <c r="AK445" s="8">
        <f t="shared" si="174"/>
        <v>1.1169</v>
      </c>
      <c r="AL445" s="15">
        <f t="shared" si="182"/>
        <v>1.3760819999999998</v>
      </c>
      <c r="AM445" s="16">
        <v>51</v>
      </c>
      <c r="AN445" s="8">
        <f t="shared" si="178"/>
        <v>0.13760819999999999</v>
      </c>
      <c r="AO445" s="15" t="s">
        <v>705</v>
      </c>
      <c r="AP445" s="2">
        <v>16</v>
      </c>
      <c r="AQ445" s="15" t="s">
        <v>702</v>
      </c>
      <c r="AR445" s="4">
        <v>0.68</v>
      </c>
      <c r="AS445" s="4">
        <v>48</v>
      </c>
      <c r="AT445" s="4">
        <v>52</v>
      </c>
      <c r="AU445" s="2" t="s">
        <v>703</v>
      </c>
      <c r="AV445" s="16">
        <f t="shared" si="179"/>
        <v>100.68</v>
      </c>
      <c r="AW445" s="27">
        <v>0.91</v>
      </c>
      <c r="AX445" s="13">
        <f t="shared" si="180"/>
        <v>9.1000000000000004E-3</v>
      </c>
      <c r="AY445" s="8" t="s">
        <v>704</v>
      </c>
      <c r="AZ445" s="16">
        <v>10</v>
      </c>
      <c r="BA445" s="16" t="s">
        <v>55</v>
      </c>
      <c r="BB445" s="16" t="s">
        <v>55</v>
      </c>
      <c r="BC445" s="16" t="s">
        <v>55</v>
      </c>
      <c r="BD445" s="18">
        <f t="shared" si="183"/>
        <v>0.72443596007499</v>
      </c>
      <c r="BE445" s="16">
        <f t="shared" si="190"/>
        <v>79.608347260987912</v>
      </c>
      <c r="BF445" s="16">
        <f t="shared" si="191"/>
        <v>1.9009586076789065</v>
      </c>
      <c r="BG445" s="8">
        <v>-0.14000000000000001</v>
      </c>
      <c r="BH445" s="15" t="s">
        <v>852</v>
      </c>
      <c r="BI445" s="1"/>
      <c r="BJ445" s="2"/>
      <c r="BK445" s="1"/>
      <c r="BL445" s="1"/>
      <c r="BM445" s="7"/>
      <c r="BN445" s="7"/>
      <c r="BO445" s="1"/>
      <c r="BP445" s="11"/>
      <c r="BQ445" s="11"/>
    </row>
    <row r="446" spans="1:69" x14ac:dyDescent="0.3">
      <c r="A446" s="20">
        <v>452</v>
      </c>
      <c r="B446" s="2" t="s">
        <v>690</v>
      </c>
      <c r="C446" s="2">
        <v>2023</v>
      </c>
      <c r="D446" s="2" t="s">
        <v>199</v>
      </c>
      <c r="E446" s="10" t="s">
        <v>803</v>
      </c>
      <c r="F446" s="20" t="s">
        <v>29</v>
      </c>
      <c r="G446" s="2" t="s">
        <v>699</v>
      </c>
      <c r="H446" s="2" t="str">
        <f>'PFAS Properties'!$B$33</f>
        <v>PFOA</v>
      </c>
      <c r="I446" s="2" t="str">
        <f>'PFAS Properties'!$C$33</f>
        <v>PFCA</v>
      </c>
      <c r="J446" s="2" t="str">
        <f>'PFAS Properties'!$D$33</f>
        <v>C8HF15O2</v>
      </c>
      <c r="K446" s="25">
        <f>'PFAS Properties'!$P$33</f>
        <v>413.97359999999998</v>
      </c>
      <c r="L446" s="2">
        <f>'PFAS Properties'!$X$33</f>
        <v>-0.2</v>
      </c>
      <c r="M446" s="2" t="str">
        <f>'PFAS Properties'!$Y$33</f>
        <v>-</v>
      </c>
      <c r="N446" s="33">
        <v>0</v>
      </c>
      <c r="O446" s="33">
        <v>0</v>
      </c>
      <c r="P446" s="33">
        <v>0</v>
      </c>
      <c r="Q446" s="33">
        <f t="shared" si="170"/>
        <v>0.99999900000099995</v>
      </c>
      <c r="R446" s="33">
        <v>0</v>
      </c>
      <c r="S446" s="33">
        <f t="shared" si="171"/>
        <v>9.9999900000100006E-7</v>
      </c>
      <c r="T446" s="8">
        <f t="shared" si="172"/>
        <v>1</v>
      </c>
      <c r="U446" s="33">
        <f t="shared" si="184"/>
        <v>0</v>
      </c>
      <c r="V446" s="33">
        <f t="shared" si="185"/>
        <v>-0.99999900000099995</v>
      </c>
      <c r="W446" s="33">
        <f t="shared" si="186"/>
        <v>412.97360099999895</v>
      </c>
      <c r="X446" s="33">
        <v>96485</v>
      </c>
      <c r="Y446" s="16">
        <f t="shared" si="187"/>
        <v>-233.63455504531566</v>
      </c>
      <c r="Z446" s="16">
        <v>8</v>
      </c>
      <c r="AA446" s="16">
        <v>15</v>
      </c>
      <c r="AB446" s="8">
        <f t="shared" si="188"/>
        <v>0.33684210526315789</v>
      </c>
      <c r="AC446" s="16">
        <f t="shared" si="189"/>
        <v>68.844969824162703</v>
      </c>
      <c r="AD446" s="20">
        <f>'PFAS Properties'!$W$33</f>
        <v>7</v>
      </c>
      <c r="AE446" s="8">
        <f>'PFAS Properties'!$S$33</f>
        <v>2.6821450763738319</v>
      </c>
      <c r="AF446" s="15">
        <f>'PFAS Properties'!$V$33</f>
        <v>4.9000000000000004</v>
      </c>
      <c r="AG446" s="26">
        <v>5.8</v>
      </c>
      <c r="AH446" s="2" t="s">
        <v>701</v>
      </c>
      <c r="AI446" s="15">
        <f t="shared" si="181"/>
        <v>1.6753499999999999</v>
      </c>
      <c r="AJ446" s="16">
        <v>30</v>
      </c>
      <c r="AK446" s="8">
        <f t="shared" si="174"/>
        <v>0.16753499999999999</v>
      </c>
      <c r="AL446" s="15">
        <f t="shared" si="182"/>
        <v>0.75549599999999995</v>
      </c>
      <c r="AM446" s="16">
        <v>28</v>
      </c>
      <c r="AN446" s="8">
        <f t="shared" si="178"/>
        <v>7.5549599999999995E-2</v>
      </c>
      <c r="AO446" s="15" t="s">
        <v>705</v>
      </c>
      <c r="AP446" s="2">
        <v>0.77</v>
      </c>
      <c r="AQ446" s="15" t="s">
        <v>702</v>
      </c>
      <c r="AR446" s="4">
        <v>89</v>
      </c>
      <c r="AS446" s="4">
        <v>8</v>
      </c>
      <c r="AT446" s="4">
        <v>3</v>
      </c>
      <c r="AU446" s="2" t="s">
        <v>703</v>
      </c>
      <c r="AV446" s="16">
        <f t="shared" si="179"/>
        <v>100</v>
      </c>
      <c r="AW446" s="27">
        <v>0.3</v>
      </c>
      <c r="AX446" s="13">
        <f t="shared" si="180"/>
        <v>3.0000000000000001E-3</v>
      </c>
      <c r="AY446" s="8" t="s">
        <v>704</v>
      </c>
      <c r="AZ446" s="16">
        <v>10</v>
      </c>
      <c r="BA446" s="16" t="s">
        <v>55</v>
      </c>
      <c r="BB446" s="16" t="s">
        <v>55</v>
      </c>
      <c r="BC446" s="16" t="s">
        <v>55</v>
      </c>
      <c r="BD446" s="18">
        <f t="shared" si="183"/>
        <v>4.4668359215096318</v>
      </c>
      <c r="BE446" s="16">
        <f t="shared" si="190"/>
        <v>1488.9453071698772</v>
      </c>
      <c r="BF446" s="16">
        <f t="shared" si="191"/>
        <v>3.1728787452803378</v>
      </c>
      <c r="BG446" s="8">
        <v>0.65</v>
      </c>
      <c r="BH446" s="15" t="s">
        <v>853</v>
      </c>
      <c r="BI446" s="1"/>
      <c r="BJ446" s="2"/>
      <c r="BK446" s="1"/>
      <c r="BL446" s="1"/>
      <c r="BM446" s="7"/>
      <c r="BN446" s="7"/>
      <c r="BO446" s="1"/>
      <c r="BP446" s="11"/>
      <c r="BQ446" s="11"/>
    </row>
    <row r="447" spans="1:69" s="14" customFormat="1" x14ac:dyDescent="0.3">
      <c r="A447" s="20">
        <v>453</v>
      </c>
      <c r="B447" s="2" t="s">
        <v>195</v>
      </c>
      <c r="C447" s="2">
        <v>2018</v>
      </c>
      <c r="D447" s="2" t="s">
        <v>199</v>
      </c>
      <c r="E447" s="10" t="s">
        <v>795</v>
      </c>
      <c r="F447" s="20" t="s">
        <v>29</v>
      </c>
      <c r="G447" s="2" t="s">
        <v>47</v>
      </c>
      <c r="H447" s="2" t="str">
        <f>'PFAS Properties'!$B$33</f>
        <v>PFOA</v>
      </c>
      <c r="I447" s="2" t="str">
        <f>'PFAS Properties'!$C$33</f>
        <v>PFCA</v>
      </c>
      <c r="J447" s="2" t="str">
        <f>'PFAS Properties'!$D$33</f>
        <v>C8HF15O2</v>
      </c>
      <c r="K447" s="25">
        <f>'PFAS Properties'!$P$33</f>
        <v>413.97359999999998</v>
      </c>
      <c r="L447" s="2">
        <f>'PFAS Properties'!$X$33</f>
        <v>-0.2</v>
      </c>
      <c r="M447" s="2" t="str">
        <f>'PFAS Properties'!$Y$33</f>
        <v>-</v>
      </c>
      <c r="N447" s="33">
        <v>0</v>
      </c>
      <c r="O447" s="33">
        <v>0</v>
      </c>
      <c r="P447" s="33">
        <v>0</v>
      </c>
      <c r="Q447" s="33">
        <f t="shared" si="170"/>
        <v>0.99998004777494953</v>
      </c>
      <c r="R447" s="33">
        <v>0</v>
      </c>
      <c r="S447" s="33">
        <f t="shared" si="171"/>
        <v>1.9952225050461341E-5</v>
      </c>
      <c r="T447" s="8">
        <f t="shared" si="172"/>
        <v>1</v>
      </c>
      <c r="U447" s="33">
        <f t="shared" si="184"/>
        <v>0</v>
      </c>
      <c r="V447" s="33">
        <f t="shared" si="185"/>
        <v>-0.99998004777494953</v>
      </c>
      <c r="W447" s="33">
        <f t="shared" si="186"/>
        <v>412.97361995222502</v>
      </c>
      <c r="X447" s="33">
        <v>96485</v>
      </c>
      <c r="Y447" s="16">
        <f t="shared" si="187"/>
        <v>-233.63011642421051</v>
      </c>
      <c r="Z447" s="16">
        <v>8</v>
      </c>
      <c r="AA447" s="16">
        <v>15</v>
      </c>
      <c r="AB447" s="8">
        <f t="shared" si="188"/>
        <v>0.33684210526315789</v>
      </c>
      <c r="AC447" s="16">
        <f t="shared" si="189"/>
        <v>68.844969824162703</v>
      </c>
      <c r="AD447" s="20">
        <f>'PFAS Properties'!$W$33</f>
        <v>7</v>
      </c>
      <c r="AE447" s="8">
        <f>'PFAS Properties'!$S$33</f>
        <v>2.6821450763738319</v>
      </c>
      <c r="AF447" s="15">
        <f>'PFAS Properties'!$V$33</f>
        <v>4.9000000000000004</v>
      </c>
      <c r="AG447" s="24">
        <v>4.5</v>
      </c>
      <c r="AH447" s="2" t="s">
        <v>658</v>
      </c>
      <c r="AI447" s="8">
        <f t="shared" si="181"/>
        <v>5.8637250000000002E-2</v>
      </c>
      <c r="AJ447" s="16">
        <v>1.05</v>
      </c>
      <c r="AK447" s="8">
        <f t="shared" si="174"/>
        <v>5.8637250000000002E-3</v>
      </c>
      <c r="AL447" s="15">
        <f>AM447*26.98/1000</f>
        <v>0.18454320000000002</v>
      </c>
      <c r="AM447" s="16">
        <v>6.84</v>
      </c>
      <c r="AN447" s="8">
        <f t="shared" si="178"/>
        <v>1.8454320000000003E-2</v>
      </c>
      <c r="AO447" s="2" t="s">
        <v>48</v>
      </c>
      <c r="AP447" s="71">
        <v>21.496500000000001</v>
      </c>
      <c r="AQ447" s="70" t="s">
        <v>752</v>
      </c>
      <c r="AR447" s="71">
        <v>41.737499999999997</v>
      </c>
      <c r="AS447" s="71">
        <v>35.036999999999999</v>
      </c>
      <c r="AT447" s="71">
        <v>21.971</v>
      </c>
      <c r="AU447" s="70" t="s">
        <v>752</v>
      </c>
      <c r="AV447" s="16">
        <f t="shared" si="179"/>
        <v>98.745499999999993</v>
      </c>
      <c r="AW447" s="18">
        <v>45</v>
      </c>
      <c r="AX447" s="13">
        <f t="shared" si="180"/>
        <v>0.45</v>
      </c>
      <c r="AY447" s="8" t="s">
        <v>49</v>
      </c>
      <c r="AZ447" s="16">
        <f>0.45/0.04</f>
        <v>11.25</v>
      </c>
      <c r="BA447" s="16" t="s">
        <v>55</v>
      </c>
      <c r="BB447" s="8">
        <v>1.25</v>
      </c>
      <c r="BC447" s="8" t="s">
        <v>55</v>
      </c>
      <c r="BD447" s="18">
        <f>(10^(2.1)*AX447)</f>
        <v>56.651643530737545</v>
      </c>
      <c r="BE447" s="15">
        <f t="shared" si="190"/>
        <v>125.89254117941677</v>
      </c>
      <c r="BF447" s="8">
        <f t="shared" si="191"/>
        <v>2.1</v>
      </c>
      <c r="BG447" s="8">
        <f t="shared" ref="BG447:BG485" si="192">LOG(BD447)</f>
        <v>1.7532125137753438</v>
      </c>
      <c r="BH447" s="2" t="s">
        <v>821</v>
      </c>
      <c r="BI447" s="13"/>
      <c r="BJ447" s="13"/>
      <c r="BK447" s="13"/>
      <c r="BL447" s="13"/>
      <c r="BM447" s="17"/>
      <c r="BN447" s="17"/>
      <c r="BO447" s="2"/>
    </row>
    <row r="448" spans="1:69" s="14" customFormat="1" x14ac:dyDescent="0.3">
      <c r="A448" s="20">
        <v>454</v>
      </c>
      <c r="B448" s="2" t="s">
        <v>202</v>
      </c>
      <c r="C448" s="2">
        <v>2019</v>
      </c>
      <c r="D448" s="2" t="s">
        <v>199</v>
      </c>
      <c r="E448" s="10" t="s">
        <v>791</v>
      </c>
      <c r="F448" s="20" t="s">
        <v>29</v>
      </c>
      <c r="G448" s="2" t="s">
        <v>39</v>
      </c>
      <c r="H448" s="2" t="str">
        <f>'PFAS Properties'!$B$34</f>
        <v>PFNA</v>
      </c>
      <c r="I448" s="2" t="str">
        <f>'PFAS Properties'!$C$34</f>
        <v>PFCA</v>
      </c>
      <c r="J448" s="2" t="str">
        <f>'PFAS Properties'!$D$34</f>
        <v>C9HF17O2</v>
      </c>
      <c r="K448" s="25">
        <f>'PFAS Properties'!$P$34</f>
        <v>463.97039999999998</v>
      </c>
      <c r="L448" s="2">
        <f>'PFAS Properties'!$X$34</f>
        <v>-0.2</v>
      </c>
      <c r="M448" s="2" t="str">
        <f>'PFAS Properties'!$Y$34</f>
        <v>-</v>
      </c>
      <c r="N448" s="33">
        <v>0</v>
      </c>
      <c r="O448" s="33">
        <v>0</v>
      </c>
      <c r="P448" s="33">
        <v>0</v>
      </c>
      <c r="Q448" s="33">
        <f t="shared" si="170"/>
        <v>0.9999964518786969</v>
      </c>
      <c r="R448" s="33">
        <v>0</v>
      </c>
      <c r="S448" s="33">
        <f t="shared" si="171"/>
        <v>3.5481213031263005E-6</v>
      </c>
      <c r="T448" s="8">
        <f t="shared" si="172"/>
        <v>1</v>
      </c>
      <c r="U448" s="33">
        <f t="shared" si="184"/>
        <v>0</v>
      </c>
      <c r="V448" s="33">
        <f t="shared" si="185"/>
        <v>-0.9999964518786969</v>
      </c>
      <c r="W448" s="33">
        <f t="shared" si="186"/>
        <v>462.97040354812128</v>
      </c>
      <c r="X448" s="33">
        <v>96485</v>
      </c>
      <c r="Y448" s="16">
        <f t="shared" si="187"/>
        <v>-208.40351115335915</v>
      </c>
      <c r="Z448" s="16">
        <v>9</v>
      </c>
      <c r="AA448" s="16">
        <v>17</v>
      </c>
      <c r="AB448" s="8">
        <f t="shared" si="188"/>
        <v>0.33436532507739936</v>
      </c>
      <c r="AC448" s="16">
        <f t="shared" si="189"/>
        <v>69.616510018742574</v>
      </c>
      <c r="AD448" s="20">
        <f>'PFAS Properties'!$W$34</f>
        <v>8</v>
      </c>
      <c r="AE448" s="8">
        <f>'PFAS Properties'!$S$34</f>
        <v>1.7965743332104296</v>
      </c>
      <c r="AF448" s="15">
        <f>'PFAS Properties'!$V$34</f>
        <v>5.6</v>
      </c>
      <c r="AG448" s="24">
        <v>5.25</v>
      </c>
      <c r="AH448" s="2" t="s">
        <v>661</v>
      </c>
      <c r="AI448" s="2" t="s">
        <v>661</v>
      </c>
      <c r="AJ448" s="2" t="s">
        <v>661</v>
      </c>
      <c r="AK448" s="2" t="s">
        <v>661</v>
      </c>
      <c r="AL448" s="2" t="s">
        <v>661</v>
      </c>
      <c r="AM448" s="2" t="s">
        <v>661</v>
      </c>
      <c r="AN448" s="2" t="s">
        <v>661</v>
      </c>
      <c r="AO448" s="2" t="s">
        <v>661</v>
      </c>
      <c r="AP448" s="71">
        <v>5.7023166666666656</v>
      </c>
      <c r="AQ448" s="70" t="s">
        <v>752</v>
      </c>
      <c r="AR448" s="16">
        <v>100</v>
      </c>
      <c r="AS448" s="16">
        <v>0</v>
      </c>
      <c r="AT448" s="16">
        <v>0</v>
      </c>
      <c r="AU448" s="2" t="s">
        <v>661</v>
      </c>
      <c r="AV448" s="16">
        <f t="shared" si="179"/>
        <v>100</v>
      </c>
      <c r="AW448" s="20">
        <v>0.4</v>
      </c>
      <c r="AX448" s="13">
        <f t="shared" si="180"/>
        <v>4.0000000000000001E-3</v>
      </c>
      <c r="AY448" s="13" t="s">
        <v>658</v>
      </c>
      <c r="AZ448" s="16">
        <f>2/0.01</f>
        <v>200</v>
      </c>
      <c r="BA448" s="16" t="s">
        <v>55</v>
      </c>
      <c r="BB448" s="16">
        <v>1</v>
      </c>
      <c r="BC448" s="16">
        <v>1000</v>
      </c>
      <c r="BD448" s="18">
        <v>10.3</v>
      </c>
      <c r="BE448" s="15">
        <f t="shared" si="190"/>
        <v>2575</v>
      </c>
      <c r="BF448" s="8">
        <f t="shared" si="191"/>
        <v>3.4107772333772099</v>
      </c>
      <c r="BG448" s="8">
        <f t="shared" si="192"/>
        <v>1.0128372247051722</v>
      </c>
      <c r="BH448" s="13" t="s">
        <v>272</v>
      </c>
      <c r="BI448" s="13"/>
      <c r="BJ448" s="13"/>
      <c r="BK448" s="13"/>
      <c r="BL448" s="13"/>
      <c r="BM448" s="17"/>
      <c r="BN448" s="17"/>
      <c r="BO448" s="2"/>
    </row>
    <row r="449" spans="1:69" s="14" customFormat="1" x14ac:dyDescent="0.3">
      <c r="A449" s="20">
        <v>455</v>
      </c>
      <c r="B449" s="2" t="s">
        <v>202</v>
      </c>
      <c r="C449" s="2">
        <v>2019</v>
      </c>
      <c r="D449" s="2" t="s">
        <v>199</v>
      </c>
      <c r="E449" s="10" t="s">
        <v>791</v>
      </c>
      <c r="F449" s="20" t="s">
        <v>29</v>
      </c>
      <c r="G449" s="2" t="s">
        <v>43</v>
      </c>
      <c r="H449" s="2" t="str">
        <f>'PFAS Properties'!$B$34</f>
        <v>PFNA</v>
      </c>
      <c r="I449" s="2" t="str">
        <f>'PFAS Properties'!$C$34</f>
        <v>PFCA</v>
      </c>
      <c r="J449" s="2" t="str">
        <f>'PFAS Properties'!$D$34</f>
        <v>C9HF17O2</v>
      </c>
      <c r="K449" s="25">
        <f>'PFAS Properties'!$P$34</f>
        <v>463.97039999999998</v>
      </c>
      <c r="L449" s="2">
        <f>'PFAS Properties'!$X$34</f>
        <v>-0.2</v>
      </c>
      <c r="M449" s="2" t="str">
        <f>'PFAS Properties'!$Y$34</f>
        <v>-</v>
      </c>
      <c r="N449" s="33">
        <v>0</v>
      </c>
      <c r="O449" s="33">
        <v>0</v>
      </c>
      <c r="P449" s="33">
        <v>0</v>
      </c>
      <c r="Q449" s="33">
        <f t="shared" si="170"/>
        <v>0.99999865103893715</v>
      </c>
      <c r="R449" s="33">
        <v>0</v>
      </c>
      <c r="S449" s="33">
        <f t="shared" si="171"/>
        <v>1.3489610628932487E-6</v>
      </c>
      <c r="T449" s="8">
        <f t="shared" si="172"/>
        <v>1</v>
      </c>
      <c r="U449" s="33">
        <f t="shared" si="184"/>
        <v>0</v>
      </c>
      <c r="V449" s="33">
        <f t="shared" si="185"/>
        <v>-0.99999865103893715</v>
      </c>
      <c r="W449" s="33">
        <f t="shared" si="186"/>
        <v>462.97040134896105</v>
      </c>
      <c r="X449" s="33">
        <v>96485</v>
      </c>
      <c r="Y449" s="16">
        <f t="shared" si="187"/>
        <v>-208.40397045764269</v>
      </c>
      <c r="Z449" s="16">
        <v>9</v>
      </c>
      <c r="AA449" s="16">
        <v>17</v>
      </c>
      <c r="AB449" s="8">
        <f t="shared" si="188"/>
        <v>0.33436532507739936</v>
      </c>
      <c r="AC449" s="16">
        <f t="shared" si="189"/>
        <v>69.616510018742574</v>
      </c>
      <c r="AD449" s="20">
        <f>'PFAS Properties'!$W$34</f>
        <v>8</v>
      </c>
      <c r="AE449" s="8">
        <f>'PFAS Properties'!$S$34</f>
        <v>1.7965743332104296</v>
      </c>
      <c r="AF449" s="15">
        <f>'PFAS Properties'!$V$34</f>
        <v>5.6</v>
      </c>
      <c r="AG449" s="24">
        <v>5.67</v>
      </c>
      <c r="AH449" s="2" t="s">
        <v>661</v>
      </c>
      <c r="AI449" s="15" t="s">
        <v>661</v>
      </c>
      <c r="AJ449" s="16" t="s">
        <v>661</v>
      </c>
      <c r="AK449" s="2" t="s">
        <v>661</v>
      </c>
      <c r="AL449" s="15" t="s">
        <v>661</v>
      </c>
      <c r="AM449" s="16" t="s">
        <v>661</v>
      </c>
      <c r="AN449" s="2" t="s">
        <v>661</v>
      </c>
      <c r="AO449" s="2" t="s">
        <v>661</v>
      </c>
      <c r="AP449" s="71">
        <v>9.2037666666666649</v>
      </c>
      <c r="AQ449" s="70" t="s">
        <v>752</v>
      </c>
      <c r="AR449" s="16">
        <v>71</v>
      </c>
      <c r="AS449" s="16">
        <v>24</v>
      </c>
      <c r="AT449" s="16">
        <v>5</v>
      </c>
      <c r="AU449" s="2" t="s">
        <v>661</v>
      </c>
      <c r="AV449" s="16">
        <f t="shared" si="179"/>
        <v>100</v>
      </c>
      <c r="AW449" s="20">
        <v>0.93</v>
      </c>
      <c r="AX449" s="13">
        <f t="shared" si="180"/>
        <v>9.300000000000001E-3</v>
      </c>
      <c r="AY449" s="13" t="s">
        <v>658</v>
      </c>
      <c r="AZ449" s="16">
        <f>2/0.01</f>
        <v>200</v>
      </c>
      <c r="BA449" s="16" t="s">
        <v>55</v>
      </c>
      <c r="BB449" s="16">
        <v>1</v>
      </c>
      <c r="BC449" s="16">
        <v>1000</v>
      </c>
      <c r="BD449" s="18">
        <v>3.3</v>
      </c>
      <c r="BE449" s="15">
        <f t="shared" si="190"/>
        <v>354.83870967741927</v>
      </c>
      <c r="BF449" s="8">
        <f t="shared" si="191"/>
        <v>2.5500309913239523</v>
      </c>
      <c r="BG449" s="8">
        <f t="shared" si="192"/>
        <v>0.51851393987788741</v>
      </c>
      <c r="BH449" s="13" t="s">
        <v>272</v>
      </c>
      <c r="BI449" s="13"/>
      <c r="BJ449" s="13"/>
      <c r="BK449" s="13"/>
      <c r="BL449" s="13"/>
      <c r="BM449" s="17"/>
      <c r="BN449" s="17"/>
      <c r="BO449" s="2"/>
    </row>
    <row r="450" spans="1:69" s="14" customFormat="1" x14ac:dyDescent="0.3">
      <c r="A450" s="20">
        <v>456</v>
      </c>
      <c r="B450" s="2" t="s">
        <v>210</v>
      </c>
      <c r="C450" s="2">
        <v>2010</v>
      </c>
      <c r="D450" s="2" t="s">
        <v>209</v>
      </c>
      <c r="E450" s="10" t="s">
        <v>208</v>
      </c>
      <c r="F450" s="20" t="s">
        <v>29</v>
      </c>
      <c r="G450" s="2" t="s">
        <v>52</v>
      </c>
      <c r="H450" s="2" t="str">
        <f>'PFAS Properties'!$B$34</f>
        <v>PFNA</v>
      </c>
      <c r="I450" s="2" t="str">
        <f>'PFAS Properties'!$C$34</f>
        <v>PFCA</v>
      </c>
      <c r="J450" s="2" t="str">
        <f>'PFAS Properties'!$D$34</f>
        <v>C9HF17O2</v>
      </c>
      <c r="K450" s="25">
        <f>'PFAS Properties'!$P$34</f>
        <v>463.97039999999998</v>
      </c>
      <c r="L450" s="2">
        <f>'PFAS Properties'!$X$34</f>
        <v>-0.2</v>
      </c>
      <c r="M450" s="2" t="str">
        <f>'PFAS Properties'!$Y$34</f>
        <v>-</v>
      </c>
      <c r="N450" s="33">
        <v>0</v>
      </c>
      <c r="O450" s="33">
        <v>0</v>
      </c>
      <c r="P450" s="33">
        <v>0</v>
      </c>
      <c r="Q450" s="33">
        <f t="shared" si="170"/>
        <v>0.99999998415106828</v>
      </c>
      <c r="R450" s="33">
        <v>0</v>
      </c>
      <c r="S450" s="33">
        <f t="shared" si="171"/>
        <v>1.5848931673422493E-8</v>
      </c>
      <c r="T450" s="8">
        <f t="shared" si="172"/>
        <v>1</v>
      </c>
      <c r="U450" s="33">
        <f t="shared" si="184"/>
        <v>0</v>
      </c>
      <c r="V450" s="33">
        <f t="shared" si="185"/>
        <v>-0.99999998415106828</v>
      </c>
      <c r="W450" s="33">
        <f t="shared" si="186"/>
        <v>462.9704000158489</v>
      </c>
      <c r="X450" s="33">
        <v>96485</v>
      </c>
      <c r="Y450" s="16">
        <f t="shared" si="187"/>
        <v>-208.40424888397368</v>
      </c>
      <c r="Z450" s="16">
        <v>9</v>
      </c>
      <c r="AA450" s="16">
        <v>17</v>
      </c>
      <c r="AB450" s="8">
        <f t="shared" si="188"/>
        <v>0.33436532507739936</v>
      </c>
      <c r="AC450" s="16">
        <f t="shared" si="189"/>
        <v>69.616510018742574</v>
      </c>
      <c r="AD450" s="20">
        <f>'PFAS Properties'!$W$34</f>
        <v>8</v>
      </c>
      <c r="AE450" s="8">
        <f>'PFAS Properties'!$S$34</f>
        <v>1.7965743332104296</v>
      </c>
      <c r="AF450" s="15">
        <f>'PFAS Properties'!$V$34</f>
        <v>5.6</v>
      </c>
      <c r="AG450" s="24">
        <v>7.6</v>
      </c>
      <c r="AH450" s="2" t="s">
        <v>661</v>
      </c>
      <c r="AI450" s="2">
        <v>8.1199999999999992</v>
      </c>
      <c r="AJ450" s="15">
        <f>AI450*1000/55.845</f>
        <v>145.40245321873041</v>
      </c>
      <c r="AK450" s="8">
        <f>AI450/10</f>
        <v>0.81199999999999994</v>
      </c>
      <c r="AL450" s="2">
        <v>1.294</v>
      </c>
      <c r="AM450" s="15">
        <f>AL450*1000/26.98</f>
        <v>47.961452928094886</v>
      </c>
      <c r="AN450" s="8">
        <f>AL450/10</f>
        <v>0.12940000000000002</v>
      </c>
      <c r="AO450" s="15" t="s">
        <v>41</v>
      </c>
      <c r="AP450" s="71">
        <v>5.6985666666666646</v>
      </c>
      <c r="AQ450" s="70" t="s">
        <v>752</v>
      </c>
      <c r="AR450" s="2">
        <v>41</v>
      </c>
      <c r="AS450" s="2">
        <v>22</v>
      </c>
      <c r="AT450" s="2">
        <v>37</v>
      </c>
      <c r="AU450" s="16" t="s">
        <v>661</v>
      </c>
      <c r="AV450" s="16">
        <f t="shared" si="179"/>
        <v>100</v>
      </c>
      <c r="AW450" s="20">
        <v>0.42</v>
      </c>
      <c r="AX450" s="13">
        <f t="shared" si="180"/>
        <v>4.1999999999999997E-3</v>
      </c>
      <c r="AY450" s="13" t="s">
        <v>53</v>
      </c>
      <c r="AZ450" s="16">
        <f>12/0.025</f>
        <v>480</v>
      </c>
      <c r="BA450" s="16" t="s">
        <v>55</v>
      </c>
      <c r="BB450" s="8">
        <v>0.02</v>
      </c>
      <c r="BC450" s="8">
        <v>1</v>
      </c>
      <c r="BD450" s="18">
        <v>1.5</v>
      </c>
      <c r="BE450" s="15">
        <f t="shared" si="190"/>
        <v>357.14285714285717</v>
      </c>
      <c r="BF450" s="8">
        <f t="shared" si="191"/>
        <v>2.552841968657781</v>
      </c>
      <c r="BG450" s="8">
        <f t="shared" si="192"/>
        <v>0.17609125905568124</v>
      </c>
      <c r="BH450" s="13" t="s">
        <v>837</v>
      </c>
      <c r="BI450" s="13"/>
      <c r="BJ450" s="13"/>
      <c r="BK450" s="13"/>
      <c r="BL450" s="13"/>
      <c r="BM450" s="17"/>
      <c r="BN450" s="17"/>
      <c r="BO450" s="2"/>
    </row>
    <row r="451" spans="1:69" s="14" customFormat="1" x14ac:dyDescent="0.3">
      <c r="A451" s="20">
        <v>457</v>
      </c>
      <c r="B451" s="2" t="s">
        <v>210</v>
      </c>
      <c r="C451" s="2">
        <v>2010</v>
      </c>
      <c r="D451" s="2" t="s">
        <v>209</v>
      </c>
      <c r="E451" s="10" t="s">
        <v>208</v>
      </c>
      <c r="F451" s="20" t="s">
        <v>29</v>
      </c>
      <c r="G451" s="2" t="s">
        <v>54</v>
      </c>
      <c r="H451" s="2" t="str">
        <f>'PFAS Properties'!$B$34</f>
        <v>PFNA</v>
      </c>
      <c r="I451" s="2" t="str">
        <f>'PFAS Properties'!$C$34</f>
        <v>PFCA</v>
      </c>
      <c r="J451" s="2" t="str">
        <f>'PFAS Properties'!$D$34</f>
        <v>C9HF17O2</v>
      </c>
      <c r="K451" s="25">
        <f>'PFAS Properties'!$P$34</f>
        <v>463.97039999999998</v>
      </c>
      <c r="L451" s="2">
        <f>'PFAS Properties'!$X$34</f>
        <v>-0.2</v>
      </c>
      <c r="M451" s="2" t="str">
        <f>'PFAS Properties'!$Y$34</f>
        <v>-</v>
      </c>
      <c r="N451" s="33">
        <v>0</v>
      </c>
      <c r="O451" s="33">
        <v>0</v>
      </c>
      <c r="P451" s="33">
        <v>0</v>
      </c>
      <c r="Q451" s="33">
        <f t="shared" si="170"/>
        <v>0.99999949881301753</v>
      </c>
      <c r="R451" s="33">
        <v>0</v>
      </c>
      <c r="S451" s="33">
        <f t="shared" si="171"/>
        <v>5.0118698243875488E-7</v>
      </c>
      <c r="T451" s="8">
        <f t="shared" si="172"/>
        <v>1</v>
      </c>
      <c r="U451" s="33">
        <f t="shared" si="184"/>
        <v>0</v>
      </c>
      <c r="V451" s="33">
        <f t="shared" si="185"/>
        <v>-0.99999949881301753</v>
      </c>
      <c r="W451" s="33">
        <f t="shared" si="186"/>
        <v>462.97040050118699</v>
      </c>
      <c r="X451" s="33">
        <v>96485</v>
      </c>
      <c r="Y451" s="16">
        <f t="shared" si="187"/>
        <v>-208.40414751898732</v>
      </c>
      <c r="Z451" s="16">
        <v>9</v>
      </c>
      <c r="AA451" s="16">
        <v>17</v>
      </c>
      <c r="AB451" s="8">
        <f t="shared" si="188"/>
        <v>0.33436532507739936</v>
      </c>
      <c r="AC451" s="16">
        <f t="shared" si="189"/>
        <v>69.616510018742574</v>
      </c>
      <c r="AD451" s="20">
        <f>'PFAS Properties'!$W$34</f>
        <v>8</v>
      </c>
      <c r="AE451" s="8">
        <f>'PFAS Properties'!$S$34</f>
        <v>1.7965743332104296</v>
      </c>
      <c r="AF451" s="15">
        <f>'PFAS Properties'!$V$34</f>
        <v>5.6</v>
      </c>
      <c r="AG451" s="24">
        <v>6.1</v>
      </c>
      <c r="AH451" s="2" t="s">
        <v>661</v>
      </c>
      <c r="AI451" s="2">
        <v>2.73</v>
      </c>
      <c r="AJ451" s="15">
        <f>AI451*1000/55.845</f>
        <v>48.885307547676604</v>
      </c>
      <c r="AK451" s="8">
        <f>AI451/10</f>
        <v>0.27300000000000002</v>
      </c>
      <c r="AL451" s="2">
        <v>2.6320000000000001</v>
      </c>
      <c r="AM451" s="15">
        <f>AL451*1000/26.98</f>
        <v>97.553743513713854</v>
      </c>
      <c r="AN451" s="8">
        <f>AL451/10</f>
        <v>0.26319999999999999</v>
      </c>
      <c r="AO451" s="15" t="s">
        <v>41</v>
      </c>
      <c r="AP451" s="71">
        <v>12.81991666666667</v>
      </c>
      <c r="AQ451" s="70" t="s">
        <v>752</v>
      </c>
      <c r="AR451" s="2">
        <v>94</v>
      </c>
      <c r="AS451" s="2">
        <v>1</v>
      </c>
      <c r="AT451" s="2">
        <v>5</v>
      </c>
      <c r="AU451" s="16" t="s">
        <v>661</v>
      </c>
      <c r="AV451" s="16">
        <f t="shared" si="179"/>
        <v>100</v>
      </c>
      <c r="AW451" s="20">
        <v>1</v>
      </c>
      <c r="AX451" s="13">
        <f t="shared" si="180"/>
        <v>0.01</v>
      </c>
      <c r="AY451" s="13" t="s">
        <v>53</v>
      </c>
      <c r="AZ451" s="16">
        <f>12/0.025</f>
        <v>480</v>
      </c>
      <c r="BA451" s="16" t="s">
        <v>55</v>
      </c>
      <c r="BB451" s="8">
        <v>0.02</v>
      </c>
      <c r="BC451" s="8">
        <v>1</v>
      </c>
      <c r="BD451" s="18">
        <v>1.1000000000000001</v>
      </c>
      <c r="BE451" s="15">
        <f t="shared" si="190"/>
        <v>110</v>
      </c>
      <c r="BF451" s="8">
        <f t="shared" si="191"/>
        <v>2.0413926851582249</v>
      </c>
      <c r="BG451" s="8">
        <f t="shared" si="192"/>
        <v>4.1392685158225077E-2</v>
      </c>
      <c r="BH451" s="13" t="s">
        <v>837</v>
      </c>
      <c r="BI451" s="2"/>
      <c r="BJ451" s="2"/>
      <c r="BK451" s="2"/>
      <c r="BL451" s="2"/>
      <c r="BM451" s="2"/>
      <c r="BN451" s="2"/>
      <c r="BO451" s="2"/>
    </row>
    <row r="452" spans="1:69" s="14" customFormat="1" x14ac:dyDescent="0.3">
      <c r="A452" s="20">
        <v>458</v>
      </c>
      <c r="B452" s="2" t="s">
        <v>204</v>
      </c>
      <c r="C452" s="2">
        <v>2013</v>
      </c>
      <c r="D452" s="2" t="s">
        <v>203</v>
      </c>
      <c r="E452" s="10" t="s">
        <v>792</v>
      </c>
      <c r="F452" s="20" t="s">
        <v>29</v>
      </c>
      <c r="G452" s="2" t="s">
        <v>46</v>
      </c>
      <c r="H452" s="2" t="str">
        <f>'PFAS Properties'!$B$34</f>
        <v>PFNA</v>
      </c>
      <c r="I452" s="2" t="str">
        <f>'PFAS Properties'!$C$34</f>
        <v>PFCA</v>
      </c>
      <c r="J452" s="2" t="str">
        <f>'PFAS Properties'!$D$34</f>
        <v>C9HF17O2</v>
      </c>
      <c r="K452" s="25">
        <f>'PFAS Properties'!$P$34</f>
        <v>463.97039999999998</v>
      </c>
      <c r="L452" s="2">
        <f>'PFAS Properties'!$X$34</f>
        <v>-0.2</v>
      </c>
      <c r="M452" s="2" t="str">
        <f>'PFAS Properties'!$Y$34</f>
        <v>-</v>
      </c>
      <c r="N452" s="33">
        <v>0</v>
      </c>
      <c r="O452" s="33">
        <v>0</v>
      </c>
      <c r="P452" s="33">
        <v>0</v>
      </c>
      <c r="Q452" s="33">
        <f t="shared" si="170"/>
        <v>0.99999949881301753</v>
      </c>
      <c r="R452" s="33">
        <v>0</v>
      </c>
      <c r="S452" s="33">
        <f t="shared" si="171"/>
        <v>5.0118698243875488E-7</v>
      </c>
      <c r="T452" s="8">
        <f t="shared" si="172"/>
        <v>1</v>
      </c>
      <c r="U452" s="33">
        <f t="shared" si="184"/>
        <v>0</v>
      </c>
      <c r="V452" s="33">
        <f t="shared" si="185"/>
        <v>-0.99999949881301753</v>
      </c>
      <c r="W452" s="33">
        <f t="shared" si="186"/>
        <v>462.97040050118699</v>
      </c>
      <c r="X452" s="33">
        <v>96485</v>
      </c>
      <c r="Y452" s="16">
        <f t="shared" si="187"/>
        <v>-208.40414751898732</v>
      </c>
      <c r="Z452" s="16">
        <v>9</v>
      </c>
      <c r="AA452" s="16">
        <v>17</v>
      </c>
      <c r="AB452" s="8">
        <f t="shared" si="188"/>
        <v>0.33436532507739936</v>
      </c>
      <c r="AC452" s="16">
        <f t="shared" si="189"/>
        <v>69.616510018742574</v>
      </c>
      <c r="AD452" s="20">
        <f>'PFAS Properties'!$W$34</f>
        <v>8</v>
      </c>
      <c r="AE452" s="8">
        <f>'PFAS Properties'!$S$34</f>
        <v>1.7965743332104296</v>
      </c>
      <c r="AF452" s="15">
        <f>'PFAS Properties'!$V$34</f>
        <v>5.6</v>
      </c>
      <c r="AG452" s="24">
        <v>6.1</v>
      </c>
      <c r="AH452" s="2" t="s">
        <v>661</v>
      </c>
      <c r="AI452" s="15">
        <v>2.21</v>
      </c>
      <c r="AJ452" s="16">
        <f>AI452*1000/55.845</f>
        <v>39.573820395738203</v>
      </c>
      <c r="AK452" s="8">
        <f>AI452/10</f>
        <v>0.221</v>
      </c>
      <c r="AL452" s="15">
        <v>0.93</v>
      </c>
      <c r="AM452" s="16">
        <f>AL452*1000/26.98</f>
        <v>34.469977761304669</v>
      </c>
      <c r="AN452" s="8">
        <f>AL452/10</f>
        <v>9.2999999999999999E-2</v>
      </c>
      <c r="AO452" s="15" t="s">
        <v>41</v>
      </c>
      <c r="AP452" s="72">
        <v>14.27683666666667</v>
      </c>
      <c r="AQ452" s="2" t="s">
        <v>752</v>
      </c>
      <c r="AR452" s="16">
        <v>81</v>
      </c>
      <c r="AS452" s="16">
        <v>1</v>
      </c>
      <c r="AT452" s="16">
        <v>9</v>
      </c>
      <c r="AU452" s="16" t="s">
        <v>661</v>
      </c>
      <c r="AV452" s="16">
        <f t="shared" si="179"/>
        <v>91</v>
      </c>
      <c r="AW452" s="18">
        <v>1.7</v>
      </c>
      <c r="AX452" s="13">
        <f t="shared" si="180"/>
        <v>1.7000000000000001E-2</v>
      </c>
      <c r="AY452" s="13" t="s">
        <v>42</v>
      </c>
      <c r="AZ452" s="16">
        <f>15/0.04</f>
        <v>375</v>
      </c>
      <c r="BA452" s="16" t="s">
        <v>55</v>
      </c>
      <c r="BB452" s="15">
        <v>0.5</v>
      </c>
      <c r="BC452" s="16">
        <v>1000</v>
      </c>
      <c r="BD452" s="18">
        <v>2.0499999999999998</v>
      </c>
      <c r="BE452" s="15">
        <f t="shared" si="190"/>
        <v>120.58823529411762</v>
      </c>
      <c r="BF452" s="8">
        <f t="shared" si="191"/>
        <v>2.0813049396774801</v>
      </c>
      <c r="BG452" s="8">
        <f t="shared" si="192"/>
        <v>0.31175386105575426</v>
      </c>
      <c r="BH452" s="13" t="s">
        <v>844</v>
      </c>
      <c r="BI452" s="13"/>
      <c r="BJ452" s="13"/>
      <c r="BK452" s="8"/>
      <c r="BL452" s="8"/>
      <c r="BM452" s="18"/>
      <c r="BN452" s="8"/>
      <c r="BO452" s="24"/>
    </row>
    <row r="453" spans="1:69" s="14" customFormat="1" x14ac:dyDescent="0.3">
      <c r="A453" s="20">
        <v>459</v>
      </c>
      <c r="B453" s="2" t="s">
        <v>204</v>
      </c>
      <c r="C453" s="2">
        <v>2013</v>
      </c>
      <c r="D453" s="2" t="s">
        <v>203</v>
      </c>
      <c r="E453" s="10" t="s">
        <v>792</v>
      </c>
      <c r="F453" s="20" t="s">
        <v>29</v>
      </c>
      <c r="G453" s="2" t="s">
        <v>50</v>
      </c>
      <c r="H453" s="2" t="str">
        <f>'PFAS Properties'!$B$34</f>
        <v>PFNA</v>
      </c>
      <c r="I453" s="2" t="str">
        <f>'PFAS Properties'!$C$34</f>
        <v>PFCA</v>
      </c>
      <c r="J453" s="2" t="str">
        <f>'PFAS Properties'!$D$34</f>
        <v>C9HF17O2</v>
      </c>
      <c r="K453" s="25">
        <f>'PFAS Properties'!$P$34</f>
        <v>463.97039999999998</v>
      </c>
      <c r="L453" s="2">
        <f>'PFAS Properties'!$X$34</f>
        <v>-0.2</v>
      </c>
      <c r="M453" s="2" t="str">
        <f>'PFAS Properties'!$Y$34</f>
        <v>-</v>
      </c>
      <c r="N453" s="33">
        <v>0</v>
      </c>
      <c r="O453" s="33">
        <v>0</v>
      </c>
      <c r="P453" s="33">
        <v>0</v>
      </c>
      <c r="Q453" s="33">
        <f t="shared" si="170"/>
        <v>0.99999999000000006</v>
      </c>
      <c r="R453" s="33">
        <v>0</v>
      </c>
      <c r="S453" s="33">
        <f t="shared" si="171"/>
        <v>9.9999999000000002E-9</v>
      </c>
      <c r="T453" s="8">
        <f t="shared" si="172"/>
        <v>1</v>
      </c>
      <c r="U453" s="33">
        <f t="shared" si="184"/>
        <v>0</v>
      </c>
      <c r="V453" s="33">
        <f t="shared" si="185"/>
        <v>-0.99999999000000006</v>
      </c>
      <c r="W453" s="33">
        <f t="shared" si="186"/>
        <v>462.97040000999993</v>
      </c>
      <c r="X453" s="33">
        <v>96485</v>
      </c>
      <c r="Y453" s="16">
        <f t="shared" si="187"/>
        <v>-208.40425010554881</v>
      </c>
      <c r="Z453" s="16">
        <v>9</v>
      </c>
      <c r="AA453" s="16">
        <v>17</v>
      </c>
      <c r="AB453" s="8">
        <f t="shared" si="188"/>
        <v>0.33436532507739936</v>
      </c>
      <c r="AC453" s="16">
        <f t="shared" si="189"/>
        <v>69.616510018742574</v>
      </c>
      <c r="AD453" s="20">
        <f>'PFAS Properties'!$W$34</f>
        <v>8</v>
      </c>
      <c r="AE453" s="8">
        <f>'PFAS Properties'!$S$34</f>
        <v>1.7965743332104296</v>
      </c>
      <c r="AF453" s="15">
        <f>'PFAS Properties'!$V$34</f>
        <v>5.6</v>
      </c>
      <c r="AG453" s="24">
        <v>7.8</v>
      </c>
      <c r="AH453" s="2" t="s">
        <v>661</v>
      </c>
      <c r="AI453" s="15">
        <v>6.14</v>
      </c>
      <c r="AJ453" s="16">
        <f>AI453/10</f>
        <v>0.61399999999999999</v>
      </c>
      <c r="AK453" s="8">
        <f>AI453/10</f>
        <v>0.61399999999999999</v>
      </c>
      <c r="AL453" s="15">
        <v>1.67</v>
      </c>
      <c r="AM453" s="15">
        <f>AL453/10</f>
        <v>0.16699999999999998</v>
      </c>
      <c r="AN453" s="8">
        <f>AL453/10</f>
        <v>0.16699999999999998</v>
      </c>
      <c r="AO453" s="15" t="s">
        <v>41</v>
      </c>
      <c r="AP453" s="72">
        <v>6.4956666666666676</v>
      </c>
      <c r="AQ453" s="2" t="s">
        <v>752</v>
      </c>
      <c r="AR453" s="16">
        <v>33</v>
      </c>
      <c r="AS453" s="16">
        <v>42</v>
      </c>
      <c r="AT453" s="16">
        <v>25</v>
      </c>
      <c r="AU453" s="16" t="s">
        <v>661</v>
      </c>
      <c r="AV453" s="16">
        <f t="shared" si="179"/>
        <v>100</v>
      </c>
      <c r="AW453" s="18">
        <v>4.5</v>
      </c>
      <c r="AX453" s="13">
        <f t="shared" si="180"/>
        <v>4.4999999999999998E-2</v>
      </c>
      <c r="AY453" s="13" t="s">
        <v>42</v>
      </c>
      <c r="AZ453" s="16">
        <f>15/0.04</f>
        <v>375</v>
      </c>
      <c r="BA453" s="16" t="s">
        <v>55</v>
      </c>
      <c r="BB453" s="15">
        <v>0.5</v>
      </c>
      <c r="BC453" s="16">
        <v>1000</v>
      </c>
      <c r="BD453" s="18">
        <v>11.06</v>
      </c>
      <c r="BE453" s="15">
        <f t="shared" si="190"/>
        <v>245.7777777777778</v>
      </c>
      <c r="BF453" s="8">
        <f t="shared" si="191"/>
        <v>2.3905426131933356</v>
      </c>
      <c r="BG453" s="8">
        <f t="shared" si="192"/>
        <v>1.0437551269686796</v>
      </c>
      <c r="BH453" s="13" t="s">
        <v>844</v>
      </c>
      <c r="BI453" s="13"/>
      <c r="BJ453" s="13"/>
      <c r="BK453" s="8"/>
      <c r="BL453" s="8"/>
      <c r="BM453" s="18"/>
      <c r="BN453" s="8"/>
      <c r="BO453" s="24"/>
    </row>
    <row r="454" spans="1:69" s="14" customFormat="1" x14ac:dyDescent="0.3">
      <c r="A454" s="20">
        <v>460</v>
      </c>
      <c r="B454" s="2" t="s">
        <v>204</v>
      </c>
      <c r="C454" s="2">
        <v>2013</v>
      </c>
      <c r="D454" s="2" t="s">
        <v>203</v>
      </c>
      <c r="E454" s="10" t="s">
        <v>792</v>
      </c>
      <c r="F454" s="20" t="s">
        <v>29</v>
      </c>
      <c r="G454" s="2" t="s">
        <v>40</v>
      </c>
      <c r="H454" s="2" t="str">
        <f>'PFAS Properties'!$B$34</f>
        <v>PFNA</v>
      </c>
      <c r="I454" s="2" t="str">
        <f>'PFAS Properties'!$C$34</f>
        <v>PFCA</v>
      </c>
      <c r="J454" s="2" t="str">
        <f>'PFAS Properties'!$D$34</f>
        <v>C9HF17O2</v>
      </c>
      <c r="K454" s="25">
        <f>'PFAS Properties'!$P$34</f>
        <v>463.97039999999998</v>
      </c>
      <c r="L454" s="2">
        <f>'PFAS Properties'!$X$34</f>
        <v>-0.2</v>
      </c>
      <c r="M454" s="2" t="str">
        <f>'PFAS Properties'!$Y$34</f>
        <v>-</v>
      </c>
      <c r="N454" s="33">
        <v>0</v>
      </c>
      <c r="O454" s="33">
        <v>0</v>
      </c>
      <c r="P454" s="33">
        <v>0</v>
      </c>
      <c r="Q454" s="33">
        <f t="shared" si="170"/>
        <v>0.99999601894414336</v>
      </c>
      <c r="R454" s="33">
        <v>0</v>
      </c>
      <c r="S454" s="33">
        <f t="shared" si="171"/>
        <v>3.981055856666137E-6</v>
      </c>
      <c r="T454" s="8">
        <f t="shared" si="172"/>
        <v>1</v>
      </c>
      <c r="U454" s="33">
        <f t="shared" si="184"/>
        <v>0</v>
      </c>
      <c r="V454" s="33">
        <f t="shared" si="185"/>
        <v>-0.99999601894414336</v>
      </c>
      <c r="W454" s="33">
        <f t="shared" si="186"/>
        <v>462.97040398105588</v>
      </c>
      <c r="X454" s="33">
        <v>96485</v>
      </c>
      <c r="Y454" s="16">
        <f t="shared" si="187"/>
        <v>-208.40342073307494</v>
      </c>
      <c r="Z454" s="16">
        <v>9</v>
      </c>
      <c r="AA454" s="16">
        <v>17</v>
      </c>
      <c r="AB454" s="8">
        <f t="shared" si="188"/>
        <v>0.33436532507739936</v>
      </c>
      <c r="AC454" s="16">
        <f t="shared" si="189"/>
        <v>69.616510018742574</v>
      </c>
      <c r="AD454" s="20">
        <f>'PFAS Properties'!$W$34</f>
        <v>8</v>
      </c>
      <c r="AE454" s="8">
        <f>'PFAS Properties'!$S$34</f>
        <v>1.7965743332104296</v>
      </c>
      <c r="AF454" s="15">
        <f>'PFAS Properties'!$V$34</f>
        <v>5.6</v>
      </c>
      <c r="AG454" s="24">
        <v>5.2</v>
      </c>
      <c r="AH454" s="2" t="s">
        <v>661</v>
      </c>
      <c r="AI454" s="15">
        <v>24.17</v>
      </c>
      <c r="AJ454" s="16">
        <f>AI454*1000/55.845</f>
        <v>432.80508550452146</v>
      </c>
      <c r="AK454" s="8">
        <f>AI454/10</f>
        <v>2.4170000000000003</v>
      </c>
      <c r="AL454" s="15">
        <v>3.99</v>
      </c>
      <c r="AM454" s="16">
        <f>AL454*1000/26.98</f>
        <v>147.88732394366198</v>
      </c>
      <c r="AN454" s="8">
        <f>AL454/10</f>
        <v>0.39900000000000002</v>
      </c>
      <c r="AO454" s="15" t="s">
        <v>41</v>
      </c>
      <c r="AP454" s="72">
        <v>12.009766666666669</v>
      </c>
      <c r="AQ454" s="2" t="s">
        <v>752</v>
      </c>
      <c r="AR454" s="16">
        <v>47</v>
      </c>
      <c r="AS454" s="16">
        <v>20</v>
      </c>
      <c r="AT454" s="16">
        <v>33</v>
      </c>
      <c r="AU454" s="16" t="s">
        <v>661</v>
      </c>
      <c r="AV454" s="16">
        <f t="shared" si="179"/>
        <v>100</v>
      </c>
      <c r="AW454" s="18">
        <v>0.8</v>
      </c>
      <c r="AX454" s="13">
        <f t="shared" si="180"/>
        <v>8.0000000000000002E-3</v>
      </c>
      <c r="AY454" s="13" t="s">
        <v>42</v>
      </c>
      <c r="AZ454" s="16">
        <f>15/0.04</f>
        <v>375</v>
      </c>
      <c r="BA454" s="16" t="s">
        <v>55</v>
      </c>
      <c r="BB454" s="15">
        <v>0.5</v>
      </c>
      <c r="BC454" s="16">
        <v>1000</v>
      </c>
      <c r="BD454" s="18">
        <v>1.89</v>
      </c>
      <c r="BE454" s="15">
        <f t="shared" si="190"/>
        <v>236.24999999999997</v>
      </c>
      <c r="BF454" s="8">
        <f t="shared" si="191"/>
        <v>2.3733718171813005</v>
      </c>
      <c r="BG454" s="8">
        <f t="shared" si="192"/>
        <v>0.27646180417324412</v>
      </c>
      <c r="BH454" s="13" t="s">
        <v>844</v>
      </c>
      <c r="BI454" s="13"/>
      <c r="BJ454" s="13"/>
      <c r="BK454" s="8"/>
      <c r="BL454" s="8"/>
      <c r="BM454" s="18"/>
      <c r="BN454" s="8"/>
      <c r="BO454" s="24"/>
    </row>
    <row r="455" spans="1:69" s="14" customFormat="1" x14ac:dyDescent="0.3">
      <c r="A455" s="20">
        <v>461</v>
      </c>
      <c r="B455" s="2" t="s">
        <v>211</v>
      </c>
      <c r="C455" s="2">
        <v>2019</v>
      </c>
      <c r="D455" s="2" t="s">
        <v>212</v>
      </c>
      <c r="E455" s="10" t="s">
        <v>213</v>
      </c>
      <c r="F455" s="20" t="s">
        <v>29</v>
      </c>
      <c r="G455" s="2" t="s">
        <v>55</v>
      </c>
      <c r="H455" s="2" t="str">
        <f>'PFAS Properties'!$B$34</f>
        <v>PFNA</v>
      </c>
      <c r="I455" s="2" t="str">
        <f>'PFAS Properties'!$C$34</f>
        <v>PFCA</v>
      </c>
      <c r="J455" s="2" t="str">
        <f>'PFAS Properties'!$D$34</f>
        <v>C9HF17O2</v>
      </c>
      <c r="K455" s="25">
        <f>'PFAS Properties'!$P$34</f>
        <v>463.97039999999998</v>
      </c>
      <c r="L455" s="2">
        <f>'PFAS Properties'!$X$34</f>
        <v>-0.2</v>
      </c>
      <c r="M455" s="2" t="str">
        <f>'PFAS Properties'!$Y$34</f>
        <v>-</v>
      </c>
      <c r="N455" s="33">
        <v>0</v>
      </c>
      <c r="O455" s="33">
        <v>0</v>
      </c>
      <c r="P455" s="33">
        <v>0</v>
      </c>
      <c r="Q455" s="33">
        <f t="shared" si="170"/>
        <v>0.99999993690426958</v>
      </c>
      <c r="R455" s="33">
        <v>0</v>
      </c>
      <c r="S455" s="33">
        <f t="shared" si="171"/>
        <v>6.3095730466947729E-8</v>
      </c>
      <c r="T455" s="8">
        <f t="shared" si="172"/>
        <v>1</v>
      </c>
      <c r="U455" s="33">
        <f t="shared" si="184"/>
        <v>0</v>
      </c>
      <c r="V455" s="33">
        <f t="shared" si="185"/>
        <v>-0.99999993690426958</v>
      </c>
      <c r="W455" s="33">
        <f t="shared" si="186"/>
        <v>462.97040006309572</v>
      </c>
      <c r="X455" s="33">
        <v>96485</v>
      </c>
      <c r="Y455" s="16">
        <f t="shared" si="187"/>
        <v>-208.40423901627199</v>
      </c>
      <c r="Z455" s="16">
        <v>9</v>
      </c>
      <c r="AA455" s="16">
        <v>17</v>
      </c>
      <c r="AB455" s="8">
        <f t="shared" si="188"/>
        <v>0.33436532507739936</v>
      </c>
      <c r="AC455" s="16">
        <f t="shared" si="189"/>
        <v>69.616510018742574</v>
      </c>
      <c r="AD455" s="20">
        <f>'PFAS Properties'!$W$34</f>
        <v>8</v>
      </c>
      <c r="AE455" s="8">
        <f>'PFAS Properties'!$S$34</f>
        <v>1.7965743332104296</v>
      </c>
      <c r="AF455" s="15">
        <f>'PFAS Properties'!$V$34</f>
        <v>5.6</v>
      </c>
      <c r="AG455" s="24">
        <v>7</v>
      </c>
      <c r="AH455" s="2" t="s">
        <v>661</v>
      </c>
      <c r="AI455" s="2" t="s">
        <v>661</v>
      </c>
      <c r="AJ455" s="2" t="s">
        <v>661</v>
      </c>
      <c r="AK455" s="2" t="s">
        <v>661</v>
      </c>
      <c r="AL455" s="2" t="s">
        <v>661</v>
      </c>
      <c r="AM455" s="2" t="s">
        <v>661</v>
      </c>
      <c r="AN455" s="2" t="s">
        <v>661</v>
      </c>
      <c r="AO455" s="2" t="s">
        <v>661</v>
      </c>
      <c r="AP455" s="37">
        <f>(26.31+26.59+27.81)/3</f>
        <v>26.903333333333332</v>
      </c>
      <c r="AQ455" s="16" t="s">
        <v>661</v>
      </c>
      <c r="AR455" s="71">
        <v>31.549399999999999</v>
      </c>
      <c r="AS455" s="71">
        <v>38.265099999999997</v>
      </c>
      <c r="AT455" s="71">
        <v>30.404799999999991</v>
      </c>
      <c r="AU455" s="70" t="s">
        <v>752</v>
      </c>
      <c r="AV455" s="16">
        <f t="shared" si="179"/>
        <v>100.21929999999999</v>
      </c>
      <c r="AW455" s="18">
        <f>(1.55+1.44+1.34)/3</f>
        <v>1.4433333333333334</v>
      </c>
      <c r="AX455" s="13">
        <f t="shared" si="180"/>
        <v>1.4433333333333333E-2</v>
      </c>
      <c r="AY455" s="8" t="s">
        <v>829</v>
      </c>
      <c r="AZ455" s="16">
        <f>5/0.01</f>
        <v>500</v>
      </c>
      <c r="BA455" s="16" t="s">
        <v>55</v>
      </c>
      <c r="BB455" s="16">
        <v>10</v>
      </c>
      <c r="BC455" s="16">
        <v>100</v>
      </c>
      <c r="BD455" s="20">
        <v>0.72</v>
      </c>
      <c r="BE455" s="15">
        <f t="shared" si="190"/>
        <v>49.884526558891459</v>
      </c>
      <c r="BF455" s="8">
        <f t="shared" si="191"/>
        <v>1.6979658547975656</v>
      </c>
      <c r="BG455" s="8">
        <f t="shared" si="192"/>
        <v>-0.14266750356873156</v>
      </c>
      <c r="BH455" s="2" t="s">
        <v>837</v>
      </c>
      <c r="BI455" s="13"/>
      <c r="BJ455" s="13"/>
      <c r="BK455" s="13"/>
      <c r="BL455" s="13"/>
      <c r="BM455" s="17"/>
      <c r="BN455" s="17"/>
      <c r="BO455" s="2"/>
    </row>
    <row r="456" spans="1:69" x14ac:dyDescent="0.3">
      <c r="A456" s="20">
        <v>462</v>
      </c>
      <c r="B456" s="1" t="s">
        <v>873</v>
      </c>
      <c r="C456" s="1">
        <v>2007</v>
      </c>
      <c r="D456" s="1" t="s">
        <v>203</v>
      </c>
      <c r="E456" s="10" t="s">
        <v>225</v>
      </c>
      <c r="F456" s="7" t="s">
        <v>63</v>
      </c>
      <c r="G456" s="4">
        <v>1</v>
      </c>
      <c r="H456" s="2" t="str">
        <f>'PFAS Properties'!$B$34</f>
        <v>PFNA</v>
      </c>
      <c r="I456" s="2" t="str">
        <f>'PFAS Properties'!$C$34</f>
        <v>PFCA</v>
      </c>
      <c r="J456" s="2" t="str">
        <f>'PFAS Properties'!$D$34</f>
        <v>C9HF17O2</v>
      </c>
      <c r="K456" s="25">
        <f>'PFAS Properties'!$P$34</f>
        <v>463.97039999999998</v>
      </c>
      <c r="L456" s="2">
        <f>'PFAS Properties'!$X$34</f>
        <v>-0.2</v>
      </c>
      <c r="M456" s="2" t="str">
        <f>'PFAS Properties'!$Y$34</f>
        <v>-</v>
      </c>
      <c r="N456" s="33">
        <v>0</v>
      </c>
      <c r="O456" s="33">
        <v>0</v>
      </c>
      <c r="P456" s="33">
        <v>0</v>
      </c>
      <c r="Q456" s="33">
        <f t="shared" ref="Q456:Q517" si="193">(10^(AG456-L456))/(1+(10^(AG456-L456)))</f>
        <v>0.99999993690426958</v>
      </c>
      <c r="R456" s="33">
        <v>0</v>
      </c>
      <c r="S456" s="33">
        <f t="shared" ref="S456:S517" si="194">(1/(1+(10^(AG456-L456))))</f>
        <v>6.3095730466947729E-8</v>
      </c>
      <c r="T456" s="8">
        <f t="shared" si="172"/>
        <v>1</v>
      </c>
      <c r="U456" s="33">
        <f t="shared" si="184"/>
        <v>0</v>
      </c>
      <c r="V456" s="33">
        <f t="shared" si="185"/>
        <v>-0.99999993690426958</v>
      </c>
      <c r="W456" s="33">
        <f t="shared" si="186"/>
        <v>462.97040006309572</v>
      </c>
      <c r="X456" s="33">
        <v>96485</v>
      </c>
      <c r="Y456" s="16">
        <f t="shared" si="187"/>
        <v>-208.40423901627199</v>
      </c>
      <c r="Z456" s="16">
        <v>9</v>
      </c>
      <c r="AA456" s="16">
        <v>17</v>
      </c>
      <c r="AB456" s="8">
        <f t="shared" si="188"/>
        <v>0.33436532507739936</v>
      </c>
      <c r="AC456" s="16">
        <f t="shared" si="189"/>
        <v>69.616510018742574</v>
      </c>
      <c r="AD456" s="20">
        <f>'PFAS Properties'!$W$34</f>
        <v>8</v>
      </c>
      <c r="AE456" s="8">
        <f>'PFAS Properties'!$S$34</f>
        <v>1.7965743332104296</v>
      </c>
      <c r="AF456" s="15">
        <f>'PFAS Properties'!$V$34</f>
        <v>5.6</v>
      </c>
      <c r="AG456" s="26">
        <v>7</v>
      </c>
      <c r="AH456" s="1" t="s">
        <v>363</v>
      </c>
      <c r="AI456" s="6">
        <f>334*55.85/1000</f>
        <v>18.6539</v>
      </c>
      <c r="AJ456" s="3">
        <f>AI456*1000/55.845</f>
        <v>334.0299041991226</v>
      </c>
      <c r="AK456" s="8">
        <f>AI456/10</f>
        <v>1.8653900000000001</v>
      </c>
      <c r="AL456" s="6">
        <f>41*26.98/1000</f>
        <v>1.1061800000000002</v>
      </c>
      <c r="AM456" s="3">
        <f>AL456*1000/26.98</f>
        <v>41</v>
      </c>
      <c r="AN456" s="8">
        <f>AL456/10</f>
        <v>0.11061800000000002</v>
      </c>
      <c r="AO456" s="3" t="s">
        <v>93</v>
      </c>
      <c r="AP456" s="16">
        <v>38.6</v>
      </c>
      <c r="AQ456" s="1" t="s">
        <v>363</v>
      </c>
      <c r="AR456" s="4">
        <v>11</v>
      </c>
      <c r="AS456" s="4">
        <v>36</v>
      </c>
      <c r="AT456" s="4">
        <v>53</v>
      </c>
      <c r="AU456" s="1" t="s">
        <v>363</v>
      </c>
      <c r="AV456" s="16">
        <f t="shared" si="179"/>
        <v>100</v>
      </c>
      <c r="AW456" s="7">
        <v>2.48</v>
      </c>
      <c r="AX456" s="133">
        <f t="shared" si="180"/>
        <v>2.4799999999999999E-2</v>
      </c>
      <c r="AY456" s="5" t="s">
        <v>87</v>
      </c>
      <c r="AZ456" s="39">
        <f>5/0.05</f>
        <v>100</v>
      </c>
      <c r="BA456" s="30" t="s">
        <v>55</v>
      </c>
      <c r="BB456" s="15">
        <f>1*K456/1000</f>
        <v>0.46397040000000001</v>
      </c>
      <c r="BC456" s="16">
        <f>200*K456/1000</f>
        <v>92.794080000000008</v>
      </c>
      <c r="BD456" s="26">
        <v>7.62</v>
      </c>
      <c r="BE456" s="16">
        <f t="shared" si="190"/>
        <v>307.25806451612902</v>
      </c>
      <c r="BF456" s="8">
        <f t="shared" si="191"/>
        <v>2.4875032905133843</v>
      </c>
      <c r="BG456" s="8">
        <f t="shared" si="192"/>
        <v>0.88195497133960055</v>
      </c>
      <c r="BH456" s="13" t="s">
        <v>844</v>
      </c>
      <c r="BI456" s="5"/>
      <c r="BJ456" s="13"/>
      <c r="BK456" s="5"/>
      <c r="BL456" s="5"/>
      <c r="BM456" s="21"/>
      <c r="BN456" s="21"/>
      <c r="BO456" s="1"/>
      <c r="BP456" s="11"/>
      <c r="BQ456" s="11"/>
    </row>
    <row r="457" spans="1:69" x14ac:dyDescent="0.3">
      <c r="A457" s="20">
        <v>463</v>
      </c>
      <c r="B457" s="1" t="s">
        <v>873</v>
      </c>
      <c r="C457" s="1">
        <v>2007</v>
      </c>
      <c r="D457" s="1" t="s">
        <v>203</v>
      </c>
      <c r="E457" s="10" t="s">
        <v>225</v>
      </c>
      <c r="F457" s="7" t="s">
        <v>63</v>
      </c>
      <c r="G457" s="4">
        <v>3</v>
      </c>
      <c r="H457" s="2" t="str">
        <f>'PFAS Properties'!$B$34</f>
        <v>PFNA</v>
      </c>
      <c r="I457" s="2" t="str">
        <f>'PFAS Properties'!$C$34</f>
        <v>PFCA</v>
      </c>
      <c r="J457" s="2" t="str">
        <f>'PFAS Properties'!$D$34</f>
        <v>C9HF17O2</v>
      </c>
      <c r="K457" s="25">
        <f>'PFAS Properties'!$P$34</f>
        <v>463.97039999999998</v>
      </c>
      <c r="L457" s="2">
        <f>'PFAS Properties'!$X$34</f>
        <v>-0.2</v>
      </c>
      <c r="M457" s="2" t="str">
        <f>'PFAS Properties'!$Y$34</f>
        <v>-</v>
      </c>
      <c r="N457" s="33">
        <v>0</v>
      </c>
      <c r="O457" s="33">
        <v>0</v>
      </c>
      <c r="P457" s="33">
        <v>0</v>
      </c>
      <c r="Q457" s="33">
        <f t="shared" si="193"/>
        <v>0.99999998415106828</v>
      </c>
      <c r="R457" s="33">
        <v>0</v>
      </c>
      <c r="S457" s="33">
        <f t="shared" si="194"/>
        <v>1.5848931673422493E-8</v>
      </c>
      <c r="T457" s="8">
        <f t="shared" si="172"/>
        <v>1</v>
      </c>
      <c r="U457" s="33">
        <f t="shared" si="184"/>
        <v>0</v>
      </c>
      <c r="V457" s="33">
        <f t="shared" si="185"/>
        <v>-0.99999998415106828</v>
      </c>
      <c r="W457" s="33">
        <f t="shared" si="186"/>
        <v>462.9704000158489</v>
      </c>
      <c r="X457" s="33">
        <v>96485</v>
      </c>
      <c r="Y457" s="16">
        <f t="shared" si="187"/>
        <v>-208.40424888397368</v>
      </c>
      <c r="Z457" s="16">
        <v>9</v>
      </c>
      <c r="AA457" s="16">
        <v>17</v>
      </c>
      <c r="AB457" s="8">
        <f t="shared" si="188"/>
        <v>0.33436532507739936</v>
      </c>
      <c r="AC457" s="16">
        <f t="shared" si="189"/>
        <v>69.616510018742574</v>
      </c>
      <c r="AD457" s="20">
        <f>'PFAS Properties'!$W$34</f>
        <v>8</v>
      </c>
      <c r="AE457" s="8">
        <f>'PFAS Properties'!$S$34</f>
        <v>1.7965743332104296</v>
      </c>
      <c r="AF457" s="15">
        <f>'PFAS Properties'!$V$34</f>
        <v>5.6</v>
      </c>
      <c r="AG457" s="26">
        <v>7.6</v>
      </c>
      <c r="AH457" s="1" t="s">
        <v>363</v>
      </c>
      <c r="AI457" s="6">
        <f>121*55.85/1000</f>
        <v>6.7578500000000004</v>
      </c>
      <c r="AJ457" s="3">
        <f>AI457*1000/55.845</f>
        <v>121.01083355716717</v>
      </c>
      <c r="AK457" s="8">
        <f>AI457/10</f>
        <v>0.67578500000000008</v>
      </c>
      <c r="AL457" s="6">
        <f>14*26.98/1000</f>
        <v>0.37772</v>
      </c>
      <c r="AM457" s="3">
        <f>AL457*1000/26.98</f>
        <v>14</v>
      </c>
      <c r="AN457" s="8">
        <f>AL457/10</f>
        <v>3.7772E-2</v>
      </c>
      <c r="AO457" s="3" t="s">
        <v>93</v>
      </c>
      <c r="AP457" s="16">
        <v>32.1</v>
      </c>
      <c r="AQ457" s="1" t="s">
        <v>363</v>
      </c>
      <c r="AR457" s="4">
        <v>31</v>
      </c>
      <c r="AS457" s="4">
        <v>38</v>
      </c>
      <c r="AT457" s="4">
        <v>31</v>
      </c>
      <c r="AU457" s="1" t="s">
        <v>363</v>
      </c>
      <c r="AV457" s="16">
        <f t="shared" si="179"/>
        <v>100</v>
      </c>
      <c r="AW457" s="7">
        <v>4.34</v>
      </c>
      <c r="AX457" s="5">
        <f t="shared" si="180"/>
        <v>4.3400000000000001E-2</v>
      </c>
      <c r="AY457" s="5" t="s">
        <v>87</v>
      </c>
      <c r="AZ457" s="39">
        <f>5/0.05</f>
        <v>100</v>
      </c>
      <c r="BA457" s="30" t="s">
        <v>55</v>
      </c>
      <c r="BB457" s="15">
        <f>1*K457/1000</f>
        <v>0.46397040000000001</v>
      </c>
      <c r="BC457" s="16">
        <f>200*K457/1000</f>
        <v>92.794080000000008</v>
      </c>
      <c r="BD457" s="26">
        <v>7.19</v>
      </c>
      <c r="BE457" s="16">
        <f t="shared" si="190"/>
        <v>165.66820276497697</v>
      </c>
      <c r="BF457" s="8">
        <f t="shared" si="191"/>
        <v>2.2192391608703721</v>
      </c>
      <c r="BG457" s="8">
        <f t="shared" si="192"/>
        <v>0.85672889038288258</v>
      </c>
      <c r="BH457" s="13" t="s">
        <v>844</v>
      </c>
      <c r="BI457" s="5"/>
      <c r="BJ457" s="13"/>
      <c r="BK457" s="5"/>
      <c r="BL457" s="5"/>
      <c r="BM457" s="21"/>
      <c r="BN457" s="21"/>
      <c r="BO457" s="1"/>
      <c r="BP457" s="11"/>
      <c r="BQ457" s="11"/>
    </row>
    <row r="458" spans="1:69" x14ac:dyDescent="0.3">
      <c r="A458" s="20">
        <v>464</v>
      </c>
      <c r="B458" s="1" t="s">
        <v>873</v>
      </c>
      <c r="C458" s="1">
        <v>2007</v>
      </c>
      <c r="D458" s="1" t="s">
        <v>203</v>
      </c>
      <c r="E458" s="10" t="s">
        <v>225</v>
      </c>
      <c r="F458" s="7" t="s">
        <v>63</v>
      </c>
      <c r="G458" s="4">
        <v>5</v>
      </c>
      <c r="H458" s="2" t="str">
        <f>'PFAS Properties'!$B$34</f>
        <v>PFNA</v>
      </c>
      <c r="I458" s="2" t="str">
        <f>'PFAS Properties'!$C$34</f>
        <v>PFCA</v>
      </c>
      <c r="J458" s="2" t="str">
        <f>'PFAS Properties'!$D$34</f>
        <v>C9HF17O2</v>
      </c>
      <c r="K458" s="25">
        <f>'PFAS Properties'!$P$34</f>
        <v>463.97039999999998</v>
      </c>
      <c r="L458" s="2">
        <f>'PFAS Properties'!$X$34</f>
        <v>-0.2</v>
      </c>
      <c r="M458" s="2" t="str">
        <f>'PFAS Properties'!$Y$34</f>
        <v>-</v>
      </c>
      <c r="N458" s="33">
        <v>0</v>
      </c>
      <c r="O458" s="33">
        <v>0</v>
      </c>
      <c r="P458" s="33">
        <v>0</v>
      </c>
      <c r="Q458" s="33">
        <f t="shared" si="193"/>
        <v>0.99999874107617315</v>
      </c>
      <c r="R458" s="33">
        <v>0</v>
      </c>
      <c r="S458" s="33">
        <f t="shared" si="194"/>
        <v>1.2589238269029671E-6</v>
      </c>
      <c r="T458" s="8">
        <f t="shared" si="172"/>
        <v>1</v>
      </c>
      <c r="U458" s="33">
        <f t="shared" si="184"/>
        <v>0</v>
      </c>
      <c r="V458" s="33">
        <f t="shared" si="185"/>
        <v>-0.99999874107617315</v>
      </c>
      <c r="W458" s="33">
        <f t="shared" si="186"/>
        <v>462.9704012589238</v>
      </c>
      <c r="X458" s="33">
        <v>96485</v>
      </c>
      <c r="Y458" s="16">
        <f t="shared" si="187"/>
        <v>-208.40398926231532</v>
      </c>
      <c r="Z458" s="16">
        <v>9</v>
      </c>
      <c r="AA458" s="16">
        <v>17</v>
      </c>
      <c r="AB458" s="8">
        <f t="shared" si="188"/>
        <v>0.33436532507739936</v>
      </c>
      <c r="AC458" s="16">
        <f t="shared" si="189"/>
        <v>69.616510018742574</v>
      </c>
      <c r="AD458" s="20">
        <f>'PFAS Properties'!$W$34</f>
        <v>8</v>
      </c>
      <c r="AE458" s="8">
        <f>'PFAS Properties'!$S$34</f>
        <v>1.7965743332104296</v>
      </c>
      <c r="AF458" s="15">
        <f>'PFAS Properties'!$V$34</f>
        <v>5.6</v>
      </c>
      <c r="AG458" s="26">
        <v>5.7</v>
      </c>
      <c r="AH458" s="1" t="s">
        <v>363</v>
      </c>
      <c r="AI458" s="6">
        <f>268*55.85/1000</f>
        <v>14.9678</v>
      </c>
      <c r="AJ458" s="3">
        <f>AI458*1000/55.845</f>
        <v>268.02399498612232</v>
      </c>
      <c r="AK458" s="8">
        <f>AI458/10</f>
        <v>1.49678</v>
      </c>
      <c r="AL458" s="6">
        <f>90*26.98/1000</f>
        <v>2.4281999999999999</v>
      </c>
      <c r="AM458" s="3">
        <f>AL458*1000/26.98</f>
        <v>89.999999999999986</v>
      </c>
      <c r="AN458" s="8">
        <f>AL458/10</f>
        <v>0.24281999999999998</v>
      </c>
      <c r="AO458" s="3" t="s">
        <v>93</v>
      </c>
      <c r="AP458" s="16">
        <v>22</v>
      </c>
      <c r="AQ458" s="1" t="s">
        <v>363</v>
      </c>
      <c r="AR458" s="4">
        <v>80</v>
      </c>
      <c r="AS458" s="4">
        <v>15</v>
      </c>
      <c r="AT458" s="4">
        <v>5</v>
      </c>
      <c r="AU458" s="1" t="s">
        <v>363</v>
      </c>
      <c r="AV458" s="16">
        <f t="shared" si="179"/>
        <v>100</v>
      </c>
      <c r="AW458" s="7">
        <v>9.66</v>
      </c>
      <c r="AX458" s="5">
        <f t="shared" si="180"/>
        <v>9.6600000000000005E-2</v>
      </c>
      <c r="AY458" s="5" t="s">
        <v>87</v>
      </c>
      <c r="AZ458" s="39">
        <f>5/0.05</f>
        <v>100</v>
      </c>
      <c r="BA458" s="30" t="s">
        <v>55</v>
      </c>
      <c r="BB458" s="15">
        <f>1*K458/1000</f>
        <v>0.46397040000000001</v>
      </c>
      <c r="BC458" s="16">
        <f>200*K458/1000</f>
        <v>92.794080000000008</v>
      </c>
      <c r="BD458" s="26">
        <v>28.66</v>
      </c>
      <c r="BE458" s="16">
        <f t="shared" si="190"/>
        <v>296.68737060041406</v>
      </c>
      <c r="BF458" s="8">
        <f t="shared" si="191"/>
        <v>2.4722990596458323</v>
      </c>
      <c r="BG458" s="8">
        <f t="shared" si="192"/>
        <v>1.4572761860613257</v>
      </c>
      <c r="BH458" s="13" t="s">
        <v>844</v>
      </c>
      <c r="BI458" s="5"/>
      <c r="BJ458" s="13"/>
      <c r="BK458" s="5"/>
      <c r="BL458" s="5"/>
      <c r="BM458" s="21"/>
      <c r="BN458" s="21"/>
      <c r="BO458" s="1"/>
      <c r="BP458" s="11"/>
      <c r="BQ458" s="11"/>
    </row>
    <row r="459" spans="1:69" s="14" customFormat="1" x14ac:dyDescent="0.3">
      <c r="A459" s="20">
        <v>465</v>
      </c>
      <c r="B459" s="2" t="s">
        <v>206</v>
      </c>
      <c r="C459" s="2">
        <v>2020</v>
      </c>
      <c r="D459" s="2" t="s">
        <v>201</v>
      </c>
      <c r="E459" s="10" t="s">
        <v>793</v>
      </c>
      <c r="F459" s="20" t="s">
        <v>29</v>
      </c>
      <c r="G459" s="2" t="s">
        <v>44</v>
      </c>
      <c r="H459" s="2" t="str">
        <f>'PFAS Properties'!$B$34</f>
        <v>PFNA</v>
      </c>
      <c r="I459" s="2" t="str">
        <f>'PFAS Properties'!$C$34</f>
        <v>PFCA</v>
      </c>
      <c r="J459" s="2" t="str">
        <f>'PFAS Properties'!$D$34</f>
        <v>C9HF17O2</v>
      </c>
      <c r="K459" s="25">
        <f>'PFAS Properties'!$P$34</f>
        <v>463.97039999999998</v>
      </c>
      <c r="L459" s="2">
        <f>'PFAS Properties'!$X$34</f>
        <v>-0.2</v>
      </c>
      <c r="M459" s="2" t="str">
        <f>'PFAS Properties'!$Y$34</f>
        <v>-</v>
      </c>
      <c r="N459" s="33">
        <v>0</v>
      </c>
      <c r="O459" s="33">
        <v>0</v>
      </c>
      <c r="P459" s="33">
        <v>0</v>
      </c>
      <c r="Q459" s="33">
        <f t="shared" si="193"/>
        <v>0.99999999000000006</v>
      </c>
      <c r="R459" s="33">
        <v>0</v>
      </c>
      <c r="S459" s="33">
        <f t="shared" si="194"/>
        <v>9.9999999000000002E-9</v>
      </c>
      <c r="T459" s="8">
        <f t="shared" si="172"/>
        <v>1</v>
      </c>
      <c r="U459" s="33">
        <f t="shared" si="184"/>
        <v>0</v>
      </c>
      <c r="V459" s="33">
        <f t="shared" si="185"/>
        <v>-0.99999999000000006</v>
      </c>
      <c r="W459" s="33">
        <f t="shared" si="186"/>
        <v>462.97040000999993</v>
      </c>
      <c r="X459" s="33">
        <v>96485</v>
      </c>
      <c r="Y459" s="16">
        <f t="shared" si="187"/>
        <v>-208.40425010554881</v>
      </c>
      <c r="Z459" s="16">
        <v>9</v>
      </c>
      <c r="AA459" s="16">
        <v>17</v>
      </c>
      <c r="AB459" s="8">
        <f t="shared" si="188"/>
        <v>0.33436532507739936</v>
      </c>
      <c r="AC459" s="16">
        <f t="shared" si="189"/>
        <v>69.616510018742574</v>
      </c>
      <c r="AD459" s="20">
        <f>'PFAS Properties'!$W$34</f>
        <v>8</v>
      </c>
      <c r="AE459" s="8">
        <f>'PFAS Properties'!$S$34</f>
        <v>1.7965743332104296</v>
      </c>
      <c r="AF459" s="15">
        <f>'PFAS Properties'!$V$34</f>
        <v>5.6</v>
      </c>
      <c r="AG459" s="24">
        <v>7.8</v>
      </c>
      <c r="AH459" s="2" t="s">
        <v>661</v>
      </c>
      <c r="AI459" s="2" t="s">
        <v>661</v>
      </c>
      <c r="AJ459" s="2" t="s">
        <v>661</v>
      </c>
      <c r="AK459" s="2" t="s">
        <v>661</v>
      </c>
      <c r="AL459" s="2" t="s">
        <v>661</v>
      </c>
      <c r="AM459" s="2" t="s">
        <v>661</v>
      </c>
      <c r="AN459" s="2" t="s">
        <v>661</v>
      </c>
      <c r="AO459" s="2" t="s">
        <v>661</v>
      </c>
      <c r="AP459" s="71">
        <v>11.17476666666666</v>
      </c>
      <c r="AQ459" s="70" t="s">
        <v>752</v>
      </c>
      <c r="AR459" s="16">
        <v>47</v>
      </c>
      <c r="AS459" s="16">
        <v>38</v>
      </c>
      <c r="AT459" s="16">
        <v>15</v>
      </c>
      <c r="AU459" s="16" t="s">
        <v>661</v>
      </c>
      <c r="AV459" s="16">
        <f t="shared" si="179"/>
        <v>100</v>
      </c>
      <c r="AW459" s="20">
        <v>1.43</v>
      </c>
      <c r="AX459" s="13">
        <f t="shared" si="180"/>
        <v>1.43E-2</v>
      </c>
      <c r="AY459" s="8" t="s">
        <v>45</v>
      </c>
      <c r="AZ459" s="16">
        <f>5/0.025</f>
        <v>200</v>
      </c>
      <c r="BA459" s="16" t="s">
        <v>55</v>
      </c>
      <c r="BB459" s="16">
        <v>10</v>
      </c>
      <c r="BC459" s="16">
        <v>100</v>
      </c>
      <c r="BD459" s="20">
        <v>5.1100000000000003</v>
      </c>
      <c r="BE459" s="15">
        <f t="shared" si="190"/>
        <v>357.34265734265733</v>
      </c>
      <c r="BF459" s="8">
        <f t="shared" si="191"/>
        <v>2.553084862669651</v>
      </c>
      <c r="BG459" s="8">
        <f t="shared" si="192"/>
        <v>0.70842090013471271</v>
      </c>
      <c r="BH459" s="2" t="s">
        <v>843</v>
      </c>
      <c r="BI459" s="8"/>
      <c r="BJ459" s="13"/>
      <c r="BK459" s="15"/>
      <c r="BL459" s="8"/>
      <c r="BM459" s="18"/>
      <c r="BN459" s="8"/>
      <c r="BO459" s="24"/>
    </row>
    <row r="460" spans="1:69" s="14" customFormat="1" x14ac:dyDescent="0.3">
      <c r="A460" s="20">
        <v>466</v>
      </c>
      <c r="B460" s="2" t="s">
        <v>234</v>
      </c>
      <c r="C460" s="2">
        <v>2022</v>
      </c>
      <c r="D460" s="2" t="s">
        <v>205</v>
      </c>
      <c r="E460" s="10" t="s">
        <v>799</v>
      </c>
      <c r="F460" s="20" t="s">
        <v>63</v>
      </c>
      <c r="G460" s="2" t="s">
        <v>63</v>
      </c>
      <c r="H460" s="2" t="str">
        <f>'PFAS Properties'!$B$34</f>
        <v>PFNA</v>
      </c>
      <c r="I460" s="2" t="str">
        <f>'PFAS Properties'!$C$34</f>
        <v>PFCA</v>
      </c>
      <c r="J460" s="2" t="str">
        <f>'PFAS Properties'!$D$34</f>
        <v>C9HF17O2</v>
      </c>
      <c r="K460" s="25">
        <f>'PFAS Properties'!$P$34</f>
        <v>463.97039999999998</v>
      </c>
      <c r="L460" s="2">
        <f>'PFAS Properties'!$X$34</f>
        <v>-0.2</v>
      </c>
      <c r="M460" s="2" t="str">
        <f>'PFAS Properties'!$Y$34</f>
        <v>-</v>
      </c>
      <c r="N460" s="33">
        <v>0</v>
      </c>
      <c r="O460" s="33">
        <v>0</v>
      </c>
      <c r="P460" s="33">
        <v>0</v>
      </c>
      <c r="Q460" s="33">
        <f t="shared" si="193"/>
        <v>0.9999999939744042</v>
      </c>
      <c r="R460" s="33">
        <v>0</v>
      </c>
      <c r="S460" s="33">
        <f t="shared" si="194"/>
        <v>6.0255958244357746E-9</v>
      </c>
      <c r="T460" s="8">
        <f t="shared" si="172"/>
        <v>1</v>
      </c>
      <c r="U460" s="33">
        <f t="shared" si="184"/>
        <v>0</v>
      </c>
      <c r="V460" s="33">
        <f t="shared" si="185"/>
        <v>-0.9999999939744042</v>
      </c>
      <c r="W460" s="33">
        <f t="shared" si="186"/>
        <v>462.97040000602556</v>
      </c>
      <c r="X460" s="33">
        <v>96485</v>
      </c>
      <c r="Y460" s="16">
        <f t="shared" si="187"/>
        <v>-208.40425093562058</v>
      </c>
      <c r="Z460" s="16">
        <v>9</v>
      </c>
      <c r="AA460" s="16">
        <v>17</v>
      </c>
      <c r="AB460" s="8">
        <f t="shared" si="188"/>
        <v>0.33436532507739936</v>
      </c>
      <c r="AC460" s="16">
        <f t="shared" si="189"/>
        <v>69.616510018742574</v>
      </c>
      <c r="AD460" s="20">
        <f>'PFAS Properties'!$W$34</f>
        <v>8</v>
      </c>
      <c r="AE460" s="8">
        <f>'PFAS Properties'!$S$34</f>
        <v>1.7965743332104296</v>
      </c>
      <c r="AF460" s="15">
        <f>'PFAS Properties'!$V$34</f>
        <v>5.6</v>
      </c>
      <c r="AG460" s="24">
        <v>8.02</v>
      </c>
      <c r="AH460" s="2" t="s">
        <v>661</v>
      </c>
      <c r="AI460" s="2" t="s">
        <v>661</v>
      </c>
      <c r="AJ460" s="2" t="s">
        <v>661</v>
      </c>
      <c r="AK460" s="2" t="s">
        <v>661</v>
      </c>
      <c r="AL460" s="2" t="s">
        <v>661</v>
      </c>
      <c r="AM460" s="2" t="s">
        <v>661</v>
      </c>
      <c r="AN460" s="2" t="s">
        <v>661</v>
      </c>
      <c r="AO460" s="2" t="s">
        <v>661</v>
      </c>
      <c r="AP460" s="71">
        <v>11.934691666666669</v>
      </c>
      <c r="AQ460" s="70" t="s">
        <v>752</v>
      </c>
      <c r="AR460" s="16">
        <v>6.34</v>
      </c>
      <c r="AS460" s="16">
        <v>85.56</v>
      </c>
      <c r="AT460" s="16">
        <v>8.08</v>
      </c>
      <c r="AU460" s="2" t="s">
        <v>661</v>
      </c>
      <c r="AV460" s="16">
        <f t="shared" si="179"/>
        <v>99.98</v>
      </c>
      <c r="AW460" s="20">
        <v>0.37</v>
      </c>
      <c r="AX460" s="13">
        <v>3.7000000000000002E-3</v>
      </c>
      <c r="AY460" s="13" t="s">
        <v>392</v>
      </c>
      <c r="AZ460" s="16">
        <f>1/0.02</f>
        <v>50</v>
      </c>
      <c r="BA460" s="16" t="s">
        <v>55</v>
      </c>
      <c r="BB460" s="16">
        <v>10</v>
      </c>
      <c r="BC460" s="16" t="s">
        <v>55</v>
      </c>
      <c r="BD460" s="18">
        <f>BO460</f>
        <v>2.9846761555089598</v>
      </c>
      <c r="BE460" s="15">
        <f t="shared" si="190"/>
        <v>806.66923121863772</v>
      </c>
      <c r="BF460" s="8">
        <f t="shared" si="191"/>
        <v>2.9066954919661399</v>
      </c>
      <c r="BG460" s="8">
        <f t="shared" si="192"/>
        <v>0.47489721603313473</v>
      </c>
      <c r="BH460" s="13" t="s">
        <v>782</v>
      </c>
      <c r="BI460" s="8">
        <v>4.12</v>
      </c>
      <c r="BJ460" s="13" t="s">
        <v>366</v>
      </c>
      <c r="BK460" s="8">
        <v>0.86</v>
      </c>
      <c r="BL460" s="8">
        <f>BI460</f>
        <v>4.12</v>
      </c>
      <c r="BM460" s="25">
        <v>10</v>
      </c>
      <c r="BN460" s="8">
        <f>(BL460*(BM460^BK460))</f>
        <v>29.8467615550896</v>
      </c>
      <c r="BO460" s="24">
        <f>BN460/BM460</f>
        <v>2.9846761555089598</v>
      </c>
    </row>
    <row r="461" spans="1:69" s="14" customFormat="1" x14ac:dyDescent="0.3">
      <c r="A461" s="20">
        <v>467</v>
      </c>
      <c r="B461" s="2" t="s">
        <v>221</v>
      </c>
      <c r="C461" s="2">
        <v>2016</v>
      </c>
      <c r="D461" s="2" t="s">
        <v>199</v>
      </c>
      <c r="E461" s="22" t="s">
        <v>811</v>
      </c>
      <c r="F461" s="20" t="s">
        <v>63</v>
      </c>
      <c r="G461" s="2" t="s">
        <v>64</v>
      </c>
      <c r="H461" s="2" t="str">
        <f>'PFAS Properties'!$B$34</f>
        <v>PFNA</v>
      </c>
      <c r="I461" s="2" t="str">
        <f>'PFAS Properties'!$C$34</f>
        <v>PFCA</v>
      </c>
      <c r="J461" s="2" t="str">
        <f>'PFAS Properties'!$D$34</f>
        <v>C9HF17O2</v>
      </c>
      <c r="K461" s="25">
        <f>'PFAS Properties'!$P$34</f>
        <v>463.97039999999998</v>
      </c>
      <c r="L461" s="2">
        <f>'PFAS Properties'!$X$34</f>
        <v>-0.2</v>
      </c>
      <c r="M461" s="2" t="str">
        <f>'PFAS Properties'!$Y$34</f>
        <v>-</v>
      </c>
      <c r="N461" s="33">
        <v>0</v>
      </c>
      <c r="O461" s="33">
        <v>0</v>
      </c>
      <c r="P461" s="33">
        <v>0</v>
      </c>
      <c r="Q461" s="33">
        <f t="shared" si="193"/>
        <v>0.99999998415106828</v>
      </c>
      <c r="R461" s="33">
        <v>0</v>
      </c>
      <c r="S461" s="33">
        <f t="shared" si="194"/>
        <v>1.5848931673422493E-8</v>
      </c>
      <c r="T461" s="8">
        <f t="shared" si="172"/>
        <v>1</v>
      </c>
      <c r="U461" s="33">
        <f t="shared" si="184"/>
        <v>0</v>
      </c>
      <c r="V461" s="33">
        <f t="shared" si="185"/>
        <v>-0.99999998415106828</v>
      </c>
      <c r="W461" s="33">
        <f t="shared" si="186"/>
        <v>462.9704000158489</v>
      </c>
      <c r="X461" s="33">
        <v>96485</v>
      </c>
      <c r="Y461" s="16">
        <f t="shared" si="187"/>
        <v>-208.40424888397368</v>
      </c>
      <c r="Z461" s="16">
        <v>9</v>
      </c>
      <c r="AA461" s="16">
        <v>17</v>
      </c>
      <c r="AB461" s="8">
        <f t="shared" si="188"/>
        <v>0.33436532507739936</v>
      </c>
      <c r="AC461" s="16">
        <f t="shared" si="189"/>
        <v>69.616510018742574</v>
      </c>
      <c r="AD461" s="20">
        <f>'PFAS Properties'!$W$34</f>
        <v>8</v>
      </c>
      <c r="AE461" s="8">
        <f>'PFAS Properties'!$S$34</f>
        <v>1.7965743332104296</v>
      </c>
      <c r="AF461" s="15">
        <f>'PFAS Properties'!$V$34</f>
        <v>5.6</v>
      </c>
      <c r="AG461" s="24">
        <v>7.6</v>
      </c>
      <c r="AH461" s="2" t="s">
        <v>661</v>
      </c>
      <c r="AI461" s="2">
        <v>2.8492E-2</v>
      </c>
      <c r="AJ461" s="15">
        <f>AI461*1000/55.845</f>
        <v>0.51019786910197873</v>
      </c>
      <c r="AK461" s="8">
        <f>AI461/10</f>
        <v>2.8492000000000001E-3</v>
      </c>
      <c r="AL461" s="12">
        <v>1.2054E-2</v>
      </c>
      <c r="AM461" s="15">
        <f>AL461*1000/26.98</f>
        <v>0.4467753891771683</v>
      </c>
      <c r="AN461" s="8">
        <f>AL461/10</f>
        <v>1.2054000000000001E-3</v>
      </c>
      <c r="AO461" s="2" t="s">
        <v>661</v>
      </c>
      <c r="AP461" s="71">
        <v>15.90036666666667</v>
      </c>
      <c r="AQ461" s="70" t="s">
        <v>752</v>
      </c>
      <c r="AR461" s="2">
        <v>4</v>
      </c>
      <c r="AS461" s="2">
        <v>61</v>
      </c>
      <c r="AT461" s="2">
        <v>35</v>
      </c>
      <c r="AU461" s="2" t="s">
        <v>661</v>
      </c>
      <c r="AV461" s="16">
        <f t="shared" si="179"/>
        <v>100</v>
      </c>
      <c r="AW461" s="20">
        <v>2.52</v>
      </c>
      <c r="AX461" s="13">
        <f>AW461/100</f>
        <v>2.52E-2</v>
      </c>
      <c r="AY461" s="13" t="s">
        <v>65</v>
      </c>
      <c r="AZ461" s="16">
        <f>5/0.04</f>
        <v>125</v>
      </c>
      <c r="BA461" s="16" t="s">
        <v>55</v>
      </c>
      <c r="BB461" s="15">
        <v>0.5</v>
      </c>
      <c r="BC461" s="16">
        <v>100</v>
      </c>
      <c r="BD461" s="18">
        <f>10^1.21</f>
        <v>16.218100973589298</v>
      </c>
      <c r="BE461" s="15">
        <f t="shared" si="190"/>
        <v>643.57543545989279</v>
      </c>
      <c r="BF461" s="8">
        <f t="shared" si="191"/>
        <v>2.8085994592184558</v>
      </c>
      <c r="BG461" s="8">
        <f t="shared" si="192"/>
        <v>1.21</v>
      </c>
      <c r="BH461" s="13" t="s">
        <v>390</v>
      </c>
      <c r="BI461" s="13"/>
      <c r="BJ461" s="13"/>
      <c r="BK461" s="15"/>
      <c r="BL461" s="8"/>
      <c r="BM461" s="18"/>
      <c r="BN461" s="8"/>
      <c r="BO461" s="24"/>
    </row>
    <row r="462" spans="1:69" s="14" customFormat="1" x14ac:dyDescent="0.3">
      <c r="A462" s="20">
        <v>468</v>
      </c>
      <c r="B462" s="2" t="s">
        <v>181</v>
      </c>
      <c r="C462" s="2">
        <v>2020</v>
      </c>
      <c r="D462" s="2" t="s">
        <v>203</v>
      </c>
      <c r="E462" s="10" t="s">
        <v>787</v>
      </c>
      <c r="F462" s="20" t="s">
        <v>29</v>
      </c>
      <c r="G462" s="2" t="s">
        <v>62</v>
      </c>
      <c r="H462" s="2" t="str">
        <f>'PFAS Properties'!$B$34</f>
        <v>PFNA</v>
      </c>
      <c r="I462" s="2" t="str">
        <f>'PFAS Properties'!$C$34</f>
        <v>PFCA</v>
      </c>
      <c r="J462" s="2" t="str">
        <f>'PFAS Properties'!$D$34</f>
        <v>C9HF17O2</v>
      </c>
      <c r="K462" s="25">
        <f>'PFAS Properties'!$P$34</f>
        <v>463.97039999999998</v>
      </c>
      <c r="L462" s="2">
        <f>'PFAS Properties'!$X$34</f>
        <v>-0.2</v>
      </c>
      <c r="M462" s="2" t="str">
        <f>'PFAS Properties'!$Y$34</f>
        <v>-</v>
      </c>
      <c r="N462" s="33">
        <v>0</v>
      </c>
      <c r="O462" s="33">
        <v>0</v>
      </c>
      <c r="P462" s="33">
        <v>0</v>
      </c>
      <c r="Q462" s="33">
        <f t="shared" si="193"/>
        <v>0.99999998004737722</v>
      </c>
      <c r="R462" s="33">
        <v>0</v>
      </c>
      <c r="S462" s="33">
        <f t="shared" si="194"/>
        <v>1.995262275158161E-8</v>
      </c>
      <c r="T462" s="8">
        <f t="shared" si="172"/>
        <v>1</v>
      </c>
      <c r="U462" s="33">
        <f t="shared" si="184"/>
        <v>0</v>
      </c>
      <c r="V462" s="33">
        <f t="shared" si="185"/>
        <v>-0.99999998004737722</v>
      </c>
      <c r="W462" s="33">
        <f t="shared" si="186"/>
        <v>462.97040001995259</v>
      </c>
      <c r="X462" s="33">
        <v>96485</v>
      </c>
      <c r="Y462" s="16">
        <f t="shared" si="187"/>
        <v>-208.40424802689972</v>
      </c>
      <c r="Z462" s="16">
        <v>9</v>
      </c>
      <c r="AA462" s="16">
        <v>17</v>
      </c>
      <c r="AB462" s="8">
        <f t="shared" si="188"/>
        <v>0.33436532507739936</v>
      </c>
      <c r="AC462" s="16">
        <f t="shared" si="189"/>
        <v>69.616510018742574</v>
      </c>
      <c r="AD462" s="20">
        <f>'PFAS Properties'!$W$34</f>
        <v>8</v>
      </c>
      <c r="AE462" s="8">
        <f>'PFAS Properties'!$S$34</f>
        <v>1.7965743332104296</v>
      </c>
      <c r="AF462" s="15">
        <f>'PFAS Properties'!$V$34</f>
        <v>5.6</v>
      </c>
      <c r="AG462" s="24">
        <v>7.5</v>
      </c>
      <c r="AH462" s="2" t="s">
        <v>183</v>
      </c>
      <c r="AI462" s="2" t="s">
        <v>661</v>
      </c>
      <c r="AJ462" s="2" t="s">
        <v>661</v>
      </c>
      <c r="AK462" s="2" t="s">
        <v>661</v>
      </c>
      <c r="AL462" s="2" t="s">
        <v>661</v>
      </c>
      <c r="AM462" s="2" t="s">
        <v>661</v>
      </c>
      <c r="AN462" s="2" t="s">
        <v>661</v>
      </c>
      <c r="AO462" s="2" t="s">
        <v>661</v>
      </c>
      <c r="AP462" s="16">
        <v>41.4</v>
      </c>
      <c r="AQ462" s="2" t="s">
        <v>661</v>
      </c>
      <c r="AR462" s="16">
        <v>16.899999999999999</v>
      </c>
      <c r="AS462" s="16">
        <v>17.5</v>
      </c>
      <c r="AT462" s="16">
        <v>65.599999999999994</v>
      </c>
      <c r="AU462" s="2" t="s">
        <v>661</v>
      </c>
      <c r="AV462" s="16">
        <f t="shared" si="179"/>
        <v>100</v>
      </c>
      <c r="AW462" s="20">
        <v>0.7</v>
      </c>
      <c r="AX462" s="13">
        <v>6.9999999999999993E-3</v>
      </c>
      <c r="AY462" s="13" t="s">
        <v>184</v>
      </c>
      <c r="AZ462" s="16">
        <v>100</v>
      </c>
      <c r="BA462" s="16" t="s">
        <v>55</v>
      </c>
      <c r="BB462" s="16">
        <v>5</v>
      </c>
      <c r="BC462" s="16" t="s">
        <v>55</v>
      </c>
      <c r="BD462" s="18">
        <v>2.35</v>
      </c>
      <c r="BE462" s="15">
        <f t="shared" si="190"/>
        <v>335.71428571428578</v>
      </c>
      <c r="BF462" s="8">
        <f t="shared" si="191"/>
        <v>2.5259698222574793</v>
      </c>
      <c r="BG462" s="8">
        <f t="shared" si="192"/>
        <v>0.37106786227173627</v>
      </c>
      <c r="BH462" s="13" t="s">
        <v>841</v>
      </c>
      <c r="BI462" s="13"/>
      <c r="BJ462" s="13"/>
      <c r="BK462" s="8"/>
      <c r="BL462" s="8"/>
      <c r="BM462" s="18"/>
      <c r="BN462" s="8"/>
      <c r="BO462" s="24"/>
    </row>
    <row r="463" spans="1:69" s="14" customFormat="1" x14ac:dyDescent="0.3">
      <c r="A463" s="20">
        <v>469</v>
      </c>
      <c r="B463" s="2" t="s">
        <v>181</v>
      </c>
      <c r="C463" s="2">
        <v>2020</v>
      </c>
      <c r="D463" s="2" t="s">
        <v>203</v>
      </c>
      <c r="E463" s="10" t="s">
        <v>787</v>
      </c>
      <c r="F463" s="20" t="s">
        <v>29</v>
      </c>
      <c r="G463" s="2" t="s">
        <v>57</v>
      </c>
      <c r="H463" s="2" t="str">
        <f>'PFAS Properties'!$B$34</f>
        <v>PFNA</v>
      </c>
      <c r="I463" s="2" t="str">
        <f>'PFAS Properties'!$C$34</f>
        <v>PFCA</v>
      </c>
      <c r="J463" s="2" t="str">
        <f>'PFAS Properties'!$D$34</f>
        <v>C9HF17O2</v>
      </c>
      <c r="K463" s="25">
        <f>'PFAS Properties'!$P$34</f>
        <v>463.97039999999998</v>
      </c>
      <c r="L463" s="2">
        <f>'PFAS Properties'!$X$34</f>
        <v>-0.2</v>
      </c>
      <c r="M463" s="2" t="str">
        <f>'PFAS Properties'!$Y$34</f>
        <v>-</v>
      </c>
      <c r="N463" s="33">
        <v>0</v>
      </c>
      <c r="O463" s="33">
        <v>0</v>
      </c>
      <c r="P463" s="33">
        <v>0</v>
      </c>
      <c r="Q463" s="33">
        <f t="shared" si="193"/>
        <v>0.99999990000001004</v>
      </c>
      <c r="R463" s="33">
        <v>0</v>
      </c>
      <c r="S463" s="33">
        <f t="shared" si="194"/>
        <v>9.9999990000001005E-8</v>
      </c>
      <c r="T463" s="8">
        <f t="shared" si="172"/>
        <v>1</v>
      </c>
      <c r="U463" s="33">
        <f t="shared" si="184"/>
        <v>0</v>
      </c>
      <c r="V463" s="33">
        <f t="shared" si="185"/>
        <v>-0.99999990000001004</v>
      </c>
      <c r="W463" s="33">
        <f t="shared" si="186"/>
        <v>462.97040010000001</v>
      </c>
      <c r="X463" s="33">
        <v>96485</v>
      </c>
      <c r="Y463" s="16">
        <f t="shared" si="187"/>
        <v>-208.40423130865503</v>
      </c>
      <c r="Z463" s="16">
        <v>9</v>
      </c>
      <c r="AA463" s="16">
        <v>17</v>
      </c>
      <c r="AB463" s="8">
        <f t="shared" si="188"/>
        <v>0.33436532507739936</v>
      </c>
      <c r="AC463" s="16">
        <f t="shared" si="189"/>
        <v>69.616510018742574</v>
      </c>
      <c r="AD463" s="20">
        <f>'PFAS Properties'!$W$34</f>
        <v>8</v>
      </c>
      <c r="AE463" s="8">
        <f>'PFAS Properties'!$S$34</f>
        <v>1.7965743332104296</v>
      </c>
      <c r="AF463" s="15">
        <f>'PFAS Properties'!$V$34</f>
        <v>5.6</v>
      </c>
      <c r="AG463" s="24">
        <v>6.8</v>
      </c>
      <c r="AH463" s="2" t="s">
        <v>183</v>
      </c>
      <c r="AI463" s="2" t="s">
        <v>661</v>
      </c>
      <c r="AJ463" s="2" t="s">
        <v>661</v>
      </c>
      <c r="AK463" s="2" t="s">
        <v>661</v>
      </c>
      <c r="AL463" s="2" t="s">
        <v>661</v>
      </c>
      <c r="AM463" s="2" t="s">
        <v>661</v>
      </c>
      <c r="AN463" s="2" t="s">
        <v>661</v>
      </c>
      <c r="AO463" s="2" t="s">
        <v>661</v>
      </c>
      <c r="AP463" s="16">
        <v>7.1</v>
      </c>
      <c r="AQ463" s="2" t="s">
        <v>661</v>
      </c>
      <c r="AR463" s="16">
        <v>48.9</v>
      </c>
      <c r="AS463" s="16">
        <v>27</v>
      </c>
      <c r="AT463" s="16">
        <v>24.2</v>
      </c>
      <c r="AU463" s="2" t="s">
        <v>661</v>
      </c>
      <c r="AV463" s="16">
        <f t="shared" si="179"/>
        <v>100.10000000000001</v>
      </c>
      <c r="AW463" s="20">
        <v>0.37</v>
      </c>
      <c r="AX463" s="13">
        <v>3.7000000000000002E-3</v>
      </c>
      <c r="AY463" s="13" t="s">
        <v>184</v>
      </c>
      <c r="AZ463" s="16">
        <v>100</v>
      </c>
      <c r="BA463" s="16" t="s">
        <v>55</v>
      </c>
      <c r="BB463" s="16">
        <v>5</v>
      </c>
      <c r="BC463" s="16" t="s">
        <v>55</v>
      </c>
      <c r="BD463" s="18">
        <v>1.57</v>
      </c>
      <c r="BE463" s="15">
        <f t="shared" si="190"/>
        <v>424.32432432432432</v>
      </c>
      <c r="BF463" s="8">
        <f t="shared" si="191"/>
        <v>2.6276979283422386</v>
      </c>
      <c r="BG463" s="8">
        <f t="shared" si="192"/>
        <v>0.19589965240923377</v>
      </c>
      <c r="BH463" s="13" t="s">
        <v>841</v>
      </c>
      <c r="BI463" s="13"/>
      <c r="BJ463" s="13"/>
      <c r="BK463" s="8"/>
      <c r="BL463" s="8"/>
      <c r="BM463" s="18"/>
      <c r="BN463" s="8"/>
      <c r="BO463" s="24"/>
    </row>
    <row r="464" spans="1:69" s="14" customFormat="1" x14ac:dyDescent="0.3">
      <c r="A464" s="20">
        <v>470</v>
      </c>
      <c r="B464" s="2" t="s">
        <v>181</v>
      </c>
      <c r="C464" s="2">
        <v>2020</v>
      </c>
      <c r="D464" s="2" t="s">
        <v>203</v>
      </c>
      <c r="E464" s="10" t="s">
        <v>787</v>
      </c>
      <c r="F464" s="20" t="s">
        <v>29</v>
      </c>
      <c r="G464" s="2" t="s">
        <v>58</v>
      </c>
      <c r="H464" s="2" t="str">
        <f>'PFAS Properties'!$B$34</f>
        <v>PFNA</v>
      </c>
      <c r="I464" s="2" t="str">
        <f>'PFAS Properties'!$C$34</f>
        <v>PFCA</v>
      </c>
      <c r="J464" s="2" t="str">
        <f>'PFAS Properties'!$D$34</f>
        <v>C9HF17O2</v>
      </c>
      <c r="K464" s="25">
        <f>'PFAS Properties'!$P$34</f>
        <v>463.97039999999998</v>
      </c>
      <c r="L464" s="2">
        <f>'PFAS Properties'!$X$34</f>
        <v>-0.2</v>
      </c>
      <c r="M464" s="2" t="str">
        <f>'PFAS Properties'!$Y$34</f>
        <v>-</v>
      </c>
      <c r="N464" s="33">
        <v>0</v>
      </c>
      <c r="O464" s="33">
        <v>0</v>
      </c>
      <c r="P464" s="33">
        <v>0</v>
      </c>
      <c r="Q464" s="33">
        <f t="shared" si="193"/>
        <v>0.99999960189298798</v>
      </c>
      <c r="R464" s="33">
        <v>0</v>
      </c>
      <c r="S464" s="33">
        <f t="shared" si="194"/>
        <v>3.9810701206424001E-7</v>
      </c>
      <c r="T464" s="8">
        <f t="shared" si="172"/>
        <v>1</v>
      </c>
      <c r="U464" s="33">
        <f t="shared" si="184"/>
        <v>0</v>
      </c>
      <c r="V464" s="33">
        <f t="shared" si="185"/>
        <v>-0.99999960189298798</v>
      </c>
      <c r="W464" s="33">
        <f t="shared" si="186"/>
        <v>462.97040039810702</v>
      </c>
      <c r="X464" s="33">
        <v>96485</v>
      </c>
      <c r="Y464" s="16">
        <f t="shared" si="187"/>
        <v>-208.40416904769245</v>
      </c>
      <c r="Z464" s="16">
        <v>9</v>
      </c>
      <c r="AA464" s="16">
        <v>17</v>
      </c>
      <c r="AB464" s="8">
        <f t="shared" si="188"/>
        <v>0.33436532507739936</v>
      </c>
      <c r="AC464" s="16">
        <f t="shared" si="189"/>
        <v>69.616510018742574</v>
      </c>
      <c r="AD464" s="20">
        <f>'PFAS Properties'!$W$34</f>
        <v>8</v>
      </c>
      <c r="AE464" s="8">
        <f>'PFAS Properties'!$S$34</f>
        <v>1.7965743332104296</v>
      </c>
      <c r="AF464" s="15">
        <f>'PFAS Properties'!$V$34</f>
        <v>5.6</v>
      </c>
      <c r="AG464" s="24">
        <v>6.2</v>
      </c>
      <c r="AH464" s="2" t="s">
        <v>183</v>
      </c>
      <c r="AI464" s="2" t="s">
        <v>661</v>
      </c>
      <c r="AJ464" s="2" t="s">
        <v>661</v>
      </c>
      <c r="AK464" s="2" t="s">
        <v>661</v>
      </c>
      <c r="AL464" s="2" t="s">
        <v>661</v>
      </c>
      <c r="AM464" s="2" t="s">
        <v>661</v>
      </c>
      <c r="AN464" s="2" t="s">
        <v>661</v>
      </c>
      <c r="AO464" s="2" t="s">
        <v>661</v>
      </c>
      <c r="AP464" s="16">
        <v>8</v>
      </c>
      <c r="AQ464" s="2" t="s">
        <v>661</v>
      </c>
      <c r="AR464" s="16">
        <v>51.44</v>
      </c>
      <c r="AS464" s="16">
        <v>10.17</v>
      </c>
      <c r="AT464" s="16">
        <v>38.380000000000003</v>
      </c>
      <c r="AU464" s="2" t="s">
        <v>661</v>
      </c>
      <c r="AV464" s="16">
        <f t="shared" si="179"/>
        <v>99.990000000000009</v>
      </c>
      <c r="AW464" s="20">
        <v>0.08</v>
      </c>
      <c r="AX464" s="13">
        <v>8.0000000000000004E-4</v>
      </c>
      <c r="AY464" s="8" t="s">
        <v>184</v>
      </c>
      <c r="AZ464" s="16">
        <v>100</v>
      </c>
      <c r="BA464" s="16" t="s">
        <v>55</v>
      </c>
      <c r="BB464" s="16">
        <v>5</v>
      </c>
      <c r="BC464" s="16" t="s">
        <v>55</v>
      </c>
      <c r="BD464" s="18">
        <v>1.31</v>
      </c>
      <c r="BE464" s="15">
        <f t="shared" si="190"/>
        <v>1637.5</v>
      </c>
      <c r="BF464" s="8">
        <f t="shared" si="191"/>
        <v>3.2141813086638207</v>
      </c>
      <c r="BG464" s="8">
        <f t="shared" si="192"/>
        <v>0.11727129565576427</v>
      </c>
      <c r="BH464" s="13" t="s">
        <v>841</v>
      </c>
      <c r="BI464" s="13"/>
      <c r="BJ464" s="13"/>
      <c r="BK464" s="8"/>
      <c r="BL464" s="8"/>
      <c r="BM464" s="18"/>
      <c r="BN464" s="8"/>
      <c r="BO464" s="24"/>
    </row>
    <row r="465" spans="1:67" s="14" customFormat="1" x14ac:dyDescent="0.3">
      <c r="A465" s="20">
        <v>471</v>
      </c>
      <c r="B465" s="2" t="s">
        <v>181</v>
      </c>
      <c r="C465" s="2">
        <v>2020</v>
      </c>
      <c r="D465" s="2" t="s">
        <v>203</v>
      </c>
      <c r="E465" s="10" t="s">
        <v>787</v>
      </c>
      <c r="F465" s="20" t="s">
        <v>29</v>
      </c>
      <c r="G465" s="2" t="s">
        <v>59</v>
      </c>
      <c r="H465" s="2" t="str">
        <f>'PFAS Properties'!$B$34</f>
        <v>PFNA</v>
      </c>
      <c r="I465" s="2" t="str">
        <f>'PFAS Properties'!$C$34</f>
        <v>PFCA</v>
      </c>
      <c r="J465" s="2" t="str">
        <f>'PFAS Properties'!$D$34</f>
        <v>C9HF17O2</v>
      </c>
      <c r="K465" s="25">
        <f>'PFAS Properties'!$P$34</f>
        <v>463.97039999999998</v>
      </c>
      <c r="L465" s="2">
        <f>'PFAS Properties'!$X$34</f>
        <v>-0.2</v>
      </c>
      <c r="M465" s="2" t="str">
        <f>'PFAS Properties'!$Y$34</f>
        <v>-</v>
      </c>
      <c r="N465" s="33">
        <v>0</v>
      </c>
      <c r="O465" s="33">
        <v>0</v>
      </c>
      <c r="P465" s="33">
        <v>0</v>
      </c>
      <c r="Q465" s="33">
        <f t="shared" si="193"/>
        <v>0.99999998741074603</v>
      </c>
      <c r="R465" s="33">
        <v>0</v>
      </c>
      <c r="S465" s="33">
        <f t="shared" si="194"/>
        <v>1.258925395945232E-8</v>
      </c>
      <c r="T465" s="8">
        <f t="shared" si="172"/>
        <v>1</v>
      </c>
      <c r="U465" s="33">
        <f t="shared" si="184"/>
        <v>0</v>
      </c>
      <c r="V465" s="33">
        <f t="shared" si="185"/>
        <v>-0.99999998741074603</v>
      </c>
      <c r="W465" s="33">
        <f t="shared" si="186"/>
        <v>462.97040001258921</v>
      </c>
      <c r="X465" s="33">
        <v>96485</v>
      </c>
      <c r="Y465" s="16">
        <f t="shared" si="187"/>
        <v>-208.40424956477173</v>
      </c>
      <c r="Z465" s="16">
        <v>9</v>
      </c>
      <c r="AA465" s="16">
        <v>17</v>
      </c>
      <c r="AB465" s="8">
        <f t="shared" si="188"/>
        <v>0.33436532507739936</v>
      </c>
      <c r="AC465" s="16">
        <f t="shared" si="189"/>
        <v>69.616510018742574</v>
      </c>
      <c r="AD465" s="20">
        <f>'PFAS Properties'!$W$34</f>
        <v>8</v>
      </c>
      <c r="AE465" s="8">
        <f>'PFAS Properties'!$S$34</f>
        <v>1.7965743332104296</v>
      </c>
      <c r="AF465" s="15">
        <f>'PFAS Properties'!$V$34</f>
        <v>5.6</v>
      </c>
      <c r="AG465" s="24">
        <v>7.7</v>
      </c>
      <c r="AH465" s="2" t="s">
        <v>183</v>
      </c>
      <c r="AI465" s="2" t="s">
        <v>661</v>
      </c>
      <c r="AJ465" s="2" t="s">
        <v>661</v>
      </c>
      <c r="AK465" s="2" t="s">
        <v>661</v>
      </c>
      <c r="AL465" s="2" t="s">
        <v>661</v>
      </c>
      <c r="AM465" s="2" t="s">
        <v>661</v>
      </c>
      <c r="AN465" s="2" t="s">
        <v>661</v>
      </c>
      <c r="AO465" s="2" t="s">
        <v>661</v>
      </c>
      <c r="AP465" s="16">
        <v>4.8</v>
      </c>
      <c r="AQ465" s="2" t="s">
        <v>661</v>
      </c>
      <c r="AR465" s="16">
        <v>46</v>
      </c>
      <c r="AS465" s="16">
        <v>37</v>
      </c>
      <c r="AT465" s="16">
        <v>17</v>
      </c>
      <c r="AU465" s="2" t="s">
        <v>661</v>
      </c>
      <c r="AV465" s="16">
        <f t="shared" si="179"/>
        <v>100</v>
      </c>
      <c r="AW465" s="20">
        <v>0.25</v>
      </c>
      <c r="AX465" s="13">
        <v>2.5000000000000001E-3</v>
      </c>
      <c r="AY465" s="13" t="s">
        <v>184</v>
      </c>
      <c r="AZ465" s="16">
        <v>100</v>
      </c>
      <c r="BA465" s="16" t="s">
        <v>55</v>
      </c>
      <c r="BB465" s="16">
        <v>5</v>
      </c>
      <c r="BC465" s="16" t="s">
        <v>55</v>
      </c>
      <c r="BD465" s="18">
        <v>2</v>
      </c>
      <c r="BE465" s="15">
        <f t="shared" si="190"/>
        <v>800</v>
      </c>
      <c r="BF465" s="8">
        <f t="shared" si="191"/>
        <v>2.9030899869919438</v>
      </c>
      <c r="BG465" s="8">
        <f t="shared" si="192"/>
        <v>0.3010299956639812</v>
      </c>
      <c r="BH465" s="13" t="s">
        <v>841</v>
      </c>
      <c r="BI465" s="13"/>
      <c r="BJ465" s="13"/>
      <c r="BK465" s="8"/>
      <c r="BL465" s="8"/>
      <c r="BM465" s="18"/>
      <c r="BN465" s="8"/>
      <c r="BO465" s="24"/>
    </row>
    <row r="466" spans="1:67" s="14" customFormat="1" x14ac:dyDescent="0.3">
      <c r="A466" s="20">
        <v>472</v>
      </c>
      <c r="B466" s="2" t="s">
        <v>181</v>
      </c>
      <c r="C466" s="2">
        <v>2020</v>
      </c>
      <c r="D466" s="2" t="s">
        <v>203</v>
      </c>
      <c r="E466" s="10" t="s">
        <v>787</v>
      </c>
      <c r="F466" s="20" t="s">
        <v>29</v>
      </c>
      <c r="G466" s="2" t="s">
        <v>61</v>
      </c>
      <c r="H466" s="2" t="str">
        <f>'PFAS Properties'!$B$34</f>
        <v>PFNA</v>
      </c>
      <c r="I466" s="2" t="str">
        <f>'PFAS Properties'!$C$34</f>
        <v>PFCA</v>
      </c>
      <c r="J466" s="2" t="str">
        <f>'PFAS Properties'!$D$34</f>
        <v>C9HF17O2</v>
      </c>
      <c r="K466" s="25">
        <f>'PFAS Properties'!$P$34</f>
        <v>463.97039999999998</v>
      </c>
      <c r="L466" s="2">
        <f>'PFAS Properties'!$X$34</f>
        <v>-0.2</v>
      </c>
      <c r="M466" s="2" t="str">
        <f>'PFAS Properties'!$Y$34</f>
        <v>-</v>
      </c>
      <c r="N466" s="33">
        <v>0</v>
      </c>
      <c r="O466" s="33">
        <v>0</v>
      </c>
      <c r="P466" s="33">
        <v>0</v>
      </c>
      <c r="Q466" s="33">
        <f t="shared" si="193"/>
        <v>0.99999997488113634</v>
      </c>
      <c r="R466" s="33">
        <v>0</v>
      </c>
      <c r="S466" s="33">
        <f t="shared" si="194"/>
        <v>2.5118863684138424E-8</v>
      </c>
      <c r="T466" s="8">
        <f t="shared" si="172"/>
        <v>1</v>
      </c>
      <c r="U466" s="33">
        <f t="shared" si="184"/>
        <v>0</v>
      </c>
      <c r="V466" s="33">
        <f t="shared" si="185"/>
        <v>-0.99999997488113634</v>
      </c>
      <c r="W466" s="33">
        <f t="shared" si="186"/>
        <v>462.97040002511886</v>
      </c>
      <c r="X466" s="33">
        <v>96485</v>
      </c>
      <c r="Y466" s="16">
        <f t="shared" si="187"/>
        <v>-208.40424694790761</v>
      </c>
      <c r="Z466" s="16">
        <v>9</v>
      </c>
      <c r="AA466" s="16">
        <v>17</v>
      </c>
      <c r="AB466" s="8">
        <f t="shared" si="188"/>
        <v>0.33436532507739936</v>
      </c>
      <c r="AC466" s="16">
        <f t="shared" si="189"/>
        <v>69.616510018742574</v>
      </c>
      <c r="AD466" s="20">
        <f>'PFAS Properties'!$W$34</f>
        <v>8</v>
      </c>
      <c r="AE466" s="8">
        <f>'PFAS Properties'!$S$34</f>
        <v>1.7965743332104296</v>
      </c>
      <c r="AF466" s="15">
        <f>'PFAS Properties'!$V$34</f>
        <v>5.6</v>
      </c>
      <c r="AG466" s="24">
        <v>7.4</v>
      </c>
      <c r="AH466" s="2" t="s">
        <v>183</v>
      </c>
      <c r="AI466" s="2" t="s">
        <v>661</v>
      </c>
      <c r="AJ466" s="2" t="s">
        <v>661</v>
      </c>
      <c r="AK466" s="2" t="s">
        <v>661</v>
      </c>
      <c r="AL466" s="2" t="s">
        <v>661</v>
      </c>
      <c r="AM466" s="2" t="s">
        <v>661</v>
      </c>
      <c r="AN466" s="2" t="s">
        <v>661</v>
      </c>
      <c r="AO466" s="2" t="s">
        <v>661</v>
      </c>
      <c r="AP466" s="16">
        <v>29.6</v>
      </c>
      <c r="AQ466" s="2" t="s">
        <v>661</v>
      </c>
      <c r="AR466" s="16">
        <v>39.799999999999997</v>
      </c>
      <c r="AS466" s="16">
        <v>7.7</v>
      </c>
      <c r="AT466" s="16">
        <v>52.5</v>
      </c>
      <c r="AU466" s="2" t="s">
        <v>661</v>
      </c>
      <c r="AV466" s="16">
        <f t="shared" si="179"/>
        <v>100</v>
      </c>
      <c r="AW466" s="20">
        <v>2.23</v>
      </c>
      <c r="AX466" s="13">
        <v>2.23E-2</v>
      </c>
      <c r="AY466" s="8" t="s">
        <v>184</v>
      </c>
      <c r="AZ466" s="16">
        <v>100</v>
      </c>
      <c r="BA466" s="16" t="s">
        <v>55</v>
      </c>
      <c r="BB466" s="16">
        <v>5</v>
      </c>
      <c r="BC466" s="16" t="s">
        <v>55</v>
      </c>
      <c r="BD466" s="18">
        <v>2.1</v>
      </c>
      <c r="BE466" s="15">
        <f t="shared" si="190"/>
        <v>94.170403587443943</v>
      </c>
      <c r="BF466" s="8">
        <f t="shared" si="191"/>
        <v>1.9739144316857586</v>
      </c>
      <c r="BG466" s="8">
        <f t="shared" si="192"/>
        <v>0.3222192947339193</v>
      </c>
      <c r="BH466" s="13" t="s">
        <v>841</v>
      </c>
      <c r="BI466" s="13"/>
      <c r="BJ466" s="13"/>
      <c r="BK466" s="8"/>
      <c r="BL466" s="8"/>
      <c r="BM466" s="18"/>
      <c r="BN466" s="8"/>
      <c r="BO466" s="24"/>
    </row>
    <row r="467" spans="1:67" s="14" customFormat="1" x14ac:dyDescent="0.3">
      <c r="A467" s="20">
        <v>473</v>
      </c>
      <c r="B467" s="2" t="s">
        <v>181</v>
      </c>
      <c r="C467" s="2">
        <v>2020</v>
      </c>
      <c r="D467" s="2" t="s">
        <v>203</v>
      </c>
      <c r="E467" s="10" t="s">
        <v>787</v>
      </c>
      <c r="F467" s="20" t="s">
        <v>29</v>
      </c>
      <c r="G467" s="2" t="s">
        <v>60</v>
      </c>
      <c r="H467" s="2" t="str">
        <f>'PFAS Properties'!$B$34</f>
        <v>PFNA</v>
      </c>
      <c r="I467" s="2" t="str">
        <f>'PFAS Properties'!$C$34</f>
        <v>PFCA</v>
      </c>
      <c r="J467" s="2" t="str">
        <f>'PFAS Properties'!$D$34</f>
        <v>C9HF17O2</v>
      </c>
      <c r="K467" s="25">
        <f>'PFAS Properties'!$P$34</f>
        <v>463.97039999999998</v>
      </c>
      <c r="L467" s="2">
        <f>'PFAS Properties'!$X$34</f>
        <v>-0.2</v>
      </c>
      <c r="M467" s="2" t="str">
        <f>'PFAS Properties'!$Y$34</f>
        <v>-</v>
      </c>
      <c r="N467" s="33">
        <v>0</v>
      </c>
      <c r="O467" s="33">
        <v>0</v>
      </c>
      <c r="P467" s="33">
        <v>0</v>
      </c>
      <c r="Q467" s="33">
        <f t="shared" si="193"/>
        <v>0.99999998741074603</v>
      </c>
      <c r="R467" s="33">
        <v>0</v>
      </c>
      <c r="S467" s="33">
        <f t="shared" si="194"/>
        <v>1.258925395945232E-8</v>
      </c>
      <c r="T467" s="8">
        <f t="shared" si="172"/>
        <v>1</v>
      </c>
      <c r="U467" s="33">
        <f t="shared" si="184"/>
        <v>0</v>
      </c>
      <c r="V467" s="33">
        <f t="shared" si="185"/>
        <v>-0.99999998741074603</v>
      </c>
      <c r="W467" s="33">
        <f t="shared" si="186"/>
        <v>462.97040001258921</v>
      </c>
      <c r="X467" s="33">
        <v>96485</v>
      </c>
      <c r="Y467" s="16">
        <f t="shared" si="187"/>
        <v>-208.40424956477173</v>
      </c>
      <c r="Z467" s="16">
        <v>9</v>
      </c>
      <c r="AA467" s="16">
        <v>17</v>
      </c>
      <c r="AB467" s="8">
        <f t="shared" si="188"/>
        <v>0.33436532507739936</v>
      </c>
      <c r="AC467" s="16">
        <f t="shared" si="189"/>
        <v>69.616510018742574</v>
      </c>
      <c r="AD467" s="20">
        <f>'PFAS Properties'!$W$34</f>
        <v>8</v>
      </c>
      <c r="AE467" s="8">
        <f>'PFAS Properties'!$S$34</f>
        <v>1.7965743332104296</v>
      </c>
      <c r="AF467" s="15">
        <f>'PFAS Properties'!$V$34</f>
        <v>5.6</v>
      </c>
      <c r="AG467" s="24">
        <v>7.7</v>
      </c>
      <c r="AH467" s="2" t="s">
        <v>183</v>
      </c>
      <c r="AI467" s="2" t="s">
        <v>661</v>
      </c>
      <c r="AJ467" s="2" t="s">
        <v>661</v>
      </c>
      <c r="AK467" s="2" t="s">
        <v>661</v>
      </c>
      <c r="AL467" s="2" t="s">
        <v>661</v>
      </c>
      <c r="AM467" s="2" t="s">
        <v>661</v>
      </c>
      <c r="AN467" s="2" t="s">
        <v>661</v>
      </c>
      <c r="AO467" s="2" t="s">
        <v>661</v>
      </c>
      <c r="AP467" s="16">
        <v>21.63</v>
      </c>
      <c r="AQ467" s="2" t="s">
        <v>661</v>
      </c>
      <c r="AR467" s="16">
        <v>70</v>
      </c>
      <c r="AS467" s="16">
        <v>11</v>
      </c>
      <c r="AT467" s="16">
        <v>19</v>
      </c>
      <c r="AU467" s="2" t="s">
        <v>661</v>
      </c>
      <c r="AV467" s="16">
        <f t="shared" si="179"/>
        <v>100</v>
      </c>
      <c r="AW467" s="20">
        <v>4.9000000000000004</v>
      </c>
      <c r="AX467" s="13">
        <v>4.9000000000000002E-2</v>
      </c>
      <c r="AY467" s="8" t="s">
        <v>184</v>
      </c>
      <c r="AZ467" s="16">
        <v>100</v>
      </c>
      <c r="BA467" s="16" t="s">
        <v>55</v>
      </c>
      <c r="BB467" s="16">
        <v>5</v>
      </c>
      <c r="BC467" s="16" t="s">
        <v>55</v>
      </c>
      <c r="BD467" s="18">
        <v>10.69</v>
      </c>
      <c r="BE467" s="15">
        <f t="shared" si="190"/>
        <v>218.16326530612244</v>
      </c>
      <c r="BF467" s="8">
        <f t="shared" si="191"/>
        <v>2.3387816251802644</v>
      </c>
      <c r="BG467" s="8">
        <f t="shared" si="192"/>
        <v>1.0289777052087781</v>
      </c>
      <c r="BH467" s="13" t="s">
        <v>841</v>
      </c>
      <c r="BI467" s="13"/>
      <c r="BJ467" s="13"/>
      <c r="BK467" s="8"/>
      <c r="BL467" s="8"/>
      <c r="BM467" s="18"/>
      <c r="BN467" s="8"/>
      <c r="BO467" s="24"/>
    </row>
    <row r="468" spans="1:67" s="14" customFormat="1" x14ac:dyDescent="0.3">
      <c r="A468" s="20">
        <v>474</v>
      </c>
      <c r="B468" s="2" t="s">
        <v>181</v>
      </c>
      <c r="C468" s="2">
        <v>2020</v>
      </c>
      <c r="D468" s="2" t="s">
        <v>203</v>
      </c>
      <c r="E468" s="10" t="s">
        <v>787</v>
      </c>
      <c r="F468" s="20" t="s">
        <v>29</v>
      </c>
      <c r="G468" s="2" t="s">
        <v>77</v>
      </c>
      <c r="H468" s="2" t="str">
        <f>'PFAS Properties'!$B$34</f>
        <v>PFNA</v>
      </c>
      <c r="I468" s="2" t="str">
        <f>'PFAS Properties'!$C$34</f>
        <v>PFCA</v>
      </c>
      <c r="J468" s="2" t="str">
        <f>'PFAS Properties'!$D$34</f>
        <v>C9HF17O2</v>
      </c>
      <c r="K468" s="25">
        <f>'PFAS Properties'!$P$34</f>
        <v>463.97039999999998</v>
      </c>
      <c r="L468" s="2">
        <f>'PFAS Properties'!$X$34</f>
        <v>-0.2</v>
      </c>
      <c r="M468" s="2" t="str">
        <f>'PFAS Properties'!$Y$34</f>
        <v>-</v>
      </c>
      <c r="N468" s="33">
        <v>0</v>
      </c>
      <c r="O468" s="33">
        <v>0</v>
      </c>
      <c r="P468" s="33">
        <v>0</v>
      </c>
      <c r="Q468" s="33">
        <f t="shared" si="193"/>
        <v>0.99999998741074603</v>
      </c>
      <c r="R468" s="33">
        <v>0</v>
      </c>
      <c r="S468" s="33">
        <f t="shared" si="194"/>
        <v>1.258925395945232E-8</v>
      </c>
      <c r="T468" s="8">
        <f t="shared" ref="T468:T529" si="195">SUM(N468:S468)</f>
        <v>1</v>
      </c>
      <c r="U468" s="33">
        <f t="shared" si="184"/>
        <v>0</v>
      </c>
      <c r="V468" s="33">
        <f t="shared" si="185"/>
        <v>-0.99999998741074603</v>
      </c>
      <c r="W468" s="33">
        <f t="shared" si="186"/>
        <v>462.97040001258921</v>
      </c>
      <c r="X468" s="33">
        <v>96485</v>
      </c>
      <c r="Y468" s="16">
        <f t="shared" si="187"/>
        <v>-208.40424956477173</v>
      </c>
      <c r="Z468" s="16">
        <v>9</v>
      </c>
      <c r="AA468" s="16">
        <v>17</v>
      </c>
      <c r="AB468" s="8">
        <f t="shared" si="188"/>
        <v>0.33436532507739936</v>
      </c>
      <c r="AC468" s="16">
        <f t="shared" si="189"/>
        <v>69.616510018742574</v>
      </c>
      <c r="AD468" s="20">
        <f>'PFAS Properties'!$W$34</f>
        <v>8</v>
      </c>
      <c r="AE468" s="8">
        <f>'PFAS Properties'!$S$34</f>
        <v>1.7965743332104296</v>
      </c>
      <c r="AF468" s="15">
        <f>'PFAS Properties'!$V$34</f>
        <v>5.6</v>
      </c>
      <c r="AG468" s="24">
        <v>7.7</v>
      </c>
      <c r="AH468" s="2" t="s">
        <v>183</v>
      </c>
      <c r="AI468" s="2" t="s">
        <v>661</v>
      </c>
      <c r="AJ468" s="2" t="s">
        <v>661</v>
      </c>
      <c r="AK468" s="2" t="s">
        <v>661</v>
      </c>
      <c r="AL468" s="2" t="s">
        <v>661</v>
      </c>
      <c r="AM468" s="2" t="s">
        <v>661</v>
      </c>
      <c r="AN468" s="2" t="s">
        <v>661</v>
      </c>
      <c r="AO468" s="2" t="s">
        <v>661</v>
      </c>
      <c r="AP468" s="16">
        <v>7.8</v>
      </c>
      <c r="AQ468" s="2" t="s">
        <v>661</v>
      </c>
      <c r="AR468" s="16">
        <v>48.9</v>
      </c>
      <c r="AS468" s="16">
        <v>32.6</v>
      </c>
      <c r="AT468" s="16">
        <v>18.5</v>
      </c>
      <c r="AU468" s="2" t="s">
        <v>661</v>
      </c>
      <c r="AV468" s="16">
        <f t="shared" si="179"/>
        <v>100</v>
      </c>
      <c r="AW468" s="20">
        <v>0.13</v>
      </c>
      <c r="AX468" s="13">
        <v>1.2999999999999999E-3</v>
      </c>
      <c r="AY468" s="8" t="s">
        <v>184</v>
      </c>
      <c r="AZ468" s="16">
        <v>100</v>
      </c>
      <c r="BA468" s="16" t="s">
        <v>55</v>
      </c>
      <c r="BB468" s="16">
        <v>5</v>
      </c>
      <c r="BC468" s="16" t="s">
        <v>55</v>
      </c>
      <c r="BD468" s="18">
        <v>1.77</v>
      </c>
      <c r="BE468" s="15">
        <f t="shared" si="190"/>
        <v>1361.5384615384617</v>
      </c>
      <c r="BF468" s="8">
        <f t="shared" si="191"/>
        <v>3.1340299140549699</v>
      </c>
      <c r="BG468" s="8">
        <f t="shared" si="192"/>
        <v>0.24797326636180664</v>
      </c>
      <c r="BH468" s="13" t="s">
        <v>841</v>
      </c>
      <c r="BI468" s="13"/>
      <c r="BJ468" s="13"/>
      <c r="BK468" s="8"/>
      <c r="BL468" s="8"/>
      <c r="BM468" s="18"/>
      <c r="BN468" s="8"/>
      <c r="BO468" s="24"/>
    </row>
    <row r="469" spans="1:67" s="14" customFormat="1" x14ac:dyDescent="0.3">
      <c r="A469" s="20">
        <v>475</v>
      </c>
      <c r="B469" s="2" t="s">
        <v>181</v>
      </c>
      <c r="C469" s="2">
        <v>2020</v>
      </c>
      <c r="D469" s="2" t="s">
        <v>203</v>
      </c>
      <c r="E469" s="10" t="s">
        <v>787</v>
      </c>
      <c r="F469" s="20" t="s">
        <v>29</v>
      </c>
      <c r="G469" s="2" t="s">
        <v>182</v>
      </c>
      <c r="H469" s="2" t="str">
        <f>'PFAS Properties'!$B$34</f>
        <v>PFNA</v>
      </c>
      <c r="I469" s="2" t="str">
        <f>'PFAS Properties'!$C$34</f>
        <v>PFCA</v>
      </c>
      <c r="J469" s="2" t="str">
        <f>'PFAS Properties'!$D$34</f>
        <v>C9HF17O2</v>
      </c>
      <c r="K469" s="25">
        <f>'PFAS Properties'!$P$34</f>
        <v>463.97039999999998</v>
      </c>
      <c r="L469" s="2">
        <f>'PFAS Properties'!$X$34</f>
        <v>-0.2</v>
      </c>
      <c r="M469" s="2" t="str">
        <f>'PFAS Properties'!$Y$34</f>
        <v>-</v>
      </c>
      <c r="N469" s="33">
        <v>0</v>
      </c>
      <c r="O469" s="33">
        <v>0</v>
      </c>
      <c r="P469" s="33">
        <v>0</v>
      </c>
      <c r="Q469" s="33">
        <f t="shared" si="193"/>
        <v>0.99999998004737722</v>
      </c>
      <c r="R469" s="33">
        <v>0</v>
      </c>
      <c r="S469" s="33">
        <f t="shared" si="194"/>
        <v>1.995262275158161E-8</v>
      </c>
      <c r="T469" s="8">
        <f t="shared" si="195"/>
        <v>1</v>
      </c>
      <c r="U469" s="33">
        <f t="shared" si="184"/>
        <v>0</v>
      </c>
      <c r="V469" s="33">
        <f t="shared" si="185"/>
        <v>-0.99999998004737722</v>
      </c>
      <c r="W469" s="33">
        <f t="shared" si="186"/>
        <v>462.97040001995259</v>
      </c>
      <c r="X469" s="33">
        <v>96485</v>
      </c>
      <c r="Y469" s="16">
        <f t="shared" si="187"/>
        <v>-208.40424802689972</v>
      </c>
      <c r="Z469" s="16">
        <v>9</v>
      </c>
      <c r="AA469" s="16">
        <v>17</v>
      </c>
      <c r="AB469" s="8">
        <f t="shared" si="188"/>
        <v>0.33436532507739936</v>
      </c>
      <c r="AC469" s="16">
        <f t="shared" si="189"/>
        <v>69.616510018742574</v>
      </c>
      <c r="AD469" s="20">
        <f>'PFAS Properties'!$W$34</f>
        <v>8</v>
      </c>
      <c r="AE469" s="8">
        <f>'PFAS Properties'!$S$34</f>
        <v>1.7965743332104296</v>
      </c>
      <c r="AF469" s="15">
        <f>'PFAS Properties'!$V$34</f>
        <v>5.6</v>
      </c>
      <c r="AG469" s="24">
        <v>7.5</v>
      </c>
      <c r="AH469" s="2" t="s">
        <v>183</v>
      </c>
      <c r="AI469" s="2" t="s">
        <v>661</v>
      </c>
      <c r="AJ469" s="2" t="s">
        <v>661</v>
      </c>
      <c r="AK469" s="2" t="s">
        <v>661</v>
      </c>
      <c r="AL469" s="2" t="s">
        <v>661</v>
      </c>
      <c r="AM469" s="2" t="s">
        <v>661</v>
      </c>
      <c r="AN469" s="2" t="s">
        <v>661</v>
      </c>
      <c r="AO469" s="2" t="s">
        <v>661</v>
      </c>
      <c r="AP469" s="16">
        <v>2.2799999999999998</v>
      </c>
      <c r="AQ469" s="2" t="s">
        <v>661</v>
      </c>
      <c r="AR469" s="16">
        <v>93</v>
      </c>
      <c r="AS469" s="16">
        <v>1</v>
      </c>
      <c r="AT469" s="16">
        <v>5</v>
      </c>
      <c r="AU469" s="2" t="s">
        <v>661</v>
      </c>
      <c r="AV469" s="16">
        <f t="shared" si="179"/>
        <v>99</v>
      </c>
      <c r="AW469" s="20">
        <v>0.4</v>
      </c>
      <c r="AX469" s="13">
        <v>4.0000000000000001E-3</v>
      </c>
      <c r="AY469" s="8" t="s">
        <v>184</v>
      </c>
      <c r="AZ469" s="16">
        <v>100</v>
      </c>
      <c r="BA469" s="16" t="s">
        <v>55</v>
      </c>
      <c r="BB469" s="16">
        <v>5</v>
      </c>
      <c r="BC469" s="16" t="s">
        <v>55</v>
      </c>
      <c r="BD469" s="18">
        <v>1.27</v>
      </c>
      <c r="BE469" s="15">
        <f t="shared" si="190"/>
        <v>317.5</v>
      </c>
      <c r="BF469" s="8">
        <f t="shared" si="191"/>
        <v>2.5017437296279943</v>
      </c>
      <c r="BG469" s="8">
        <f t="shared" si="192"/>
        <v>0.10380372095595687</v>
      </c>
      <c r="BH469" s="13" t="s">
        <v>841</v>
      </c>
      <c r="BI469" s="13"/>
      <c r="BJ469" s="13"/>
      <c r="BK469" s="8"/>
      <c r="BL469" s="8"/>
      <c r="BM469" s="18"/>
      <c r="BN469" s="8"/>
      <c r="BO469" s="24"/>
    </row>
    <row r="470" spans="1:67" s="14" customFormat="1" x14ac:dyDescent="0.3">
      <c r="A470" s="20">
        <v>476</v>
      </c>
      <c r="B470" s="2" t="s">
        <v>181</v>
      </c>
      <c r="C470" s="2">
        <v>2020</v>
      </c>
      <c r="D470" s="2" t="s">
        <v>203</v>
      </c>
      <c r="E470" s="10" t="s">
        <v>787</v>
      </c>
      <c r="F470" s="20" t="s">
        <v>29</v>
      </c>
      <c r="G470" s="2" t="s">
        <v>78</v>
      </c>
      <c r="H470" s="2" t="str">
        <f>'PFAS Properties'!$B$34</f>
        <v>PFNA</v>
      </c>
      <c r="I470" s="2" t="str">
        <f>'PFAS Properties'!$C$34</f>
        <v>PFCA</v>
      </c>
      <c r="J470" s="2" t="str">
        <f>'PFAS Properties'!$D$34</f>
        <v>C9HF17O2</v>
      </c>
      <c r="K470" s="25">
        <f>'PFAS Properties'!$P$34</f>
        <v>463.97039999999998</v>
      </c>
      <c r="L470" s="2">
        <f>'PFAS Properties'!$X$34</f>
        <v>-0.2</v>
      </c>
      <c r="M470" s="2" t="str">
        <f>'PFAS Properties'!$Y$34</f>
        <v>-</v>
      </c>
      <c r="N470" s="33">
        <v>0</v>
      </c>
      <c r="O470" s="33">
        <v>0</v>
      </c>
      <c r="P470" s="33">
        <v>0</v>
      </c>
      <c r="Q470" s="33">
        <f t="shared" si="193"/>
        <v>0.99999994988127916</v>
      </c>
      <c r="R470" s="33">
        <v>0</v>
      </c>
      <c r="S470" s="33">
        <f t="shared" si="194"/>
        <v>5.011872085084086E-8</v>
      </c>
      <c r="T470" s="8">
        <f t="shared" si="195"/>
        <v>1</v>
      </c>
      <c r="U470" s="33">
        <f t="shared" si="184"/>
        <v>0</v>
      </c>
      <c r="V470" s="33">
        <f t="shared" si="185"/>
        <v>-0.99999994988127916</v>
      </c>
      <c r="W470" s="33">
        <f t="shared" si="186"/>
        <v>462.97040005011866</v>
      </c>
      <c r="X470" s="33">
        <v>96485</v>
      </c>
      <c r="Y470" s="16">
        <f t="shared" si="187"/>
        <v>-208.40424172657751</v>
      </c>
      <c r="Z470" s="16">
        <v>9</v>
      </c>
      <c r="AA470" s="16">
        <v>17</v>
      </c>
      <c r="AB470" s="8">
        <f t="shared" si="188"/>
        <v>0.33436532507739936</v>
      </c>
      <c r="AC470" s="16">
        <f t="shared" si="189"/>
        <v>69.616510018742574</v>
      </c>
      <c r="AD470" s="20">
        <f>'PFAS Properties'!$W$34</f>
        <v>8</v>
      </c>
      <c r="AE470" s="8">
        <f>'PFAS Properties'!$S$34</f>
        <v>1.7965743332104296</v>
      </c>
      <c r="AF470" s="15">
        <f>'PFAS Properties'!$V$34</f>
        <v>5.6</v>
      </c>
      <c r="AG470" s="24">
        <v>7.1</v>
      </c>
      <c r="AH470" s="2" t="s">
        <v>183</v>
      </c>
      <c r="AI470" s="2" t="s">
        <v>661</v>
      </c>
      <c r="AJ470" s="2" t="s">
        <v>661</v>
      </c>
      <c r="AK470" s="2" t="s">
        <v>661</v>
      </c>
      <c r="AL470" s="2" t="s">
        <v>661</v>
      </c>
      <c r="AM470" s="2" t="s">
        <v>661</v>
      </c>
      <c r="AN470" s="2" t="s">
        <v>661</v>
      </c>
      <c r="AO470" s="2" t="s">
        <v>661</v>
      </c>
      <c r="AP470" s="16">
        <v>17.420000000000002</v>
      </c>
      <c r="AQ470" s="2" t="s">
        <v>661</v>
      </c>
      <c r="AR470" s="16">
        <v>48.86</v>
      </c>
      <c r="AS470" s="16">
        <v>16.05</v>
      </c>
      <c r="AT470" s="16">
        <v>35.090000000000003</v>
      </c>
      <c r="AU470" s="2" t="s">
        <v>661</v>
      </c>
      <c r="AV470" s="16">
        <f t="shared" si="179"/>
        <v>100</v>
      </c>
      <c r="AW470" s="20">
        <v>1.19</v>
      </c>
      <c r="AX470" s="13">
        <v>1.1899999999999999E-2</v>
      </c>
      <c r="AY470" s="8" t="s">
        <v>184</v>
      </c>
      <c r="AZ470" s="16">
        <v>100</v>
      </c>
      <c r="BA470" s="16" t="s">
        <v>55</v>
      </c>
      <c r="BB470" s="16">
        <v>5</v>
      </c>
      <c r="BC470" s="16" t="s">
        <v>55</v>
      </c>
      <c r="BD470" s="18">
        <v>4.29</v>
      </c>
      <c r="BE470" s="15">
        <f t="shared" si="190"/>
        <v>360.50420168067228</v>
      </c>
      <c r="BF470" s="8">
        <f t="shared" si="191"/>
        <v>2.5569103307921934</v>
      </c>
      <c r="BG470" s="8">
        <f t="shared" si="192"/>
        <v>0.63245729218472424</v>
      </c>
      <c r="BH470" s="13" t="s">
        <v>841</v>
      </c>
      <c r="BI470" s="13"/>
      <c r="BJ470" s="13"/>
      <c r="BK470" s="8"/>
      <c r="BL470" s="8"/>
      <c r="BM470" s="18"/>
      <c r="BN470" s="8"/>
      <c r="BO470" s="24"/>
    </row>
    <row r="471" spans="1:67" s="14" customFormat="1" x14ac:dyDescent="0.3">
      <c r="A471" s="20">
        <v>477</v>
      </c>
      <c r="B471" s="2" t="s">
        <v>181</v>
      </c>
      <c r="C471" s="2">
        <v>2020</v>
      </c>
      <c r="D471" s="2" t="s">
        <v>203</v>
      </c>
      <c r="E471" s="10" t="s">
        <v>787</v>
      </c>
      <c r="F471" s="20" t="s">
        <v>29</v>
      </c>
      <c r="G471" s="2" t="s">
        <v>98</v>
      </c>
      <c r="H471" s="2" t="str">
        <f>'PFAS Properties'!$B$34</f>
        <v>PFNA</v>
      </c>
      <c r="I471" s="2" t="str">
        <f>'PFAS Properties'!$C$34</f>
        <v>PFCA</v>
      </c>
      <c r="J471" s="2" t="str">
        <f>'PFAS Properties'!$D$34</f>
        <v>C9HF17O2</v>
      </c>
      <c r="K471" s="25">
        <f>'PFAS Properties'!$P$34</f>
        <v>463.97039999999998</v>
      </c>
      <c r="L471" s="2">
        <f>'PFAS Properties'!$X$34</f>
        <v>-0.2</v>
      </c>
      <c r="M471" s="2" t="str">
        <f>'PFAS Properties'!$Y$34</f>
        <v>-</v>
      </c>
      <c r="N471" s="33">
        <v>0</v>
      </c>
      <c r="O471" s="33">
        <v>0</v>
      </c>
      <c r="P471" s="33">
        <v>0</v>
      </c>
      <c r="Q471" s="33">
        <f t="shared" si="193"/>
        <v>0.99999974881141995</v>
      </c>
      <c r="R471" s="33">
        <v>0</v>
      </c>
      <c r="S471" s="33">
        <f t="shared" si="194"/>
        <v>2.5118858005523878E-7</v>
      </c>
      <c r="T471" s="8">
        <f t="shared" si="195"/>
        <v>1</v>
      </c>
      <c r="U471" s="33">
        <f t="shared" si="184"/>
        <v>0</v>
      </c>
      <c r="V471" s="33">
        <f t="shared" si="185"/>
        <v>-0.99999974881141995</v>
      </c>
      <c r="W471" s="33">
        <f t="shared" si="186"/>
        <v>462.97040025118855</v>
      </c>
      <c r="X471" s="33">
        <v>96485</v>
      </c>
      <c r="Y471" s="16">
        <f t="shared" si="187"/>
        <v>-208.40419973225309</v>
      </c>
      <c r="Z471" s="16">
        <v>9</v>
      </c>
      <c r="AA471" s="16">
        <v>17</v>
      </c>
      <c r="AB471" s="8">
        <f t="shared" si="188"/>
        <v>0.33436532507739936</v>
      </c>
      <c r="AC471" s="16">
        <f t="shared" si="189"/>
        <v>69.616510018742574</v>
      </c>
      <c r="AD471" s="20">
        <f>'PFAS Properties'!$W$34</f>
        <v>8</v>
      </c>
      <c r="AE471" s="8">
        <f>'PFAS Properties'!$S$34</f>
        <v>1.7965743332104296</v>
      </c>
      <c r="AF471" s="15">
        <f>'PFAS Properties'!$V$34</f>
        <v>5.6</v>
      </c>
      <c r="AG471" s="24">
        <v>6.4</v>
      </c>
      <c r="AH471" s="2" t="s">
        <v>183</v>
      </c>
      <c r="AI471" s="2" t="s">
        <v>661</v>
      </c>
      <c r="AJ471" s="2" t="s">
        <v>661</v>
      </c>
      <c r="AK471" s="2" t="s">
        <v>661</v>
      </c>
      <c r="AL471" s="2" t="s">
        <v>661</v>
      </c>
      <c r="AM471" s="2" t="s">
        <v>661</v>
      </c>
      <c r="AN471" s="2" t="s">
        <v>661</v>
      </c>
      <c r="AO471" s="2" t="s">
        <v>661</v>
      </c>
      <c r="AP471" s="16">
        <v>16.54</v>
      </c>
      <c r="AQ471" s="2" t="s">
        <v>661</v>
      </c>
      <c r="AR471" s="16">
        <v>29.38</v>
      </c>
      <c r="AS471" s="16">
        <v>13.9</v>
      </c>
      <c r="AT471" s="16">
        <v>56.71</v>
      </c>
      <c r="AU471" s="2" t="s">
        <v>661</v>
      </c>
      <c r="AV471" s="16">
        <f t="shared" si="179"/>
        <v>99.990000000000009</v>
      </c>
      <c r="AW471" s="20">
        <v>0.17</v>
      </c>
      <c r="AX471" s="13">
        <v>1.7000000000000001E-3</v>
      </c>
      <c r="AY471" s="8" t="s">
        <v>184</v>
      </c>
      <c r="AZ471" s="16">
        <v>100</v>
      </c>
      <c r="BA471" s="16" t="s">
        <v>55</v>
      </c>
      <c r="BB471" s="16">
        <v>5</v>
      </c>
      <c r="BC471" s="16" t="s">
        <v>55</v>
      </c>
      <c r="BD471" s="18">
        <v>2.46</v>
      </c>
      <c r="BE471" s="15">
        <f t="shared" si="190"/>
        <v>1447.0588235294117</v>
      </c>
      <c r="BF471" s="8">
        <f t="shared" si="191"/>
        <v>3.1604861857251052</v>
      </c>
      <c r="BG471" s="8">
        <f t="shared" si="192"/>
        <v>0.39093510710337914</v>
      </c>
      <c r="BH471" s="13" t="s">
        <v>841</v>
      </c>
      <c r="BI471" s="13"/>
      <c r="BJ471" s="13"/>
      <c r="BK471" s="8"/>
      <c r="BL471" s="8"/>
      <c r="BM471" s="18"/>
      <c r="BN471" s="8"/>
      <c r="BO471" s="24"/>
    </row>
    <row r="472" spans="1:67" s="14" customFormat="1" x14ac:dyDescent="0.3">
      <c r="A472" s="20">
        <v>479</v>
      </c>
      <c r="B472" s="2" t="s">
        <v>200</v>
      </c>
      <c r="C472" s="2">
        <v>2021</v>
      </c>
      <c r="D472" s="2" t="s">
        <v>201</v>
      </c>
      <c r="E472" s="10" t="s">
        <v>794</v>
      </c>
      <c r="F472" s="20" t="s">
        <v>29</v>
      </c>
      <c r="G472" s="2" t="s">
        <v>30</v>
      </c>
      <c r="H472" s="2" t="str">
        <f>'PFAS Properties'!$B$34</f>
        <v>PFNA</v>
      </c>
      <c r="I472" s="2" t="str">
        <f>'PFAS Properties'!$C$34</f>
        <v>PFCA</v>
      </c>
      <c r="J472" s="2" t="str">
        <f>'PFAS Properties'!$D$34</f>
        <v>C9HF17O2</v>
      </c>
      <c r="K472" s="25">
        <f>'PFAS Properties'!$P$34</f>
        <v>463.97039999999998</v>
      </c>
      <c r="L472" s="2">
        <f>'PFAS Properties'!$X$34</f>
        <v>-0.2</v>
      </c>
      <c r="M472" s="2" t="str">
        <f>'PFAS Properties'!$Y$34</f>
        <v>-</v>
      </c>
      <c r="N472" s="33">
        <v>0</v>
      </c>
      <c r="O472" s="33">
        <v>0</v>
      </c>
      <c r="P472" s="33">
        <v>0</v>
      </c>
      <c r="Q472" s="33">
        <f t="shared" si="193"/>
        <v>0.99999800474166611</v>
      </c>
      <c r="R472" s="33">
        <v>0</v>
      </c>
      <c r="S472" s="33">
        <f t="shared" si="194"/>
        <v>1.9952583339051124E-6</v>
      </c>
      <c r="T472" s="8">
        <f t="shared" si="195"/>
        <v>1</v>
      </c>
      <c r="U472" s="33">
        <f t="shared" si="184"/>
        <v>0</v>
      </c>
      <c r="V472" s="33">
        <f t="shared" si="185"/>
        <v>-0.99999800474166611</v>
      </c>
      <c r="W472" s="33">
        <f t="shared" si="186"/>
        <v>462.97040199525833</v>
      </c>
      <c r="X472" s="33">
        <v>96485</v>
      </c>
      <c r="Y472" s="16">
        <f t="shared" si="187"/>
        <v>-208.40383547561609</v>
      </c>
      <c r="Z472" s="16">
        <v>9</v>
      </c>
      <c r="AA472" s="16">
        <v>17</v>
      </c>
      <c r="AB472" s="8">
        <f t="shared" si="188"/>
        <v>0.33436532507739936</v>
      </c>
      <c r="AC472" s="16">
        <f t="shared" si="189"/>
        <v>69.616510018742574</v>
      </c>
      <c r="AD472" s="20">
        <f>'PFAS Properties'!$W$34</f>
        <v>8</v>
      </c>
      <c r="AE472" s="8">
        <f>'PFAS Properties'!$S$34</f>
        <v>1.7965743332104296</v>
      </c>
      <c r="AF472" s="15">
        <f>'PFAS Properties'!$V$34</f>
        <v>5.6</v>
      </c>
      <c r="AG472" s="24">
        <v>5.5</v>
      </c>
      <c r="AH472" s="2" t="s">
        <v>834</v>
      </c>
      <c r="AI472" s="15">
        <v>1.0129999999999999</v>
      </c>
      <c r="AJ472" s="16">
        <f t="shared" ref="AJ472:AJ482" si="196">AI472*1000/55.845</f>
        <v>18.13949324021846</v>
      </c>
      <c r="AK472" s="8">
        <f t="shared" ref="AK472:AK507" si="197">AI472/10</f>
        <v>0.10129999999999999</v>
      </c>
      <c r="AL472" s="15">
        <v>0.40400000000000003</v>
      </c>
      <c r="AM472" s="16">
        <f t="shared" ref="AM472:AM482" si="198">AL472*1000/26.98</f>
        <v>14.974054855448481</v>
      </c>
      <c r="AN472" s="8">
        <f t="shared" ref="AN472:AN507" si="199">AL472/10</f>
        <v>4.0400000000000005E-2</v>
      </c>
      <c r="AO472" s="15" t="s">
        <v>31</v>
      </c>
      <c r="AP472" s="16">
        <v>23.4</v>
      </c>
      <c r="AQ472" s="16" t="s">
        <v>689</v>
      </c>
      <c r="AR472" s="16">
        <v>54.4</v>
      </c>
      <c r="AS472" s="16">
        <v>35</v>
      </c>
      <c r="AT472" s="16">
        <v>10.6</v>
      </c>
      <c r="AU472" s="16" t="s">
        <v>664</v>
      </c>
      <c r="AV472" s="16">
        <f t="shared" si="179"/>
        <v>100</v>
      </c>
      <c r="AW472" s="20">
        <v>1.6</v>
      </c>
      <c r="AX472" s="13">
        <f t="shared" ref="AX472:AX515" si="200">AW472/100</f>
        <v>1.6E-2</v>
      </c>
      <c r="AY472" s="8" t="s">
        <v>32</v>
      </c>
      <c r="AZ472" s="16">
        <f t="shared" ref="AZ472:AZ478" si="201">3/0.03</f>
        <v>100</v>
      </c>
      <c r="BA472" s="16" t="s">
        <v>55</v>
      </c>
      <c r="BB472" s="16">
        <v>60</v>
      </c>
      <c r="BC472" s="16" t="s">
        <v>55</v>
      </c>
      <c r="BD472" s="18">
        <v>11</v>
      </c>
      <c r="BE472" s="15">
        <f t="shared" si="190"/>
        <v>687.5</v>
      </c>
      <c r="BF472" s="8">
        <f t="shared" si="191"/>
        <v>2.8372727025023003</v>
      </c>
      <c r="BG472" s="8">
        <f t="shared" si="192"/>
        <v>1.0413926851582251</v>
      </c>
      <c r="BH472" s="2" t="s">
        <v>841</v>
      </c>
      <c r="BI472" s="2"/>
      <c r="BJ472" s="2"/>
      <c r="BK472" s="2"/>
      <c r="BL472" s="2"/>
      <c r="BM472" s="20"/>
      <c r="BN472" s="20"/>
      <c r="BO472" s="2"/>
    </row>
    <row r="473" spans="1:67" s="14" customFormat="1" x14ac:dyDescent="0.3">
      <c r="A473" s="20">
        <v>480</v>
      </c>
      <c r="B473" s="2" t="s">
        <v>200</v>
      </c>
      <c r="C473" s="2">
        <v>2021</v>
      </c>
      <c r="D473" s="2" t="s">
        <v>201</v>
      </c>
      <c r="E473" s="10" t="s">
        <v>794</v>
      </c>
      <c r="F473" s="20" t="s">
        <v>29</v>
      </c>
      <c r="G473" s="2" t="s">
        <v>33</v>
      </c>
      <c r="H473" s="2" t="str">
        <f>'PFAS Properties'!$B$34</f>
        <v>PFNA</v>
      </c>
      <c r="I473" s="2" t="str">
        <f>'PFAS Properties'!$C$34</f>
        <v>PFCA</v>
      </c>
      <c r="J473" s="2" t="str">
        <f>'PFAS Properties'!$D$34</f>
        <v>C9HF17O2</v>
      </c>
      <c r="K473" s="25">
        <f>'PFAS Properties'!$P$34</f>
        <v>463.97039999999998</v>
      </c>
      <c r="L473" s="2">
        <f>'PFAS Properties'!$X$34</f>
        <v>-0.2</v>
      </c>
      <c r="M473" s="2" t="str">
        <f>'PFAS Properties'!$Y$34</f>
        <v>-</v>
      </c>
      <c r="N473" s="33">
        <v>0</v>
      </c>
      <c r="O473" s="33">
        <v>0</v>
      </c>
      <c r="P473" s="33">
        <v>0</v>
      </c>
      <c r="Q473" s="33">
        <f t="shared" si="193"/>
        <v>0.99999999369042658</v>
      </c>
      <c r="R473" s="33">
        <v>0</v>
      </c>
      <c r="S473" s="33">
        <f t="shared" si="194"/>
        <v>6.3095734049912165E-9</v>
      </c>
      <c r="T473" s="8">
        <f t="shared" si="195"/>
        <v>1</v>
      </c>
      <c r="U473" s="33">
        <f t="shared" si="184"/>
        <v>0</v>
      </c>
      <c r="V473" s="33">
        <f t="shared" si="185"/>
        <v>-0.99999999369042658</v>
      </c>
      <c r="W473" s="33">
        <f t="shared" si="186"/>
        <v>462.97040000630955</v>
      </c>
      <c r="X473" s="33">
        <v>96485</v>
      </c>
      <c r="Y473" s="16">
        <f t="shared" si="187"/>
        <v>-208.40425087631061</v>
      </c>
      <c r="Z473" s="16">
        <v>9</v>
      </c>
      <c r="AA473" s="16">
        <v>17</v>
      </c>
      <c r="AB473" s="8">
        <f t="shared" si="188"/>
        <v>0.33436532507739936</v>
      </c>
      <c r="AC473" s="16">
        <f t="shared" si="189"/>
        <v>69.616510018742574</v>
      </c>
      <c r="AD473" s="20">
        <f>'PFAS Properties'!$W$34</f>
        <v>8</v>
      </c>
      <c r="AE473" s="8">
        <f>'PFAS Properties'!$S$34</f>
        <v>1.7965743332104296</v>
      </c>
      <c r="AF473" s="15">
        <f>'PFAS Properties'!$V$34</f>
        <v>5.6</v>
      </c>
      <c r="AG473" s="24">
        <v>8</v>
      </c>
      <c r="AH473" s="2" t="s">
        <v>834</v>
      </c>
      <c r="AI473" s="15">
        <v>2.9660000000000002</v>
      </c>
      <c r="AJ473" s="16">
        <f t="shared" si="196"/>
        <v>53.111290178171728</v>
      </c>
      <c r="AK473" s="8">
        <f t="shared" si="197"/>
        <v>0.29660000000000003</v>
      </c>
      <c r="AL473" s="15">
        <v>0.23</v>
      </c>
      <c r="AM473" s="16">
        <f t="shared" si="198"/>
        <v>8.5248332097850259</v>
      </c>
      <c r="AN473" s="8">
        <f t="shared" si="199"/>
        <v>2.3E-2</v>
      </c>
      <c r="AO473" s="15" t="s">
        <v>31</v>
      </c>
      <c r="AP473" s="16">
        <v>87.3</v>
      </c>
      <c r="AQ473" s="16" t="s">
        <v>689</v>
      </c>
      <c r="AR473" s="16">
        <v>12.2</v>
      </c>
      <c r="AS473" s="16">
        <v>54.3</v>
      </c>
      <c r="AT473" s="16">
        <v>33.5</v>
      </c>
      <c r="AU473" s="16" t="s">
        <v>664</v>
      </c>
      <c r="AV473" s="16">
        <f t="shared" si="179"/>
        <v>100</v>
      </c>
      <c r="AW473" s="20">
        <v>7.7</v>
      </c>
      <c r="AX473" s="13">
        <f t="shared" si="200"/>
        <v>7.6999999999999999E-2</v>
      </c>
      <c r="AY473" s="8" t="s">
        <v>32</v>
      </c>
      <c r="AZ473" s="16">
        <f t="shared" si="201"/>
        <v>100</v>
      </c>
      <c r="BA473" s="16" t="s">
        <v>55</v>
      </c>
      <c r="BB473" s="16">
        <v>170</v>
      </c>
      <c r="BC473" s="16" t="s">
        <v>55</v>
      </c>
      <c r="BD473" s="18">
        <v>35</v>
      </c>
      <c r="BE473" s="15">
        <f t="shared" si="190"/>
        <v>454.54545454545456</v>
      </c>
      <c r="BF473" s="8">
        <f t="shared" si="191"/>
        <v>2.6575773191777938</v>
      </c>
      <c r="BG473" s="8">
        <f t="shared" si="192"/>
        <v>1.5440680443502757</v>
      </c>
      <c r="BH473" s="2" t="s">
        <v>841</v>
      </c>
      <c r="BI473" s="2"/>
      <c r="BJ473" s="2"/>
      <c r="BK473" s="2"/>
      <c r="BL473" s="2"/>
      <c r="BM473" s="20"/>
      <c r="BN473" s="20"/>
      <c r="BO473" s="2"/>
    </row>
    <row r="474" spans="1:67" s="14" customFormat="1" x14ac:dyDescent="0.3">
      <c r="A474" s="20">
        <v>481</v>
      </c>
      <c r="B474" s="2" t="s">
        <v>200</v>
      </c>
      <c r="C474" s="2">
        <v>2021</v>
      </c>
      <c r="D474" s="2" t="s">
        <v>201</v>
      </c>
      <c r="E474" s="10" t="s">
        <v>794</v>
      </c>
      <c r="F474" s="20" t="s">
        <v>29</v>
      </c>
      <c r="G474" s="2" t="s">
        <v>34</v>
      </c>
      <c r="H474" s="2" t="str">
        <f>'PFAS Properties'!$B$34</f>
        <v>PFNA</v>
      </c>
      <c r="I474" s="2" t="str">
        <f>'PFAS Properties'!$C$34</f>
        <v>PFCA</v>
      </c>
      <c r="J474" s="2" t="str">
        <f>'PFAS Properties'!$D$34</f>
        <v>C9HF17O2</v>
      </c>
      <c r="K474" s="25">
        <f>'PFAS Properties'!$P$34</f>
        <v>463.97039999999998</v>
      </c>
      <c r="L474" s="2">
        <f>'PFAS Properties'!$X$34</f>
        <v>-0.2</v>
      </c>
      <c r="M474" s="2" t="str">
        <f>'PFAS Properties'!$Y$34</f>
        <v>-</v>
      </c>
      <c r="N474" s="33">
        <v>0</v>
      </c>
      <c r="O474" s="33">
        <v>0</v>
      </c>
      <c r="P474" s="33">
        <v>0</v>
      </c>
      <c r="Q474" s="33">
        <f t="shared" si="193"/>
        <v>0.99999601894414336</v>
      </c>
      <c r="R474" s="33">
        <v>0</v>
      </c>
      <c r="S474" s="33">
        <f t="shared" si="194"/>
        <v>3.981055856666137E-6</v>
      </c>
      <c r="T474" s="8">
        <f t="shared" si="195"/>
        <v>1</v>
      </c>
      <c r="U474" s="33">
        <f t="shared" si="184"/>
        <v>0</v>
      </c>
      <c r="V474" s="33">
        <f t="shared" si="185"/>
        <v>-0.99999601894414336</v>
      </c>
      <c r="W474" s="33">
        <f t="shared" si="186"/>
        <v>462.97040398105588</v>
      </c>
      <c r="X474" s="33">
        <v>96485</v>
      </c>
      <c r="Y474" s="16">
        <f t="shared" si="187"/>
        <v>-208.40342073307494</v>
      </c>
      <c r="Z474" s="16">
        <v>9</v>
      </c>
      <c r="AA474" s="16">
        <v>17</v>
      </c>
      <c r="AB474" s="8">
        <f t="shared" si="188"/>
        <v>0.33436532507739936</v>
      </c>
      <c r="AC474" s="16">
        <f t="shared" si="189"/>
        <v>69.616510018742574</v>
      </c>
      <c r="AD474" s="20">
        <f>'PFAS Properties'!$W$34</f>
        <v>8</v>
      </c>
      <c r="AE474" s="8">
        <f>'PFAS Properties'!$S$34</f>
        <v>1.7965743332104296</v>
      </c>
      <c r="AF474" s="15">
        <f>'PFAS Properties'!$V$34</f>
        <v>5.6</v>
      </c>
      <c r="AG474" s="24">
        <v>5.2</v>
      </c>
      <c r="AH474" s="2" t="s">
        <v>834</v>
      </c>
      <c r="AI474" s="15">
        <v>4.5149999999999997</v>
      </c>
      <c r="AJ474" s="16">
        <f t="shared" si="196"/>
        <v>80.848777867311313</v>
      </c>
      <c r="AK474" s="8">
        <f t="shared" si="197"/>
        <v>0.45149999999999996</v>
      </c>
      <c r="AL474" s="15">
        <v>0.377</v>
      </c>
      <c r="AM474" s="16">
        <f t="shared" si="198"/>
        <v>13.973313565604151</v>
      </c>
      <c r="AN474" s="8">
        <f t="shared" si="199"/>
        <v>3.7699999999999997E-2</v>
      </c>
      <c r="AO474" s="15" t="s">
        <v>31</v>
      </c>
      <c r="AP474" s="16">
        <v>44.3</v>
      </c>
      <c r="AQ474" s="16" t="s">
        <v>689</v>
      </c>
      <c r="AR474" s="16">
        <v>41.3</v>
      </c>
      <c r="AS474" s="16">
        <v>39.799999999999997</v>
      </c>
      <c r="AT474" s="16">
        <v>18.899999999999999</v>
      </c>
      <c r="AU474" s="16" t="s">
        <v>664</v>
      </c>
      <c r="AV474" s="16">
        <f t="shared" si="179"/>
        <v>100</v>
      </c>
      <c r="AW474" s="20">
        <v>9.4</v>
      </c>
      <c r="AX474" s="13">
        <f t="shared" si="200"/>
        <v>9.4E-2</v>
      </c>
      <c r="AY474" s="8" t="s">
        <v>32</v>
      </c>
      <c r="AZ474" s="16">
        <f t="shared" si="201"/>
        <v>100</v>
      </c>
      <c r="BA474" s="16" t="s">
        <v>55</v>
      </c>
      <c r="BB474" s="16">
        <v>170</v>
      </c>
      <c r="BC474" s="16" t="s">
        <v>55</v>
      </c>
      <c r="BD474" s="18">
        <v>39</v>
      </c>
      <c r="BE474" s="15">
        <f t="shared" si="190"/>
        <v>414.89361702127661</v>
      </c>
      <c r="BF474" s="8">
        <f t="shared" si="191"/>
        <v>2.6179367534268008</v>
      </c>
      <c r="BG474" s="8">
        <f t="shared" si="192"/>
        <v>1.5910646070264991</v>
      </c>
      <c r="BH474" s="2" t="s">
        <v>841</v>
      </c>
      <c r="BI474" s="2"/>
      <c r="BJ474" s="2"/>
      <c r="BK474" s="2"/>
      <c r="BL474" s="2"/>
      <c r="BM474" s="20"/>
      <c r="BN474" s="20"/>
      <c r="BO474" s="2"/>
    </row>
    <row r="475" spans="1:67" s="14" customFormat="1" x14ac:dyDescent="0.3">
      <c r="A475" s="20">
        <v>482</v>
      </c>
      <c r="B475" s="2" t="s">
        <v>200</v>
      </c>
      <c r="C475" s="2">
        <v>2021</v>
      </c>
      <c r="D475" s="2" t="s">
        <v>201</v>
      </c>
      <c r="E475" s="10" t="s">
        <v>794</v>
      </c>
      <c r="F475" s="20" t="s">
        <v>29</v>
      </c>
      <c r="G475" s="2" t="s">
        <v>37</v>
      </c>
      <c r="H475" s="2" t="str">
        <f>'PFAS Properties'!$B$34</f>
        <v>PFNA</v>
      </c>
      <c r="I475" s="2" t="str">
        <f>'PFAS Properties'!$C$34</f>
        <v>PFCA</v>
      </c>
      <c r="J475" s="2" t="str">
        <f>'PFAS Properties'!$D$34</f>
        <v>C9HF17O2</v>
      </c>
      <c r="K475" s="25">
        <f>'PFAS Properties'!$P$34</f>
        <v>463.97039999999998</v>
      </c>
      <c r="L475" s="2">
        <f>'PFAS Properties'!$X$34</f>
        <v>-0.2</v>
      </c>
      <c r="M475" s="2" t="str">
        <f>'PFAS Properties'!$Y$34</f>
        <v>-</v>
      </c>
      <c r="N475" s="33">
        <v>0</v>
      </c>
      <c r="O475" s="33">
        <v>0</v>
      </c>
      <c r="P475" s="33">
        <v>0</v>
      </c>
      <c r="Q475" s="33">
        <f t="shared" si="193"/>
        <v>0.99999900000099995</v>
      </c>
      <c r="R475" s="33">
        <v>0</v>
      </c>
      <c r="S475" s="33">
        <f t="shared" si="194"/>
        <v>9.9999900000100006E-7</v>
      </c>
      <c r="T475" s="8">
        <f t="shared" si="195"/>
        <v>1</v>
      </c>
      <c r="U475" s="33">
        <f t="shared" si="184"/>
        <v>0</v>
      </c>
      <c r="V475" s="33">
        <f t="shared" si="185"/>
        <v>-0.99999900000099995</v>
      </c>
      <c r="W475" s="33">
        <f t="shared" si="186"/>
        <v>462.97040099999896</v>
      </c>
      <c r="X475" s="33">
        <v>96485</v>
      </c>
      <c r="Y475" s="16">
        <f t="shared" si="187"/>
        <v>-208.40404333990392</v>
      </c>
      <c r="Z475" s="16">
        <v>9</v>
      </c>
      <c r="AA475" s="16">
        <v>17</v>
      </c>
      <c r="AB475" s="8">
        <f t="shared" si="188"/>
        <v>0.33436532507739936</v>
      </c>
      <c r="AC475" s="16">
        <f t="shared" si="189"/>
        <v>69.616510018742574</v>
      </c>
      <c r="AD475" s="20">
        <f>'PFAS Properties'!$W$34</f>
        <v>8</v>
      </c>
      <c r="AE475" s="8">
        <f>'PFAS Properties'!$S$34</f>
        <v>1.7965743332104296</v>
      </c>
      <c r="AF475" s="15">
        <f>'PFAS Properties'!$V$34</f>
        <v>5.6</v>
      </c>
      <c r="AG475" s="24">
        <v>5.8</v>
      </c>
      <c r="AH475" s="2" t="s">
        <v>834</v>
      </c>
      <c r="AI475" s="15">
        <v>6.5019999999999998</v>
      </c>
      <c r="AJ475" s="16">
        <f t="shared" si="196"/>
        <v>116.42940281135286</v>
      </c>
      <c r="AK475" s="8">
        <f t="shared" si="197"/>
        <v>0.6502</v>
      </c>
      <c r="AL475" s="15">
        <v>1.732</v>
      </c>
      <c r="AM475" s="16">
        <f t="shared" si="198"/>
        <v>64.195700518902896</v>
      </c>
      <c r="AN475" s="8">
        <f t="shared" si="199"/>
        <v>0.17319999999999999</v>
      </c>
      <c r="AO475" s="15" t="s">
        <v>31</v>
      </c>
      <c r="AP475" s="16">
        <v>90</v>
      </c>
      <c r="AQ475" s="16" t="s">
        <v>689</v>
      </c>
      <c r="AR475" s="16">
        <v>46</v>
      </c>
      <c r="AS475" s="16">
        <v>51</v>
      </c>
      <c r="AT475" s="16">
        <v>3</v>
      </c>
      <c r="AU475" s="16" t="s">
        <v>664</v>
      </c>
      <c r="AV475" s="16">
        <f t="shared" si="179"/>
        <v>100</v>
      </c>
      <c r="AW475" s="20">
        <v>27</v>
      </c>
      <c r="AX475" s="13">
        <f t="shared" si="200"/>
        <v>0.27</v>
      </c>
      <c r="AY475" s="8" t="s">
        <v>32</v>
      </c>
      <c r="AZ475" s="16">
        <f t="shared" si="201"/>
        <v>100</v>
      </c>
      <c r="BA475" s="16" t="s">
        <v>55</v>
      </c>
      <c r="BB475" s="16">
        <v>570</v>
      </c>
      <c r="BC475" s="16" t="s">
        <v>55</v>
      </c>
      <c r="BD475" s="18">
        <v>96</v>
      </c>
      <c r="BE475" s="15">
        <f t="shared" si="190"/>
        <v>355.55555555555554</v>
      </c>
      <c r="BF475" s="8">
        <f t="shared" si="191"/>
        <v>2.5509074688805811</v>
      </c>
      <c r="BG475" s="8">
        <f t="shared" si="192"/>
        <v>1.9822712330395684</v>
      </c>
      <c r="BH475" s="2" t="s">
        <v>841</v>
      </c>
      <c r="BI475" s="2"/>
      <c r="BJ475" s="2"/>
      <c r="BK475" s="2"/>
      <c r="BL475" s="2"/>
      <c r="BM475" s="20"/>
      <c r="BN475" s="20"/>
      <c r="BO475" s="2"/>
    </row>
    <row r="476" spans="1:67" s="14" customFormat="1" x14ac:dyDescent="0.3">
      <c r="A476" s="20">
        <v>483</v>
      </c>
      <c r="B476" s="2" t="s">
        <v>200</v>
      </c>
      <c r="C476" s="2">
        <v>2021</v>
      </c>
      <c r="D476" s="2" t="s">
        <v>201</v>
      </c>
      <c r="E476" s="10" t="s">
        <v>794</v>
      </c>
      <c r="F476" s="20" t="s">
        <v>29</v>
      </c>
      <c r="G476" s="2" t="s">
        <v>35</v>
      </c>
      <c r="H476" s="2" t="str">
        <f>'PFAS Properties'!$B$34</f>
        <v>PFNA</v>
      </c>
      <c r="I476" s="2" t="str">
        <f>'PFAS Properties'!$C$34</f>
        <v>PFCA</v>
      </c>
      <c r="J476" s="2" t="str">
        <f>'PFAS Properties'!$D$34</f>
        <v>C9HF17O2</v>
      </c>
      <c r="K476" s="25">
        <f>'PFAS Properties'!$P$34</f>
        <v>463.97039999999998</v>
      </c>
      <c r="L476" s="2">
        <f>'PFAS Properties'!$X$34</f>
        <v>-0.2</v>
      </c>
      <c r="M476" s="2" t="str">
        <f>'PFAS Properties'!$Y$34</f>
        <v>-</v>
      </c>
      <c r="N476" s="33">
        <v>0</v>
      </c>
      <c r="O476" s="33">
        <v>0</v>
      </c>
      <c r="P476" s="33">
        <v>0</v>
      </c>
      <c r="Q476" s="33">
        <f t="shared" si="193"/>
        <v>0.99999874107617315</v>
      </c>
      <c r="R476" s="33">
        <v>0</v>
      </c>
      <c r="S476" s="33">
        <f t="shared" si="194"/>
        <v>1.2589238269029671E-6</v>
      </c>
      <c r="T476" s="8">
        <f t="shared" si="195"/>
        <v>1</v>
      </c>
      <c r="U476" s="33">
        <f t="shared" si="184"/>
        <v>0</v>
      </c>
      <c r="V476" s="33">
        <f t="shared" si="185"/>
        <v>-0.99999874107617315</v>
      </c>
      <c r="W476" s="33">
        <f t="shared" si="186"/>
        <v>462.9704012589238</v>
      </c>
      <c r="X476" s="33">
        <v>96485</v>
      </c>
      <c r="Y476" s="16">
        <f t="shared" si="187"/>
        <v>-208.40398926231532</v>
      </c>
      <c r="Z476" s="16">
        <v>9</v>
      </c>
      <c r="AA476" s="16">
        <v>17</v>
      </c>
      <c r="AB476" s="8">
        <f t="shared" si="188"/>
        <v>0.33436532507739936</v>
      </c>
      <c r="AC476" s="16">
        <f t="shared" si="189"/>
        <v>69.616510018742574</v>
      </c>
      <c r="AD476" s="20">
        <f>'PFAS Properties'!$W$34</f>
        <v>8</v>
      </c>
      <c r="AE476" s="8">
        <f>'PFAS Properties'!$S$34</f>
        <v>1.7965743332104296</v>
      </c>
      <c r="AF476" s="15">
        <f>'PFAS Properties'!$V$34</f>
        <v>5.6</v>
      </c>
      <c r="AG476" s="24">
        <v>5.7</v>
      </c>
      <c r="AH476" s="2" t="s">
        <v>834</v>
      </c>
      <c r="AI476" s="15">
        <v>12.358000000000001</v>
      </c>
      <c r="AJ476" s="16">
        <f t="shared" si="196"/>
        <v>221.29107350702839</v>
      </c>
      <c r="AK476" s="8">
        <f t="shared" si="197"/>
        <v>1.2358</v>
      </c>
      <c r="AL476" s="15">
        <v>1.0269999999999999</v>
      </c>
      <c r="AM476" s="16">
        <f t="shared" si="198"/>
        <v>38.065233506300963</v>
      </c>
      <c r="AN476" s="8">
        <f t="shared" si="199"/>
        <v>0.10269999999999999</v>
      </c>
      <c r="AO476" s="15" t="s">
        <v>31</v>
      </c>
      <c r="AP476" s="16">
        <v>103</v>
      </c>
      <c r="AQ476" s="16" t="s">
        <v>689</v>
      </c>
      <c r="AR476" s="16">
        <v>35</v>
      </c>
      <c r="AS476" s="16">
        <v>63</v>
      </c>
      <c r="AT476" s="16">
        <v>2</v>
      </c>
      <c r="AU476" s="16" t="s">
        <v>664</v>
      </c>
      <c r="AV476" s="16">
        <f t="shared" si="179"/>
        <v>100</v>
      </c>
      <c r="AW476" s="20">
        <v>32</v>
      </c>
      <c r="AX476" s="13">
        <f t="shared" si="200"/>
        <v>0.32</v>
      </c>
      <c r="AY476" s="8" t="s">
        <v>32</v>
      </c>
      <c r="AZ476" s="16">
        <f t="shared" si="201"/>
        <v>100</v>
      </c>
      <c r="BA476" s="16" t="s">
        <v>55</v>
      </c>
      <c r="BB476" s="16">
        <v>570</v>
      </c>
      <c r="BC476" s="16" t="s">
        <v>55</v>
      </c>
      <c r="BD476" s="18">
        <v>117</v>
      </c>
      <c r="BE476" s="15">
        <f t="shared" si="190"/>
        <v>365.625</v>
      </c>
      <c r="BF476" s="8">
        <f t="shared" si="191"/>
        <v>2.5630358834262559</v>
      </c>
      <c r="BG476" s="8">
        <f t="shared" si="192"/>
        <v>2.0681858617461617</v>
      </c>
      <c r="BH476" s="2" t="s">
        <v>841</v>
      </c>
      <c r="BI476" s="2"/>
      <c r="BJ476" s="2"/>
      <c r="BK476" s="2"/>
      <c r="BL476" s="2"/>
      <c r="BM476" s="20"/>
      <c r="BN476" s="20"/>
      <c r="BO476" s="2"/>
    </row>
    <row r="477" spans="1:67" s="14" customFormat="1" x14ac:dyDescent="0.3">
      <c r="A477" s="20">
        <v>484</v>
      </c>
      <c r="B477" s="2" t="s">
        <v>200</v>
      </c>
      <c r="C477" s="2">
        <v>2021</v>
      </c>
      <c r="D477" s="2" t="s">
        <v>201</v>
      </c>
      <c r="E477" s="10" t="s">
        <v>794</v>
      </c>
      <c r="F477" s="20" t="s">
        <v>29</v>
      </c>
      <c r="G477" s="2" t="s">
        <v>36</v>
      </c>
      <c r="H477" s="2" t="str">
        <f>'PFAS Properties'!$B$34</f>
        <v>PFNA</v>
      </c>
      <c r="I477" s="2" t="str">
        <f>'PFAS Properties'!$C$34</f>
        <v>PFCA</v>
      </c>
      <c r="J477" s="2" t="str">
        <f>'PFAS Properties'!$D$34</f>
        <v>C9HF17O2</v>
      </c>
      <c r="K477" s="25">
        <f>'PFAS Properties'!$P$34</f>
        <v>463.97039999999998</v>
      </c>
      <c r="L477" s="2">
        <f>'PFAS Properties'!$X$34</f>
        <v>-0.2</v>
      </c>
      <c r="M477" s="2" t="str">
        <f>'PFAS Properties'!$Y$34</f>
        <v>-</v>
      </c>
      <c r="N477" s="33">
        <v>0</v>
      </c>
      <c r="O477" s="33">
        <v>0</v>
      </c>
      <c r="P477" s="33">
        <v>0</v>
      </c>
      <c r="Q477" s="33">
        <f t="shared" si="193"/>
        <v>0.99999874107617315</v>
      </c>
      <c r="R477" s="33">
        <v>0</v>
      </c>
      <c r="S477" s="33">
        <f t="shared" si="194"/>
        <v>1.2589238269029671E-6</v>
      </c>
      <c r="T477" s="8">
        <f t="shared" si="195"/>
        <v>1</v>
      </c>
      <c r="U477" s="33">
        <f t="shared" si="184"/>
        <v>0</v>
      </c>
      <c r="V477" s="33">
        <f t="shared" si="185"/>
        <v>-0.99999874107617315</v>
      </c>
      <c r="W477" s="33">
        <f t="shared" si="186"/>
        <v>462.9704012589238</v>
      </c>
      <c r="X477" s="33">
        <v>96485</v>
      </c>
      <c r="Y477" s="16">
        <f t="shared" si="187"/>
        <v>-208.40398926231532</v>
      </c>
      <c r="Z477" s="16">
        <v>9</v>
      </c>
      <c r="AA477" s="16">
        <v>17</v>
      </c>
      <c r="AB477" s="8">
        <f t="shared" si="188"/>
        <v>0.33436532507739936</v>
      </c>
      <c r="AC477" s="16">
        <f t="shared" si="189"/>
        <v>69.616510018742574</v>
      </c>
      <c r="AD477" s="20">
        <f>'PFAS Properties'!$W$34</f>
        <v>8</v>
      </c>
      <c r="AE477" s="8">
        <f>'PFAS Properties'!$S$34</f>
        <v>1.7965743332104296</v>
      </c>
      <c r="AF477" s="15">
        <f>'PFAS Properties'!$V$34</f>
        <v>5.6</v>
      </c>
      <c r="AG477" s="24">
        <v>5.7</v>
      </c>
      <c r="AH477" s="2" t="s">
        <v>834</v>
      </c>
      <c r="AI477" s="15">
        <v>10.64</v>
      </c>
      <c r="AJ477" s="16">
        <f t="shared" si="196"/>
        <v>190.52735249350883</v>
      </c>
      <c r="AK477" s="8">
        <f t="shared" si="197"/>
        <v>1.0640000000000001</v>
      </c>
      <c r="AL477" s="15">
        <v>0.16700000000000001</v>
      </c>
      <c r="AM477" s="16">
        <f t="shared" si="198"/>
        <v>6.1897702001482582</v>
      </c>
      <c r="AN477" s="8">
        <f t="shared" si="199"/>
        <v>1.67E-2</v>
      </c>
      <c r="AO477" s="15" t="s">
        <v>31</v>
      </c>
      <c r="AP477" s="16">
        <v>140</v>
      </c>
      <c r="AQ477" s="16" t="s">
        <v>689</v>
      </c>
      <c r="AR477" s="16">
        <v>20.7</v>
      </c>
      <c r="AS477" s="16">
        <v>78</v>
      </c>
      <c r="AT477" s="16">
        <v>1.3</v>
      </c>
      <c r="AU477" s="16" t="s">
        <v>664</v>
      </c>
      <c r="AV477" s="16">
        <f t="shared" si="179"/>
        <v>100</v>
      </c>
      <c r="AW477" s="20">
        <v>39</v>
      </c>
      <c r="AX477" s="13">
        <f t="shared" si="200"/>
        <v>0.39</v>
      </c>
      <c r="AY477" s="8" t="s">
        <v>32</v>
      </c>
      <c r="AZ477" s="16">
        <f t="shared" si="201"/>
        <v>100</v>
      </c>
      <c r="BA477" s="16" t="s">
        <v>55</v>
      </c>
      <c r="BB477" s="16">
        <v>570</v>
      </c>
      <c r="BC477" s="16" t="s">
        <v>55</v>
      </c>
      <c r="BD477" s="18">
        <v>122</v>
      </c>
      <c r="BE477" s="15">
        <f t="shared" si="190"/>
        <v>312.82051282051282</v>
      </c>
      <c r="BF477" s="8">
        <f t="shared" si="191"/>
        <v>2.4952952236482489</v>
      </c>
      <c r="BG477" s="8">
        <f t="shared" si="192"/>
        <v>2.0863598306747484</v>
      </c>
      <c r="BH477" s="2" t="s">
        <v>841</v>
      </c>
      <c r="BI477" s="2"/>
      <c r="BJ477" s="2"/>
      <c r="BK477" s="2"/>
      <c r="BL477" s="2"/>
      <c r="BM477" s="20"/>
      <c r="BN477" s="20"/>
      <c r="BO477" s="2"/>
    </row>
    <row r="478" spans="1:67" s="14" customFormat="1" x14ac:dyDescent="0.3">
      <c r="A478" s="20">
        <v>485</v>
      </c>
      <c r="B478" s="2" t="s">
        <v>200</v>
      </c>
      <c r="C478" s="2">
        <v>2021</v>
      </c>
      <c r="D478" s="2" t="s">
        <v>201</v>
      </c>
      <c r="E478" s="10" t="s">
        <v>794</v>
      </c>
      <c r="F478" s="20" t="s">
        <v>29</v>
      </c>
      <c r="G478" s="2" t="s">
        <v>38</v>
      </c>
      <c r="H478" s="2" t="str">
        <f>'PFAS Properties'!$B$34</f>
        <v>PFNA</v>
      </c>
      <c r="I478" s="2" t="str">
        <f>'PFAS Properties'!$C$34</f>
        <v>PFCA</v>
      </c>
      <c r="J478" s="2" t="str">
        <f>'PFAS Properties'!$D$34</f>
        <v>C9HF17O2</v>
      </c>
      <c r="K478" s="25">
        <f>'PFAS Properties'!$P$34</f>
        <v>463.97039999999998</v>
      </c>
      <c r="L478" s="2">
        <f>'PFAS Properties'!$X$34</f>
        <v>-0.2</v>
      </c>
      <c r="M478" s="2" t="str">
        <f>'PFAS Properties'!$Y$34</f>
        <v>-</v>
      </c>
      <c r="N478" s="33">
        <v>0</v>
      </c>
      <c r="O478" s="33">
        <v>0</v>
      </c>
      <c r="P478" s="33">
        <v>0</v>
      </c>
      <c r="Q478" s="33">
        <f t="shared" si="193"/>
        <v>0.99999874107617315</v>
      </c>
      <c r="R478" s="33">
        <v>0</v>
      </c>
      <c r="S478" s="33">
        <f t="shared" si="194"/>
        <v>1.2589238269029671E-6</v>
      </c>
      <c r="T478" s="8">
        <f t="shared" si="195"/>
        <v>1</v>
      </c>
      <c r="U478" s="33">
        <f t="shared" si="184"/>
        <v>0</v>
      </c>
      <c r="V478" s="33">
        <f t="shared" si="185"/>
        <v>-0.99999874107617315</v>
      </c>
      <c r="W478" s="33">
        <f t="shared" si="186"/>
        <v>462.9704012589238</v>
      </c>
      <c r="X478" s="33">
        <v>96485</v>
      </c>
      <c r="Y478" s="16">
        <f t="shared" si="187"/>
        <v>-208.40398926231532</v>
      </c>
      <c r="Z478" s="16">
        <v>9</v>
      </c>
      <c r="AA478" s="16">
        <v>17</v>
      </c>
      <c r="AB478" s="8">
        <f t="shared" si="188"/>
        <v>0.33436532507739936</v>
      </c>
      <c r="AC478" s="16">
        <f t="shared" si="189"/>
        <v>69.616510018742574</v>
      </c>
      <c r="AD478" s="20">
        <f>'PFAS Properties'!$W$34</f>
        <v>8</v>
      </c>
      <c r="AE478" s="8">
        <f>'PFAS Properties'!$S$34</f>
        <v>1.7965743332104296</v>
      </c>
      <c r="AF478" s="15">
        <f>'PFAS Properties'!$V$34</f>
        <v>5.6</v>
      </c>
      <c r="AG478" s="24">
        <v>5.7</v>
      </c>
      <c r="AH478" s="2" t="s">
        <v>834</v>
      </c>
      <c r="AI478" s="15">
        <v>19.667999999999999</v>
      </c>
      <c r="AJ478" s="16">
        <f t="shared" si="196"/>
        <v>352.18909481600861</v>
      </c>
      <c r="AK478" s="8">
        <f t="shared" si="197"/>
        <v>1.9667999999999999</v>
      </c>
      <c r="AL478" s="15">
        <v>0.48099999999999998</v>
      </c>
      <c r="AM478" s="16">
        <f t="shared" si="198"/>
        <v>17.828020756115642</v>
      </c>
      <c r="AN478" s="8">
        <f t="shared" si="199"/>
        <v>4.8099999999999997E-2</v>
      </c>
      <c r="AO478" s="15" t="s">
        <v>31</v>
      </c>
      <c r="AP478" s="16">
        <v>114</v>
      </c>
      <c r="AQ478" s="16" t="s">
        <v>689</v>
      </c>
      <c r="AR478" s="16">
        <v>20</v>
      </c>
      <c r="AS478" s="16">
        <v>78.900000000000006</v>
      </c>
      <c r="AT478" s="16">
        <v>1.1000000000000001</v>
      </c>
      <c r="AU478" s="16" t="s">
        <v>664</v>
      </c>
      <c r="AV478" s="16">
        <f t="shared" si="179"/>
        <v>100</v>
      </c>
      <c r="AW478" s="20">
        <v>41</v>
      </c>
      <c r="AX478" s="13">
        <f t="shared" si="200"/>
        <v>0.41</v>
      </c>
      <c r="AY478" s="8" t="s">
        <v>32</v>
      </c>
      <c r="AZ478" s="16">
        <f t="shared" si="201"/>
        <v>100</v>
      </c>
      <c r="BA478" s="16" t="s">
        <v>55</v>
      </c>
      <c r="BB478" s="16">
        <v>570</v>
      </c>
      <c r="BC478" s="16" t="s">
        <v>55</v>
      </c>
      <c r="BD478" s="18">
        <v>128</v>
      </c>
      <c r="BE478" s="15">
        <f t="shared" si="190"/>
        <v>312.19512195121951</v>
      </c>
      <c r="BF478" s="8">
        <f t="shared" si="191"/>
        <v>2.4944261129281329</v>
      </c>
      <c r="BG478" s="8">
        <f t="shared" si="192"/>
        <v>2.1072099696478683</v>
      </c>
      <c r="BH478" s="2" t="s">
        <v>841</v>
      </c>
      <c r="BI478" s="2"/>
      <c r="BJ478" s="2"/>
      <c r="BK478" s="2"/>
      <c r="BL478" s="2"/>
      <c r="BM478" s="20"/>
      <c r="BN478" s="20"/>
      <c r="BO478" s="2"/>
    </row>
    <row r="479" spans="1:67" s="14" customFormat="1" x14ac:dyDescent="0.3">
      <c r="A479" s="20">
        <v>486</v>
      </c>
      <c r="B479" s="2" t="s">
        <v>214</v>
      </c>
      <c r="C479" s="2">
        <v>2022</v>
      </c>
      <c r="D479" s="2" t="s">
        <v>201</v>
      </c>
      <c r="E479" s="22" t="s">
        <v>808</v>
      </c>
      <c r="F479" s="20" t="s">
        <v>29</v>
      </c>
      <c r="G479" s="2" t="s">
        <v>215</v>
      </c>
      <c r="H479" s="2" t="str">
        <f>'PFAS Properties'!$B$34</f>
        <v>PFNA</v>
      </c>
      <c r="I479" s="2" t="str">
        <f>'PFAS Properties'!$C$34</f>
        <v>PFCA</v>
      </c>
      <c r="J479" s="2" t="str">
        <f>'PFAS Properties'!$D$34</f>
        <v>C9HF17O2</v>
      </c>
      <c r="K479" s="25">
        <f>'PFAS Properties'!$P$34</f>
        <v>463.97039999999998</v>
      </c>
      <c r="L479" s="2">
        <f>'PFAS Properties'!$X$34</f>
        <v>-0.2</v>
      </c>
      <c r="M479" s="2" t="str">
        <f>'PFAS Properties'!$Y$34</f>
        <v>-</v>
      </c>
      <c r="N479" s="33">
        <v>0</v>
      </c>
      <c r="O479" s="33">
        <v>0</v>
      </c>
      <c r="P479" s="33">
        <v>0</v>
      </c>
      <c r="Q479" s="33">
        <f t="shared" si="193"/>
        <v>0.99999000009999905</v>
      </c>
      <c r="R479" s="33">
        <v>0</v>
      </c>
      <c r="S479" s="33">
        <f t="shared" si="194"/>
        <v>9.9999000009999908E-6</v>
      </c>
      <c r="T479" s="8">
        <f t="shared" si="195"/>
        <v>1</v>
      </c>
      <c r="U479" s="33">
        <f t="shared" si="184"/>
        <v>0</v>
      </c>
      <c r="V479" s="33">
        <f t="shared" si="185"/>
        <v>-0.99999000009999905</v>
      </c>
      <c r="W479" s="33">
        <f t="shared" si="186"/>
        <v>462.97040999990003</v>
      </c>
      <c r="X479" s="33">
        <v>96485</v>
      </c>
      <c r="Y479" s="16">
        <f t="shared" si="187"/>
        <v>-208.40216367104162</v>
      </c>
      <c r="Z479" s="16">
        <v>9</v>
      </c>
      <c r="AA479" s="16">
        <v>17</v>
      </c>
      <c r="AB479" s="8">
        <f t="shared" si="188"/>
        <v>0.33436532507739936</v>
      </c>
      <c r="AC479" s="16">
        <f t="shared" si="189"/>
        <v>69.616510018742574</v>
      </c>
      <c r="AD479" s="20">
        <f>'PFAS Properties'!$W$34</f>
        <v>8</v>
      </c>
      <c r="AE479" s="8">
        <f>'PFAS Properties'!$S$34</f>
        <v>1.7965743332104296</v>
      </c>
      <c r="AF479" s="15">
        <f>'PFAS Properties'!$V$34</f>
        <v>5.6</v>
      </c>
      <c r="AG479" s="24">
        <v>4.8</v>
      </c>
      <c r="AH479" s="2" t="s">
        <v>216</v>
      </c>
      <c r="AI479" s="2">
        <v>8.3000000000000007</v>
      </c>
      <c r="AJ479" s="15">
        <f t="shared" si="196"/>
        <v>148.62566030978601</v>
      </c>
      <c r="AK479" s="15">
        <f t="shared" si="197"/>
        <v>0.83000000000000007</v>
      </c>
      <c r="AL479" s="15">
        <v>7.85</v>
      </c>
      <c r="AM479" s="15">
        <f t="shared" si="198"/>
        <v>290.95626389918459</v>
      </c>
      <c r="AN479" s="15">
        <f t="shared" si="199"/>
        <v>0.78499999999999992</v>
      </c>
      <c r="AO479" s="15" t="s">
        <v>217</v>
      </c>
      <c r="AP479" s="71">
        <v>15.34083666666667</v>
      </c>
      <c r="AQ479" s="70" t="s">
        <v>752</v>
      </c>
      <c r="AR479" s="16">
        <v>32</v>
      </c>
      <c r="AS479" s="16">
        <v>40</v>
      </c>
      <c r="AT479" s="16">
        <v>28</v>
      </c>
      <c r="AU479" s="2" t="s">
        <v>661</v>
      </c>
      <c r="AV479" s="16">
        <f t="shared" si="179"/>
        <v>100</v>
      </c>
      <c r="AW479" s="20">
        <v>4.9000000000000004</v>
      </c>
      <c r="AX479" s="13">
        <f t="shared" si="200"/>
        <v>4.9000000000000002E-2</v>
      </c>
      <c r="AY479" s="8" t="s">
        <v>218</v>
      </c>
      <c r="AZ479" s="16">
        <f>1.5/0.075</f>
        <v>20</v>
      </c>
      <c r="BA479" s="16" t="s">
        <v>55</v>
      </c>
      <c r="BB479" s="16">
        <v>10</v>
      </c>
      <c r="BC479" s="16" t="s">
        <v>55</v>
      </c>
      <c r="BD479" s="18">
        <v>6</v>
      </c>
      <c r="BE479" s="15">
        <f t="shared" si="190"/>
        <v>122.44897959183673</v>
      </c>
      <c r="BF479" s="8">
        <f t="shared" si="191"/>
        <v>2.08795517035513</v>
      </c>
      <c r="BG479" s="8">
        <f t="shared" si="192"/>
        <v>0.77815125038364363</v>
      </c>
      <c r="BH479" s="13" t="s">
        <v>374</v>
      </c>
      <c r="BI479" s="13"/>
      <c r="BJ479" s="13"/>
      <c r="BK479" s="13"/>
      <c r="BL479" s="13"/>
      <c r="BM479" s="17"/>
      <c r="BN479" s="17"/>
      <c r="BO479" s="2"/>
    </row>
    <row r="480" spans="1:67" s="14" customFormat="1" x14ac:dyDescent="0.3">
      <c r="A480" s="20">
        <v>487</v>
      </c>
      <c r="B480" s="2" t="s">
        <v>214</v>
      </c>
      <c r="C480" s="2">
        <v>2022</v>
      </c>
      <c r="D480" s="2" t="s">
        <v>201</v>
      </c>
      <c r="E480" s="10" t="s">
        <v>808</v>
      </c>
      <c r="F480" s="20" t="s">
        <v>29</v>
      </c>
      <c r="G480" s="2" t="s">
        <v>233</v>
      </c>
      <c r="H480" s="2" t="str">
        <f>'PFAS Properties'!$B$34</f>
        <v>PFNA</v>
      </c>
      <c r="I480" s="2" t="str">
        <f>'PFAS Properties'!$C$34</f>
        <v>PFCA</v>
      </c>
      <c r="J480" s="2" t="str">
        <f>'PFAS Properties'!$D$34</f>
        <v>C9HF17O2</v>
      </c>
      <c r="K480" s="25">
        <f>'PFAS Properties'!$P$34</f>
        <v>463.97039999999998</v>
      </c>
      <c r="L480" s="2">
        <f>'PFAS Properties'!$X$34</f>
        <v>-0.2</v>
      </c>
      <c r="M480" s="2" t="str">
        <f>'PFAS Properties'!$Y$34</f>
        <v>-</v>
      </c>
      <c r="N480" s="33">
        <v>0</v>
      </c>
      <c r="O480" s="33">
        <v>0</v>
      </c>
      <c r="P480" s="33">
        <v>0</v>
      </c>
      <c r="Q480" s="33">
        <f t="shared" si="193"/>
        <v>0.9999992056723962</v>
      </c>
      <c r="R480" s="33">
        <v>0</v>
      </c>
      <c r="S480" s="33">
        <f t="shared" si="194"/>
        <v>7.9432760376743655E-7</v>
      </c>
      <c r="T480" s="8">
        <f t="shared" si="195"/>
        <v>1</v>
      </c>
      <c r="U480" s="33">
        <f t="shared" si="184"/>
        <v>0</v>
      </c>
      <c r="V480" s="33">
        <f t="shared" si="185"/>
        <v>-0.9999992056723962</v>
      </c>
      <c r="W480" s="33">
        <f t="shared" si="186"/>
        <v>462.97040079432759</v>
      </c>
      <c r="X480" s="33">
        <v>96485</v>
      </c>
      <c r="Y480" s="16">
        <f t="shared" si="187"/>
        <v>-208.40408629527943</v>
      </c>
      <c r="Z480" s="16">
        <v>9</v>
      </c>
      <c r="AA480" s="16">
        <v>17</v>
      </c>
      <c r="AB480" s="8">
        <f t="shared" si="188"/>
        <v>0.33436532507739936</v>
      </c>
      <c r="AC480" s="16">
        <f t="shared" si="189"/>
        <v>69.616510018742574</v>
      </c>
      <c r="AD480" s="20">
        <f>'PFAS Properties'!$W$34</f>
        <v>8</v>
      </c>
      <c r="AE480" s="8">
        <f>'PFAS Properties'!$S$34</f>
        <v>1.7965743332104296</v>
      </c>
      <c r="AF480" s="15">
        <f>'PFAS Properties'!$V$34</f>
        <v>5.6</v>
      </c>
      <c r="AG480" s="24">
        <v>5.9</v>
      </c>
      <c r="AH480" s="2" t="s">
        <v>216</v>
      </c>
      <c r="AI480" s="2">
        <v>1.4</v>
      </c>
      <c r="AJ480" s="15">
        <f t="shared" si="196"/>
        <v>25.069388485988004</v>
      </c>
      <c r="AK480" s="15">
        <f t="shared" si="197"/>
        <v>0.13999999999999999</v>
      </c>
      <c r="AL480" s="15">
        <v>0.92</v>
      </c>
      <c r="AM480" s="15">
        <f t="shared" si="198"/>
        <v>34.099332839140104</v>
      </c>
      <c r="AN480" s="15">
        <f t="shared" si="199"/>
        <v>9.1999999999999998E-2</v>
      </c>
      <c r="AO480" s="15" t="s">
        <v>217</v>
      </c>
      <c r="AP480" s="71">
        <v>15.34083666666667</v>
      </c>
      <c r="AQ480" s="70" t="s">
        <v>752</v>
      </c>
      <c r="AR480" s="16">
        <v>37</v>
      </c>
      <c r="AS480" s="16">
        <v>22</v>
      </c>
      <c r="AT480" s="16">
        <v>41</v>
      </c>
      <c r="AU480" s="2" t="s">
        <v>661</v>
      </c>
      <c r="AV480" s="16">
        <f t="shared" si="179"/>
        <v>100</v>
      </c>
      <c r="AW480" s="20">
        <v>2.6</v>
      </c>
      <c r="AX480" s="13">
        <f t="shared" si="200"/>
        <v>2.6000000000000002E-2</v>
      </c>
      <c r="AY480" s="8" t="s">
        <v>218</v>
      </c>
      <c r="AZ480" s="16">
        <f>1.5/0.075</f>
        <v>20</v>
      </c>
      <c r="BA480" s="16" t="s">
        <v>55</v>
      </c>
      <c r="BB480" s="16">
        <v>10</v>
      </c>
      <c r="BC480" s="16" t="s">
        <v>55</v>
      </c>
      <c r="BD480" s="18">
        <v>2.75</v>
      </c>
      <c r="BE480" s="15">
        <f t="shared" si="190"/>
        <v>105.76923076923076</v>
      </c>
      <c r="BF480" s="8">
        <f t="shared" si="191"/>
        <v>2.0243593458594447</v>
      </c>
      <c r="BG480" s="8">
        <f t="shared" si="192"/>
        <v>0.43933269383026263</v>
      </c>
      <c r="BH480" s="13" t="s">
        <v>374</v>
      </c>
      <c r="BI480" s="13"/>
      <c r="BJ480" s="13"/>
      <c r="BK480" s="13"/>
      <c r="BL480" s="13"/>
      <c r="BM480" s="17"/>
      <c r="BN480" s="17"/>
      <c r="BO480" s="2"/>
    </row>
    <row r="481" spans="1:69" s="14" customFormat="1" x14ac:dyDescent="0.3">
      <c r="A481" s="20">
        <v>488</v>
      </c>
      <c r="B481" s="2" t="s">
        <v>210</v>
      </c>
      <c r="C481" s="2">
        <v>2010</v>
      </c>
      <c r="D481" s="2" t="s">
        <v>209</v>
      </c>
      <c r="E481" s="10" t="s">
        <v>208</v>
      </c>
      <c r="F481" s="20" t="s">
        <v>29</v>
      </c>
      <c r="G481" s="2" t="s">
        <v>52</v>
      </c>
      <c r="H481" s="2" t="str">
        <f>'PFAS Properties'!$B$35</f>
        <v>PFDA</v>
      </c>
      <c r="I481" s="2" t="str">
        <f>'PFAS Properties'!$C$35</f>
        <v>PFCA</v>
      </c>
      <c r="J481" s="2" t="str">
        <f>'PFAS Properties'!$D$35</f>
        <v>C10HF19O2</v>
      </c>
      <c r="K481" s="25">
        <f>'PFAS Properties'!$P$35</f>
        <v>513.96719999999993</v>
      </c>
      <c r="L481" s="2">
        <f>'PFAS Properties'!$X$35</f>
        <v>-0.2</v>
      </c>
      <c r="M481" s="2" t="str">
        <f>'PFAS Properties'!$Y$35</f>
        <v>-</v>
      </c>
      <c r="N481" s="33">
        <v>0</v>
      </c>
      <c r="O481" s="33">
        <v>0</v>
      </c>
      <c r="P481" s="33">
        <v>0</v>
      </c>
      <c r="Q481" s="33">
        <f t="shared" si="193"/>
        <v>0.99999998415106828</v>
      </c>
      <c r="R481" s="33">
        <v>0</v>
      </c>
      <c r="S481" s="33">
        <f t="shared" si="194"/>
        <v>1.5848931673422493E-8</v>
      </c>
      <c r="T481" s="8">
        <f t="shared" si="195"/>
        <v>1</v>
      </c>
      <c r="U481" s="33">
        <f t="shared" si="184"/>
        <v>0</v>
      </c>
      <c r="V481" s="33">
        <f t="shared" si="185"/>
        <v>-0.99999998415106828</v>
      </c>
      <c r="W481" s="33">
        <f t="shared" si="186"/>
        <v>512.9672000158489</v>
      </c>
      <c r="X481" s="33">
        <v>96485</v>
      </c>
      <c r="Y481" s="16">
        <f t="shared" si="187"/>
        <v>-188.09194519227501</v>
      </c>
      <c r="Z481" s="16">
        <v>10</v>
      </c>
      <c r="AA481" s="16">
        <v>19</v>
      </c>
      <c r="AB481" s="8">
        <f t="shared" si="188"/>
        <v>0.33240997229916897</v>
      </c>
      <c r="AC481" s="16">
        <f t="shared" si="189"/>
        <v>70.237945145137672</v>
      </c>
      <c r="AD481" s="20">
        <f>'PFAS Properties'!$W$35</f>
        <v>9</v>
      </c>
      <c r="AE481" s="8">
        <f>'PFAS Properties'!$S$35</f>
        <v>0.90308998699194354</v>
      </c>
      <c r="AF481" s="15">
        <f>'PFAS Properties'!$V$35</f>
        <v>6.3</v>
      </c>
      <c r="AG481" s="24">
        <v>7.6</v>
      </c>
      <c r="AH481" s="2" t="s">
        <v>661</v>
      </c>
      <c r="AI481" s="2">
        <v>8.1199999999999992</v>
      </c>
      <c r="AJ481" s="15">
        <f t="shared" si="196"/>
        <v>145.40245321873041</v>
      </c>
      <c r="AK481" s="8">
        <f t="shared" si="197"/>
        <v>0.81199999999999994</v>
      </c>
      <c r="AL481" s="2">
        <v>1.294</v>
      </c>
      <c r="AM481" s="15">
        <f t="shared" si="198"/>
        <v>47.961452928094886</v>
      </c>
      <c r="AN481" s="8">
        <f t="shared" si="199"/>
        <v>0.12940000000000002</v>
      </c>
      <c r="AO481" s="15" t="s">
        <v>41</v>
      </c>
      <c r="AP481" s="72">
        <v>5.6985666666666646</v>
      </c>
      <c r="AQ481" s="70" t="s">
        <v>752</v>
      </c>
      <c r="AR481" s="2">
        <v>41</v>
      </c>
      <c r="AS481" s="2">
        <v>22</v>
      </c>
      <c r="AT481" s="2">
        <v>37</v>
      </c>
      <c r="AU481" s="16" t="s">
        <v>661</v>
      </c>
      <c r="AV481" s="16">
        <f t="shared" si="179"/>
        <v>100</v>
      </c>
      <c r="AW481" s="20">
        <v>0.42</v>
      </c>
      <c r="AX481" s="13">
        <f t="shared" si="200"/>
        <v>4.1999999999999997E-3</v>
      </c>
      <c r="AY481" s="13" t="s">
        <v>53</v>
      </c>
      <c r="AZ481" s="16">
        <f>12/0.025</f>
        <v>480</v>
      </c>
      <c r="BA481" s="16" t="s">
        <v>55</v>
      </c>
      <c r="BB481" s="8">
        <v>0.02</v>
      </c>
      <c r="BC481" s="8">
        <v>1</v>
      </c>
      <c r="BD481" s="18">
        <v>33</v>
      </c>
      <c r="BE481" s="15">
        <f t="shared" si="190"/>
        <v>7857.1428571428578</v>
      </c>
      <c r="BF481" s="8">
        <f t="shared" si="191"/>
        <v>3.8952646494799872</v>
      </c>
      <c r="BG481" s="8">
        <f t="shared" si="192"/>
        <v>1.5185139398778875</v>
      </c>
      <c r="BH481" s="13" t="s">
        <v>837</v>
      </c>
      <c r="BI481" s="13"/>
      <c r="BJ481" s="13"/>
      <c r="BK481" s="13"/>
      <c r="BL481" s="13"/>
      <c r="BM481" s="17"/>
      <c r="BN481" s="17"/>
      <c r="BO481" s="2"/>
    </row>
    <row r="482" spans="1:69" s="14" customFormat="1" x14ac:dyDescent="0.3">
      <c r="A482" s="20">
        <v>489</v>
      </c>
      <c r="B482" s="2" t="s">
        <v>210</v>
      </c>
      <c r="C482" s="2">
        <v>2010</v>
      </c>
      <c r="D482" s="2" t="s">
        <v>209</v>
      </c>
      <c r="E482" s="10" t="s">
        <v>208</v>
      </c>
      <c r="F482" s="20" t="s">
        <v>29</v>
      </c>
      <c r="G482" s="2" t="s">
        <v>54</v>
      </c>
      <c r="H482" s="2" t="str">
        <f>'PFAS Properties'!$B$35</f>
        <v>PFDA</v>
      </c>
      <c r="I482" s="2" t="str">
        <f>'PFAS Properties'!$C$35</f>
        <v>PFCA</v>
      </c>
      <c r="J482" s="2" t="str">
        <f>'PFAS Properties'!$D$35</f>
        <v>C10HF19O2</v>
      </c>
      <c r="K482" s="25">
        <f>'PFAS Properties'!$P$35</f>
        <v>513.96719999999993</v>
      </c>
      <c r="L482" s="2">
        <f>'PFAS Properties'!$X$35</f>
        <v>-0.2</v>
      </c>
      <c r="M482" s="2" t="str">
        <f>'PFAS Properties'!$Y$35</f>
        <v>-</v>
      </c>
      <c r="N482" s="33">
        <v>0</v>
      </c>
      <c r="O482" s="33">
        <v>0</v>
      </c>
      <c r="P482" s="33">
        <v>0</v>
      </c>
      <c r="Q482" s="33">
        <f t="shared" si="193"/>
        <v>0.99999949881301753</v>
      </c>
      <c r="R482" s="33">
        <v>0</v>
      </c>
      <c r="S482" s="33">
        <f t="shared" si="194"/>
        <v>5.0118698243875488E-7</v>
      </c>
      <c r="T482" s="8">
        <f t="shared" si="195"/>
        <v>1</v>
      </c>
      <c r="U482" s="33">
        <f t="shared" si="184"/>
        <v>0</v>
      </c>
      <c r="V482" s="33">
        <f t="shared" si="185"/>
        <v>-0.99999949881301753</v>
      </c>
      <c r="W482" s="33">
        <f t="shared" si="186"/>
        <v>512.96720050118699</v>
      </c>
      <c r="X482" s="33">
        <v>96485</v>
      </c>
      <c r="Y482" s="16">
        <f t="shared" si="187"/>
        <v>-188.09185372613456</v>
      </c>
      <c r="Z482" s="16">
        <v>10</v>
      </c>
      <c r="AA482" s="16">
        <v>19</v>
      </c>
      <c r="AB482" s="8">
        <f t="shared" si="188"/>
        <v>0.33240997229916897</v>
      </c>
      <c r="AC482" s="16">
        <f t="shared" si="189"/>
        <v>70.237945145137672</v>
      </c>
      <c r="AD482" s="20">
        <f>'PFAS Properties'!$W$35</f>
        <v>9</v>
      </c>
      <c r="AE482" s="8">
        <f>'PFAS Properties'!$S$35</f>
        <v>0.90308998699194354</v>
      </c>
      <c r="AF482" s="15">
        <f>'PFAS Properties'!$V$35</f>
        <v>6.3</v>
      </c>
      <c r="AG482" s="24">
        <v>6.1</v>
      </c>
      <c r="AH482" s="2" t="s">
        <v>661</v>
      </c>
      <c r="AI482" s="2">
        <v>2.73</v>
      </c>
      <c r="AJ482" s="15">
        <f t="shared" si="196"/>
        <v>48.885307547676604</v>
      </c>
      <c r="AK482" s="8">
        <f t="shared" si="197"/>
        <v>0.27300000000000002</v>
      </c>
      <c r="AL482" s="2">
        <v>2.6320000000000001</v>
      </c>
      <c r="AM482" s="15">
        <f t="shared" si="198"/>
        <v>97.553743513713854</v>
      </c>
      <c r="AN482" s="8">
        <f t="shared" si="199"/>
        <v>0.26319999999999999</v>
      </c>
      <c r="AO482" s="15" t="s">
        <v>41</v>
      </c>
      <c r="AP482" s="72">
        <v>12.81991666666667</v>
      </c>
      <c r="AQ482" s="70" t="s">
        <v>752</v>
      </c>
      <c r="AR482" s="2">
        <v>94</v>
      </c>
      <c r="AS482" s="2">
        <v>1</v>
      </c>
      <c r="AT482" s="2">
        <v>5</v>
      </c>
      <c r="AU482" s="16" t="s">
        <v>661</v>
      </c>
      <c r="AV482" s="16">
        <f t="shared" si="179"/>
        <v>100</v>
      </c>
      <c r="AW482" s="20">
        <v>1</v>
      </c>
      <c r="AX482" s="13">
        <f t="shared" si="200"/>
        <v>0.01</v>
      </c>
      <c r="AY482" s="13" t="s">
        <v>53</v>
      </c>
      <c r="AZ482" s="16">
        <f>12/0.025</f>
        <v>480</v>
      </c>
      <c r="BA482" s="16" t="s">
        <v>55</v>
      </c>
      <c r="BB482" s="8">
        <v>0.02</v>
      </c>
      <c r="BC482" s="8">
        <v>1</v>
      </c>
      <c r="BD482" s="18">
        <v>30</v>
      </c>
      <c r="BE482" s="15">
        <f t="shared" si="190"/>
        <v>3000</v>
      </c>
      <c r="BF482" s="8">
        <f t="shared" si="191"/>
        <v>3.4771212547196626</v>
      </c>
      <c r="BG482" s="8">
        <f t="shared" si="192"/>
        <v>1.4771212547196624</v>
      </c>
      <c r="BH482" s="13" t="s">
        <v>837</v>
      </c>
      <c r="BI482" s="2"/>
      <c r="BJ482" s="2"/>
      <c r="BK482" s="2"/>
      <c r="BL482" s="2"/>
      <c r="BM482" s="2"/>
      <c r="BN482" s="2"/>
      <c r="BO482" s="2"/>
    </row>
    <row r="483" spans="1:69" s="14" customFormat="1" x14ac:dyDescent="0.3">
      <c r="A483" s="20">
        <v>490</v>
      </c>
      <c r="B483" s="2" t="s">
        <v>204</v>
      </c>
      <c r="C483" s="2">
        <v>2013</v>
      </c>
      <c r="D483" s="2" t="s">
        <v>203</v>
      </c>
      <c r="E483" s="22" t="s">
        <v>792</v>
      </c>
      <c r="F483" s="20" t="s">
        <v>29</v>
      </c>
      <c r="G483" s="2" t="s">
        <v>46</v>
      </c>
      <c r="H483" s="2" t="str">
        <f>'PFAS Properties'!$B$35</f>
        <v>PFDA</v>
      </c>
      <c r="I483" s="2" t="str">
        <f>'PFAS Properties'!$C$35</f>
        <v>PFCA</v>
      </c>
      <c r="J483" s="2" t="str">
        <f>'PFAS Properties'!$D$35</f>
        <v>C10HF19O2</v>
      </c>
      <c r="K483" s="25">
        <f>'PFAS Properties'!$P$35</f>
        <v>513.96719999999993</v>
      </c>
      <c r="L483" s="2">
        <f>'PFAS Properties'!$X$35</f>
        <v>-0.2</v>
      </c>
      <c r="M483" s="2" t="str">
        <f>'PFAS Properties'!$Y$35</f>
        <v>-</v>
      </c>
      <c r="N483" s="33">
        <v>0</v>
      </c>
      <c r="O483" s="33">
        <v>0</v>
      </c>
      <c r="P483" s="33">
        <v>0</v>
      </c>
      <c r="Q483" s="33">
        <f t="shared" si="193"/>
        <v>0.99999949881301753</v>
      </c>
      <c r="R483" s="33">
        <v>0</v>
      </c>
      <c r="S483" s="33">
        <f t="shared" si="194"/>
        <v>5.0118698243875488E-7</v>
      </c>
      <c r="T483" s="8">
        <f t="shared" si="195"/>
        <v>1</v>
      </c>
      <c r="U483" s="33">
        <f t="shared" si="184"/>
        <v>0</v>
      </c>
      <c r="V483" s="33">
        <f t="shared" si="185"/>
        <v>-0.99999949881301753</v>
      </c>
      <c r="W483" s="33">
        <f t="shared" si="186"/>
        <v>512.96720050118699</v>
      </c>
      <c r="X483" s="33">
        <v>96485</v>
      </c>
      <c r="Y483" s="16">
        <f t="shared" si="187"/>
        <v>-188.09185372613456</v>
      </c>
      <c r="Z483" s="16">
        <v>10</v>
      </c>
      <c r="AA483" s="16">
        <v>19</v>
      </c>
      <c r="AB483" s="8">
        <f t="shared" si="188"/>
        <v>0.33240997229916897</v>
      </c>
      <c r="AC483" s="16">
        <f t="shared" si="189"/>
        <v>70.237945145137672</v>
      </c>
      <c r="AD483" s="20">
        <f>'PFAS Properties'!$W$35</f>
        <v>9</v>
      </c>
      <c r="AE483" s="8">
        <f>'PFAS Properties'!$S$35</f>
        <v>0.90308998699194354</v>
      </c>
      <c r="AF483" s="15">
        <f>'PFAS Properties'!$V$35</f>
        <v>6.3</v>
      </c>
      <c r="AG483" s="24">
        <v>6.1</v>
      </c>
      <c r="AH483" s="2" t="s">
        <v>661</v>
      </c>
      <c r="AI483" s="15">
        <v>2.21</v>
      </c>
      <c r="AJ483" s="16">
        <f>AI483*1000/55.845</f>
        <v>39.573820395738203</v>
      </c>
      <c r="AK483" s="8">
        <f>AI483/10</f>
        <v>0.221</v>
      </c>
      <c r="AL483" s="15">
        <v>0.93</v>
      </c>
      <c r="AM483" s="16">
        <f>AL483*1000/26.98</f>
        <v>34.469977761304669</v>
      </c>
      <c r="AN483" s="8">
        <f>AL483/10</f>
        <v>9.2999999999999999E-2</v>
      </c>
      <c r="AO483" s="15" t="s">
        <v>41</v>
      </c>
      <c r="AP483" s="72">
        <v>14.27683666666667</v>
      </c>
      <c r="AQ483" s="2" t="s">
        <v>752</v>
      </c>
      <c r="AR483" s="16">
        <v>81</v>
      </c>
      <c r="AS483" s="16">
        <v>1</v>
      </c>
      <c r="AT483" s="16">
        <v>9</v>
      </c>
      <c r="AU483" s="16" t="s">
        <v>661</v>
      </c>
      <c r="AV483" s="16">
        <f t="shared" si="179"/>
        <v>91</v>
      </c>
      <c r="AW483" s="18">
        <v>1.7</v>
      </c>
      <c r="AX483" s="13">
        <f t="shared" si="200"/>
        <v>1.7000000000000001E-2</v>
      </c>
      <c r="AY483" s="13" t="s">
        <v>42</v>
      </c>
      <c r="AZ483" s="16">
        <f>15/0.04</f>
        <v>375</v>
      </c>
      <c r="BA483" s="16" t="s">
        <v>55</v>
      </c>
      <c r="BB483" s="15">
        <v>0.5</v>
      </c>
      <c r="BC483" s="16">
        <v>1000</v>
      </c>
      <c r="BD483" s="18">
        <v>8.69</v>
      </c>
      <c r="BE483" s="15">
        <f t="shared" si="190"/>
        <v>511.17647058823525</v>
      </c>
      <c r="BF483" s="8">
        <f t="shared" si="191"/>
        <v>2.7085708550703926</v>
      </c>
      <c r="BG483" s="8">
        <f t="shared" si="192"/>
        <v>0.93901977644866641</v>
      </c>
      <c r="BH483" s="13" t="s">
        <v>844</v>
      </c>
      <c r="BI483" s="13"/>
      <c r="BJ483" s="13"/>
      <c r="BK483" s="8"/>
      <c r="BL483" s="8"/>
      <c r="BM483" s="18"/>
      <c r="BN483" s="8"/>
      <c r="BO483" s="24"/>
    </row>
    <row r="484" spans="1:69" s="14" customFormat="1" x14ac:dyDescent="0.3">
      <c r="A484" s="20">
        <v>491</v>
      </c>
      <c r="B484" s="2" t="s">
        <v>204</v>
      </c>
      <c r="C484" s="2">
        <v>2013</v>
      </c>
      <c r="D484" s="2" t="s">
        <v>203</v>
      </c>
      <c r="E484" s="10" t="s">
        <v>792</v>
      </c>
      <c r="F484" s="20" t="s">
        <v>29</v>
      </c>
      <c r="G484" s="2" t="s">
        <v>50</v>
      </c>
      <c r="H484" s="2" t="str">
        <f>'PFAS Properties'!$B$35</f>
        <v>PFDA</v>
      </c>
      <c r="I484" s="2" t="str">
        <f>'PFAS Properties'!$C$35</f>
        <v>PFCA</v>
      </c>
      <c r="J484" s="2" t="str">
        <f>'PFAS Properties'!$D$35</f>
        <v>C10HF19O2</v>
      </c>
      <c r="K484" s="25">
        <f>'PFAS Properties'!$P$35</f>
        <v>513.96719999999993</v>
      </c>
      <c r="L484" s="2">
        <f>'PFAS Properties'!$X$35</f>
        <v>-0.2</v>
      </c>
      <c r="M484" s="2" t="str">
        <f>'PFAS Properties'!$Y$35</f>
        <v>-</v>
      </c>
      <c r="N484" s="33">
        <v>0</v>
      </c>
      <c r="O484" s="33">
        <v>0</v>
      </c>
      <c r="P484" s="33">
        <v>0</v>
      </c>
      <c r="Q484" s="33">
        <f t="shared" si="193"/>
        <v>0.99999999000000006</v>
      </c>
      <c r="R484" s="33">
        <v>0</v>
      </c>
      <c r="S484" s="33">
        <f t="shared" si="194"/>
        <v>9.9999999000000002E-9</v>
      </c>
      <c r="T484" s="8">
        <f t="shared" si="195"/>
        <v>1</v>
      </c>
      <c r="U484" s="33">
        <f t="shared" si="184"/>
        <v>0</v>
      </c>
      <c r="V484" s="33">
        <f t="shared" si="185"/>
        <v>-0.99999999000000006</v>
      </c>
      <c r="W484" s="33">
        <f t="shared" si="186"/>
        <v>512.96720000999994</v>
      </c>
      <c r="X484" s="33">
        <v>96485</v>
      </c>
      <c r="Y484" s="16">
        <f t="shared" si="187"/>
        <v>-188.09194629455664</v>
      </c>
      <c r="Z484" s="16">
        <v>10</v>
      </c>
      <c r="AA484" s="16">
        <v>19</v>
      </c>
      <c r="AB484" s="8">
        <f t="shared" si="188"/>
        <v>0.33240997229916897</v>
      </c>
      <c r="AC484" s="16">
        <f t="shared" si="189"/>
        <v>70.237945145137672</v>
      </c>
      <c r="AD484" s="20">
        <f>'PFAS Properties'!$W$35</f>
        <v>9</v>
      </c>
      <c r="AE484" s="8">
        <f>'PFAS Properties'!$S$35</f>
        <v>0.90308998699194354</v>
      </c>
      <c r="AF484" s="15">
        <f>'PFAS Properties'!$V$35</f>
        <v>6.3</v>
      </c>
      <c r="AG484" s="24">
        <v>7.8</v>
      </c>
      <c r="AH484" s="2" t="s">
        <v>661</v>
      </c>
      <c r="AI484" s="15">
        <v>6.14</v>
      </c>
      <c r="AJ484" s="16">
        <f>AI484/10</f>
        <v>0.61399999999999999</v>
      </c>
      <c r="AK484" s="8">
        <f>AI484/10</f>
        <v>0.61399999999999999</v>
      </c>
      <c r="AL484" s="15">
        <v>1.67</v>
      </c>
      <c r="AM484" s="15">
        <f>AL484/10</f>
        <v>0.16699999999999998</v>
      </c>
      <c r="AN484" s="8">
        <f>AL484/10</f>
        <v>0.16699999999999998</v>
      </c>
      <c r="AO484" s="15" t="s">
        <v>41</v>
      </c>
      <c r="AP484" s="72">
        <v>6.4956666666666676</v>
      </c>
      <c r="AQ484" s="2" t="s">
        <v>752</v>
      </c>
      <c r="AR484" s="16">
        <v>33</v>
      </c>
      <c r="AS484" s="16">
        <v>42</v>
      </c>
      <c r="AT484" s="16">
        <v>25</v>
      </c>
      <c r="AU484" s="16" t="s">
        <v>661</v>
      </c>
      <c r="AV484" s="16">
        <f t="shared" ref="AV484:AV485" si="202">SUM(AR484:AT484)</f>
        <v>100</v>
      </c>
      <c r="AW484" s="18">
        <v>4.5</v>
      </c>
      <c r="AX484" s="13">
        <f t="shared" si="200"/>
        <v>4.4999999999999998E-2</v>
      </c>
      <c r="AY484" s="13" t="s">
        <v>42</v>
      </c>
      <c r="AZ484" s="16">
        <f>15/0.04</f>
        <v>375</v>
      </c>
      <c r="BA484" s="16" t="s">
        <v>55</v>
      </c>
      <c r="BB484" s="15">
        <v>0.5</v>
      </c>
      <c r="BC484" s="16">
        <v>1000</v>
      </c>
      <c r="BD484" s="18">
        <v>58.91</v>
      </c>
      <c r="BE484" s="15">
        <f t="shared" si="190"/>
        <v>1309.1111111111111</v>
      </c>
      <c r="BF484" s="8">
        <f t="shared" si="191"/>
        <v>3.1169765089606498</v>
      </c>
      <c r="BG484" s="8">
        <f t="shared" si="192"/>
        <v>1.7701890227359933</v>
      </c>
      <c r="BH484" s="13" t="s">
        <v>844</v>
      </c>
      <c r="BI484" s="13"/>
      <c r="BJ484" s="13"/>
      <c r="BK484" s="8"/>
      <c r="BL484" s="8"/>
      <c r="BM484" s="18"/>
      <c r="BN484" s="8"/>
      <c r="BO484" s="24"/>
    </row>
    <row r="485" spans="1:69" s="14" customFormat="1" x14ac:dyDescent="0.3">
      <c r="A485" s="20">
        <v>492</v>
      </c>
      <c r="B485" s="2" t="s">
        <v>204</v>
      </c>
      <c r="C485" s="2">
        <v>2013</v>
      </c>
      <c r="D485" s="2" t="s">
        <v>203</v>
      </c>
      <c r="E485" s="10" t="s">
        <v>792</v>
      </c>
      <c r="F485" s="20" t="s">
        <v>29</v>
      </c>
      <c r="G485" s="2" t="s">
        <v>40</v>
      </c>
      <c r="H485" s="2" t="str">
        <f>'PFAS Properties'!$B$35</f>
        <v>PFDA</v>
      </c>
      <c r="I485" s="2" t="str">
        <f>'PFAS Properties'!$C$35</f>
        <v>PFCA</v>
      </c>
      <c r="J485" s="2" t="str">
        <f>'PFAS Properties'!$D$35</f>
        <v>C10HF19O2</v>
      </c>
      <c r="K485" s="25">
        <f>'PFAS Properties'!$P$35</f>
        <v>513.96719999999993</v>
      </c>
      <c r="L485" s="2">
        <f>'PFAS Properties'!$X$35</f>
        <v>-0.2</v>
      </c>
      <c r="M485" s="2" t="str">
        <f>'PFAS Properties'!$Y$35</f>
        <v>-</v>
      </c>
      <c r="N485" s="33">
        <v>0</v>
      </c>
      <c r="O485" s="33">
        <v>0</v>
      </c>
      <c r="P485" s="33">
        <v>0</v>
      </c>
      <c r="Q485" s="33">
        <f t="shared" si="193"/>
        <v>0.99999601894414336</v>
      </c>
      <c r="R485" s="33">
        <v>0</v>
      </c>
      <c r="S485" s="33">
        <f t="shared" si="194"/>
        <v>3.981055856666137E-6</v>
      </c>
      <c r="T485" s="8">
        <f t="shared" si="195"/>
        <v>1</v>
      </c>
      <c r="U485" s="33">
        <f t="shared" si="184"/>
        <v>0</v>
      </c>
      <c r="V485" s="33">
        <f t="shared" si="185"/>
        <v>-0.99999601894414336</v>
      </c>
      <c r="W485" s="33">
        <f t="shared" si="186"/>
        <v>512.96720398105583</v>
      </c>
      <c r="X485" s="33">
        <v>96485</v>
      </c>
      <c r="Y485" s="16">
        <f t="shared" si="187"/>
        <v>-188.09119791484545</v>
      </c>
      <c r="Z485" s="16">
        <v>10</v>
      </c>
      <c r="AA485" s="16">
        <v>19</v>
      </c>
      <c r="AB485" s="8">
        <f t="shared" si="188"/>
        <v>0.33240997229916897</v>
      </c>
      <c r="AC485" s="16">
        <f t="shared" si="189"/>
        <v>70.237945145137672</v>
      </c>
      <c r="AD485" s="20">
        <f>'PFAS Properties'!$W$35</f>
        <v>9</v>
      </c>
      <c r="AE485" s="8">
        <f>'PFAS Properties'!$S$35</f>
        <v>0.90308998699194354</v>
      </c>
      <c r="AF485" s="15">
        <f>'PFAS Properties'!$V$35</f>
        <v>6.3</v>
      </c>
      <c r="AG485" s="24">
        <v>5.2</v>
      </c>
      <c r="AH485" s="2" t="s">
        <v>661</v>
      </c>
      <c r="AI485" s="15">
        <v>24.17</v>
      </c>
      <c r="AJ485" s="16">
        <f>AI485*1000/55.845</f>
        <v>432.80508550452146</v>
      </c>
      <c r="AK485" s="8">
        <f>AI485/10</f>
        <v>2.4170000000000003</v>
      </c>
      <c r="AL485" s="15">
        <v>3.99</v>
      </c>
      <c r="AM485" s="16">
        <f>AL485*1000/26.98</f>
        <v>147.88732394366198</v>
      </c>
      <c r="AN485" s="8">
        <f>AL485/10</f>
        <v>0.39900000000000002</v>
      </c>
      <c r="AO485" s="15" t="s">
        <v>41</v>
      </c>
      <c r="AP485" s="72">
        <v>12.009766666666669</v>
      </c>
      <c r="AQ485" s="2" t="s">
        <v>752</v>
      </c>
      <c r="AR485" s="16">
        <v>47</v>
      </c>
      <c r="AS485" s="16">
        <v>20</v>
      </c>
      <c r="AT485" s="16">
        <v>33</v>
      </c>
      <c r="AU485" s="16" t="s">
        <v>661</v>
      </c>
      <c r="AV485" s="16">
        <f t="shared" si="202"/>
        <v>100</v>
      </c>
      <c r="AW485" s="18">
        <v>0.8</v>
      </c>
      <c r="AX485" s="13">
        <f t="shared" si="200"/>
        <v>8.0000000000000002E-3</v>
      </c>
      <c r="AY485" s="13" t="s">
        <v>42</v>
      </c>
      <c r="AZ485" s="16">
        <f>15/0.04</f>
        <v>375</v>
      </c>
      <c r="BA485" s="16" t="s">
        <v>55</v>
      </c>
      <c r="BB485" s="15">
        <v>0.5</v>
      </c>
      <c r="BC485" s="16">
        <v>1000</v>
      </c>
      <c r="BD485" s="18">
        <v>5.36</v>
      </c>
      <c r="BE485" s="15">
        <f t="shared" si="190"/>
        <v>670</v>
      </c>
      <c r="BF485" s="8">
        <f t="shared" si="191"/>
        <v>2.8260748027008264</v>
      </c>
      <c r="BG485" s="8">
        <f t="shared" si="192"/>
        <v>0.7291647896927701</v>
      </c>
      <c r="BH485" s="13" t="s">
        <v>844</v>
      </c>
      <c r="BI485" s="13"/>
      <c r="BJ485" s="13"/>
      <c r="BK485" s="8"/>
      <c r="BL485" s="8"/>
      <c r="BM485" s="18"/>
      <c r="BN485" s="8"/>
      <c r="BO485" s="24"/>
    </row>
    <row r="486" spans="1:69" s="14" customFormat="1" x14ac:dyDescent="0.3">
      <c r="A486" s="20">
        <v>494</v>
      </c>
      <c r="B486" s="2" t="s">
        <v>690</v>
      </c>
      <c r="C486" s="2">
        <v>2023</v>
      </c>
      <c r="D486" s="2" t="s">
        <v>199</v>
      </c>
      <c r="E486" s="10" t="s">
        <v>803</v>
      </c>
      <c r="F486" s="20" t="s">
        <v>29</v>
      </c>
      <c r="G486" s="2" t="s">
        <v>691</v>
      </c>
      <c r="H486" s="2" t="str">
        <f>'PFAS Properties'!$B$35</f>
        <v>PFDA</v>
      </c>
      <c r="I486" s="2" t="str">
        <f>'PFAS Properties'!$C$35</f>
        <v>PFCA</v>
      </c>
      <c r="J486" s="2" t="str">
        <f>'PFAS Properties'!$D$35</f>
        <v>C10HF19O2</v>
      </c>
      <c r="K486" s="25">
        <f>'PFAS Properties'!$P$35</f>
        <v>513.96719999999993</v>
      </c>
      <c r="L486" s="2">
        <f>'PFAS Properties'!$X$35</f>
        <v>-0.2</v>
      </c>
      <c r="M486" s="2" t="str">
        <f>'PFAS Properties'!$Y$35</f>
        <v>-</v>
      </c>
      <c r="N486" s="33">
        <v>0</v>
      </c>
      <c r="O486" s="33">
        <v>0</v>
      </c>
      <c r="P486" s="33">
        <v>0</v>
      </c>
      <c r="Q486" s="33">
        <f t="shared" si="193"/>
        <v>0.9999992056723962</v>
      </c>
      <c r="R486" s="33">
        <v>0</v>
      </c>
      <c r="S486" s="33">
        <f t="shared" si="194"/>
        <v>7.9432760376743655E-7</v>
      </c>
      <c r="T486" s="8">
        <f t="shared" si="195"/>
        <v>1</v>
      </c>
      <c r="U486" s="33">
        <f t="shared" si="184"/>
        <v>0</v>
      </c>
      <c r="V486" s="33">
        <f t="shared" si="185"/>
        <v>-0.9999992056723962</v>
      </c>
      <c r="W486" s="33">
        <f t="shared" si="186"/>
        <v>512.96720079432748</v>
      </c>
      <c r="X486" s="33">
        <v>96485</v>
      </c>
      <c r="Y486" s="16">
        <f t="shared" si="187"/>
        <v>-188.09179848125703</v>
      </c>
      <c r="Z486" s="16">
        <v>10</v>
      </c>
      <c r="AA486" s="16">
        <v>19</v>
      </c>
      <c r="AB486" s="8">
        <f t="shared" si="188"/>
        <v>0.33240997229916897</v>
      </c>
      <c r="AC486" s="16">
        <f t="shared" si="189"/>
        <v>70.237945145137672</v>
      </c>
      <c r="AD486" s="20">
        <f>'PFAS Properties'!$W$35</f>
        <v>9</v>
      </c>
      <c r="AE486" s="8">
        <f>'PFAS Properties'!$S$35</f>
        <v>0.90308998699194354</v>
      </c>
      <c r="AF486" s="15">
        <f>'PFAS Properties'!$V$35</f>
        <v>6.3</v>
      </c>
      <c r="AG486" s="24">
        <v>5.9</v>
      </c>
      <c r="AH486" s="2" t="s">
        <v>701</v>
      </c>
      <c r="AI486" s="15">
        <f t="shared" ref="AI486:AI495" si="203">AJ486*55.845/1000</f>
        <v>10.052100000000001</v>
      </c>
      <c r="AJ486" s="16">
        <v>180</v>
      </c>
      <c r="AK486" s="8">
        <f t="shared" si="197"/>
        <v>1.0052100000000002</v>
      </c>
      <c r="AL486" s="15">
        <f t="shared" ref="AL486:AL495" si="204">AM486*26.982/1000</f>
        <v>1.3491</v>
      </c>
      <c r="AM486" s="16">
        <v>50</v>
      </c>
      <c r="AN486" s="8">
        <f t="shared" si="199"/>
        <v>0.13491</v>
      </c>
      <c r="AO486" s="15" t="s">
        <v>705</v>
      </c>
      <c r="AP486" s="15">
        <v>20</v>
      </c>
      <c r="AQ486" s="15" t="s">
        <v>702</v>
      </c>
      <c r="AR486" s="2">
        <v>4.2</v>
      </c>
      <c r="AS486" s="2">
        <v>53</v>
      </c>
      <c r="AT486" s="2">
        <v>43</v>
      </c>
      <c r="AU486" s="2" t="s">
        <v>703</v>
      </c>
      <c r="AV486" s="16">
        <f t="shared" ref="AV486:AV495" si="205">SUM(AR486:AT486)</f>
        <v>100.2</v>
      </c>
      <c r="AW486" s="20">
        <v>3.1</v>
      </c>
      <c r="AX486" s="13">
        <f t="shared" si="200"/>
        <v>3.1E-2</v>
      </c>
      <c r="AY486" s="8" t="s">
        <v>704</v>
      </c>
      <c r="AZ486" s="16">
        <v>10</v>
      </c>
      <c r="BA486" s="16" t="s">
        <v>55</v>
      </c>
      <c r="BB486" s="16" t="s">
        <v>55</v>
      </c>
      <c r="BC486" s="16" t="s">
        <v>55</v>
      </c>
      <c r="BD486" s="24">
        <f t="shared" ref="BD486:BD495" si="206">10^BG486</f>
        <v>36.307805477010156</v>
      </c>
      <c r="BE486" s="16">
        <f t="shared" si="190"/>
        <v>1171.2195315164568</v>
      </c>
      <c r="BF486" s="16">
        <f t="shared" si="191"/>
        <v>3.0686383061657274</v>
      </c>
      <c r="BG486" s="8">
        <v>1.56</v>
      </c>
      <c r="BH486" s="15" t="s">
        <v>846</v>
      </c>
      <c r="BI486" s="8"/>
      <c r="BJ486" s="13"/>
      <c r="BK486" s="16"/>
      <c r="BL486" s="16"/>
      <c r="BM486" s="16"/>
      <c r="BN486" s="16"/>
      <c r="BO486" s="2"/>
    </row>
    <row r="487" spans="1:69" x14ac:dyDescent="0.3">
      <c r="A487" s="20">
        <v>495</v>
      </c>
      <c r="B487" s="2" t="s">
        <v>690</v>
      </c>
      <c r="C487" s="2">
        <v>2023</v>
      </c>
      <c r="D487" s="2" t="s">
        <v>199</v>
      </c>
      <c r="E487" s="10" t="s">
        <v>803</v>
      </c>
      <c r="F487" s="20" t="s">
        <v>29</v>
      </c>
      <c r="G487" s="2" t="s">
        <v>692</v>
      </c>
      <c r="H487" s="2" t="str">
        <f>'PFAS Properties'!$B$35</f>
        <v>PFDA</v>
      </c>
      <c r="I487" s="2" t="str">
        <f>'PFAS Properties'!$C$35</f>
        <v>PFCA</v>
      </c>
      <c r="J487" s="2" t="str">
        <f>'PFAS Properties'!$D$35</f>
        <v>C10HF19O2</v>
      </c>
      <c r="K487" s="25">
        <f>'PFAS Properties'!$P$35</f>
        <v>513.96719999999993</v>
      </c>
      <c r="L487" s="2">
        <f>'PFAS Properties'!$X$35</f>
        <v>-0.2</v>
      </c>
      <c r="M487" s="2" t="str">
        <f>'PFAS Properties'!$Y$35</f>
        <v>-</v>
      </c>
      <c r="N487" s="33">
        <v>0</v>
      </c>
      <c r="O487" s="33">
        <v>0</v>
      </c>
      <c r="P487" s="33">
        <v>0</v>
      </c>
      <c r="Q487" s="33">
        <f t="shared" si="193"/>
        <v>0.99999800474166611</v>
      </c>
      <c r="R487" s="33">
        <v>0</v>
      </c>
      <c r="S487" s="33">
        <f t="shared" si="194"/>
        <v>1.9952583339051124E-6</v>
      </c>
      <c r="T487" s="8">
        <f t="shared" si="195"/>
        <v>1</v>
      </c>
      <c r="U487" s="33">
        <f t="shared" si="184"/>
        <v>0</v>
      </c>
      <c r="V487" s="33">
        <f t="shared" si="185"/>
        <v>-0.99999800474166611</v>
      </c>
      <c r="W487" s="33">
        <f t="shared" si="186"/>
        <v>512.96720199525828</v>
      </c>
      <c r="X487" s="33">
        <v>96485</v>
      </c>
      <c r="Y487" s="16">
        <f t="shared" si="187"/>
        <v>-188.09157215550698</v>
      </c>
      <c r="Z487" s="16">
        <v>10</v>
      </c>
      <c r="AA487" s="16">
        <v>19</v>
      </c>
      <c r="AB487" s="8">
        <f t="shared" si="188"/>
        <v>0.33240997229916897</v>
      </c>
      <c r="AC487" s="16">
        <f t="shared" si="189"/>
        <v>70.237945145137672</v>
      </c>
      <c r="AD487" s="20">
        <f>'PFAS Properties'!$W$35</f>
        <v>9</v>
      </c>
      <c r="AE487" s="8">
        <f>'PFAS Properties'!$S$35</f>
        <v>0.90308998699194354</v>
      </c>
      <c r="AF487" s="15">
        <f>'PFAS Properties'!$V$35</f>
        <v>6.3</v>
      </c>
      <c r="AG487" s="26">
        <v>5.5</v>
      </c>
      <c r="AH487" s="2" t="s">
        <v>701</v>
      </c>
      <c r="AI487" s="15">
        <f t="shared" si="203"/>
        <v>7.2598499999999992</v>
      </c>
      <c r="AJ487" s="16">
        <v>130</v>
      </c>
      <c r="AK487" s="8">
        <f t="shared" si="197"/>
        <v>0.72598499999999988</v>
      </c>
      <c r="AL487" s="15">
        <f t="shared" si="204"/>
        <v>13.491</v>
      </c>
      <c r="AM487" s="16">
        <v>500</v>
      </c>
      <c r="AN487" s="8">
        <f t="shared" si="199"/>
        <v>1.3491</v>
      </c>
      <c r="AO487" s="15" t="s">
        <v>705</v>
      </c>
      <c r="AP487" s="2">
        <v>1</v>
      </c>
      <c r="AQ487" s="15" t="s">
        <v>702</v>
      </c>
      <c r="AR487" s="4">
        <v>54</v>
      </c>
      <c r="AS487" s="4">
        <v>42</v>
      </c>
      <c r="AT487" s="4">
        <v>4</v>
      </c>
      <c r="AU487" s="2" t="s">
        <v>703</v>
      </c>
      <c r="AV487" s="16">
        <f t="shared" si="205"/>
        <v>100</v>
      </c>
      <c r="AW487" s="7">
        <v>2.2000000000000002</v>
      </c>
      <c r="AX487" s="13">
        <f t="shared" si="200"/>
        <v>2.2000000000000002E-2</v>
      </c>
      <c r="AY487" s="8" t="s">
        <v>704</v>
      </c>
      <c r="AZ487" s="16">
        <v>10</v>
      </c>
      <c r="BA487" s="16" t="s">
        <v>55</v>
      </c>
      <c r="BB487" s="16" t="s">
        <v>55</v>
      </c>
      <c r="BC487" s="16" t="s">
        <v>55</v>
      </c>
      <c r="BD487" s="24">
        <f t="shared" si="206"/>
        <v>88.104887300801408</v>
      </c>
      <c r="BE487" s="16">
        <f t="shared" si="190"/>
        <v>4004.7676045818816</v>
      </c>
      <c r="BF487" s="16">
        <f t="shared" si="191"/>
        <v>3.6025773191777937</v>
      </c>
      <c r="BG487" s="8">
        <f>(2.11+1.78)/2</f>
        <v>1.9449999999999998</v>
      </c>
      <c r="BH487" s="15" t="s">
        <v>847</v>
      </c>
      <c r="BI487" s="1"/>
      <c r="BJ487" s="2"/>
      <c r="BK487" s="1"/>
      <c r="BL487" s="1"/>
      <c r="BM487" s="7"/>
      <c r="BN487" s="7"/>
      <c r="BO487" s="1"/>
      <c r="BP487" s="11"/>
      <c r="BQ487" s="11"/>
    </row>
    <row r="488" spans="1:69" x14ac:dyDescent="0.3">
      <c r="A488" s="20">
        <v>496</v>
      </c>
      <c r="B488" s="2" t="s">
        <v>690</v>
      </c>
      <c r="C488" s="2">
        <v>2023</v>
      </c>
      <c r="D488" s="2" t="s">
        <v>199</v>
      </c>
      <c r="E488" s="10" t="s">
        <v>803</v>
      </c>
      <c r="F488" s="20" t="s">
        <v>29</v>
      </c>
      <c r="G488" s="2" t="s">
        <v>694</v>
      </c>
      <c r="H488" s="2" t="str">
        <f>'PFAS Properties'!$B$35</f>
        <v>PFDA</v>
      </c>
      <c r="I488" s="2" t="str">
        <f>'PFAS Properties'!$C$35</f>
        <v>PFCA</v>
      </c>
      <c r="J488" s="2" t="str">
        <f>'PFAS Properties'!$D$35</f>
        <v>C10HF19O2</v>
      </c>
      <c r="K488" s="25">
        <f>'PFAS Properties'!$P$35</f>
        <v>513.96719999999993</v>
      </c>
      <c r="L488" s="2">
        <f>'PFAS Properties'!$X$35</f>
        <v>-0.2</v>
      </c>
      <c r="M488" s="2" t="str">
        <f>'PFAS Properties'!$Y$35</f>
        <v>-</v>
      </c>
      <c r="N488" s="33">
        <v>0</v>
      </c>
      <c r="O488" s="33">
        <v>0</v>
      </c>
      <c r="P488" s="33">
        <v>0</v>
      </c>
      <c r="Q488" s="33">
        <f t="shared" si="193"/>
        <v>0.99999999601892831</v>
      </c>
      <c r="R488" s="33">
        <v>0</v>
      </c>
      <c r="S488" s="33">
        <f t="shared" si="194"/>
        <v>3.9810716896860486E-9</v>
      </c>
      <c r="T488" s="8">
        <f t="shared" si="195"/>
        <v>1</v>
      </c>
      <c r="U488" s="33">
        <f t="shared" si="184"/>
        <v>0</v>
      </c>
      <c r="V488" s="33">
        <f t="shared" si="185"/>
        <v>-0.99999999601892831</v>
      </c>
      <c r="W488" s="33">
        <f t="shared" si="186"/>
        <v>512.96720000398102</v>
      </c>
      <c r="X488" s="33">
        <v>96485</v>
      </c>
      <c r="Y488" s="16">
        <f t="shared" si="187"/>
        <v>-188.09194742887559</v>
      </c>
      <c r="Z488" s="16">
        <v>10</v>
      </c>
      <c r="AA488" s="16">
        <v>19</v>
      </c>
      <c r="AB488" s="8">
        <f t="shared" si="188"/>
        <v>0.33240997229916897</v>
      </c>
      <c r="AC488" s="16">
        <f t="shared" si="189"/>
        <v>70.237945145137672</v>
      </c>
      <c r="AD488" s="20">
        <f>'PFAS Properties'!$W$35</f>
        <v>9</v>
      </c>
      <c r="AE488" s="8">
        <f>'PFAS Properties'!$S$35</f>
        <v>0.90308998699194354</v>
      </c>
      <c r="AF488" s="15">
        <f>'PFAS Properties'!$V$35</f>
        <v>6.3</v>
      </c>
      <c r="AG488" s="26">
        <v>8.1999999999999993</v>
      </c>
      <c r="AH488" s="2" t="s">
        <v>701</v>
      </c>
      <c r="AI488" s="15">
        <f t="shared" si="203"/>
        <v>1.89873</v>
      </c>
      <c r="AJ488" s="16">
        <v>34</v>
      </c>
      <c r="AK488" s="8">
        <f t="shared" si="197"/>
        <v>0.18987300000000001</v>
      </c>
      <c r="AL488" s="15">
        <f t="shared" si="204"/>
        <v>0.75549599999999995</v>
      </c>
      <c r="AM488" s="16">
        <v>28</v>
      </c>
      <c r="AN488" s="8">
        <f t="shared" si="199"/>
        <v>7.5549599999999995E-2</v>
      </c>
      <c r="AO488" s="15" t="s">
        <v>705</v>
      </c>
      <c r="AP488" s="2">
        <v>15</v>
      </c>
      <c r="AQ488" s="15" t="s">
        <v>702</v>
      </c>
      <c r="AR488" s="4">
        <v>27</v>
      </c>
      <c r="AS488" s="4">
        <v>56</v>
      </c>
      <c r="AT488" s="4">
        <v>16</v>
      </c>
      <c r="AU488" s="2" t="s">
        <v>703</v>
      </c>
      <c r="AV488" s="16">
        <f t="shared" si="205"/>
        <v>99</v>
      </c>
      <c r="AW488" s="7">
        <v>1.6</v>
      </c>
      <c r="AX488" s="13">
        <f t="shared" si="200"/>
        <v>1.6E-2</v>
      </c>
      <c r="AY488" s="8" t="s">
        <v>704</v>
      </c>
      <c r="AZ488" s="16">
        <v>10</v>
      </c>
      <c r="BA488" s="16" t="s">
        <v>55</v>
      </c>
      <c r="BB488" s="16" t="s">
        <v>55</v>
      </c>
      <c r="BC488" s="16" t="s">
        <v>55</v>
      </c>
      <c r="BD488" s="24">
        <f t="shared" si="206"/>
        <v>7.7624711662869199</v>
      </c>
      <c r="BE488" s="16">
        <f t="shared" si="190"/>
        <v>485.15444789293247</v>
      </c>
      <c r="BF488" s="16">
        <f t="shared" si="191"/>
        <v>2.6858800173440756</v>
      </c>
      <c r="BG488" s="8">
        <v>0.89</v>
      </c>
      <c r="BH488" s="15" t="s">
        <v>848</v>
      </c>
      <c r="BI488" s="1"/>
      <c r="BJ488" s="2"/>
      <c r="BK488" s="1"/>
      <c r="BL488" s="1"/>
      <c r="BM488" s="7"/>
      <c r="BN488" s="7"/>
      <c r="BO488" s="1"/>
      <c r="BP488" s="11"/>
      <c r="BQ488" s="11"/>
    </row>
    <row r="489" spans="1:69" x14ac:dyDescent="0.3">
      <c r="A489" s="20">
        <v>497</v>
      </c>
      <c r="B489" s="2" t="s">
        <v>690</v>
      </c>
      <c r="C489" s="2">
        <v>2023</v>
      </c>
      <c r="D489" s="2" t="s">
        <v>199</v>
      </c>
      <c r="E489" s="10" t="s">
        <v>803</v>
      </c>
      <c r="F489" s="20" t="s">
        <v>29</v>
      </c>
      <c r="G489" s="2" t="s">
        <v>693</v>
      </c>
      <c r="H489" s="2" t="str">
        <f>'PFAS Properties'!$B$35</f>
        <v>PFDA</v>
      </c>
      <c r="I489" s="2" t="str">
        <f>'PFAS Properties'!$C$35</f>
        <v>PFCA</v>
      </c>
      <c r="J489" s="2" t="str">
        <f>'PFAS Properties'!$D$35</f>
        <v>C10HF19O2</v>
      </c>
      <c r="K489" s="25">
        <f>'PFAS Properties'!$P$35</f>
        <v>513.96719999999993</v>
      </c>
      <c r="L489" s="2">
        <f>'PFAS Properties'!$X$35</f>
        <v>-0.2</v>
      </c>
      <c r="M489" s="2" t="str">
        <f>'PFAS Properties'!$Y$35</f>
        <v>-</v>
      </c>
      <c r="N489" s="33">
        <v>0</v>
      </c>
      <c r="O489" s="33">
        <v>0</v>
      </c>
      <c r="P489" s="33">
        <v>0</v>
      </c>
      <c r="Q489" s="33">
        <f t="shared" si="193"/>
        <v>0.99999800474166611</v>
      </c>
      <c r="R489" s="33">
        <v>0</v>
      </c>
      <c r="S489" s="33">
        <f t="shared" si="194"/>
        <v>1.9952583339051124E-6</v>
      </c>
      <c r="T489" s="8">
        <f t="shared" si="195"/>
        <v>1</v>
      </c>
      <c r="U489" s="33">
        <f t="shared" si="184"/>
        <v>0</v>
      </c>
      <c r="V489" s="33">
        <f t="shared" si="185"/>
        <v>-0.99999800474166611</v>
      </c>
      <c r="W489" s="33">
        <f t="shared" si="186"/>
        <v>512.96720199525828</v>
      </c>
      <c r="X489" s="33">
        <v>96485</v>
      </c>
      <c r="Y489" s="16">
        <f t="shared" si="187"/>
        <v>-188.09157215550698</v>
      </c>
      <c r="Z489" s="16">
        <v>10</v>
      </c>
      <c r="AA489" s="16">
        <v>19</v>
      </c>
      <c r="AB489" s="8">
        <f t="shared" si="188"/>
        <v>0.33240997229916897</v>
      </c>
      <c r="AC489" s="16">
        <f t="shared" si="189"/>
        <v>70.237945145137672</v>
      </c>
      <c r="AD489" s="20">
        <f>'PFAS Properties'!$W$35</f>
        <v>9</v>
      </c>
      <c r="AE489" s="8">
        <f>'PFAS Properties'!$S$35</f>
        <v>0.90308998699194354</v>
      </c>
      <c r="AF489" s="15">
        <f>'PFAS Properties'!$V$35</f>
        <v>6.3</v>
      </c>
      <c r="AG489" s="26">
        <v>5.5</v>
      </c>
      <c r="AH489" s="2" t="s">
        <v>701</v>
      </c>
      <c r="AI489" s="15">
        <f t="shared" si="203"/>
        <v>6.1429499999999999</v>
      </c>
      <c r="AJ489" s="16">
        <v>110</v>
      </c>
      <c r="AK489" s="8">
        <f t="shared" si="197"/>
        <v>0.61429500000000004</v>
      </c>
      <c r="AL489" s="15">
        <f t="shared" si="204"/>
        <v>0.83644200000000002</v>
      </c>
      <c r="AM489" s="16">
        <v>31</v>
      </c>
      <c r="AN489" s="8">
        <f t="shared" si="199"/>
        <v>8.3644200000000002E-2</v>
      </c>
      <c r="AO489" s="15" t="s">
        <v>705</v>
      </c>
      <c r="AP489" s="2">
        <v>8.6</v>
      </c>
      <c r="AQ489" s="15" t="s">
        <v>702</v>
      </c>
      <c r="AR489" s="4">
        <v>27</v>
      </c>
      <c r="AS489" s="4">
        <v>44</v>
      </c>
      <c r="AT489" s="4">
        <v>29</v>
      </c>
      <c r="AU489" s="2" t="s">
        <v>703</v>
      </c>
      <c r="AV489" s="16">
        <f t="shared" si="205"/>
        <v>100</v>
      </c>
      <c r="AW489" s="7">
        <v>1.3</v>
      </c>
      <c r="AX489" s="13">
        <f t="shared" si="200"/>
        <v>1.3000000000000001E-2</v>
      </c>
      <c r="AY489" s="8" t="s">
        <v>704</v>
      </c>
      <c r="AZ489" s="16">
        <v>10</v>
      </c>
      <c r="BA489" s="16" t="s">
        <v>55</v>
      </c>
      <c r="BB489" s="16" t="s">
        <v>55</v>
      </c>
      <c r="BC489" s="16" t="s">
        <v>55</v>
      </c>
      <c r="BD489" s="24">
        <f t="shared" si="206"/>
        <v>26.915348039269158</v>
      </c>
      <c r="BE489" s="16">
        <f t="shared" si="190"/>
        <v>2070.4113876360889</v>
      </c>
      <c r="BF489" s="16">
        <f t="shared" si="191"/>
        <v>3.3160566476931632</v>
      </c>
      <c r="BG489" s="8">
        <f>(1.39+1.47)/2</f>
        <v>1.43</v>
      </c>
      <c r="BH489" s="15" t="s">
        <v>849</v>
      </c>
      <c r="BI489" s="1"/>
      <c r="BJ489" s="2"/>
      <c r="BK489" s="1"/>
      <c r="BL489" s="1"/>
      <c r="BM489" s="7"/>
      <c r="BN489" s="7"/>
      <c r="BO489" s="1"/>
      <c r="BP489" s="11"/>
      <c r="BQ489" s="11"/>
    </row>
    <row r="490" spans="1:69" x14ac:dyDescent="0.3">
      <c r="A490" s="20">
        <v>498</v>
      </c>
      <c r="B490" s="2" t="s">
        <v>690</v>
      </c>
      <c r="C490" s="2">
        <v>2023</v>
      </c>
      <c r="D490" s="2" t="s">
        <v>199</v>
      </c>
      <c r="E490" s="10" t="s">
        <v>803</v>
      </c>
      <c r="F490" s="20" t="s">
        <v>29</v>
      </c>
      <c r="G490" s="2" t="s">
        <v>695</v>
      </c>
      <c r="H490" s="2" t="str">
        <f>'PFAS Properties'!$B$35</f>
        <v>PFDA</v>
      </c>
      <c r="I490" s="2" t="str">
        <f>'PFAS Properties'!$C$35</f>
        <v>PFCA</v>
      </c>
      <c r="J490" s="2" t="str">
        <f>'PFAS Properties'!$D$35</f>
        <v>C10HF19O2</v>
      </c>
      <c r="K490" s="25">
        <f>'PFAS Properties'!$P$35</f>
        <v>513.96719999999993</v>
      </c>
      <c r="L490" s="2">
        <f>'PFAS Properties'!$X$35</f>
        <v>-0.2</v>
      </c>
      <c r="M490" s="2" t="str">
        <f>'PFAS Properties'!$Y$35</f>
        <v>-</v>
      </c>
      <c r="N490" s="33">
        <v>0</v>
      </c>
      <c r="O490" s="33">
        <v>0</v>
      </c>
      <c r="P490" s="33">
        <v>0</v>
      </c>
      <c r="Q490" s="33">
        <f t="shared" si="193"/>
        <v>0.99999999683772234</v>
      </c>
      <c r="R490" s="33">
        <v>0</v>
      </c>
      <c r="S490" s="33">
        <f t="shared" si="194"/>
        <v>3.162277650168378E-9</v>
      </c>
      <c r="T490" s="8">
        <f t="shared" si="195"/>
        <v>1</v>
      </c>
      <c r="U490" s="33">
        <f t="shared" si="184"/>
        <v>0</v>
      </c>
      <c r="V490" s="33">
        <f t="shared" si="185"/>
        <v>-0.99999999683772234</v>
      </c>
      <c r="W490" s="33">
        <f t="shared" si="186"/>
        <v>512.96720000316213</v>
      </c>
      <c r="X490" s="33">
        <v>96485</v>
      </c>
      <c r="Y490" s="16">
        <f t="shared" si="187"/>
        <v>-188.09194758318441</v>
      </c>
      <c r="Z490" s="16">
        <v>10</v>
      </c>
      <c r="AA490" s="16">
        <v>19</v>
      </c>
      <c r="AB490" s="8">
        <f t="shared" si="188"/>
        <v>0.33240997229916897</v>
      </c>
      <c r="AC490" s="16">
        <f t="shared" si="189"/>
        <v>70.237945145137672</v>
      </c>
      <c r="AD490" s="20">
        <f>'PFAS Properties'!$W$35</f>
        <v>9</v>
      </c>
      <c r="AE490" s="8">
        <f>'PFAS Properties'!$S$35</f>
        <v>0.90308998699194354</v>
      </c>
      <c r="AF490" s="15">
        <f>'PFAS Properties'!$V$35</f>
        <v>6.3</v>
      </c>
      <c r="AG490" s="26">
        <v>8.3000000000000007</v>
      </c>
      <c r="AH490" s="2" t="s">
        <v>701</v>
      </c>
      <c r="AI490" s="15">
        <f t="shared" si="203"/>
        <v>2.066265</v>
      </c>
      <c r="AJ490" s="16">
        <v>37</v>
      </c>
      <c r="AK490" s="8">
        <f t="shared" si="197"/>
        <v>0.20662649999999999</v>
      </c>
      <c r="AL490" s="15">
        <f t="shared" si="204"/>
        <v>0.72851399999999999</v>
      </c>
      <c r="AM490" s="16">
        <v>27</v>
      </c>
      <c r="AN490" s="8">
        <f t="shared" si="199"/>
        <v>7.2851399999999997E-2</v>
      </c>
      <c r="AO490" s="15" t="s">
        <v>705</v>
      </c>
      <c r="AP490" s="2">
        <v>14</v>
      </c>
      <c r="AQ490" s="15" t="s">
        <v>702</v>
      </c>
      <c r="AR490" s="4">
        <v>80</v>
      </c>
      <c r="AS490" s="4">
        <v>15</v>
      </c>
      <c r="AT490" s="4">
        <v>4.4000000000000004</v>
      </c>
      <c r="AU490" s="2" t="s">
        <v>703</v>
      </c>
      <c r="AV490" s="16">
        <f t="shared" si="205"/>
        <v>99.4</v>
      </c>
      <c r="AW490" s="7">
        <v>1.2</v>
      </c>
      <c r="AX490" s="13">
        <f t="shared" si="200"/>
        <v>1.2E-2</v>
      </c>
      <c r="AY490" s="8" t="s">
        <v>704</v>
      </c>
      <c r="AZ490" s="16">
        <v>10</v>
      </c>
      <c r="BA490" s="16" t="s">
        <v>55</v>
      </c>
      <c r="BB490" s="16" t="s">
        <v>55</v>
      </c>
      <c r="BC490" s="16" t="s">
        <v>55</v>
      </c>
      <c r="BD490" s="24">
        <f t="shared" si="206"/>
        <v>77.624711662869217</v>
      </c>
      <c r="BE490" s="16">
        <f t="shared" si="190"/>
        <v>6468.7259719057683</v>
      </c>
      <c r="BF490" s="16">
        <f t="shared" si="191"/>
        <v>3.8108187539523755</v>
      </c>
      <c r="BG490" s="8">
        <f>(2.02+1.76)/2</f>
        <v>1.8900000000000001</v>
      </c>
      <c r="BH490" s="15" t="s">
        <v>850</v>
      </c>
      <c r="BI490" s="1"/>
      <c r="BJ490" s="2"/>
      <c r="BK490" s="1"/>
      <c r="BL490" s="1"/>
      <c r="BM490" s="7"/>
      <c r="BN490" s="7"/>
      <c r="BO490" s="1"/>
      <c r="BP490" s="11"/>
      <c r="BQ490" s="11"/>
    </row>
    <row r="491" spans="1:69" x14ac:dyDescent="0.3">
      <c r="A491" s="20">
        <v>499</v>
      </c>
      <c r="B491" s="2" t="s">
        <v>690</v>
      </c>
      <c r="C491" s="2">
        <v>2023</v>
      </c>
      <c r="D491" s="2" t="s">
        <v>199</v>
      </c>
      <c r="E491" s="10" t="s">
        <v>803</v>
      </c>
      <c r="F491" s="20" t="s">
        <v>29</v>
      </c>
      <c r="G491" s="2" t="s">
        <v>696</v>
      </c>
      <c r="H491" s="2" t="str">
        <f>'PFAS Properties'!$B$35</f>
        <v>PFDA</v>
      </c>
      <c r="I491" s="2" t="str">
        <f>'PFAS Properties'!$C$35</f>
        <v>PFCA</v>
      </c>
      <c r="J491" s="2" t="str">
        <f>'PFAS Properties'!$D$35</f>
        <v>C10HF19O2</v>
      </c>
      <c r="K491" s="25">
        <f>'PFAS Properties'!$P$35</f>
        <v>513.96719999999993</v>
      </c>
      <c r="L491" s="2">
        <f>'PFAS Properties'!$X$35</f>
        <v>-0.2</v>
      </c>
      <c r="M491" s="2" t="str">
        <f>'PFAS Properties'!$Y$35</f>
        <v>-</v>
      </c>
      <c r="N491" s="33">
        <v>0</v>
      </c>
      <c r="O491" s="33">
        <v>0</v>
      </c>
      <c r="P491" s="33">
        <v>0</v>
      </c>
      <c r="Q491" s="33">
        <f t="shared" si="193"/>
        <v>0.99999800474166611</v>
      </c>
      <c r="R491" s="33">
        <v>0</v>
      </c>
      <c r="S491" s="33">
        <f t="shared" si="194"/>
        <v>1.9952583339051124E-6</v>
      </c>
      <c r="T491" s="8">
        <f t="shared" si="195"/>
        <v>1</v>
      </c>
      <c r="U491" s="33">
        <f t="shared" si="184"/>
        <v>0</v>
      </c>
      <c r="V491" s="33">
        <f t="shared" si="185"/>
        <v>-0.99999800474166611</v>
      </c>
      <c r="W491" s="33">
        <f t="shared" si="186"/>
        <v>512.96720199525828</v>
      </c>
      <c r="X491" s="33">
        <v>96485</v>
      </c>
      <c r="Y491" s="16">
        <f t="shared" si="187"/>
        <v>-188.09157215550698</v>
      </c>
      <c r="Z491" s="16">
        <v>10</v>
      </c>
      <c r="AA491" s="16">
        <v>19</v>
      </c>
      <c r="AB491" s="8">
        <f t="shared" si="188"/>
        <v>0.33240997229916897</v>
      </c>
      <c r="AC491" s="16">
        <f t="shared" si="189"/>
        <v>70.237945145137672</v>
      </c>
      <c r="AD491" s="20">
        <f>'PFAS Properties'!$W$35</f>
        <v>9</v>
      </c>
      <c r="AE491" s="8">
        <f>'PFAS Properties'!$S$35</f>
        <v>0.90308998699194354</v>
      </c>
      <c r="AF491" s="15">
        <f>'PFAS Properties'!$V$35</f>
        <v>6.3</v>
      </c>
      <c r="AG491" s="26">
        <v>5.5</v>
      </c>
      <c r="AH491" s="2" t="s">
        <v>701</v>
      </c>
      <c r="AI491" s="15">
        <f t="shared" si="203"/>
        <v>1.3402799999999999</v>
      </c>
      <c r="AJ491" s="16">
        <v>24</v>
      </c>
      <c r="AK491" s="8">
        <f t="shared" si="197"/>
        <v>0.13402799999999998</v>
      </c>
      <c r="AL491" s="15">
        <f t="shared" si="204"/>
        <v>0.32378400000000002</v>
      </c>
      <c r="AM491" s="16">
        <v>12</v>
      </c>
      <c r="AN491" s="8">
        <f t="shared" si="199"/>
        <v>3.2378400000000002E-2</v>
      </c>
      <c r="AO491" s="15" t="s">
        <v>705</v>
      </c>
      <c r="AP491" s="2">
        <v>2.6</v>
      </c>
      <c r="AQ491" s="15" t="s">
        <v>702</v>
      </c>
      <c r="AR491" s="4">
        <v>86</v>
      </c>
      <c r="AS491" s="4">
        <v>8</v>
      </c>
      <c r="AT491" s="4">
        <v>6</v>
      </c>
      <c r="AU491" s="2" t="s">
        <v>703</v>
      </c>
      <c r="AV491" s="16">
        <f t="shared" si="205"/>
        <v>100</v>
      </c>
      <c r="AW491" s="7">
        <v>1.2</v>
      </c>
      <c r="AX491" s="13">
        <f t="shared" si="200"/>
        <v>1.2E-2</v>
      </c>
      <c r="AY491" s="8" t="s">
        <v>704</v>
      </c>
      <c r="AZ491" s="16">
        <v>10</v>
      </c>
      <c r="BA491" s="16" t="s">
        <v>55</v>
      </c>
      <c r="BB491" s="16" t="s">
        <v>55</v>
      </c>
      <c r="BC491" s="16" t="s">
        <v>55</v>
      </c>
      <c r="BD491" s="24">
        <f t="shared" si="206"/>
        <v>20.183663636815627</v>
      </c>
      <c r="BE491" s="16">
        <f t="shared" si="190"/>
        <v>1681.9719697346356</v>
      </c>
      <c r="BF491" s="16">
        <f t="shared" si="191"/>
        <v>3.2258187539523755</v>
      </c>
      <c r="BG491" s="8">
        <f>(1.33+1.28)/2</f>
        <v>1.3050000000000002</v>
      </c>
      <c r="BH491" s="15" t="s">
        <v>851</v>
      </c>
      <c r="BI491" s="1"/>
      <c r="BJ491" s="2"/>
      <c r="BK491" s="1"/>
      <c r="BL491" s="1"/>
      <c r="BM491" s="7"/>
      <c r="BN491" s="7"/>
      <c r="BO491" s="1"/>
      <c r="BP491" s="11"/>
      <c r="BQ491" s="11"/>
    </row>
    <row r="492" spans="1:69" x14ac:dyDescent="0.3">
      <c r="A492" s="20">
        <v>500</v>
      </c>
      <c r="B492" s="2" t="s">
        <v>690</v>
      </c>
      <c r="C492" s="2">
        <v>2023</v>
      </c>
      <c r="D492" s="2" t="s">
        <v>199</v>
      </c>
      <c r="E492" s="10" t="s">
        <v>803</v>
      </c>
      <c r="F492" s="20" t="s">
        <v>29</v>
      </c>
      <c r="G492" s="2" t="s">
        <v>697</v>
      </c>
      <c r="H492" s="2" t="str">
        <f>'PFAS Properties'!$B$35</f>
        <v>PFDA</v>
      </c>
      <c r="I492" s="2" t="str">
        <f>'PFAS Properties'!$C$35</f>
        <v>PFCA</v>
      </c>
      <c r="J492" s="2" t="str">
        <f>'PFAS Properties'!$D$35</f>
        <v>C10HF19O2</v>
      </c>
      <c r="K492" s="25">
        <f>'PFAS Properties'!$P$35</f>
        <v>513.96719999999993</v>
      </c>
      <c r="L492" s="2">
        <f>'PFAS Properties'!$X$35</f>
        <v>-0.2</v>
      </c>
      <c r="M492" s="2" t="str">
        <f>'PFAS Properties'!$Y$35</f>
        <v>-</v>
      </c>
      <c r="N492" s="33">
        <v>0</v>
      </c>
      <c r="O492" s="33">
        <v>0</v>
      </c>
      <c r="P492" s="33">
        <v>0</v>
      </c>
      <c r="Q492" s="33">
        <f t="shared" si="193"/>
        <v>0.99998415131926011</v>
      </c>
      <c r="R492" s="33">
        <v>0</v>
      </c>
      <c r="S492" s="33">
        <f t="shared" si="194"/>
        <v>1.5848680739948987E-5</v>
      </c>
      <c r="T492" s="8">
        <f t="shared" si="195"/>
        <v>1</v>
      </c>
      <c r="U492" s="33">
        <f t="shared" si="184"/>
        <v>0</v>
      </c>
      <c r="V492" s="33">
        <f t="shared" si="185"/>
        <v>-0.99998415131926011</v>
      </c>
      <c r="W492" s="33">
        <f t="shared" si="186"/>
        <v>512.96721584868078</v>
      </c>
      <c r="X492" s="33">
        <v>96485</v>
      </c>
      <c r="Y492" s="16">
        <f t="shared" si="187"/>
        <v>-188.08896135869293</v>
      </c>
      <c r="Z492" s="16">
        <v>10</v>
      </c>
      <c r="AA492" s="16">
        <v>19</v>
      </c>
      <c r="AB492" s="8">
        <f t="shared" si="188"/>
        <v>0.33240997229916897</v>
      </c>
      <c r="AC492" s="16">
        <f t="shared" si="189"/>
        <v>70.237945145137672</v>
      </c>
      <c r="AD492" s="20">
        <f>'PFAS Properties'!$W$35</f>
        <v>9</v>
      </c>
      <c r="AE492" s="8">
        <f>'PFAS Properties'!$S$35</f>
        <v>0.90308998699194354</v>
      </c>
      <c r="AF492" s="15">
        <f>'PFAS Properties'!$V$35</f>
        <v>6.3</v>
      </c>
      <c r="AG492" s="26">
        <v>4.5999999999999996</v>
      </c>
      <c r="AH492" s="2" t="s">
        <v>701</v>
      </c>
      <c r="AI492" s="15">
        <f t="shared" si="203"/>
        <v>0.1396125</v>
      </c>
      <c r="AJ492" s="16">
        <v>2.5</v>
      </c>
      <c r="AK492" s="8">
        <f t="shared" si="197"/>
        <v>1.396125E-2</v>
      </c>
      <c r="AL492" s="15">
        <f t="shared" si="204"/>
        <v>5.12658E-2</v>
      </c>
      <c r="AM492" s="16">
        <v>1.9</v>
      </c>
      <c r="AN492" s="8">
        <f t="shared" si="199"/>
        <v>5.1265800000000004E-3</v>
      </c>
      <c r="AO492" s="15" t="s">
        <v>705</v>
      </c>
      <c r="AP492" s="2">
        <v>1.8</v>
      </c>
      <c r="AQ492" s="15" t="s">
        <v>702</v>
      </c>
      <c r="AR492" s="4">
        <v>53</v>
      </c>
      <c r="AS492" s="4">
        <v>40</v>
      </c>
      <c r="AT492" s="4">
        <v>7</v>
      </c>
      <c r="AU492" s="2" t="s">
        <v>703</v>
      </c>
      <c r="AV492" s="16">
        <f t="shared" si="205"/>
        <v>100</v>
      </c>
      <c r="AW492" s="7">
        <v>1.1000000000000001</v>
      </c>
      <c r="AX492" s="13">
        <f t="shared" si="200"/>
        <v>1.1000000000000001E-2</v>
      </c>
      <c r="AY492" s="8" t="s">
        <v>704</v>
      </c>
      <c r="AZ492" s="16">
        <v>10</v>
      </c>
      <c r="BA492" s="16" t="s">
        <v>55</v>
      </c>
      <c r="BB492" s="16" t="s">
        <v>55</v>
      </c>
      <c r="BC492" s="16" t="s">
        <v>55</v>
      </c>
      <c r="BD492" s="24">
        <f t="shared" si="206"/>
        <v>5.7543993733715713</v>
      </c>
      <c r="BE492" s="16">
        <f t="shared" si="190"/>
        <v>523.12721576105184</v>
      </c>
      <c r="BF492" s="16">
        <f t="shared" si="191"/>
        <v>2.7186073148417749</v>
      </c>
      <c r="BG492" s="8">
        <v>0.76</v>
      </c>
      <c r="BH492" s="15" t="s">
        <v>849</v>
      </c>
      <c r="BI492" s="1"/>
      <c r="BJ492" s="2"/>
      <c r="BK492" s="1"/>
      <c r="BL492" s="1"/>
      <c r="BM492" s="7"/>
      <c r="BN492" s="7"/>
      <c r="BO492" s="1"/>
      <c r="BP492" s="11"/>
      <c r="BQ492" s="11"/>
    </row>
    <row r="493" spans="1:69" x14ac:dyDescent="0.3">
      <c r="A493" s="20">
        <v>501</v>
      </c>
      <c r="B493" s="2" t="s">
        <v>690</v>
      </c>
      <c r="C493" s="2">
        <v>2023</v>
      </c>
      <c r="D493" s="2" t="s">
        <v>199</v>
      </c>
      <c r="E493" s="10" t="s">
        <v>803</v>
      </c>
      <c r="F493" s="20" t="s">
        <v>29</v>
      </c>
      <c r="G493" s="2" t="s">
        <v>698</v>
      </c>
      <c r="H493" s="2" t="str">
        <f>'PFAS Properties'!$B$35</f>
        <v>PFDA</v>
      </c>
      <c r="I493" s="2" t="str">
        <f>'PFAS Properties'!$C$35</f>
        <v>PFCA</v>
      </c>
      <c r="J493" s="2" t="str">
        <f>'PFAS Properties'!$D$35</f>
        <v>C10HF19O2</v>
      </c>
      <c r="K493" s="25">
        <f>'PFAS Properties'!$P$35</f>
        <v>513.96719999999993</v>
      </c>
      <c r="L493" s="2">
        <f>'PFAS Properties'!$X$35</f>
        <v>-0.2</v>
      </c>
      <c r="M493" s="2" t="str">
        <f>'PFAS Properties'!$Y$35</f>
        <v>-</v>
      </c>
      <c r="N493" s="33">
        <v>0</v>
      </c>
      <c r="O493" s="33">
        <v>0</v>
      </c>
      <c r="P493" s="33">
        <v>0</v>
      </c>
      <c r="Q493" s="33">
        <f t="shared" si="193"/>
        <v>0.99999984151070587</v>
      </c>
      <c r="R493" s="33">
        <v>0</v>
      </c>
      <c r="S493" s="33">
        <f t="shared" si="194"/>
        <v>1.5848929412725089E-7</v>
      </c>
      <c r="T493" s="8">
        <f t="shared" si="195"/>
        <v>1</v>
      </c>
      <c r="U493" s="33">
        <f t="shared" si="184"/>
        <v>0</v>
      </c>
      <c r="V493" s="33">
        <f t="shared" si="185"/>
        <v>-0.99999984151070587</v>
      </c>
      <c r="W493" s="33">
        <f t="shared" si="186"/>
        <v>512.96720015848916</v>
      </c>
      <c r="X493" s="33">
        <v>96485</v>
      </c>
      <c r="Y493" s="16">
        <f t="shared" si="187"/>
        <v>-188.09191831046883</v>
      </c>
      <c r="Z493" s="16">
        <v>10</v>
      </c>
      <c r="AA493" s="16">
        <v>19</v>
      </c>
      <c r="AB493" s="8">
        <f t="shared" si="188"/>
        <v>0.33240997229916897</v>
      </c>
      <c r="AC493" s="16">
        <f t="shared" si="189"/>
        <v>70.237945145137672</v>
      </c>
      <c r="AD493" s="20">
        <f>'PFAS Properties'!$W$35</f>
        <v>9</v>
      </c>
      <c r="AE493" s="8">
        <f>'PFAS Properties'!$S$35</f>
        <v>0.90308998699194354</v>
      </c>
      <c r="AF493" s="15">
        <f>'PFAS Properties'!$V$35</f>
        <v>6.3</v>
      </c>
      <c r="AG493" s="26">
        <v>6.6</v>
      </c>
      <c r="AH493" s="2" t="s">
        <v>701</v>
      </c>
      <c r="AI493" s="15">
        <f t="shared" si="203"/>
        <v>11.169</v>
      </c>
      <c r="AJ493" s="16">
        <v>200</v>
      </c>
      <c r="AK493" s="8">
        <f t="shared" si="197"/>
        <v>1.1169</v>
      </c>
      <c r="AL493" s="15">
        <f t="shared" si="204"/>
        <v>1.3760819999999998</v>
      </c>
      <c r="AM493" s="16">
        <v>51</v>
      </c>
      <c r="AN493" s="8">
        <f t="shared" si="199"/>
        <v>0.13760819999999999</v>
      </c>
      <c r="AO493" s="15" t="s">
        <v>705</v>
      </c>
      <c r="AP493" s="2">
        <v>16</v>
      </c>
      <c r="AQ493" s="15" t="s">
        <v>702</v>
      </c>
      <c r="AR493" s="4">
        <v>0.68</v>
      </c>
      <c r="AS493" s="4">
        <v>48</v>
      </c>
      <c r="AT493" s="4">
        <v>52</v>
      </c>
      <c r="AU493" s="2" t="s">
        <v>703</v>
      </c>
      <c r="AV493" s="16">
        <f t="shared" si="205"/>
        <v>100.68</v>
      </c>
      <c r="AW493" s="7">
        <v>0.91</v>
      </c>
      <c r="AX493" s="13">
        <f t="shared" si="200"/>
        <v>9.1000000000000004E-3</v>
      </c>
      <c r="AY493" s="8" t="s">
        <v>704</v>
      </c>
      <c r="AZ493" s="16">
        <v>10</v>
      </c>
      <c r="BA493" s="16" t="s">
        <v>55</v>
      </c>
      <c r="BB493" s="16" t="s">
        <v>55</v>
      </c>
      <c r="BC493" s="16" t="s">
        <v>55</v>
      </c>
      <c r="BD493" s="24">
        <f t="shared" si="206"/>
        <v>10</v>
      </c>
      <c r="BE493" s="16">
        <f t="shared" si="190"/>
        <v>1098.9010989010987</v>
      </c>
      <c r="BF493" s="16">
        <f t="shared" si="191"/>
        <v>3.0409586076789061</v>
      </c>
      <c r="BG493" s="8">
        <v>1</v>
      </c>
      <c r="BH493" s="15" t="s">
        <v>852</v>
      </c>
      <c r="BI493" s="1"/>
      <c r="BJ493" s="2"/>
      <c r="BK493" s="1"/>
      <c r="BL493" s="1"/>
      <c r="BM493" s="7"/>
      <c r="BN493" s="7"/>
      <c r="BO493" s="1"/>
      <c r="BP493" s="11"/>
      <c r="BQ493" s="11"/>
    </row>
    <row r="494" spans="1:69" x14ac:dyDescent="0.3">
      <c r="A494" s="20">
        <v>502</v>
      </c>
      <c r="B494" s="2" t="s">
        <v>690</v>
      </c>
      <c r="C494" s="2">
        <v>2023</v>
      </c>
      <c r="D494" s="2" t="s">
        <v>199</v>
      </c>
      <c r="E494" s="10" t="s">
        <v>803</v>
      </c>
      <c r="F494" s="20" t="s">
        <v>29</v>
      </c>
      <c r="G494" s="2" t="s">
        <v>699</v>
      </c>
      <c r="H494" s="2" t="str">
        <f>'PFAS Properties'!$B$35</f>
        <v>PFDA</v>
      </c>
      <c r="I494" s="2" t="str">
        <f>'PFAS Properties'!$C$35</f>
        <v>PFCA</v>
      </c>
      <c r="J494" s="2" t="str">
        <f>'PFAS Properties'!$D$35</f>
        <v>C10HF19O2</v>
      </c>
      <c r="K494" s="25">
        <f>'PFAS Properties'!$P$35</f>
        <v>513.96719999999993</v>
      </c>
      <c r="L494" s="2">
        <f>'PFAS Properties'!$X$35</f>
        <v>-0.2</v>
      </c>
      <c r="M494" s="2" t="str">
        <f>'PFAS Properties'!$Y$35</f>
        <v>-</v>
      </c>
      <c r="N494" s="33">
        <v>0</v>
      </c>
      <c r="O494" s="33">
        <v>0</v>
      </c>
      <c r="P494" s="33">
        <v>0</v>
      </c>
      <c r="Q494" s="33">
        <f t="shared" si="193"/>
        <v>0.99999900000099995</v>
      </c>
      <c r="R494" s="33">
        <v>0</v>
      </c>
      <c r="S494" s="33">
        <f t="shared" si="194"/>
        <v>9.9999900000100006E-7</v>
      </c>
      <c r="T494" s="8">
        <f t="shared" si="195"/>
        <v>1</v>
      </c>
      <c r="U494" s="33">
        <f t="shared" si="184"/>
        <v>0</v>
      </c>
      <c r="V494" s="33">
        <f t="shared" si="185"/>
        <v>-0.99999900000099995</v>
      </c>
      <c r="W494" s="33">
        <f t="shared" si="186"/>
        <v>512.96720099999891</v>
      </c>
      <c r="X494" s="33">
        <v>96485</v>
      </c>
      <c r="Y494" s="16">
        <f t="shared" si="187"/>
        <v>-188.09175972070909</v>
      </c>
      <c r="Z494" s="16">
        <v>10</v>
      </c>
      <c r="AA494" s="16">
        <v>19</v>
      </c>
      <c r="AB494" s="8">
        <f t="shared" si="188"/>
        <v>0.33240997229916897</v>
      </c>
      <c r="AC494" s="16">
        <f t="shared" si="189"/>
        <v>70.237945145137672</v>
      </c>
      <c r="AD494" s="20">
        <f>'PFAS Properties'!$W$35</f>
        <v>9</v>
      </c>
      <c r="AE494" s="8">
        <f>'PFAS Properties'!$S$35</f>
        <v>0.90308998699194354</v>
      </c>
      <c r="AF494" s="15">
        <f>'PFAS Properties'!$V$35</f>
        <v>6.3</v>
      </c>
      <c r="AG494" s="26">
        <v>5.8</v>
      </c>
      <c r="AH494" s="2" t="s">
        <v>701</v>
      </c>
      <c r="AI494" s="15">
        <f t="shared" si="203"/>
        <v>1.6753499999999999</v>
      </c>
      <c r="AJ494" s="16">
        <v>30</v>
      </c>
      <c r="AK494" s="8">
        <f t="shared" si="197"/>
        <v>0.16753499999999999</v>
      </c>
      <c r="AL494" s="15">
        <f t="shared" si="204"/>
        <v>0.75549599999999995</v>
      </c>
      <c r="AM494" s="16">
        <v>28</v>
      </c>
      <c r="AN494" s="8">
        <f t="shared" si="199"/>
        <v>7.5549599999999995E-2</v>
      </c>
      <c r="AO494" s="15" t="s">
        <v>705</v>
      </c>
      <c r="AP494" s="2">
        <v>0.77</v>
      </c>
      <c r="AQ494" s="15" t="s">
        <v>702</v>
      </c>
      <c r="AR494" s="4">
        <v>89</v>
      </c>
      <c r="AS494" s="4">
        <v>8</v>
      </c>
      <c r="AT494" s="4">
        <v>3</v>
      </c>
      <c r="AU494" s="2" t="s">
        <v>703</v>
      </c>
      <c r="AV494" s="16">
        <f t="shared" si="205"/>
        <v>100</v>
      </c>
      <c r="AW494" s="7">
        <v>0.3</v>
      </c>
      <c r="AX494" s="13">
        <f t="shared" si="200"/>
        <v>3.0000000000000001E-3</v>
      </c>
      <c r="AY494" s="8" t="s">
        <v>704</v>
      </c>
      <c r="AZ494" s="16">
        <v>10</v>
      </c>
      <c r="BA494" s="16" t="s">
        <v>55</v>
      </c>
      <c r="BB494" s="16" t="s">
        <v>55</v>
      </c>
      <c r="BC494" s="16" t="s">
        <v>55</v>
      </c>
      <c r="BD494" s="24">
        <f t="shared" si="206"/>
        <v>2.3988329190194908</v>
      </c>
      <c r="BE494" s="16">
        <f t="shared" si="190"/>
        <v>799.61097300649692</v>
      </c>
      <c r="BF494" s="16">
        <f t="shared" si="191"/>
        <v>2.9028787452803377</v>
      </c>
      <c r="BG494" s="8">
        <v>0.38</v>
      </c>
      <c r="BH494" s="15" t="s">
        <v>853</v>
      </c>
      <c r="BI494" s="1"/>
      <c r="BJ494" s="2"/>
      <c r="BK494" s="1"/>
      <c r="BL494" s="1"/>
      <c r="BM494" s="7"/>
      <c r="BN494" s="7"/>
      <c r="BO494" s="1"/>
      <c r="BP494" s="11"/>
      <c r="BQ494" s="11"/>
    </row>
    <row r="495" spans="1:69" x14ac:dyDescent="0.3">
      <c r="A495" s="20">
        <v>503</v>
      </c>
      <c r="B495" s="2" t="s">
        <v>690</v>
      </c>
      <c r="C495" s="2">
        <v>2023</v>
      </c>
      <c r="D495" s="2" t="s">
        <v>199</v>
      </c>
      <c r="E495" s="10" t="s">
        <v>803</v>
      </c>
      <c r="F495" s="20" t="s">
        <v>29</v>
      </c>
      <c r="G495" s="2" t="s">
        <v>700</v>
      </c>
      <c r="H495" s="2" t="str">
        <f>'PFAS Properties'!$B$35</f>
        <v>PFDA</v>
      </c>
      <c r="I495" s="2" t="str">
        <f>'PFAS Properties'!$C$35</f>
        <v>PFCA</v>
      </c>
      <c r="J495" s="2" t="str">
        <f>'PFAS Properties'!$D$35</f>
        <v>C10HF19O2</v>
      </c>
      <c r="K495" s="25">
        <f>'PFAS Properties'!$P$35</f>
        <v>513.96719999999993</v>
      </c>
      <c r="L495" s="2">
        <f>'PFAS Properties'!$X$35</f>
        <v>-0.2</v>
      </c>
      <c r="M495" s="2" t="str">
        <f>'PFAS Properties'!$Y$35</f>
        <v>-</v>
      </c>
      <c r="N495" s="33">
        <v>0</v>
      </c>
      <c r="O495" s="33">
        <v>0</v>
      </c>
      <c r="P495" s="33">
        <v>0</v>
      </c>
      <c r="Q495" s="33">
        <f t="shared" si="193"/>
        <v>0.99999683773233983</v>
      </c>
      <c r="R495" s="33">
        <v>0</v>
      </c>
      <c r="S495" s="33">
        <f t="shared" si="194"/>
        <v>3.1622676601999995E-6</v>
      </c>
      <c r="T495" s="8">
        <f t="shared" si="195"/>
        <v>1</v>
      </c>
      <c r="U495" s="33">
        <f t="shared" si="184"/>
        <v>0</v>
      </c>
      <c r="V495" s="33">
        <f t="shared" si="185"/>
        <v>-0.99999683773233983</v>
      </c>
      <c r="W495" s="33">
        <f t="shared" si="186"/>
        <v>512.96720316226754</v>
      </c>
      <c r="X495" s="33">
        <v>96485</v>
      </c>
      <c r="Y495" s="16">
        <f t="shared" si="187"/>
        <v>-188.09135222253903</v>
      </c>
      <c r="Z495" s="16">
        <v>10</v>
      </c>
      <c r="AA495" s="16">
        <v>19</v>
      </c>
      <c r="AB495" s="8">
        <f t="shared" si="188"/>
        <v>0.33240997229916897</v>
      </c>
      <c r="AC495" s="16">
        <f t="shared" si="189"/>
        <v>70.237945145137672</v>
      </c>
      <c r="AD495" s="20">
        <f>'PFAS Properties'!$W$35</f>
        <v>9</v>
      </c>
      <c r="AE495" s="8">
        <f>'PFAS Properties'!$S$35</f>
        <v>0.90308998699194354</v>
      </c>
      <c r="AF495" s="15">
        <f>'PFAS Properties'!$V$35</f>
        <v>6.3</v>
      </c>
      <c r="AG495" s="26">
        <v>5.3</v>
      </c>
      <c r="AH495" s="2" t="s">
        <v>701</v>
      </c>
      <c r="AI495" s="15">
        <f t="shared" si="203"/>
        <v>1.2285899999999998</v>
      </c>
      <c r="AJ495" s="16">
        <v>22</v>
      </c>
      <c r="AK495" s="8">
        <f t="shared" si="197"/>
        <v>0.12285899999999998</v>
      </c>
      <c r="AL495" s="15">
        <f t="shared" si="204"/>
        <v>2.15856</v>
      </c>
      <c r="AM495" s="16">
        <v>80</v>
      </c>
      <c r="AN495" s="8">
        <f t="shared" si="199"/>
        <v>0.21585599999999999</v>
      </c>
      <c r="AO495" s="15" t="s">
        <v>705</v>
      </c>
      <c r="AP495" s="2">
        <v>0.45</v>
      </c>
      <c r="AQ495" s="15" t="s">
        <v>702</v>
      </c>
      <c r="AR495" s="4">
        <v>96</v>
      </c>
      <c r="AS495" s="4">
        <v>3</v>
      </c>
      <c r="AT495" s="4">
        <v>2</v>
      </c>
      <c r="AU495" s="2" t="s">
        <v>703</v>
      </c>
      <c r="AV495" s="16">
        <f t="shared" si="205"/>
        <v>101</v>
      </c>
      <c r="AW495" s="7">
        <v>0.19</v>
      </c>
      <c r="AX495" s="13">
        <f t="shared" si="200"/>
        <v>1.9E-3</v>
      </c>
      <c r="AY495" s="8" t="s">
        <v>704</v>
      </c>
      <c r="AZ495" s="16">
        <v>10</v>
      </c>
      <c r="BA495" s="16" t="s">
        <v>55</v>
      </c>
      <c r="BB495" s="16" t="s">
        <v>55</v>
      </c>
      <c r="BC495" s="16" t="s">
        <v>55</v>
      </c>
      <c r="BD495" s="24">
        <f t="shared" si="206"/>
        <v>10.232929922807543</v>
      </c>
      <c r="BE495" s="16">
        <f t="shared" si="190"/>
        <v>5385.7525909513379</v>
      </c>
      <c r="BF495" s="16">
        <f t="shared" si="191"/>
        <v>3.7312463990471709</v>
      </c>
      <c r="BG495" s="8">
        <v>1.01</v>
      </c>
      <c r="BH495" s="15" t="s">
        <v>846</v>
      </c>
      <c r="BI495" s="1"/>
      <c r="BJ495" s="2"/>
      <c r="BK495" s="1"/>
      <c r="BL495" s="1"/>
      <c r="BM495" s="7"/>
      <c r="BN495" s="7"/>
      <c r="BO495" s="1"/>
      <c r="BP495" s="11"/>
      <c r="BQ495" s="11"/>
    </row>
    <row r="496" spans="1:69" s="2" customFormat="1" x14ac:dyDescent="0.3">
      <c r="A496" s="20">
        <v>504</v>
      </c>
      <c r="B496" s="2" t="s">
        <v>720</v>
      </c>
      <c r="C496" s="2">
        <v>2019</v>
      </c>
      <c r="D496" s="2" t="s">
        <v>201</v>
      </c>
      <c r="E496" s="10" t="s">
        <v>797</v>
      </c>
      <c r="F496" s="20" t="s">
        <v>29</v>
      </c>
      <c r="G496" s="2" t="s">
        <v>713</v>
      </c>
      <c r="H496" s="2" t="str">
        <f>'PFAS Properties'!$B$35</f>
        <v>PFDA</v>
      </c>
      <c r="I496" s="2" t="str">
        <f>'PFAS Properties'!$C$35</f>
        <v>PFCA</v>
      </c>
      <c r="J496" s="2" t="str">
        <f>'PFAS Properties'!$D$35</f>
        <v>C10HF19O2</v>
      </c>
      <c r="K496" s="25">
        <f>'PFAS Properties'!$P$35</f>
        <v>513.96719999999993</v>
      </c>
      <c r="L496" s="2">
        <f>'PFAS Properties'!$X$35</f>
        <v>-0.2</v>
      </c>
      <c r="M496" s="2" t="str">
        <f>'PFAS Properties'!$Y$35</f>
        <v>-</v>
      </c>
      <c r="N496" s="33">
        <v>0</v>
      </c>
      <c r="O496" s="33">
        <v>0</v>
      </c>
      <c r="P496" s="33">
        <v>0</v>
      </c>
      <c r="Q496" s="33">
        <f t="shared" si="193"/>
        <v>0.9999984511857799</v>
      </c>
      <c r="R496" s="33">
        <v>0</v>
      </c>
      <c r="S496" s="33">
        <f t="shared" si="194"/>
        <v>1.5488142200832729E-6</v>
      </c>
      <c r="T496" s="8">
        <f t="shared" si="195"/>
        <v>1</v>
      </c>
      <c r="U496" s="33">
        <f t="shared" si="184"/>
        <v>0</v>
      </c>
      <c r="V496" s="33">
        <f t="shared" si="185"/>
        <v>-0.9999984511857799</v>
      </c>
      <c r="W496" s="33">
        <f t="shared" si="186"/>
        <v>512.96720154881416</v>
      </c>
      <c r="X496" s="33">
        <v>96485</v>
      </c>
      <c r="Y496" s="16">
        <f t="shared" si="187"/>
        <v>-188.09165629174916</v>
      </c>
      <c r="Z496" s="16">
        <v>10</v>
      </c>
      <c r="AA496" s="16">
        <v>19</v>
      </c>
      <c r="AB496" s="8">
        <f t="shared" si="188"/>
        <v>0.33240997229916897</v>
      </c>
      <c r="AC496" s="16">
        <f t="shared" si="189"/>
        <v>70.237945145137672</v>
      </c>
      <c r="AD496" s="20">
        <f>'PFAS Properties'!$W$35</f>
        <v>9</v>
      </c>
      <c r="AE496" s="8">
        <f>'PFAS Properties'!$S$35</f>
        <v>0.90308998699194354</v>
      </c>
      <c r="AF496" s="15">
        <f>'PFAS Properties'!$V$35</f>
        <v>6.3</v>
      </c>
      <c r="AG496" s="24">
        <v>5.61</v>
      </c>
      <c r="AH496" s="2" t="s">
        <v>652</v>
      </c>
      <c r="AI496" s="15">
        <f>9.1*2*55.845/159.69</f>
        <v>6.3647003569415741</v>
      </c>
      <c r="AJ496" s="16">
        <f t="shared" ref="AJ496:AJ507" si="207">AI496*1000/55.845</f>
        <v>113.97081846076773</v>
      </c>
      <c r="AK496" s="15">
        <f t="shared" si="197"/>
        <v>0.63647003569415739</v>
      </c>
      <c r="AL496" s="15">
        <f>22.3*2*26.98/101.96</f>
        <v>11.801765398195371</v>
      </c>
      <c r="AM496" s="16">
        <f>AL496*1000/26.98</f>
        <v>437.42644174185961</v>
      </c>
      <c r="AN496" s="15">
        <f t="shared" si="199"/>
        <v>1.1801765398195372</v>
      </c>
      <c r="AO496" s="15" t="s">
        <v>41</v>
      </c>
      <c r="AP496" s="2">
        <v>11</v>
      </c>
      <c r="AQ496" s="2" t="s">
        <v>652</v>
      </c>
      <c r="AR496" s="2">
        <v>40.700000000000003</v>
      </c>
      <c r="AS496" s="2">
        <v>23.3</v>
      </c>
      <c r="AT496" s="2">
        <v>36</v>
      </c>
      <c r="AU496" s="2" t="s">
        <v>652</v>
      </c>
      <c r="AV496" s="16">
        <f t="shared" ref="AV496:AV547" si="208">SUM(AR496:AT496)</f>
        <v>100</v>
      </c>
      <c r="AW496" s="20">
        <v>3.82</v>
      </c>
      <c r="AX496" s="13">
        <f t="shared" si="200"/>
        <v>3.8199999999999998E-2</v>
      </c>
      <c r="AY496" s="16" t="s">
        <v>750</v>
      </c>
      <c r="AZ496" s="16">
        <f t="shared" ref="AZ496:AZ501" si="209">5/0.04</f>
        <v>125</v>
      </c>
      <c r="BA496" s="16" t="s">
        <v>55</v>
      </c>
      <c r="BB496" s="16">
        <f t="shared" ref="BB496:BB501" si="210">50*K496/1000</f>
        <v>25.698359999999997</v>
      </c>
      <c r="BC496" s="16">
        <f t="shared" ref="BC496:BC501" si="211">1000*K496/1000</f>
        <v>513.96719999999993</v>
      </c>
      <c r="BD496" s="25">
        <f t="shared" ref="BD496:BD501" si="212">BO496</f>
        <v>92.063582231332973</v>
      </c>
      <c r="BE496" s="16">
        <f t="shared" si="190"/>
        <v>2410.0414196684023</v>
      </c>
      <c r="BF496" s="16">
        <f t="shared" si="191"/>
        <v>3.382024506549496</v>
      </c>
      <c r="BG496" s="8">
        <f t="shared" ref="BG496:BG530" si="213">LOG(BD496)</f>
        <v>1.9640878694612045</v>
      </c>
      <c r="BH496" s="13" t="s">
        <v>782</v>
      </c>
      <c r="BI496" s="16">
        <f>10^2.8636</f>
        <v>730.4659895204112</v>
      </c>
      <c r="BJ496" s="16" t="s">
        <v>329</v>
      </c>
      <c r="BK496" s="8">
        <v>0.30049999999999999</v>
      </c>
      <c r="BL496" s="16">
        <f t="shared" ref="BL496:BL501" si="214">(BI496*K496/1000)/(BI496*(K496^BK496)/1000)</f>
        <v>78.758840790228717</v>
      </c>
      <c r="BM496" s="25">
        <f>'PFAS Properties'!$U$35</f>
        <v>0.8</v>
      </c>
      <c r="BN496" s="16">
        <f t="shared" ref="BN496:BN501" si="215">(BL496*(BM496^BK496))</f>
        <v>73.650865785066387</v>
      </c>
      <c r="BO496" s="24">
        <f t="shared" ref="BO496:BO501" si="216">BN496/BM496</f>
        <v>92.063582231332973</v>
      </c>
    </row>
    <row r="497" spans="1:69" s="14" customFormat="1" x14ac:dyDescent="0.3">
      <c r="A497" s="20">
        <v>505</v>
      </c>
      <c r="B497" s="2" t="s">
        <v>720</v>
      </c>
      <c r="C497" s="2">
        <v>2019</v>
      </c>
      <c r="D497" s="2" t="s">
        <v>201</v>
      </c>
      <c r="E497" s="10" t="s">
        <v>797</v>
      </c>
      <c r="F497" s="20" t="s">
        <v>29</v>
      </c>
      <c r="G497" s="2" t="s">
        <v>714</v>
      </c>
      <c r="H497" s="2" t="str">
        <f>'PFAS Properties'!$B$35</f>
        <v>PFDA</v>
      </c>
      <c r="I497" s="2" t="str">
        <f>'PFAS Properties'!$C$35</f>
        <v>PFCA</v>
      </c>
      <c r="J497" s="2" t="str">
        <f>'PFAS Properties'!$D$35</f>
        <v>C10HF19O2</v>
      </c>
      <c r="K497" s="25">
        <f>'PFAS Properties'!$P$35</f>
        <v>513.96719999999993</v>
      </c>
      <c r="L497" s="2">
        <f>'PFAS Properties'!$X$35</f>
        <v>-0.2</v>
      </c>
      <c r="M497" s="2" t="str">
        <f>'PFAS Properties'!$Y$35</f>
        <v>-</v>
      </c>
      <c r="N497" s="33">
        <v>0</v>
      </c>
      <c r="O497" s="33">
        <v>0</v>
      </c>
      <c r="P497" s="33">
        <v>0</v>
      </c>
      <c r="Q497" s="33">
        <f t="shared" si="193"/>
        <v>0.99997048877867123</v>
      </c>
      <c r="R497" s="33">
        <v>0</v>
      </c>
      <c r="S497" s="33">
        <f t="shared" si="194"/>
        <v>2.9511221328777069E-5</v>
      </c>
      <c r="T497" s="8">
        <f t="shared" si="195"/>
        <v>1</v>
      </c>
      <c r="U497" s="33">
        <f t="shared" si="184"/>
        <v>0</v>
      </c>
      <c r="V497" s="33">
        <f t="shared" si="185"/>
        <v>-0.99997048877867123</v>
      </c>
      <c r="W497" s="33">
        <f t="shared" si="186"/>
        <v>512.96722951122126</v>
      </c>
      <c r="X497" s="33">
        <v>96485</v>
      </c>
      <c r="Y497" s="16">
        <f t="shared" si="187"/>
        <v>-188.08638653534013</v>
      </c>
      <c r="Z497" s="16">
        <v>10</v>
      </c>
      <c r="AA497" s="16">
        <v>19</v>
      </c>
      <c r="AB497" s="8">
        <f t="shared" si="188"/>
        <v>0.33240997229916897</v>
      </c>
      <c r="AC497" s="16">
        <f t="shared" si="189"/>
        <v>70.237945145137672</v>
      </c>
      <c r="AD497" s="20">
        <f>'PFAS Properties'!$W$35</f>
        <v>9</v>
      </c>
      <c r="AE497" s="8">
        <f>'PFAS Properties'!$S$35</f>
        <v>0.90308998699194354</v>
      </c>
      <c r="AF497" s="15">
        <f>'PFAS Properties'!$V$35</f>
        <v>6.3</v>
      </c>
      <c r="AG497" s="24">
        <v>4.33</v>
      </c>
      <c r="AH497" s="2" t="s">
        <v>652</v>
      </c>
      <c r="AI497" s="15">
        <f>4.25*2*55.845/159.69</f>
        <v>2.9725248919782077</v>
      </c>
      <c r="AJ497" s="16">
        <f t="shared" si="207"/>
        <v>53.228129500908004</v>
      </c>
      <c r="AK497" s="15">
        <f t="shared" si="197"/>
        <v>0.29725248919782077</v>
      </c>
      <c r="AL497" s="15">
        <f>4.49*2*26.98/101.96</f>
        <v>2.3762298940761086</v>
      </c>
      <c r="AM497" s="16">
        <f t="shared" ref="AM497:AM507" si="217">AL497*1000/26.98</f>
        <v>88.073754413495507</v>
      </c>
      <c r="AN497" s="15">
        <f t="shared" si="199"/>
        <v>0.23762298940761087</v>
      </c>
      <c r="AO497" s="15" t="s">
        <v>41</v>
      </c>
      <c r="AP497" s="2">
        <v>19</v>
      </c>
      <c r="AQ497" s="2" t="s">
        <v>652</v>
      </c>
      <c r="AR497" s="2">
        <v>46.7</v>
      </c>
      <c r="AS497" s="2">
        <v>50</v>
      </c>
      <c r="AT497" s="2">
        <v>3.3</v>
      </c>
      <c r="AU497" s="2" t="s">
        <v>652</v>
      </c>
      <c r="AV497" s="16">
        <f t="shared" si="208"/>
        <v>100</v>
      </c>
      <c r="AW497" s="20">
        <v>0.52</v>
      </c>
      <c r="AX497" s="13">
        <f t="shared" si="200"/>
        <v>5.1999999999999998E-3</v>
      </c>
      <c r="AY497" s="16" t="s">
        <v>750</v>
      </c>
      <c r="AZ497" s="16">
        <f t="shared" si="209"/>
        <v>125</v>
      </c>
      <c r="BA497" s="16" t="s">
        <v>55</v>
      </c>
      <c r="BB497" s="16">
        <f t="shared" si="210"/>
        <v>25.698359999999997</v>
      </c>
      <c r="BC497" s="16">
        <f t="shared" si="211"/>
        <v>513.96719999999993</v>
      </c>
      <c r="BD497" s="25">
        <f t="shared" si="212"/>
        <v>55.456542401191811</v>
      </c>
      <c r="BE497" s="16">
        <f t="shared" si="190"/>
        <v>10664.719692536888</v>
      </c>
      <c r="BF497" s="16">
        <f t="shared" si="191"/>
        <v>4.0279494451033768</v>
      </c>
      <c r="BG497" s="8">
        <f t="shared" si="213"/>
        <v>1.7439527887381761</v>
      </c>
      <c r="BH497" s="13" t="s">
        <v>782</v>
      </c>
      <c r="BI497" s="16">
        <f>10^2.597</f>
        <v>395.36662006812816</v>
      </c>
      <c r="BJ497" s="16" t="s">
        <v>329</v>
      </c>
      <c r="BK497" s="8">
        <v>0.37890000000000001</v>
      </c>
      <c r="BL497" s="16">
        <f t="shared" si="214"/>
        <v>48.279412835889737</v>
      </c>
      <c r="BM497" s="25">
        <f>'PFAS Properties'!$U$35</f>
        <v>0.8</v>
      </c>
      <c r="BN497" s="16">
        <f t="shared" si="215"/>
        <v>44.36523392095345</v>
      </c>
      <c r="BO497" s="24">
        <f t="shared" si="216"/>
        <v>55.456542401191811</v>
      </c>
    </row>
    <row r="498" spans="1:69" s="14" customFormat="1" x14ac:dyDescent="0.3">
      <c r="A498" s="20">
        <v>506</v>
      </c>
      <c r="B498" s="2" t="s">
        <v>720</v>
      </c>
      <c r="C498" s="2">
        <v>2019</v>
      </c>
      <c r="D498" s="2" t="s">
        <v>201</v>
      </c>
      <c r="E498" s="10" t="s">
        <v>797</v>
      </c>
      <c r="F498" s="20" t="s">
        <v>29</v>
      </c>
      <c r="G498" s="2" t="s">
        <v>715</v>
      </c>
      <c r="H498" s="2" t="str">
        <f>'PFAS Properties'!$B$35</f>
        <v>PFDA</v>
      </c>
      <c r="I498" s="2" t="str">
        <f>'PFAS Properties'!$C$35</f>
        <v>PFCA</v>
      </c>
      <c r="J498" s="2" t="str">
        <f>'PFAS Properties'!$D$35</f>
        <v>C10HF19O2</v>
      </c>
      <c r="K498" s="25">
        <f>'PFAS Properties'!$P$35</f>
        <v>513.96719999999993</v>
      </c>
      <c r="L498" s="2">
        <f>'PFAS Properties'!$X$35</f>
        <v>-0.2</v>
      </c>
      <c r="M498" s="2" t="str">
        <f>'PFAS Properties'!$Y$35</f>
        <v>-</v>
      </c>
      <c r="N498" s="33">
        <v>0</v>
      </c>
      <c r="O498" s="33">
        <v>0</v>
      </c>
      <c r="P498" s="33">
        <v>0</v>
      </c>
      <c r="Q498" s="33">
        <f t="shared" si="193"/>
        <v>0.99986512190629506</v>
      </c>
      <c r="R498" s="33">
        <v>0</v>
      </c>
      <c r="S498" s="33">
        <f t="shared" si="194"/>
        <v>1.3487809370495705E-4</v>
      </c>
      <c r="T498" s="8">
        <f t="shared" si="195"/>
        <v>1</v>
      </c>
      <c r="U498" s="33">
        <f t="shared" si="184"/>
        <v>0</v>
      </c>
      <c r="V498" s="33">
        <f t="shared" si="185"/>
        <v>-0.99986512190629506</v>
      </c>
      <c r="W498" s="33">
        <f t="shared" si="186"/>
        <v>512.96733487809365</v>
      </c>
      <c r="X498" s="33">
        <v>96485</v>
      </c>
      <c r="Y498" s="16">
        <f t="shared" si="187"/>
        <v>-188.06652924606863</v>
      </c>
      <c r="Z498" s="16">
        <v>10</v>
      </c>
      <c r="AA498" s="16">
        <v>19</v>
      </c>
      <c r="AB498" s="8">
        <f t="shared" si="188"/>
        <v>0.33240997229916897</v>
      </c>
      <c r="AC498" s="16">
        <f t="shared" si="189"/>
        <v>70.237945145137672</v>
      </c>
      <c r="AD498" s="20">
        <f>'PFAS Properties'!$W$35</f>
        <v>9</v>
      </c>
      <c r="AE498" s="8">
        <f>'PFAS Properties'!$S$35</f>
        <v>0.90308998699194354</v>
      </c>
      <c r="AF498" s="15">
        <f>'PFAS Properties'!$V$35</f>
        <v>6.3</v>
      </c>
      <c r="AG498" s="24">
        <v>3.67</v>
      </c>
      <c r="AH498" s="2" t="s">
        <v>652</v>
      </c>
      <c r="AI498" s="15">
        <f>1.51*2*55.845/159.69</f>
        <v>1.056120608679316</v>
      </c>
      <c r="AJ498" s="16">
        <f t="shared" si="207"/>
        <v>18.911641305028493</v>
      </c>
      <c r="AK498" s="15">
        <f t="shared" si="197"/>
        <v>0.1056120608679316</v>
      </c>
      <c r="AL498" s="15">
        <f>1.01*2*26.98/101.96</f>
        <v>0.53451941938014913</v>
      </c>
      <c r="AM498" s="16">
        <f t="shared" si="217"/>
        <v>19.811690859160453</v>
      </c>
      <c r="AN498" s="15">
        <f t="shared" si="199"/>
        <v>5.3451941938014912E-2</v>
      </c>
      <c r="AO498" s="15" t="s">
        <v>41</v>
      </c>
      <c r="AP498" s="2">
        <v>6.57</v>
      </c>
      <c r="AQ498" s="2" t="s">
        <v>652</v>
      </c>
      <c r="AR498" s="2">
        <v>59.3</v>
      </c>
      <c r="AS498" s="2">
        <v>21.3</v>
      </c>
      <c r="AT498" s="2">
        <v>19.399999999999999</v>
      </c>
      <c r="AU498" s="2" t="s">
        <v>652</v>
      </c>
      <c r="AV498" s="16">
        <f t="shared" si="208"/>
        <v>100</v>
      </c>
      <c r="AW498" s="20">
        <v>0.25800000000000001</v>
      </c>
      <c r="AX498" s="13">
        <f t="shared" si="200"/>
        <v>2.5800000000000003E-3</v>
      </c>
      <c r="AY498" s="16" t="s">
        <v>750</v>
      </c>
      <c r="AZ498" s="16">
        <f t="shared" si="209"/>
        <v>125</v>
      </c>
      <c r="BA498" s="16" t="s">
        <v>55</v>
      </c>
      <c r="BB498" s="16">
        <f t="shared" si="210"/>
        <v>25.698359999999997</v>
      </c>
      <c r="BC498" s="16">
        <f t="shared" si="211"/>
        <v>513.96719999999993</v>
      </c>
      <c r="BD498" s="25">
        <f t="shared" si="212"/>
        <v>42.132706546744231</v>
      </c>
      <c r="BE498" s="16">
        <f t="shared" si="190"/>
        <v>16330.506413466754</v>
      </c>
      <c r="BF498" s="16">
        <f t="shared" si="191"/>
        <v>4.2129996525360589</v>
      </c>
      <c r="BG498" s="8">
        <f t="shared" si="213"/>
        <v>1.6246193584992892</v>
      </c>
      <c r="BH498" s="13" t="s">
        <v>782</v>
      </c>
      <c r="BI498" s="16">
        <f>10^2.5006</f>
        <v>316.66495274920908</v>
      </c>
      <c r="BJ498" s="16" t="s">
        <v>329</v>
      </c>
      <c r="BK498" s="8">
        <v>0.4214</v>
      </c>
      <c r="BL498" s="16">
        <f t="shared" si="214"/>
        <v>37.029446885320908</v>
      </c>
      <c r="BM498" s="25">
        <f>'PFAS Properties'!$U$35</f>
        <v>0.8</v>
      </c>
      <c r="BN498" s="16">
        <f t="shared" si="215"/>
        <v>33.706165237395389</v>
      </c>
      <c r="BO498" s="24">
        <f t="shared" si="216"/>
        <v>42.132706546744231</v>
      </c>
    </row>
    <row r="499" spans="1:69" s="14" customFormat="1" x14ac:dyDescent="0.3">
      <c r="A499" s="20">
        <v>507</v>
      </c>
      <c r="B499" s="2" t="s">
        <v>720</v>
      </c>
      <c r="C499" s="2">
        <v>2019</v>
      </c>
      <c r="D499" s="2" t="s">
        <v>201</v>
      </c>
      <c r="E499" s="10" t="s">
        <v>797</v>
      </c>
      <c r="F499" s="20" t="s">
        <v>29</v>
      </c>
      <c r="G499" s="2" t="s">
        <v>716</v>
      </c>
      <c r="H499" s="2" t="str">
        <f>'PFAS Properties'!$B$35</f>
        <v>PFDA</v>
      </c>
      <c r="I499" s="2" t="str">
        <f>'PFAS Properties'!$C$35</f>
        <v>PFCA</v>
      </c>
      <c r="J499" s="2" t="str">
        <f>'PFAS Properties'!$D$35</f>
        <v>C10HF19O2</v>
      </c>
      <c r="K499" s="25">
        <f>'PFAS Properties'!$P$35</f>
        <v>513.96719999999993</v>
      </c>
      <c r="L499" s="2">
        <f>'PFAS Properties'!$X$35</f>
        <v>-0.2</v>
      </c>
      <c r="M499" s="2" t="str">
        <f>'PFAS Properties'!$Y$35</f>
        <v>-</v>
      </c>
      <c r="N499" s="33">
        <v>0</v>
      </c>
      <c r="O499" s="33">
        <v>0</v>
      </c>
      <c r="P499" s="33">
        <v>0</v>
      </c>
      <c r="Q499" s="33">
        <f t="shared" si="193"/>
        <v>0.99998554581121912</v>
      </c>
      <c r="R499" s="33">
        <v>0</v>
      </c>
      <c r="S499" s="33">
        <f t="shared" si="194"/>
        <v>1.4454188780866098E-5</v>
      </c>
      <c r="T499" s="8">
        <f t="shared" si="195"/>
        <v>1</v>
      </c>
      <c r="U499" s="33">
        <f t="shared" si="184"/>
        <v>0</v>
      </c>
      <c r="V499" s="33">
        <f t="shared" si="185"/>
        <v>-0.99998554581121912</v>
      </c>
      <c r="W499" s="33">
        <f t="shared" si="186"/>
        <v>512.96721445418871</v>
      </c>
      <c r="X499" s="33">
        <v>96485</v>
      </c>
      <c r="Y499" s="16">
        <f t="shared" si="187"/>
        <v>-188.08922416271128</v>
      </c>
      <c r="Z499" s="16">
        <v>10</v>
      </c>
      <c r="AA499" s="16">
        <v>19</v>
      </c>
      <c r="AB499" s="8">
        <f t="shared" si="188"/>
        <v>0.33240997229916897</v>
      </c>
      <c r="AC499" s="16">
        <f t="shared" si="189"/>
        <v>70.237945145137672</v>
      </c>
      <c r="AD499" s="20">
        <f>'PFAS Properties'!$W$35</f>
        <v>9</v>
      </c>
      <c r="AE499" s="8">
        <f>'PFAS Properties'!$S$35</f>
        <v>0.90308998699194354</v>
      </c>
      <c r="AF499" s="15">
        <f>'PFAS Properties'!$V$35</f>
        <v>6.3</v>
      </c>
      <c r="AG499" s="24">
        <v>4.6399999999999997</v>
      </c>
      <c r="AH499" s="2" t="s">
        <v>652</v>
      </c>
      <c r="AI499" s="15">
        <f>6.69*2*55.845/159.69</f>
        <v>4.6791038887845202</v>
      </c>
      <c r="AJ499" s="16">
        <f t="shared" si="207"/>
        <v>83.787337967311657</v>
      </c>
      <c r="AK499" s="15">
        <f t="shared" si="197"/>
        <v>0.46791038887845204</v>
      </c>
      <c r="AL499" s="15">
        <f>14.7*2*26.98/101.96</f>
        <v>7.7796390741467247</v>
      </c>
      <c r="AM499" s="16">
        <f t="shared" si="217"/>
        <v>288.34837191055317</v>
      </c>
      <c r="AN499" s="15">
        <f t="shared" si="199"/>
        <v>0.77796390741467247</v>
      </c>
      <c r="AO499" s="15" t="s">
        <v>41</v>
      </c>
      <c r="AP499" s="2">
        <v>19.600000000000001</v>
      </c>
      <c r="AQ499" s="2" t="s">
        <v>652</v>
      </c>
      <c r="AR499" s="2">
        <v>42</v>
      </c>
      <c r="AS499" s="2">
        <v>36.700000000000003</v>
      </c>
      <c r="AT499" s="2">
        <v>21.3</v>
      </c>
      <c r="AU499" s="2" t="s">
        <v>652</v>
      </c>
      <c r="AV499" s="16">
        <f t="shared" si="208"/>
        <v>100</v>
      </c>
      <c r="AW499" s="20">
        <v>0.92800000000000005</v>
      </c>
      <c r="AX499" s="13">
        <f t="shared" si="200"/>
        <v>9.2800000000000001E-3</v>
      </c>
      <c r="AY499" s="16" t="s">
        <v>750</v>
      </c>
      <c r="AZ499" s="16">
        <f t="shared" si="209"/>
        <v>125</v>
      </c>
      <c r="BA499" s="16" t="s">
        <v>55</v>
      </c>
      <c r="BB499" s="16">
        <f t="shared" si="210"/>
        <v>25.698359999999997</v>
      </c>
      <c r="BC499" s="16">
        <f t="shared" si="211"/>
        <v>513.96719999999993</v>
      </c>
      <c r="BD499" s="25">
        <f t="shared" si="212"/>
        <v>64.932812890225378</v>
      </c>
      <c r="BE499" s="16">
        <f t="shared" si="190"/>
        <v>6997.0703545501483</v>
      </c>
      <c r="BF499" s="16">
        <f t="shared" si="191"/>
        <v>3.844916240703522</v>
      </c>
      <c r="BG499" s="8">
        <f t="shared" si="213"/>
        <v>1.8124642169223839</v>
      </c>
      <c r="BH499" s="13" t="s">
        <v>782</v>
      </c>
      <c r="BI499" s="16">
        <f>10^2.7444</f>
        <v>555.13677743521168</v>
      </c>
      <c r="BJ499" s="16" t="s">
        <v>329</v>
      </c>
      <c r="BK499" s="8">
        <v>0.35449999999999998</v>
      </c>
      <c r="BL499" s="16">
        <f t="shared" si="214"/>
        <v>56.222325285860663</v>
      </c>
      <c r="BM499" s="25">
        <f>'PFAS Properties'!$U$35</f>
        <v>0.8</v>
      </c>
      <c r="BN499" s="16">
        <f t="shared" si="215"/>
        <v>51.946250312180304</v>
      </c>
      <c r="BO499" s="24">
        <f t="shared" si="216"/>
        <v>64.932812890225378</v>
      </c>
    </row>
    <row r="500" spans="1:69" s="14" customFormat="1" x14ac:dyDescent="0.3">
      <c r="A500" s="20">
        <v>508</v>
      </c>
      <c r="B500" s="2" t="s">
        <v>720</v>
      </c>
      <c r="C500" s="2">
        <v>2019</v>
      </c>
      <c r="D500" s="2" t="s">
        <v>201</v>
      </c>
      <c r="E500" s="10" t="s">
        <v>797</v>
      </c>
      <c r="F500" s="20" t="s">
        <v>29</v>
      </c>
      <c r="G500" s="2" t="s">
        <v>717</v>
      </c>
      <c r="H500" s="2" t="str">
        <f>'PFAS Properties'!$B$35</f>
        <v>PFDA</v>
      </c>
      <c r="I500" s="2" t="str">
        <f>'PFAS Properties'!$C$35</f>
        <v>PFCA</v>
      </c>
      <c r="J500" s="2" t="str">
        <f>'PFAS Properties'!$D$35</f>
        <v>C10HF19O2</v>
      </c>
      <c r="K500" s="25">
        <f>'PFAS Properties'!$P$35</f>
        <v>513.96719999999993</v>
      </c>
      <c r="L500" s="2">
        <f>'PFAS Properties'!$X$35</f>
        <v>-0.2</v>
      </c>
      <c r="M500" s="2" t="str">
        <f>'PFAS Properties'!$Y$35</f>
        <v>-</v>
      </c>
      <c r="N500" s="33">
        <v>0</v>
      </c>
      <c r="O500" s="33">
        <v>0</v>
      </c>
      <c r="P500" s="33">
        <v>0</v>
      </c>
      <c r="Q500" s="33">
        <f t="shared" si="193"/>
        <v>0.99995533363595812</v>
      </c>
      <c r="R500" s="33">
        <v>0</v>
      </c>
      <c r="S500" s="33">
        <f t="shared" si="194"/>
        <v>4.4666364041902332E-5</v>
      </c>
      <c r="T500" s="8">
        <f t="shared" si="195"/>
        <v>1</v>
      </c>
      <c r="U500" s="33">
        <f t="shared" si="184"/>
        <v>0</v>
      </c>
      <c r="V500" s="33">
        <f t="shared" si="185"/>
        <v>-0.99995533363595812</v>
      </c>
      <c r="W500" s="33">
        <f t="shared" si="186"/>
        <v>512.96724466636397</v>
      </c>
      <c r="X500" s="33">
        <v>96485</v>
      </c>
      <c r="Y500" s="16">
        <f t="shared" si="187"/>
        <v>-188.08353041843219</v>
      </c>
      <c r="Z500" s="16">
        <v>10</v>
      </c>
      <c r="AA500" s="16">
        <v>19</v>
      </c>
      <c r="AB500" s="8">
        <f t="shared" si="188"/>
        <v>0.33240997229916897</v>
      </c>
      <c r="AC500" s="16">
        <f t="shared" si="189"/>
        <v>70.237945145137672</v>
      </c>
      <c r="AD500" s="20">
        <f>'PFAS Properties'!$W$35</f>
        <v>9</v>
      </c>
      <c r="AE500" s="8">
        <f>'PFAS Properties'!$S$35</f>
        <v>0.90308998699194354</v>
      </c>
      <c r="AF500" s="15">
        <f>'PFAS Properties'!$V$35</f>
        <v>6.3</v>
      </c>
      <c r="AG500" s="24">
        <v>4.1500000000000004</v>
      </c>
      <c r="AH500" s="2" t="s">
        <v>652</v>
      </c>
      <c r="AI500" s="15">
        <f>5.68*2*55.845/159.69</f>
        <v>3.9726920909261692</v>
      </c>
      <c r="AJ500" s="16">
        <f t="shared" si="207"/>
        <v>71.137829544742928</v>
      </c>
      <c r="AK500" s="15">
        <f t="shared" si="197"/>
        <v>0.39726920909261693</v>
      </c>
      <c r="AL500" s="15">
        <f>9.78*2*26.98/101.96</f>
        <v>5.1758415064731267</v>
      </c>
      <c r="AM500" s="16">
        <f t="shared" si="217"/>
        <v>191.83993723028641</v>
      </c>
      <c r="AN500" s="15">
        <f t="shared" si="199"/>
        <v>0.51758415064731267</v>
      </c>
      <c r="AO500" s="15" t="s">
        <v>41</v>
      </c>
      <c r="AP500" s="2">
        <v>9.76</v>
      </c>
      <c r="AQ500" s="2" t="s">
        <v>652</v>
      </c>
      <c r="AR500" s="2">
        <v>49.3</v>
      </c>
      <c r="AS500" s="2">
        <v>39.4</v>
      </c>
      <c r="AT500" s="2">
        <v>11.3</v>
      </c>
      <c r="AU500" s="2" t="s">
        <v>652</v>
      </c>
      <c r="AV500" s="16">
        <f t="shared" si="208"/>
        <v>99.999999999999986</v>
      </c>
      <c r="AW500" s="20">
        <v>2.48</v>
      </c>
      <c r="AX500" s="13">
        <f t="shared" si="200"/>
        <v>2.4799999999999999E-2</v>
      </c>
      <c r="AY500" s="16" t="s">
        <v>750</v>
      </c>
      <c r="AZ500" s="16">
        <f t="shared" si="209"/>
        <v>125</v>
      </c>
      <c r="BA500" s="16" t="s">
        <v>55</v>
      </c>
      <c r="BB500" s="16">
        <f t="shared" si="210"/>
        <v>25.698359999999997</v>
      </c>
      <c r="BC500" s="16">
        <f t="shared" si="211"/>
        <v>513.96719999999993</v>
      </c>
      <c r="BD500" s="25">
        <f t="shared" si="212"/>
        <v>34.325008919980988</v>
      </c>
      <c r="BE500" s="16">
        <f t="shared" si="190"/>
        <v>1384.072940321814</v>
      </c>
      <c r="BF500" s="16">
        <f t="shared" si="191"/>
        <v>3.1411589779419504</v>
      </c>
      <c r="BG500" s="8">
        <f t="shared" si="213"/>
        <v>1.5356106587681668</v>
      </c>
      <c r="BH500" s="13" t="s">
        <v>782</v>
      </c>
      <c r="BI500" s="16">
        <f>10^2.6396</f>
        <v>436.11397139306519</v>
      </c>
      <c r="BJ500" s="16" t="s">
        <v>329</v>
      </c>
      <c r="BK500" s="8">
        <v>0.4531</v>
      </c>
      <c r="BL500" s="16">
        <f t="shared" si="214"/>
        <v>30.381595178440914</v>
      </c>
      <c r="BM500" s="25">
        <f>'PFAS Properties'!$U$35</f>
        <v>0.8</v>
      </c>
      <c r="BN500" s="16">
        <f t="shared" si="215"/>
        <v>27.460007135984792</v>
      </c>
      <c r="BO500" s="24">
        <f t="shared" si="216"/>
        <v>34.325008919980988</v>
      </c>
    </row>
    <row r="501" spans="1:69" s="14" customFormat="1" x14ac:dyDescent="0.3">
      <c r="A501" s="20">
        <v>509</v>
      </c>
      <c r="B501" s="2" t="s">
        <v>720</v>
      </c>
      <c r="C501" s="2">
        <v>2019</v>
      </c>
      <c r="D501" s="2" t="s">
        <v>201</v>
      </c>
      <c r="E501" s="10" t="s">
        <v>797</v>
      </c>
      <c r="F501" s="20" t="s">
        <v>29</v>
      </c>
      <c r="G501" s="2" t="s">
        <v>718</v>
      </c>
      <c r="H501" s="2" t="str">
        <f>'PFAS Properties'!$B$35</f>
        <v>PFDA</v>
      </c>
      <c r="I501" s="2" t="str">
        <f>'PFAS Properties'!$C$35</f>
        <v>PFCA</v>
      </c>
      <c r="J501" s="2" t="str">
        <f>'PFAS Properties'!$D$35</f>
        <v>C10HF19O2</v>
      </c>
      <c r="K501" s="25">
        <f>'PFAS Properties'!$P$35</f>
        <v>513.96719999999993</v>
      </c>
      <c r="L501" s="2">
        <f>'PFAS Properties'!$X$35</f>
        <v>-0.2</v>
      </c>
      <c r="M501" s="2" t="str">
        <f>'PFAS Properties'!$Y$35</f>
        <v>-</v>
      </c>
      <c r="N501" s="33">
        <v>0</v>
      </c>
      <c r="O501" s="33">
        <v>0</v>
      </c>
      <c r="P501" s="33">
        <v>0</v>
      </c>
      <c r="Q501" s="33">
        <f t="shared" si="193"/>
        <v>0.99991872355478106</v>
      </c>
      <c r="R501" s="33">
        <v>0</v>
      </c>
      <c r="S501" s="33">
        <f t="shared" si="194"/>
        <v>8.1276445218917993E-5</v>
      </c>
      <c r="T501" s="8">
        <f t="shared" si="195"/>
        <v>1</v>
      </c>
      <c r="U501" s="33">
        <f t="shared" si="184"/>
        <v>0</v>
      </c>
      <c r="V501" s="33">
        <f t="shared" si="185"/>
        <v>-0.99991872355478106</v>
      </c>
      <c r="W501" s="33">
        <f t="shared" si="186"/>
        <v>512.96728127644519</v>
      </c>
      <c r="X501" s="33">
        <v>96485</v>
      </c>
      <c r="Y501" s="16">
        <f t="shared" si="187"/>
        <v>-188.07663093465442</v>
      </c>
      <c r="Z501" s="16">
        <v>10</v>
      </c>
      <c r="AA501" s="16">
        <v>19</v>
      </c>
      <c r="AB501" s="8">
        <f t="shared" si="188"/>
        <v>0.33240997229916897</v>
      </c>
      <c r="AC501" s="16">
        <f t="shared" si="189"/>
        <v>70.237945145137672</v>
      </c>
      <c r="AD501" s="20">
        <f>'PFAS Properties'!$W$35</f>
        <v>9</v>
      </c>
      <c r="AE501" s="8">
        <f>'PFAS Properties'!$S$35</f>
        <v>0.90308998699194354</v>
      </c>
      <c r="AF501" s="15">
        <f>'PFAS Properties'!$V$35</f>
        <v>6.3</v>
      </c>
      <c r="AG501" s="24">
        <v>3.89</v>
      </c>
      <c r="AH501" s="2" t="s">
        <v>652</v>
      </c>
      <c r="AI501" s="15">
        <f>2.95*2*55.845/159.69</f>
        <v>2.0632819838436971</v>
      </c>
      <c r="AJ501" s="16">
        <f t="shared" si="207"/>
        <v>36.946584006512616</v>
      </c>
      <c r="AK501" s="15">
        <f t="shared" si="197"/>
        <v>0.20632819838436972</v>
      </c>
      <c r="AL501" s="15">
        <f>0.634*2*26.98/101.96</f>
        <v>0.33553001176932129</v>
      </c>
      <c r="AM501" s="16">
        <f t="shared" si="217"/>
        <v>12.436249509611612</v>
      </c>
      <c r="AN501" s="15">
        <f t="shared" si="199"/>
        <v>3.3553001176932128E-2</v>
      </c>
      <c r="AO501" s="15" t="s">
        <v>41</v>
      </c>
      <c r="AP501" s="2">
        <v>2.89</v>
      </c>
      <c r="AQ501" s="2" t="s">
        <v>652</v>
      </c>
      <c r="AR501" s="2">
        <v>60</v>
      </c>
      <c r="AS501" s="2">
        <v>16</v>
      </c>
      <c r="AT501" s="2">
        <v>24</v>
      </c>
      <c r="AU501" s="2" t="s">
        <v>652</v>
      </c>
      <c r="AV501" s="16">
        <f t="shared" si="208"/>
        <v>100</v>
      </c>
      <c r="AW501" s="20">
        <v>0.99299999999999999</v>
      </c>
      <c r="AX501" s="13">
        <f t="shared" si="200"/>
        <v>9.9299999999999996E-3</v>
      </c>
      <c r="AY501" s="16" t="s">
        <v>750</v>
      </c>
      <c r="AZ501" s="16">
        <f t="shared" si="209"/>
        <v>125</v>
      </c>
      <c r="BA501" s="16" t="s">
        <v>55</v>
      </c>
      <c r="BB501" s="16">
        <f t="shared" si="210"/>
        <v>25.698359999999997</v>
      </c>
      <c r="BC501" s="16">
        <f t="shared" si="211"/>
        <v>513.96719999999993</v>
      </c>
      <c r="BD501" s="25">
        <f t="shared" si="212"/>
        <v>30.142062490297587</v>
      </c>
      <c r="BE501" s="16">
        <f t="shared" si="190"/>
        <v>3035.4544300400389</v>
      </c>
      <c r="BF501" s="16">
        <f t="shared" si="191"/>
        <v>3.4822237173833357</v>
      </c>
      <c r="BG501" s="8">
        <f t="shared" si="213"/>
        <v>1.4791729658787169</v>
      </c>
      <c r="BH501" s="13" t="s">
        <v>782</v>
      </c>
      <c r="BI501" s="16">
        <f>10^2.3075</f>
        <v>203.00185198596861</v>
      </c>
      <c r="BJ501" s="16" t="s">
        <v>329</v>
      </c>
      <c r="BK501" s="8">
        <v>0.47320000000000001</v>
      </c>
      <c r="BL501" s="16">
        <f t="shared" si="214"/>
        <v>26.799134664562601</v>
      </c>
      <c r="BM501" s="25">
        <f>'PFAS Properties'!$U$35</f>
        <v>0.8</v>
      </c>
      <c r="BN501" s="16">
        <f t="shared" si="215"/>
        <v>24.11364999223807</v>
      </c>
      <c r="BO501" s="24">
        <f t="shared" si="216"/>
        <v>30.142062490297587</v>
      </c>
    </row>
    <row r="502" spans="1:69" x14ac:dyDescent="0.3">
      <c r="A502" s="20">
        <v>510</v>
      </c>
      <c r="B502" s="1" t="s">
        <v>873</v>
      </c>
      <c r="C502" s="1">
        <v>2007</v>
      </c>
      <c r="D502" s="1" t="s">
        <v>203</v>
      </c>
      <c r="E502" s="10" t="s">
        <v>225</v>
      </c>
      <c r="F502" s="7" t="s">
        <v>63</v>
      </c>
      <c r="G502" s="4">
        <v>1</v>
      </c>
      <c r="H502" s="2" t="str">
        <f>'PFAS Properties'!$B$35</f>
        <v>PFDA</v>
      </c>
      <c r="I502" s="2" t="str">
        <f>'PFAS Properties'!$C$35</f>
        <v>PFCA</v>
      </c>
      <c r="J502" s="2" t="str">
        <f>'PFAS Properties'!$D$35</f>
        <v>C10HF19O2</v>
      </c>
      <c r="K502" s="25">
        <f>'PFAS Properties'!$P$35</f>
        <v>513.96719999999993</v>
      </c>
      <c r="L502" s="2">
        <f>'PFAS Properties'!$X$35</f>
        <v>-0.2</v>
      </c>
      <c r="M502" s="2" t="str">
        <f>'PFAS Properties'!$Y$35</f>
        <v>-</v>
      </c>
      <c r="N502" s="33">
        <v>0</v>
      </c>
      <c r="O502" s="33">
        <v>0</v>
      </c>
      <c r="P502" s="33">
        <v>0</v>
      </c>
      <c r="Q502" s="33">
        <f t="shared" si="193"/>
        <v>0.99999993690426958</v>
      </c>
      <c r="R502" s="33">
        <v>0</v>
      </c>
      <c r="S502" s="33">
        <f t="shared" si="194"/>
        <v>6.3095730466947729E-8</v>
      </c>
      <c r="T502" s="8">
        <f t="shared" si="195"/>
        <v>1</v>
      </c>
      <c r="U502" s="33">
        <f t="shared" si="184"/>
        <v>0</v>
      </c>
      <c r="V502" s="33">
        <f t="shared" si="185"/>
        <v>-0.99999993690426958</v>
      </c>
      <c r="W502" s="33">
        <f t="shared" si="186"/>
        <v>512.96720006309567</v>
      </c>
      <c r="X502" s="33">
        <v>96485</v>
      </c>
      <c r="Y502" s="16">
        <f t="shared" si="187"/>
        <v>-188.09193628820842</v>
      </c>
      <c r="Z502" s="16">
        <v>10</v>
      </c>
      <c r="AA502" s="16">
        <v>19</v>
      </c>
      <c r="AB502" s="8">
        <f t="shared" si="188"/>
        <v>0.33240997229916897</v>
      </c>
      <c r="AC502" s="16">
        <f t="shared" si="189"/>
        <v>70.237945145137672</v>
      </c>
      <c r="AD502" s="20">
        <f>'PFAS Properties'!$W$35</f>
        <v>9</v>
      </c>
      <c r="AE502" s="8">
        <f>'PFAS Properties'!$S$35</f>
        <v>0.90308998699194354</v>
      </c>
      <c r="AF502" s="15">
        <f>'PFAS Properties'!$V$35</f>
        <v>6.3</v>
      </c>
      <c r="AG502" s="26">
        <v>7</v>
      </c>
      <c r="AH502" s="1" t="s">
        <v>363</v>
      </c>
      <c r="AI502" s="6">
        <f>334*55.85/1000</f>
        <v>18.6539</v>
      </c>
      <c r="AJ502" s="3">
        <f t="shared" si="207"/>
        <v>334.0299041991226</v>
      </c>
      <c r="AK502" s="8">
        <f t="shared" si="197"/>
        <v>1.8653900000000001</v>
      </c>
      <c r="AL502" s="6">
        <f>41*26.98/1000</f>
        <v>1.1061800000000002</v>
      </c>
      <c r="AM502" s="3">
        <f t="shared" si="217"/>
        <v>41</v>
      </c>
      <c r="AN502" s="8">
        <f t="shared" si="199"/>
        <v>0.11061800000000002</v>
      </c>
      <c r="AO502" s="3" t="s">
        <v>93</v>
      </c>
      <c r="AP502" s="15">
        <v>38.6</v>
      </c>
      <c r="AQ502" s="1" t="s">
        <v>363</v>
      </c>
      <c r="AR502" s="4">
        <v>11</v>
      </c>
      <c r="AS502" s="4">
        <v>36</v>
      </c>
      <c r="AT502" s="4">
        <v>53</v>
      </c>
      <c r="AU502" s="1" t="s">
        <v>363</v>
      </c>
      <c r="AV502" s="16">
        <f t="shared" si="208"/>
        <v>100</v>
      </c>
      <c r="AW502" s="7">
        <v>2.48</v>
      </c>
      <c r="AX502" s="133">
        <f t="shared" si="200"/>
        <v>2.4799999999999999E-2</v>
      </c>
      <c r="AY502" s="5" t="s">
        <v>87</v>
      </c>
      <c r="AZ502" s="39">
        <f>5/0.05</f>
        <v>100</v>
      </c>
      <c r="BA502" s="30" t="s">
        <v>55</v>
      </c>
      <c r="BB502" s="15">
        <f>1*K502/1000</f>
        <v>0.51396719999999996</v>
      </c>
      <c r="BC502" s="16">
        <f>200*K502/1000</f>
        <v>102.79343999999999</v>
      </c>
      <c r="BD502" s="26">
        <v>27.35</v>
      </c>
      <c r="BE502" s="16">
        <f t="shared" si="190"/>
        <v>1102.8225806451615</v>
      </c>
      <c r="BF502" s="8">
        <f t="shared" si="191"/>
        <v>3.0425056498432332</v>
      </c>
      <c r="BG502" s="8">
        <f t="shared" si="213"/>
        <v>1.4369573306694496</v>
      </c>
      <c r="BH502" s="13" t="s">
        <v>844</v>
      </c>
      <c r="BI502" s="13"/>
      <c r="BJ502" s="13"/>
      <c r="BK502" s="8"/>
      <c r="BL502" s="8"/>
      <c r="BM502" s="18"/>
      <c r="BN502" s="8"/>
      <c r="BO502" s="24"/>
      <c r="BP502" s="11"/>
      <c r="BQ502" s="11"/>
    </row>
    <row r="503" spans="1:69" x14ac:dyDescent="0.3">
      <c r="A503" s="20">
        <v>511</v>
      </c>
      <c r="B503" s="1" t="s">
        <v>873</v>
      </c>
      <c r="C503" s="1">
        <v>2007</v>
      </c>
      <c r="D503" s="1" t="s">
        <v>203</v>
      </c>
      <c r="E503" s="10" t="s">
        <v>225</v>
      </c>
      <c r="F503" s="7" t="s">
        <v>63</v>
      </c>
      <c r="G503" s="4">
        <v>2</v>
      </c>
      <c r="H503" s="2" t="str">
        <f>'PFAS Properties'!$B$35</f>
        <v>PFDA</v>
      </c>
      <c r="I503" s="2" t="str">
        <f>'PFAS Properties'!$C$35</f>
        <v>PFCA</v>
      </c>
      <c r="J503" s="2" t="str">
        <f>'PFAS Properties'!$D$35</f>
        <v>C10HF19O2</v>
      </c>
      <c r="K503" s="25">
        <f>'PFAS Properties'!$P$35</f>
        <v>513.96719999999993</v>
      </c>
      <c r="L503" s="2">
        <f>'PFAS Properties'!$X$35</f>
        <v>-0.2</v>
      </c>
      <c r="M503" s="2" t="str">
        <f>'PFAS Properties'!$Y$35</f>
        <v>-</v>
      </c>
      <c r="N503" s="33">
        <v>0</v>
      </c>
      <c r="O503" s="33">
        <v>0</v>
      </c>
      <c r="P503" s="33">
        <v>0</v>
      </c>
      <c r="Q503" s="33">
        <f t="shared" si="193"/>
        <v>0.99999998004737722</v>
      </c>
      <c r="R503" s="33">
        <v>0</v>
      </c>
      <c r="S503" s="33">
        <f t="shared" si="194"/>
        <v>1.995262275158161E-8</v>
      </c>
      <c r="T503" s="8">
        <f t="shared" si="195"/>
        <v>1</v>
      </c>
      <c r="U503" s="33">
        <f t="shared" si="184"/>
        <v>0</v>
      </c>
      <c r="V503" s="33">
        <f t="shared" si="185"/>
        <v>-0.99999998004737722</v>
      </c>
      <c r="W503" s="33">
        <f t="shared" si="186"/>
        <v>512.96720001995254</v>
      </c>
      <c r="X503" s="33">
        <v>96485</v>
      </c>
      <c r="Y503" s="16">
        <f t="shared" si="187"/>
        <v>-188.09194441889906</v>
      </c>
      <c r="Z503" s="16">
        <v>10</v>
      </c>
      <c r="AA503" s="16">
        <v>19</v>
      </c>
      <c r="AB503" s="8">
        <f t="shared" si="188"/>
        <v>0.33240997229916897</v>
      </c>
      <c r="AC503" s="16">
        <f t="shared" si="189"/>
        <v>70.237945145137672</v>
      </c>
      <c r="AD503" s="20">
        <f>'PFAS Properties'!$W$35</f>
        <v>9</v>
      </c>
      <c r="AE503" s="8">
        <f>'PFAS Properties'!$S$35</f>
        <v>0.90308998699194354</v>
      </c>
      <c r="AF503" s="15">
        <f>'PFAS Properties'!$V$35</f>
        <v>6.3</v>
      </c>
      <c r="AG503" s="26">
        <v>7.5</v>
      </c>
      <c r="AH503" s="1" t="s">
        <v>363</v>
      </c>
      <c r="AI503" s="6">
        <f>116*55.845/1000</f>
        <v>6.4780199999999999</v>
      </c>
      <c r="AJ503" s="3">
        <f t="shared" si="207"/>
        <v>116</v>
      </c>
      <c r="AK503" s="8">
        <f t="shared" si="197"/>
        <v>0.64780199999999999</v>
      </c>
      <c r="AL503" s="6">
        <f>7*26.98/1000</f>
        <v>0.18886</v>
      </c>
      <c r="AM503" s="3">
        <f t="shared" si="217"/>
        <v>7</v>
      </c>
      <c r="AN503" s="8">
        <f t="shared" si="199"/>
        <v>1.8886E-2</v>
      </c>
      <c r="AO503" s="3" t="s">
        <v>93</v>
      </c>
      <c r="AP503" s="15">
        <v>30</v>
      </c>
      <c r="AQ503" s="1" t="s">
        <v>363</v>
      </c>
      <c r="AR503" s="4">
        <v>49</v>
      </c>
      <c r="AS503" s="4">
        <v>25</v>
      </c>
      <c r="AT503" s="4">
        <v>26</v>
      </c>
      <c r="AU503" s="1" t="s">
        <v>363</v>
      </c>
      <c r="AV503" s="16">
        <f t="shared" si="208"/>
        <v>100</v>
      </c>
      <c r="AW503" s="7">
        <v>1.02</v>
      </c>
      <c r="AX503" s="5">
        <f t="shared" si="200"/>
        <v>1.0200000000000001E-2</v>
      </c>
      <c r="AY503" s="5" t="s">
        <v>87</v>
      </c>
      <c r="AZ503" s="39">
        <f>5/0.05</f>
        <v>100</v>
      </c>
      <c r="BA503" s="30" t="s">
        <v>55</v>
      </c>
      <c r="BB503" s="15">
        <f>1*K503/1000</f>
        <v>0.51396719999999996</v>
      </c>
      <c r="BC503" s="16">
        <f>200*K503/1000</f>
        <v>102.79343999999999</v>
      </c>
      <c r="BD503" s="26">
        <v>3.81</v>
      </c>
      <c r="BE503" s="16">
        <f t="shared" si="190"/>
        <v>373.52941176470586</v>
      </c>
      <c r="BF503" s="8">
        <f t="shared" si="191"/>
        <v>2.5723248039137019</v>
      </c>
      <c r="BG503" s="8">
        <f t="shared" si="213"/>
        <v>0.58092497567561929</v>
      </c>
      <c r="BH503" s="13" t="s">
        <v>844</v>
      </c>
      <c r="BI503" s="13"/>
      <c r="BJ503" s="13"/>
      <c r="BK503" s="8"/>
      <c r="BL503" s="8"/>
      <c r="BM503" s="18"/>
      <c r="BN503" s="8"/>
      <c r="BO503" s="24"/>
      <c r="BP503" s="11"/>
      <c r="BQ503" s="11"/>
    </row>
    <row r="504" spans="1:69" x14ac:dyDescent="0.3">
      <c r="A504" s="20">
        <v>512</v>
      </c>
      <c r="B504" s="1" t="s">
        <v>873</v>
      </c>
      <c r="C504" s="1">
        <v>2007</v>
      </c>
      <c r="D504" s="1" t="s">
        <v>203</v>
      </c>
      <c r="E504" s="10" t="s">
        <v>225</v>
      </c>
      <c r="F504" s="7" t="s">
        <v>63</v>
      </c>
      <c r="G504" s="4">
        <v>3</v>
      </c>
      <c r="H504" s="2" t="str">
        <f>'PFAS Properties'!$B$35</f>
        <v>PFDA</v>
      </c>
      <c r="I504" s="2" t="str">
        <f>'PFAS Properties'!$C$35</f>
        <v>PFCA</v>
      </c>
      <c r="J504" s="2" t="str">
        <f>'PFAS Properties'!$D$35</f>
        <v>C10HF19O2</v>
      </c>
      <c r="K504" s="25">
        <f>'PFAS Properties'!$P$35</f>
        <v>513.96719999999993</v>
      </c>
      <c r="L504" s="2">
        <f>'PFAS Properties'!$X$35</f>
        <v>-0.2</v>
      </c>
      <c r="M504" s="2" t="str">
        <f>'PFAS Properties'!$Y$35</f>
        <v>-</v>
      </c>
      <c r="N504" s="33">
        <v>0</v>
      </c>
      <c r="O504" s="33">
        <v>0</v>
      </c>
      <c r="P504" s="33">
        <v>0</v>
      </c>
      <c r="Q504" s="33">
        <f t="shared" si="193"/>
        <v>0.99999998415106828</v>
      </c>
      <c r="R504" s="33">
        <v>0</v>
      </c>
      <c r="S504" s="33">
        <f t="shared" si="194"/>
        <v>1.5848931673422493E-8</v>
      </c>
      <c r="T504" s="8">
        <f t="shared" si="195"/>
        <v>1</v>
      </c>
      <c r="U504" s="33">
        <f t="shared" si="184"/>
        <v>0</v>
      </c>
      <c r="V504" s="33">
        <f t="shared" si="185"/>
        <v>-0.99999998415106828</v>
      </c>
      <c r="W504" s="33">
        <f t="shared" si="186"/>
        <v>512.9672000158489</v>
      </c>
      <c r="X504" s="33">
        <v>96485</v>
      </c>
      <c r="Y504" s="16">
        <f t="shared" si="187"/>
        <v>-188.09194519227501</v>
      </c>
      <c r="Z504" s="16">
        <v>10</v>
      </c>
      <c r="AA504" s="16">
        <v>19</v>
      </c>
      <c r="AB504" s="8">
        <f t="shared" si="188"/>
        <v>0.33240997229916897</v>
      </c>
      <c r="AC504" s="16">
        <f t="shared" si="189"/>
        <v>70.237945145137672</v>
      </c>
      <c r="AD504" s="20">
        <f>'PFAS Properties'!$W$35</f>
        <v>9</v>
      </c>
      <c r="AE504" s="8">
        <f>'PFAS Properties'!$S$35</f>
        <v>0.90308998699194354</v>
      </c>
      <c r="AF504" s="15">
        <f>'PFAS Properties'!$V$35</f>
        <v>6.3</v>
      </c>
      <c r="AG504" s="26">
        <v>7.6</v>
      </c>
      <c r="AH504" s="1" t="s">
        <v>363</v>
      </c>
      <c r="AI504" s="6">
        <f>121*55.85/1000</f>
        <v>6.7578500000000004</v>
      </c>
      <c r="AJ504" s="3">
        <f t="shared" si="207"/>
        <v>121.01083355716717</v>
      </c>
      <c r="AK504" s="8">
        <f t="shared" si="197"/>
        <v>0.67578500000000008</v>
      </c>
      <c r="AL504" s="6">
        <f>14*26.98/1000</f>
        <v>0.37772</v>
      </c>
      <c r="AM504" s="3">
        <f t="shared" si="217"/>
        <v>14</v>
      </c>
      <c r="AN504" s="8">
        <f t="shared" si="199"/>
        <v>3.7772E-2</v>
      </c>
      <c r="AO504" s="3" t="s">
        <v>93</v>
      </c>
      <c r="AP504" s="15">
        <v>32.1</v>
      </c>
      <c r="AQ504" s="1" t="s">
        <v>363</v>
      </c>
      <c r="AR504" s="4">
        <v>31</v>
      </c>
      <c r="AS504" s="4">
        <v>38</v>
      </c>
      <c r="AT504" s="4">
        <v>31</v>
      </c>
      <c r="AU504" s="1" t="s">
        <v>363</v>
      </c>
      <c r="AV504" s="16">
        <f t="shared" si="208"/>
        <v>100</v>
      </c>
      <c r="AW504" s="7">
        <v>4.34</v>
      </c>
      <c r="AX504" s="5">
        <f t="shared" si="200"/>
        <v>4.3400000000000001E-2</v>
      </c>
      <c r="AY504" s="5" t="s">
        <v>87</v>
      </c>
      <c r="AZ504" s="39">
        <f>5/0.05</f>
        <v>100</v>
      </c>
      <c r="BA504" s="30" t="s">
        <v>55</v>
      </c>
      <c r="BB504" s="15">
        <f>1*K504/1000</f>
        <v>0.51396719999999996</v>
      </c>
      <c r="BC504" s="16">
        <f>200*K504/1000</f>
        <v>102.79343999999999</v>
      </c>
      <c r="BD504" s="26">
        <v>29.05</v>
      </c>
      <c r="BE504" s="16">
        <f t="shared" si="190"/>
        <v>669.35483870967744</v>
      </c>
      <c r="BF504" s="8">
        <f t="shared" si="191"/>
        <v>2.825656407213839</v>
      </c>
      <c r="BG504" s="8">
        <f t="shared" si="213"/>
        <v>1.4631461367263496</v>
      </c>
      <c r="BH504" s="13" t="s">
        <v>844</v>
      </c>
      <c r="BI504" s="13"/>
      <c r="BJ504" s="13"/>
      <c r="BK504" s="8"/>
      <c r="BL504" s="8"/>
      <c r="BM504" s="18"/>
      <c r="BN504" s="8"/>
      <c r="BO504" s="24"/>
      <c r="BP504" s="11"/>
      <c r="BQ504" s="11"/>
    </row>
    <row r="505" spans="1:69" x14ac:dyDescent="0.3">
      <c r="A505" s="20">
        <v>513</v>
      </c>
      <c r="B505" s="1" t="s">
        <v>873</v>
      </c>
      <c r="C505" s="1">
        <v>2007</v>
      </c>
      <c r="D505" s="1" t="s">
        <v>203</v>
      </c>
      <c r="E505" s="10" t="s">
        <v>225</v>
      </c>
      <c r="F505" s="7" t="s">
        <v>63</v>
      </c>
      <c r="G505" s="4">
        <v>4</v>
      </c>
      <c r="H505" s="2" t="str">
        <f>'PFAS Properties'!$B$35</f>
        <v>PFDA</v>
      </c>
      <c r="I505" s="2" t="str">
        <f>'PFAS Properties'!$C$35</f>
        <v>PFCA</v>
      </c>
      <c r="J505" s="2" t="str">
        <f>'PFAS Properties'!$D$35</f>
        <v>C10HF19O2</v>
      </c>
      <c r="K505" s="25">
        <f>'PFAS Properties'!$P$35</f>
        <v>513.96719999999993</v>
      </c>
      <c r="L505" s="2">
        <f>'PFAS Properties'!$X$35</f>
        <v>-0.2</v>
      </c>
      <c r="M505" s="2" t="str">
        <f>'PFAS Properties'!$Y$35</f>
        <v>-</v>
      </c>
      <c r="N505" s="33">
        <v>0</v>
      </c>
      <c r="O505" s="33">
        <v>0</v>
      </c>
      <c r="P505" s="33">
        <v>0</v>
      </c>
      <c r="Q505" s="33">
        <f t="shared" si="193"/>
        <v>0.99999974881141995</v>
      </c>
      <c r="R505" s="33">
        <v>0</v>
      </c>
      <c r="S505" s="33">
        <f t="shared" si="194"/>
        <v>2.5118858005523878E-7</v>
      </c>
      <c r="T505" s="8">
        <f t="shared" si="195"/>
        <v>1</v>
      </c>
      <c r="U505" s="33">
        <f t="shared" ref="U505:U566" si="218">((1*N505)+(1*O505)+(1*P505))</f>
        <v>0</v>
      </c>
      <c r="V505" s="33">
        <f t="shared" ref="V505:V566" si="219">-((1*O505)+(2*P505)+(1*Q505)+(2*R505))</f>
        <v>-0.99999974881141995</v>
      </c>
      <c r="W505" s="33">
        <f t="shared" ref="W505:W566" si="220">(N505*(K505+1))+(O505*K505)+(P505*(K505-1))+(Q505*(K505-1))+(R505*(K505-2))+(S505*K505)</f>
        <v>512.9672002511885</v>
      </c>
      <c r="X505" s="33">
        <v>96485</v>
      </c>
      <c r="Y505" s="16">
        <f t="shared" ref="Y505:Y566" si="221">((V505+U505)/W505)*X505</f>
        <v>-188.09190084048907</v>
      </c>
      <c r="Z505" s="16">
        <v>10</v>
      </c>
      <c r="AA505" s="16">
        <v>19</v>
      </c>
      <c r="AB505" s="8">
        <f t="shared" ref="AB505:AB566" si="222">(Z505/AA505)*(12/19)</f>
        <v>0.33240997229916897</v>
      </c>
      <c r="AC505" s="16">
        <f t="shared" ref="AC505:AC566" si="223">((AA505*19)/K505)*100</f>
        <v>70.237945145137672</v>
      </c>
      <c r="AD505" s="20">
        <f>'PFAS Properties'!$W$35</f>
        <v>9</v>
      </c>
      <c r="AE505" s="8">
        <f>'PFAS Properties'!$S$35</f>
        <v>0.90308998699194354</v>
      </c>
      <c r="AF505" s="15">
        <f>'PFAS Properties'!$V$35</f>
        <v>6.3</v>
      </c>
      <c r="AG505" s="26">
        <v>6.4</v>
      </c>
      <c r="AH505" s="1" t="s">
        <v>363</v>
      </c>
      <c r="AI505" s="6">
        <f>1025*55.874/1000</f>
        <v>57.270850000000003</v>
      </c>
      <c r="AJ505" s="3">
        <f t="shared" si="207"/>
        <v>1025.5322768376759</v>
      </c>
      <c r="AK505" s="8">
        <f t="shared" si="197"/>
        <v>5.7270850000000006</v>
      </c>
      <c r="AL505" s="6">
        <f>171*26.98/1000</f>
        <v>4.6135799999999998</v>
      </c>
      <c r="AM505" s="3">
        <f t="shared" si="217"/>
        <v>171</v>
      </c>
      <c r="AN505" s="8">
        <f t="shared" si="199"/>
        <v>0.46135799999999999</v>
      </c>
      <c r="AO505" s="3" t="s">
        <v>93</v>
      </c>
      <c r="AP505" s="15">
        <v>32.1</v>
      </c>
      <c r="AQ505" s="1" t="s">
        <v>363</v>
      </c>
      <c r="AR505" s="4">
        <v>65</v>
      </c>
      <c r="AS505" s="4">
        <v>22</v>
      </c>
      <c r="AT505" s="4">
        <v>13</v>
      </c>
      <c r="AU505" s="1" t="s">
        <v>363</v>
      </c>
      <c r="AV505" s="16">
        <f t="shared" si="208"/>
        <v>100</v>
      </c>
      <c r="AW505" s="7">
        <v>0.56000000000000005</v>
      </c>
      <c r="AX505" s="5">
        <f t="shared" si="200"/>
        <v>5.6000000000000008E-3</v>
      </c>
      <c r="AY505" s="5" t="s">
        <v>87</v>
      </c>
      <c r="AZ505" s="39">
        <f>5/0.05</f>
        <v>100</v>
      </c>
      <c r="BA505" s="30" t="s">
        <v>55</v>
      </c>
      <c r="BB505" s="15">
        <f>1*K505/1000</f>
        <v>0.51396719999999996</v>
      </c>
      <c r="BC505" s="16">
        <f>200*K505/1000</f>
        <v>102.79343999999999</v>
      </c>
      <c r="BD505" s="26">
        <v>1.5</v>
      </c>
      <c r="BE505" s="16">
        <f t="shared" ref="BE505:BE566" si="224">BD505/AX505</f>
        <v>267.85714285714283</v>
      </c>
      <c r="BF505" s="8">
        <f t="shared" ref="BF505:BF566" si="225">LOG(BE505)</f>
        <v>2.4279032320494807</v>
      </c>
      <c r="BG505" s="8">
        <f t="shared" si="213"/>
        <v>0.17609125905568124</v>
      </c>
      <c r="BH505" s="13" t="s">
        <v>844</v>
      </c>
      <c r="BI505" s="13"/>
      <c r="BJ505" s="13"/>
      <c r="BK505" s="8"/>
      <c r="BL505" s="8"/>
      <c r="BM505" s="18"/>
      <c r="BN505" s="8"/>
      <c r="BO505" s="24"/>
      <c r="BP505" s="11"/>
      <c r="BQ505" s="11"/>
    </row>
    <row r="506" spans="1:69" x14ac:dyDescent="0.3">
      <c r="A506" s="20">
        <v>514</v>
      </c>
      <c r="B506" s="1" t="s">
        <v>873</v>
      </c>
      <c r="C506" s="1">
        <v>2007</v>
      </c>
      <c r="D506" s="1" t="s">
        <v>203</v>
      </c>
      <c r="E506" s="10" t="s">
        <v>225</v>
      </c>
      <c r="F506" s="7" t="s">
        <v>63</v>
      </c>
      <c r="G506" s="4">
        <v>5</v>
      </c>
      <c r="H506" s="2" t="str">
        <f>'PFAS Properties'!$B$35</f>
        <v>PFDA</v>
      </c>
      <c r="I506" s="2" t="str">
        <f>'PFAS Properties'!$C$35</f>
        <v>PFCA</v>
      </c>
      <c r="J506" s="2" t="str">
        <f>'PFAS Properties'!$D$35</f>
        <v>C10HF19O2</v>
      </c>
      <c r="K506" s="25">
        <f>'PFAS Properties'!$P$35</f>
        <v>513.96719999999993</v>
      </c>
      <c r="L506" s="2">
        <f>'PFAS Properties'!$X$35</f>
        <v>-0.2</v>
      </c>
      <c r="M506" s="2" t="str">
        <f>'PFAS Properties'!$Y$35</f>
        <v>-</v>
      </c>
      <c r="N506" s="33">
        <v>0</v>
      </c>
      <c r="O506" s="33">
        <v>0</v>
      </c>
      <c r="P506" s="33">
        <v>0</v>
      </c>
      <c r="Q506" s="33">
        <f t="shared" si="193"/>
        <v>0.99999874107617315</v>
      </c>
      <c r="R506" s="33">
        <v>0</v>
      </c>
      <c r="S506" s="33">
        <f t="shared" si="194"/>
        <v>1.2589238269029671E-6</v>
      </c>
      <c r="T506" s="8">
        <f t="shared" si="195"/>
        <v>1</v>
      </c>
      <c r="U506" s="33">
        <f t="shared" si="218"/>
        <v>0</v>
      </c>
      <c r="V506" s="33">
        <f t="shared" si="219"/>
        <v>-0.99999874107617315</v>
      </c>
      <c r="W506" s="33">
        <f t="shared" si="220"/>
        <v>512.96720125892375</v>
      </c>
      <c r="X506" s="33">
        <v>96485</v>
      </c>
      <c r="Y506" s="16">
        <f t="shared" si="221"/>
        <v>-188.09171092409309</v>
      </c>
      <c r="Z506" s="16">
        <v>10</v>
      </c>
      <c r="AA506" s="16">
        <v>19</v>
      </c>
      <c r="AB506" s="8">
        <f t="shared" si="222"/>
        <v>0.33240997229916897</v>
      </c>
      <c r="AC506" s="16">
        <f t="shared" si="223"/>
        <v>70.237945145137672</v>
      </c>
      <c r="AD506" s="20">
        <f>'PFAS Properties'!$W$35</f>
        <v>9</v>
      </c>
      <c r="AE506" s="8">
        <f>'PFAS Properties'!$S$35</f>
        <v>0.90308998699194354</v>
      </c>
      <c r="AF506" s="15">
        <f>'PFAS Properties'!$V$35</f>
        <v>6.3</v>
      </c>
      <c r="AG506" s="26">
        <v>5.7</v>
      </c>
      <c r="AH506" s="1" t="s">
        <v>363</v>
      </c>
      <c r="AI506" s="6">
        <f>268*55.85/1000</f>
        <v>14.9678</v>
      </c>
      <c r="AJ506" s="3">
        <f t="shared" si="207"/>
        <v>268.02399498612232</v>
      </c>
      <c r="AK506" s="8">
        <f t="shared" si="197"/>
        <v>1.49678</v>
      </c>
      <c r="AL506" s="6">
        <f>90*26.98/1000</f>
        <v>2.4281999999999999</v>
      </c>
      <c r="AM506" s="3">
        <f t="shared" si="217"/>
        <v>89.999999999999986</v>
      </c>
      <c r="AN506" s="8">
        <f t="shared" si="199"/>
        <v>0.24281999999999998</v>
      </c>
      <c r="AO506" s="3" t="s">
        <v>93</v>
      </c>
      <c r="AP506" s="15">
        <v>22</v>
      </c>
      <c r="AQ506" s="1" t="s">
        <v>363</v>
      </c>
      <c r="AR506" s="4">
        <v>80</v>
      </c>
      <c r="AS506" s="4">
        <v>15</v>
      </c>
      <c r="AT506" s="4">
        <v>5</v>
      </c>
      <c r="AU506" s="1" t="s">
        <v>363</v>
      </c>
      <c r="AV506" s="16">
        <f t="shared" si="208"/>
        <v>100</v>
      </c>
      <c r="AW506" s="7">
        <v>9.66</v>
      </c>
      <c r="AX506" s="5">
        <f t="shared" si="200"/>
        <v>9.6600000000000005E-2</v>
      </c>
      <c r="AY506" s="5" t="s">
        <v>87</v>
      </c>
      <c r="AZ506" s="39">
        <f>5/0.05</f>
        <v>100</v>
      </c>
      <c r="BA506" s="30" t="s">
        <v>55</v>
      </c>
      <c r="BB506" s="15">
        <f>1*K506/1000</f>
        <v>0.51396719999999996</v>
      </c>
      <c r="BC506" s="16">
        <f>200*K506/1000</f>
        <v>102.79343999999999</v>
      </c>
      <c r="BD506" s="26">
        <v>78.62</v>
      </c>
      <c r="BE506" s="16">
        <f t="shared" si="224"/>
        <v>813.87163561076602</v>
      </c>
      <c r="BF506" s="8">
        <f t="shared" si="225"/>
        <v>2.9105559130685772</v>
      </c>
      <c r="BG506" s="8">
        <f t="shared" si="213"/>
        <v>1.8955330394840704</v>
      </c>
      <c r="BH506" s="13" t="s">
        <v>844</v>
      </c>
      <c r="BI506" s="16"/>
      <c r="BJ506" s="13"/>
      <c r="BK506" s="8"/>
      <c r="BL506" s="8"/>
      <c r="BM506" s="18"/>
      <c r="BN506" s="8"/>
      <c r="BO506" s="24"/>
      <c r="BP506" s="11"/>
      <c r="BQ506" s="11"/>
    </row>
    <row r="507" spans="1:69" s="14" customFormat="1" x14ac:dyDescent="0.3">
      <c r="A507" s="20">
        <v>515</v>
      </c>
      <c r="B507" s="2" t="s">
        <v>221</v>
      </c>
      <c r="C507" s="2">
        <v>2016</v>
      </c>
      <c r="D507" s="2" t="s">
        <v>199</v>
      </c>
      <c r="E507" s="22" t="s">
        <v>811</v>
      </c>
      <c r="F507" s="20" t="s">
        <v>63</v>
      </c>
      <c r="G507" s="2" t="s">
        <v>64</v>
      </c>
      <c r="H507" s="2" t="str">
        <f>'PFAS Properties'!$B$35</f>
        <v>PFDA</v>
      </c>
      <c r="I507" s="2" t="str">
        <f>'PFAS Properties'!$C$35</f>
        <v>PFCA</v>
      </c>
      <c r="J507" s="2" t="str">
        <f>'PFAS Properties'!$D$35</f>
        <v>C10HF19O2</v>
      </c>
      <c r="K507" s="25">
        <f>'PFAS Properties'!$P$35</f>
        <v>513.96719999999993</v>
      </c>
      <c r="L507" s="2">
        <f>'PFAS Properties'!$X$35</f>
        <v>-0.2</v>
      </c>
      <c r="M507" s="2" t="str">
        <f>'PFAS Properties'!$Y$35</f>
        <v>-</v>
      </c>
      <c r="N507" s="33">
        <v>0</v>
      </c>
      <c r="O507" s="33">
        <v>0</v>
      </c>
      <c r="P507" s="33">
        <v>0</v>
      </c>
      <c r="Q507" s="33">
        <f t="shared" si="193"/>
        <v>0.99999998415106828</v>
      </c>
      <c r="R507" s="33">
        <v>0</v>
      </c>
      <c r="S507" s="33">
        <f t="shared" si="194"/>
        <v>1.5848931673422493E-8</v>
      </c>
      <c r="T507" s="8">
        <f t="shared" si="195"/>
        <v>1</v>
      </c>
      <c r="U507" s="33">
        <f t="shared" si="218"/>
        <v>0</v>
      </c>
      <c r="V507" s="33">
        <f t="shared" si="219"/>
        <v>-0.99999998415106828</v>
      </c>
      <c r="W507" s="33">
        <f t="shared" si="220"/>
        <v>512.9672000158489</v>
      </c>
      <c r="X507" s="33">
        <v>96485</v>
      </c>
      <c r="Y507" s="16">
        <f t="shared" si="221"/>
        <v>-188.09194519227501</v>
      </c>
      <c r="Z507" s="16">
        <v>10</v>
      </c>
      <c r="AA507" s="16">
        <v>19</v>
      </c>
      <c r="AB507" s="8">
        <f t="shared" si="222"/>
        <v>0.33240997229916897</v>
      </c>
      <c r="AC507" s="16">
        <f t="shared" si="223"/>
        <v>70.237945145137672</v>
      </c>
      <c r="AD507" s="20">
        <f>'PFAS Properties'!$W$35</f>
        <v>9</v>
      </c>
      <c r="AE507" s="8">
        <f>'PFAS Properties'!$S$35</f>
        <v>0.90308998699194354</v>
      </c>
      <c r="AF507" s="15">
        <f>'PFAS Properties'!$V$35</f>
        <v>6.3</v>
      </c>
      <c r="AG507" s="24">
        <v>7.6</v>
      </c>
      <c r="AH507" s="2" t="s">
        <v>661</v>
      </c>
      <c r="AI507" s="2">
        <v>2.8492E-2</v>
      </c>
      <c r="AJ507" s="15">
        <f t="shared" si="207"/>
        <v>0.51019786910197873</v>
      </c>
      <c r="AK507" s="8">
        <f t="shared" si="197"/>
        <v>2.8492000000000001E-3</v>
      </c>
      <c r="AL507" s="12">
        <v>1.2054E-2</v>
      </c>
      <c r="AM507" s="15">
        <f t="shared" si="217"/>
        <v>0.4467753891771683</v>
      </c>
      <c r="AN507" s="8">
        <f t="shared" si="199"/>
        <v>1.2054000000000001E-3</v>
      </c>
      <c r="AO507" s="2" t="s">
        <v>661</v>
      </c>
      <c r="AP507" s="72">
        <v>15.90036666666667</v>
      </c>
      <c r="AQ507" s="70" t="s">
        <v>752</v>
      </c>
      <c r="AR507" s="2">
        <v>4</v>
      </c>
      <c r="AS507" s="2">
        <v>61</v>
      </c>
      <c r="AT507" s="2">
        <v>35</v>
      </c>
      <c r="AU507" s="2" t="s">
        <v>661</v>
      </c>
      <c r="AV507" s="16">
        <f t="shared" si="208"/>
        <v>100</v>
      </c>
      <c r="AW507" s="20">
        <v>2.52</v>
      </c>
      <c r="AX507" s="13">
        <f t="shared" si="200"/>
        <v>2.52E-2</v>
      </c>
      <c r="AY507" s="13" t="s">
        <v>65</v>
      </c>
      <c r="AZ507" s="16">
        <f>5/0.04</f>
        <v>125</v>
      </c>
      <c r="BA507" s="16" t="s">
        <v>55</v>
      </c>
      <c r="BB507" s="15">
        <v>0.5</v>
      </c>
      <c r="BC507" s="16">
        <v>100</v>
      </c>
      <c r="BD507" s="18">
        <v>95.499258602143655</v>
      </c>
      <c r="BE507" s="15">
        <f t="shared" si="224"/>
        <v>3789.6531191326849</v>
      </c>
      <c r="BF507" s="8">
        <f t="shared" si="225"/>
        <v>3.5785994592184562</v>
      </c>
      <c r="BG507" s="8">
        <f t="shared" si="213"/>
        <v>1.9800000000000002</v>
      </c>
      <c r="BH507" s="13" t="s">
        <v>390</v>
      </c>
      <c r="BI507" s="13"/>
      <c r="BJ507" s="13"/>
      <c r="BK507" s="15"/>
      <c r="BL507" s="8"/>
      <c r="BM507" s="18"/>
      <c r="BN507" s="8"/>
      <c r="BO507" s="24"/>
    </row>
    <row r="508" spans="1:69" s="14" customFormat="1" x14ac:dyDescent="0.3">
      <c r="A508" s="20">
        <v>516</v>
      </c>
      <c r="B508" s="2" t="s">
        <v>202</v>
      </c>
      <c r="C508" s="2">
        <v>2019</v>
      </c>
      <c r="D508" s="2" t="s">
        <v>199</v>
      </c>
      <c r="E508" s="10" t="s">
        <v>791</v>
      </c>
      <c r="F508" s="20" t="s">
        <v>29</v>
      </c>
      <c r="G508" s="2" t="s">
        <v>39</v>
      </c>
      <c r="H508" s="2" t="str">
        <f>'PFAS Properties'!$B$35</f>
        <v>PFDA</v>
      </c>
      <c r="I508" s="2" t="str">
        <f>'PFAS Properties'!$C$35</f>
        <v>PFCA</v>
      </c>
      <c r="J508" s="2" t="str">
        <f>'PFAS Properties'!$D$35</f>
        <v>C10HF19O2</v>
      </c>
      <c r="K508" s="25">
        <f>'PFAS Properties'!$P$35</f>
        <v>513.96719999999993</v>
      </c>
      <c r="L508" s="2">
        <f>'PFAS Properties'!$X$35</f>
        <v>-0.2</v>
      </c>
      <c r="M508" s="2" t="str">
        <f>'PFAS Properties'!$Y$35</f>
        <v>-</v>
      </c>
      <c r="N508" s="33">
        <v>0</v>
      </c>
      <c r="O508" s="33">
        <v>0</v>
      </c>
      <c r="P508" s="33">
        <v>0</v>
      </c>
      <c r="Q508" s="33">
        <f t="shared" si="193"/>
        <v>0.9999964518786969</v>
      </c>
      <c r="R508" s="33">
        <v>0</v>
      </c>
      <c r="S508" s="33">
        <f t="shared" si="194"/>
        <v>3.5481213031263005E-6</v>
      </c>
      <c r="T508" s="8">
        <f t="shared" si="195"/>
        <v>1</v>
      </c>
      <c r="U508" s="33">
        <f t="shared" si="218"/>
        <v>0</v>
      </c>
      <c r="V508" s="33">
        <f t="shared" si="219"/>
        <v>-0.9999964518786969</v>
      </c>
      <c r="W508" s="33">
        <f t="shared" si="220"/>
        <v>512.96720354812135</v>
      </c>
      <c r="X508" s="33">
        <v>96485</v>
      </c>
      <c r="Y508" s="16">
        <f t="shared" si="221"/>
        <v>-188.09127950509387</v>
      </c>
      <c r="Z508" s="16">
        <v>10</v>
      </c>
      <c r="AA508" s="16">
        <v>19</v>
      </c>
      <c r="AB508" s="8">
        <f t="shared" si="222"/>
        <v>0.33240997229916897</v>
      </c>
      <c r="AC508" s="16">
        <f t="shared" si="223"/>
        <v>70.237945145137672</v>
      </c>
      <c r="AD508" s="20">
        <f>'PFAS Properties'!$W$35</f>
        <v>9</v>
      </c>
      <c r="AE508" s="8">
        <f>'PFAS Properties'!$S$35</f>
        <v>0.90308998699194354</v>
      </c>
      <c r="AF508" s="15">
        <f>'PFAS Properties'!$V$35</f>
        <v>6.3</v>
      </c>
      <c r="AG508" s="24">
        <v>5.25</v>
      </c>
      <c r="AH508" s="2" t="s">
        <v>661</v>
      </c>
      <c r="AI508" s="2" t="s">
        <v>661</v>
      </c>
      <c r="AJ508" s="2" t="s">
        <v>661</v>
      </c>
      <c r="AK508" s="2" t="s">
        <v>661</v>
      </c>
      <c r="AL508" s="2" t="s">
        <v>661</v>
      </c>
      <c r="AM508" s="2" t="s">
        <v>661</v>
      </c>
      <c r="AN508" s="2" t="s">
        <v>661</v>
      </c>
      <c r="AO508" s="2" t="s">
        <v>661</v>
      </c>
      <c r="AP508" s="72">
        <v>5.7023166666666656</v>
      </c>
      <c r="AQ508" s="70" t="s">
        <v>752</v>
      </c>
      <c r="AR508" s="16">
        <v>100</v>
      </c>
      <c r="AS508" s="16">
        <v>0</v>
      </c>
      <c r="AT508" s="16">
        <v>0</v>
      </c>
      <c r="AU508" s="2" t="s">
        <v>661</v>
      </c>
      <c r="AV508" s="16">
        <f t="shared" si="208"/>
        <v>100</v>
      </c>
      <c r="AW508" s="20">
        <v>0.4</v>
      </c>
      <c r="AX508" s="13">
        <f t="shared" si="200"/>
        <v>4.0000000000000001E-3</v>
      </c>
      <c r="AY508" s="13" t="s">
        <v>658</v>
      </c>
      <c r="AZ508" s="16">
        <f>2/0.01</f>
        <v>200</v>
      </c>
      <c r="BA508" s="16" t="s">
        <v>55</v>
      </c>
      <c r="BB508" s="16">
        <v>1</v>
      </c>
      <c r="BC508" s="16">
        <v>1000</v>
      </c>
      <c r="BD508" s="18">
        <v>16.600000000000001</v>
      </c>
      <c r="BE508" s="15">
        <f t="shared" si="224"/>
        <v>4150</v>
      </c>
      <c r="BF508" s="8">
        <f t="shared" si="225"/>
        <v>3.6180480967120925</v>
      </c>
      <c r="BG508" s="8">
        <f t="shared" si="213"/>
        <v>1.2201080880400552</v>
      </c>
      <c r="BH508" s="13" t="s">
        <v>272</v>
      </c>
      <c r="BI508" s="13"/>
      <c r="BJ508" s="13"/>
      <c r="BK508" s="13"/>
      <c r="BL508" s="13"/>
      <c r="BM508" s="17"/>
      <c r="BN508" s="17"/>
      <c r="BO508" s="2"/>
    </row>
    <row r="509" spans="1:69" s="14" customFormat="1" x14ac:dyDescent="0.3">
      <c r="A509" s="20">
        <v>517</v>
      </c>
      <c r="B509" s="2" t="s">
        <v>202</v>
      </c>
      <c r="C509" s="2">
        <v>2019</v>
      </c>
      <c r="D509" s="2" t="s">
        <v>199</v>
      </c>
      <c r="E509" s="10" t="s">
        <v>791</v>
      </c>
      <c r="F509" s="20" t="s">
        <v>29</v>
      </c>
      <c r="G509" s="2" t="s">
        <v>43</v>
      </c>
      <c r="H509" s="2" t="str">
        <f>'PFAS Properties'!$B$35</f>
        <v>PFDA</v>
      </c>
      <c r="I509" s="2" t="str">
        <f>'PFAS Properties'!$C$35</f>
        <v>PFCA</v>
      </c>
      <c r="J509" s="2" t="str">
        <f>'PFAS Properties'!$D$35</f>
        <v>C10HF19O2</v>
      </c>
      <c r="K509" s="25">
        <f>'PFAS Properties'!$P$35</f>
        <v>513.96719999999993</v>
      </c>
      <c r="L509" s="2">
        <f>'PFAS Properties'!$X$35</f>
        <v>-0.2</v>
      </c>
      <c r="M509" s="2" t="str">
        <f>'PFAS Properties'!$Y$35</f>
        <v>-</v>
      </c>
      <c r="N509" s="33">
        <v>0</v>
      </c>
      <c r="O509" s="33">
        <v>0</v>
      </c>
      <c r="P509" s="33">
        <v>0</v>
      </c>
      <c r="Q509" s="33">
        <f t="shared" si="193"/>
        <v>0.99999865103893715</v>
      </c>
      <c r="R509" s="33">
        <v>0</v>
      </c>
      <c r="S509" s="33">
        <f t="shared" si="194"/>
        <v>1.3489610628932487E-6</v>
      </c>
      <c r="T509" s="8">
        <f t="shared" si="195"/>
        <v>1</v>
      </c>
      <c r="U509" s="33">
        <f t="shared" si="218"/>
        <v>0</v>
      </c>
      <c r="V509" s="33">
        <f t="shared" si="219"/>
        <v>-0.99999865103893715</v>
      </c>
      <c r="W509" s="33">
        <f t="shared" si="220"/>
        <v>512.967201348961</v>
      </c>
      <c r="X509" s="33">
        <v>96485</v>
      </c>
      <c r="Y509" s="16">
        <f t="shared" si="221"/>
        <v>-188.09169395579968</v>
      </c>
      <c r="Z509" s="16">
        <v>10</v>
      </c>
      <c r="AA509" s="16">
        <v>19</v>
      </c>
      <c r="AB509" s="8">
        <f t="shared" si="222"/>
        <v>0.33240997229916897</v>
      </c>
      <c r="AC509" s="16">
        <f t="shared" si="223"/>
        <v>70.237945145137672</v>
      </c>
      <c r="AD509" s="20">
        <f>'PFAS Properties'!$W$35</f>
        <v>9</v>
      </c>
      <c r="AE509" s="8">
        <f>'PFAS Properties'!$S$35</f>
        <v>0.90308998699194354</v>
      </c>
      <c r="AF509" s="15">
        <f>'PFAS Properties'!$V$35</f>
        <v>6.3</v>
      </c>
      <c r="AG509" s="24">
        <v>5.67</v>
      </c>
      <c r="AH509" s="2" t="s">
        <v>661</v>
      </c>
      <c r="AI509" s="15" t="s">
        <v>661</v>
      </c>
      <c r="AJ509" s="16" t="s">
        <v>661</v>
      </c>
      <c r="AK509" s="2" t="s">
        <v>661</v>
      </c>
      <c r="AL509" s="15" t="s">
        <v>661</v>
      </c>
      <c r="AM509" s="16" t="s">
        <v>661</v>
      </c>
      <c r="AN509" s="2" t="s">
        <v>661</v>
      </c>
      <c r="AO509" s="2" t="s">
        <v>661</v>
      </c>
      <c r="AP509" s="72">
        <v>9.2037666666666649</v>
      </c>
      <c r="AQ509" s="70" t="s">
        <v>752</v>
      </c>
      <c r="AR509" s="16">
        <v>71</v>
      </c>
      <c r="AS509" s="16">
        <v>24</v>
      </c>
      <c r="AT509" s="16">
        <v>5</v>
      </c>
      <c r="AU509" s="2" t="s">
        <v>661</v>
      </c>
      <c r="AV509" s="16">
        <f t="shared" si="208"/>
        <v>100</v>
      </c>
      <c r="AW509" s="20">
        <v>0.93</v>
      </c>
      <c r="AX509" s="13">
        <f t="shared" si="200"/>
        <v>9.300000000000001E-3</v>
      </c>
      <c r="AY509" s="13" t="s">
        <v>658</v>
      </c>
      <c r="AZ509" s="16">
        <f>2/0.01</f>
        <v>200</v>
      </c>
      <c r="BA509" s="16" t="s">
        <v>55</v>
      </c>
      <c r="BB509" s="16">
        <v>1</v>
      </c>
      <c r="BC509" s="16">
        <v>1000</v>
      </c>
      <c r="BD509" s="18">
        <v>50</v>
      </c>
      <c r="BE509" s="15">
        <f t="shared" si="224"/>
        <v>5376.3440860215051</v>
      </c>
      <c r="BF509" s="8">
        <f t="shared" si="225"/>
        <v>3.7304870557820835</v>
      </c>
      <c r="BG509" s="8">
        <f t="shared" si="213"/>
        <v>1.6989700043360187</v>
      </c>
      <c r="BH509" s="13" t="s">
        <v>272</v>
      </c>
      <c r="BI509" s="13"/>
      <c r="BJ509" s="13"/>
      <c r="BK509" s="13"/>
      <c r="BL509" s="13"/>
      <c r="BM509" s="17"/>
      <c r="BN509" s="17"/>
      <c r="BO509" s="2"/>
    </row>
    <row r="510" spans="1:69" s="14" customFormat="1" x14ac:dyDescent="0.3">
      <c r="A510" s="20">
        <v>518</v>
      </c>
      <c r="B510" s="2" t="s">
        <v>206</v>
      </c>
      <c r="C510" s="2">
        <v>2020</v>
      </c>
      <c r="D510" s="2" t="s">
        <v>201</v>
      </c>
      <c r="E510" s="22" t="s">
        <v>793</v>
      </c>
      <c r="F510" s="20" t="s">
        <v>29</v>
      </c>
      <c r="G510" s="2" t="s">
        <v>44</v>
      </c>
      <c r="H510" s="2" t="str">
        <f>'PFAS Properties'!$B$35</f>
        <v>PFDA</v>
      </c>
      <c r="I510" s="2" t="str">
        <f>'PFAS Properties'!$C$35</f>
        <v>PFCA</v>
      </c>
      <c r="J510" s="2" t="str">
        <f>'PFAS Properties'!$D$35</f>
        <v>C10HF19O2</v>
      </c>
      <c r="K510" s="25">
        <f>'PFAS Properties'!$P$35</f>
        <v>513.96719999999993</v>
      </c>
      <c r="L510" s="2">
        <f>'PFAS Properties'!$X$35</f>
        <v>-0.2</v>
      </c>
      <c r="M510" s="2" t="str">
        <f>'PFAS Properties'!$Y$35</f>
        <v>-</v>
      </c>
      <c r="N510" s="33">
        <v>0</v>
      </c>
      <c r="O510" s="33">
        <v>0</v>
      </c>
      <c r="P510" s="33">
        <v>0</v>
      </c>
      <c r="Q510" s="33">
        <f t="shared" si="193"/>
        <v>0.99999999000000006</v>
      </c>
      <c r="R510" s="33">
        <v>0</v>
      </c>
      <c r="S510" s="33">
        <f t="shared" si="194"/>
        <v>9.9999999000000002E-9</v>
      </c>
      <c r="T510" s="8">
        <f t="shared" si="195"/>
        <v>1</v>
      </c>
      <c r="U510" s="33">
        <f t="shared" si="218"/>
        <v>0</v>
      </c>
      <c r="V510" s="33">
        <f t="shared" si="219"/>
        <v>-0.99999999000000006</v>
      </c>
      <c r="W510" s="33">
        <f t="shared" si="220"/>
        <v>512.96720000999994</v>
      </c>
      <c r="X510" s="33">
        <v>96485</v>
      </c>
      <c r="Y510" s="16">
        <f t="shared" si="221"/>
        <v>-188.09194629455664</v>
      </c>
      <c r="Z510" s="16">
        <v>10</v>
      </c>
      <c r="AA510" s="16">
        <v>19</v>
      </c>
      <c r="AB510" s="8">
        <f t="shared" si="222"/>
        <v>0.33240997229916897</v>
      </c>
      <c r="AC510" s="16">
        <f t="shared" si="223"/>
        <v>70.237945145137672</v>
      </c>
      <c r="AD510" s="20">
        <f>'PFAS Properties'!$W$35</f>
        <v>9</v>
      </c>
      <c r="AE510" s="8">
        <f>'PFAS Properties'!$S$35</f>
        <v>0.90308998699194354</v>
      </c>
      <c r="AF510" s="15">
        <f>'PFAS Properties'!$V$35</f>
        <v>6.3</v>
      </c>
      <c r="AG510" s="24">
        <v>7.8</v>
      </c>
      <c r="AH510" s="2" t="s">
        <v>661</v>
      </c>
      <c r="AI510" s="2" t="s">
        <v>661</v>
      </c>
      <c r="AJ510" s="2" t="s">
        <v>661</v>
      </c>
      <c r="AK510" s="2" t="s">
        <v>661</v>
      </c>
      <c r="AL510" s="2" t="s">
        <v>661</v>
      </c>
      <c r="AM510" s="2" t="s">
        <v>661</v>
      </c>
      <c r="AN510" s="2" t="s">
        <v>661</v>
      </c>
      <c r="AO510" s="2" t="s">
        <v>661</v>
      </c>
      <c r="AP510" s="72">
        <v>11.17476666666666</v>
      </c>
      <c r="AQ510" s="70" t="s">
        <v>752</v>
      </c>
      <c r="AR510" s="16">
        <v>47</v>
      </c>
      <c r="AS510" s="16">
        <v>38</v>
      </c>
      <c r="AT510" s="16">
        <v>15</v>
      </c>
      <c r="AU510" s="16" t="s">
        <v>661</v>
      </c>
      <c r="AV510" s="16">
        <f t="shared" si="208"/>
        <v>100</v>
      </c>
      <c r="AW510" s="20">
        <v>1.43</v>
      </c>
      <c r="AX510" s="13">
        <f t="shared" si="200"/>
        <v>1.43E-2</v>
      </c>
      <c r="AY510" s="8" t="s">
        <v>45</v>
      </c>
      <c r="AZ510" s="16">
        <f>5/0.025</f>
        <v>200</v>
      </c>
      <c r="BA510" s="16" t="s">
        <v>55</v>
      </c>
      <c r="BB510" s="16">
        <v>10</v>
      </c>
      <c r="BC510" s="16">
        <v>100</v>
      </c>
      <c r="BD510" s="20">
        <v>40.090000000000003</v>
      </c>
      <c r="BE510" s="15">
        <f t="shared" si="224"/>
        <v>2803.4965034965039</v>
      </c>
      <c r="BF510" s="8">
        <f t="shared" si="225"/>
        <v>3.4477000187854601</v>
      </c>
      <c r="BG510" s="8">
        <f t="shared" si="213"/>
        <v>1.6030360562505217</v>
      </c>
      <c r="BH510" s="2" t="s">
        <v>837</v>
      </c>
      <c r="BI510" s="8"/>
      <c r="BJ510" s="13"/>
      <c r="BK510" s="15"/>
      <c r="BL510" s="8"/>
      <c r="BM510" s="18"/>
      <c r="BN510" s="8"/>
      <c r="BO510" s="24"/>
    </row>
    <row r="511" spans="1:69" s="14" customFormat="1" x14ac:dyDescent="0.3">
      <c r="A511" s="20">
        <v>519</v>
      </c>
      <c r="B511" s="2" t="s">
        <v>775</v>
      </c>
      <c r="C511" s="2">
        <v>2021</v>
      </c>
      <c r="D511" s="2" t="s">
        <v>203</v>
      </c>
      <c r="E511" s="10" t="s">
        <v>786</v>
      </c>
      <c r="F511" s="20" t="s">
        <v>29</v>
      </c>
      <c r="G511" s="2" t="s">
        <v>116</v>
      </c>
      <c r="H511" s="2" t="str">
        <f>'PFAS Properties'!$B$35</f>
        <v>PFDA</v>
      </c>
      <c r="I511" s="2" t="str">
        <f>'PFAS Properties'!$C$35</f>
        <v>PFCA</v>
      </c>
      <c r="J511" s="2" t="str">
        <f>'PFAS Properties'!$D$35</f>
        <v>C10HF19O2</v>
      </c>
      <c r="K511" s="25">
        <f>'PFAS Properties'!$P$35</f>
        <v>513.96719999999993</v>
      </c>
      <c r="L511" s="2">
        <f>'PFAS Properties'!$X$35</f>
        <v>-0.2</v>
      </c>
      <c r="M511" s="2" t="str">
        <f>'PFAS Properties'!$Y$35</f>
        <v>-</v>
      </c>
      <c r="N511" s="33">
        <v>0</v>
      </c>
      <c r="O511" s="33">
        <v>0</v>
      </c>
      <c r="P511" s="33">
        <v>0</v>
      </c>
      <c r="Q511" s="33">
        <f t="shared" si="193"/>
        <v>0.99999998221720621</v>
      </c>
      <c r="R511" s="33">
        <v>0</v>
      </c>
      <c r="S511" s="33">
        <f t="shared" si="194"/>
        <v>1.7782793784161458E-8</v>
      </c>
      <c r="T511" s="8">
        <f t="shared" si="195"/>
        <v>1</v>
      </c>
      <c r="U511" s="33">
        <f t="shared" si="218"/>
        <v>0</v>
      </c>
      <c r="V511" s="33">
        <f t="shared" si="219"/>
        <v>-0.99999998221720621</v>
      </c>
      <c r="W511" s="33">
        <f t="shared" si="220"/>
        <v>512.96720001778272</v>
      </c>
      <c r="X511" s="33">
        <v>96485</v>
      </c>
      <c r="Y511" s="16">
        <f t="shared" si="221"/>
        <v>-188.09194482782203</v>
      </c>
      <c r="Z511" s="16">
        <v>10</v>
      </c>
      <c r="AA511" s="16">
        <v>19</v>
      </c>
      <c r="AB511" s="8">
        <f t="shared" si="222"/>
        <v>0.33240997229916897</v>
      </c>
      <c r="AC511" s="16">
        <f t="shared" si="223"/>
        <v>70.237945145137672</v>
      </c>
      <c r="AD511" s="20">
        <f>'PFAS Properties'!$W$35</f>
        <v>9</v>
      </c>
      <c r="AE511" s="8">
        <f>'PFAS Properties'!$S$35</f>
        <v>0.90308998699194354</v>
      </c>
      <c r="AF511" s="15">
        <f>'PFAS Properties'!$V$35</f>
        <v>6.3</v>
      </c>
      <c r="AG511" s="24">
        <v>7.55</v>
      </c>
      <c r="AH511" s="15" t="s">
        <v>830</v>
      </c>
      <c r="AI511" s="2" t="s">
        <v>661</v>
      </c>
      <c r="AJ511" s="2" t="s">
        <v>661</v>
      </c>
      <c r="AK511" s="2" t="s">
        <v>661</v>
      </c>
      <c r="AL511" s="2" t="s">
        <v>661</v>
      </c>
      <c r="AM511" s="2" t="s">
        <v>661</v>
      </c>
      <c r="AN511" s="2" t="s">
        <v>661</v>
      </c>
      <c r="AO511" s="2" t="s">
        <v>661</v>
      </c>
      <c r="AP511" s="15">
        <v>2.52</v>
      </c>
      <c r="AQ511" s="16" t="s">
        <v>689</v>
      </c>
      <c r="AR511" s="16">
        <v>45.3</v>
      </c>
      <c r="AS511" s="16">
        <v>30</v>
      </c>
      <c r="AT511" s="16">
        <v>24.7</v>
      </c>
      <c r="AU511" s="16" t="s">
        <v>664</v>
      </c>
      <c r="AV511" s="16">
        <f t="shared" si="208"/>
        <v>100</v>
      </c>
      <c r="AW511" s="20">
        <v>3.4</v>
      </c>
      <c r="AX511" s="13">
        <f t="shared" si="200"/>
        <v>3.4000000000000002E-2</v>
      </c>
      <c r="AY511" s="8" t="s">
        <v>342</v>
      </c>
      <c r="AZ511" s="16">
        <f>1/0.01</f>
        <v>100</v>
      </c>
      <c r="BA511" s="16" t="s">
        <v>55</v>
      </c>
      <c r="BB511" s="15">
        <f>5*K511/1000</f>
        <v>2.5698359999999996</v>
      </c>
      <c r="BC511" s="16">
        <f>5000*K511/1000</f>
        <v>2569.8359999999993</v>
      </c>
      <c r="BD511" s="24">
        <f>308.2*AX511</f>
        <v>10.4788</v>
      </c>
      <c r="BE511" s="15">
        <f t="shared" si="224"/>
        <v>308.2</v>
      </c>
      <c r="BF511" s="8">
        <f t="shared" si="225"/>
        <v>2.4888326343824003</v>
      </c>
      <c r="BG511" s="8">
        <f t="shared" si="213"/>
        <v>1.0203115514246557</v>
      </c>
      <c r="BH511" s="13" t="s">
        <v>343</v>
      </c>
      <c r="BI511" s="8"/>
      <c r="BJ511" s="13"/>
      <c r="BK511" s="15"/>
      <c r="BL511" s="15"/>
      <c r="BM511" s="18"/>
      <c r="BN511" s="8"/>
      <c r="BO511" s="24"/>
    </row>
    <row r="512" spans="1:69" s="14" customFormat="1" x14ac:dyDescent="0.3">
      <c r="A512" s="20">
        <v>520</v>
      </c>
      <c r="B512" s="2" t="s">
        <v>775</v>
      </c>
      <c r="C512" s="2">
        <v>2021</v>
      </c>
      <c r="D512" s="2" t="s">
        <v>203</v>
      </c>
      <c r="E512" s="10" t="s">
        <v>786</v>
      </c>
      <c r="F512" s="20" t="s">
        <v>29</v>
      </c>
      <c r="G512" s="2" t="s">
        <v>117</v>
      </c>
      <c r="H512" s="2" t="str">
        <f>'PFAS Properties'!$B$35</f>
        <v>PFDA</v>
      </c>
      <c r="I512" s="2" t="str">
        <f>'PFAS Properties'!$C$35</f>
        <v>PFCA</v>
      </c>
      <c r="J512" s="2" t="str">
        <f>'PFAS Properties'!$D$35</f>
        <v>C10HF19O2</v>
      </c>
      <c r="K512" s="25">
        <f>'PFAS Properties'!$P$35</f>
        <v>513.96719999999993</v>
      </c>
      <c r="L512" s="2">
        <f>'PFAS Properties'!$X$35</f>
        <v>-0.2</v>
      </c>
      <c r="M512" s="2" t="str">
        <f>'PFAS Properties'!$Y$35</f>
        <v>-</v>
      </c>
      <c r="N512" s="33">
        <v>0</v>
      </c>
      <c r="O512" s="33">
        <v>0</v>
      </c>
      <c r="P512" s="33">
        <v>0</v>
      </c>
      <c r="Q512" s="33">
        <f t="shared" si="193"/>
        <v>0.99999999610954859</v>
      </c>
      <c r="R512" s="33">
        <v>0</v>
      </c>
      <c r="S512" s="33">
        <f t="shared" si="194"/>
        <v>3.8904514348071882E-9</v>
      </c>
      <c r="T512" s="8">
        <f t="shared" si="195"/>
        <v>1</v>
      </c>
      <c r="U512" s="33">
        <f t="shared" si="218"/>
        <v>0</v>
      </c>
      <c r="V512" s="33">
        <f t="shared" si="219"/>
        <v>-0.99999999610954859</v>
      </c>
      <c r="W512" s="33">
        <f t="shared" si="220"/>
        <v>512.96720000389041</v>
      </c>
      <c r="X512" s="33">
        <v>96485</v>
      </c>
      <c r="Y512" s="16">
        <f t="shared" si="221"/>
        <v>-188.09194744595374</v>
      </c>
      <c r="Z512" s="16">
        <v>10</v>
      </c>
      <c r="AA512" s="16">
        <v>19</v>
      </c>
      <c r="AB512" s="8">
        <f t="shared" si="222"/>
        <v>0.33240997229916897</v>
      </c>
      <c r="AC512" s="16">
        <f t="shared" si="223"/>
        <v>70.237945145137672</v>
      </c>
      <c r="AD512" s="20">
        <f>'PFAS Properties'!$W$35</f>
        <v>9</v>
      </c>
      <c r="AE512" s="8">
        <f>'PFAS Properties'!$S$35</f>
        <v>0.90308998699194354</v>
      </c>
      <c r="AF512" s="15">
        <f>'PFAS Properties'!$V$35</f>
        <v>6.3</v>
      </c>
      <c r="AG512" s="24">
        <v>8.2100000000000009</v>
      </c>
      <c r="AH512" s="15" t="s">
        <v>830</v>
      </c>
      <c r="AI512" s="2" t="s">
        <v>661</v>
      </c>
      <c r="AJ512" s="2" t="s">
        <v>661</v>
      </c>
      <c r="AK512" s="2" t="s">
        <v>661</v>
      </c>
      <c r="AL512" s="2" t="s">
        <v>661</v>
      </c>
      <c r="AM512" s="2" t="s">
        <v>661</v>
      </c>
      <c r="AN512" s="2" t="s">
        <v>661</v>
      </c>
      <c r="AO512" s="2" t="s">
        <v>661</v>
      </c>
      <c r="AP512" s="15">
        <v>11.4</v>
      </c>
      <c r="AQ512" s="16" t="s">
        <v>689</v>
      </c>
      <c r="AR512" s="16">
        <v>28.7</v>
      </c>
      <c r="AS512" s="16">
        <v>40</v>
      </c>
      <c r="AT512" s="16">
        <v>31.3</v>
      </c>
      <c r="AU512" s="16" t="s">
        <v>664</v>
      </c>
      <c r="AV512" s="16">
        <f t="shared" si="208"/>
        <v>100</v>
      </c>
      <c r="AW512" s="20">
        <v>1.7</v>
      </c>
      <c r="AX512" s="13">
        <f t="shared" si="200"/>
        <v>1.7000000000000001E-2</v>
      </c>
      <c r="AY512" s="8" t="s">
        <v>342</v>
      </c>
      <c r="AZ512" s="16">
        <f>1/0.01</f>
        <v>100</v>
      </c>
      <c r="BA512" s="16" t="s">
        <v>55</v>
      </c>
      <c r="BB512" s="15">
        <f>5*K512/1000</f>
        <v>2.5698359999999996</v>
      </c>
      <c r="BC512" s="16">
        <f>5000*K512/1000</f>
        <v>2569.8359999999993</v>
      </c>
      <c r="BD512" s="24">
        <f>211.8*AX512</f>
        <v>3.6006000000000005</v>
      </c>
      <c r="BE512" s="15">
        <f t="shared" si="224"/>
        <v>211.8</v>
      </c>
      <c r="BF512" s="8">
        <f t="shared" si="225"/>
        <v>2.3259259557714662</v>
      </c>
      <c r="BG512" s="8">
        <f t="shared" si="213"/>
        <v>0.55637487714974021</v>
      </c>
      <c r="BH512" s="13" t="s">
        <v>343</v>
      </c>
      <c r="BI512" s="16"/>
      <c r="BJ512" s="13"/>
      <c r="BK512" s="15"/>
      <c r="BL512" s="16"/>
      <c r="BM512" s="18"/>
      <c r="BN512" s="8"/>
      <c r="BO512" s="24"/>
    </row>
    <row r="513" spans="1:69" s="14" customFormat="1" x14ac:dyDescent="0.3">
      <c r="A513" s="20">
        <v>521</v>
      </c>
      <c r="B513" s="2" t="s">
        <v>775</v>
      </c>
      <c r="C513" s="2">
        <v>2021</v>
      </c>
      <c r="D513" s="2" t="s">
        <v>203</v>
      </c>
      <c r="E513" s="10" t="s">
        <v>786</v>
      </c>
      <c r="F513" s="20" t="s">
        <v>29</v>
      </c>
      <c r="G513" s="2" t="s">
        <v>118</v>
      </c>
      <c r="H513" s="2" t="str">
        <f>'PFAS Properties'!$B$35</f>
        <v>PFDA</v>
      </c>
      <c r="I513" s="2" t="str">
        <f>'PFAS Properties'!$C$35</f>
        <v>PFCA</v>
      </c>
      <c r="J513" s="2" t="str">
        <f>'PFAS Properties'!$D$35</f>
        <v>C10HF19O2</v>
      </c>
      <c r="K513" s="25">
        <f>'PFAS Properties'!$P$35</f>
        <v>513.96719999999993</v>
      </c>
      <c r="L513" s="2">
        <f>'PFAS Properties'!$X$35</f>
        <v>-0.2</v>
      </c>
      <c r="M513" s="2" t="str">
        <f>'PFAS Properties'!$Y$35</f>
        <v>-</v>
      </c>
      <c r="N513" s="33">
        <v>0</v>
      </c>
      <c r="O513" s="33">
        <v>0</v>
      </c>
      <c r="P513" s="33">
        <v>0</v>
      </c>
      <c r="Q513" s="33">
        <f t="shared" si="193"/>
        <v>0.99999983017566363</v>
      </c>
      <c r="R513" s="33">
        <v>0</v>
      </c>
      <c r="S513" s="33">
        <f t="shared" si="194"/>
        <v>1.698243364058638E-7</v>
      </c>
      <c r="T513" s="8">
        <f t="shared" si="195"/>
        <v>1</v>
      </c>
      <c r="U513" s="33">
        <f t="shared" si="218"/>
        <v>0</v>
      </c>
      <c r="V513" s="33">
        <f t="shared" si="219"/>
        <v>-0.99999983017566363</v>
      </c>
      <c r="W513" s="33">
        <f t="shared" si="220"/>
        <v>512.96720016982431</v>
      </c>
      <c r="X513" s="33">
        <v>96485</v>
      </c>
      <c r="Y513" s="16">
        <f t="shared" si="221"/>
        <v>-188.09191617428235</v>
      </c>
      <c r="Z513" s="16">
        <v>10</v>
      </c>
      <c r="AA513" s="16">
        <v>19</v>
      </c>
      <c r="AB513" s="8">
        <f t="shared" si="222"/>
        <v>0.33240997229916897</v>
      </c>
      <c r="AC513" s="16">
        <f t="shared" si="223"/>
        <v>70.237945145137672</v>
      </c>
      <c r="AD513" s="20">
        <f>'PFAS Properties'!$W$35</f>
        <v>9</v>
      </c>
      <c r="AE513" s="8">
        <f>'PFAS Properties'!$S$35</f>
        <v>0.90308998699194354</v>
      </c>
      <c r="AF513" s="15">
        <f>'PFAS Properties'!$V$35</f>
        <v>6.3</v>
      </c>
      <c r="AG513" s="24">
        <v>6.57</v>
      </c>
      <c r="AH513" s="15" t="s">
        <v>830</v>
      </c>
      <c r="AI513" s="2" t="s">
        <v>661</v>
      </c>
      <c r="AJ513" s="2" t="s">
        <v>661</v>
      </c>
      <c r="AK513" s="2" t="s">
        <v>661</v>
      </c>
      <c r="AL513" s="2" t="s">
        <v>661</v>
      </c>
      <c r="AM513" s="2" t="s">
        <v>661</v>
      </c>
      <c r="AN513" s="2" t="s">
        <v>661</v>
      </c>
      <c r="AO513" s="2" t="s">
        <v>661</v>
      </c>
      <c r="AP513" s="15">
        <v>9.93</v>
      </c>
      <c r="AQ513" s="16" t="s">
        <v>689</v>
      </c>
      <c r="AR513" s="16">
        <v>20</v>
      </c>
      <c r="AS513" s="16">
        <v>50</v>
      </c>
      <c r="AT513" s="16">
        <v>30</v>
      </c>
      <c r="AU513" s="16" t="s">
        <v>664</v>
      </c>
      <c r="AV513" s="16">
        <f t="shared" si="208"/>
        <v>100</v>
      </c>
      <c r="AW513" s="20">
        <v>2.9</v>
      </c>
      <c r="AX513" s="13">
        <f t="shared" si="200"/>
        <v>2.8999999999999998E-2</v>
      </c>
      <c r="AY513" s="8" t="s">
        <v>342</v>
      </c>
      <c r="AZ513" s="16">
        <f>1/0.01</f>
        <v>100</v>
      </c>
      <c r="BA513" s="16" t="s">
        <v>55</v>
      </c>
      <c r="BB513" s="15">
        <f>5*K513/1000</f>
        <v>2.5698359999999996</v>
      </c>
      <c r="BC513" s="16">
        <f>5000*K513/1000</f>
        <v>2569.8359999999993</v>
      </c>
      <c r="BD513" s="24">
        <f>571.6*AX513</f>
        <v>16.5764</v>
      </c>
      <c r="BE513" s="15">
        <f t="shared" si="224"/>
        <v>571.6</v>
      </c>
      <c r="BF513" s="8">
        <f t="shared" si="225"/>
        <v>2.7570922201189325</v>
      </c>
      <c r="BG513" s="8">
        <f t="shared" si="213"/>
        <v>1.2194902180178886</v>
      </c>
      <c r="BH513" s="13" t="s">
        <v>343</v>
      </c>
      <c r="BI513" s="15"/>
      <c r="BJ513" s="13"/>
      <c r="BK513" s="15"/>
      <c r="BL513" s="15"/>
      <c r="BM513" s="18"/>
      <c r="BN513" s="8"/>
      <c r="BO513" s="24"/>
    </row>
    <row r="514" spans="1:69" s="14" customFormat="1" x14ac:dyDescent="0.3">
      <c r="A514" s="20">
        <v>522</v>
      </c>
      <c r="B514" s="2" t="s">
        <v>775</v>
      </c>
      <c r="C514" s="2">
        <v>2021</v>
      </c>
      <c r="D514" s="2" t="s">
        <v>203</v>
      </c>
      <c r="E514" s="10" t="s">
        <v>786</v>
      </c>
      <c r="F514" s="20" t="s">
        <v>29</v>
      </c>
      <c r="G514" s="2" t="s">
        <v>119</v>
      </c>
      <c r="H514" s="2" t="str">
        <f>'PFAS Properties'!$B$35</f>
        <v>PFDA</v>
      </c>
      <c r="I514" s="2" t="str">
        <f>'PFAS Properties'!$C$35</f>
        <v>PFCA</v>
      </c>
      <c r="J514" s="2" t="str">
        <f>'PFAS Properties'!$D$35</f>
        <v>C10HF19O2</v>
      </c>
      <c r="K514" s="25">
        <f>'PFAS Properties'!$P$35</f>
        <v>513.96719999999993</v>
      </c>
      <c r="L514" s="2">
        <f>'PFAS Properties'!$X$35</f>
        <v>-0.2</v>
      </c>
      <c r="M514" s="2" t="str">
        <f>'PFAS Properties'!$Y$35</f>
        <v>-</v>
      </c>
      <c r="N514" s="33">
        <v>0</v>
      </c>
      <c r="O514" s="33">
        <v>0</v>
      </c>
      <c r="P514" s="33">
        <v>0</v>
      </c>
      <c r="Q514" s="33">
        <f t="shared" si="193"/>
        <v>0.99998004777494953</v>
      </c>
      <c r="R514" s="33">
        <v>0</v>
      </c>
      <c r="S514" s="33">
        <f t="shared" si="194"/>
        <v>1.9952225050461341E-5</v>
      </c>
      <c r="T514" s="8">
        <f t="shared" si="195"/>
        <v>1</v>
      </c>
      <c r="U514" s="33">
        <f t="shared" si="218"/>
        <v>0</v>
      </c>
      <c r="V514" s="33">
        <f t="shared" si="219"/>
        <v>-0.99998004777494953</v>
      </c>
      <c r="W514" s="33">
        <f t="shared" si="220"/>
        <v>512.96721995222492</v>
      </c>
      <c r="X514" s="33">
        <v>96485</v>
      </c>
      <c r="Y514" s="16">
        <f t="shared" si="221"/>
        <v>-188.08818801043842</v>
      </c>
      <c r="Z514" s="16">
        <v>10</v>
      </c>
      <c r="AA514" s="16">
        <v>19</v>
      </c>
      <c r="AB514" s="8">
        <f t="shared" si="222"/>
        <v>0.33240997229916897</v>
      </c>
      <c r="AC514" s="16">
        <f t="shared" si="223"/>
        <v>70.237945145137672</v>
      </c>
      <c r="AD514" s="20">
        <f>'PFAS Properties'!$W$35</f>
        <v>9</v>
      </c>
      <c r="AE514" s="8">
        <f>'PFAS Properties'!$S$35</f>
        <v>0.90308998699194354</v>
      </c>
      <c r="AF514" s="15">
        <f>'PFAS Properties'!$V$35</f>
        <v>6.3</v>
      </c>
      <c r="AG514" s="24">
        <v>4.5</v>
      </c>
      <c r="AH514" s="15" t="s">
        <v>830</v>
      </c>
      <c r="AI514" s="2" t="s">
        <v>661</v>
      </c>
      <c r="AJ514" s="2" t="s">
        <v>661</v>
      </c>
      <c r="AK514" s="2" t="s">
        <v>661</v>
      </c>
      <c r="AL514" s="2" t="s">
        <v>661</v>
      </c>
      <c r="AM514" s="2" t="s">
        <v>661</v>
      </c>
      <c r="AN514" s="2" t="s">
        <v>661</v>
      </c>
      <c r="AO514" s="2" t="s">
        <v>661</v>
      </c>
      <c r="AP514" s="72">
        <v>11.497016666666671</v>
      </c>
      <c r="AQ514" s="70" t="s">
        <v>752</v>
      </c>
      <c r="AR514" s="16">
        <v>51.2</v>
      </c>
      <c r="AS514" s="16">
        <v>36.200000000000003</v>
      </c>
      <c r="AT514" s="16">
        <v>12.6</v>
      </c>
      <c r="AU514" s="16" t="s">
        <v>664</v>
      </c>
      <c r="AV514" s="16">
        <f t="shared" si="208"/>
        <v>100</v>
      </c>
      <c r="AW514" s="20">
        <v>7.3</v>
      </c>
      <c r="AX514" s="13">
        <f t="shared" si="200"/>
        <v>7.2999999999999995E-2</v>
      </c>
      <c r="AY514" s="8" t="s">
        <v>342</v>
      </c>
      <c r="AZ514" s="16">
        <f>1/0.01</f>
        <v>100</v>
      </c>
      <c r="BA514" s="16" t="s">
        <v>55</v>
      </c>
      <c r="BB514" s="15">
        <f>5*K514/1000</f>
        <v>2.5698359999999996</v>
      </c>
      <c r="BC514" s="16">
        <f>5000*K514/1000</f>
        <v>2569.8359999999993</v>
      </c>
      <c r="BD514" s="24">
        <f>697.1*AX514</f>
        <v>50.888300000000001</v>
      </c>
      <c r="BE514" s="15">
        <f t="shared" si="224"/>
        <v>697.1</v>
      </c>
      <c r="BF514" s="8">
        <f t="shared" si="225"/>
        <v>2.8432950827365073</v>
      </c>
      <c r="BG514" s="8">
        <f t="shared" si="213"/>
        <v>1.706617942856963</v>
      </c>
      <c r="BH514" s="13" t="s">
        <v>343</v>
      </c>
      <c r="BI514" s="15"/>
      <c r="BJ514" s="13"/>
      <c r="BK514" s="15"/>
      <c r="BL514" s="15"/>
      <c r="BM514" s="18"/>
      <c r="BN514" s="8"/>
      <c r="BO514" s="24"/>
    </row>
    <row r="515" spans="1:69" s="14" customFormat="1" x14ac:dyDescent="0.3">
      <c r="A515" s="20">
        <v>523</v>
      </c>
      <c r="B515" s="2" t="s">
        <v>775</v>
      </c>
      <c r="C515" s="2">
        <v>2021</v>
      </c>
      <c r="D515" s="2" t="s">
        <v>203</v>
      </c>
      <c r="E515" s="10" t="s">
        <v>786</v>
      </c>
      <c r="F515" s="20" t="s">
        <v>29</v>
      </c>
      <c r="G515" s="2" t="s">
        <v>120</v>
      </c>
      <c r="H515" s="2" t="str">
        <f>'PFAS Properties'!$B$35</f>
        <v>PFDA</v>
      </c>
      <c r="I515" s="2" t="str">
        <f>'PFAS Properties'!$C$35</f>
        <v>PFCA</v>
      </c>
      <c r="J515" s="2" t="str">
        <f>'PFAS Properties'!$D$35</f>
        <v>C10HF19O2</v>
      </c>
      <c r="K515" s="25">
        <f>'PFAS Properties'!$P$35</f>
        <v>513.96719999999993</v>
      </c>
      <c r="L515" s="2">
        <f>'PFAS Properties'!$X$35</f>
        <v>-0.2</v>
      </c>
      <c r="M515" s="2" t="str">
        <f>'PFAS Properties'!$Y$35</f>
        <v>-</v>
      </c>
      <c r="N515" s="33">
        <v>0</v>
      </c>
      <c r="O515" s="33">
        <v>0</v>
      </c>
      <c r="P515" s="33">
        <v>0</v>
      </c>
      <c r="Q515" s="33">
        <f t="shared" si="193"/>
        <v>0.999995533184031</v>
      </c>
      <c r="R515" s="33">
        <v>0</v>
      </c>
      <c r="S515" s="33">
        <f t="shared" si="194"/>
        <v>4.4668159689755961E-6</v>
      </c>
      <c r="T515" s="8">
        <f t="shared" si="195"/>
        <v>1</v>
      </c>
      <c r="U515" s="33">
        <f t="shared" si="218"/>
        <v>0</v>
      </c>
      <c r="V515" s="33">
        <f t="shared" si="219"/>
        <v>-0.999995533184031</v>
      </c>
      <c r="W515" s="33">
        <f t="shared" si="220"/>
        <v>512.96720446681593</v>
      </c>
      <c r="X515" s="33">
        <v>96485</v>
      </c>
      <c r="Y515" s="16">
        <f t="shared" si="221"/>
        <v>-188.09110636916529</v>
      </c>
      <c r="Z515" s="16">
        <v>10</v>
      </c>
      <c r="AA515" s="16">
        <v>19</v>
      </c>
      <c r="AB515" s="8">
        <f t="shared" si="222"/>
        <v>0.33240997229916897</v>
      </c>
      <c r="AC515" s="16">
        <f t="shared" si="223"/>
        <v>70.237945145137672</v>
      </c>
      <c r="AD515" s="20">
        <f>'PFAS Properties'!$W$35</f>
        <v>9</v>
      </c>
      <c r="AE515" s="8">
        <f>'PFAS Properties'!$S$35</f>
        <v>0.90308998699194354</v>
      </c>
      <c r="AF515" s="15">
        <f>'PFAS Properties'!$V$35</f>
        <v>6.3</v>
      </c>
      <c r="AG515" s="24">
        <v>5.15</v>
      </c>
      <c r="AH515" s="2" t="s">
        <v>830</v>
      </c>
      <c r="AI515" s="2" t="s">
        <v>661</v>
      </c>
      <c r="AJ515" s="2" t="s">
        <v>661</v>
      </c>
      <c r="AK515" s="2" t="s">
        <v>661</v>
      </c>
      <c r="AL515" s="2" t="s">
        <v>661</v>
      </c>
      <c r="AM515" s="2" t="s">
        <v>661</v>
      </c>
      <c r="AN515" s="2" t="s">
        <v>661</v>
      </c>
      <c r="AO515" s="2" t="s">
        <v>661</v>
      </c>
      <c r="AP515" s="15">
        <v>0.57999999999999996</v>
      </c>
      <c r="AQ515" s="16" t="s">
        <v>689</v>
      </c>
      <c r="AR515" s="16">
        <v>59.2</v>
      </c>
      <c r="AS515" s="16">
        <v>32.200000000000003</v>
      </c>
      <c r="AT515" s="16">
        <v>8.6</v>
      </c>
      <c r="AU515" s="16" t="s">
        <v>664</v>
      </c>
      <c r="AV515" s="16">
        <f t="shared" si="208"/>
        <v>100</v>
      </c>
      <c r="AW515" s="20">
        <v>1.8</v>
      </c>
      <c r="AX515" s="13">
        <f t="shared" si="200"/>
        <v>1.8000000000000002E-2</v>
      </c>
      <c r="AY515" s="13" t="s">
        <v>342</v>
      </c>
      <c r="AZ515" s="16">
        <f>1/0.01</f>
        <v>100</v>
      </c>
      <c r="BA515" s="16" t="s">
        <v>55</v>
      </c>
      <c r="BB515" s="15">
        <f>5*K515/1000</f>
        <v>2.5698359999999996</v>
      </c>
      <c r="BC515" s="16">
        <f>5000*K515/1000</f>
        <v>2569.8359999999993</v>
      </c>
      <c r="BD515" s="24">
        <f>506.1*AX515</f>
        <v>9.1098000000000017</v>
      </c>
      <c r="BE515" s="15">
        <f t="shared" si="224"/>
        <v>506.1</v>
      </c>
      <c r="BF515" s="8">
        <f t="shared" si="225"/>
        <v>2.7042363373087879</v>
      </c>
      <c r="BG515" s="8">
        <f t="shared" si="213"/>
        <v>0.95950884241209378</v>
      </c>
      <c r="BH515" s="13" t="s">
        <v>343</v>
      </c>
      <c r="BI515" s="15"/>
      <c r="BJ515" s="13"/>
      <c r="BK515" s="15"/>
      <c r="BL515" s="16"/>
      <c r="BM515" s="18"/>
      <c r="BN515" s="8"/>
      <c r="BO515" s="24"/>
    </row>
    <row r="516" spans="1:69" s="14" customFormat="1" x14ac:dyDescent="0.3">
      <c r="A516" s="20">
        <v>524</v>
      </c>
      <c r="B516" s="2" t="s">
        <v>234</v>
      </c>
      <c r="C516" s="2">
        <v>2022</v>
      </c>
      <c r="D516" s="2" t="s">
        <v>205</v>
      </c>
      <c r="E516" s="10" t="s">
        <v>799</v>
      </c>
      <c r="F516" s="20" t="s">
        <v>63</v>
      </c>
      <c r="G516" s="2" t="s">
        <v>63</v>
      </c>
      <c r="H516" s="2" t="str">
        <f>'PFAS Properties'!$B$35</f>
        <v>PFDA</v>
      </c>
      <c r="I516" s="2" t="str">
        <f>'PFAS Properties'!$C$35</f>
        <v>PFCA</v>
      </c>
      <c r="J516" s="2" t="str">
        <f>'PFAS Properties'!$D$35</f>
        <v>C10HF19O2</v>
      </c>
      <c r="K516" s="25">
        <f>'PFAS Properties'!$P$35</f>
        <v>513.96719999999993</v>
      </c>
      <c r="L516" s="2">
        <f>'PFAS Properties'!$X$35</f>
        <v>-0.2</v>
      </c>
      <c r="M516" s="2" t="str">
        <f>'PFAS Properties'!$Y$35</f>
        <v>-</v>
      </c>
      <c r="N516" s="33">
        <v>0</v>
      </c>
      <c r="O516" s="33">
        <v>0</v>
      </c>
      <c r="P516" s="33">
        <v>0</v>
      </c>
      <c r="Q516" s="33">
        <f t="shared" si="193"/>
        <v>0.9999999939744042</v>
      </c>
      <c r="R516" s="33">
        <v>0</v>
      </c>
      <c r="S516" s="33">
        <f t="shared" si="194"/>
        <v>6.0255958244357746E-9</v>
      </c>
      <c r="T516" s="8">
        <f t="shared" si="195"/>
        <v>1</v>
      </c>
      <c r="U516" s="33">
        <f t="shared" si="218"/>
        <v>0</v>
      </c>
      <c r="V516" s="33">
        <f t="shared" si="219"/>
        <v>-0.9999999939744042</v>
      </c>
      <c r="W516" s="33">
        <f t="shared" si="220"/>
        <v>512.96720000602556</v>
      </c>
      <c r="X516" s="33">
        <v>96485</v>
      </c>
      <c r="Y516" s="16">
        <f t="shared" si="221"/>
        <v>-188.09194704356736</v>
      </c>
      <c r="Z516" s="16">
        <v>10</v>
      </c>
      <c r="AA516" s="16">
        <v>19</v>
      </c>
      <c r="AB516" s="8">
        <f t="shared" si="222"/>
        <v>0.33240997229916897</v>
      </c>
      <c r="AC516" s="16">
        <f t="shared" si="223"/>
        <v>70.237945145137672</v>
      </c>
      <c r="AD516" s="20">
        <f>'PFAS Properties'!$W$35</f>
        <v>9</v>
      </c>
      <c r="AE516" s="8">
        <f>'PFAS Properties'!$S$35</f>
        <v>0.90308998699194354</v>
      </c>
      <c r="AF516" s="15">
        <f>'PFAS Properties'!$V$35</f>
        <v>6.3</v>
      </c>
      <c r="AG516" s="24">
        <v>8.02</v>
      </c>
      <c r="AH516" s="2" t="s">
        <v>661</v>
      </c>
      <c r="AI516" s="2" t="s">
        <v>661</v>
      </c>
      <c r="AJ516" s="2" t="s">
        <v>661</v>
      </c>
      <c r="AK516" s="2" t="s">
        <v>661</v>
      </c>
      <c r="AL516" s="2" t="s">
        <v>661</v>
      </c>
      <c r="AM516" s="2" t="s">
        <v>661</v>
      </c>
      <c r="AN516" s="2" t="s">
        <v>661</v>
      </c>
      <c r="AO516" s="2" t="s">
        <v>661</v>
      </c>
      <c r="AP516" s="72">
        <v>11.934691666666669</v>
      </c>
      <c r="AQ516" s="70" t="s">
        <v>752</v>
      </c>
      <c r="AR516" s="16">
        <v>6.34</v>
      </c>
      <c r="AS516" s="16">
        <v>85.56</v>
      </c>
      <c r="AT516" s="16">
        <v>8.08</v>
      </c>
      <c r="AU516" s="2" t="s">
        <v>661</v>
      </c>
      <c r="AV516" s="16">
        <f t="shared" si="208"/>
        <v>99.98</v>
      </c>
      <c r="AW516" s="20">
        <v>0.37</v>
      </c>
      <c r="AX516" s="13">
        <v>3.7000000000000002E-3</v>
      </c>
      <c r="AY516" s="13" t="s">
        <v>392</v>
      </c>
      <c r="AZ516" s="16">
        <f>1/0.02</f>
        <v>50</v>
      </c>
      <c r="BA516" s="16" t="s">
        <v>55</v>
      </c>
      <c r="BB516" s="16">
        <v>10</v>
      </c>
      <c r="BC516" s="16" t="s">
        <v>55</v>
      </c>
      <c r="BD516" s="18">
        <f>BO516</f>
        <v>15.992105138697276</v>
      </c>
      <c r="BE516" s="15">
        <f t="shared" si="224"/>
        <v>4322.1905780262905</v>
      </c>
      <c r="BF516" s="8">
        <f t="shared" si="225"/>
        <v>3.6357039122835584</v>
      </c>
      <c r="BG516" s="8">
        <f t="shared" si="213"/>
        <v>1.2039056363505536</v>
      </c>
      <c r="BH516" s="13" t="s">
        <v>782</v>
      </c>
      <c r="BI516" s="8">
        <v>15.26</v>
      </c>
      <c r="BJ516" s="13" t="s">
        <v>366</v>
      </c>
      <c r="BK516" s="8">
        <v>0.79</v>
      </c>
      <c r="BL516" s="8">
        <f>BI516</f>
        <v>15.26</v>
      </c>
      <c r="BM516" s="18">
        <f>'PFAS Properties'!$U$35</f>
        <v>0.8</v>
      </c>
      <c r="BN516" s="8">
        <f>(BL516*(BM516^BK516))</f>
        <v>12.793684110957821</v>
      </c>
      <c r="BO516" s="24">
        <f>BN516/BM516</f>
        <v>15.992105138697276</v>
      </c>
    </row>
    <row r="517" spans="1:69" x14ac:dyDescent="0.3">
      <c r="A517" s="20">
        <v>525</v>
      </c>
      <c r="B517" s="1" t="s">
        <v>706</v>
      </c>
      <c r="C517" s="1">
        <v>2022</v>
      </c>
      <c r="D517" s="2" t="s">
        <v>199</v>
      </c>
      <c r="E517" s="10" t="s">
        <v>796</v>
      </c>
      <c r="F517" s="20" t="s">
        <v>29</v>
      </c>
      <c r="G517" s="1" t="s">
        <v>707</v>
      </c>
      <c r="H517" s="2" t="str">
        <f>'PFAS Properties'!$B$35</f>
        <v>PFDA</v>
      </c>
      <c r="I517" s="2" t="str">
        <f>'PFAS Properties'!$C$35</f>
        <v>PFCA</v>
      </c>
      <c r="J517" s="2" t="str">
        <f>'PFAS Properties'!$D$35</f>
        <v>C10HF19O2</v>
      </c>
      <c r="K517" s="25">
        <f>'PFAS Properties'!$P$35</f>
        <v>513.96719999999993</v>
      </c>
      <c r="L517" s="2">
        <f>'PFAS Properties'!$X$35</f>
        <v>-0.2</v>
      </c>
      <c r="M517" s="2" t="str">
        <f>'PFAS Properties'!$Y$35</f>
        <v>-</v>
      </c>
      <c r="N517" s="33">
        <v>0</v>
      </c>
      <c r="O517" s="33">
        <v>0</v>
      </c>
      <c r="P517" s="33">
        <v>0</v>
      </c>
      <c r="Q517" s="33">
        <f t="shared" si="193"/>
        <v>0.99999849893552062</v>
      </c>
      <c r="R517" s="33">
        <v>0</v>
      </c>
      <c r="S517" s="33">
        <f t="shared" si="194"/>
        <v>1.50106447937241E-6</v>
      </c>
      <c r="T517" s="8">
        <f t="shared" si="195"/>
        <v>1</v>
      </c>
      <c r="U517" s="33">
        <f t="shared" si="218"/>
        <v>0</v>
      </c>
      <c r="V517" s="33">
        <f t="shared" si="219"/>
        <v>-0.99999849893552062</v>
      </c>
      <c r="W517" s="33">
        <f t="shared" si="220"/>
        <v>512.96720150106444</v>
      </c>
      <c r="X517" s="33">
        <v>96485</v>
      </c>
      <c r="Y517" s="16">
        <f t="shared" si="221"/>
        <v>-188.09166529059948</v>
      </c>
      <c r="Z517" s="16">
        <v>10</v>
      </c>
      <c r="AA517" s="16">
        <v>19</v>
      </c>
      <c r="AB517" s="8">
        <f t="shared" si="222"/>
        <v>0.33240997229916897</v>
      </c>
      <c r="AC517" s="16">
        <f t="shared" si="223"/>
        <v>70.237945145137672</v>
      </c>
      <c r="AD517" s="20">
        <f>'PFAS Properties'!$W$35</f>
        <v>9</v>
      </c>
      <c r="AE517" s="8">
        <f>'PFAS Properties'!$S$35</f>
        <v>0.90308998699194354</v>
      </c>
      <c r="AF517" s="15">
        <f>'PFAS Properties'!$V$35</f>
        <v>6.3</v>
      </c>
      <c r="AG517" s="124">
        <v>5.6236000000000006</v>
      </c>
      <c r="AH517" s="70" t="s">
        <v>752</v>
      </c>
      <c r="AI517" s="1" t="s">
        <v>661</v>
      </c>
      <c r="AJ517" s="1" t="s">
        <v>661</v>
      </c>
      <c r="AK517" s="1" t="s">
        <v>661</v>
      </c>
      <c r="AL517" s="1" t="s">
        <v>661</v>
      </c>
      <c r="AM517" s="1" t="s">
        <v>661</v>
      </c>
      <c r="AN517" s="1" t="s">
        <v>661</v>
      </c>
      <c r="AO517" s="1" t="s">
        <v>661</v>
      </c>
      <c r="AP517" s="4">
        <v>17.2</v>
      </c>
      <c r="AQ517" s="1" t="s">
        <v>661</v>
      </c>
      <c r="AR517" s="4">
        <v>44.8</v>
      </c>
      <c r="AS517" s="4">
        <v>27</v>
      </c>
      <c r="AT517" s="4">
        <v>28.2</v>
      </c>
      <c r="AU517" s="1" t="s">
        <v>661</v>
      </c>
      <c r="AV517" s="16">
        <f t="shared" si="208"/>
        <v>100</v>
      </c>
      <c r="AW517" s="7">
        <v>4</v>
      </c>
      <c r="AX517" s="5">
        <f>AW517/100</f>
        <v>0.04</v>
      </c>
      <c r="AY517" s="1" t="s">
        <v>184</v>
      </c>
      <c r="AZ517" s="1">
        <f>0.25/0.01</f>
        <v>25</v>
      </c>
      <c r="BA517" s="16" t="s">
        <v>55</v>
      </c>
      <c r="BB517" s="1">
        <v>0</v>
      </c>
      <c r="BC517" s="1">
        <v>100</v>
      </c>
      <c r="BD517" s="24">
        <v>61.6</v>
      </c>
      <c r="BE517" s="16">
        <f t="shared" si="224"/>
        <v>1540</v>
      </c>
      <c r="BF517" s="16">
        <f t="shared" si="225"/>
        <v>3.1875207208364631</v>
      </c>
      <c r="BG517" s="8">
        <f t="shared" si="213"/>
        <v>1.7895807121644254</v>
      </c>
      <c r="BH517" s="1" t="s">
        <v>819</v>
      </c>
      <c r="BI517" s="1"/>
      <c r="BJ517" s="2"/>
      <c r="BK517" s="1"/>
      <c r="BL517" s="1"/>
      <c r="BM517" s="7"/>
      <c r="BN517" s="7"/>
      <c r="BO517" s="1"/>
      <c r="BP517" s="11"/>
      <c r="BQ517" s="11"/>
    </row>
    <row r="518" spans="1:69" x14ac:dyDescent="0.3">
      <c r="A518" s="20">
        <v>526</v>
      </c>
      <c r="B518" s="1" t="s">
        <v>706</v>
      </c>
      <c r="C518" s="1">
        <v>2022</v>
      </c>
      <c r="D518" s="2" t="s">
        <v>199</v>
      </c>
      <c r="E518" s="10" t="s">
        <v>796</v>
      </c>
      <c r="F518" s="20" t="s">
        <v>29</v>
      </c>
      <c r="G518" s="1" t="s">
        <v>708</v>
      </c>
      <c r="H518" s="2" t="str">
        <f>'PFAS Properties'!$B$35</f>
        <v>PFDA</v>
      </c>
      <c r="I518" s="2" t="str">
        <f>'PFAS Properties'!$C$35</f>
        <v>PFCA</v>
      </c>
      <c r="J518" s="2" t="str">
        <f>'PFAS Properties'!$D$35</f>
        <v>C10HF19O2</v>
      </c>
      <c r="K518" s="25">
        <f>'PFAS Properties'!$P$35</f>
        <v>513.96719999999993</v>
      </c>
      <c r="L518" s="2">
        <f>'PFAS Properties'!$X$35</f>
        <v>-0.2</v>
      </c>
      <c r="M518" s="2" t="str">
        <f>'PFAS Properties'!$Y$35</f>
        <v>-</v>
      </c>
      <c r="N518" s="33">
        <v>0</v>
      </c>
      <c r="O518" s="33">
        <v>0</v>
      </c>
      <c r="P518" s="33">
        <v>0</v>
      </c>
      <c r="Q518" s="33">
        <f t="shared" ref="Q518:Q577" si="226">(10^(AG518-L518))/(1+(10^(AG518-L518)))</f>
        <v>0.9999982333959051</v>
      </c>
      <c r="R518" s="33">
        <v>0</v>
      </c>
      <c r="S518" s="33">
        <f t="shared" ref="S518:S577" si="227">(1/(1+(10^(AG518-L518))))</f>
        <v>1.7666040948916728E-6</v>
      </c>
      <c r="T518" s="8">
        <f t="shared" si="195"/>
        <v>1</v>
      </c>
      <c r="U518" s="33">
        <f t="shared" si="218"/>
        <v>0</v>
      </c>
      <c r="V518" s="33">
        <f t="shared" si="219"/>
        <v>-0.9999982333959051</v>
      </c>
      <c r="W518" s="33">
        <f t="shared" si="220"/>
        <v>512.96720176660403</v>
      </c>
      <c r="X518" s="33">
        <v>96485</v>
      </c>
      <c r="Y518" s="16">
        <f t="shared" si="221"/>
        <v>-188.09161524736962</v>
      </c>
      <c r="Z518" s="16">
        <v>10</v>
      </c>
      <c r="AA518" s="16">
        <v>19</v>
      </c>
      <c r="AB518" s="8">
        <f t="shared" si="222"/>
        <v>0.33240997229916897</v>
      </c>
      <c r="AC518" s="16">
        <f t="shared" si="223"/>
        <v>70.237945145137672</v>
      </c>
      <c r="AD518" s="20">
        <f>'PFAS Properties'!$W$35</f>
        <v>9</v>
      </c>
      <c r="AE518" s="8">
        <f>'PFAS Properties'!$S$35</f>
        <v>0.90308998699194354</v>
      </c>
      <c r="AF518" s="15">
        <f>'PFAS Properties'!$V$35</f>
        <v>6.3</v>
      </c>
      <c r="AG518" s="124">
        <v>5.5528600000000008</v>
      </c>
      <c r="AH518" s="70" t="s">
        <v>752</v>
      </c>
      <c r="AI518" s="1" t="s">
        <v>661</v>
      </c>
      <c r="AJ518" s="1" t="s">
        <v>661</v>
      </c>
      <c r="AK518" s="1" t="s">
        <v>661</v>
      </c>
      <c r="AL518" s="1" t="s">
        <v>661</v>
      </c>
      <c r="AM518" s="1" t="s">
        <v>661</v>
      </c>
      <c r="AN518" s="1" t="s">
        <v>661</v>
      </c>
      <c r="AO518" s="1" t="s">
        <v>661</v>
      </c>
      <c r="AP518" s="4">
        <v>12.2</v>
      </c>
      <c r="AQ518" s="1" t="s">
        <v>661</v>
      </c>
      <c r="AR518" s="4">
        <v>41.8</v>
      </c>
      <c r="AS518" s="4">
        <v>30</v>
      </c>
      <c r="AT518" s="4">
        <v>28.2</v>
      </c>
      <c r="AU518" s="1" t="s">
        <v>661</v>
      </c>
      <c r="AV518" s="16">
        <f t="shared" si="208"/>
        <v>100</v>
      </c>
      <c r="AW518" s="7">
        <v>2</v>
      </c>
      <c r="AX518" s="5">
        <f>AW518/100</f>
        <v>0.02</v>
      </c>
      <c r="AY518" s="1" t="s">
        <v>184</v>
      </c>
      <c r="AZ518" s="1">
        <f>0.25/0.01</f>
        <v>25</v>
      </c>
      <c r="BA518" s="16" t="s">
        <v>55</v>
      </c>
      <c r="BB518" s="1">
        <v>0</v>
      </c>
      <c r="BC518" s="1">
        <v>100</v>
      </c>
      <c r="BD518" s="24">
        <v>44.7</v>
      </c>
      <c r="BE518" s="16">
        <f t="shared" si="224"/>
        <v>2235</v>
      </c>
      <c r="BF518" s="16">
        <f t="shared" si="225"/>
        <v>3.3492775274679554</v>
      </c>
      <c r="BG518" s="8">
        <f t="shared" si="213"/>
        <v>1.6503075231319364</v>
      </c>
      <c r="BH518" s="1" t="s">
        <v>819</v>
      </c>
      <c r="BI518" s="1"/>
      <c r="BJ518" s="2"/>
      <c r="BK518" s="1"/>
      <c r="BL518" s="1"/>
      <c r="BM518" s="7"/>
      <c r="BN518" s="7"/>
      <c r="BO518" s="1"/>
      <c r="BP518" s="11"/>
      <c r="BQ518" s="11"/>
    </row>
    <row r="519" spans="1:69" x14ac:dyDescent="0.3">
      <c r="A519" s="20">
        <v>527</v>
      </c>
      <c r="B519" s="1" t="s">
        <v>706</v>
      </c>
      <c r="C519" s="1">
        <v>2022</v>
      </c>
      <c r="D519" s="2" t="s">
        <v>199</v>
      </c>
      <c r="E519" s="10" t="s">
        <v>796</v>
      </c>
      <c r="F519" s="20" t="s">
        <v>29</v>
      </c>
      <c r="G519" s="1" t="s">
        <v>709</v>
      </c>
      <c r="H519" s="2" t="str">
        <f>'PFAS Properties'!$B$35</f>
        <v>PFDA</v>
      </c>
      <c r="I519" s="2" t="str">
        <f>'PFAS Properties'!$C$35</f>
        <v>PFCA</v>
      </c>
      <c r="J519" s="2" t="str">
        <f>'PFAS Properties'!$D$35</f>
        <v>C10HF19O2</v>
      </c>
      <c r="K519" s="25">
        <f>'PFAS Properties'!$P$35</f>
        <v>513.96719999999993</v>
      </c>
      <c r="L519" s="2">
        <f>'PFAS Properties'!$X$35</f>
        <v>-0.2</v>
      </c>
      <c r="M519" s="2" t="str">
        <f>'PFAS Properties'!$Y$35</f>
        <v>-</v>
      </c>
      <c r="N519" s="33">
        <v>0</v>
      </c>
      <c r="O519" s="33">
        <v>0</v>
      </c>
      <c r="P519" s="33">
        <v>0</v>
      </c>
      <c r="Q519" s="33">
        <f t="shared" si="226"/>
        <v>0.99999774680374132</v>
      </c>
      <c r="R519" s="33">
        <v>0</v>
      </c>
      <c r="S519" s="33">
        <f t="shared" si="227"/>
        <v>2.2531962587246622E-6</v>
      </c>
      <c r="T519" s="8">
        <f t="shared" si="195"/>
        <v>1</v>
      </c>
      <c r="U519" s="33">
        <f t="shared" si="218"/>
        <v>0</v>
      </c>
      <c r="V519" s="33">
        <f t="shared" si="219"/>
        <v>-0.99999774680374132</v>
      </c>
      <c r="W519" s="33">
        <f t="shared" si="220"/>
        <v>512.96720225319621</v>
      </c>
      <c r="X519" s="33">
        <v>96485</v>
      </c>
      <c r="Y519" s="16">
        <f t="shared" si="221"/>
        <v>-188.09152354488137</v>
      </c>
      <c r="Z519" s="16">
        <v>10</v>
      </c>
      <c r="AA519" s="16">
        <v>19</v>
      </c>
      <c r="AB519" s="8">
        <f t="shared" si="222"/>
        <v>0.33240997229916897</v>
      </c>
      <c r="AC519" s="16">
        <f t="shared" si="223"/>
        <v>70.237945145137672</v>
      </c>
      <c r="AD519" s="20">
        <f>'PFAS Properties'!$W$35</f>
        <v>9</v>
      </c>
      <c r="AE519" s="8">
        <f>'PFAS Properties'!$S$35</f>
        <v>0.90308998699194354</v>
      </c>
      <c r="AF519" s="15">
        <f>'PFAS Properties'!$V$35</f>
        <v>6.3</v>
      </c>
      <c r="AG519" s="124">
        <v>5.4471999999999996</v>
      </c>
      <c r="AH519" s="70" t="s">
        <v>752</v>
      </c>
      <c r="AI519" s="1" t="s">
        <v>661</v>
      </c>
      <c r="AJ519" s="1" t="s">
        <v>661</v>
      </c>
      <c r="AK519" s="1" t="s">
        <v>661</v>
      </c>
      <c r="AL519" s="1" t="s">
        <v>661</v>
      </c>
      <c r="AM519" s="1" t="s">
        <v>661</v>
      </c>
      <c r="AN519" s="1" t="s">
        <v>661</v>
      </c>
      <c r="AO519" s="1" t="s">
        <v>661</v>
      </c>
      <c r="AP519" s="4">
        <v>7.3</v>
      </c>
      <c r="AQ519" s="1" t="s">
        <v>661</v>
      </c>
      <c r="AR519" s="4">
        <v>48.9</v>
      </c>
      <c r="AS519" s="4">
        <v>26.9</v>
      </c>
      <c r="AT519" s="4">
        <v>24.2</v>
      </c>
      <c r="AU519" s="1" t="s">
        <v>661</v>
      </c>
      <c r="AV519" s="16">
        <f t="shared" si="208"/>
        <v>100</v>
      </c>
      <c r="AW519" s="7">
        <v>2.2000000000000002</v>
      </c>
      <c r="AX519" s="5">
        <f>AW519/100</f>
        <v>2.2000000000000002E-2</v>
      </c>
      <c r="AY519" s="1" t="s">
        <v>184</v>
      </c>
      <c r="AZ519" s="1">
        <f>0.25/0.01</f>
        <v>25</v>
      </c>
      <c r="BA519" s="16" t="s">
        <v>55</v>
      </c>
      <c r="BB519" s="1">
        <v>0</v>
      </c>
      <c r="BC519" s="1">
        <v>100</v>
      </c>
      <c r="BD519" s="24">
        <v>37.799999999999997</v>
      </c>
      <c r="BE519" s="16">
        <f t="shared" si="224"/>
        <v>1718.1818181818178</v>
      </c>
      <c r="BF519" s="16">
        <f t="shared" si="225"/>
        <v>3.2350691190150189</v>
      </c>
      <c r="BG519" s="8">
        <f t="shared" si="213"/>
        <v>1.5774917998372253</v>
      </c>
      <c r="BH519" s="1" t="s">
        <v>819</v>
      </c>
      <c r="BI519" s="1"/>
      <c r="BJ519" s="2"/>
      <c r="BK519" s="1"/>
      <c r="BL519" s="1"/>
      <c r="BM519" s="7"/>
      <c r="BN519" s="7"/>
      <c r="BO519" s="1"/>
      <c r="BP519" s="11"/>
      <c r="BQ519" s="11"/>
    </row>
    <row r="520" spans="1:69" s="46" customFormat="1" x14ac:dyDescent="0.3">
      <c r="A520" s="20">
        <v>528</v>
      </c>
      <c r="B520" s="2" t="s">
        <v>181</v>
      </c>
      <c r="C520" s="2">
        <v>2020</v>
      </c>
      <c r="D520" s="2" t="s">
        <v>203</v>
      </c>
      <c r="E520" s="10" t="s">
        <v>787</v>
      </c>
      <c r="F520" s="20" t="s">
        <v>29</v>
      </c>
      <c r="G520" s="2" t="s">
        <v>62</v>
      </c>
      <c r="H520" s="2" t="str">
        <f>'PFAS Properties'!$B$35</f>
        <v>PFDA</v>
      </c>
      <c r="I520" s="2" t="str">
        <f>'PFAS Properties'!$C$35</f>
        <v>PFCA</v>
      </c>
      <c r="J520" s="2" t="str">
        <f>'PFAS Properties'!$D$35</f>
        <v>C10HF19O2</v>
      </c>
      <c r="K520" s="25">
        <f>'PFAS Properties'!$P$35</f>
        <v>513.96719999999993</v>
      </c>
      <c r="L520" s="2">
        <f>'PFAS Properties'!$X$35</f>
        <v>-0.2</v>
      </c>
      <c r="M520" s="2" t="str">
        <f>'PFAS Properties'!$Y$35</f>
        <v>-</v>
      </c>
      <c r="N520" s="33">
        <v>0</v>
      </c>
      <c r="O520" s="33">
        <v>0</v>
      </c>
      <c r="P520" s="33">
        <v>0</v>
      </c>
      <c r="Q520" s="33">
        <f t="shared" si="226"/>
        <v>0.99999998004737722</v>
      </c>
      <c r="R520" s="33">
        <v>0</v>
      </c>
      <c r="S520" s="33">
        <f t="shared" si="227"/>
        <v>1.995262275158161E-8</v>
      </c>
      <c r="T520" s="8">
        <f t="shared" si="195"/>
        <v>1</v>
      </c>
      <c r="U520" s="33">
        <f t="shared" si="218"/>
        <v>0</v>
      </c>
      <c r="V520" s="33">
        <f t="shared" si="219"/>
        <v>-0.99999998004737722</v>
      </c>
      <c r="W520" s="33">
        <f t="shared" si="220"/>
        <v>512.96720001995254</v>
      </c>
      <c r="X520" s="33">
        <v>96485</v>
      </c>
      <c r="Y520" s="16">
        <f t="shared" si="221"/>
        <v>-188.09194441889906</v>
      </c>
      <c r="Z520" s="16">
        <v>10</v>
      </c>
      <c r="AA520" s="16">
        <v>19</v>
      </c>
      <c r="AB520" s="8">
        <f t="shared" si="222"/>
        <v>0.33240997229916897</v>
      </c>
      <c r="AC520" s="16">
        <f t="shared" si="223"/>
        <v>70.237945145137672</v>
      </c>
      <c r="AD520" s="20">
        <f>'PFAS Properties'!$W$35</f>
        <v>9</v>
      </c>
      <c r="AE520" s="8">
        <f>'PFAS Properties'!$S$35</f>
        <v>0.90308998699194354</v>
      </c>
      <c r="AF520" s="15">
        <f>'PFAS Properties'!$V$35</f>
        <v>6.3</v>
      </c>
      <c r="AG520" s="24">
        <v>7.5</v>
      </c>
      <c r="AH520" s="2" t="s">
        <v>183</v>
      </c>
      <c r="AI520" s="2" t="s">
        <v>661</v>
      </c>
      <c r="AJ520" s="2" t="s">
        <v>661</v>
      </c>
      <c r="AK520" s="2" t="s">
        <v>661</v>
      </c>
      <c r="AL520" s="2" t="s">
        <v>661</v>
      </c>
      <c r="AM520" s="2" t="s">
        <v>661</v>
      </c>
      <c r="AN520" s="2" t="s">
        <v>661</v>
      </c>
      <c r="AO520" s="2" t="s">
        <v>661</v>
      </c>
      <c r="AP520" s="15">
        <v>41.4</v>
      </c>
      <c r="AQ520" s="2" t="s">
        <v>661</v>
      </c>
      <c r="AR520" s="16">
        <v>16.899999999999999</v>
      </c>
      <c r="AS520" s="16">
        <v>17.5</v>
      </c>
      <c r="AT520" s="16">
        <v>65.599999999999994</v>
      </c>
      <c r="AU520" s="2" t="s">
        <v>661</v>
      </c>
      <c r="AV520" s="16">
        <f t="shared" si="208"/>
        <v>100</v>
      </c>
      <c r="AW520" s="20">
        <v>0.7</v>
      </c>
      <c r="AX520" s="13">
        <v>6.9999999999999993E-3</v>
      </c>
      <c r="AY520" s="13" t="s">
        <v>184</v>
      </c>
      <c r="AZ520" s="16">
        <v>100</v>
      </c>
      <c r="BA520" s="16" t="s">
        <v>55</v>
      </c>
      <c r="BB520" s="16">
        <v>5</v>
      </c>
      <c r="BC520" s="16" t="s">
        <v>55</v>
      </c>
      <c r="BD520" s="18">
        <v>9.5299999999999994</v>
      </c>
      <c r="BE520" s="15">
        <f t="shared" si="224"/>
        <v>1361.4285714285716</v>
      </c>
      <c r="BF520" s="8">
        <f t="shared" si="225"/>
        <v>3.1339948606240697</v>
      </c>
      <c r="BG520" s="8">
        <f t="shared" si="213"/>
        <v>0.97909290063832632</v>
      </c>
      <c r="BH520" s="13" t="s">
        <v>841</v>
      </c>
      <c r="BI520" s="9"/>
      <c r="BJ520" s="13"/>
      <c r="BK520" s="9"/>
      <c r="BL520" s="9"/>
      <c r="BM520" s="19"/>
      <c r="BN520" s="19"/>
      <c r="BO520" s="129"/>
    </row>
    <row r="521" spans="1:69" s="46" customFormat="1" x14ac:dyDescent="0.3">
      <c r="A521" s="20">
        <v>529</v>
      </c>
      <c r="B521" s="2" t="s">
        <v>181</v>
      </c>
      <c r="C521" s="2">
        <v>2020</v>
      </c>
      <c r="D521" s="2" t="s">
        <v>203</v>
      </c>
      <c r="E521" s="10" t="s">
        <v>787</v>
      </c>
      <c r="F521" s="20" t="s">
        <v>29</v>
      </c>
      <c r="G521" s="2" t="s">
        <v>57</v>
      </c>
      <c r="H521" s="2" t="str">
        <f>'PFAS Properties'!$B$35</f>
        <v>PFDA</v>
      </c>
      <c r="I521" s="2" t="str">
        <f>'PFAS Properties'!$C$35</f>
        <v>PFCA</v>
      </c>
      <c r="J521" s="2" t="str">
        <f>'PFAS Properties'!$D$35</f>
        <v>C10HF19O2</v>
      </c>
      <c r="K521" s="25">
        <f>'PFAS Properties'!$P$35</f>
        <v>513.96719999999993</v>
      </c>
      <c r="L521" s="2">
        <f>'PFAS Properties'!$X$35</f>
        <v>-0.2</v>
      </c>
      <c r="M521" s="2" t="str">
        <f>'PFAS Properties'!$Y$35</f>
        <v>-</v>
      </c>
      <c r="N521" s="33">
        <v>0</v>
      </c>
      <c r="O521" s="33">
        <v>0</v>
      </c>
      <c r="P521" s="33">
        <v>0</v>
      </c>
      <c r="Q521" s="33">
        <f t="shared" si="226"/>
        <v>0.99999990000001004</v>
      </c>
      <c r="R521" s="33">
        <v>0</v>
      </c>
      <c r="S521" s="33">
        <f t="shared" si="227"/>
        <v>9.9999990000001005E-8</v>
      </c>
      <c r="T521" s="8">
        <f t="shared" si="195"/>
        <v>1</v>
      </c>
      <c r="U521" s="33">
        <f t="shared" si="218"/>
        <v>0</v>
      </c>
      <c r="V521" s="33">
        <f t="shared" si="219"/>
        <v>-0.99999990000001004</v>
      </c>
      <c r="W521" s="33">
        <f t="shared" si="220"/>
        <v>512.9672000999999</v>
      </c>
      <c r="X521" s="33">
        <v>96485</v>
      </c>
      <c r="Y521" s="16">
        <f t="shared" si="221"/>
        <v>-188.09192933328251</v>
      </c>
      <c r="Z521" s="16">
        <v>10</v>
      </c>
      <c r="AA521" s="16">
        <v>19</v>
      </c>
      <c r="AB521" s="8">
        <f t="shared" si="222"/>
        <v>0.33240997229916897</v>
      </c>
      <c r="AC521" s="16">
        <f t="shared" si="223"/>
        <v>70.237945145137672</v>
      </c>
      <c r="AD521" s="20">
        <f>'PFAS Properties'!$W$35</f>
        <v>9</v>
      </c>
      <c r="AE521" s="8">
        <f>'PFAS Properties'!$S$35</f>
        <v>0.90308998699194354</v>
      </c>
      <c r="AF521" s="15">
        <f>'PFAS Properties'!$V$35</f>
        <v>6.3</v>
      </c>
      <c r="AG521" s="24">
        <v>6.8</v>
      </c>
      <c r="AH521" s="2" t="s">
        <v>183</v>
      </c>
      <c r="AI521" s="2" t="s">
        <v>661</v>
      </c>
      <c r="AJ521" s="2" t="s">
        <v>661</v>
      </c>
      <c r="AK521" s="2" t="s">
        <v>661</v>
      </c>
      <c r="AL521" s="2" t="s">
        <v>661</v>
      </c>
      <c r="AM521" s="2" t="s">
        <v>661</v>
      </c>
      <c r="AN521" s="2" t="s">
        <v>661</v>
      </c>
      <c r="AO521" s="2" t="s">
        <v>661</v>
      </c>
      <c r="AP521" s="15">
        <v>7.1</v>
      </c>
      <c r="AQ521" s="2" t="s">
        <v>661</v>
      </c>
      <c r="AR521" s="16">
        <v>48.9</v>
      </c>
      <c r="AS521" s="16">
        <v>27</v>
      </c>
      <c r="AT521" s="16">
        <v>24.2</v>
      </c>
      <c r="AU521" s="2" t="s">
        <v>661</v>
      </c>
      <c r="AV521" s="16">
        <f t="shared" si="208"/>
        <v>100.10000000000001</v>
      </c>
      <c r="AW521" s="20">
        <v>0.37</v>
      </c>
      <c r="AX521" s="13">
        <v>3.7000000000000002E-3</v>
      </c>
      <c r="AY521" s="13" t="s">
        <v>184</v>
      </c>
      <c r="AZ521" s="16">
        <v>100</v>
      </c>
      <c r="BA521" s="16" t="s">
        <v>55</v>
      </c>
      <c r="BB521" s="16">
        <v>5</v>
      </c>
      <c r="BC521" s="16" t="s">
        <v>55</v>
      </c>
      <c r="BD521" s="20">
        <v>0.86</v>
      </c>
      <c r="BE521" s="15">
        <f t="shared" si="224"/>
        <v>232.43243243243242</v>
      </c>
      <c r="BF521" s="8">
        <f t="shared" si="225"/>
        <v>2.3662967271765729</v>
      </c>
      <c r="BG521" s="8">
        <f t="shared" si="213"/>
        <v>-6.5501548756432285E-2</v>
      </c>
      <c r="BH521" s="13" t="s">
        <v>841</v>
      </c>
      <c r="BI521" s="9"/>
      <c r="BJ521" s="13"/>
      <c r="BK521" s="9"/>
      <c r="BL521" s="9"/>
      <c r="BM521" s="19"/>
      <c r="BN521" s="19"/>
      <c r="BO521" s="129"/>
    </row>
    <row r="522" spans="1:69" s="46" customFormat="1" x14ac:dyDescent="0.3">
      <c r="A522" s="20">
        <v>530</v>
      </c>
      <c r="B522" s="2" t="s">
        <v>181</v>
      </c>
      <c r="C522" s="2">
        <v>2020</v>
      </c>
      <c r="D522" s="2" t="s">
        <v>203</v>
      </c>
      <c r="E522" s="10" t="s">
        <v>787</v>
      </c>
      <c r="F522" s="20" t="s">
        <v>29</v>
      </c>
      <c r="G522" s="2" t="s">
        <v>58</v>
      </c>
      <c r="H522" s="2" t="str">
        <f>'PFAS Properties'!$B$35</f>
        <v>PFDA</v>
      </c>
      <c r="I522" s="2" t="str">
        <f>'PFAS Properties'!$C$35</f>
        <v>PFCA</v>
      </c>
      <c r="J522" s="2" t="str">
        <f>'PFAS Properties'!$D$35</f>
        <v>C10HF19O2</v>
      </c>
      <c r="K522" s="25">
        <f>'PFAS Properties'!$P$35</f>
        <v>513.96719999999993</v>
      </c>
      <c r="L522" s="2">
        <f>'PFAS Properties'!$X$35</f>
        <v>-0.2</v>
      </c>
      <c r="M522" s="2" t="str">
        <f>'PFAS Properties'!$Y$35</f>
        <v>-</v>
      </c>
      <c r="N522" s="33">
        <v>0</v>
      </c>
      <c r="O522" s="33">
        <v>0</v>
      </c>
      <c r="P522" s="33">
        <v>0</v>
      </c>
      <c r="Q522" s="33">
        <f t="shared" si="226"/>
        <v>0.99999960189298798</v>
      </c>
      <c r="R522" s="33">
        <v>0</v>
      </c>
      <c r="S522" s="33">
        <f t="shared" si="227"/>
        <v>3.9810701206424001E-7</v>
      </c>
      <c r="T522" s="8">
        <f t="shared" si="195"/>
        <v>1</v>
      </c>
      <c r="U522" s="33">
        <f t="shared" si="218"/>
        <v>0</v>
      </c>
      <c r="V522" s="33">
        <f t="shared" si="219"/>
        <v>-0.99999960189298798</v>
      </c>
      <c r="W522" s="33">
        <f t="shared" si="220"/>
        <v>512.96720039810691</v>
      </c>
      <c r="X522" s="33">
        <v>96485</v>
      </c>
      <c r="Y522" s="16">
        <f t="shared" si="221"/>
        <v>-188.09187315244381</v>
      </c>
      <c r="Z522" s="16">
        <v>10</v>
      </c>
      <c r="AA522" s="16">
        <v>19</v>
      </c>
      <c r="AB522" s="8">
        <f t="shared" si="222"/>
        <v>0.33240997229916897</v>
      </c>
      <c r="AC522" s="16">
        <f t="shared" si="223"/>
        <v>70.237945145137672</v>
      </c>
      <c r="AD522" s="20">
        <f>'PFAS Properties'!$W$35</f>
        <v>9</v>
      </c>
      <c r="AE522" s="8">
        <f>'PFAS Properties'!$S$35</f>
        <v>0.90308998699194354</v>
      </c>
      <c r="AF522" s="15">
        <f>'PFAS Properties'!$V$35</f>
        <v>6.3</v>
      </c>
      <c r="AG522" s="24">
        <v>6.2</v>
      </c>
      <c r="AH522" s="2" t="s">
        <v>183</v>
      </c>
      <c r="AI522" s="2" t="s">
        <v>661</v>
      </c>
      <c r="AJ522" s="2" t="s">
        <v>661</v>
      </c>
      <c r="AK522" s="2" t="s">
        <v>661</v>
      </c>
      <c r="AL522" s="2" t="s">
        <v>661</v>
      </c>
      <c r="AM522" s="2" t="s">
        <v>661</v>
      </c>
      <c r="AN522" s="2" t="s">
        <v>661</v>
      </c>
      <c r="AO522" s="2" t="s">
        <v>661</v>
      </c>
      <c r="AP522" s="15">
        <v>8</v>
      </c>
      <c r="AQ522" s="2" t="s">
        <v>661</v>
      </c>
      <c r="AR522" s="16">
        <v>51.44</v>
      </c>
      <c r="AS522" s="16">
        <v>10.17</v>
      </c>
      <c r="AT522" s="16">
        <v>38.380000000000003</v>
      </c>
      <c r="AU522" s="2" t="s">
        <v>661</v>
      </c>
      <c r="AV522" s="16">
        <f t="shared" si="208"/>
        <v>99.990000000000009</v>
      </c>
      <c r="AW522" s="20">
        <v>0.08</v>
      </c>
      <c r="AX522" s="13">
        <v>8.0000000000000004E-4</v>
      </c>
      <c r="AY522" s="8" t="s">
        <v>184</v>
      </c>
      <c r="AZ522" s="16">
        <v>100</v>
      </c>
      <c r="BA522" s="16" t="s">
        <v>55</v>
      </c>
      <c r="BB522" s="16">
        <v>5</v>
      </c>
      <c r="BC522" s="16" t="s">
        <v>55</v>
      </c>
      <c r="BD522" s="20">
        <v>16.87</v>
      </c>
      <c r="BE522" s="15">
        <f t="shared" si="224"/>
        <v>21087.5</v>
      </c>
      <c r="BF522" s="8">
        <f t="shared" si="225"/>
        <v>4.3240250955971815</v>
      </c>
      <c r="BG522" s="8">
        <f t="shared" si="213"/>
        <v>1.2271150825891253</v>
      </c>
      <c r="BH522" s="13" t="s">
        <v>841</v>
      </c>
      <c r="BI522" s="9"/>
      <c r="BJ522" s="13"/>
      <c r="BK522" s="9"/>
      <c r="BL522" s="9"/>
      <c r="BM522" s="19"/>
      <c r="BN522" s="19"/>
      <c r="BO522" s="129"/>
    </row>
    <row r="523" spans="1:69" s="46" customFormat="1" x14ac:dyDescent="0.3">
      <c r="A523" s="20">
        <v>531</v>
      </c>
      <c r="B523" s="2" t="s">
        <v>181</v>
      </c>
      <c r="C523" s="2">
        <v>2020</v>
      </c>
      <c r="D523" s="2" t="s">
        <v>203</v>
      </c>
      <c r="E523" s="10" t="s">
        <v>787</v>
      </c>
      <c r="F523" s="20" t="s">
        <v>29</v>
      </c>
      <c r="G523" s="2" t="s">
        <v>59</v>
      </c>
      <c r="H523" s="2" t="str">
        <f>'PFAS Properties'!$B$35</f>
        <v>PFDA</v>
      </c>
      <c r="I523" s="2" t="str">
        <f>'PFAS Properties'!$C$35</f>
        <v>PFCA</v>
      </c>
      <c r="J523" s="2" t="str">
        <f>'PFAS Properties'!$D$35</f>
        <v>C10HF19O2</v>
      </c>
      <c r="K523" s="25">
        <f>'PFAS Properties'!$P$35</f>
        <v>513.96719999999993</v>
      </c>
      <c r="L523" s="2">
        <f>'PFAS Properties'!$X$35</f>
        <v>-0.2</v>
      </c>
      <c r="M523" s="2" t="str">
        <f>'PFAS Properties'!$Y$35</f>
        <v>-</v>
      </c>
      <c r="N523" s="33">
        <v>0</v>
      </c>
      <c r="O523" s="33">
        <v>0</v>
      </c>
      <c r="P523" s="33">
        <v>0</v>
      </c>
      <c r="Q523" s="33">
        <f t="shared" si="226"/>
        <v>0.99999998741074603</v>
      </c>
      <c r="R523" s="33">
        <v>0</v>
      </c>
      <c r="S523" s="33">
        <f t="shared" si="227"/>
        <v>1.258925395945232E-8</v>
      </c>
      <c r="T523" s="8">
        <f t="shared" si="195"/>
        <v>1</v>
      </c>
      <c r="U523" s="33">
        <f t="shared" si="218"/>
        <v>0</v>
      </c>
      <c r="V523" s="33">
        <f t="shared" si="219"/>
        <v>-0.99999998741074603</v>
      </c>
      <c r="W523" s="33">
        <f t="shared" si="220"/>
        <v>512.96720001258916</v>
      </c>
      <c r="X523" s="33">
        <v>96485</v>
      </c>
      <c r="Y523" s="16">
        <f t="shared" si="221"/>
        <v>-188.09194580658942</v>
      </c>
      <c r="Z523" s="16">
        <v>10</v>
      </c>
      <c r="AA523" s="16">
        <v>19</v>
      </c>
      <c r="AB523" s="8">
        <f t="shared" si="222"/>
        <v>0.33240997229916897</v>
      </c>
      <c r="AC523" s="16">
        <f t="shared" si="223"/>
        <v>70.237945145137672</v>
      </c>
      <c r="AD523" s="20">
        <f>'PFAS Properties'!$W$35</f>
        <v>9</v>
      </c>
      <c r="AE523" s="8">
        <f>'PFAS Properties'!$S$35</f>
        <v>0.90308998699194354</v>
      </c>
      <c r="AF523" s="15">
        <f>'PFAS Properties'!$V$35</f>
        <v>6.3</v>
      </c>
      <c r="AG523" s="24">
        <v>7.7</v>
      </c>
      <c r="AH523" s="2" t="s">
        <v>183</v>
      </c>
      <c r="AI523" s="2" t="s">
        <v>661</v>
      </c>
      <c r="AJ523" s="2" t="s">
        <v>661</v>
      </c>
      <c r="AK523" s="2" t="s">
        <v>661</v>
      </c>
      <c r="AL523" s="2" t="s">
        <v>661</v>
      </c>
      <c r="AM523" s="2" t="s">
        <v>661</v>
      </c>
      <c r="AN523" s="2" t="s">
        <v>661</v>
      </c>
      <c r="AO523" s="2" t="s">
        <v>661</v>
      </c>
      <c r="AP523" s="15">
        <v>4.8</v>
      </c>
      <c r="AQ523" s="2" t="s">
        <v>661</v>
      </c>
      <c r="AR523" s="16">
        <v>46</v>
      </c>
      <c r="AS523" s="16">
        <v>37</v>
      </c>
      <c r="AT523" s="16">
        <v>17</v>
      </c>
      <c r="AU523" s="2" t="s">
        <v>661</v>
      </c>
      <c r="AV523" s="16">
        <f t="shared" si="208"/>
        <v>100</v>
      </c>
      <c r="AW523" s="20">
        <v>0.25</v>
      </c>
      <c r="AX523" s="13">
        <v>2.5000000000000001E-3</v>
      </c>
      <c r="AY523" s="13" t="s">
        <v>184</v>
      </c>
      <c r="AZ523" s="16">
        <v>100</v>
      </c>
      <c r="BA523" s="16" t="s">
        <v>55</v>
      </c>
      <c r="BB523" s="16">
        <v>5</v>
      </c>
      <c r="BC523" s="16" t="s">
        <v>55</v>
      </c>
      <c r="BD523" s="18">
        <v>12.3</v>
      </c>
      <c r="BE523" s="15">
        <f t="shared" si="224"/>
        <v>4920</v>
      </c>
      <c r="BF523" s="8">
        <f t="shared" si="225"/>
        <v>3.6919651027673601</v>
      </c>
      <c r="BG523" s="8">
        <f t="shared" si="213"/>
        <v>1.0899051114393981</v>
      </c>
      <c r="BH523" s="13" t="s">
        <v>841</v>
      </c>
      <c r="BI523" s="9"/>
      <c r="BJ523" s="13"/>
      <c r="BK523" s="9"/>
      <c r="BL523" s="9"/>
      <c r="BM523" s="19"/>
      <c r="BN523" s="19"/>
      <c r="BO523" s="129"/>
    </row>
    <row r="524" spans="1:69" s="46" customFormat="1" x14ac:dyDescent="0.3">
      <c r="A524" s="20">
        <v>532</v>
      </c>
      <c r="B524" s="2" t="s">
        <v>181</v>
      </c>
      <c r="C524" s="2">
        <v>2020</v>
      </c>
      <c r="D524" s="2" t="s">
        <v>203</v>
      </c>
      <c r="E524" s="10" t="s">
        <v>787</v>
      </c>
      <c r="F524" s="20" t="s">
        <v>29</v>
      </c>
      <c r="G524" s="2" t="s">
        <v>61</v>
      </c>
      <c r="H524" s="2" t="str">
        <f>'PFAS Properties'!$B$35</f>
        <v>PFDA</v>
      </c>
      <c r="I524" s="2" t="str">
        <f>'PFAS Properties'!$C$35</f>
        <v>PFCA</v>
      </c>
      <c r="J524" s="2" t="str">
        <f>'PFAS Properties'!$D$35</f>
        <v>C10HF19O2</v>
      </c>
      <c r="K524" s="25">
        <f>'PFAS Properties'!$P$35</f>
        <v>513.96719999999993</v>
      </c>
      <c r="L524" s="2">
        <f>'PFAS Properties'!$X$35</f>
        <v>-0.2</v>
      </c>
      <c r="M524" s="2" t="str">
        <f>'PFAS Properties'!$Y$35</f>
        <v>-</v>
      </c>
      <c r="N524" s="33">
        <v>0</v>
      </c>
      <c r="O524" s="33">
        <v>0</v>
      </c>
      <c r="P524" s="33">
        <v>0</v>
      </c>
      <c r="Q524" s="33">
        <f t="shared" si="226"/>
        <v>0.99999997488113634</v>
      </c>
      <c r="R524" s="33">
        <v>0</v>
      </c>
      <c r="S524" s="33">
        <f t="shared" si="227"/>
        <v>2.5118863684138424E-8</v>
      </c>
      <c r="T524" s="8">
        <f t="shared" si="195"/>
        <v>1</v>
      </c>
      <c r="U524" s="33">
        <f t="shared" si="218"/>
        <v>0</v>
      </c>
      <c r="V524" s="33">
        <f t="shared" si="219"/>
        <v>-0.99999997488113634</v>
      </c>
      <c r="W524" s="33">
        <f t="shared" si="220"/>
        <v>512.96720002511881</v>
      </c>
      <c r="X524" s="33">
        <v>96485</v>
      </c>
      <c r="Y524" s="16">
        <f t="shared" si="221"/>
        <v>-188.0919434452764</v>
      </c>
      <c r="Z524" s="16">
        <v>10</v>
      </c>
      <c r="AA524" s="16">
        <v>19</v>
      </c>
      <c r="AB524" s="8">
        <f t="shared" si="222"/>
        <v>0.33240997229916897</v>
      </c>
      <c r="AC524" s="16">
        <f t="shared" si="223"/>
        <v>70.237945145137672</v>
      </c>
      <c r="AD524" s="20">
        <f>'PFAS Properties'!$W$35</f>
        <v>9</v>
      </c>
      <c r="AE524" s="8">
        <f>'PFAS Properties'!$S$35</f>
        <v>0.90308998699194354</v>
      </c>
      <c r="AF524" s="15">
        <f>'PFAS Properties'!$V$35</f>
        <v>6.3</v>
      </c>
      <c r="AG524" s="24">
        <v>7.4</v>
      </c>
      <c r="AH524" s="2" t="s">
        <v>183</v>
      </c>
      <c r="AI524" s="2" t="s">
        <v>661</v>
      </c>
      <c r="AJ524" s="2" t="s">
        <v>661</v>
      </c>
      <c r="AK524" s="2" t="s">
        <v>661</v>
      </c>
      <c r="AL524" s="2" t="s">
        <v>661</v>
      </c>
      <c r="AM524" s="2" t="s">
        <v>661</v>
      </c>
      <c r="AN524" s="2" t="s">
        <v>661</v>
      </c>
      <c r="AO524" s="2" t="s">
        <v>661</v>
      </c>
      <c r="AP524" s="15">
        <v>29.6</v>
      </c>
      <c r="AQ524" s="2" t="s">
        <v>661</v>
      </c>
      <c r="AR524" s="16">
        <v>39.799999999999997</v>
      </c>
      <c r="AS524" s="16">
        <v>7.7</v>
      </c>
      <c r="AT524" s="16">
        <v>52.5</v>
      </c>
      <c r="AU524" s="2" t="s">
        <v>661</v>
      </c>
      <c r="AV524" s="16">
        <f t="shared" si="208"/>
        <v>100</v>
      </c>
      <c r="AW524" s="20">
        <v>2.23</v>
      </c>
      <c r="AX524" s="13">
        <v>2.23E-2</v>
      </c>
      <c r="AY524" s="8" t="s">
        <v>184</v>
      </c>
      <c r="AZ524" s="16">
        <v>100</v>
      </c>
      <c r="BA524" s="16" t="s">
        <v>55</v>
      </c>
      <c r="BB524" s="16">
        <v>5</v>
      </c>
      <c r="BC524" s="16" t="s">
        <v>55</v>
      </c>
      <c r="BD524" s="20">
        <v>8.52</v>
      </c>
      <c r="BE524" s="15">
        <f t="shared" si="224"/>
        <v>382.06278026905829</v>
      </c>
      <c r="BF524" s="8">
        <f t="shared" si="225"/>
        <v>2.5821347317185395</v>
      </c>
      <c r="BG524" s="8">
        <f t="shared" si="213"/>
        <v>0.93043959476670013</v>
      </c>
      <c r="BH524" s="13" t="s">
        <v>841</v>
      </c>
      <c r="BI524" s="9"/>
      <c r="BJ524" s="13"/>
      <c r="BK524" s="9"/>
      <c r="BL524" s="9"/>
      <c r="BM524" s="19"/>
      <c r="BN524" s="19"/>
      <c r="BO524" s="129"/>
    </row>
    <row r="525" spans="1:69" s="46" customFormat="1" x14ac:dyDescent="0.3">
      <c r="A525" s="20">
        <v>533</v>
      </c>
      <c r="B525" s="2" t="s">
        <v>181</v>
      </c>
      <c r="C525" s="2">
        <v>2020</v>
      </c>
      <c r="D525" s="2" t="s">
        <v>203</v>
      </c>
      <c r="E525" s="10" t="s">
        <v>787</v>
      </c>
      <c r="F525" s="20" t="s">
        <v>29</v>
      </c>
      <c r="G525" s="2" t="s">
        <v>60</v>
      </c>
      <c r="H525" s="2" t="str">
        <f>'PFAS Properties'!$B$35</f>
        <v>PFDA</v>
      </c>
      <c r="I525" s="2" t="str">
        <f>'PFAS Properties'!$C$35</f>
        <v>PFCA</v>
      </c>
      <c r="J525" s="2" t="str">
        <f>'PFAS Properties'!$D$35</f>
        <v>C10HF19O2</v>
      </c>
      <c r="K525" s="25">
        <f>'PFAS Properties'!$P$35</f>
        <v>513.96719999999993</v>
      </c>
      <c r="L525" s="2">
        <f>'PFAS Properties'!$X$35</f>
        <v>-0.2</v>
      </c>
      <c r="M525" s="2" t="str">
        <f>'PFAS Properties'!$Y$35</f>
        <v>-</v>
      </c>
      <c r="N525" s="33">
        <v>0</v>
      </c>
      <c r="O525" s="33">
        <v>0</v>
      </c>
      <c r="P525" s="33">
        <v>0</v>
      </c>
      <c r="Q525" s="33">
        <f t="shared" si="226"/>
        <v>0.99999998741074603</v>
      </c>
      <c r="R525" s="33">
        <v>0</v>
      </c>
      <c r="S525" s="33">
        <f t="shared" si="227"/>
        <v>1.258925395945232E-8</v>
      </c>
      <c r="T525" s="8">
        <f t="shared" si="195"/>
        <v>1</v>
      </c>
      <c r="U525" s="33">
        <f t="shared" si="218"/>
        <v>0</v>
      </c>
      <c r="V525" s="33">
        <f t="shared" si="219"/>
        <v>-0.99999998741074603</v>
      </c>
      <c r="W525" s="33">
        <f t="shared" si="220"/>
        <v>512.96720001258916</v>
      </c>
      <c r="X525" s="33">
        <v>96485</v>
      </c>
      <c r="Y525" s="16">
        <f t="shared" si="221"/>
        <v>-188.09194580658942</v>
      </c>
      <c r="Z525" s="16">
        <v>10</v>
      </c>
      <c r="AA525" s="16">
        <v>19</v>
      </c>
      <c r="AB525" s="8">
        <f t="shared" si="222"/>
        <v>0.33240997229916897</v>
      </c>
      <c r="AC525" s="16">
        <f t="shared" si="223"/>
        <v>70.237945145137672</v>
      </c>
      <c r="AD525" s="20">
        <f>'PFAS Properties'!$W$35</f>
        <v>9</v>
      </c>
      <c r="AE525" s="8">
        <f>'PFAS Properties'!$S$35</f>
        <v>0.90308998699194354</v>
      </c>
      <c r="AF525" s="15">
        <f>'PFAS Properties'!$V$35</f>
        <v>6.3</v>
      </c>
      <c r="AG525" s="24">
        <v>7.7</v>
      </c>
      <c r="AH525" s="2" t="s">
        <v>183</v>
      </c>
      <c r="AI525" s="2" t="s">
        <v>661</v>
      </c>
      <c r="AJ525" s="2" t="s">
        <v>661</v>
      </c>
      <c r="AK525" s="2" t="s">
        <v>661</v>
      </c>
      <c r="AL525" s="2" t="s">
        <v>661</v>
      </c>
      <c r="AM525" s="2" t="s">
        <v>661</v>
      </c>
      <c r="AN525" s="2" t="s">
        <v>661</v>
      </c>
      <c r="AO525" s="2" t="s">
        <v>661</v>
      </c>
      <c r="AP525" s="15">
        <v>21.63</v>
      </c>
      <c r="AQ525" s="2" t="s">
        <v>661</v>
      </c>
      <c r="AR525" s="16">
        <v>70</v>
      </c>
      <c r="AS525" s="16">
        <v>11</v>
      </c>
      <c r="AT525" s="16">
        <v>19</v>
      </c>
      <c r="AU525" s="2" t="s">
        <v>661</v>
      </c>
      <c r="AV525" s="16">
        <f t="shared" si="208"/>
        <v>100</v>
      </c>
      <c r="AW525" s="20">
        <v>4.9000000000000004</v>
      </c>
      <c r="AX525" s="13">
        <v>4.9000000000000002E-2</v>
      </c>
      <c r="AY525" s="8" t="s">
        <v>184</v>
      </c>
      <c r="AZ525" s="16">
        <v>100</v>
      </c>
      <c r="BA525" s="16" t="s">
        <v>55</v>
      </c>
      <c r="BB525" s="16">
        <v>5</v>
      </c>
      <c r="BC525" s="16" t="s">
        <v>55</v>
      </c>
      <c r="BD525" s="20">
        <v>45.75</v>
      </c>
      <c r="BE525" s="15">
        <f t="shared" si="224"/>
        <v>933.67346938775506</v>
      </c>
      <c r="BF525" s="8">
        <f t="shared" si="225"/>
        <v>2.9701950183739534</v>
      </c>
      <c r="BG525" s="8">
        <f t="shared" si="213"/>
        <v>1.660391098402467</v>
      </c>
      <c r="BH525" s="13" t="s">
        <v>841</v>
      </c>
      <c r="BI525" s="9"/>
      <c r="BJ525" s="13"/>
      <c r="BK525" s="9"/>
      <c r="BL525" s="9"/>
      <c r="BM525" s="19"/>
      <c r="BN525" s="19"/>
      <c r="BO525" s="129"/>
    </row>
    <row r="526" spans="1:69" s="46" customFormat="1" x14ac:dyDescent="0.3">
      <c r="A526" s="20">
        <v>534</v>
      </c>
      <c r="B526" s="2" t="s">
        <v>181</v>
      </c>
      <c r="C526" s="2">
        <v>2020</v>
      </c>
      <c r="D526" s="2" t="s">
        <v>203</v>
      </c>
      <c r="E526" s="10" t="s">
        <v>787</v>
      </c>
      <c r="F526" s="20" t="s">
        <v>29</v>
      </c>
      <c r="G526" s="2" t="s">
        <v>77</v>
      </c>
      <c r="H526" s="2" t="str">
        <f>'PFAS Properties'!$B$35</f>
        <v>PFDA</v>
      </c>
      <c r="I526" s="2" t="str">
        <f>'PFAS Properties'!$C$35</f>
        <v>PFCA</v>
      </c>
      <c r="J526" s="2" t="str">
        <f>'PFAS Properties'!$D$35</f>
        <v>C10HF19O2</v>
      </c>
      <c r="K526" s="25">
        <f>'PFAS Properties'!$P$35</f>
        <v>513.96719999999993</v>
      </c>
      <c r="L526" s="2">
        <f>'PFAS Properties'!$X$35</f>
        <v>-0.2</v>
      </c>
      <c r="M526" s="2" t="str">
        <f>'PFAS Properties'!$Y$35</f>
        <v>-</v>
      </c>
      <c r="N526" s="33">
        <v>0</v>
      </c>
      <c r="O526" s="33">
        <v>0</v>
      </c>
      <c r="P526" s="33">
        <v>0</v>
      </c>
      <c r="Q526" s="33">
        <f t="shared" si="226"/>
        <v>0.99999998741074603</v>
      </c>
      <c r="R526" s="33">
        <v>0</v>
      </c>
      <c r="S526" s="33">
        <f t="shared" si="227"/>
        <v>1.258925395945232E-8</v>
      </c>
      <c r="T526" s="8">
        <f t="shared" si="195"/>
        <v>1</v>
      </c>
      <c r="U526" s="33">
        <f t="shared" si="218"/>
        <v>0</v>
      </c>
      <c r="V526" s="33">
        <f t="shared" si="219"/>
        <v>-0.99999998741074603</v>
      </c>
      <c r="W526" s="33">
        <f t="shared" si="220"/>
        <v>512.96720001258916</v>
      </c>
      <c r="X526" s="33">
        <v>96485</v>
      </c>
      <c r="Y526" s="16">
        <f t="shared" si="221"/>
        <v>-188.09194580658942</v>
      </c>
      <c r="Z526" s="16">
        <v>10</v>
      </c>
      <c r="AA526" s="16">
        <v>19</v>
      </c>
      <c r="AB526" s="8">
        <f t="shared" si="222"/>
        <v>0.33240997229916897</v>
      </c>
      <c r="AC526" s="16">
        <f t="shared" si="223"/>
        <v>70.237945145137672</v>
      </c>
      <c r="AD526" s="20">
        <f>'PFAS Properties'!$W$35</f>
        <v>9</v>
      </c>
      <c r="AE526" s="8">
        <f>'PFAS Properties'!$S$35</f>
        <v>0.90308998699194354</v>
      </c>
      <c r="AF526" s="15">
        <f>'PFAS Properties'!$V$35</f>
        <v>6.3</v>
      </c>
      <c r="AG526" s="24">
        <v>7.7</v>
      </c>
      <c r="AH526" s="2" t="s">
        <v>183</v>
      </c>
      <c r="AI526" s="2" t="s">
        <v>661</v>
      </c>
      <c r="AJ526" s="2" t="s">
        <v>661</v>
      </c>
      <c r="AK526" s="2" t="s">
        <v>661</v>
      </c>
      <c r="AL526" s="2" t="s">
        <v>661</v>
      </c>
      <c r="AM526" s="2" t="s">
        <v>661</v>
      </c>
      <c r="AN526" s="2" t="s">
        <v>661</v>
      </c>
      <c r="AO526" s="2" t="s">
        <v>661</v>
      </c>
      <c r="AP526" s="15">
        <v>7.8</v>
      </c>
      <c r="AQ526" s="2" t="s">
        <v>661</v>
      </c>
      <c r="AR526" s="16">
        <v>48.9</v>
      </c>
      <c r="AS526" s="16">
        <v>32.6</v>
      </c>
      <c r="AT526" s="16">
        <v>18.5</v>
      </c>
      <c r="AU526" s="2" t="s">
        <v>661</v>
      </c>
      <c r="AV526" s="16">
        <f t="shared" si="208"/>
        <v>100</v>
      </c>
      <c r="AW526" s="20">
        <v>0.13</v>
      </c>
      <c r="AX526" s="13">
        <v>1.2999999999999999E-3</v>
      </c>
      <c r="AY526" s="8" t="s">
        <v>184</v>
      </c>
      <c r="AZ526" s="16">
        <v>100</v>
      </c>
      <c r="BA526" s="16" t="s">
        <v>55</v>
      </c>
      <c r="BB526" s="16">
        <v>5</v>
      </c>
      <c r="BC526" s="16" t="s">
        <v>55</v>
      </c>
      <c r="BD526" s="20">
        <v>7.96</v>
      </c>
      <c r="BE526" s="15">
        <f t="shared" si="224"/>
        <v>6123.0769230769238</v>
      </c>
      <c r="BF526" s="8">
        <f t="shared" si="225"/>
        <v>3.7869697154308324</v>
      </c>
      <c r="BG526" s="8">
        <f t="shared" si="213"/>
        <v>0.90091306773766899</v>
      </c>
      <c r="BH526" s="13" t="s">
        <v>841</v>
      </c>
      <c r="BI526" s="9"/>
      <c r="BJ526" s="13"/>
      <c r="BK526" s="9"/>
      <c r="BL526" s="9"/>
      <c r="BM526" s="19"/>
      <c r="BN526" s="19"/>
      <c r="BO526" s="129"/>
    </row>
    <row r="527" spans="1:69" s="46" customFormat="1" x14ac:dyDescent="0.3">
      <c r="A527" s="20">
        <v>535</v>
      </c>
      <c r="B527" s="2" t="s">
        <v>181</v>
      </c>
      <c r="C527" s="2">
        <v>2020</v>
      </c>
      <c r="D527" s="2" t="s">
        <v>203</v>
      </c>
      <c r="E527" s="10" t="s">
        <v>787</v>
      </c>
      <c r="F527" s="20" t="s">
        <v>29</v>
      </c>
      <c r="G527" s="2" t="s">
        <v>182</v>
      </c>
      <c r="H527" s="2" t="str">
        <f>'PFAS Properties'!$B$35</f>
        <v>PFDA</v>
      </c>
      <c r="I527" s="2" t="str">
        <f>'PFAS Properties'!$C$35</f>
        <v>PFCA</v>
      </c>
      <c r="J527" s="2" t="str">
        <f>'PFAS Properties'!$D$35</f>
        <v>C10HF19O2</v>
      </c>
      <c r="K527" s="25">
        <f>'PFAS Properties'!$P$35</f>
        <v>513.96719999999993</v>
      </c>
      <c r="L527" s="2">
        <f>'PFAS Properties'!$X$35</f>
        <v>-0.2</v>
      </c>
      <c r="M527" s="2" t="str">
        <f>'PFAS Properties'!$Y$35</f>
        <v>-</v>
      </c>
      <c r="N527" s="33">
        <v>0</v>
      </c>
      <c r="O527" s="33">
        <v>0</v>
      </c>
      <c r="P527" s="33">
        <v>0</v>
      </c>
      <c r="Q527" s="33">
        <f t="shared" si="226"/>
        <v>0.99999998004737722</v>
      </c>
      <c r="R527" s="33">
        <v>0</v>
      </c>
      <c r="S527" s="33">
        <f t="shared" si="227"/>
        <v>1.995262275158161E-8</v>
      </c>
      <c r="T527" s="8">
        <f t="shared" si="195"/>
        <v>1</v>
      </c>
      <c r="U527" s="33">
        <f t="shared" si="218"/>
        <v>0</v>
      </c>
      <c r="V527" s="33">
        <f t="shared" si="219"/>
        <v>-0.99999998004737722</v>
      </c>
      <c r="W527" s="33">
        <f t="shared" si="220"/>
        <v>512.96720001995254</v>
      </c>
      <c r="X527" s="33">
        <v>96485</v>
      </c>
      <c r="Y527" s="16">
        <f t="shared" si="221"/>
        <v>-188.09194441889906</v>
      </c>
      <c r="Z527" s="16">
        <v>10</v>
      </c>
      <c r="AA527" s="16">
        <v>19</v>
      </c>
      <c r="AB527" s="8">
        <f t="shared" si="222"/>
        <v>0.33240997229916897</v>
      </c>
      <c r="AC527" s="16">
        <f t="shared" si="223"/>
        <v>70.237945145137672</v>
      </c>
      <c r="AD527" s="20">
        <f>'PFAS Properties'!$W$35</f>
        <v>9</v>
      </c>
      <c r="AE527" s="8">
        <f>'PFAS Properties'!$S$35</f>
        <v>0.90308998699194354</v>
      </c>
      <c r="AF527" s="15">
        <f>'PFAS Properties'!$V$35</f>
        <v>6.3</v>
      </c>
      <c r="AG527" s="24">
        <v>7.5</v>
      </c>
      <c r="AH527" s="2" t="s">
        <v>183</v>
      </c>
      <c r="AI527" s="2" t="s">
        <v>661</v>
      </c>
      <c r="AJ527" s="2" t="s">
        <v>661</v>
      </c>
      <c r="AK527" s="2" t="s">
        <v>661</v>
      </c>
      <c r="AL527" s="2" t="s">
        <v>661</v>
      </c>
      <c r="AM527" s="2" t="s">
        <v>661</v>
      </c>
      <c r="AN527" s="2" t="s">
        <v>661</v>
      </c>
      <c r="AO527" s="2" t="s">
        <v>661</v>
      </c>
      <c r="AP527" s="15">
        <v>2.2799999999999998</v>
      </c>
      <c r="AQ527" s="2" t="s">
        <v>661</v>
      </c>
      <c r="AR527" s="16">
        <v>93</v>
      </c>
      <c r="AS527" s="16">
        <v>1</v>
      </c>
      <c r="AT527" s="16">
        <v>5</v>
      </c>
      <c r="AU527" s="2" t="s">
        <v>661</v>
      </c>
      <c r="AV527" s="16">
        <f t="shared" si="208"/>
        <v>99</v>
      </c>
      <c r="AW527" s="20">
        <v>0.4</v>
      </c>
      <c r="AX527" s="13">
        <v>4.0000000000000001E-3</v>
      </c>
      <c r="AY527" s="8" t="s">
        <v>184</v>
      </c>
      <c r="AZ527" s="16">
        <v>100</v>
      </c>
      <c r="BA527" s="16" t="s">
        <v>55</v>
      </c>
      <c r="BB527" s="16">
        <v>5</v>
      </c>
      <c r="BC527" s="16" t="s">
        <v>55</v>
      </c>
      <c r="BD527" s="20">
        <v>7.53</v>
      </c>
      <c r="BE527" s="15">
        <f t="shared" si="224"/>
        <v>1882.5</v>
      </c>
      <c r="BF527" s="8">
        <f t="shared" si="225"/>
        <v>3.2747349848727381</v>
      </c>
      <c r="BG527" s="8">
        <f t="shared" si="213"/>
        <v>0.87679497620070057</v>
      </c>
      <c r="BH527" s="13" t="s">
        <v>841</v>
      </c>
      <c r="BI527" s="9"/>
      <c r="BJ527" s="13"/>
      <c r="BK527" s="9"/>
      <c r="BL527" s="9"/>
      <c r="BM527" s="19"/>
      <c r="BN527" s="19"/>
      <c r="BO527" s="129"/>
    </row>
    <row r="528" spans="1:69" s="46" customFormat="1" x14ac:dyDescent="0.3">
      <c r="A528" s="20">
        <v>536</v>
      </c>
      <c r="B528" s="2" t="s">
        <v>181</v>
      </c>
      <c r="C528" s="2">
        <v>2020</v>
      </c>
      <c r="D528" s="2" t="s">
        <v>203</v>
      </c>
      <c r="E528" s="10" t="s">
        <v>787</v>
      </c>
      <c r="F528" s="20" t="s">
        <v>29</v>
      </c>
      <c r="G528" s="2" t="s">
        <v>78</v>
      </c>
      <c r="H528" s="2" t="str">
        <f>'PFAS Properties'!$B$35</f>
        <v>PFDA</v>
      </c>
      <c r="I528" s="2" t="str">
        <f>'PFAS Properties'!$C$35</f>
        <v>PFCA</v>
      </c>
      <c r="J528" s="2" t="str">
        <f>'PFAS Properties'!$D$35</f>
        <v>C10HF19O2</v>
      </c>
      <c r="K528" s="25">
        <f>'PFAS Properties'!$P$35</f>
        <v>513.96719999999993</v>
      </c>
      <c r="L528" s="2">
        <f>'PFAS Properties'!$X$35</f>
        <v>-0.2</v>
      </c>
      <c r="M528" s="2" t="str">
        <f>'PFAS Properties'!$Y$35</f>
        <v>-</v>
      </c>
      <c r="N528" s="33">
        <v>0</v>
      </c>
      <c r="O528" s="33">
        <v>0</v>
      </c>
      <c r="P528" s="33">
        <v>0</v>
      </c>
      <c r="Q528" s="33">
        <f t="shared" si="226"/>
        <v>0.99999994988127916</v>
      </c>
      <c r="R528" s="33">
        <v>0</v>
      </c>
      <c r="S528" s="33">
        <f t="shared" si="227"/>
        <v>5.011872085084086E-8</v>
      </c>
      <c r="T528" s="8">
        <f t="shared" si="195"/>
        <v>1</v>
      </c>
      <c r="U528" s="33">
        <f t="shared" si="218"/>
        <v>0</v>
      </c>
      <c r="V528" s="33">
        <f t="shared" si="219"/>
        <v>-0.99999994988127916</v>
      </c>
      <c r="W528" s="33">
        <f t="shared" si="220"/>
        <v>512.96720005011866</v>
      </c>
      <c r="X528" s="33">
        <v>96485</v>
      </c>
      <c r="Y528" s="16">
        <f t="shared" si="221"/>
        <v>-188.09193873383776</v>
      </c>
      <c r="Z528" s="16">
        <v>10</v>
      </c>
      <c r="AA528" s="16">
        <v>19</v>
      </c>
      <c r="AB528" s="8">
        <f t="shared" si="222"/>
        <v>0.33240997229916897</v>
      </c>
      <c r="AC528" s="16">
        <f t="shared" si="223"/>
        <v>70.237945145137672</v>
      </c>
      <c r="AD528" s="20">
        <f>'PFAS Properties'!$W$35</f>
        <v>9</v>
      </c>
      <c r="AE528" s="8">
        <f>'PFAS Properties'!$S$35</f>
        <v>0.90308998699194354</v>
      </c>
      <c r="AF528" s="15">
        <f>'PFAS Properties'!$V$35</f>
        <v>6.3</v>
      </c>
      <c r="AG528" s="24">
        <v>7.1</v>
      </c>
      <c r="AH528" s="2" t="s">
        <v>183</v>
      </c>
      <c r="AI528" s="2" t="s">
        <v>661</v>
      </c>
      <c r="AJ528" s="2" t="s">
        <v>661</v>
      </c>
      <c r="AK528" s="2" t="s">
        <v>661</v>
      </c>
      <c r="AL528" s="2" t="s">
        <v>661</v>
      </c>
      <c r="AM528" s="2" t="s">
        <v>661</v>
      </c>
      <c r="AN528" s="2" t="s">
        <v>661</v>
      </c>
      <c r="AO528" s="2" t="s">
        <v>661</v>
      </c>
      <c r="AP528" s="15">
        <v>17.420000000000002</v>
      </c>
      <c r="AQ528" s="2" t="s">
        <v>661</v>
      </c>
      <c r="AR528" s="16">
        <v>48.86</v>
      </c>
      <c r="AS528" s="16">
        <v>16.05</v>
      </c>
      <c r="AT528" s="16">
        <v>35.090000000000003</v>
      </c>
      <c r="AU528" s="2" t="s">
        <v>661</v>
      </c>
      <c r="AV528" s="16">
        <f t="shared" si="208"/>
        <v>100</v>
      </c>
      <c r="AW528" s="20">
        <v>1.19</v>
      </c>
      <c r="AX528" s="13">
        <v>1.1899999999999999E-2</v>
      </c>
      <c r="AY528" s="8" t="s">
        <v>184</v>
      </c>
      <c r="AZ528" s="16">
        <v>100</v>
      </c>
      <c r="BA528" s="16" t="s">
        <v>55</v>
      </c>
      <c r="BB528" s="16">
        <v>5</v>
      </c>
      <c r="BC528" s="16" t="s">
        <v>55</v>
      </c>
      <c r="BD528" s="20">
        <v>25.34</v>
      </c>
      <c r="BE528" s="15">
        <f t="shared" si="224"/>
        <v>2129.4117647058824</v>
      </c>
      <c r="BF528" s="8">
        <f t="shared" si="225"/>
        <v>3.3282596491548917</v>
      </c>
      <c r="BG528" s="8">
        <f t="shared" si="213"/>
        <v>1.4038066105474225</v>
      </c>
      <c r="BH528" s="13" t="s">
        <v>841</v>
      </c>
      <c r="BI528" s="9"/>
      <c r="BJ528" s="13"/>
      <c r="BK528" s="9"/>
      <c r="BL528" s="9"/>
      <c r="BM528" s="19"/>
      <c r="BN528" s="19"/>
      <c r="BO528" s="129"/>
    </row>
    <row r="529" spans="1:69" s="46" customFormat="1" x14ac:dyDescent="0.3">
      <c r="A529" s="20">
        <v>537</v>
      </c>
      <c r="B529" s="2" t="s">
        <v>181</v>
      </c>
      <c r="C529" s="2">
        <v>2020</v>
      </c>
      <c r="D529" s="2" t="s">
        <v>203</v>
      </c>
      <c r="E529" s="10" t="s">
        <v>787</v>
      </c>
      <c r="F529" s="20" t="s">
        <v>29</v>
      </c>
      <c r="G529" s="2" t="s">
        <v>98</v>
      </c>
      <c r="H529" s="2" t="str">
        <f>'PFAS Properties'!$B$35</f>
        <v>PFDA</v>
      </c>
      <c r="I529" s="2" t="str">
        <f>'PFAS Properties'!$C$35</f>
        <v>PFCA</v>
      </c>
      <c r="J529" s="2" t="str">
        <f>'PFAS Properties'!$D$35</f>
        <v>C10HF19O2</v>
      </c>
      <c r="K529" s="25">
        <f>'PFAS Properties'!$P$35</f>
        <v>513.96719999999993</v>
      </c>
      <c r="L529" s="2">
        <f>'PFAS Properties'!$X$35</f>
        <v>-0.2</v>
      </c>
      <c r="M529" s="2" t="str">
        <f>'PFAS Properties'!$Y$35</f>
        <v>-</v>
      </c>
      <c r="N529" s="33">
        <v>0</v>
      </c>
      <c r="O529" s="33">
        <v>0</v>
      </c>
      <c r="P529" s="33">
        <v>0</v>
      </c>
      <c r="Q529" s="33">
        <f t="shared" si="226"/>
        <v>0.99999974881141995</v>
      </c>
      <c r="R529" s="33">
        <v>0</v>
      </c>
      <c r="S529" s="33">
        <f t="shared" si="227"/>
        <v>2.5118858005523878E-7</v>
      </c>
      <c r="T529" s="8">
        <f t="shared" si="195"/>
        <v>1</v>
      </c>
      <c r="U529" s="33">
        <f t="shared" si="218"/>
        <v>0</v>
      </c>
      <c r="V529" s="33">
        <f t="shared" si="219"/>
        <v>-0.99999974881141995</v>
      </c>
      <c r="W529" s="33">
        <f t="shared" si="220"/>
        <v>512.9672002511885</v>
      </c>
      <c r="X529" s="33">
        <v>96485</v>
      </c>
      <c r="Y529" s="16">
        <f t="shared" si="221"/>
        <v>-188.09190084048907</v>
      </c>
      <c r="Z529" s="16">
        <v>10</v>
      </c>
      <c r="AA529" s="16">
        <v>19</v>
      </c>
      <c r="AB529" s="8">
        <f t="shared" si="222"/>
        <v>0.33240997229916897</v>
      </c>
      <c r="AC529" s="16">
        <f t="shared" si="223"/>
        <v>70.237945145137672</v>
      </c>
      <c r="AD529" s="20">
        <f>'PFAS Properties'!$W$35</f>
        <v>9</v>
      </c>
      <c r="AE529" s="8">
        <f>'PFAS Properties'!$S$35</f>
        <v>0.90308998699194354</v>
      </c>
      <c r="AF529" s="15">
        <f>'PFAS Properties'!$V$35</f>
        <v>6.3</v>
      </c>
      <c r="AG529" s="24">
        <v>6.4</v>
      </c>
      <c r="AH529" s="2" t="s">
        <v>183</v>
      </c>
      <c r="AI529" s="2" t="s">
        <v>661</v>
      </c>
      <c r="AJ529" s="2" t="s">
        <v>661</v>
      </c>
      <c r="AK529" s="2" t="s">
        <v>661</v>
      </c>
      <c r="AL529" s="2" t="s">
        <v>661</v>
      </c>
      <c r="AM529" s="2" t="s">
        <v>661</v>
      </c>
      <c r="AN529" s="2" t="s">
        <v>661</v>
      </c>
      <c r="AO529" s="2" t="s">
        <v>661</v>
      </c>
      <c r="AP529" s="15">
        <v>16.54</v>
      </c>
      <c r="AQ529" s="2" t="s">
        <v>661</v>
      </c>
      <c r="AR529" s="16">
        <v>29.38</v>
      </c>
      <c r="AS529" s="16">
        <v>13.9</v>
      </c>
      <c r="AT529" s="16">
        <v>56.71</v>
      </c>
      <c r="AU529" s="2" t="s">
        <v>661</v>
      </c>
      <c r="AV529" s="16">
        <f t="shared" si="208"/>
        <v>99.990000000000009</v>
      </c>
      <c r="AW529" s="20">
        <v>0.17</v>
      </c>
      <c r="AX529" s="13">
        <v>1.7000000000000001E-3</v>
      </c>
      <c r="AY529" s="8" t="s">
        <v>184</v>
      </c>
      <c r="AZ529" s="16">
        <v>100</v>
      </c>
      <c r="BA529" s="16" t="s">
        <v>55</v>
      </c>
      <c r="BB529" s="16">
        <v>5</v>
      </c>
      <c r="BC529" s="16" t="s">
        <v>55</v>
      </c>
      <c r="BD529" s="20">
        <v>11.46</v>
      </c>
      <c r="BE529" s="15">
        <f t="shared" si="224"/>
        <v>6741.1764705882351</v>
      </c>
      <c r="BF529" s="8">
        <f t="shared" si="225"/>
        <v>3.8287356962530974</v>
      </c>
      <c r="BG529" s="8">
        <f t="shared" si="213"/>
        <v>1.0591846176313713</v>
      </c>
      <c r="BH529" s="13" t="s">
        <v>841</v>
      </c>
      <c r="BI529" s="9"/>
      <c r="BJ529" s="13"/>
      <c r="BK529" s="9"/>
      <c r="BL529" s="9"/>
      <c r="BM529" s="19"/>
      <c r="BN529" s="19"/>
      <c r="BO529" s="129"/>
    </row>
    <row r="530" spans="1:69" s="14" customFormat="1" x14ac:dyDescent="0.3">
      <c r="A530" s="20">
        <v>538</v>
      </c>
      <c r="B530" s="2" t="s">
        <v>204</v>
      </c>
      <c r="C530" s="2">
        <v>2013</v>
      </c>
      <c r="D530" s="2" t="s">
        <v>203</v>
      </c>
      <c r="E530" s="22" t="s">
        <v>792</v>
      </c>
      <c r="F530" s="20" t="s">
        <v>29</v>
      </c>
      <c r="G530" s="2" t="s">
        <v>46</v>
      </c>
      <c r="H530" s="2" t="str">
        <f>'PFAS Properties'!$B$36</f>
        <v>PFUnA</v>
      </c>
      <c r="I530" s="2" t="str">
        <f>'PFAS Properties'!$C$36</f>
        <v>PFCA</v>
      </c>
      <c r="J530" s="2" t="str">
        <f>'PFAS Properties'!$D$36</f>
        <v>C11HF21O2</v>
      </c>
      <c r="K530" s="25">
        <f>'PFAS Properties'!$P$36</f>
        <v>563.96399999999994</v>
      </c>
      <c r="L530" s="2">
        <f>'PFAS Properties'!$X$36</f>
        <v>-0.2</v>
      </c>
      <c r="M530" s="2" t="str">
        <f>'PFAS Properties'!$Y$36</f>
        <v>-</v>
      </c>
      <c r="N530" s="33">
        <v>0</v>
      </c>
      <c r="O530" s="33">
        <v>0</v>
      </c>
      <c r="P530" s="33">
        <v>0</v>
      </c>
      <c r="Q530" s="33">
        <f t="shared" si="226"/>
        <v>0.99999999000000006</v>
      </c>
      <c r="R530" s="33">
        <v>0</v>
      </c>
      <c r="S530" s="33">
        <f t="shared" si="227"/>
        <v>9.9999999000000002E-9</v>
      </c>
      <c r="T530" s="8">
        <f t="shared" ref="T530:T586" si="228">SUM(N530:S530)</f>
        <v>1</v>
      </c>
      <c r="U530" s="33">
        <f t="shared" si="218"/>
        <v>0</v>
      </c>
      <c r="V530" s="33">
        <f t="shared" si="219"/>
        <v>-0.99999999000000006</v>
      </c>
      <c r="W530" s="33">
        <f t="shared" si="220"/>
        <v>562.96400000999995</v>
      </c>
      <c r="X530" s="33">
        <v>96485</v>
      </c>
      <c r="Y530" s="16">
        <f t="shared" si="221"/>
        <v>-171.38751151660878</v>
      </c>
      <c r="Z530" s="16">
        <v>11</v>
      </c>
      <c r="AA530" s="16">
        <v>21</v>
      </c>
      <c r="AB530" s="8">
        <f t="shared" si="222"/>
        <v>0.33082706766917291</v>
      </c>
      <c r="AC530" s="16">
        <f t="shared" si="223"/>
        <v>70.749196757239829</v>
      </c>
      <c r="AD530" s="20">
        <f>'PFAS Properties'!$W$36</f>
        <v>10</v>
      </c>
      <c r="AE530" s="8">
        <f>'PFAS Properties'!$S$36</f>
        <v>8.6001717619175692E-3</v>
      </c>
      <c r="AF530" s="15">
        <f>'PFAS Properties'!$V$36</f>
        <v>6.9</v>
      </c>
      <c r="AG530" s="24">
        <v>7.8</v>
      </c>
      <c r="AH530" s="2" t="s">
        <v>661</v>
      </c>
      <c r="AI530" s="15">
        <v>6.14</v>
      </c>
      <c r="AJ530" s="16">
        <f>AI530/10</f>
        <v>0.61399999999999999</v>
      </c>
      <c r="AK530" s="8">
        <f t="shared" ref="AK530:AK545" si="229">AI530/10</f>
        <v>0.61399999999999999</v>
      </c>
      <c r="AL530" s="15">
        <v>1.67</v>
      </c>
      <c r="AM530" s="16">
        <f>AL530/10</f>
        <v>0.16699999999999998</v>
      </c>
      <c r="AN530" s="8">
        <f t="shared" ref="AN530:AN545" si="230">AL530/10</f>
        <v>0.16699999999999998</v>
      </c>
      <c r="AO530" s="15" t="s">
        <v>41</v>
      </c>
      <c r="AP530" s="72">
        <v>6.4956666666666676</v>
      </c>
      <c r="AQ530" s="70" t="s">
        <v>752</v>
      </c>
      <c r="AR530" s="16">
        <v>33</v>
      </c>
      <c r="AS530" s="16">
        <v>42</v>
      </c>
      <c r="AT530" s="16">
        <v>25</v>
      </c>
      <c r="AU530" s="16" t="s">
        <v>661</v>
      </c>
      <c r="AV530" s="16">
        <f t="shared" si="208"/>
        <v>100</v>
      </c>
      <c r="AW530" s="18">
        <v>1.7</v>
      </c>
      <c r="AX530" s="13">
        <f t="shared" ref="AX530:AX548" si="231">AW530/100</f>
        <v>1.7000000000000001E-2</v>
      </c>
      <c r="AY530" s="13" t="s">
        <v>42</v>
      </c>
      <c r="AZ530" s="16">
        <f>15/0.04</f>
        <v>375</v>
      </c>
      <c r="BA530" s="16" t="s">
        <v>55</v>
      </c>
      <c r="BB530" s="15">
        <v>0.5</v>
      </c>
      <c r="BC530" s="16">
        <v>1000</v>
      </c>
      <c r="BD530" s="18">
        <v>36.409999999999997</v>
      </c>
      <c r="BE530" s="15">
        <f t="shared" si="224"/>
        <v>2141.7647058823527</v>
      </c>
      <c r="BF530" s="8">
        <f t="shared" si="225"/>
        <v>3.3307717575556697</v>
      </c>
      <c r="BG530" s="8">
        <f t="shared" si="213"/>
        <v>1.5612206789339438</v>
      </c>
      <c r="BH530" s="5" t="s">
        <v>844</v>
      </c>
      <c r="BI530" s="13"/>
      <c r="BJ530" s="13"/>
      <c r="BK530" s="8"/>
      <c r="BL530" s="8"/>
      <c r="BM530" s="18"/>
      <c r="BN530" s="8"/>
      <c r="BO530" s="24"/>
    </row>
    <row r="531" spans="1:69" s="14" customFormat="1" x14ac:dyDescent="0.3">
      <c r="A531" s="20">
        <v>539</v>
      </c>
      <c r="B531" s="2" t="s">
        <v>690</v>
      </c>
      <c r="C531" s="2">
        <v>2023</v>
      </c>
      <c r="D531" s="2" t="s">
        <v>199</v>
      </c>
      <c r="E531" s="10" t="s">
        <v>803</v>
      </c>
      <c r="F531" s="20" t="s">
        <v>29</v>
      </c>
      <c r="G531" s="2" t="s">
        <v>691</v>
      </c>
      <c r="H531" s="2" t="str">
        <f>'PFAS Properties'!$B$36</f>
        <v>PFUnA</v>
      </c>
      <c r="I531" s="2" t="str">
        <f>'PFAS Properties'!$C$36</f>
        <v>PFCA</v>
      </c>
      <c r="J531" s="2" t="str">
        <f>'PFAS Properties'!$D$36</f>
        <v>C11HF21O2</v>
      </c>
      <c r="K531" s="25">
        <f>'PFAS Properties'!$P$36</f>
        <v>563.96399999999994</v>
      </c>
      <c r="L531" s="2">
        <f>'PFAS Properties'!$X$36</f>
        <v>-0.2</v>
      </c>
      <c r="M531" s="2" t="str">
        <f>'PFAS Properties'!$Y$36</f>
        <v>-</v>
      </c>
      <c r="N531" s="33">
        <v>0</v>
      </c>
      <c r="O531" s="33">
        <v>0</v>
      </c>
      <c r="P531" s="33">
        <v>0</v>
      </c>
      <c r="Q531" s="33">
        <f t="shared" si="226"/>
        <v>0.9999992056723962</v>
      </c>
      <c r="R531" s="33">
        <v>0</v>
      </c>
      <c r="S531" s="33">
        <f t="shared" si="227"/>
        <v>7.9432760376743655E-7</v>
      </c>
      <c r="T531" s="8">
        <f t="shared" si="228"/>
        <v>1</v>
      </c>
      <c r="U531" s="33">
        <f t="shared" si="218"/>
        <v>0</v>
      </c>
      <c r="V531" s="33">
        <f t="shared" si="219"/>
        <v>-0.9999992056723962</v>
      </c>
      <c r="W531" s="33">
        <f t="shared" si="220"/>
        <v>562.9640007943276</v>
      </c>
      <c r="X531" s="33">
        <v>96485</v>
      </c>
      <c r="Y531" s="16">
        <f t="shared" si="221"/>
        <v>-171.38737685387238</v>
      </c>
      <c r="Z531" s="16">
        <v>11</v>
      </c>
      <c r="AA531" s="16">
        <v>21</v>
      </c>
      <c r="AB531" s="8">
        <f t="shared" si="222"/>
        <v>0.33082706766917291</v>
      </c>
      <c r="AC531" s="16">
        <f t="shared" si="223"/>
        <v>70.749196757239829</v>
      </c>
      <c r="AD531" s="20">
        <f>'PFAS Properties'!$W$36</f>
        <v>10</v>
      </c>
      <c r="AE531" s="8">
        <f>'PFAS Properties'!$S$36</f>
        <v>8.6001717619175692E-3</v>
      </c>
      <c r="AF531" s="15">
        <f>'PFAS Properties'!$V$36</f>
        <v>6.9</v>
      </c>
      <c r="AG531" s="24">
        <v>5.9</v>
      </c>
      <c r="AH531" s="2" t="s">
        <v>701</v>
      </c>
      <c r="AI531" s="15">
        <f t="shared" ref="AI531:AI540" si="232">AJ531*55.845/1000</f>
        <v>10.052100000000001</v>
      </c>
      <c r="AJ531" s="16">
        <v>180</v>
      </c>
      <c r="AK531" s="8">
        <f t="shared" si="229"/>
        <v>1.0052100000000002</v>
      </c>
      <c r="AL531" s="15">
        <f t="shared" ref="AL531:AL540" si="233">AM531*26.982/1000</f>
        <v>1.3491</v>
      </c>
      <c r="AM531" s="16">
        <v>50</v>
      </c>
      <c r="AN531" s="8">
        <f t="shared" si="230"/>
        <v>0.13491</v>
      </c>
      <c r="AO531" s="15" t="s">
        <v>705</v>
      </c>
      <c r="AP531" s="15">
        <v>20</v>
      </c>
      <c r="AQ531" s="15" t="s">
        <v>702</v>
      </c>
      <c r="AR531" s="2">
        <v>4.2</v>
      </c>
      <c r="AS531" s="2">
        <v>53</v>
      </c>
      <c r="AT531" s="2">
        <v>43</v>
      </c>
      <c r="AU531" s="2" t="s">
        <v>703</v>
      </c>
      <c r="AV531" s="16">
        <f t="shared" si="208"/>
        <v>100.2</v>
      </c>
      <c r="AW531" s="18">
        <v>3.1</v>
      </c>
      <c r="AX531" s="13">
        <f t="shared" si="231"/>
        <v>3.1E-2</v>
      </c>
      <c r="AY531" s="8" t="s">
        <v>704</v>
      </c>
      <c r="AZ531" s="16">
        <v>10</v>
      </c>
      <c r="BA531" s="16" t="s">
        <v>55</v>
      </c>
      <c r="BB531" s="16" t="s">
        <v>55</v>
      </c>
      <c r="BC531" s="16" t="s">
        <v>55</v>
      </c>
      <c r="BD531" s="24">
        <f t="shared" ref="BD531:BD540" si="234">10^BG531</f>
        <v>125.89254117941677</v>
      </c>
      <c r="BE531" s="16">
        <f t="shared" si="224"/>
        <v>4061.049715465057</v>
      </c>
      <c r="BF531" s="16">
        <f t="shared" si="225"/>
        <v>3.6086383061657274</v>
      </c>
      <c r="BG531" s="8">
        <v>2.1</v>
      </c>
      <c r="BH531" s="15" t="s">
        <v>846</v>
      </c>
      <c r="BI531" s="8"/>
      <c r="BJ531" s="13"/>
      <c r="BK531" s="16"/>
      <c r="BL531" s="16"/>
      <c r="BM531" s="16"/>
      <c r="BN531" s="16"/>
      <c r="BO531" s="2"/>
    </row>
    <row r="532" spans="1:69" x14ac:dyDescent="0.3">
      <c r="A532" s="20">
        <v>540</v>
      </c>
      <c r="B532" s="2" t="s">
        <v>690</v>
      </c>
      <c r="C532" s="2">
        <v>2023</v>
      </c>
      <c r="D532" s="2" t="s">
        <v>199</v>
      </c>
      <c r="E532" s="10" t="s">
        <v>803</v>
      </c>
      <c r="F532" s="20" t="s">
        <v>29</v>
      </c>
      <c r="G532" s="2" t="s">
        <v>692</v>
      </c>
      <c r="H532" s="2" t="str">
        <f>'PFAS Properties'!$B$36</f>
        <v>PFUnA</v>
      </c>
      <c r="I532" s="2" t="str">
        <f>'PFAS Properties'!$C$36</f>
        <v>PFCA</v>
      </c>
      <c r="J532" s="2" t="str">
        <f>'PFAS Properties'!$D$36</f>
        <v>C11HF21O2</v>
      </c>
      <c r="K532" s="25">
        <f>'PFAS Properties'!$P$36</f>
        <v>563.96399999999994</v>
      </c>
      <c r="L532" s="2">
        <f>'PFAS Properties'!$X$36</f>
        <v>-0.2</v>
      </c>
      <c r="M532" s="2" t="str">
        <f>'PFAS Properties'!$Y$36</f>
        <v>-</v>
      </c>
      <c r="N532" s="33">
        <v>0</v>
      </c>
      <c r="O532" s="33">
        <v>0</v>
      </c>
      <c r="P532" s="33">
        <v>0</v>
      </c>
      <c r="Q532" s="33">
        <f t="shared" si="226"/>
        <v>0.99999800474166611</v>
      </c>
      <c r="R532" s="33">
        <v>0</v>
      </c>
      <c r="S532" s="33">
        <f t="shared" si="227"/>
        <v>1.9952583339051124E-6</v>
      </c>
      <c r="T532" s="8">
        <f t="shared" si="228"/>
        <v>1</v>
      </c>
      <c r="U532" s="33">
        <f t="shared" si="218"/>
        <v>0</v>
      </c>
      <c r="V532" s="33">
        <f t="shared" si="219"/>
        <v>-0.99999800474166611</v>
      </c>
      <c r="W532" s="33">
        <f t="shared" si="220"/>
        <v>562.96400199525829</v>
      </c>
      <c r="X532" s="33">
        <v>96485</v>
      </c>
      <c r="Y532" s="16">
        <f t="shared" si="221"/>
        <v>-171.38717066373337</v>
      </c>
      <c r="Z532" s="16">
        <v>11</v>
      </c>
      <c r="AA532" s="16">
        <v>21</v>
      </c>
      <c r="AB532" s="8">
        <f t="shared" si="222"/>
        <v>0.33082706766917291</v>
      </c>
      <c r="AC532" s="16">
        <f t="shared" si="223"/>
        <v>70.749196757239829</v>
      </c>
      <c r="AD532" s="20">
        <f>'PFAS Properties'!$W$36</f>
        <v>10</v>
      </c>
      <c r="AE532" s="8">
        <f>'PFAS Properties'!$S$36</f>
        <v>8.6001717619175692E-3</v>
      </c>
      <c r="AF532" s="15">
        <f>'PFAS Properties'!$V$36</f>
        <v>6.9</v>
      </c>
      <c r="AG532" s="26">
        <v>5.5</v>
      </c>
      <c r="AH532" s="2" t="s">
        <v>701</v>
      </c>
      <c r="AI532" s="15">
        <f t="shared" si="232"/>
        <v>7.2598499999999992</v>
      </c>
      <c r="AJ532" s="16">
        <v>130</v>
      </c>
      <c r="AK532" s="8">
        <f t="shared" si="229"/>
        <v>0.72598499999999988</v>
      </c>
      <c r="AL532" s="15">
        <f t="shared" si="233"/>
        <v>13.491</v>
      </c>
      <c r="AM532" s="16">
        <v>500</v>
      </c>
      <c r="AN532" s="8">
        <f t="shared" si="230"/>
        <v>1.3491</v>
      </c>
      <c r="AO532" s="15" t="s">
        <v>705</v>
      </c>
      <c r="AP532" s="2">
        <v>1</v>
      </c>
      <c r="AQ532" s="15" t="s">
        <v>702</v>
      </c>
      <c r="AR532" s="4">
        <v>54</v>
      </c>
      <c r="AS532" s="4">
        <v>42</v>
      </c>
      <c r="AT532" s="4">
        <v>4</v>
      </c>
      <c r="AU532" s="2" t="s">
        <v>703</v>
      </c>
      <c r="AV532" s="16">
        <f t="shared" si="208"/>
        <v>100</v>
      </c>
      <c r="AW532" s="27">
        <v>2.2000000000000002</v>
      </c>
      <c r="AX532" s="13">
        <f t="shared" si="231"/>
        <v>2.2000000000000002E-2</v>
      </c>
      <c r="AY532" s="8" t="s">
        <v>704</v>
      </c>
      <c r="AZ532" s="16">
        <v>10</v>
      </c>
      <c r="BA532" s="16" t="s">
        <v>55</v>
      </c>
      <c r="BB532" s="16" t="s">
        <v>55</v>
      </c>
      <c r="BC532" s="16" t="s">
        <v>55</v>
      </c>
      <c r="BD532" s="24">
        <f t="shared" si="234"/>
        <v>134.89628825916537</v>
      </c>
      <c r="BE532" s="16">
        <f t="shared" si="224"/>
        <v>6131.6494663256981</v>
      </c>
      <c r="BF532" s="16">
        <f t="shared" si="225"/>
        <v>3.7875773191777937</v>
      </c>
      <c r="BG532" s="8">
        <f>(2.53+1.73)/2</f>
        <v>2.13</v>
      </c>
      <c r="BH532" s="15" t="s">
        <v>847</v>
      </c>
      <c r="BI532" s="1"/>
      <c r="BJ532" s="2"/>
      <c r="BK532" s="1"/>
      <c r="BL532" s="1"/>
      <c r="BM532" s="7"/>
      <c r="BN532" s="7"/>
      <c r="BO532" s="1"/>
      <c r="BP532" s="11"/>
      <c r="BQ532" s="11"/>
    </row>
    <row r="533" spans="1:69" x14ac:dyDescent="0.3">
      <c r="A533" s="20">
        <v>541</v>
      </c>
      <c r="B533" s="2" t="s">
        <v>690</v>
      </c>
      <c r="C533" s="2">
        <v>2023</v>
      </c>
      <c r="D533" s="2" t="s">
        <v>199</v>
      </c>
      <c r="E533" s="10" t="s">
        <v>803</v>
      </c>
      <c r="F533" s="20" t="s">
        <v>29</v>
      </c>
      <c r="G533" s="2" t="s">
        <v>694</v>
      </c>
      <c r="H533" s="2" t="str">
        <f>'PFAS Properties'!$B$36</f>
        <v>PFUnA</v>
      </c>
      <c r="I533" s="2" t="str">
        <f>'PFAS Properties'!$C$36</f>
        <v>PFCA</v>
      </c>
      <c r="J533" s="2" t="str">
        <f>'PFAS Properties'!$D$36</f>
        <v>C11HF21O2</v>
      </c>
      <c r="K533" s="25">
        <f>'PFAS Properties'!$P$36</f>
        <v>563.96399999999994</v>
      </c>
      <c r="L533" s="2">
        <f>'PFAS Properties'!$X$36</f>
        <v>-0.2</v>
      </c>
      <c r="M533" s="2" t="str">
        <f>'PFAS Properties'!$Y$36</f>
        <v>-</v>
      </c>
      <c r="N533" s="33">
        <v>0</v>
      </c>
      <c r="O533" s="33">
        <v>0</v>
      </c>
      <c r="P533" s="33">
        <v>0</v>
      </c>
      <c r="Q533" s="33">
        <f t="shared" si="226"/>
        <v>0.99999999601892831</v>
      </c>
      <c r="R533" s="33">
        <v>0</v>
      </c>
      <c r="S533" s="33">
        <f t="shared" si="227"/>
        <v>3.9810716896860486E-9</v>
      </c>
      <c r="T533" s="8">
        <f t="shared" si="228"/>
        <v>1</v>
      </c>
      <c r="U533" s="33">
        <f t="shared" si="218"/>
        <v>0</v>
      </c>
      <c r="V533" s="33">
        <f t="shared" si="219"/>
        <v>-0.99999999601892831</v>
      </c>
      <c r="W533" s="33">
        <f t="shared" si="220"/>
        <v>562.96400000398103</v>
      </c>
      <c r="X533" s="33">
        <v>96485</v>
      </c>
      <c r="Y533" s="16">
        <f t="shared" si="221"/>
        <v>-171.38751255001029</v>
      </c>
      <c r="Z533" s="16">
        <v>11</v>
      </c>
      <c r="AA533" s="16">
        <v>21</v>
      </c>
      <c r="AB533" s="8">
        <f t="shared" si="222"/>
        <v>0.33082706766917291</v>
      </c>
      <c r="AC533" s="16">
        <f t="shared" si="223"/>
        <v>70.749196757239829</v>
      </c>
      <c r="AD533" s="20">
        <f>'PFAS Properties'!$W$36</f>
        <v>10</v>
      </c>
      <c r="AE533" s="8">
        <f>'PFAS Properties'!$S$36</f>
        <v>8.6001717619175692E-3</v>
      </c>
      <c r="AF533" s="15">
        <f>'PFAS Properties'!$V$36</f>
        <v>6.9</v>
      </c>
      <c r="AG533" s="26">
        <v>8.1999999999999993</v>
      </c>
      <c r="AH533" s="2" t="s">
        <v>701</v>
      </c>
      <c r="AI533" s="15">
        <f t="shared" si="232"/>
        <v>1.89873</v>
      </c>
      <c r="AJ533" s="16">
        <v>34</v>
      </c>
      <c r="AK533" s="8">
        <f t="shared" si="229"/>
        <v>0.18987300000000001</v>
      </c>
      <c r="AL533" s="15">
        <f t="shared" si="233"/>
        <v>0.75549599999999995</v>
      </c>
      <c r="AM533" s="16">
        <v>28</v>
      </c>
      <c r="AN533" s="8">
        <f t="shared" si="230"/>
        <v>7.5549599999999995E-2</v>
      </c>
      <c r="AO533" s="15" t="s">
        <v>705</v>
      </c>
      <c r="AP533" s="2">
        <v>15</v>
      </c>
      <c r="AQ533" s="15" t="s">
        <v>702</v>
      </c>
      <c r="AR533" s="4">
        <v>27</v>
      </c>
      <c r="AS533" s="4">
        <v>56</v>
      </c>
      <c r="AT533" s="4">
        <v>16</v>
      </c>
      <c r="AU533" s="2" t="s">
        <v>703</v>
      </c>
      <c r="AV533" s="16">
        <f t="shared" si="208"/>
        <v>99</v>
      </c>
      <c r="AW533" s="27">
        <v>1.6</v>
      </c>
      <c r="AX533" s="13">
        <f t="shared" si="231"/>
        <v>1.6E-2</v>
      </c>
      <c r="AY533" s="8" t="s">
        <v>704</v>
      </c>
      <c r="AZ533" s="16">
        <v>10</v>
      </c>
      <c r="BA533" s="16" t="s">
        <v>55</v>
      </c>
      <c r="BB533" s="16" t="s">
        <v>55</v>
      </c>
      <c r="BC533" s="16" t="s">
        <v>55</v>
      </c>
      <c r="BD533" s="24">
        <f t="shared" si="234"/>
        <v>28.183829312644548</v>
      </c>
      <c r="BE533" s="16">
        <f t="shared" si="224"/>
        <v>1761.4893320402841</v>
      </c>
      <c r="BF533" s="16">
        <f t="shared" si="225"/>
        <v>3.2458800173440752</v>
      </c>
      <c r="BG533" s="8">
        <v>1.45</v>
      </c>
      <c r="BH533" s="15" t="s">
        <v>848</v>
      </c>
      <c r="BI533" s="1"/>
      <c r="BJ533" s="2"/>
      <c r="BK533" s="1"/>
      <c r="BL533" s="1"/>
      <c r="BM533" s="7"/>
      <c r="BN533" s="7"/>
      <c r="BO533" s="1"/>
      <c r="BP533" s="11"/>
      <c r="BQ533" s="11"/>
    </row>
    <row r="534" spans="1:69" x14ac:dyDescent="0.3">
      <c r="A534" s="20">
        <v>542</v>
      </c>
      <c r="B534" s="2" t="s">
        <v>690</v>
      </c>
      <c r="C534" s="2">
        <v>2023</v>
      </c>
      <c r="D534" s="2" t="s">
        <v>199</v>
      </c>
      <c r="E534" s="10" t="s">
        <v>803</v>
      </c>
      <c r="F534" s="20" t="s">
        <v>29</v>
      </c>
      <c r="G534" s="2" t="s">
        <v>693</v>
      </c>
      <c r="H534" s="2" t="str">
        <f>'PFAS Properties'!$B$36</f>
        <v>PFUnA</v>
      </c>
      <c r="I534" s="2" t="str">
        <f>'PFAS Properties'!$C$36</f>
        <v>PFCA</v>
      </c>
      <c r="J534" s="2" t="str">
        <f>'PFAS Properties'!$D$36</f>
        <v>C11HF21O2</v>
      </c>
      <c r="K534" s="25">
        <f>'PFAS Properties'!$P$36</f>
        <v>563.96399999999994</v>
      </c>
      <c r="L534" s="2">
        <f>'PFAS Properties'!$X$36</f>
        <v>-0.2</v>
      </c>
      <c r="M534" s="2" t="str">
        <f>'PFAS Properties'!$Y$36</f>
        <v>-</v>
      </c>
      <c r="N534" s="33">
        <v>0</v>
      </c>
      <c r="O534" s="33">
        <v>0</v>
      </c>
      <c r="P534" s="33">
        <v>0</v>
      </c>
      <c r="Q534" s="33">
        <f t="shared" si="226"/>
        <v>0.99999800474166611</v>
      </c>
      <c r="R534" s="33">
        <v>0</v>
      </c>
      <c r="S534" s="33">
        <f t="shared" si="227"/>
        <v>1.9952583339051124E-6</v>
      </c>
      <c r="T534" s="8">
        <f t="shared" si="228"/>
        <v>1</v>
      </c>
      <c r="U534" s="33">
        <f t="shared" si="218"/>
        <v>0</v>
      </c>
      <c r="V534" s="33">
        <f t="shared" si="219"/>
        <v>-0.99999800474166611</v>
      </c>
      <c r="W534" s="33">
        <f t="shared" si="220"/>
        <v>562.96400199525829</v>
      </c>
      <c r="X534" s="33">
        <v>96485</v>
      </c>
      <c r="Y534" s="16">
        <f t="shared" si="221"/>
        <v>-171.38717066373337</v>
      </c>
      <c r="Z534" s="16">
        <v>11</v>
      </c>
      <c r="AA534" s="16">
        <v>21</v>
      </c>
      <c r="AB534" s="8">
        <f t="shared" si="222"/>
        <v>0.33082706766917291</v>
      </c>
      <c r="AC534" s="16">
        <f t="shared" si="223"/>
        <v>70.749196757239829</v>
      </c>
      <c r="AD534" s="20">
        <f>'PFAS Properties'!$W$36</f>
        <v>10</v>
      </c>
      <c r="AE534" s="8">
        <f>'PFAS Properties'!$S$36</f>
        <v>8.6001717619175692E-3</v>
      </c>
      <c r="AF534" s="15">
        <f>'PFAS Properties'!$V$36</f>
        <v>6.9</v>
      </c>
      <c r="AG534" s="26">
        <v>5.5</v>
      </c>
      <c r="AH534" s="2" t="s">
        <v>701</v>
      </c>
      <c r="AI534" s="15">
        <f t="shared" si="232"/>
        <v>6.1429499999999999</v>
      </c>
      <c r="AJ534" s="16">
        <v>110</v>
      </c>
      <c r="AK534" s="8">
        <f t="shared" si="229"/>
        <v>0.61429500000000004</v>
      </c>
      <c r="AL534" s="15">
        <f t="shared" si="233"/>
        <v>0.83644200000000002</v>
      </c>
      <c r="AM534" s="16">
        <v>31</v>
      </c>
      <c r="AN534" s="8">
        <f t="shared" si="230"/>
        <v>8.3644200000000002E-2</v>
      </c>
      <c r="AO534" s="15" t="s">
        <v>705</v>
      </c>
      <c r="AP534" s="2">
        <v>8.6</v>
      </c>
      <c r="AQ534" s="15" t="s">
        <v>702</v>
      </c>
      <c r="AR534" s="4">
        <v>27</v>
      </c>
      <c r="AS534" s="4">
        <v>44</v>
      </c>
      <c r="AT534" s="4">
        <v>29</v>
      </c>
      <c r="AU534" s="2" t="s">
        <v>703</v>
      </c>
      <c r="AV534" s="16">
        <f t="shared" si="208"/>
        <v>100</v>
      </c>
      <c r="AW534" s="27">
        <v>1.3</v>
      </c>
      <c r="AX534" s="13">
        <f t="shared" si="231"/>
        <v>1.3000000000000001E-2</v>
      </c>
      <c r="AY534" s="8" t="s">
        <v>704</v>
      </c>
      <c r="AZ534" s="16">
        <v>10</v>
      </c>
      <c r="BA534" s="16" t="s">
        <v>55</v>
      </c>
      <c r="BB534" s="16" t="s">
        <v>55</v>
      </c>
      <c r="BC534" s="16" t="s">
        <v>55</v>
      </c>
      <c r="BD534" s="24">
        <f t="shared" si="234"/>
        <v>71.614341021290201</v>
      </c>
      <c r="BE534" s="16">
        <f t="shared" si="224"/>
        <v>5508.7954631761686</v>
      </c>
      <c r="BF534" s="16">
        <f t="shared" si="225"/>
        <v>3.741056647693163</v>
      </c>
      <c r="BG534" s="8">
        <f>(1.84+1.87)/2</f>
        <v>1.855</v>
      </c>
      <c r="BH534" s="15" t="s">
        <v>849</v>
      </c>
      <c r="BI534" s="1"/>
      <c r="BJ534" s="2"/>
      <c r="BK534" s="1"/>
      <c r="BL534" s="1"/>
      <c r="BM534" s="7"/>
      <c r="BN534" s="7"/>
      <c r="BO534" s="1"/>
      <c r="BP534" s="11"/>
      <c r="BQ534" s="11"/>
    </row>
    <row r="535" spans="1:69" x14ac:dyDescent="0.3">
      <c r="A535" s="20">
        <v>543</v>
      </c>
      <c r="B535" s="2" t="s">
        <v>690</v>
      </c>
      <c r="C535" s="2">
        <v>2023</v>
      </c>
      <c r="D535" s="2" t="s">
        <v>199</v>
      </c>
      <c r="E535" s="10" t="s">
        <v>803</v>
      </c>
      <c r="F535" s="20" t="s">
        <v>29</v>
      </c>
      <c r="G535" s="2" t="s">
        <v>695</v>
      </c>
      <c r="H535" s="2" t="str">
        <f>'PFAS Properties'!$B$36</f>
        <v>PFUnA</v>
      </c>
      <c r="I535" s="2" t="str">
        <f>'PFAS Properties'!$C$36</f>
        <v>PFCA</v>
      </c>
      <c r="J535" s="2" t="str">
        <f>'PFAS Properties'!$D$36</f>
        <v>C11HF21O2</v>
      </c>
      <c r="K535" s="25">
        <f>'PFAS Properties'!$P$36</f>
        <v>563.96399999999994</v>
      </c>
      <c r="L535" s="2">
        <f>'PFAS Properties'!$X$36</f>
        <v>-0.2</v>
      </c>
      <c r="M535" s="2" t="str">
        <f>'PFAS Properties'!$Y$36</f>
        <v>-</v>
      </c>
      <c r="N535" s="33">
        <v>0</v>
      </c>
      <c r="O535" s="33">
        <v>0</v>
      </c>
      <c r="P535" s="33">
        <v>0</v>
      </c>
      <c r="Q535" s="33">
        <f t="shared" si="226"/>
        <v>0.99999999683772234</v>
      </c>
      <c r="R535" s="33">
        <v>0</v>
      </c>
      <c r="S535" s="33">
        <f t="shared" si="227"/>
        <v>3.162277650168378E-9</v>
      </c>
      <c r="T535" s="8">
        <f t="shared" si="228"/>
        <v>1</v>
      </c>
      <c r="U535" s="33">
        <f t="shared" si="218"/>
        <v>0</v>
      </c>
      <c r="V535" s="33">
        <f t="shared" si="219"/>
        <v>-0.99999999683772234</v>
      </c>
      <c r="W535" s="33">
        <f t="shared" si="220"/>
        <v>562.96400000316225</v>
      </c>
      <c r="X535" s="33">
        <v>96485</v>
      </c>
      <c r="Y535" s="16">
        <f t="shared" si="221"/>
        <v>-171.38751269059065</v>
      </c>
      <c r="Z535" s="16">
        <v>11</v>
      </c>
      <c r="AA535" s="16">
        <v>21</v>
      </c>
      <c r="AB535" s="8">
        <f t="shared" si="222"/>
        <v>0.33082706766917291</v>
      </c>
      <c r="AC535" s="16">
        <f t="shared" si="223"/>
        <v>70.749196757239829</v>
      </c>
      <c r="AD535" s="20">
        <f>'PFAS Properties'!$W$36</f>
        <v>10</v>
      </c>
      <c r="AE535" s="8">
        <f>'PFAS Properties'!$S$36</f>
        <v>8.6001717619175692E-3</v>
      </c>
      <c r="AF535" s="15">
        <f>'PFAS Properties'!$V$36</f>
        <v>6.9</v>
      </c>
      <c r="AG535" s="26">
        <v>8.3000000000000007</v>
      </c>
      <c r="AH535" s="2" t="s">
        <v>701</v>
      </c>
      <c r="AI535" s="15">
        <f t="shared" si="232"/>
        <v>2.066265</v>
      </c>
      <c r="AJ535" s="16">
        <v>37</v>
      </c>
      <c r="AK535" s="8">
        <f t="shared" si="229"/>
        <v>0.20662649999999999</v>
      </c>
      <c r="AL535" s="15">
        <f t="shared" si="233"/>
        <v>0.72851399999999999</v>
      </c>
      <c r="AM535" s="16">
        <v>27</v>
      </c>
      <c r="AN535" s="8">
        <f t="shared" si="230"/>
        <v>7.2851399999999997E-2</v>
      </c>
      <c r="AO535" s="15" t="s">
        <v>705</v>
      </c>
      <c r="AP535" s="2">
        <v>14</v>
      </c>
      <c r="AQ535" s="15" t="s">
        <v>702</v>
      </c>
      <c r="AR535" s="4">
        <v>80</v>
      </c>
      <c r="AS535" s="4">
        <v>15</v>
      </c>
      <c r="AT535" s="4">
        <v>4.4000000000000004</v>
      </c>
      <c r="AU535" s="2" t="s">
        <v>703</v>
      </c>
      <c r="AV535" s="16">
        <f t="shared" si="208"/>
        <v>99.4</v>
      </c>
      <c r="AW535" s="27">
        <v>1.2</v>
      </c>
      <c r="AX535" s="13">
        <f t="shared" si="231"/>
        <v>1.2E-2</v>
      </c>
      <c r="AY535" s="8" t="s">
        <v>704</v>
      </c>
      <c r="AZ535" s="16">
        <v>10</v>
      </c>
      <c r="BA535" s="16" t="s">
        <v>55</v>
      </c>
      <c r="BB535" s="16" t="s">
        <v>55</v>
      </c>
      <c r="BC535" s="16" t="s">
        <v>55</v>
      </c>
      <c r="BD535" s="24">
        <f t="shared" si="234"/>
        <v>213.79620895022339</v>
      </c>
      <c r="BE535" s="16">
        <f t="shared" si="224"/>
        <v>17816.350745851949</v>
      </c>
      <c r="BF535" s="16">
        <f t="shared" si="225"/>
        <v>4.2508187539523759</v>
      </c>
      <c r="BG535" s="8">
        <f>(2.38+2.28)/2</f>
        <v>2.33</v>
      </c>
      <c r="BH535" s="15" t="s">
        <v>850</v>
      </c>
      <c r="BI535" s="1"/>
      <c r="BJ535" s="2"/>
      <c r="BK535" s="1"/>
      <c r="BL535" s="1"/>
      <c r="BM535" s="7"/>
      <c r="BN535" s="7"/>
      <c r="BO535" s="1"/>
      <c r="BP535" s="11"/>
      <c r="BQ535" s="11"/>
    </row>
    <row r="536" spans="1:69" x14ac:dyDescent="0.3">
      <c r="A536" s="20">
        <v>544</v>
      </c>
      <c r="B536" s="2" t="s">
        <v>690</v>
      </c>
      <c r="C536" s="2">
        <v>2023</v>
      </c>
      <c r="D536" s="2" t="s">
        <v>199</v>
      </c>
      <c r="E536" s="10" t="s">
        <v>803</v>
      </c>
      <c r="F536" s="20" t="s">
        <v>29</v>
      </c>
      <c r="G536" s="2" t="s">
        <v>696</v>
      </c>
      <c r="H536" s="2" t="str">
        <f>'PFAS Properties'!$B$36</f>
        <v>PFUnA</v>
      </c>
      <c r="I536" s="2" t="str">
        <f>'PFAS Properties'!$C$36</f>
        <v>PFCA</v>
      </c>
      <c r="J536" s="2" t="str">
        <f>'PFAS Properties'!$D$36</f>
        <v>C11HF21O2</v>
      </c>
      <c r="K536" s="25">
        <f>'PFAS Properties'!$P$36</f>
        <v>563.96399999999994</v>
      </c>
      <c r="L536" s="2">
        <f>'PFAS Properties'!$X$36</f>
        <v>-0.2</v>
      </c>
      <c r="M536" s="2" t="str">
        <f>'PFAS Properties'!$Y$36</f>
        <v>-</v>
      </c>
      <c r="N536" s="33">
        <v>0</v>
      </c>
      <c r="O536" s="33">
        <v>0</v>
      </c>
      <c r="P536" s="33">
        <v>0</v>
      </c>
      <c r="Q536" s="33">
        <f t="shared" si="226"/>
        <v>0.99999800474166611</v>
      </c>
      <c r="R536" s="33">
        <v>0</v>
      </c>
      <c r="S536" s="33">
        <f t="shared" si="227"/>
        <v>1.9952583339051124E-6</v>
      </c>
      <c r="T536" s="8">
        <f t="shared" si="228"/>
        <v>1</v>
      </c>
      <c r="U536" s="33">
        <f t="shared" si="218"/>
        <v>0</v>
      </c>
      <c r="V536" s="33">
        <f t="shared" si="219"/>
        <v>-0.99999800474166611</v>
      </c>
      <c r="W536" s="33">
        <f t="shared" si="220"/>
        <v>562.96400199525829</v>
      </c>
      <c r="X536" s="33">
        <v>96485</v>
      </c>
      <c r="Y536" s="16">
        <f t="shared" si="221"/>
        <v>-171.38717066373337</v>
      </c>
      <c r="Z536" s="16">
        <v>11</v>
      </c>
      <c r="AA536" s="16">
        <v>21</v>
      </c>
      <c r="AB536" s="8">
        <f t="shared" si="222"/>
        <v>0.33082706766917291</v>
      </c>
      <c r="AC536" s="16">
        <f t="shared" si="223"/>
        <v>70.749196757239829</v>
      </c>
      <c r="AD536" s="20">
        <f>'PFAS Properties'!$W$36</f>
        <v>10</v>
      </c>
      <c r="AE536" s="8">
        <f>'PFAS Properties'!$S$36</f>
        <v>8.6001717619175692E-3</v>
      </c>
      <c r="AF536" s="15">
        <f>'PFAS Properties'!$V$36</f>
        <v>6.9</v>
      </c>
      <c r="AG536" s="26">
        <v>5.5</v>
      </c>
      <c r="AH536" s="2" t="s">
        <v>701</v>
      </c>
      <c r="AI536" s="15">
        <f t="shared" si="232"/>
        <v>1.3402799999999999</v>
      </c>
      <c r="AJ536" s="16">
        <v>24</v>
      </c>
      <c r="AK536" s="8">
        <f t="shared" si="229"/>
        <v>0.13402799999999998</v>
      </c>
      <c r="AL536" s="15">
        <f t="shared" si="233"/>
        <v>0.32378400000000002</v>
      </c>
      <c r="AM536" s="16">
        <v>12</v>
      </c>
      <c r="AN536" s="8">
        <f t="shared" si="230"/>
        <v>3.2378400000000002E-2</v>
      </c>
      <c r="AO536" s="15" t="s">
        <v>705</v>
      </c>
      <c r="AP536" s="2">
        <v>2.6</v>
      </c>
      <c r="AQ536" s="15" t="s">
        <v>702</v>
      </c>
      <c r="AR536" s="4">
        <v>86</v>
      </c>
      <c r="AS536" s="4">
        <v>8</v>
      </c>
      <c r="AT536" s="4">
        <v>6</v>
      </c>
      <c r="AU536" s="2" t="s">
        <v>703</v>
      </c>
      <c r="AV536" s="16">
        <f t="shared" si="208"/>
        <v>100</v>
      </c>
      <c r="AW536" s="27">
        <v>1.2</v>
      </c>
      <c r="AX536" s="13">
        <f t="shared" si="231"/>
        <v>1.2E-2</v>
      </c>
      <c r="AY536" s="8" t="s">
        <v>704</v>
      </c>
      <c r="AZ536" s="16">
        <v>10</v>
      </c>
      <c r="BA536" s="16" t="s">
        <v>55</v>
      </c>
      <c r="BB536" s="16" t="s">
        <v>55</v>
      </c>
      <c r="BC536" s="16" t="s">
        <v>55</v>
      </c>
      <c r="BD536" s="24">
        <f t="shared" si="234"/>
        <v>43.651583224016612</v>
      </c>
      <c r="BE536" s="16">
        <f t="shared" si="224"/>
        <v>3637.6319353347176</v>
      </c>
      <c r="BF536" s="16">
        <f t="shared" si="225"/>
        <v>3.5608187539523755</v>
      </c>
      <c r="BG536" s="8">
        <v>1.64</v>
      </c>
      <c r="BH536" s="15" t="s">
        <v>851</v>
      </c>
      <c r="BI536" s="1"/>
      <c r="BJ536" s="2"/>
      <c r="BK536" s="1"/>
      <c r="BL536" s="1"/>
      <c r="BM536" s="7"/>
      <c r="BN536" s="7"/>
      <c r="BO536" s="1"/>
      <c r="BP536" s="11"/>
      <c r="BQ536" s="11"/>
    </row>
    <row r="537" spans="1:69" x14ac:dyDescent="0.3">
      <c r="A537" s="20">
        <v>545</v>
      </c>
      <c r="B537" s="2" t="s">
        <v>690</v>
      </c>
      <c r="C537" s="2">
        <v>2023</v>
      </c>
      <c r="D537" s="2" t="s">
        <v>199</v>
      </c>
      <c r="E537" s="10" t="s">
        <v>803</v>
      </c>
      <c r="F537" s="20" t="s">
        <v>29</v>
      </c>
      <c r="G537" s="2" t="s">
        <v>697</v>
      </c>
      <c r="H537" s="2" t="str">
        <f>'PFAS Properties'!$B$36</f>
        <v>PFUnA</v>
      </c>
      <c r="I537" s="2" t="str">
        <f>'PFAS Properties'!$C$36</f>
        <v>PFCA</v>
      </c>
      <c r="J537" s="2" t="str">
        <f>'PFAS Properties'!$D$36</f>
        <v>C11HF21O2</v>
      </c>
      <c r="K537" s="25">
        <f>'PFAS Properties'!$P$36</f>
        <v>563.96399999999994</v>
      </c>
      <c r="L537" s="2">
        <f>'PFAS Properties'!$X$36</f>
        <v>-0.2</v>
      </c>
      <c r="M537" s="2" t="str">
        <f>'PFAS Properties'!$Y$36</f>
        <v>-</v>
      </c>
      <c r="N537" s="33">
        <v>0</v>
      </c>
      <c r="O537" s="33">
        <v>0</v>
      </c>
      <c r="P537" s="33">
        <v>0</v>
      </c>
      <c r="Q537" s="33">
        <f t="shared" si="226"/>
        <v>0.99998415131926011</v>
      </c>
      <c r="R537" s="33">
        <v>0</v>
      </c>
      <c r="S537" s="33">
        <f t="shared" si="227"/>
        <v>1.5848680739948987E-5</v>
      </c>
      <c r="T537" s="8">
        <f t="shared" si="228"/>
        <v>1</v>
      </c>
      <c r="U537" s="33">
        <f t="shared" si="218"/>
        <v>0</v>
      </c>
      <c r="V537" s="33">
        <f t="shared" si="219"/>
        <v>-0.99998415131926011</v>
      </c>
      <c r="W537" s="33">
        <f t="shared" si="220"/>
        <v>562.96401584868067</v>
      </c>
      <c r="X537" s="33">
        <v>96485</v>
      </c>
      <c r="Y537" s="16">
        <f t="shared" si="221"/>
        <v>-171.38479214268759</v>
      </c>
      <c r="Z537" s="16">
        <v>11</v>
      </c>
      <c r="AA537" s="16">
        <v>21</v>
      </c>
      <c r="AB537" s="8">
        <f t="shared" si="222"/>
        <v>0.33082706766917291</v>
      </c>
      <c r="AC537" s="16">
        <f t="shared" si="223"/>
        <v>70.749196757239829</v>
      </c>
      <c r="AD537" s="20">
        <f>'PFAS Properties'!$W$36</f>
        <v>10</v>
      </c>
      <c r="AE537" s="8">
        <f>'PFAS Properties'!$S$36</f>
        <v>8.6001717619175692E-3</v>
      </c>
      <c r="AF537" s="15">
        <f>'PFAS Properties'!$V$36</f>
        <v>6.9</v>
      </c>
      <c r="AG537" s="26">
        <v>4.5999999999999996</v>
      </c>
      <c r="AH537" s="2" t="s">
        <v>701</v>
      </c>
      <c r="AI537" s="15">
        <f t="shared" si="232"/>
        <v>0.1396125</v>
      </c>
      <c r="AJ537" s="16">
        <v>2.5</v>
      </c>
      <c r="AK537" s="8">
        <f t="shared" si="229"/>
        <v>1.396125E-2</v>
      </c>
      <c r="AL537" s="15">
        <f t="shared" si="233"/>
        <v>5.12658E-2</v>
      </c>
      <c r="AM537" s="16">
        <v>1.9</v>
      </c>
      <c r="AN537" s="8">
        <f t="shared" si="230"/>
        <v>5.1265800000000004E-3</v>
      </c>
      <c r="AO537" s="15" t="s">
        <v>705</v>
      </c>
      <c r="AP537" s="2">
        <v>1.8</v>
      </c>
      <c r="AQ537" s="15" t="s">
        <v>702</v>
      </c>
      <c r="AR537" s="4">
        <v>53</v>
      </c>
      <c r="AS537" s="4">
        <v>40</v>
      </c>
      <c r="AT537" s="4">
        <v>7</v>
      </c>
      <c r="AU537" s="2" t="s">
        <v>703</v>
      </c>
      <c r="AV537" s="16">
        <f t="shared" si="208"/>
        <v>100</v>
      </c>
      <c r="AW537" s="27">
        <v>1.1000000000000001</v>
      </c>
      <c r="AX537" s="13">
        <f t="shared" si="231"/>
        <v>1.1000000000000001E-2</v>
      </c>
      <c r="AY537" s="8" t="s">
        <v>704</v>
      </c>
      <c r="AZ537" s="16">
        <v>10</v>
      </c>
      <c r="BA537" s="16" t="s">
        <v>55</v>
      </c>
      <c r="BB537" s="16" t="s">
        <v>55</v>
      </c>
      <c r="BC537" s="16" t="s">
        <v>55</v>
      </c>
      <c r="BD537" s="24">
        <f t="shared" si="234"/>
        <v>21.877616239495538</v>
      </c>
      <c r="BE537" s="16">
        <f t="shared" si="224"/>
        <v>1988.8742035905032</v>
      </c>
      <c r="BF537" s="16">
        <f t="shared" si="225"/>
        <v>3.2986073148417749</v>
      </c>
      <c r="BG537" s="8">
        <v>1.34</v>
      </c>
      <c r="BH537" s="15" t="s">
        <v>849</v>
      </c>
      <c r="BI537" s="1"/>
      <c r="BJ537" s="2"/>
      <c r="BK537" s="1"/>
      <c r="BL537" s="1"/>
      <c r="BM537" s="7"/>
      <c r="BN537" s="7"/>
      <c r="BO537" s="1"/>
      <c r="BP537" s="11"/>
      <c r="BQ537" s="11"/>
    </row>
    <row r="538" spans="1:69" x14ac:dyDescent="0.3">
      <c r="A538" s="20">
        <v>546</v>
      </c>
      <c r="B538" s="2" t="s">
        <v>690</v>
      </c>
      <c r="C538" s="2">
        <v>2023</v>
      </c>
      <c r="D538" s="2" t="s">
        <v>199</v>
      </c>
      <c r="E538" s="10" t="s">
        <v>803</v>
      </c>
      <c r="F538" s="20" t="s">
        <v>29</v>
      </c>
      <c r="G538" s="2" t="s">
        <v>698</v>
      </c>
      <c r="H538" s="2" t="str">
        <f>'PFAS Properties'!$B$36</f>
        <v>PFUnA</v>
      </c>
      <c r="I538" s="2" t="str">
        <f>'PFAS Properties'!$C$36</f>
        <v>PFCA</v>
      </c>
      <c r="J538" s="2" t="str">
        <f>'PFAS Properties'!$D$36</f>
        <v>C11HF21O2</v>
      </c>
      <c r="K538" s="25">
        <f>'PFAS Properties'!$P$36</f>
        <v>563.96399999999994</v>
      </c>
      <c r="L538" s="2">
        <f>'PFAS Properties'!$X$36</f>
        <v>-0.2</v>
      </c>
      <c r="M538" s="2" t="str">
        <f>'PFAS Properties'!$Y$36</f>
        <v>-</v>
      </c>
      <c r="N538" s="33">
        <v>0</v>
      </c>
      <c r="O538" s="33">
        <v>0</v>
      </c>
      <c r="P538" s="33">
        <v>0</v>
      </c>
      <c r="Q538" s="33">
        <f t="shared" si="226"/>
        <v>0.99999984151070587</v>
      </c>
      <c r="R538" s="33">
        <v>0</v>
      </c>
      <c r="S538" s="33">
        <f t="shared" si="227"/>
        <v>1.5848929412725089E-7</v>
      </c>
      <c r="T538" s="8">
        <f t="shared" si="228"/>
        <v>1</v>
      </c>
      <c r="U538" s="33">
        <f t="shared" si="218"/>
        <v>0</v>
      </c>
      <c r="V538" s="33">
        <f t="shared" si="219"/>
        <v>-0.99999984151070587</v>
      </c>
      <c r="W538" s="33">
        <f t="shared" si="220"/>
        <v>562.96400015848928</v>
      </c>
      <c r="X538" s="33">
        <v>96485</v>
      </c>
      <c r="Y538" s="16">
        <f t="shared" si="221"/>
        <v>-171.38748602219215</v>
      </c>
      <c r="Z538" s="16">
        <v>11</v>
      </c>
      <c r="AA538" s="16">
        <v>21</v>
      </c>
      <c r="AB538" s="8">
        <f t="shared" si="222"/>
        <v>0.33082706766917291</v>
      </c>
      <c r="AC538" s="16">
        <f t="shared" si="223"/>
        <v>70.749196757239829</v>
      </c>
      <c r="AD538" s="20">
        <f>'PFAS Properties'!$W$36</f>
        <v>10</v>
      </c>
      <c r="AE538" s="8">
        <f>'PFAS Properties'!$S$36</f>
        <v>8.6001717619175692E-3</v>
      </c>
      <c r="AF538" s="15">
        <f>'PFAS Properties'!$V$36</f>
        <v>6.9</v>
      </c>
      <c r="AG538" s="26">
        <v>6.6</v>
      </c>
      <c r="AH538" s="2" t="s">
        <v>701</v>
      </c>
      <c r="AI538" s="15">
        <f t="shared" si="232"/>
        <v>11.169</v>
      </c>
      <c r="AJ538" s="16">
        <v>200</v>
      </c>
      <c r="AK538" s="8">
        <f t="shared" si="229"/>
        <v>1.1169</v>
      </c>
      <c r="AL538" s="15">
        <f t="shared" si="233"/>
        <v>1.3760819999999998</v>
      </c>
      <c r="AM538" s="16">
        <v>51</v>
      </c>
      <c r="AN538" s="8">
        <f t="shared" si="230"/>
        <v>0.13760819999999999</v>
      </c>
      <c r="AO538" s="15" t="s">
        <v>705</v>
      </c>
      <c r="AP538" s="2">
        <v>16</v>
      </c>
      <c r="AQ538" s="15" t="s">
        <v>702</v>
      </c>
      <c r="AR538" s="4">
        <v>0.68</v>
      </c>
      <c r="AS538" s="4">
        <v>48</v>
      </c>
      <c r="AT538" s="4">
        <v>52</v>
      </c>
      <c r="AU538" s="2" t="s">
        <v>703</v>
      </c>
      <c r="AV538" s="16">
        <f t="shared" si="208"/>
        <v>100.68</v>
      </c>
      <c r="AW538" s="27">
        <v>0.91</v>
      </c>
      <c r="AX538" s="13">
        <f t="shared" si="231"/>
        <v>9.1000000000000004E-3</v>
      </c>
      <c r="AY538" s="8" t="s">
        <v>704</v>
      </c>
      <c r="AZ538" s="16">
        <v>10</v>
      </c>
      <c r="BA538" s="16" t="s">
        <v>55</v>
      </c>
      <c r="BB538" s="16" t="s">
        <v>55</v>
      </c>
      <c r="BC538" s="16" t="s">
        <v>55</v>
      </c>
      <c r="BD538" s="24">
        <f t="shared" si="234"/>
        <v>25.118864315095799</v>
      </c>
      <c r="BE538" s="16">
        <f t="shared" si="224"/>
        <v>2760.314759900637</v>
      </c>
      <c r="BF538" s="16">
        <f t="shared" si="225"/>
        <v>3.4409586076789065</v>
      </c>
      <c r="BG538" s="8">
        <f>(1.37+1.43)/2</f>
        <v>1.4</v>
      </c>
      <c r="BH538" s="15" t="s">
        <v>852</v>
      </c>
      <c r="BI538" s="1"/>
      <c r="BJ538" s="2"/>
      <c r="BK538" s="1"/>
      <c r="BL538" s="1"/>
      <c r="BM538" s="7"/>
      <c r="BN538" s="7"/>
      <c r="BO538" s="1"/>
      <c r="BP538" s="11"/>
      <c r="BQ538" s="11"/>
    </row>
    <row r="539" spans="1:69" x14ac:dyDescent="0.3">
      <c r="A539" s="20">
        <v>547</v>
      </c>
      <c r="B539" s="2" t="s">
        <v>690</v>
      </c>
      <c r="C539" s="2">
        <v>2023</v>
      </c>
      <c r="D539" s="2" t="s">
        <v>199</v>
      </c>
      <c r="E539" s="10" t="s">
        <v>803</v>
      </c>
      <c r="F539" s="20" t="s">
        <v>29</v>
      </c>
      <c r="G539" s="2" t="s">
        <v>699</v>
      </c>
      <c r="H539" s="2" t="str">
        <f>'PFAS Properties'!$B$36</f>
        <v>PFUnA</v>
      </c>
      <c r="I539" s="2" t="str">
        <f>'PFAS Properties'!$C$36</f>
        <v>PFCA</v>
      </c>
      <c r="J539" s="2" t="str">
        <f>'PFAS Properties'!$D$36</f>
        <v>C11HF21O2</v>
      </c>
      <c r="K539" s="25">
        <f>'PFAS Properties'!$P$36</f>
        <v>563.96399999999994</v>
      </c>
      <c r="L539" s="2">
        <f>'PFAS Properties'!$X$36</f>
        <v>-0.2</v>
      </c>
      <c r="M539" s="2" t="str">
        <f>'PFAS Properties'!$Y$36</f>
        <v>-</v>
      </c>
      <c r="N539" s="33">
        <v>0</v>
      </c>
      <c r="O539" s="33">
        <v>0</v>
      </c>
      <c r="P539" s="33">
        <v>0</v>
      </c>
      <c r="Q539" s="33">
        <f t="shared" si="226"/>
        <v>0.99999900000099995</v>
      </c>
      <c r="R539" s="33">
        <v>0</v>
      </c>
      <c r="S539" s="33">
        <f t="shared" si="227"/>
        <v>9.9999900000100006E-7</v>
      </c>
      <c r="T539" s="8">
        <f t="shared" si="228"/>
        <v>1</v>
      </c>
      <c r="U539" s="33">
        <f t="shared" si="218"/>
        <v>0</v>
      </c>
      <c r="V539" s="33">
        <f t="shared" si="219"/>
        <v>-0.99999900000099995</v>
      </c>
      <c r="W539" s="33">
        <f t="shared" si="220"/>
        <v>562.96400099999892</v>
      </c>
      <c r="X539" s="33">
        <v>96485</v>
      </c>
      <c r="Y539" s="16">
        <f t="shared" si="221"/>
        <v>-171.38734154174927</v>
      </c>
      <c r="Z539" s="16">
        <v>11</v>
      </c>
      <c r="AA539" s="16">
        <v>21</v>
      </c>
      <c r="AB539" s="8">
        <f t="shared" si="222"/>
        <v>0.33082706766917291</v>
      </c>
      <c r="AC539" s="16">
        <f t="shared" si="223"/>
        <v>70.749196757239829</v>
      </c>
      <c r="AD539" s="20">
        <f>'PFAS Properties'!$W$36</f>
        <v>10</v>
      </c>
      <c r="AE539" s="8">
        <f>'PFAS Properties'!$S$36</f>
        <v>8.6001717619175692E-3</v>
      </c>
      <c r="AF539" s="15">
        <f>'PFAS Properties'!$V$36</f>
        <v>6.9</v>
      </c>
      <c r="AG539" s="26">
        <v>5.8</v>
      </c>
      <c r="AH539" s="2" t="s">
        <v>701</v>
      </c>
      <c r="AI539" s="15">
        <f t="shared" si="232"/>
        <v>1.6753499999999999</v>
      </c>
      <c r="AJ539" s="16">
        <v>30</v>
      </c>
      <c r="AK539" s="8">
        <f t="shared" si="229"/>
        <v>0.16753499999999999</v>
      </c>
      <c r="AL539" s="15">
        <f t="shared" si="233"/>
        <v>0.75549599999999995</v>
      </c>
      <c r="AM539" s="16">
        <v>28</v>
      </c>
      <c r="AN539" s="8">
        <f t="shared" si="230"/>
        <v>7.5549599999999995E-2</v>
      </c>
      <c r="AO539" s="15" t="s">
        <v>705</v>
      </c>
      <c r="AP539" s="2">
        <v>0.77</v>
      </c>
      <c r="AQ539" s="15" t="s">
        <v>702</v>
      </c>
      <c r="AR539" s="4">
        <v>89</v>
      </c>
      <c r="AS539" s="4">
        <v>8</v>
      </c>
      <c r="AT539" s="4">
        <v>3</v>
      </c>
      <c r="AU539" s="2" t="s">
        <v>703</v>
      </c>
      <c r="AV539" s="16">
        <f t="shared" si="208"/>
        <v>100</v>
      </c>
      <c r="AW539" s="27">
        <v>0.3</v>
      </c>
      <c r="AX539" s="13">
        <f t="shared" si="231"/>
        <v>3.0000000000000001E-3</v>
      </c>
      <c r="AY539" s="8" t="s">
        <v>704</v>
      </c>
      <c r="AZ539" s="16">
        <v>10</v>
      </c>
      <c r="BA539" s="16" t="s">
        <v>55</v>
      </c>
      <c r="BB539" s="16" t="s">
        <v>55</v>
      </c>
      <c r="BC539" s="16" t="s">
        <v>55</v>
      </c>
      <c r="BD539" s="24">
        <f t="shared" si="234"/>
        <v>16.982436524617448</v>
      </c>
      <c r="BE539" s="16">
        <f t="shared" si="224"/>
        <v>5660.8121748724825</v>
      </c>
      <c r="BF539" s="16">
        <f t="shared" si="225"/>
        <v>3.7528787452803378</v>
      </c>
      <c r="BG539" s="8">
        <v>1.23</v>
      </c>
      <c r="BH539" s="15" t="s">
        <v>853</v>
      </c>
      <c r="BI539" s="1"/>
      <c r="BJ539" s="2"/>
      <c r="BK539" s="1"/>
      <c r="BL539" s="1"/>
      <c r="BM539" s="7"/>
      <c r="BN539" s="7"/>
      <c r="BO539" s="1"/>
      <c r="BP539" s="11"/>
      <c r="BQ539" s="11"/>
    </row>
    <row r="540" spans="1:69" x14ac:dyDescent="0.3">
      <c r="A540" s="20">
        <v>548</v>
      </c>
      <c r="B540" s="2" t="s">
        <v>690</v>
      </c>
      <c r="C540" s="2">
        <v>2023</v>
      </c>
      <c r="D540" s="2" t="s">
        <v>199</v>
      </c>
      <c r="E540" s="10" t="s">
        <v>803</v>
      </c>
      <c r="F540" s="20" t="s">
        <v>29</v>
      </c>
      <c r="G540" s="2" t="s">
        <v>700</v>
      </c>
      <c r="H540" s="2" t="str">
        <f>'PFAS Properties'!$B$36</f>
        <v>PFUnA</v>
      </c>
      <c r="I540" s="2" t="str">
        <f>'PFAS Properties'!$C$36</f>
        <v>PFCA</v>
      </c>
      <c r="J540" s="2" t="str">
        <f>'PFAS Properties'!$D$36</f>
        <v>C11HF21O2</v>
      </c>
      <c r="K540" s="25">
        <f>'PFAS Properties'!$P$36</f>
        <v>563.96399999999994</v>
      </c>
      <c r="L540" s="2">
        <f>'PFAS Properties'!$X$36</f>
        <v>-0.2</v>
      </c>
      <c r="M540" s="2" t="str">
        <f>'PFAS Properties'!$Y$36</f>
        <v>-</v>
      </c>
      <c r="N540" s="33">
        <v>0</v>
      </c>
      <c r="O540" s="33">
        <v>0</v>
      </c>
      <c r="P540" s="33">
        <v>0</v>
      </c>
      <c r="Q540" s="33">
        <f t="shared" si="226"/>
        <v>0.99999683773233983</v>
      </c>
      <c r="R540" s="33">
        <v>0</v>
      </c>
      <c r="S540" s="33">
        <f t="shared" si="227"/>
        <v>3.1622676601999995E-6</v>
      </c>
      <c r="T540" s="8">
        <f t="shared" si="228"/>
        <v>1</v>
      </c>
      <c r="U540" s="33">
        <f t="shared" si="218"/>
        <v>0</v>
      </c>
      <c r="V540" s="33">
        <f t="shared" si="219"/>
        <v>-0.99999683773233983</v>
      </c>
      <c r="W540" s="33">
        <f t="shared" si="220"/>
        <v>562.96400316226766</v>
      </c>
      <c r="X540" s="33">
        <v>96485</v>
      </c>
      <c r="Y540" s="16">
        <f t="shared" si="221"/>
        <v>-171.3869702976271</v>
      </c>
      <c r="Z540" s="16">
        <v>11</v>
      </c>
      <c r="AA540" s="16">
        <v>21</v>
      </c>
      <c r="AB540" s="8">
        <f t="shared" si="222"/>
        <v>0.33082706766917291</v>
      </c>
      <c r="AC540" s="16">
        <f t="shared" si="223"/>
        <v>70.749196757239829</v>
      </c>
      <c r="AD540" s="20">
        <f>'PFAS Properties'!$W$36</f>
        <v>10</v>
      </c>
      <c r="AE540" s="8">
        <f>'PFAS Properties'!$S$36</f>
        <v>8.6001717619175692E-3</v>
      </c>
      <c r="AF540" s="15">
        <f>'PFAS Properties'!$V$36</f>
        <v>6.9</v>
      </c>
      <c r="AG540" s="26">
        <v>5.3</v>
      </c>
      <c r="AH540" s="2" t="s">
        <v>701</v>
      </c>
      <c r="AI540" s="15">
        <f t="shared" si="232"/>
        <v>1.2285899999999998</v>
      </c>
      <c r="AJ540" s="16">
        <v>22</v>
      </c>
      <c r="AK540" s="8">
        <f t="shared" si="229"/>
        <v>0.12285899999999998</v>
      </c>
      <c r="AL540" s="15">
        <f t="shared" si="233"/>
        <v>2.15856</v>
      </c>
      <c r="AM540" s="16">
        <v>80</v>
      </c>
      <c r="AN540" s="8">
        <f t="shared" si="230"/>
        <v>0.21585599999999999</v>
      </c>
      <c r="AO540" s="15" t="s">
        <v>705</v>
      </c>
      <c r="AP540" s="2">
        <v>0.45</v>
      </c>
      <c r="AQ540" s="15" t="s">
        <v>702</v>
      </c>
      <c r="AR540" s="4">
        <v>96</v>
      </c>
      <c r="AS540" s="4">
        <v>3</v>
      </c>
      <c r="AT540" s="4">
        <v>2</v>
      </c>
      <c r="AU540" s="2" t="s">
        <v>703</v>
      </c>
      <c r="AV540" s="16">
        <f t="shared" si="208"/>
        <v>101</v>
      </c>
      <c r="AW540" s="27">
        <v>0.19</v>
      </c>
      <c r="AX540" s="13">
        <f t="shared" si="231"/>
        <v>1.9E-3</v>
      </c>
      <c r="AY540" s="8" t="s">
        <v>704</v>
      </c>
      <c r="AZ540" s="16">
        <v>10</v>
      </c>
      <c r="BA540" s="16" t="s">
        <v>55</v>
      </c>
      <c r="BB540" s="16" t="s">
        <v>55</v>
      </c>
      <c r="BC540" s="16" t="s">
        <v>55</v>
      </c>
      <c r="BD540" s="24">
        <f t="shared" si="234"/>
        <v>66.069344800759623</v>
      </c>
      <c r="BE540" s="16">
        <f t="shared" si="224"/>
        <v>34773.339368820853</v>
      </c>
      <c r="BF540" s="16">
        <f t="shared" si="225"/>
        <v>4.5412463990471714</v>
      </c>
      <c r="BG540" s="8">
        <v>1.82</v>
      </c>
      <c r="BH540" s="15" t="s">
        <v>846</v>
      </c>
      <c r="BI540" s="1"/>
      <c r="BJ540" s="2"/>
      <c r="BK540" s="1"/>
      <c r="BL540" s="1"/>
      <c r="BM540" s="7"/>
      <c r="BN540" s="7"/>
      <c r="BO540" s="1"/>
      <c r="BP540" s="11"/>
      <c r="BQ540" s="11"/>
    </row>
    <row r="541" spans="1:69" x14ac:dyDescent="0.3">
      <c r="A541" s="20">
        <v>549</v>
      </c>
      <c r="B541" s="1" t="s">
        <v>873</v>
      </c>
      <c r="C541" s="1">
        <v>2007</v>
      </c>
      <c r="D541" s="1" t="s">
        <v>203</v>
      </c>
      <c r="E541" s="10" t="s">
        <v>225</v>
      </c>
      <c r="F541" s="7" t="s">
        <v>63</v>
      </c>
      <c r="G541" s="4">
        <v>1</v>
      </c>
      <c r="H541" s="2" t="str">
        <f>'PFAS Properties'!$B$36</f>
        <v>PFUnA</v>
      </c>
      <c r="I541" s="2" t="str">
        <f>'PFAS Properties'!$C$36</f>
        <v>PFCA</v>
      </c>
      <c r="J541" s="2" t="str">
        <f>'PFAS Properties'!$D$36</f>
        <v>C11HF21O2</v>
      </c>
      <c r="K541" s="25">
        <f>'PFAS Properties'!$P$36</f>
        <v>563.96399999999994</v>
      </c>
      <c r="L541" s="2">
        <f>'PFAS Properties'!$X$36</f>
        <v>-0.2</v>
      </c>
      <c r="M541" s="2" t="str">
        <f>'PFAS Properties'!$Y$36</f>
        <v>-</v>
      </c>
      <c r="N541" s="33">
        <v>0</v>
      </c>
      <c r="O541" s="33">
        <v>0</v>
      </c>
      <c r="P541" s="33">
        <v>0</v>
      </c>
      <c r="Q541" s="33">
        <f t="shared" si="226"/>
        <v>0.99999993690426958</v>
      </c>
      <c r="R541" s="33">
        <v>0</v>
      </c>
      <c r="S541" s="33">
        <f t="shared" si="227"/>
        <v>6.3095730466947729E-8</v>
      </c>
      <c r="T541" s="8">
        <f t="shared" si="228"/>
        <v>1</v>
      </c>
      <c r="U541" s="33">
        <f t="shared" si="218"/>
        <v>0</v>
      </c>
      <c r="V541" s="33">
        <f t="shared" si="219"/>
        <v>-0.99999993690426958</v>
      </c>
      <c r="W541" s="33">
        <f t="shared" si="220"/>
        <v>562.96400006309568</v>
      </c>
      <c r="X541" s="33">
        <v>96485</v>
      </c>
      <c r="Y541" s="16">
        <f t="shared" si="221"/>
        <v>-171.38750240049922</v>
      </c>
      <c r="Z541" s="16">
        <v>11</v>
      </c>
      <c r="AA541" s="16">
        <v>21</v>
      </c>
      <c r="AB541" s="8">
        <f t="shared" si="222"/>
        <v>0.33082706766917291</v>
      </c>
      <c r="AC541" s="16">
        <f t="shared" si="223"/>
        <v>70.749196757239829</v>
      </c>
      <c r="AD541" s="20">
        <f>'PFAS Properties'!$W$36</f>
        <v>10</v>
      </c>
      <c r="AE541" s="8">
        <f>'PFAS Properties'!$S$36</f>
        <v>8.6001717619175692E-3</v>
      </c>
      <c r="AF541" s="15">
        <f>'PFAS Properties'!$V$36</f>
        <v>6.9</v>
      </c>
      <c r="AG541" s="26">
        <v>7</v>
      </c>
      <c r="AH541" s="1" t="s">
        <v>363</v>
      </c>
      <c r="AI541" s="6">
        <f>334*55.85/1000</f>
        <v>18.6539</v>
      </c>
      <c r="AJ541" s="3">
        <f>AI541*1000/55.845</f>
        <v>334.0299041991226</v>
      </c>
      <c r="AK541" s="8">
        <f t="shared" si="229"/>
        <v>1.8653900000000001</v>
      </c>
      <c r="AL541" s="6">
        <f>41*26.98/1000</f>
        <v>1.1061800000000002</v>
      </c>
      <c r="AM541" s="3">
        <f>AL541*1000/26.98</f>
        <v>41</v>
      </c>
      <c r="AN541" s="8">
        <f t="shared" si="230"/>
        <v>0.11061800000000002</v>
      </c>
      <c r="AO541" s="3" t="s">
        <v>93</v>
      </c>
      <c r="AP541" s="15">
        <v>38.6</v>
      </c>
      <c r="AQ541" s="1" t="s">
        <v>363</v>
      </c>
      <c r="AR541" s="4">
        <v>11</v>
      </c>
      <c r="AS541" s="4">
        <v>36</v>
      </c>
      <c r="AT541" s="4">
        <v>53</v>
      </c>
      <c r="AU541" s="1" t="s">
        <v>363</v>
      </c>
      <c r="AV541" s="16">
        <f t="shared" si="208"/>
        <v>100</v>
      </c>
      <c r="AW541" s="27">
        <v>2.48</v>
      </c>
      <c r="AX541" s="133">
        <f t="shared" si="231"/>
        <v>2.4799999999999999E-2</v>
      </c>
      <c r="AY541" s="5" t="s">
        <v>87</v>
      </c>
      <c r="AZ541" s="39">
        <f>5/0.05</f>
        <v>100</v>
      </c>
      <c r="BA541" s="30" t="s">
        <v>55</v>
      </c>
      <c r="BB541" s="15">
        <f>1*K541/1000</f>
        <v>0.56396399999999991</v>
      </c>
      <c r="BC541" s="16">
        <f>200*K541/1000</f>
        <v>112.79279999999999</v>
      </c>
      <c r="BD541" s="26">
        <v>91.36</v>
      </c>
      <c r="BE541" s="16">
        <f t="shared" si="224"/>
        <v>3683.8709677419356</v>
      </c>
      <c r="BF541" s="8">
        <f t="shared" si="225"/>
        <v>3.5663044100755568</v>
      </c>
      <c r="BG541" s="8">
        <f t="shared" ref="BG541:BG597" si="235">LOG(BD541)</f>
        <v>1.9607560909017727</v>
      </c>
      <c r="BH541" s="13" t="s">
        <v>844</v>
      </c>
      <c r="BI541" s="13"/>
      <c r="BJ541" s="13"/>
      <c r="BK541" s="8"/>
      <c r="BL541" s="8"/>
      <c r="BM541" s="18"/>
      <c r="BN541" s="8"/>
      <c r="BO541" s="24"/>
      <c r="BP541" s="11"/>
      <c r="BQ541" s="11"/>
    </row>
    <row r="542" spans="1:69" x14ac:dyDescent="0.3">
      <c r="A542" s="20">
        <v>550</v>
      </c>
      <c r="B542" s="1" t="s">
        <v>873</v>
      </c>
      <c r="C542" s="1">
        <v>2007</v>
      </c>
      <c r="D542" s="1" t="s">
        <v>203</v>
      </c>
      <c r="E542" s="10" t="s">
        <v>225</v>
      </c>
      <c r="F542" s="7" t="s">
        <v>63</v>
      </c>
      <c r="G542" s="4">
        <v>2</v>
      </c>
      <c r="H542" s="2" t="str">
        <f>'PFAS Properties'!$B$36</f>
        <v>PFUnA</v>
      </c>
      <c r="I542" s="2" t="str">
        <f>'PFAS Properties'!$C$36</f>
        <v>PFCA</v>
      </c>
      <c r="J542" s="2" t="str">
        <f>'PFAS Properties'!$D$36</f>
        <v>C11HF21O2</v>
      </c>
      <c r="K542" s="25">
        <f>'PFAS Properties'!$P$36</f>
        <v>563.96399999999994</v>
      </c>
      <c r="L542" s="2">
        <f>'PFAS Properties'!$X$36</f>
        <v>-0.2</v>
      </c>
      <c r="M542" s="2" t="str">
        <f>'PFAS Properties'!$Y$36</f>
        <v>-</v>
      </c>
      <c r="N542" s="33">
        <v>0</v>
      </c>
      <c r="O542" s="33">
        <v>0</v>
      </c>
      <c r="P542" s="33">
        <v>0</v>
      </c>
      <c r="Q542" s="33">
        <f t="shared" si="226"/>
        <v>0.99999998004737722</v>
      </c>
      <c r="R542" s="33">
        <v>0</v>
      </c>
      <c r="S542" s="33">
        <f t="shared" si="227"/>
        <v>1.995262275158161E-8</v>
      </c>
      <c r="T542" s="8">
        <f t="shared" si="228"/>
        <v>1</v>
      </c>
      <c r="U542" s="33">
        <f t="shared" si="218"/>
        <v>0</v>
      </c>
      <c r="V542" s="33">
        <f t="shared" si="219"/>
        <v>-0.99999998004737722</v>
      </c>
      <c r="W542" s="33">
        <f t="shared" si="220"/>
        <v>562.96400001995255</v>
      </c>
      <c r="X542" s="33">
        <v>96485</v>
      </c>
      <c r="Y542" s="16">
        <f t="shared" si="221"/>
        <v>-171.38750980782356</v>
      </c>
      <c r="Z542" s="16">
        <v>11</v>
      </c>
      <c r="AA542" s="16">
        <v>21</v>
      </c>
      <c r="AB542" s="8">
        <f t="shared" si="222"/>
        <v>0.33082706766917291</v>
      </c>
      <c r="AC542" s="16">
        <f t="shared" si="223"/>
        <v>70.749196757239829</v>
      </c>
      <c r="AD542" s="20">
        <f>'PFAS Properties'!$W$36</f>
        <v>10</v>
      </c>
      <c r="AE542" s="8">
        <f>'PFAS Properties'!$S$36</f>
        <v>8.6001717619175692E-3</v>
      </c>
      <c r="AF542" s="15">
        <f>'PFAS Properties'!$V$36</f>
        <v>6.9</v>
      </c>
      <c r="AG542" s="26">
        <v>7.5</v>
      </c>
      <c r="AH542" s="1" t="s">
        <v>363</v>
      </c>
      <c r="AI542" s="6">
        <f>116*55.845/1000</f>
        <v>6.4780199999999999</v>
      </c>
      <c r="AJ542" s="3">
        <f>AI542*1000/55.845</f>
        <v>116</v>
      </c>
      <c r="AK542" s="8">
        <f t="shared" si="229"/>
        <v>0.64780199999999999</v>
      </c>
      <c r="AL542" s="6">
        <f>7*26.98/1000</f>
        <v>0.18886</v>
      </c>
      <c r="AM542" s="3">
        <f>AL542*1000/26.98</f>
        <v>7</v>
      </c>
      <c r="AN542" s="8">
        <f t="shared" si="230"/>
        <v>1.8886E-2</v>
      </c>
      <c r="AO542" s="3" t="s">
        <v>93</v>
      </c>
      <c r="AP542" s="15">
        <v>30</v>
      </c>
      <c r="AQ542" s="1" t="s">
        <v>363</v>
      </c>
      <c r="AR542" s="4">
        <v>49</v>
      </c>
      <c r="AS542" s="4">
        <v>25</v>
      </c>
      <c r="AT542" s="4">
        <v>26</v>
      </c>
      <c r="AU542" s="1" t="s">
        <v>363</v>
      </c>
      <c r="AV542" s="16">
        <f t="shared" si="208"/>
        <v>100</v>
      </c>
      <c r="AW542" s="27">
        <v>1.02</v>
      </c>
      <c r="AX542" s="5">
        <f t="shared" si="231"/>
        <v>1.0200000000000001E-2</v>
      </c>
      <c r="AY542" s="5" t="s">
        <v>87</v>
      </c>
      <c r="AZ542" s="39">
        <f>5/0.05</f>
        <v>100</v>
      </c>
      <c r="BA542" s="30" t="s">
        <v>55</v>
      </c>
      <c r="BB542" s="15">
        <f>1*K542/1000</f>
        <v>0.56396399999999991</v>
      </c>
      <c r="BC542" s="16">
        <f>200*K542/1000</f>
        <v>112.79279999999999</v>
      </c>
      <c r="BD542" s="26">
        <v>13.31</v>
      </c>
      <c r="BE542" s="16">
        <f t="shared" si="224"/>
        <v>1304.9019607843136</v>
      </c>
      <c r="BF542" s="8">
        <f t="shared" si="225"/>
        <v>3.1155778837127577</v>
      </c>
      <c r="BG542" s="8">
        <f t="shared" si="235"/>
        <v>1.1241780554746752</v>
      </c>
      <c r="BH542" s="13" t="s">
        <v>844</v>
      </c>
      <c r="BI542" s="13"/>
      <c r="BJ542" s="13"/>
      <c r="BK542" s="8"/>
      <c r="BL542" s="8"/>
      <c r="BM542" s="18"/>
      <c r="BN542" s="8"/>
      <c r="BO542" s="24"/>
      <c r="BP542" s="11"/>
      <c r="BQ542" s="11"/>
    </row>
    <row r="543" spans="1:69" x14ac:dyDescent="0.3">
      <c r="A543" s="20">
        <v>551</v>
      </c>
      <c r="B543" s="1" t="s">
        <v>873</v>
      </c>
      <c r="C543" s="1">
        <v>2007</v>
      </c>
      <c r="D543" s="1" t="s">
        <v>203</v>
      </c>
      <c r="E543" s="10" t="s">
        <v>225</v>
      </c>
      <c r="F543" s="7" t="s">
        <v>63</v>
      </c>
      <c r="G543" s="4">
        <v>3</v>
      </c>
      <c r="H543" s="2" t="str">
        <f>'PFAS Properties'!$B$36</f>
        <v>PFUnA</v>
      </c>
      <c r="I543" s="2" t="str">
        <f>'PFAS Properties'!$C$36</f>
        <v>PFCA</v>
      </c>
      <c r="J543" s="2" t="str">
        <f>'PFAS Properties'!$D$36</f>
        <v>C11HF21O2</v>
      </c>
      <c r="K543" s="25">
        <f>'PFAS Properties'!$P$36</f>
        <v>563.96399999999994</v>
      </c>
      <c r="L543" s="2">
        <f>'PFAS Properties'!$X$36</f>
        <v>-0.2</v>
      </c>
      <c r="M543" s="2" t="str">
        <f>'PFAS Properties'!$Y$36</f>
        <v>-</v>
      </c>
      <c r="N543" s="33">
        <v>0</v>
      </c>
      <c r="O543" s="33">
        <v>0</v>
      </c>
      <c r="P543" s="33">
        <v>0</v>
      </c>
      <c r="Q543" s="33">
        <f t="shared" si="226"/>
        <v>0.99999998415106828</v>
      </c>
      <c r="R543" s="33">
        <v>0</v>
      </c>
      <c r="S543" s="33">
        <f t="shared" si="227"/>
        <v>1.5848931673422493E-8</v>
      </c>
      <c r="T543" s="8">
        <f t="shared" si="228"/>
        <v>1</v>
      </c>
      <c r="U543" s="33">
        <f t="shared" si="218"/>
        <v>0</v>
      </c>
      <c r="V543" s="33">
        <f t="shared" si="219"/>
        <v>-0.99999998415106828</v>
      </c>
      <c r="W543" s="33">
        <f t="shared" si="220"/>
        <v>562.9640000158488</v>
      </c>
      <c r="X543" s="33">
        <v>96485</v>
      </c>
      <c r="Y543" s="16">
        <f t="shared" si="221"/>
        <v>-171.3875105123943</v>
      </c>
      <c r="Z543" s="16">
        <v>11</v>
      </c>
      <c r="AA543" s="16">
        <v>21</v>
      </c>
      <c r="AB543" s="8">
        <f t="shared" si="222"/>
        <v>0.33082706766917291</v>
      </c>
      <c r="AC543" s="16">
        <f t="shared" si="223"/>
        <v>70.749196757239829</v>
      </c>
      <c r="AD543" s="20">
        <f>'PFAS Properties'!$W$36</f>
        <v>10</v>
      </c>
      <c r="AE543" s="8">
        <f>'PFAS Properties'!$S$36</f>
        <v>8.6001717619175692E-3</v>
      </c>
      <c r="AF543" s="15">
        <f>'PFAS Properties'!$V$36</f>
        <v>6.9</v>
      </c>
      <c r="AG543" s="26">
        <v>7.6</v>
      </c>
      <c r="AH543" s="1" t="s">
        <v>363</v>
      </c>
      <c r="AI543" s="6">
        <f>121*55.85/1000</f>
        <v>6.7578500000000004</v>
      </c>
      <c r="AJ543" s="3">
        <f>AI543*1000/55.845</f>
        <v>121.01083355716717</v>
      </c>
      <c r="AK543" s="8">
        <f t="shared" si="229"/>
        <v>0.67578500000000008</v>
      </c>
      <c r="AL543" s="6">
        <f>14*26.98/1000</f>
        <v>0.37772</v>
      </c>
      <c r="AM543" s="3">
        <f>AL543*1000/26.98</f>
        <v>14</v>
      </c>
      <c r="AN543" s="8">
        <f t="shared" si="230"/>
        <v>3.7772E-2</v>
      </c>
      <c r="AO543" s="3" t="s">
        <v>93</v>
      </c>
      <c r="AP543" s="15">
        <v>32.1</v>
      </c>
      <c r="AQ543" s="1" t="s">
        <v>363</v>
      </c>
      <c r="AR543" s="4">
        <v>31</v>
      </c>
      <c r="AS543" s="4">
        <v>38</v>
      </c>
      <c r="AT543" s="4">
        <v>31</v>
      </c>
      <c r="AU543" s="1" t="s">
        <v>363</v>
      </c>
      <c r="AV543" s="16">
        <f t="shared" si="208"/>
        <v>100</v>
      </c>
      <c r="AW543" s="27">
        <v>4.34</v>
      </c>
      <c r="AX543" s="5">
        <f t="shared" si="231"/>
        <v>4.3400000000000001E-2</v>
      </c>
      <c r="AY543" s="5" t="s">
        <v>87</v>
      </c>
      <c r="AZ543" s="39">
        <f>5/0.05</f>
        <v>100</v>
      </c>
      <c r="BA543" s="30" t="s">
        <v>55</v>
      </c>
      <c r="BB543" s="15">
        <f>1*K543/1000</f>
        <v>0.56396399999999991</v>
      </c>
      <c r="BC543" s="16">
        <f>200*K543/1000</f>
        <v>112.79279999999999</v>
      </c>
      <c r="BD543" s="26">
        <v>101.59</v>
      </c>
      <c r="BE543" s="16">
        <f t="shared" si="224"/>
        <v>2340.7834101382487</v>
      </c>
      <c r="BF543" s="8">
        <f t="shared" si="225"/>
        <v>3.3693612308117613</v>
      </c>
      <c r="BG543" s="8">
        <f t="shared" si="235"/>
        <v>2.0068509603242721</v>
      </c>
      <c r="BH543" s="13" t="s">
        <v>844</v>
      </c>
      <c r="BI543" s="13"/>
      <c r="BJ543" s="13"/>
      <c r="BK543" s="8"/>
      <c r="BL543" s="8"/>
      <c r="BM543" s="18"/>
      <c r="BN543" s="8"/>
      <c r="BO543" s="24"/>
      <c r="BP543" s="11"/>
      <c r="BQ543" s="11"/>
    </row>
    <row r="544" spans="1:69" x14ac:dyDescent="0.3">
      <c r="A544" s="20">
        <v>552</v>
      </c>
      <c r="B544" s="1" t="s">
        <v>873</v>
      </c>
      <c r="C544" s="1">
        <v>2007</v>
      </c>
      <c r="D544" s="1" t="s">
        <v>203</v>
      </c>
      <c r="E544" s="10" t="s">
        <v>225</v>
      </c>
      <c r="F544" s="7" t="s">
        <v>63</v>
      </c>
      <c r="G544" s="4">
        <v>4</v>
      </c>
      <c r="H544" s="2" t="str">
        <f>'PFAS Properties'!$B$36</f>
        <v>PFUnA</v>
      </c>
      <c r="I544" s="2" t="str">
        <f>'PFAS Properties'!$C$36</f>
        <v>PFCA</v>
      </c>
      <c r="J544" s="2" t="str">
        <f>'PFAS Properties'!$D$36</f>
        <v>C11HF21O2</v>
      </c>
      <c r="K544" s="25">
        <f>'PFAS Properties'!$P$36</f>
        <v>563.96399999999994</v>
      </c>
      <c r="L544" s="2">
        <f>'PFAS Properties'!$X$36</f>
        <v>-0.2</v>
      </c>
      <c r="M544" s="2" t="str">
        <f>'PFAS Properties'!$Y$36</f>
        <v>-</v>
      </c>
      <c r="N544" s="33">
        <v>0</v>
      </c>
      <c r="O544" s="33">
        <v>0</v>
      </c>
      <c r="P544" s="33">
        <v>0</v>
      </c>
      <c r="Q544" s="33">
        <f t="shared" si="226"/>
        <v>0.99999974881141995</v>
      </c>
      <c r="R544" s="33">
        <v>0</v>
      </c>
      <c r="S544" s="33">
        <f t="shared" si="227"/>
        <v>2.5118858005523878E-7</v>
      </c>
      <c r="T544" s="8">
        <f t="shared" si="228"/>
        <v>1</v>
      </c>
      <c r="U544" s="33">
        <f t="shared" si="218"/>
        <v>0</v>
      </c>
      <c r="V544" s="33">
        <f t="shared" si="219"/>
        <v>-0.99999974881141995</v>
      </c>
      <c r="W544" s="33">
        <f t="shared" si="220"/>
        <v>562.96400025118851</v>
      </c>
      <c r="X544" s="33">
        <v>96485</v>
      </c>
      <c r="Y544" s="16">
        <f t="shared" si="221"/>
        <v>-171.38747010647091</v>
      </c>
      <c r="Z544" s="16">
        <v>11</v>
      </c>
      <c r="AA544" s="16">
        <v>21</v>
      </c>
      <c r="AB544" s="8">
        <f t="shared" si="222"/>
        <v>0.33082706766917291</v>
      </c>
      <c r="AC544" s="16">
        <f t="shared" si="223"/>
        <v>70.749196757239829</v>
      </c>
      <c r="AD544" s="20">
        <f>'PFAS Properties'!$W$36</f>
        <v>10</v>
      </c>
      <c r="AE544" s="8">
        <f>'PFAS Properties'!$S$36</f>
        <v>8.6001717619175692E-3</v>
      </c>
      <c r="AF544" s="15">
        <f>'PFAS Properties'!$V$36</f>
        <v>6.9</v>
      </c>
      <c r="AG544" s="26">
        <v>6.4</v>
      </c>
      <c r="AH544" s="1" t="s">
        <v>363</v>
      </c>
      <c r="AI544" s="6">
        <f>1025*55.874/1000</f>
        <v>57.270850000000003</v>
      </c>
      <c r="AJ544" s="3">
        <f>AI544*1000/55.845</f>
        <v>1025.5322768376759</v>
      </c>
      <c r="AK544" s="8">
        <f t="shared" si="229"/>
        <v>5.7270850000000006</v>
      </c>
      <c r="AL544" s="6">
        <f>171*26.98/1000</f>
        <v>4.6135799999999998</v>
      </c>
      <c r="AM544" s="3">
        <f>AL544*1000/26.98</f>
        <v>171</v>
      </c>
      <c r="AN544" s="8">
        <f t="shared" si="230"/>
        <v>0.46135799999999999</v>
      </c>
      <c r="AO544" s="3" t="s">
        <v>93</v>
      </c>
      <c r="AP544" s="15">
        <v>32.1</v>
      </c>
      <c r="AQ544" s="1" t="s">
        <v>363</v>
      </c>
      <c r="AR544" s="4">
        <v>65</v>
      </c>
      <c r="AS544" s="4">
        <v>22</v>
      </c>
      <c r="AT544" s="4">
        <v>13</v>
      </c>
      <c r="AU544" s="1" t="s">
        <v>363</v>
      </c>
      <c r="AV544" s="16">
        <f t="shared" si="208"/>
        <v>100</v>
      </c>
      <c r="AW544" s="27">
        <v>0.56000000000000005</v>
      </c>
      <c r="AX544" s="5">
        <f t="shared" si="231"/>
        <v>5.6000000000000008E-3</v>
      </c>
      <c r="AY544" s="5" t="s">
        <v>87</v>
      </c>
      <c r="AZ544" s="39">
        <f>5/0.05</f>
        <v>100</v>
      </c>
      <c r="BA544" s="30" t="s">
        <v>55</v>
      </c>
      <c r="BB544" s="15">
        <f>1*K544/1000</f>
        <v>0.56396399999999991</v>
      </c>
      <c r="BC544" s="16">
        <f>200*K544/1000</f>
        <v>112.79279999999999</v>
      </c>
      <c r="BD544" s="26">
        <v>5.47</v>
      </c>
      <c r="BE544" s="16">
        <f t="shared" si="224"/>
        <v>976.78571428571411</v>
      </c>
      <c r="BF544" s="8">
        <f t="shared" si="225"/>
        <v>2.9897992993272302</v>
      </c>
      <c r="BG544" s="8">
        <f t="shared" si="235"/>
        <v>0.73798732633343078</v>
      </c>
      <c r="BH544" s="13" t="s">
        <v>844</v>
      </c>
      <c r="BI544" s="13"/>
      <c r="BJ544" s="13"/>
      <c r="BK544" s="8"/>
      <c r="BL544" s="8"/>
      <c r="BM544" s="18"/>
      <c r="BN544" s="8"/>
      <c r="BO544" s="24"/>
      <c r="BP544" s="11"/>
      <c r="BQ544" s="11"/>
    </row>
    <row r="545" spans="1:69" x14ac:dyDescent="0.3">
      <c r="A545" s="20">
        <v>553</v>
      </c>
      <c r="B545" s="1" t="s">
        <v>873</v>
      </c>
      <c r="C545" s="1">
        <v>2007</v>
      </c>
      <c r="D545" s="1" t="s">
        <v>203</v>
      </c>
      <c r="E545" s="10" t="s">
        <v>225</v>
      </c>
      <c r="F545" s="7" t="s">
        <v>63</v>
      </c>
      <c r="G545" s="4">
        <v>5</v>
      </c>
      <c r="H545" s="2" t="str">
        <f>'PFAS Properties'!$B$36</f>
        <v>PFUnA</v>
      </c>
      <c r="I545" s="2" t="str">
        <f>'PFAS Properties'!$C$36</f>
        <v>PFCA</v>
      </c>
      <c r="J545" s="2" t="str">
        <f>'PFAS Properties'!$D$36</f>
        <v>C11HF21O2</v>
      </c>
      <c r="K545" s="25">
        <f>'PFAS Properties'!$P$36</f>
        <v>563.96399999999994</v>
      </c>
      <c r="L545" s="2">
        <f>'PFAS Properties'!$X$36</f>
        <v>-0.2</v>
      </c>
      <c r="M545" s="2" t="str">
        <f>'PFAS Properties'!$Y$36</f>
        <v>-</v>
      </c>
      <c r="N545" s="33">
        <v>0</v>
      </c>
      <c r="O545" s="33">
        <v>0</v>
      </c>
      <c r="P545" s="33">
        <v>0</v>
      </c>
      <c r="Q545" s="33">
        <f t="shared" si="226"/>
        <v>0.99999874107617315</v>
      </c>
      <c r="R545" s="33">
        <v>0</v>
      </c>
      <c r="S545" s="33">
        <f t="shared" si="227"/>
        <v>1.2589238269029671E-6</v>
      </c>
      <c r="T545" s="8">
        <f t="shared" si="228"/>
        <v>1</v>
      </c>
      <c r="U545" s="33">
        <f t="shared" si="218"/>
        <v>0</v>
      </c>
      <c r="V545" s="33">
        <f t="shared" si="219"/>
        <v>-0.99999874107617315</v>
      </c>
      <c r="W545" s="33">
        <f t="shared" si="220"/>
        <v>562.96400125892376</v>
      </c>
      <c r="X545" s="33">
        <v>96485</v>
      </c>
      <c r="Y545" s="16">
        <f t="shared" si="221"/>
        <v>-171.38729708644075</v>
      </c>
      <c r="Z545" s="16">
        <v>11</v>
      </c>
      <c r="AA545" s="16">
        <v>21</v>
      </c>
      <c r="AB545" s="8">
        <f t="shared" si="222"/>
        <v>0.33082706766917291</v>
      </c>
      <c r="AC545" s="16">
        <f t="shared" si="223"/>
        <v>70.749196757239829</v>
      </c>
      <c r="AD545" s="20">
        <f>'PFAS Properties'!$W$36</f>
        <v>10</v>
      </c>
      <c r="AE545" s="8">
        <f>'PFAS Properties'!$S$36</f>
        <v>8.6001717619175692E-3</v>
      </c>
      <c r="AF545" s="15">
        <f>'PFAS Properties'!$V$36</f>
        <v>6.9</v>
      </c>
      <c r="AG545" s="26">
        <v>5.7</v>
      </c>
      <c r="AH545" s="1" t="s">
        <v>363</v>
      </c>
      <c r="AI545" s="6">
        <f>268*55.85/1000</f>
        <v>14.9678</v>
      </c>
      <c r="AJ545" s="3">
        <f>AI545*1000/55.845</f>
        <v>268.02399498612232</v>
      </c>
      <c r="AK545" s="8">
        <f t="shared" si="229"/>
        <v>1.49678</v>
      </c>
      <c r="AL545" s="6">
        <f>90*26.98/1000</f>
        <v>2.4281999999999999</v>
      </c>
      <c r="AM545" s="3">
        <f>AL545*1000/26.98</f>
        <v>89.999999999999986</v>
      </c>
      <c r="AN545" s="8">
        <f t="shared" si="230"/>
        <v>0.24281999999999998</v>
      </c>
      <c r="AO545" s="3" t="s">
        <v>93</v>
      </c>
      <c r="AP545" s="15">
        <v>22</v>
      </c>
      <c r="AQ545" s="1" t="s">
        <v>363</v>
      </c>
      <c r="AR545" s="4">
        <v>80</v>
      </c>
      <c r="AS545" s="4">
        <v>15</v>
      </c>
      <c r="AT545" s="4">
        <v>5</v>
      </c>
      <c r="AU545" s="1" t="s">
        <v>363</v>
      </c>
      <c r="AV545" s="16">
        <f t="shared" si="208"/>
        <v>100</v>
      </c>
      <c r="AW545" s="27">
        <v>9.66</v>
      </c>
      <c r="AX545" s="5">
        <f t="shared" si="231"/>
        <v>9.6600000000000005E-2</v>
      </c>
      <c r="AY545" s="5" t="s">
        <v>87</v>
      </c>
      <c r="AZ545" s="39">
        <f>5/0.05</f>
        <v>100</v>
      </c>
      <c r="BA545" s="30" t="s">
        <v>55</v>
      </c>
      <c r="BB545" s="15">
        <f>1*K545/1000</f>
        <v>0.56396399999999991</v>
      </c>
      <c r="BC545" s="16">
        <f>200*K545/1000</f>
        <v>112.79279999999999</v>
      </c>
      <c r="BD545" s="26">
        <v>276.89</v>
      </c>
      <c r="BE545" s="16">
        <f t="shared" si="224"/>
        <v>2866.3561076604551</v>
      </c>
      <c r="BF545" s="8">
        <f t="shared" si="225"/>
        <v>3.4573301448835601</v>
      </c>
      <c r="BG545" s="8">
        <f t="shared" si="235"/>
        <v>2.442307271299053</v>
      </c>
      <c r="BH545" s="13" t="s">
        <v>844</v>
      </c>
      <c r="BI545" s="16"/>
      <c r="BJ545" s="13"/>
      <c r="BK545" s="8"/>
      <c r="BL545" s="8"/>
      <c r="BM545" s="18"/>
      <c r="BN545" s="8"/>
      <c r="BO545" s="24"/>
      <c r="BP545" s="11"/>
      <c r="BQ545" s="11"/>
    </row>
    <row r="546" spans="1:69" s="14" customFormat="1" x14ac:dyDescent="0.3">
      <c r="A546" s="20">
        <v>554</v>
      </c>
      <c r="B546" s="2" t="s">
        <v>202</v>
      </c>
      <c r="C546" s="2">
        <v>2019</v>
      </c>
      <c r="D546" s="2" t="s">
        <v>199</v>
      </c>
      <c r="E546" s="10" t="s">
        <v>791</v>
      </c>
      <c r="F546" s="20" t="s">
        <v>29</v>
      </c>
      <c r="G546" s="2" t="s">
        <v>39</v>
      </c>
      <c r="H546" s="2" t="str">
        <f>'PFAS Properties'!$B$36</f>
        <v>PFUnA</v>
      </c>
      <c r="I546" s="2" t="str">
        <f>'PFAS Properties'!$C$36</f>
        <v>PFCA</v>
      </c>
      <c r="J546" s="2" t="str">
        <f>'PFAS Properties'!$D$36</f>
        <v>C11HF21O2</v>
      </c>
      <c r="K546" s="25">
        <f>'PFAS Properties'!$P$36</f>
        <v>563.96399999999994</v>
      </c>
      <c r="L546" s="2">
        <f>'PFAS Properties'!$X$36</f>
        <v>-0.2</v>
      </c>
      <c r="M546" s="2" t="str">
        <f>'PFAS Properties'!$Y$36</f>
        <v>-</v>
      </c>
      <c r="N546" s="33">
        <v>0</v>
      </c>
      <c r="O546" s="33">
        <v>0</v>
      </c>
      <c r="P546" s="33">
        <v>0</v>
      </c>
      <c r="Q546" s="33">
        <f t="shared" si="226"/>
        <v>0.9999964518786969</v>
      </c>
      <c r="R546" s="33">
        <v>0</v>
      </c>
      <c r="S546" s="33">
        <f t="shared" si="227"/>
        <v>3.5481213031263005E-6</v>
      </c>
      <c r="T546" s="8">
        <f t="shared" si="228"/>
        <v>1</v>
      </c>
      <c r="U546" s="33">
        <f t="shared" si="218"/>
        <v>0</v>
      </c>
      <c r="V546" s="33">
        <f t="shared" si="219"/>
        <v>-0.9999964518786969</v>
      </c>
      <c r="W546" s="33">
        <f t="shared" si="220"/>
        <v>562.96400354812124</v>
      </c>
      <c r="X546" s="33">
        <v>96485</v>
      </c>
      <c r="Y546" s="16">
        <f t="shared" si="221"/>
        <v>-171.38690404966312</v>
      </c>
      <c r="Z546" s="16">
        <v>11</v>
      </c>
      <c r="AA546" s="16">
        <v>21</v>
      </c>
      <c r="AB546" s="8">
        <f t="shared" si="222"/>
        <v>0.33082706766917291</v>
      </c>
      <c r="AC546" s="16">
        <f t="shared" si="223"/>
        <v>70.749196757239829</v>
      </c>
      <c r="AD546" s="20">
        <f>'PFAS Properties'!$W$36</f>
        <v>10</v>
      </c>
      <c r="AE546" s="8">
        <f>'PFAS Properties'!$S$36</f>
        <v>8.6001717619175692E-3</v>
      </c>
      <c r="AF546" s="15">
        <f>'PFAS Properties'!$V$36</f>
        <v>6.9</v>
      </c>
      <c r="AG546" s="24">
        <v>5.25</v>
      </c>
      <c r="AH546" s="2" t="s">
        <v>661</v>
      </c>
      <c r="AI546" s="2" t="s">
        <v>661</v>
      </c>
      <c r="AJ546" s="2" t="s">
        <v>661</v>
      </c>
      <c r="AK546" s="2" t="s">
        <v>661</v>
      </c>
      <c r="AL546" s="2" t="s">
        <v>661</v>
      </c>
      <c r="AM546" s="2" t="s">
        <v>661</v>
      </c>
      <c r="AN546" s="2" t="s">
        <v>661</v>
      </c>
      <c r="AO546" s="2" t="s">
        <v>661</v>
      </c>
      <c r="AP546" s="71">
        <v>5.7023166666666656</v>
      </c>
      <c r="AQ546" s="70" t="s">
        <v>752</v>
      </c>
      <c r="AR546" s="16">
        <v>100</v>
      </c>
      <c r="AS546" s="16">
        <v>0</v>
      </c>
      <c r="AT546" s="16">
        <v>0</v>
      </c>
      <c r="AU546" s="2" t="s">
        <v>661</v>
      </c>
      <c r="AV546" s="16">
        <f t="shared" si="208"/>
        <v>100</v>
      </c>
      <c r="AW546" s="18">
        <v>0.4</v>
      </c>
      <c r="AX546" s="13">
        <f t="shared" si="231"/>
        <v>4.0000000000000001E-3</v>
      </c>
      <c r="AY546" s="13" t="s">
        <v>658</v>
      </c>
      <c r="AZ546" s="16">
        <f>2/0.01</f>
        <v>200</v>
      </c>
      <c r="BA546" s="16" t="s">
        <v>55</v>
      </c>
      <c r="BB546" s="16">
        <v>1</v>
      </c>
      <c r="BC546" s="16">
        <v>1000</v>
      </c>
      <c r="BD546" s="18">
        <v>84</v>
      </c>
      <c r="BE546" s="15">
        <f t="shared" si="224"/>
        <v>21000</v>
      </c>
      <c r="BF546" s="8">
        <f t="shared" si="225"/>
        <v>4.3222192947339195</v>
      </c>
      <c r="BG546" s="8">
        <f t="shared" si="235"/>
        <v>1.9242792860618816</v>
      </c>
      <c r="BH546" s="13" t="s">
        <v>272</v>
      </c>
      <c r="BI546" s="13"/>
      <c r="BJ546" s="13"/>
      <c r="BK546" s="13"/>
      <c r="BL546" s="13"/>
      <c r="BM546" s="17"/>
      <c r="BN546" s="17"/>
      <c r="BO546" s="2"/>
    </row>
    <row r="547" spans="1:69" s="14" customFormat="1" x14ac:dyDescent="0.3">
      <c r="A547" s="20">
        <v>555</v>
      </c>
      <c r="B547" s="2" t="s">
        <v>202</v>
      </c>
      <c r="C547" s="2">
        <v>2019</v>
      </c>
      <c r="D547" s="2" t="s">
        <v>199</v>
      </c>
      <c r="E547" s="10" t="s">
        <v>791</v>
      </c>
      <c r="F547" s="20" t="s">
        <v>29</v>
      </c>
      <c r="G547" s="2" t="s">
        <v>43</v>
      </c>
      <c r="H547" s="2" t="str">
        <f>'PFAS Properties'!$B$36</f>
        <v>PFUnA</v>
      </c>
      <c r="I547" s="2" t="str">
        <f>'PFAS Properties'!$C$36</f>
        <v>PFCA</v>
      </c>
      <c r="J547" s="2" t="str">
        <f>'PFAS Properties'!$D$36</f>
        <v>C11HF21O2</v>
      </c>
      <c r="K547" s="25">
        <f>'PFAS Properties'!$P$36</f>
        <v>563.96399999999994</v>
      </c>
      <c r="L547" s="2">
        <f>'PFAS Properties'!$X$36</f>
        <v>-0.2</v>
      </c>
      <c r="M547" s="2" t="str">
        <f>'PFAS Properties'!$Y$36</f>
        <v>-</v>
      </c>
      <c r="N547" s="33">
        <v>0</v>
      </c>
      <c r="O547" s="33">
        <v>0</v>
      </c>
      <c r="P547" s="33">
        <v>0</v>
      </c>
      <c r="Q547" s="33">
        <f t="shared" si="226"/>
        <v>0.99999865103893715</v>
      </c>
      <c r="R547" s="33">
        <v>0</v>
      </c>
      <c r="S547" s="33">
        <f t="shared" si="227"/>
        <v>1.3489610628932487E-6</v>
      </c>
      <c r="T547" s="8">
        <f t="shared" si="228"/>
        <v>1</v>
      </c>
      <c r="U547" s="33">
        <f t="shared" si="218"/>
        <v>0</v>
      </c>
      <c r="V547" s="33">
        <f t="shared" si="219"/>
        <v>-0.99999865103893715</v>
      </c>
      <c r="W547" s="33">
        <f t="shared" si="220"/>
        <v>562.96400134896112</v>
      </c>
      <c r="X547" s="33">
        <v>96485</v>
      </c>
      <c r="Y547" s="16">
        <f t="shared" si="221"/>
        <v>-171.38728162777207</v>
      </c>
      <c r="Z547" s="16">
        <v>11</v>
      </c>
      <c r="AA547" s="16">
        <v>21</v>
      </c>
      <c r="AB547" s="8">
        <f t="shared" si="222"/>
        <v>0.33082706766917291</v>
      </c>
      <c r="AC547" s="16">
        <f t="shared" si="223"/>
        <v>70.749196757239829</v>
      </c>
      <c r="AD547" s="20">
        <f>'PFAS Properties'!$W$36</f>
        <v>10</v>
      </c>
      <c r="AE547" s="8">
        <f>'PFAS Properties'!$S$36</f>
        <v>8.6001717619175692E-3</v>
      </c>
      <c r="AF547" s="15">
        <f>'PFAS Properties'!$V$36</f>
        <v>6.9</v>
      </c>
      <c r="AG547" s="24">
        <v>5.67</v>
      </c>
      <c r="AH547" s="2" t="s">
        <v>661</v>
      </c>
      <c r="AI547" s="15" t="s">
        <v>661</v>
      </c>
      <c r="AJ547" s="16" t="s">
        <v>661</v>
      </c>
      <c r="AK547" s="2" t="s">
        <v>661</v>
      </c>
      <c r="AL547" s="15" t="s">
        <v>661</v>
      </c>
      <c r="AM547" s="16" t="s">
        <v>661</v>
      </c>
      <c r="AN547" s="2" t="s">
        <v>661</v>
      </c>
      <c r="AO547" s="2" t="s">
        <v>661</v>
      </c>
      <c r="AP547" s="71">
        <v>9.2037666666666649</v>
      </c>
      <c r="AQ547" s="70" t="s">
        <v>752</v>
      </c>
      <c r="AR547" s="16">
        <v>71</v>
      </c>
      <c r="AS547" s="16">
        <v>24</v>
      </c>
      <c r="AT547" s="16">
        <v>5</v>
      </c>
      <c r="AU547" s="2" t="s">
        <v>661</v>
      </c>
      <c r="AV547" s="16">
        <f t="shared" si="208"/>
        <v>100</v>
      </c>
      <c r="AW547" s="18">
        <v>0.93</v>
      </c>
      <c r="AX547" s="13">
        <f t="shared" si="231"/>
        <v>9.300000000000001E-3</v>
      </c>
      <c r="AY547" s="13" t="s">
        <v>658</v>
      </c>
      <c r="AZ547" s="16">
        <f>2/0.01</f>
        <v>200</v>
      </c>
      <c r="BA547" s="16" t="s">
        <v>55</v>
      </c>
      <c r="BB547" s="16">
        <v>1</v>
      </c>
      <c r="BC547" s="16">
        <v>1000</v>
      </c>
      <c r="BD547" s="18">
        <v>109</v>
      </c>
      <c r="BE547" s="15">
        <f t="shared" si="224"/>
        <v>11720.430107526881</v>
      </c>
      <c r="BF547" s="8">
        <f t="shared" si="225"/>
        <v>4.0689435493866881</v>
      </c>
      <c r="BG547" s="8">
        <f t="shared" si="235"/>
        <v>2.0374264979406238</v>
      </c>
      <c r="BH547" s="13" t="s">
        <v>272</v>
      </c>
      <c r="BI547" s="13"/>
      <c r="BJ547" s="13"/>
      <c r="BK547" s="13"/>
      <c r="BL547" s="13"/>
      <c r="BM547" s="17"/>
      <c r="BN547" s="17"/>
      <c r="BO547" s="2"/>
    </row>
    <row r="548" spans="1:69" s="14" customFormat="1" x14ac:dyDescent="0.3">
      <c r="A548" s="20">
        <v>556</v>
      </c>
      <c r="B548" s="2" t="s">
        <v>195</v>
      </c>
      <c r="C548" s="2">
        <v>2022</v>
      </c>
      <c r="D548" s="2" t="s">
        <v>199</v>
      </c>
      <c r="E548" s="10" t="s">
        <v>798</v>
      </c>
      <c r="F548" s="20" t="s">
        <v>29</v>
      </c>
      <c r="G548" s="2" t="s">
        <v>237</v>
      </c>
      <c r="H548" s="2" t="str">
        <f>'PFAS Properties'!$B$36</f>
        <v>PFUnA</v>
      </c>
      <c r="I548" s="2" t="str">
        <f>'PFAS Properties'!$C$36</f>
        <v>PFCA</v>
      </c>
      <c r="J548" s="2" t="str">
        <f>'PFAS Properties'!$D$36</f>
        <v>C11HF21O2</v>
      </c>
      <c r="K548" s="25">
        <f>'PFAS Properties'!$P$36</f>
        <v>563.96399999999994</v>
      </c>
      <c r="L548" s="2">
        <f>'PFAS Properties'!$X$36</f>
        <v>-0.2</v>
      </c>
      <c r="M548" s="2" t="str">
        <f>'PFAS Properties'!$Y$36</f>
        <v>-</v>
      </c>
      <c r="N548" s="33">
        <v>0</v>
      </c>
      <c r="O548" s="33">
        <v>0</v>
      </c>
      <c r="P548" s="33">
        <v>0</v>
      </c>
      <c r="Q548" s="33">
        <f t="shared" si="226"/>
        <v>0.99984153579563773</v>
      </c>
      <c r="R548" s="33">
        <v>0</v>
      </c>
      <c r="S548" s="33">
        <f t="shared" si="227"/>
        <v>1.5846420436223696E-4</v>
      </c>
      <c r="T548" s="8">
        <f t="shared" si="228"/>
        <v>1</v>
      </c>
      <c r="U548" s="33">
        <f t="shared" si="218"/>
        <v>0</v>
      </c>
      <c r="V548" s="33">
        <f t="shared" si="219"/>
        <v>-0.99984153579563773</v>
      </c>
      <c r="W548" s="33">
        <f t="shared" si="220"/>
        <v>562.96415846420427</v>
      </c>
      <c r="X548" s="33">
        <v>96485</v>
      </c>
      <c r="Y548" s="16">
        <f t="shared" si="221"/>
        <v>-171.360306212773</v>
      </c>
      <c r="Z548" s="16">
        <v>11</v>
      </c>
      <c r="AA548" s="16">
        <v>21</v>
      </c>
      <c r="AB548" s="8">
        <f t="shared" si="222"/>
        <v>0.33082706766917291</v>
      </c>
      <c r="AC548" s="16">
        <f t="shared" si="223"/>
        <v>70.749196757239829</v>
      </c>
      <c r="AD548" s="20">
        <f>'PFAS Properties'!$W$36</f>
        <v>10</v>
      </c>
      <c r="AE548" s="8">
        <f>'PFAS Properties'!$S$36</f>
        <v>8.6001717619175692E-3</v>
      </c>
      <c r="AF548" s="15">
        <f>'PFAS Properties'!$V$36</f>
        <v>6.9</v>
      </c>
      <c r="AG548" s="24">
        <v>3.6</v>
      </c>
      <c r="AH548" s="2" t="s">
        <v>832</v>
      </c>
      <c r="AI548" s="8">
        <f>(6.8*55.845)/1000</f>
        <v>0.37974599999999997</v>
      </c>
      <c r="AJ548" s="15">
        <f>AI548*1000/55.845</f>
        <v>6.8</v>
      </c>
      <c r="AK548" s="8">
        <f>AI548/10</f>
        <v>3.7974599999999997E-2</v>
      </c>
      <c r="AL548" s="8">
        <f>(4*26.982)/1000</f>
        <v>0.107928</v>
      </c>
      <c r="AM548" s="15">
        <f>AL548*1000/55.845</f>
        <v>1.932634971796938</v>
      </c>
      <c r="AN548" s="8">
        <f>AL548/10</f>
        <v>1.07928E-2</v>
      </c>
      <c r="AO548" s="2" t="s">
        <v>86</v>
      </c>
      <c r="AP548" s="71">
        <v>14.768748</v>
      </c>
      <c r="AQ548" s="70" t="s">
        <v>752</v>
      </c>
      <c r="AR548" s="71">
        <v>37.396533331999997</v>
      </c>
      <c r="AS548" s="71">
        <v>37.430266667999987</v>
      </c>
      <c r="AT548" s="71">
        <v>24.989000000000001</v>
      </c>
      <c r="AU548" s="70" t="s">
        <v>752</v>
      </c>
      <c r="AV548" s="16">
        <f t="shared" ref="AV548" si="236">SUM(AR548:AT548)</f>
        <v>99.815799999999996</v>
      </c>
      <c r="AW548" s="18">
        <v>44.9</v>
      </c>
      <c r="AX548" s="13">
        <f t="shared" si="231"/>
        <v>0.44900000000000001</v>
      </c>
      <c r="AY548" s="8" t="s">
        <v>240</v>
      </c>
      <c r="AZ548" s="16">
        <f t="shared" ref="AZ548" si="237">0.75/0.03</f>
        <v>25</v>
      </c>
      <c r="BA548" s="16" t="s">
        <v>55</v>
      </c>
      <c r="BB548" s="16">
        <f>12*K548/1000</f>
        <v>6.7675679999999989</v>
      </c>
      <c r="BC548" s="16" t="s">
        <v>55</v>
      </c>
      <c r="BD548" s="25">
        <f>(10^(3.4)*AX548)</f>
        <v>1127.8370077478019</v>
      </c>
      <c r="BE548" s="16">
        <f t="shared" si="224"/>
        <v>2511.8864315095811</v>
      </c>
      <c r="BF548" s="8">
        <f t="shared" si="225"/>
        <v>3.4000000000000004</v>
      </c>
      <c r="BG548" s="8">
        <f t="shared" si="235"/>
        <v>3.0522463410033231</v>
      </c>
      <c r="BH548" s="2" t="s">
        <v>824</v>
      </c>
      <c r="BI548" s="16"/>
      <c r="BJ548" s="13"/>
      <c r="BK548" s="13"/>
      <c r="BL548" s="8"/>
      <c r="BM548" s="18"/>
      <c r="BN548" s="8"/>
      <c r="BO548" s="24"/>
    </row>
    <row r="549" spans="1:69" s="14" customFormat="1" x14ac:dyDescent="0.3">
      <c r="A549" s="20">
        <v>559</v>
      </c>
      <c r="B549" s="2" t="s">
        <v>234</v>
      </c>
      <c r="C549" s="2">
        <v>2022</v>
      </c>
      <c r="D549" s="2" t="s">
        <v>205</v>
      </c>
      <c r="E549" s="10" t="s">
        <v>799</v>
      </c>
      <c r="F549" s="20" t="s">
        <v>63</v>
      </c>
      <c r="G549" s="2" t="s">
        <v>63</v>
      </c>
      <c r="H549" s="2" t="str">
        <f>'PFAS Properties'!$B$36</f>
        <v>PFUnA</v>
      </c>
      <c r="I549" s="2" t="str">
        <f>'PFAS Properties'!$C$36</f>
        <v>PFCA</v>
      </c>
      <c r="J549" s="2" t="str">
        <f>'PFAS Properties'!$D$36</f>
        <v>C11HF21O2</v>
      </c>
      <c r="K549" s="25">
        <f>'PFAS Properties'!$P$36</f>
        <v>563.96399999999994</v>
      </c>
      <c r="L549" s="2">
        <f>'PFAS Properties'!$X$36</f>
        <v>-0.2</v>
      </c>
      <c r="M549" s="2" t="str">
        <f>'PFAS Properties'!$Y$36</f>
        <v>-</v>
      </c>
      <c r="N549" s="33">
        <v>0</v>
      </c>
      <c r="O549" s="33">
        <v>0</v>
      </c>
      <c r="P549" s="33">
        <v>0</v>
      </c>
      <c r="Q549" s="33">
        <f t="shared" si="226"/>
        <v>0.9999999939744042</v>
      </c>
      <c r="R549" s="33">
        <v>0</v>
      </c>
      <c r="S549" s="33">
        <f t="shared" si="227"/>
        <v>6.0255958244357746E-9</v>
      </c>
      <c r="T549" s="8">
        <f t="shared" si="228"/>
        <v>1</v>
      </c>
      <c r="U549" s="33">
        <f t="shared" si="218"/>
        <v>0</v>
      </c>
      <c r="V549" s="33">
        <f t="shared" si="219"/>
        <v>-0.9999999939744042</v>
      </c>
      <c r="W549" s="33">
        <f t="shared" si="220"/>
        <v>562.96400000602557</v>
      </c>
      <c r="X549" s="33">
        <v>96485</v>
      </c>
      <c r="Y549" s="16">
        <f t="shared" si="221"/>
        <v>-171.38751219898197</v>
      </c>
      <c r="Z549" s="16">
        <v>11</v>
      </c>
      <c r="AA549" s="16">
        <v>21</v>
      </c>
      <c r="AB549" s="8">
        <f t="shared" si="222"/>
        <v>0.33082706766917291</v>
      </c>
      <c r="AC549" s="16">
        <f t="shared" si="223"/>
        <v>70.749196757239829</v>
      </c>
      <c r="AD549" s="20">
        <f>'PFAS Properties'!$W$36</f>
        <v>10</v>
      </c>
      <c r="AE549" s="8">
        <f>'PFAS Properties'!$S$36</f>
        <v>8.6001717619175692E-3</v>
      </c>
      <c r="AF549" s="15">
        <f>'PFAS Properties'!$V$36</f>
        <v>6.9</v>
      </c>
      <c r="AG549" s="24">
        <v>8.02</v>
      </c>
      <c r="AH549" s="2" t="s">
        <v>661</v>
      </c>
      <c r="AI549" s="2" t="s">
        <v>661</v>
      </c>
      <c r="AJ549" s="2" t="s">
        <v>661</v>
      </c>
      <c r="AK549" s="2" t="s">
        <v>661</v>
      </c>
      <c r="AL549" s="2" t="s">
        <v>661</v>
      </c>
      <c r="AM549" s="2" t="s">
        <v>661</v>
      </c>
      <c r="AN549" s="2" t="s">
        <v>661</v>
      </c>
      <c r="AO549" s="2" t="s">
        <v>661</v>
      </c>
      <c r="AP549" s="71">
        <v>11.934691666666669</v>
      </c>
      <c r="AQ549" s="70" t="s">
        <v>752</v>
      </c>
      <c r="AR549" s="16">
        <v>6.34</v>
      </c>
      <c r="AS549" s="16">
        <v>85.56</v>
      </c>
      <c r="AT549" s="16">
        <v>8.08</v>
      </c>
      <c r="AU549" s="2" t="s">
        <v>661</v>
      </c>
      <c r="AV549" s="16">
        <f t="shared" ref="AV549:AV569" si="238">SUM(AR549:AT549)</f>
        <v>99.98</v>
      </c>
      <c r="AW549" s="18">
        <v>0.37</v>
      </c>
      <c r="AX549" s="13">
        <v>3.7000000000000002E-3</v>
      </c>
      <c r="AY549" s="13" t="s">
        <v>392</v>
      </c>
      <c r="AZ549" s="16">
        <f>1/0.02</f>
        <v>50</v>
      </c>
      <c r="BA549" s="16" t="s">
        <v>55</v>
      </c>
      <c r="BB549" s="16">
        <v>10</v>
      </c>
      <c r="BC549" s="16" t="s">
        <v>55</v>
      </c>
      <c r="BD549" s="18">
        <f>BO549</f>
        <v>91.557961004249648</v>
      </c>
      <c r="BE549" s="15">
        <f t="shared" si="224"/>
        <v>24745.394866013416</v>
      </c>
      <c r="BF549" s="8">
        <f t="shared" si="225"/>
        <v>4.393494388305287</v>
      </c>
      <c r="BG549" s="8">
        <f t="shared" si="235"/>
        <v>1.961696112372282</v>
      </c>
      <c r="BH549" s="13" t="s">
        <v>782</v>
      </c>
      <c r="BI549" s="8">
        <v>55.41</v>
      </c>
      <c r="BJ549" s="13" t="s">
        <v>366</v>
      </c>
      <c r="BK549" s="8">
        <v>0.78</v>
      </c>
      <c r="BL549" s="8">
        <f>BI549</f>
        <v>55.41</v>
      </c>
      <c r="BM549" s="18">
        <f>'PFAS Properties'!$U$36</f>
        <v>0.10200000000000001</v>
      </c>
      <c r="BN549" s="8">
        <f>(BL549*(BM549^BK549))</f>
        <v>9.3389120224334654</v>
      </c>
      <c r="BO549" s="24">
        <f>BN549/BM549</f>
        <v>91.557961004249648</v>
      </c>
    </row>
    <row r="550" spans="1:69" x14ac:dyDescent="0.3">
      <c r="A550" s="20">
        <v>560</v>
      </c>
      <c r="B550" s="2" t="s">
        <v>181</v>
      </c>
      <c r="C550" s="2">
        <v>2020</v>
      </c>
      <c r="D550" s="2" t="s">
        <v>203</v>
      </c>
      <c r="E550" s="10" t="s">
        <v>787</v>
      </c>
      <c r="F550" s="20" t="s">
        <v>29</v>
      </c>
      <c r="G550" s="2" t="s">
        <v>62</v>
      </c>
      <c r="H550" s="2" t="str">
        <f>'PFAS Properties'!$B$36</f>
        <v>PFUnA</v>
      </c>
      <c r="I550" s="2" t="str">
        <f>'PFAS Properties'!$C$36</f>
        <v>PFCA</v>
      </c>
      <c r="J550" s="2" t="str">
        <f>'PFAS Properties'!$D$36</f>
        <v>C11HF21O2</v>
      </c>
      <c r="K550" s="25">
        <f>'PFAS Properties'!$P$36</f>
        <v>563.96399999999994</v>
      </c>
      <c r="L550" s="2">
        <f>'PFAS Properties'!$X$36</f>
        <v>-0.2</v>
      </c>
      <c r="M550" s="2" t="str">
        <f>'PFAS Properties'!$Y$36</f>
        <v>-</v>
      </c>
      <c r="N550" s="33">
        <v>0</v>
      </c>
      <c r="O550" s="33">
        <v>0</v>
      </c>
      <c r="P550" s="33">
        <v>0</v>
      </c>
      <c r="Q550" s="33">
        <f t="shared" si="226"/>
        <v>0.99999998004737722</v>
      </c>
      <c r="R550" s="33">
        <v>0</v>
      </c>
      <c r="S550" s="33">
        <f t="shared" si="227"/>
        <v>1.995262275158161E-8</v>
      </c>
      <c r="T550" s="8">
        <f t="shared" si="228"/>
        <v>1</v>
      </c>
      <c r="U550" s="33">
        <f t="shared" si="218"/>
        <v>0</v>
      </c>
      <c r="V550" s="33">
        <f t="shared" si="219"/>
        <v>-0.99999998004737722</v>
      </c>
      <c r="W550" s="33">
        <f t="shared" si="220"/>
        <v>562.96400001995255</v>
      </c>
      <c r="X550" s="33">
        <v>96485</v>
      </c>
      <c r="Y550" s="16">
        <f t="shared" si="221"/>
        <v>-171.38750980782356</v>
      </c>
      <c r="Z550" s="16">
        <v>11</v>
      </c>
      <c r="AA550" s="16">
        <v>21</v>
      </c>
      <c r="AB550" s="8">
        <f t="shared" si="222"/>
        <v>0.33082706766917291</v>
      </c>
      <c r="AC550" s="16">
        <f t="shared" si="223"/>
        <v>70.749196757239829</v>
      </c>
      <c r="AD550" s="20">
        <f>'PFAS Properties'!$W$36</f>
        <v>10</v>
      </c>
      <c r="AE550" s="8">
        <f>'PFAS Properties'!$S$36</f>
        <v>8.6001717619175692E-3</v>
      </c>
      <c r="AF550" s="15">
        <f>'PFAS Properties'!$V$36</f>
        <v>6.9</v>
      </c>
      <c r="AG550" s="24">
        <v>7.5</v>
      </c>
      <c r="AH550" s="2" t="s">
        <v>183</v>
      </c>
      <c r="AI550" s="2" t="s">
        <v>661</v>
      </c>
      <c r="AJ550" s="2" t="s">
        <v>661</v>
      </c>
      <c r="AK550" s="2" t="s">
        <v>661</v>
      </c>
      <c r="AL550" s="2" t="s">
        <v>661</v>
      </c>
      <c r="AM550" s="2" t="s">
        <v>661</v>
      </c>
      <c r="AN550" s="2" t="s">
        <v>661</v>
      </c>
      <c r="AO550" s="2" t="s">
        <v>661</v>
      </c>
      <c r="AP550" s="16">
        <v>41.4</v>
      </c>
      <c r="AQ550" s="2" t="s">
        <v>661</v>
      </c>
      <c r="AR550" s="16">
        <v>16.899999999999999</v>
      </c>
      <c r="AS550" s="16">
        <v>17.5</v>
      </c>
      <c r="AT550" s="16">
        <v>65.599999999999994</v>
      </c>
      <c r="AU550" s="2" t="s">
        <v>661</v>
      </c>
      <c r="AV550" s="16">
        <f t="shared" si="238"/>
        <v>100</v>
      </c>
      <c r="AW550" s="18">
        <v>0.7</v>
      </c>
      <c r="AX550" s="13">
        <v>6.9999999999999993E-3</v>
      </c>
      <c r="AY550" s="13" t="s">
        <v>184</v>
      </c>
      <c r="AZ550" s="16">
        <v>100</v>
      </c>
      <c r="BA550" s="16" t="s">
        <v>55</v>
      </c>
      <c r="BB550" s="16">
        <v>5</v>
      </c>
      <c r="BC550" s="16" t="s">
        <v>55</v>
      </c>
      <c r="BD550" s="27">
        <v>19.059999999999999</v>
      </c>
      <c r="BE550" s="15">
        <f t="shared" si="224"/>
        <v>2722.8571428571431</v>
      </c>
      <c r="BF550" s="8">
        <f t="shared" si="225"/>
        <v>3.435024856288051</v>
      </c>
      <c r="BG550" s="8">
        <f t="shared" si="235"/>
        <v>1.2801228963023075</v>
      </c>
      <c r="BH550" s="5" t="s">
        <v>841</v>
      </c>
      <c r="BI550" s="5"/>
      <c r="BJ550" s="13"/>
      <c r="BK550" s="5"/>
      <c r="BL550" s="5"/>
      <c r="BM550" s="21"/>
      <c r="BN550" s="21"/>
      <c r="BO550" s="1"/>
      <c r="BP550" s="11"/>
      <c r="BQ550" s="11"/>
    </row>
    <row r="551" spans="1:69" x14ac:dyDescent="0.3">
      <c r="A551" s="20">
        <v>561</v>
      </c>
      <c r="B551" s="2" t="s">
        <v>181</v>
      </c>
      <c r="C551" s="2">
        <v>2020</v>
      </c>
      <c r="D551" s="2" t="s">
        <v>203</v>
      </c>
      <c r="E551" s="10" t="s">
        <v>787</v>
      </c>
      <c r="F551" s="20" t="s">
        <v>29</v>
      </c>
      <c r="G551" s="2" t="s">
        <v>57</v>
      </c>
      <c r="H551" s="2" t="str">
        <f>'PFAS Properties'!$B$36</f>
        <v>PFUnA</v>
      </c>
      <c r="I551" s="2" t="str">
        <f>'PFAS Properties'!$C$36</f>
        <v>PFCA</v>
      </c>
      <c r="J551" s="2" t="str">
        <f>'PFAS Properties'!$D$36</f>
        <v>C11HF21O2</v>
      </c>
      <c r="K551" s="25">
        <f>'PFAS Properties'!$P$36</f>
        <v>563.96399999999994</v>
      </c>
      <c r="L551" s="2">
        <f>'PFAS Properties'!$X$36</f>
        <v>-0.2</v>
      </c>
      <c r="M551" s="2" t="str">
        <f>'PFAS Properties'!$Y$36</f>
        <v>-</v>
      </c>
      <c r="N551" s="33">
        <v>0</v>
      </c>
      <c r="O551" s="33">
        <v>0</v>
      </c>
      <c r="P551" s="33">
        <v>0</v>
      </c>
      <c r="Q551" s="33">
        <f t="shared" si="226"/>
        <v>0.99999990000001004</v>
      </c>
      <c r="R551" s="33">
        <v>0</v>
      </c>
      <c r="S551" s="33">
        <f t="shared" si="227"/>
        <v>9.9999990000001005E-8</v>
      </c>
      <c r="T551" s="8">
        <f t="shared" si="228"/>
        <v>1</v>
      </c>
      <c r="U551" s="33">
        <f t="shared" si="218"/>
        <v>0</v>
      </c>
      <c r="V551" s="33">
        <f t="shared" si="219"/>
        <v>-0.99999990000001004</v>
      </c>
      <c r="W551" s="33">
        <f t="shared" si="220"/>
        <v>562.96400010000002</v>
      </c>
      <c r="X551" s="33">
        <v>96485</v>
      </c>
      <c r="Y551" s="16">
        <f t="shared" si="221"/>
        <v>-171.38749606433487</v>
      </c>
      <c r="Z551" s="16">
        <v>11</v>
      </c>
      <c r="AA551" s="16">
        <v>21</v>
      </c>
      <c r="AB551" s="8">
        <f t="shared" si="222"/>
        <v>0.33082706766917291</v>
      </c>
      <c r="AC551" s="16">
        <f t="shared" si="223"/>
        <v>70.749196757239829</v>
      </c>
      <c r="AD551" s="20">
        <f>'PFAS Properties'!$W$36</f>
        <v>10</v>
      </c>
      <c r="AE551" s="8">
        <f>'PFAS Properties'!$S$36</f>
        <v>8.6001717619175692E-3</v>
      </c>
      <c r="AF551" s="15">
        <f>'PFAS Properties'!$V$36</f>
        <v>6.9</v>
      </c>
      <c r="AG551" s="24">
        <v>6.8</v>
      </c>
      <c r="AH551" s="2" t="s">
        <v>183</v>
      </c>
      <c r="AI551" s="2" t="s">
        <v>661</v>
      </c>
      <c r="AJ551" s="2" t="s">
        <v>661</v>
      </c>
      <c r="AK551" s="2" t="s">
        <v>661</v>
      </c>
      <c r="AL551" s="2" t="s">
        <v>661</v>
      </c>
      <c r="AM551" s="2" t="s">
        <v>661</v>
      </c>
      <c r="AN551" s="2" t="s">
        <v>661</v>
      </c>
      <c r="AO551" s="2" t="s">
        <v>661</v>
      </c>
      <c r="AP551" s="16">
        <v>7.1</v>
      </c>
      <c r="AQ551" s="2" t="s">
        <v>661</v>
      </c>
      <c r="AR551" s="16">
        <v>48.9</v>
      </c>
      <c r="AS551" s="16">
        <v>27</v>
      </c>
      <c r="AT551" s="16">
        <v>24.2</v>
      </c>
      <c r="AU551" s="2" t="s">
        <v>661</v>
      </c>
      <c r="AV551" s="16">
        <f t="shared" si="238"/>
        <v>100.10000000000001</v>
      </c>
      <c r="AW551" s="18">
        <v>0.37</v>
      </c>
      <c r="AX551" s="13">
        <v>3.7000000000000002E-3</v>
      </c>
      <c r="AY551" s="13" t="s">
        <v>184</v>
      </c>
      <c r="AZ551" s="16">
        <v>100</v>
      </c>
      <c r="BA551" s="16" t="s">
        <v>55</v>
      </c>
      <c r="BB551" s="16">
        <v>5</v>
      </c>
      <c r="BC551" s="16" t="s">
        <v>55</v>
      </c>
      <c r="BD551" s="7">
        <v>32.619999999999997</v>
      </c>
      <c r="BE551" s="15">
        <f t="shared" si="224"/>
        <v>8816.2162162162149</v>
      </c>
      <c r="BF551" s="8">
        <f t="shared" si="225"/>
        <v>3.9452822326372621</v>
      </c>
      <c r="BG551" s="8">
        <f t="shared" si="235"/>
        <v>1.5134839567042571</v>
      </c>
      <c r="BH551" s="5" t="s">
        <v>841</v>
      </c>
      <c r="BI551" s="5"/>
      <c r="BJ551" s="13"/>
      <c r="BK551" s="5"/>
      <c r="BL551" s="5"/>
      <c r="BM551" s="21"/>
      <c r="BN551" s="21"/>
      <c r="BO551" s="1"/>
      <c r="BP551" s="11"/>
      <c r="BQ551" s="11"/>
    </row>
    <row r="552" spans="1:69" x14ac:dyDescent="0.3">
      <c r="A552" s="20">
        <v>562</v>
      </c>
      <c r="B552" s="2" t="s">
        <v>181</v>
      </c>
      <c r="C552" s="2">
        <v>2020</v>
      </c>
      <c r="D552" s="2" t="s">
        <v>203</v>
      </c>
      <c r="E552" s="10" t="s">
        <v>787</v>
      </c>
      <c r="F552" s="20" t="s">
        <v>29</v>
      </c>
      <c r="G552" s="2" t="s">
        <v>58</v>
      </c>
      <c r="H552" s="2" t="str">
        <f>'PFAS Properties'!$B$36</f>
        <v>PFUnA</v>
      </c>
      <c r="I552" s="2" t="str">
        <f>'PFAS Properties'!$C$36</f>
        <v>PFCA</v>
      </c>
      <c r="J552" s="2" t="str">
        <f>'PFAS Properties'!$D$36</f>
        <v>C11HF21O2</v>
      </c>
      <c r="K552" s="25">
        <f>'PFAS Properties'!$P$36</f>
        <v>563.96399999999994</v>
      </c>
      <c r="L552" s="2">
        <f>'PFAS Properties'!$X$36</f>
        <v>-0.2</v>
      </c>
      <c r="M552" s="2" t="str">
        <f>'PFAS Properties'!$Y$36</f>
        <v>-</v>
      </c>
      <c r="N552" s="33">
        <v>0</v>
      </c>
      <c r="O552" s="33">
        <v>0</v>
      </c>
      <c r="P552" s="33">
        <v>0</v>
      </c>
      <c r="Q552" s="33">
        <f t="shared" si="226"/>
        <v>0.99999960189298798</v>
      </c>
      <c r="R552" s="33">
        <v>0</v>
      </c>
      <c r="S552" s="33">
        <f t="shared" si="227"/>
        <v>3.9810701206424001E-7</v>
      </c>
      <c r="T552" s="8">
        <f t="shared" si="228"/>
        <v>1</v>
      </c>
      <c r="U552" s="33">
        <f t="shared" si="218"/>
        <v>0</v>
      </c>
      <c r="V552" s="33">
        <f t="shared" si="219"/>
        <v>-0.99999960189298798</v>
      </c>
      <c r="W552" s="33">
        <f t="shared" si="220"/>
        <v>562.96400039810692</v>
      </c>
      <c r="X552" s="33">
        <v>96485</v>
      </c>
      <c r="Y552" s="16">
        <f t="shared" si="221"/>
        <v>-171.38744488175871</v>
      </c>
      <c r="Z552" s="16">
        <v>11</v>
      </c>
      <c r="AA552" s="16">
        <v>21</v>
      </c>
      <c r="AB552" s="8">
        <f t="shared" si="222"/>
        <v>0.33082706766917291</v>
      </c>
      <c r="AC552" s="16">
        <f t="shared" si="223"/>
        <v>70.749196757239829</v>
      </c>
      <c r="AD552" s="20">
        <f>'PFAS Properties'!$W$36</f>
        <v>10</v>
      </c>
      <c r="AE552" s="8">
        <f>'PFAS Properties'!$S$36</f>
        <v>8.6001717619175692E-3</v>
      </c>
      <c r="AF552" s="15">
        <f>'PFAS Properties'!$V$36</f>
        <v>6.9</v>
      </c>
      <c r="AG552" s="24">
        <v>6.2</v>
      </c>
      <c r="AH552" s="2" t="s">
        <v>183</v>
      </c>
      <c r="AI552" s="2" t="s">
        <v>661</v>
      </c>
      <c r="AJ552" s="2" t="s">
        <v>661</v>
      </c>
      <c r="AK552" s="2" t="s">
        <v>661</v>
      </c>
      <c r="AL552" s="2" t="s">
        <v>661</v>
      </c>
      <c r="AM552" s="2" t="s">
        <v>661</v>
      </c>
      <c r="AN552" s="2" t="s">
        <v>661</v>
      </c>
      <c r="AO552" s="2" t="s">
        <v>661</v>
      </c>
      <c r="AP552" s="16">
        <v>8</v>
      </c>
      <c r="AQ552" s="2" t="s">
        <v>661</v>
      </c>
      <c r="AR552" s="16">
        <v>51.44</v>
      </c>
      <c r="AS552" s="16">
        <v>10.17</v>
      </c>
      <c r="AT552" s="16">
        <v>38.380000000000003</v>
      </c>
      <c r="AU552" s="2" t="s">
        <v>661</v>
      </c>
      <c r="AV552" s="16">
        <f t="shared" si="238"/>
        <v>99.990000000000009</v>
      </c>
      <c r="AW552" s="18">
        <v>0.08</v>
      </c>
      <c r="AX552" s="13">
        <v>8.0000000000000004E-4</v>
      </c>
      <c r="AY552" s="8" t="s">
        <v>184</v>
      </c>
      <c r="AZ552" s="16">
        <v>100</v>
      </c>
      <c r="BA552" s="16" t="s">
        <v>55</v>
      </c>
      <c r="BB552" s="16">
        <v>5</v>
      </c>
      <c r="BC552" s="16" t="s">
        <v>55</v>
      </c>
      <c r="BD552" s="7">
        <v>24.15</v>
      </c>
      <c r="BE552" s="15">
        <f t="shared" si="224"/>
        <v>30187.499999999996</v>
      </c>
      <c r="BF552" s="8">
        <f t="shared" si="225"/>
        <v>4.4798271480955876</v>
      </c>
      <c r="BG552" s="8">
        <f t="shared" si="235"/>
        <v>1.3829171350875309</v>
      </c>
      <c r="BH552" s="5" t="s">
        <v>841</v>
      </c>
      <c r="BI552" s="5"/>
      <c r="BJ552" s="13"/>
      <c r="BK552" s="5"/>
      <c r="BL552" s="5"/>
      <c r="BM552" s="21"/>
      <c r="BN552" s="21"/>
      <c r="BO552" s="1"/>
      <c r="BP552" s="11"/>
      <c r="BQ552" s="11"/>
    </row>
    <row r="553" spans="1:69" x14ac:dyDescent="0.3">
      <c r="A553" s="20">
        <v>563</v>
      </c>
      <c r="B553" s="2" t="s">
        <v>181</v>
      </c>
      <c r="C553" s="2">
        <v>2020</v>
      </c>
      <c r="D553" s="2" t="s">
        <v>203</v>
      </c>
      <c r="E553" s="10" t="s">
        <v>787</v>
      </c>
      <c r="F553" s="20" t="s">
        <v>29</v>
      </c>
      <c r="G553" s="2" t="s">
        <v>59</v>
      </c>
      <c r="H553" s="2" t="str">
        <f>'PFAS Properties'!$B$36</f>
        <v>PFUnA</v>
      </c>
      <c r="I553" s="2" t="str">
        <f>'PFAS Properties'!$C$36</f>
        <v>PFCA</v>
      </c>
      <c r="J553" s="2" t="str">
        <f>'PFAS Properties'!$D$36</f>
        <v>C11HF21O2</v>
      </c>
      <c r="K553" s="25">
        <f>'PFAS Properties'!$P$36</f>
        <v>563.96399999999994</v>
      </c>
      <c r="L553" s="2">
        <f>'PFAS Properties'!$X$36</f>
        <v>-0.2</v>
      </c>
      <c r="M553" s="2" t="str">
        <f>'PFAS Properties'!$Y$36</f>
        <v>-</v>
      </c>
      <c r="N553" s="33">
        <v>0</v>
      </c>
      <c r="O553" s="33">
        <v>0</v>
      </c>
      <c r="P553" s="33">
        <v>0</v>
      </c>
      <c r="Q553" s="33">
        <f t="shared" si="226"/>
        <v>0.99999998741074603</v>
      </c>
      <c r="R553" s="33">
        <v>0</v>
      </c>
      <c r="S553" s="33">
        <f t="shared" si="227"/>
        <v>1.258925395945232E-8</v>
      </c>
      <c r="T553" s="8">
        <f t="shared" si="228"/>
        <v>1</v>
      </c>
      <c r="U553" s="33">
        <f t="shared" si="218"/>
        <v>0</v>
      </c>
      <c r="V553" s="33">
        <f t="shared" si="219"/>
        <v>-0.99999998741074603</v>
      </c>
      <c r="W553" s="33">
        <f t="shared" si="220"/>
        <v>562.96400001258917</v>
      </c>
      <c r="X553" s="33">
        <v>96485</v>
      </c>
      <c r="Y553" s="16">
        <f t="shared" si="221"/>
        <v>-171.38751107205471</v>
      </c>
      <c r="Z553" s="16">
        <v>11</v>
      </c>
      <c r="AA553" s="16">
        <v>21</v>
      </c>
      <c r="AB553" s="8">
        <f t="shared" si="222"/>
        <v>0.33082706766917291</v>
      </c>
      <c r="AC553" s="16">
        <f t="shared" si="223"/>
        <v>70.749196757239829</v>
      </c>
      <c r="AD553" s="20">
        <f>'PFAS Properties'!$W$36</f>
        <v>10</v>
      </c>
      <c r="AE553" s="8">
        <f>'PFAS Properties'!$S$36</f>
        <v>8.6001717619175692E-3</v>
      </c>
      <c r="AF553" s="15">
        <f>'PFAS Properties'!$V$36</f>
        <v>6.9</v>
      </c>
      <c r="AG553" s="24">
        <v>7.7</v>
      </c>
      <c r="AH553" s="2" t="s">
        <v>183</v>
      </c>
      <c r="AI553" s="2" t="s">
        <v>661</v>
      </c>
      <c r="AJ553" s="2" t="s">
        <v>661</v>
      </c>
      <c r="AK553" s="2" t="s">
        <v>661</v>
      </c>
      <c r="AL553" s="2" t="s">
        <v>661</v>
      </c>
      <c r="AM553" s="2" t="s">
        <v>661</v>
      </c>
      <c r="AN553" s="2" t="s">
        <v>661</v>
      </c>
      <c r="AO553" s="2" t="s">
        <v>661</v>
      </c>
      <c r="AP553" s="16">
        <v>4.8</v>
      </c>
      <c r="AQ553" s="2" t="s">
        <v>661</v>
      </c>
      <c r="AR553" s="16">
        <v>46</v>
      </c>
      <c r="AS553" s="16">
        <v>37</v>
      </c>
      <c r="AT553" s="16">
        <v>17</v>
      </c>
      <c r="AU553" s="2" t="s">
        <v>661</v>
      </c>
      <c r="AV553" s="16">
        <f t="shared" si="238"/>
        <v>100</v>
      </c>
      <c r="AW553" s="18">
        <v>0.25</v>
      </c>
      <c r="AX553" s="13">
        <v>2.5000000000000001E-3</v>
      </c>
      <c r="AY553" s="13" t="s">
        <v>184</v>
      </c>
      <c r="AZ553" s="16">
        <v>100</v>
      </c>
      <c r="BA553" s="16" t="s">
        <v>55</v>
      </c>
      <c r="BB553" s="16">
        <v>5</v>
      </c>
      <c r="BC553" s="16" t="s">
        <v>55</v>
      </c>
      <c r="BD553" s="27">
        <v>31.01</v>
      </c>
      <c r="BE553" s="15">
        <f t="shared" si="224"/>
        <v>12404</v>
      </c>
      <c r="BF553" s="8">
        <f t="shared" si="225"/>
        <v>4.0935617575652889</v>
      </c>
      <c r="BG553" s="8">
        <f t="shared" si="235"/>
        <v>1.4915017662373264</v>
      </c>
      <c r="BH553" s="5" t="s">
        <v>841</v>
      </c>
      <c r="BI553" s="5"/>
      <c r="BJ553" s="13"/>
      <c r="BK553" s="5"/>
      <c r="BL553" s="5"/>
      <c r="BM553" s="21"/>
      <c r="BN553" s="21"/>
      <c r="BO553" s="1"/>
      <c r="BP553" s="11"/>
      <c r="BQ553" s="11"/>
    </row>
    <row r="554" spans="1:69" x14ac:dyDescent="0.3">
      <c r="A554" s="20">
        <v>564</v>
      </c>
      <c r="B554" s="2" t="s">
        <v>181</v>
      </c>
      <c r="C554" s="2">
        <v>2020</v>
      </c>
      <c r="D554" s="2" t="s">
        <v>203</v>
      </c>
      <c r="E554" s="10" t="s">
        <v>787</v>
      </c>
      <c r="F554" s="20" t="s">
        <v>29</v>
      </c>
      <c r="G554" s="2" t="s">
        <v>61</v>
      </c>
      <c r="H554" s="2" t="str">
        <f>'PFAS Properties'!$B$36</f>
        <v>PFUnA</v>
      </c>
      <c r="I554" s="2" t="str">
        <f>'PFAS Properties'!$C$36</f>
        <v>PFCA</v>
      </c>
      <c r="J554" s="2" t="str">
        <f>'PFAS Properties'!$D$36</f>
        <v>C11HF21O2</v>
      </c>
      <c r="K554" s="25">
        <f>'PFAS Properties'!$P$36</f>
        <v>563.96399999999994</v>
      </c>
      <c r="L554" s="2">
        <f>'PFAS Properties'!$X$36</f>
        <v>-0.2</v>
      </c>
      <c r="M554" s="2" t="str">
        <f>'PFAS Properties'!$Y$36</f>
        <v>-</v>
      </c>
      <c r="N554" s="33">
        <v>0</v>
      </c>
      <c r="O554" s="33">
        <v>0</v>
      </c>
      <c r="P554" s="33">
        <v>0</v>
      </c>
      <c r="Q554" s="33">
        <f t="shared" si="226"/>
        <v>0.99999997488113634</v>
      </c>
      <c r="R554" s="33">
        <v>0</v>
      </c>
      <c r="S554" s="33">
        <f t="shared" si="227"/>
        <v>2.5118863684138424E-8</v>
      </c>
      <c r="T554" s="8">
        <f t="shared" si="228"/>
        <v>1</v>
      </c>
      <c r="U554" s="33">
        <f t="shared" si="218"/>
        <v>0</v>
      </c>
      <c r="V554" s="33">
        <f t="shared" si="219"/>
        <v>-0.99999997488113634</v>
      </c>
      <c r="W554" s="33">
        <f t="shared" si="220"/>
        <v>562.96400002511882</v>
      </c>
      <c r="X554" s="33">
        <v>96485</v>
      </c>
      <c r="Y554" s="16">
        <f t="shared" si="221"/>
        <v>-171.38750892082155</v>
      </c>
      <c r="Z554" s="16">
        <v>11</v>
      </c>
      <c r="AA554" s="16">
        <v>21</v>
      </c>
      <c r="AB554" s="8">
        <f t="shared" si="222"/>
        <v>0.33082706766917291</v>
      </c>
      <c r="AC554" s="16">
        <f t="shared" si="223"/>
        <v>70.749196757239829</v>
      </c>
      <c r="AD554" s="20">
        <f>'PFAS Properties'!$W$36</f>
        <v>10</v>
      </c>
      <c r="AE554" s="8">
        <f>'PFAS Properties'!$S$36</f>
        <v>8.6001717619175692E-3</v>
      </c>
      <c r="AF554" s="15">
        <f>'PFAS Properties'!$V$36</f>
        <v>6.9</v>
      </c>
      <c r="AG554" s="24">
        <v>7.4</v>
      </c>
      <c r="AH554" s="2" t="s">
        <v>183</v>
      </c>
      <c r="AI554" s="2" t="s">
        <v>661</v>
      </c>
      <c r="AJ554" s="2" t="s">
        <v>661</v>
      </c>
      <c r="AK554" s="2" t="s">
        <v>661</v>
      </c>
      <c r="AL554" s="2" t="s">
        <v>661</v>
      </c>
      <c r="AM554" s="2" t="s">
        <v>661</v>
      </c>
      <c r="AN554" s="2" t="s">
        <v>661</v>
      </c>
      <c r="AO554" s="2" t="s">
        <v>661</v>
      </c>
      <c r="AP554" s="16">
        <v>29.6</v>
      </c>
      <c r="AQ554" s="2" t="s">
        <v>661</v>
      </c>
      <c r="AR554" s="16">
        <v>39.799999999999997</v>
      </c>
      <c r="AS554" s="16">
        <v>7.7</v>
      </c>
      <c r="AT554" s="16">
        <v>52.5</v>
      </c>
      <c r="AU554" s="2" t="s">
        <v>661</v>
      </c>
      <c r="AV554" s="16">
        <f t="shared" si="238"/>
        <v>100</v>
      </c>
      <c r="AW554" s="18">
        <v>2.23</v>
      </c>
      <c r="AX554" s="13">
        <v>2.23E-2</v>
      </c>
      <c r="AY554" s="8" t="s">
        <v>184</v>
      </c>
      <c r="AZ554" s="16">
        <v>100</v>
      </c>
      <c r="BA554" s="16" t="s">
        <v>55</v>
      </c>
      <c r="BB554" s="16">
        <v>5</v>
      </c>
      <c r="BC554" s="16" t="s">
        <v>55</v>
      </c>
      <c r="BD554" s="7">
        <v>20.71</v>
      </c>
      <c r="BE554" s="15">
        <f t="shared" si="224"/>
        <v>928.69955156950675</v>
      </c>
      <c r="BF554" s="8">
        <f t="shared" si="225"/>
        <v>2.967875235845292</v>
      </c>
      <c r="BG554" s="8">
        <f t="shared" si="235"/>
        <v>1.3161800988934527</v>
      </c>
      <c r="BH554" s="5" t="s">
        <v>841</v>
      </c>
      <c r="BI554" s="5"/>
      <c r="BJ554" s="13"/>
      <c r="BK554" s="5"/>
      <c r="BL554" s="5"/>
      <c r="BM554" s="21"/>
      <c r="BN554" s="21"/>
      <c r="BO554" s="1"/>
      <c r="BP554" s="11"/>
      <c r="BQ554" s="11"/>
    </row>
    <row r="555" spans="1:69" x14ac:dyDescent="0.3">
      <c r="A555" s="20">
        <v>565</v>
      </c>
      <c r="B555" s="2" t="s">
        <v>181</v>
      </c>
      <c r="C555" s="2">
        <v>2020</v>
      </c>
      <c r="D555" s="2" t="s">
        <v>203</v>
      </c>
      <c r="E555" s="10" t="s">
        <v>787</v>
      </c>
      <c r="F555" s="20" t="s">
        <v>29</v>
      </c>
      <c r="G555" s="2" t="s">
        <v>60</v>
      </c>
      <c r="H555" s="2" t="str">
        <f>'PFAS Properties'!$B$36</f>
        <v>PFUnA</v>
      </c>
      <c r="I555" s="2" t="str">
        <f>'PFAS Properties'!$C$36</f>
        <v>PFCA</v>
      </c>
      <c r="J555" s="2" t="str">
        <f>'PFAS Properties'!$D$36</f>
        <v>C11HF21O2</v>
      </c>
      <c r="K555" s="25">
        <f>'PFAS Properties'!$P$36</f>
        <v>563.96399999999994</v>
      </c>
      <c r="L555" s="2">
        <f>'PFAS Properties'!$X$36</f>
        <v>-0.2</v>
      </c>
      <c r="M555" s="2" t="str">
        <f>'PFAS Properties'!$Y$36</f>
        <v>-</v>
      </c>
      <c r="N555" s="33">
        <v>0</v>
      </c>
      <c r="O555" s="33">
        <v>0</v>
      </c>
      <c r="P555" s="33">
        <v>0</v>
      </c>
      <c r="Q555" s="33">
        <f t="shared" si="226"/>
        <v>0.99999998741074603</v>
      </c>
      <c r="R555" s="33">
        <v>0</v>
      </c>
      <c r="S555" s="33">
        <f t="shared" si="227"/>
        <v>1.258925395945232E-8</v>
      </c>
      <c r="T555" s="8">
        <f t="shared" si="228"/>
        <v>1</v>
      </c>
      <c r="U555" s="33">
        <f t="shared" si="218"/>
        <v>0</v>
      </c>
      <c r="V555" s="33">
        <f t="shared" si="219"/>
        <v>-0.99999998741074603</v>
      </c>
      <c r="W555" s="33">
        <f t="shared" si="220"/>
        <v>562.96400001258917</v>
      </c>
      <c r="X555" s="33">
        <v>96485</v>
      </c>
      <c r="Y555" s="16">
        <f t="shared" si="221"/>
        <v>-171.38751107205471</v>
      </c>
      <c r="Z555" s="16">
        <v>11</v>
      </c>
      <c r="AA555" s="16">
        <v>21</v>
      </c>
      <c r="AB555" s="8">
        <f t="shared" si="222"/>
        <v>0.33082706766917291</v>
      </c>
      <c r="AC555" s="16">
        <f t="shared" si="223"/>
        <v>70.749196757239829</v>
      </c>
      <c r="AD555" s="20">
        <f>'PFAS Properties'!$W$36</f>
        <v>10</v>
      </c>
      <c r="AE555" s="8">
        <f>'PFAS Properties'!$S$36</f>
        <v>8.6001717619175692E-3</v>
      </c>
      <c r="AF555" s="15">
        <f>'PFAS Properties'!$V$36</f>
        <v>6.9</v>
      </c>
      <c r="AG555" s="24">
        <v>7.7</v>
      </c>
      <c r="AH555" s="2" t="s">
        <v>183</v>
      </c>
      <c r="AI555" s="2" t="s">
        <v>661</v>
      </c>
      <c r="AJ555" s="2" t="s">
        <v>661</v>
      </c>
      <c r="AK555" s="2" t="s">
        <v>661</v>
      </c>
      <c r="AL555" s="2" t="s">
        <v>661</v>
      </c>
      <c r="AM555" s="2" t="s">
        <v>661</v>
      </c>
      <c r="AN555" s="2" t="s">
        <v>661</v>
      </c>
      <c r="AO555" s="2" t="s">
        <v>661</v>
      </c>
      <c r="AP555" s="16">
        <v>21.63</v>
      </c>
      <c r="AQ555" s="2" t="s">
        <v>661</v>
      </c>
      <c r="AR555" s="16">
        <v>70</v>
      </c>
      <c r="AS555" s="16">
        <v>11</v>
      </c>
      <c r="AT555" s="16">
        <v>19</v>
      </c>
      <c r="AU555" s="2" t="s">
        <v>661</v>
      </c>
      <c r="AV555" s="16">
        <f t="shared" si="238"/>
        <v>100</v>
      </c>
      <c r="AW555" s="18">
        <v>4.9000000000000004</v>
      </c>
      <c r="AX555" s="13">
        <v>4.9000000000000002E-2</v>
      </c>
      <c r="AY555" s="8" t="s">
        <v>184</v>
      </c>
      <c r="AZ555" s="16">
        <v>100</v>
      </c>
      <c r="BA555" s="16" t="s">
        <v>55</v>
      </c>
      <c r="BB555" s="16">
        <v>5</v>
      </c>
      <c r="BC555" s="16" t="s">
        <v>55</v>
      </c>
      <c r="BD555" s="7">
        <v>131.33000000000001</v>
      </c>
      <c r="BE555" s="15">
        <f t="shared" si="224"/>
        <v>2680.204081632653</v>
      </c>
      <c r="BF555" s="8">
        <f t="shared" si="225"/>
        <v>3.4281678642349274</v>
      </c>
      <c r="BG555" s="8">
        <f t="shared" si="235"/>
        <v>2.1183639442634408</v>
      </c>
      <c r="BH555" s="5" t="s">
        <v>841</v>
      </c>
      <c r="BI555" s="5"/>
      <c r="BJ555" s="13"/>
      <c r="BK555" s="5"/>
      <c r="BL555" s="5"/>
      <c r="BM555" s="21"/>
      <c r="BN555" s="21"/>
      <c r="BO555" s="1"/>
      <c r="BP555" s="11"/>
      <c r="BQ555" s="11"/>
    </row>
    <row r="556" spans="1:69" x14ac:dyDescent="0.3">
      <c r="A556" s="20">
        <v>566</v>
      </c>
      <c r="B556" s="2" t="s">
        <v>181</v>
      </c>
      <c r="C556" s="2">
        <v>2020</v>
      </c>
      <c r="D556" s="2" t="s">
        <v>203</v>
      </c>
      <c r="E556" s="10" t="s">
        <v>787</v>
      </c>
      <c r="F556" s="20" t="s">
        <v>29</v>
      </c>
      <c r="G556" s="2" t="s">
        <v>77</v>
      </c>
      <c r="H556" s="2" t="str">
        <f>'PFAS Properties'!$B$36</f>
        <v>PFUnA</v>
      </c>
      <c r="I556" s="2" t="str">
        <f>'PFAS Properties'!$C$36</f>
        <v>PFCA</v>
      </c>
      <c r="J556" s="2" t="str">
        <f>'PFAS Properties'!$D$36</f>
        <v>C11HF21O2</v>
      </c>
      <c r="K556" s="25">
        <f>'PFAS Properties'!$P$36</f>
        <v>563.96399999999994</v>
      </c>
      <c r="L556" s="2">
        <f>'PFAS Properties'!$X$36</f>
        <v>-0.2</v>
      </c>
      <c r="M556" s="2" t="str">
        <f>'PFAS Properties'!$Y$36</f>
        <v>-</v>
      </c>
      <c r="N556" s="33">
        <v>0</v>
      </c>
      <c r="O556" s="33">
        <v>0</v>
      </c>
      <c r="P556" s="33">
        <v>0</v>
      </c>
      <c r="Q556" s="33">
        <f t="shared" si="226"/>
        <v>0.99999998741074603</v>
      </c>
      <c r="R556" s="33">
        <v>0</v>
      </c>
      <c r="S556" s="33">
        <f t="shared" si="227"/>
        <v>1.258925395945232E-8</v>
      </c>
      <c r="T556" s="8">
        <f t="shared" si="228"/>
        <v>1</v>
      </c>
      <c r="U556" s="33">
        <f t="shared" si="218"/>
        <v>0</v>
      </c>
      <c r="V556" s="33">
        <f t="shared" si="219"/>
        <v>-0.99999998741074603</v>
      </c>
      <c r="W556" s="33">
        <f t="shared" si="220"/>
        <v>562.96400001258917</v>
      </c>
      <c r="X556" s="33">
        <v>96485</v>
      </c>
      <c r="Y556" s="16">
        <f t="shared" si="221"/>
        <v>-171.38751107205471</v>
      </c>
      <c r="Z556" s="16">
        <v>11</v>
      </c>
      <c r="AA556" s="16">
        <v>21</v>
      </c>
      <c r="AB556" s="8">
        <f t="shared" si="222"/>
        <v>0.33082706766917291</v>
      </c>
      <c r="AC556" s="16">
        <f t="shared" si="223"/>
        <v>70.749196757239829</v>
      </c>
      <c r="AD556" s="20">
        <f>'PFAS Properties'!$W$36</f>
        <v>10</v>
      </c>
      <c r="AE556" s="8">
        <f>'PFAS Properties'!$S$36</f>
        <v>8.6001717619175692E-3</v>
      </c>
      <c r="AF556" s="15">
        <f>'PFAS Properties'!$V$36</f>
        <v>6.9</v>
      </c>
      <c r="AG556" s="24">
        <v>7.7</v>
      </c>
      <c r="AH556" s="2" t="s">
        <v>183</v>
      </c>
      <c r="AI556" s="2" t="s">
        <v>661</v>
      </c>
      <c r="AJ556" s="2" t="s">
        <v>661</v>
      </c>
      <c r="AK556" s="2" t="s">
        <v>661</v>
      </c>
      <c r="AL556" s="2" t="s">
        <v>661</v>
      </c>
      <c r="AM556" s="2" t="s">
        <v>661</v>
      </c>
      <c r="AN556" s="2" t="s">
        <v>661</v>
      </c>
      <c r="AO556" s="2" t="s">
        <v>661</v>
      </c>
      <c r="AP556" s="16">
        <v>7.8</v>
      </c>
      <c r="AQ556" s="2" t="s">
        <v>661</v>
      </c>
      <c r="AR556" s="16">
        <v>48.9</v>
      </c>
      <c r="AS556" s="16">
        <v>32.6</v>
      </c>
      <c r="AT556" s="16">
        <v>18.5</v>
      </c>
      <c r="AU556" s="2" t="s">
        <v>661</v>
      </c>
      <c r="AV556" s="16">
        <f t="shared" si="238"/>
        <v>100</v>
      </c>
      <c r="AW556" s="18">
        <v>0.13</v>
      </c>
      <c r="AX556" s="13">
        <v>1.2999999999999999E-3</v>
      </c>
      <c r="AY556" s="8" t="s">
        <v>184</v>
      </c>
      <c r="AZ556" s="16">
        <v>100</v>
      </c>
      <c r="BA556" s="16" t="s">
        <v>55</v>
      </c>
      <c r="BB556" s="16">
        <v>5</v>
      </c>
      <c r="BC556" s="16" t="s">
        <v>55</v>
      </c>
      <c r="BD556" s="7">
        <v>23.32</v>
      </c>
      <c r="BE556" s="15">
        <f t="shared" si="224"/>
        <v>17938.461538461539</v>
      </c>
      <c r="BF556" s="8">
        <f t="shared" si="225"/>
        <v>4.2537851937801401</v>
      </c>
      <c r="BG556" s="8">
        <f t="shared" si="235"/>
        <v>1.3677285460869766</v>
      </c>
      <c r="BH556" s="5" t="s">
        <v>841</v>
      </c>
      <c r="BI556" s="5"/>
      <c r="BJ556" s="13"/>
      <c r="BK556" s="5"/>
      <c r="BL556" s="5"/>
      <c r="BM556" s="21"/>
      <c r="BN556" s="21"/>
      <c r="BO556" s="1"/>
      <c r="BP556" s="11"/>
      <c r="BQ556" s="11"/>
    </row>
    <row r="557" spans="1:69" x14ac:dyDescent="0.3">
      <c r="A557" s="20">
        <v>567</v>
      </c>
      <c r="B557" s="2" t="s">
        <v>181</v>
      </c>
      <c r="C557" s="2">
        <v>2020</v>
      </c>
      <c r="D557" s="2" t="s">
        <v>203</v>
      </c>
      <c r="E557" s="10" t="s">
        <v>787</v>
      </c>
      <c r="F557" s="20" t="s">
        <v>29</v>
      </c>
      <c r="G557" s="2" t="s">
        <v>182</v>
      </c>
      <c r="H557" s="2" t="str">
        <f>'PFAS Properties'!$B$36</f>
        <v>PFUnA</v>
      </c>
      <c r="I557" s="2" t="str">
        <f>'PFAS Properties'!$C$36</f>
        <v>PFCA</v>
      </c>
      <c r="J557" s="2" t="str">
        <f>'PFAS Properties'!$D$36</f>
        <v>C11HF21O2</v>
      </c>
      <c r="K557" s="25">
        <f>'PFAS Properties'!$P$36</f>
        <v>563.96399999999994</v>
      </c>
      <c r="L557" s="2">
        <f>'PFAS Properties'!$X$36</f>
        <v>-0.2</v>
      </c>
      <c r="M557" s="2" t="str">
        <f>'PFAS Properties'!$Y$36</f>
        <v>-</v>
      </c>
      <c r="N557" s="33">
        <v>0</v>
      </c>
      <c r="O557" s="33">
        <v>0</v>
      </c>
      <c r="P557" s="33">
        <v>0</v>
      </c>
      <c r="Q557" s="33">
        <f t="shared" si="226"/>
        <v>0.99999998004737722</v>
      </c>
      <c r="R557" s="33">
        <v>0</v>
      </c>
      <c r="S557" s="33">
        <f t="shared" si="227"/>
        <v>1.995262275158161E-8</v>
      </c>
      <c r="T557" s="8">
        <f t="shared" si="228"/>
        <v>1</v>
      </c>
      <c r="U557" s="33">
        <f t="shared" si="218"/>
        <v>0</v>
      </c>
      <c r="V557" s="33">
        <f t="shared" si="219"/>
        <v>-0.99999998004737722</v>
      </c>
      <c r="W557" s="33">
        <f t="shared" si="220"/>
        <v>562.96400001995255</v>
      </c>
      <c r="X557" s="33">
        <v>96485</v>
      </c>
      <c r="Y557" s="16">
        <f t="shared" si="221"/>
        <v>-171.38750980782356</v>
      </c>
      <c r="Z557" s="16">
        <v>11</v>
      </c>
      <c r="AA557" s="16">
        <v>21</v>
      </c>
      <c r="AB557" s="8">
        <f t="shared" si="222"/>
        <v>0.33082706766917291</v>
      </c>
      <c r="AC557" s="16">
        <f t="shared" si="223"/>
        <v>70.749196757239829</v>
      </c>
      <c r="AD557" s="20">
        <f>'PFAS Properties'!$W$36</f>
        <v>10</v>
      </c>
      <c r="AE557" s="8">
        <f>'PFAS Properties'!$S$36</f>
        <v>8.6001717619175692E-3</v>
      </c>
      <c r="AF557" s="15">
        <f>'PFAS Properties'!$V$36</f>
        <v>6.9</v>
      </c>
      <c r="AG557" s="24">
        <v>7.5</v>
      </c>
      <c r="AH557" s="2" t="s">
        <v>183</v>
      </c>
      <c r="AI557" s="2" t="s">
        <v>661</v>
      </c>
      <c r="AJ557" s="2" t="s">
        <v>661</v>
      </c>
      <c r="AK557" s="2" t="s">
        <v>661</v>
      </c>
      <c r="AL557" s="2" t="s">
        <v>661</v>
      </c>
      <c r="AM557" s="2" t="s">
        <v>661</v>
      </c>
      <c r="AN557" s="2" t="s">
        <v>661</v>
      </c>
      <c r="AO557" s="2" t="s">
        <v>661</v>
      </c>
      <c r="AP557" s="16">
        <v>2.2799999999999998</v>
      </c>
      <c r="AQ557" s="2" t="s">
        <v>661</v>
      </c>
      <c r="AR557" s="16">
        <v>93</v>
      </c>
      <c r="AS557" s="16">
        <v>1</v>
      </c>
      <c r="AT557" s="16">
        <v>5</v>
      </c>
      <c r="AU557" s="2" t="s">
        <v>661</v>
      </c>
      <c r="AV557" s="16">
        <f t="shared" si="238"/>
        <v>99</v>
      </c>
      <c r="AW557" s="18">
        <v>0.4</v>
      </c>
      <c r="AX557" s="13">
        <v>4.0000000000000001E-3</v>
      </c>
      <c r="AY557" s="8" t="s">
        <v>184</v>
      </c>
      <c r="AZ557" s="16">
        <v>100</v>
      </c>
      <c r="BA557" s="16" t="s">
        <v>55</v>
      </c>
      <c r="BB557" s="16">
        <v>5</v>
      </c>
      <c r="BC557" s="16" t="s">
        <v>55</v>
      </c>
      <c r="BD557" s="7">
        <v>11.73</v>
      </c>
      <c r="BE557" s="15">
        <f t="shared" si="224"/>
        <v>2932.5</v>
      </c>
      <c r="BF557" s="8">
        <f t="shared" si="225"/>
        <v>3.4672380207875668</v>
      </c>
      <c r="BG557" s="8">
        <f t="shared" si="235"/>
        <v>1.0692980121155293</v>
      </c>
      <c r="BH557" s="5" t="s">
        <v>841</v>
      </c>
      <c r="BI557" s="5"/>
      <c r="BJ557" s="13"/>
      <c r="BK557" s="5"/>
      <c r="BL557" s="5"/>
      <c r="BM557" s="21"/>
      <c r="BN557" s="21"/>
      <c r="BO557" s="1"/>
      <c r="BP557" s="11"/>
      <c r="BQ557" s="11"/>
    </row>
    <row r="558" spans="1:69" x14ac:dyDescent="0.3">
      <c r="A558" s="20">
        <v>568</v>
      </c>
      <c r="B558" s="2" t="s">
        <v>181</v>
      </c>
      <c r="C558" s="2">
        <v>2020</v>
      </c>
      <c r="D558" s="2" t="s">
        <v>203</v>
      </c>
      <c r="E558" s="10" t="s">
        <v>787</v>
      </c>
      <c r="F558" s="20" t="s">
        <v>29</v>
      </c>
      <c r="G558" s="2" t="s">
        <v>78</v>
      </c>
      <c r="H558" s="2" t="str">
        <f>'PFAS Properties'!$B$36</f>
        <v>PFUnA</v>
      </c>
      <c r="I558" s="2" t="str">
        <f>'PFAS Properties'!$C$36</f>
        <v>PFCA</v>
      </c>
      <c r="J558" s="2" t="str">
        <f>'PFAS Properties'!$D$36</f>
        <v>C11HF21O2</v>
      </c>
      <c r="K558" s="25">
        <f>'PFAS Properties'!$P$36</f>
        <v>563.96399999999994</v>
      </c>
      <c r="L558" s="2">
        <f>'PFAS Properties'!$X$36</f>
        <v>-0.2</v>
      </c>
      <c r="M558" s="2" t="str">
        <f>'PFAS Properties'!$Y$36</f>
        <v>-</v>
      </c>
      <c r="N558" s="33">
        <v>0</v>
      </c>
      <c r="O558" s="33">
        <v>0</v>
      </c>
      <c r="P558" s="33">
        <v>0</v>
      </c>
      <c r="Q558" s="33">
        <f t="shared" si="226"/>
        <v>0.99999994988127916</v>
      </c>
      <c r="R558" s="33">
        <v>0</v>
      </c>
      <c r="S558" s="33">
        <f t="shared" si="227"/>
        <v>5.011872085084086E-8</v>
      </c>
      <c r="T558" s="8">
        <f t="shared" si="228"/>
        <v>1</v>
      </c>
      <c r="U558" s="33">
        <f t="shared" si="218"/>
        <v>0</v>
      </c>
      <c r="V558" s="33">
        <f t="shared" si="219"/>
        <v>-0.99999994988127916</v>
      </c>
      <c r="W558" s="33">
        <f t="shared" si="220"/>
        <v>562.96400005011867</v>
      </c>
      <c r="X558" s="33">
        <v>96485</v>
      </c>
      <c r="Y558" s="16">
        <f t="shared" si="221"/>
        <v>-171.3875046285473</v>
      </c>
      <c r="Z558" s="16">
        <v>11</v>
      </c>
      <c r="AA558" s="16">
        <v>21</v>
      </c>
      <c r="AB558" s="8">
        <f t="shared" si="222"/>
        <v>0.33082706766917291</v>
      </c>
      <c r="AC558" s="16">
        <f t="shared" si="223"/>
        <v>70.749196757239829</v>
      </c>
      <c r="AD558" s="20">
        <f>'PFAS Properties'!$W$36</f>
        <v>10</v>
      </c>
      <c r="AE558" s="8">
        <f>'PFAS Properties'!$S$36</f>
        <v>8.6001717619175692E-3</v>
      </c>
      <c r="AF558" s="15">
        <f>'PFAS Properties'!$V$36</f>
        <v>6.9</v>
      </c>
      <c r="AG558" s="24">
        <v>7.1</v>
      </c>
      <c r="AH558" s="2" t="s">
        <v>183</v>
      </c>
      <c r="AI558" s="2" t="s">
        <v>661</v>
      </c>
      <c r="AJ558" s="2" t="s">
        <v>661</v>
      </c>
      <c r="AK558" s="2" t="s">
        <v>661</v>
      </c>
      <c r="AL558" s="2" t="s">
        <v>661</v>
      </c>
      <c r="AM558" s="2" t="s">
        <v>661</v>
      </c>
      <c r="AN558" s="2" t="s">
        <v>661</v>
      </c>
      <c r="AO558" s="2" t="s">
        <v>661</v>
      </c>
      <c r="AP558" s="16">
        <v>17.420000000000002</v>
      </c>
      <c r="AQ558" s="2" t="s">
        <v>661</v>
      </c>
      <c r="AR558" s="16">
        <v>48.86</v>
      </c>
      <c r="AS558" s="16">
        <v>16.05</v>
      </c>
      <c r="AT558" s="16">
        <v>35.090000000000003</v>
      </c>
      <c r="AU558" s="2" t="s">
        <v>661</v>
      </c>
      <c r="AV558" s="16">
        <f t="shared" si="238"/>
        <v>100</v>
      </c>
      <c r="AW558" s="18">
        <v>1.19</v>
      </c>
      <c r="AX558" s="13">
        <v>1.1899999999999999E-2</v>
      </c>
      <c r="AY558" s="8" t="s">
        <v>184</v>
      </c>
      <c r="AZ558" s="16">
        <v>100</v>
      </c>
      <c r="BA558" s="16" t="s">
        <v>55</v>
      </c>
      <c r="BB558" s="16">
        <v>5</v>
      </c>
      <c r="BC558" s="16" t="s">
        <v>55</v>
      </c>
      <c r="BD558" s="7">
        <v>68.03</v>
      </c>
      <c r="BE558" s="15">
        <f t="shared" si="224"/>
        <v>5716.8067226890762</v>
      </c>
      <c r="BF558" s="8">
        <f t="shared" si="225"/>
        <v>3.7571535095680368</v>
      </c>
      <c r="BG558" s="8">
        <f t="shared" si="235"/>
        <v>1.8327004709605674</v>
      </c>
      <c r="BH558" s="5" t="s">
        <v>841</v>
      </c>
      <c r="BI558" s="5"/>
      <c r="BJ558" s="13"/>
      <c r="BK558" s="5"/>
      <c r="BL558" s="5"/>
      <c r="BM558" s="21"/>
      <c r="BN558" s="21"/>
      <c r="BO558" s="1"/>
      <c r="BP558" s="11"/>
      <c r="BQ558" s="11"/>
    </row>
    <row r="559" spans="1:69" x14ac:dyDescent="0.3">
      <c r="A559" s="20">
        <v>569</v>
      </c>
      <c r="B559" s="2" t="s">
        <v>181</v>
      </c>
      <c r="C559" s="2">
        <v>2020</v>
      </c>
      <c r="D559" s="2" t="s">
        <v>203</v>
      </c>
      <c r="E559" s="10" t="s">
        <v>787</v>
      </c>
      <c r="F559" s="20" t="s">
        <v>29</v>
      </c>
      <c r="G559" s="2" t="s">
        <v>98</v>
      </c>
      <c r="H559" s="2" t="str">
        <f>'PFAS Properties'!$B$36</f>
        <v>PFUnA</v>
      </c>
      <c r="I559" s="2" t="str">
        <f>'PFAS Properties'!$C$36</f>
        <v>PFCA</v>
      </c>
      <c r="J559" s="2" t="str">
        <f>'PFAS Properties'!$D$36</f>
        <v>C11HF21O2</v>
      </c>
      <c r="K559" s="25">
        <f>'PFAS Properties'!$P$36</f>
        <v>563.96399999999994</v>
      </c>
      <c r="L559" s="2">
        <f>'PFAS Properties'!$X$36</f>
        <v>-0.2</v>
      </c>
      <c r="M559" s="2" t="str">
        <f>'PFAS Properties'!$Y$36</f>
        <v>-</v>
      </c>
      <c r="N559" s="33">
        <v>0</v>
      </c>
      <c r="O559" s="33">
        <v>0</v>
      </c>
      <c r="P559" s="33">
        <v>0</v>
      </c>
      <c r="Q559" s="33">
        <f t="shared" si="226"/>
        <v>0.99999974881141995</v>
      </c>
      <c r="R559" s="33">
        <v>0</v>
      </c>
      <c r="S559" s="33">
        <f t="shared" si="227"/>
        <v>2.5118858005523878E-7</v>
      </c>
      <c r="T559" s="8">
        <f t="shared" si="228"/>
        <v>1</v>
      </c>
      <c r="U559" s="33">
        <f t="shared" si="218"/>
        <v>0</v>
      </c>
      <c r="V559" s="33">
        <f t="shared" si="219"/>
        <v>-0.99999974881141995</v>
      </c>
      <c r="W559" s="33">
        <f t="shared" si="220"/>
        <v>562.96400025118851</v>
      </c>
      <c r="X559" s="33">
        <v>96485</v>
      </c>
      <c r="Y559" s="16">
        <f t="shared" si="221"/>
        <v>-171.38747010647091</v>
      </c>
      <c r="Z559" s="16">
        <v>11</v>
      </c>
      <c r="AA559" s="16">
        <v>21</v>
      </c>
      <c r="AB559" s="8">
        <f t="shared" si="222"/>
        <v>0.33082706766917291</v>
      </c>
      <c r="AC559" s="16">
        <f t="shared" si="223"/>
        <v>70.749196757239829</v>
      </c>
      <c r="AD559" s="20">
        <f>'PFAS Properties'!$W$36</f>
        <v>10</v>
      </c>
      <c r="AE559" s="8">
        <f>'PFAS Properties'!$S$36</f>
        <v>8.6001717619175692E-3</v>
      </c>
      <c r="AF559" s="15">
        <f>'PFAS Properties'!$V$36</f>
        <v>6.9</v>
      </c>
      <c r="AG559" s="24">
        <v>6.4</v>
      </c>
      <c r="AH559" s="2" t="s">
        <v>183</v>
      </c>
      <c r="AI559" s="2" t="s">
        <v>661</v>
      </c>
      <c r="AJ559" s="2" t="s">
        <v>661</v>
      </c>
      <c r="AK559" s="2" t="s">
        <v>661</v>
      </c>
      <c r="AL559" s="2" t="s">
        <v>661</v>
      </c>
      <c r="AM559" s="2" t="s">
        <v>661</v>
      </c>
      <c r="AN559" s="2" t="s">
        <v>661</v>
      </c>
      <c r="AO559" s="2" t="s">
        <v>661</v>
      </c>
      <c r="AP559" s="16">
        <v>16.54</v>
      </c>
      <c r="AQ559" s="2" t="s">
        <v>661</v>
      </c>
      <c r="AR559" s="16">
        <v>29.38</v>
      </c>
      <c r="AS559" s="16">
        <v>13.9</v>
      </c>
      <c r="AT559" s="16">
        <v>56.71</v>
      </c>
      <c r="AU559" s="2" t="s">
        <v>661</v>
      </c>
      <c r="AV559" s="16">
        <f t="shared" si="238"/>
        <v>99.990000000000009</v>
      </c>
      <c r="AW559" s="18">
        <v>0.17</v>
      </c>
      <c r="AX559" s="13">
        <v>1.7000000000000001E-3</v>
      </c>
      <c r="AY559" s="8" t="s">
        <v>184</v>
      </c>
      <c r="AZ559" s="16">
        <v>100</v>
      </c>
      <c r="BA559" s="16" t="s">
        <v>55</v>
      </c>
      <c r="BB559" s="16">
        <v>5</v>
      </c>
      <c r="BC559" s="16" t="s">
        <v>55</v>
      </c>
      <c r="BD559" s="7">
        <v>45.09</v>
      </c>
      <c r="BE559" s="15">
        <f t="shared" si="224"/>
        <v>26523.529411764706</v>
      </c>
      <c r="BF559" s="8">
        <f t="shared" si="225"/>
        <v>4.423631313928297</v>
      </c>
      <c r="BG559" s="8">
        <f t="shared" si="235"/>
        <v>1.6540802353065707</v>
      </c>
      <c r="BH559" s="5" t="s">
        <v>841</v>
      </c>
      <c r="BI559" s="5"/>
      <c r="BJ559" s="13"/>
      <c r="BK559" s="5"/>
      <c r="BL559" s="5"/>
      <c r="BM559" s="21"/>
      <c r="BN559" s="21"/>
      <c r="BO559" s="1"/>
      <c r="BP559" s="11"/>
      <c r="BQ559" s="11"/>
    </row>
    <row r="560" spans="1:69" s="14" customFormat="1" x14ac:dyDescent="0.3">
      <c r="A560" s="20">
        <v>570</v>
      </c>
      <c r="B560" s="2" t="s">
        <v>202</v>
      </c>
      <c r="C560" s="2">
        <v>2019</v>
      </c>
      <c r="D560" s="2" t="s">
        <v>199</v>
      </c>
      <c r="E560" s="10" t="s">
        <v>791</v>
      </c>
      <c r="F560" s="20" t="s">
        <v>29</v>
      </c>
      <c r="G560" s="2" t="s">
        <v>39</v>
      </c>
      <c r="H560" s="2" t="str">
        <f>'PFAS Properties'!$B$37</f>
        <v>PFDoA</v>
      </c>
      <c r="I560" s="2" t="str">
        <f>'PFAS Properties'!$C$37</f>
        <v>PFCA</v>
      </c>
      <c r="J560" s="2" t="str">
        <f>'PFAS Properties'!$D$37</f>
        <v>C12HF23O2</v>
      </c>
      <c r="K560" s="25">
        <f>'PFAS Properties'!$P$37</f>
        <v>613.96079999999995</v>
      </c>
      <c r="L560" s="2">
        <f>'PFAS Properties'!$X$37</f>
        <v>-0.2</v>
      </c>
      <c r="M560" s="2" t="str">
        <f>'PFAS Properties'!$Y$37</f>
        <v>-</v>
      </c>
      <c r="N560" s="33">
        <v>0</v>
      </c>
      <c r="O560" s="33">
        <v>0</v>
      </c>
      <c r="P560" s="33">
        <v>0</v>
      </c>
      <c r="Q560" s="33">
        <f t="shared" si="226"/>
        <v>0.9999964518786969</v>
      </c>
      <c r="R560" s="33">
        <v>0</v>
      </c>
      <c r="S560" s="33">
        <f t="shared" si="227"/>
        <v>3.5481213031263005E-6</v>
      </c>
      <c r="T560" s="8">
        <f t="shared" si="228"/>
        <v>1</v>
      </c>
      <c r="U560" s="33">
        <f t="shared" si="218"/>
        <v>0</v>
      </c>
      <c r="V560" s="33">
        <f t="shared" si="219"/>
        <v>-0.9999964518786969</v>
      </c>
      <c r="W560" s="33">
        <f t="shared" si="220"/>
        <v>612.96080354812125</v>
      </c>
      <c r="X560" s="33">
        <v>96485</v>
      </c>
      <c r="Y560" s="16">
        <f t="shared" si="221"/>
        <v>-157.40754890200972</v>
      </c>
      <c r="Z560" s="16">
        <v>12</v>
      </c>
      <c r="AA560" s="16">
        <v>23</v>
      </c>
      <c r="AB560" s="8">
        <f t="shared" si="222"/>
        <v>0.32951945080091533</v>
      </c>
      <c r="AC560" s="16">
        <f t="shared" si="223"/>
        <v>71.177182647491506</v>
      </c>
      <c r="AD560" s="20">
        <f>'PFAS Properties'!$W$37</f>
        <v>11</v>
      </c>
      <c r="AE560" s="8">
        <f>'PFAS Properties'!$S$37</f>
        <v>-0.88605664769316317</v>
      </c>
      <c r="AF560" s="15">
        <f>'PFAS Properties'!$V$37</f>
        <v>7.6</v>
      </c>
      <c r="AG560" s="24">
        <v>5.25</v>
      </c>
      <c r="AH560" s="2" t="s">
        <v>661</v>
      </c>
      <c r="AI560" s="2" t="s">
        <v>661</v>
      </c>
      <c r="AJ560" s="2" t="s">
        <v>661</v>
      </c>
      <c r="AK560" s="2" t="s">
        <v>661</v>
      </c>
      <c r="AL560" s="2" t="s">
        <v>661</v>
      </c>
      <c r="AM560" s="2" t="s">
        <v>661</v>
      </c>
      <c r="AN560" s="2" t="s">
        <v>661</v>
      </c>
      <c r="AO560" s="2" t="s">
        <v>661</v>
      </c>
      <c r="AP560" s="71">
        <v>5.7023166666666656</v>
      </c>
      <c r="AQ560" s="70" t="s">
        <v>752</v>
      </c>
      <c r="AR560" s="16">
        <v>100</v>
      </c>
      <c r="AS560" s="16">
        <v>0</v>
      </c>
      <c r="AT560" s="16">
        <v>0</v>
      </c>
      <c r="AU560" s="2" t="s">
        <v>661</v>
      </c>
      <c r="AV560" s="16">
        <f t="shared" si="238"/>
        <v>100</v>
      </c>
      <c r="AW560" s="18">
        <v>0.4</v>
      </c>
      <c r="AX560" s="13">
        <f t="shared" ref="AX560:AX573" si="239">AW560/100</f>
        <v>4.0000000000000001E-3</v>
      </c>
      <c r="AY560" s="13" t="s">
        <v>658</v>
      </c>
      <c r="AZ560" s="16">
        <f>2/0.01</f>
        <v>200</v>
      </c>
      <c r="BA560" s="16" t="s">
        <v>55</v>
      </c>
      <c r="BB560" s="16">
        <v>1</v>
      </c>
      <c r="BC560" s="16">
        <v>1000</v>
      </c>
      <c r="BD560" s="25">
        <v>466</v>
      </c>
      <c r="BE560" s="16">
        <f t="shared" si="224"/>
        <v>116500</v>
      </c>
      <c r="BF560" s="8">
        <f t="shared" si="225"/>
        <v>5.0663259253620376</v>
      </c>
      <c r="BG560" s="8">
        <f t="shared" si="235"/>
        <v>2.6683859166900001</v>
      </c>
      <c r="BH560" s="13" t="s">
        <v>272</v>
      </c>
      <c r="BI560" s="13"/>
      <c r="BJ560" s="13"/>
      <c r="BK560" s="13"/>
      <c r="BL560" s="13"/>
      <c r="BM560" s="17"/>
      <c r="BN560" s="17"/>
      <c r="BO560" s="2"/>
    </row>
    <row r="561" spans="1:69" s="14" customFormat="1" x14ac:dyDescent="0.3">
      <c r="A561" s="20">
        <v>571</v>
      </c>
      <c r="B561" s="2" t="s">
        <v>202</v>
      </c>
      <c r="C561" s="2">
        <v>2019</v>
      </c>
      <c r="D561" s="2" t="s">
        <v>199</v>
      </c>
      <c r="E561" s="10" t="s">
        <v>791</v>
      </c>
      <c r="F561" s="20" t="s">
        <v>29</v>
      </c>
      <c r="G561" s="2" t="s">
        <v>43</v>
      </c>
      <c r="H561" s="2" t="str">
        <f>'PFAS Properties'!$B$37</f>
        <v>PFDoA</v>
      </c>
      <c r="I561" s="2" t="str">
        <f>'PFAS Properties'!$C$37</f>
        <v>PFCA</v>
      </c>
      <c r="J561" s="2" t="str">
        <f>'PFAS Properties'!$D$37</f>
        <v>C12HF23O2</v>
      </c>
      <c r="K561" s="25">
        <f>'PFAS Properties'!$P$37</f>
        <v>613.96079999999995</v>
      </c>
      <c r="L561" s="2">
        <f>'PFAS Properties'!$X$37</f>
        <v>-0.2</v>
      </c>
      <c r="M561" s="2" t="str">
        <f>'PFAS Properties'!$Y$37</f>
        <v>-</v>
      </c>
      <c r="N561" s="33">
        <v>0</v>
      </c>
      <c r="O561" s="33">
        <v>0</v>
      </c>
      <c r="P561" s="33">
        <v>0</v>
      </c>
      <c r="Q561" s="33">
        <f t="shared" si="226"/>
        <v>0.99999865103893715</v>
      </c>
      <c r="R561" s="33">
        <v>0</v>
      </c>
      <c r="S561" s="33">
        <f t="shared" si="227"/>
        <v>1.3489610628932487E-6</v>
      </c>
      <c r="T561" s="8">
        <f t="shared" si="228"/>
        <v>1</v>
      </c>
      <c r="U561" s="33">
        <f t="shared" si="218"/>
        <v>0</v>
      </c>
      <c r="V561" s="33">
        <f t="shared" si="219"/>
        <v>-0.99999865103893715</v>
      </c>
      <c r="W561" s="33">
        <f t="shared" si="220"/>
        <v>612.96080134896101</v>
      </c>
      <c r="X561" s="33">
        <v>96485</v>
      </c>
      <c r="Y561" s="16">
        <f t="shared" si="221"/>
        <v>-157.40789563240381</v>
      </c>
      <c r="Z561" s="16">
        <v>12</v>
      </c>
      <c r="AA561" s="16">
        <v>23</v>
      </c>
      <c r="AB561" s="8">
        <f t="shared" si="222"/>
        <v>0.32951945080091533</v>
      </c>
      <c r="AC561" s="16">
        <f t="shared" si="223"/>
        <v>71.177182647491506</v>
      </c>
      <c r="AD561" s="20">
        <f>'PFAS Properties'!$W$37</f>
        <v>11</v>
      </c>
      <c r="AE561" s="8">
        <f>'PFAS Properties'!$S$37</f>
        <v>-0.88605664769316317</v>
      </c>
      <c r="AF561" s="15">
        <f>'PFAS Properties'!$V$37</f>
        <v>7.6</v>
      </c>
      <c r="AG561" s="24">
        <v>5.67</v>
      </c>
      <c r="AH561" s="2" t="s">
        <v>661</v>
      </c>
      <c r="AI561" s="15" t="s">
        <v>661</v>
      </c>
      <c r="AJ561" s="16" t="s">
        <v>661</v>
      </c>
      <c r="AK561" s="2" t="s">
        <v>661</v>
      </c>
      <c r="AL561" s="15" t="s">
        <v>661</v>
      </c>
      <c r="AM561" s="16" t="s">
        <v>661</v>
      </c>
      <c r="AN561" s="2" t="s">
        <v>661</v>
      </c>
      <c r="AO561" s="2" t="s">
        <v>661</v>
      </c>
      <c r="AP561" s="71">
        <v>9.2037666666666649</v>
      </c>
      <c r="AQ561" s="70" t="s">
        <v>752</v>
      </c>
      <c r="AR561" s="16">
        <v>71</v>
      </c>
      <c r="AS561" s="16">
        <v>24</v>
      </c>
      <c r="AT561" s="16">
        <v>5</v>
      </c>
      <c r="AU561" s="2" t="s">
        <v>661</v>
      </c>
      <c r="AV561" s="16">
        <f t="shared" si="238"/>
        <v>100</v>
      </c>
      <c r="AW561" s="18">
        <v>0.93</v>
      </c>
      <c r="AX561" s="13">
        <f t="shared" si="239"/>
        <v>9.300000000000001E-3</v>
      </c>
      <c r="AY561" s="13" t="s">
        <v>658</v>
      </c>
      <c r="AZ561" s="16">
        <f>2/0.01</f>
        <v>200</v>
      </c>
      <c r="BA561" s="16" t="s">
        <v>55</v>
      </c>
      <c r="BB561" s="16">
        <v>1</v>
      </c>
      <c r="BC561" s="16">
        <v>1000</v>
      </c>
      <c r="BD561" s="25">
        <v>156</v>
      </c>
      <c r="BE561" s="16">
        <f t="shared" si="224"/>
        <v>16774.193548387095</v>
      </c>
      <c r="BF561" s="8">
        <f t="shared" si="225"/>
        <v>4.2246416498005264</v>
      </c>
      <c r="BG561" s="8">
        <f t="shared" si="235"/>
        <v>2.1931245983544616</v>
      </c>
      <c r="BH561" s="13" t="s">
        <v>272</v>
      </c>
      <c r="BI561" s="13"/>
      <c r="BJ561" s="13"/>
      <c r="BK561" s="13"/>
      <c r="BL561" s="13"/>
      <c r="BM561" s="17"/>
      <c r="BN561" s="17"/>
      <c r="BO561" s="2"/>
    </row>
    <row r="562" spans="1:69" x14ac:dyDescent="0.3">
      <c r="A562" s="20">
        <v>572</v>
      </c>
      <c r="B562" s="2" t="s">
        <v>200</v>
      </c>
      <c r="C562" s="2">
        <v>2021</v>
      </c>
      <c r="D562" s="2" t="s">
        <v>201</v>
      </c>
      <c r="E562" s="10" t="s">
        <v>794</v>
      </c>
      <c r="F562" s="20" t="s">
        <v>29</v>
      </c>
      <c r="G562" s="2" t="s">
        <v>30</v>
      </c>
      <c r="H562" s="2" t="str">
        <f>'PFAS Properties'!$B$37</f>
        <v>PFDoA</v>
      </c>
      <c r="I562" s="2" t="str">
        <f>'PFAS Properties'!$C$37</f>
        <v>PFCA</v>
      </c>
      <c r="J562" s="2" t="str">
        <f>'PFAS Properties'!$D$37</f>
        <v>C12HF23O2</v>
      </c>
      <c r="K562" s="25">
        <f>'PFAS Properties'!$P$37</f>
        <v>613.96079999999995</v>
      </c>
      <c r="L562" s="2">
        <f>'PFAS Properties'!$X$37</f>
        <v>-0.2</v>
      </c>
      <c r="M562" s="2" t="str">
        <f>'PFAS Properties'!$Y$37</f>
        <v>-</v>
      </c>
      <c r="N562" s="33">
        <v>0</v>
      </c>
      <c r="O562" s="33">
        <v>0</v>
      </c>
      <c r="P562" s="33">
        <v>0</v>
      </c>
      <c r="Q562" s="33">
        <f t="shared" si="226"/>
        <v>0.99999800474166611</v>
      </c>
      <c r="R562" s="33">
        <v>0</v>
      </c>
      <c r="S562" s="33">
        <f t="shared" si="227"/>
        <v>1.9952583339051124E-6</v>
      </c>
      <c r="T562" s="8">
        <f t="shared" si="228"/>
        <v>1</v>
      </c>
      <c r="U562" s="33">
        <f t="shared" si="218"/>
        <v>0</v>
      </c>
      <c r="V562" s="33">
        <f t="shared" si="219"/>
        <v>-0.99999800474166611</v>
      </c>
      <c r="W562" s="33">
        <f t="shared" si="220"/>
        <v>612.96080199525829</v>
      </c>
      <c r="X562" s="33">
        <v>96485</v>
      </c>
      <c r="Y562" s="16">
        <f t="shared" si="221"/>
        <v>-157.4077937340046</v>
      </c>
      <c r="Z562" s="16">
        <v>12</v>
      </c>
      <c r="AA562" s="16">
        <v>23</v>
      </c>
      <c r="AB562" s="8">
        <f t="shared" si="222"/>
        <v>0.32951945080091533</v>
      </c>
      <c r="AC562" s="16">
        <f t="shared" si="223"/>
        <v>71.177182647491506</v>
      </c>
      <c r="AD562" s="20">
        <f>'PFAS Properties'!$W$37</f>
        <v>11</v>
      </c>
      <c r="AE562" s="8">
        <f>'PFAS Properties'!$S$37</f>
        <v>-0.88605664769316317</v>
      </c>
      <c r="AF562" s="15">
        <f>'PFAS Properties'!$V$37</f>
        <v>7.6</v>
      </c>
      <c r="AG562" s="24">
        <v>5.5</v>
      </c>
      <c r="AH562" s="2" t="s">
        <v>834</v>
      </c>
      <c r="AI562" s="15">
        <v>1.0129999999999999</v>
      </c>
      <c r="AJ562" s="16">
        <f t="shared" ref="AJ562:AJ568" si="240">AI562*1000/55.845</f>
        <v>18.13949324021846</v>
      </c>
      <c r="AK562" s="8">
        <f t="shared" ref="AK562:AK570" si="241">AI562/10</f>
        <v>0.10129999999999999</v>
      </c>
      <c r="AL562" s="15">
        <v>0.40400000000000003</v>
      </c>
      <c r="AM562" s="16">
        <f t="shared" ref="AM562:AM568" si="242">AL562*1000/26.98</f>
        <v>14.974054855448481</v>
      </c>
      <c r="AN562" s="8">
        <f t="shared" ref="AN562:AN570" si="243">AL562/10</f>
        <v>4.0400000000000005E-2</v>
      </c>
      <c r="AO562" s="15" t="s">
        <v>31</v>
      </c>
      <c r="AP562" s="16">
        <v>23.4</v>
      </c>
      <c r="AQ562" s="16" t="s">
        <v>689</v>
      </c>
      <c r="AR562" s="16">
        <v>54.4</v>
      </c>
      <c r="AS562" s="16">
        <v>35</v>
      </c>
      <c r="AT562" s="16">
        <v>10.6</v>
      </c>
      <c r="AU562" s="16" t="s">
        <v>664</v>
      </c>
      <c r="AV562" s="16">
        <f t="shared" si="238"/>
        <v>100</v>
      </c>
      <c r="AW562" s="18">
        <v>1.6</v>
      </c>
      <c r="AX562" s="13">
        <f t="shared" si="239"/>
        <v>1.6E-2</v>
      </c>
      <c r="AY562" s="8" t="s">
        <v>32</v>
      </c>
      <c r="AZ562" s="16">
        <f t="shared" ref="AZ562:AZ568" si="244">3/0.03</f>
        <v>100</v>
      </c>
      <c r="BA562" s="16" t="s">
        <v>55</v>
      </c>
      <c r="BB562" s="16">
        <v>170</v>
      </c>
      <c r="BC562" s="16" t="s">
        <v>55</v>
      </c>
      <c r="BD562" s="28">
        <v>422.10343778209977</v>
      </c>
      <c r="BE562" s="16">
        <f t="shared" si="224"/>
        <v>26381.464861381235</v>
      </c>
      <c r="BF562" s="8">
        <f t="shared" si="225"/>
        <v>4.4212989065838091</v>
      </c>
      <c r="BG562" s="8">
        <f t="shared" si="235"/>
        <v>2.6254188892397341</v>
      </c>
      <c r="BH562" s="1" t="s">
        <v>841</v>
      </c>
      <c r="BI562" s="1"/>
      <c r="BJ562" s="2"/>
      <c r="BK562" s="1"/>
      <c r="BL562" s="1"/>
      <c r="BM562" s="7"/>
      <c r="BN562" s="7"/>
      <c r="BO562" s="1"/>
      <c r="BP562" s="11"/>
      <c r="BQ562" s="11"/>
    </row>
    <row r="563" spans="1:69" x14ac:dyDescent="0.3">
      <c r="A563" s="20">
        <v>573</v>
      </c>
      <c r="B563" s="2" t="s">
        <v>200</v>
      </c>
      <c r="C563" s="2">
        <v>2021</v>
      </c>
      <c r="D563" s="2" t="s">
        <v>201</v>
      </c>
      <c r="E563" s="10" t="s">
        <v>794</v>
      </c>
      <c r="F563" s="20" t="s">
        <v>29</v>
      </c>
      <c r="G563" s="2" t="s">
        <v>33</v>
      </c>
      <c r="H563" s="2" t="str">
        <f>'PFAS Properties'!$B$37</f>
        <v>PFDoA</v>
      </c>
      <c r="I563" s="2" t="str">
        <f>'PFAS Properties'!$C$37</f>
        <v>PFCA</v>
      </c>
      <c r="J563" s="2" t="str">
        <f>'PFAS Properties'!$D$37</f>
        <v>C12HF23O2</v>
      </c>
      <c r="K563" s="25">
        <f>'PFAS Properties'!$P$37</f>
        <v>613.96079999999995</v>
      </c>
      <c r="L563" s="2">
        <f>'PFAS Properties'!$X$37</f>
        <v>-0.2</v>
      </c>
      <c r="M563" s="2" t="str">
        <f>'PFAS Properties'!$Y$37</f>
        <v>-</v>
      </c>
      <c r="N563" s="33">
        <v>0</v>
      </c>
      <c r="O563" s="33">
        <v>0</v>
      </c>
      <c r="P563" s="33">
        <v>0</v>
      </c>
      <c r="Q563" s="33">
        <f t="shared" si="226"/>
        <v>0.99999999369042658</v>
      </c>
      <c r="R563" s="33">
        <v>0</v>
      </c>
      <c r="S563" s="33">
        <f t="shared" si="227"/>
        <v>6.3095734049912165E-9</v>
      </c>
      <c r="T563" s="8">
        <f t="shared" si="228"/>
        <v>1</v>
      </c>
      <c r="U563" s="33">
        <f t="shared" si="218"/>
        <v>0</v>
      </c>
      <c r="V563" s="33">
        <f t="shared" si="219"/>
        <v>-0.99999999369042658</v>
      </c>
      <c r="W563" s="33">
        <f t="shared" si="220"/>
        <v>612.96080000630957</v>
      </c>
      <c r="X563" s="33">
        <v>96485</v>
      </c>
      <c r="Y563" s="16">
        <f t="shared" si="221"/>
        <v>-157.4081073214268</v>
      </c>
      <c r="Z563" s="16">
        <v>12</v>
      </c>
      <c r="AA563" s="16">
        <v>23</v>
      </c>
      <c r="AB563" s="8">
        <f t="shared" si="222"/>
        <v>0.32951945080091533</v>
      </c>
      <c r="AC563" s="16">
        <f t="shared" si="223"/>
        <v>71.177182647491506</v>
      </c>
      <c r="AD563" s="20">
        <f>'PFAS Properties'!$W$37</f>
        <v>11</v>
      </c>
      <c r="AE563" s="8">
        <f>'PFAS Properties'!$S$37</f>
        <v>-0.88605664769316317</v>
      </c>
      <c r="AF563" s="15">
        <f>'PFAS Properties'!$V$37</f>
        <v>7.6</v>
      </c>
      <c r="AG563" s="24">
        <v>8</v>
      </c>
      <c r="AH563" s="2" t="s">
        <v>834</v>
      </c>
      <c r="AI563" s="15">
        <v>2.9660000000000002</v>
      </c>
      <c r="AJ563" s="16">
        <f t="shared" si="240"/>
        <v>53.111290178171728</v>
      </c>
      <c r="AK563" s="8">
        <f t="shared" si="241"/>
        <v>0.29660000000000003</v>
      </c>
      <c r="AL563" s="15">
        <v>0.23</v>
      </c>
      <c r="AM563" s="16">
        <f t="shared" si="242"/>
        <v>8.5248332097850259</v>
      </c>
      <c r="AN563" s="8">
        <f t="shared" si="243"/>
        <v>2.3E-2</v>
      </c>
      <c r="AO563" s="15" t="s">
        <v>31</v>
      </c>
      <c r="AP563" s="16">
        <v>87.3</v>
      </c>
      <c r="AQ563" s="16" t="s">
        <v>689</v>
      </c>
      <c r="AR563" s="16">
        <v>12.2</v>
      </c>
      <c r="AS563" s="16">
        <v>54.3</v>
      </c>
      <c r="AT563" s="16">
        <v>33.5</v>
      </c>
      <c r="AU563" s="16" t="s">
        <v>664</v>
      </c>
      <c r="AV563" s="16">
        <f t="shared" si="238"/>
        <v>100</v>
      </c>
      <c r="AW563" s="18">
        <v>7.7</v>
      </c>
      <c r="AX563" s="13">
        <f t="shared" si="239"/>
        <v>7.6999999999999999E-2</v>
      </c>
      <c r="AY563" s="8" t="s">
        <v>32</v>
      </c>
      <c r="AZ563" s="16">
        <f t="shared" si="244"/>
        <v>100</v>
      </c>
      <c r="BA563" s="16" t="s">
        <v>55</v>
      </c>
      <c r="BB563" s="16">
        <v>170</v>
      </c>
      <c r="BC563" s="16" t="s">
        <v>55</v>
      </c>
      <c r="BD563" s="28">
        <v>623.39706536121787</v>
      </c>
      <c r="BE563" s="16">
        <f t="shared" si="224"/>
        <v>8096.0657839119203</v>
      </c>
      <c r="BF563" s="8">
        <f t="shared" si="225"/>
        <v>3.9082740283339001</v>
      </c>
      <c r="BG563" s="8">
        <f t="shared" si="235"/>
        <v>2.794764753506382</v>
      </c>
      <c r="BH563" s="1" t="s">
        <v>841</v>
      </c>
      <c r="BI563" s="1"/>
      <c r="BJ563" s="2"/>
      <c r="BK563" s="1"/>
      <c r="BL563" s="1"/>
      <c r="BM563" s="7"/>
      <c r="BN563" s="7"/>
      <c r="BO563" s="1"/>
      <c r="BP563" s="11"/>
      <c r="BQ563" s="11"/>
    </row>
    <row r="564" spans="1:69" x14ac:dyDescent="0.3">
      <c r="A564" s="20">
        <v>574</v>
      </c>
      <c r="B564" s="2" t="s">
        <v>200</v>
      </c>
      <c r="C564" s="2">
        <v>2021</v>
      </c>
      <c r="D564" s="2" t="s">
        <v>201</v>
      </c>
      <c r="E564" s="10" t="s">
        <v>794</v>
      </c>
      <c r="F564" s="20" t="s">
        <v>29</v>
      </c>
      <c r="G564" s="2" t="s">
        <v>34</v>
      </c>
      <c r="H564" s="2" t="str">
        <f>'PFAS Properties'!$B$37</f>
        <v>PFDoA</v>
      </c>
      <c r="I564" s="2" t="str">
        <f>'PFAS Properties'!$C$37</f>
        <v>PFCA</v>
      </c>
      <c r="J564" s="2" t="str">
        <f>'PFAS Properties'!$D$37</f>
        <v>C12HF23O2</v>
      </c>
      <c r="K564" s="25">
        <f>'PFAS Properties'!$P$37</f>
        <v>613.96079999999995</v>
      </c>
      <c r="L564" s="2">
        <f>'PFAS Properties'!$X$37</f>
        <v>-0.2</v>
      </c>
      <c r="M564" s="2" t="str">
        <f>'PFAS Properties'!$Y$37</f>
        <v>-</v>
      </c>
      <c r="N564" s="33">
        <v>0</v>
      </c>
      <c r="O564" s="33">
        <v>0</v>
      </c>
      <c r="P564" s="33">
        <v>0</v>
      </c>
      <c r="Q564" s="33">
        <f t="shared" si="226"/>
        <v>0.99999601894414336</v>
      </c>
      <c r="R564" s="33">
        <v>0</v>
      </c>
      <c r="S564" s="33">
        <f t="shared" si="227"/>
        <v>3.981055856666137E-6</v>
      </c>
      <c r="T564" s="8">
        <f t="shared" si="228"/>
        <v>1</v>
      </c>
      <c r="U564" s="33">
        <f t="shared" si="218"/>
        <v>0</v>
      </c>
      <c r="V564" s="33">
        <f t="shared" si="219"/>
        <v>-0.99999601894414336</v>
      </c>
      <c r="W564" s="33">
        <f t="shared" si="220"/>
        <v>612.96080398105585</v>
      </c>
      <c r="X564" s="33">
        <v>96485</v>
      </c>
      <c r="Y564" s="16">
        <f t="shared" si="221"/>
        <v>-157.40748064342401</v>
      </c>
      <c r="Z564" s="16">
        <v>12</v>
      </c>
      <c r="AA564" s="16">
        <v>23</v>
      </c>
      <c r="AB564" s="8">
        <f t="shared" si="222"/>
        <v>0.32951945080091533</v>
      </c>
      <c r="AC564" s="16">
        <f t="shared" si="223"/>
        <v>71.177182647491506</v>
      </c>
      <c r="AD564" s="20">
        <f>'PFAS Properties'!$W$37</f>
        <v>11</v>
      </c>
      <c r="AE564" s="8">
        <f>'PFAS Properties'!$S$37</f>
        <v>-0.88605664769316317</v>
      </c>
      <c r="AF564" s="15">
        <f>'PFAS Properties'!$V$37</f>
        <v>7.6</v>
      </c>
      <c r="AG564" s="24">
        <v>5.2</v>
      </c>
      <c r="AH564" s="2" t="s">
        <v>834</v>
      </c>
      <c r="AI564" s="15">
        <v>4.5149999999999997</v>
      </c>
      <c r="AJ564" s="16">
        <f t="shared" si="240"/>
        <v>80.848777867311313</v>
      </c>
      <c r="AK564" s="8">
        <f t="shared" si="241"/>
        <v>0.45149999999999996</v>
      </c>
      <c r="AL564" s="15">
        <v>0.377</v>
      </c>
      <c r="AM564" s="16">
        <f t="shared" si="242"/>
        <v>13.973313565604151</v>
      </c>
      <c r="AN564" s="8">
        <f t="shared" si="243"/>
        <v>3.7699999999999997E-2</v>
      </c>
      <c r="AO564" s="15" t="s">
        <v>31</v>
      </c>
      <c r="AP564" s="16">
        <v>44.3</v>
      </c>
      <c r="AQ564" s="16" t="s">
        <v>689</v>
      </c>
      <c r="AR564" s="16">
        <v>41.3</v>
      </c>
      <c r="AS564" s="16">
        <v>39.799999999999997</v>
      </c>
      <c r="AT564" s="16">
        <v>18.899999999999999</v>
      </c>
      <c r="AU564" s="16" t="s">
        <v>664</v>
      </c>
      <c r="AV564" s="16">
        <f t="shared" si="238"/>
        <v>100</v>
      </c>
      <c r="AW564" s="18">
        <v>9.4</v>
      </c>
      <c r="AX564" s="13">
        <f t="shared" si="239"/>
        <v>9.4E-2</v>
      </c>
      <c r="AY564" s="8" t="s">
        <v>32</v>
      </c>
      <c r="AZ564" s="16">
        <f t="shared" si="244"/>
        <v>100</v>
      </c>
      <c r="BA564" s="16" t="s">
        <v>55</v>
      </c>
      <c r="BB564" s="16">
        <v>170</v>
      </c>
      <c r="BC564" s="16" t="s">
        <v>55</v>
      </c>
      <c r="BD564" s="28">
        <v>737.76328416656997</v>
      </c>
      <c r="BE564" s="16">
        <f t="shared" si="224"/>
        <v>7848.5455762401061</v>
      </c>
      <c r="BF564" s="8">
        <f t="shared" si="225"/>
        <v>3.8947891845496585</v>
      </c>
      <c r="BG564" s="8">
        <f t="shared" si="235"/>
        <v>2.8679170381493568</v>
      </c>
      <c r="BH564" s="1" t="s">
        <v>841</v>
      </c>
      <c r="BI564" s="1"/>
      <c r="BJ564" s="2"/>
      <c r="BK564" s="1"/>
      <c r="BL564" s="1"/>
      <c r="BM564" s="7"/>
      <c r="BN564" s="7"/>
      <c r="BO564" s="1"/>
      <c r="BP564" s="11"/>
      <c r="BQ564" s="11"/>
    </row>
    <row r="565" spans="1:69" x14ac:dyDescent="0.3">
      <c r="A565" s="20">
        <v>575</v>
      </c>
      <c r="B565" s="2" t="s">
        <v>200</v>
      </c>
      <c r="C565" s="2">
        <v>2021</v>
      </c>
      <c r="D565" s="2" t="s">
        <v>201</v>
      </c>
      <c r="E565" s="10" t="s">
        <v>794</v>
      </c>
      <c r="F565" s="20" t="s">
        <v>29</v>
      </c>
      <c r="G565" s="2" t="s">
        <v>37</v>
      </c>
      <c r="H565" s="2" t="str">
        <f>'PFAS Properties'!$B$37</f>
        <v>PFDoA</v>
      </c>
      <c r="I565" s="2" t="str">
        <f>'PFAS Properties'!$C$37</f>
        <v>PFCA</v>
      </c>
      <c r="J565" s="2" t="str">
        <f>'PFAS Properties'!$D$37</f>
        <v>C12HF23O2</v>
      </c>
      <c r="K565" s="25">
        <f>'PFAS Properties'!$P$37</f>
        <v>613.96079999999995</v>
      </c>
      <c r="L565" s="2">
        <f>'PFAS Properties'!$X$37</f>
        <v>-0.2</v>
      </c>
      <c r="M565" s="2" t="str">
        <f>'PFAS Properties'!$Y$37</f>
        <v>-</v>
      </c>
      <c r="N565" s="33">
        <v>0</v>
      </c>
      <c r="O565" s="33">
        <v>0</v>
      </c>
      <c r="P565" s="33">
        <v>0</v>
      </c>
      <c r="Q565" s="33">
        <f t="shared" si="226"/>
        <v>0.99999900000099995</v>
      </c>
      <c r="R565" s="33">
        <v>0</v>
      </c>
      <c r="S565" s="33">
        <f t="shared" si="227"/>
        <v>9.9999900000100006E-7</v>
      </c>
      <c r="T565" s="8">
        <f t="shared" si="228"/>
        <v>1</v>
      </c>
      <c r="U565" s="33">
        <f t="shared" si="218"/>
        <v>0</v>
      </c>
      <c r="V565" s="33">
        <f t="shared" si="219"/>
        <v>-0.99999900000099995</v>
      </c>
      <c r="W565" s="33">
        <f t="shared" si="220"/>
        <v>612.96080099999892</v>
      </c>
      <c r="X565" s="33">
        <v>96485</v>
      </c>
      <c r="Y565" s="16">
        <f t="shared" si="221"/>
        <v>-157.40795065147509</v>
      </c>
      <c r="Z565" s="16">
        <v>12</v>
      </c>
      <c r="AA565" s="16">
        <v>23</v>
      </c>
      <c r="AB565" s="8">
        <f t="shared" si="222"/>
        <v>0.32951945080091533</v>
      </c>
      <c r="AC565" s="16">
        <f t="shared" si="223"/>
        <v>71.177182647491506</v>
      </c>
      <c r="AD565" s="20">
        <f>'PFAS Properties'!$W$37</f>
        <v>11</v>
      </c>
      <c r="AE565" s="8">
        <f>'PFAS Properties'!$S$37</f>
        <v>-0.88605664769316317</v>
      </c>
      <c r="AF565" s="15">
        <f>'PFAS Properties'!$V$37</f>
        <v>7.6</v>
      </c>
      <c r="AG565" s="24">
        <v>5.8</v>
      </c>
      <c r="AH565" s="2" t="s">
        <v>834</v>
      </c>
      <c r="AI565" s="15">
        <v>6.5019999999999998</v>
      </c>
      <c r="AJ565" s="16">
        <f t="shared" si="240"/>
        <v>116.42940281135286</v>
      </c>
      <c r="AK565" s="8">
        <f t="shared" si="241"/>
        <v>0.6502</v>
      </c>
      <c r="AL565" s="15">
        <v>1.732</v>
      </c>
      <c r="AM565" s="16">
        <f t="shared" si="242"/>
        <v>64.195700518902896</v>
      </c>
      <c r="AN565" s="8">
        <f t="shared" si="243"/>
        <v>0.17319999999999999</v>
      </c>
      <c r="AO565" s="15" t="s">
        <v>31</v>
      </c>
      <c r="AP565" s="16">
        <v>90</v>
      </c>
      <c r="AQ565" s="16" t="s">
        <v>689</v>
      </c>
      <c r="AR565" s="16">
        <v>46</v>
      </c>
      <c r="AS565" s="16">
        <v>51</v>
      </c>
      <c r="AT565" s="16">
        <v>3</v>
      </c>
      <c r="AU565" s="16" t="s">
        <v>664</v>
      </c>
      <c r="AV565" s="16">
        <f t="shared" si="238"/>
        <v>100</v>
      </c>
      <c r="AW565" s="18">
        <v>27</v>
      </c>
      <c r="AX565" s="13">
        <f t="shared" si="239"/>
        <v>0.27</v>
      </c>
      <c r="AY565" s="8" t="s">
        <v>32</v>
      </c>
      <c r="AZ565" s="16">
        <f t="shared" si="244"/>
        <v>100</v>
      </c>
      <c r="BA565" s="16" t="s">
        <v>55</v>
      </c>
      <c r="BB565" s="16">
        <v>670</v>
      </c>
      <c r="BC565" s="16" t="s">
        <v>55</v>
      </c>
      <c r="BD565" s="28">
        <v>1300.245176010332</v>
      </c>
      <c r="BE565" s="16">
        <f t="shared" si="224"/>
        <v>4815.7228741123408</v>
      </c>
      <c r="BF565" s="8">
        <f t="shared" si="225"/>
        <v>3.6826614870316008</v>
      </c>
      <c r="BG565" s="8">
        <f t="shared" si="235"/>
        <v>3.1140252511905882</v>
      </c>
      <c r="BH565" s="1" t="s">
        <v>841</v>
      </c>
      <c r="BI565" s="1"/>
      <c r="BJ565" s="2"/>
      <c r="BK565" s="1"/>
      <c r="BL565" s="1"/>
      <c r="BM565" s="7"/>
      <c r="BN565" s="7"/>
      <c r="BO565" s="1"/>
      <c r="BP565" s="11"/>
      <c r="BQ565" s="11"/>
    </row>
    <row r="566" spans="1:69" x14ac:dyDescent="0.3">
      <c r="A566" s="20">
        <v>576</v>
      </c>
      <c r="B566" s="2" t="s">
        <v>200</v>
      </c>
      <c r="C566" s="2">
        <v>2021</v>
      </c>
      <c r="D566" s="2" t="s">
        <v>201</v>
      </c>
      <c r="E566" s="10" t="s">
        <v>794</v>
      </c>
      <c r="F566" s="20" t="s">
        <v>29</v>
      </c>
      <c r="G566" s="2" t="s">
        <v>35</v>
      </c>
      <c r="H566" s="2" t="str">
        <f>'PFAS Properties'!$B$37</f>
        <v>PFDoA</v>
      </c>
      <c r="I566" s="2" t="str">
        <f>'PFAS Properties'!$C$37</f>
        <v>PFCA</v>
      </c>
      <c r="J566" s="2" t="str">
        <f>'PFAS Properties'!$D$37</f>
        <v>C12HF23O2</v>
      </c>
      <c r="K566" s="25">
        <f>'PFAS Properties'!$P$37</f>
        <v>613.96079999999995</v>
      </c>
      <c r="L566" s="2">
        <f>'PFAS Properties'!$X$37</f>
        <v>-0.2</v>
      </c>
      <c r="M566" s="2" t="str">
        <f>'PFAS Properties'!$Y$37</f>
        <v>-</v>
      </c>
      <c r="N566" s="33">
        <v>0</v>
      </c>
      <c r="O566" s="33">
        <v>0</v>
      </c>
      <c r="P566" s="33">
        <v>0</v>
      </c>
      <c r="Q566" s="33">
        <f t="shared" si="226"/>
        <v>0.99999874107617315</v>
      </c>
      <c r="R566" s="33">
        <v>0</v>
      </c>
      <c r="S566" s="33">
        <f t="shared" si="227"/>
        <v>1.2589238269029671E-6</v>
      </c>
      <c r="T566" s="8">
        <f t="shared" si="228"/>
        <v>1</v>
      </c>
      <c r="U566" s="33">
        <f t="shared" si="218"/>
        <v>0</v>
      </c>
      <c r="V566" s="33">
        <f t="shared" si="219"/>
        <v>-0.99999874107617315</v>
      </c>
      <c r="W566" s="33">
        <f t="shared" si="220"/>
        <v>612.96080125892377</v>
      </c>
      <c r="X566" s="33">
        <v>96485</v>
      </c>
      <c r="Y566" s="16">
        <f t="shared" si="221"/>
        <v>-157.40790982811626</v>
      </c>
      <c r="Z566" s="16">
        <v>12</v>
      </c>
      <c r="AA566" s="16">
        <v>23</v>
      </c>
      <c r="AB566" s="8">
        <f t="shared" si="222"/>
        <v>0.32951945080091533</v>
      </c>
      <c r="AC566" s="16">
        <f t="shared" si="223"/>
        <v>71.177182647491506</v>
      </c>
      <c r="AD566" s="20">
        <f>'PFAS Properties'!$W$37</f>
        <v>11</v>
      </c>
      <c r="AE566" s="8">
        <f>'PFAS Properties'!$S$37</f>
        <v>-0.88605664769316317</v>
      </c>
      <c r="AF566" s="15">
        <f>'PFAS Properties'!$V$37</f>
        <v>7.6</v>
      </c>
      <c r="AG566" s="24">
        <v>5.7</v>
      </c>
      <c r="AH566" s="2" t="s">
        <v>834</v>
      </c>
      <c r="AI566" s="15">
        <v>12.358000000000001</v>
      </c>
      <c r="AJ566" s="16">
        <f t="shared" si="240"/>
        <v>221.29107350702839</v>
      </c>
      <c r="AK566" s="8">
        <f t="shared" si="241"/>
        <v>1.2358</v>
      </c>
      <c r="AL566" s="15">
        <v>1.0269999999999999</v>
      </c>
      <c r="AM566" s="16">
        <f t="shared" si="242"/>
        <v>38.065233506300963</v>
      </c>
      <c r="AN566" s="8">
        <f t="shared" si="243"/>
        <v>0.10269999999999999</v>
      </c>
      <c r="AO566" s="15" t="s">
        <v>31</v>
      </c>
      <c r="AP566" s="16">
        <v>103</v>
      </c>
      <c r="AQ566" s="16" t="s">
        <v>689</v>
      </c>
      <c r="AR566" s="16">
        <v>35</v>
      </c>
      <c r="AS566" s="16">
        <v>63</v>
      </c>
      <c r="AT566" s="16">
        <v>2</v>
      </c>
      <c r="AU566" s="16" t="s">
        <v>664</v>
      </c>
      <c r="AV566" s="16">
        <f t="shared" si="238"/>
        <v>100</v>
      </c>
      <c r="AW566" s="18">
        <v>32</v>
      </c>
      <c r="AX566" s="13">
        <f t="shared" si="239"/>
        <v>0.32</v>
      </c>
      <c r="AY566" s="8" t="s">
        <v>32</v>
      </c>
      <c r="AZ566" s="16">
        <f t="shared" si="244"/>
        <v>100</v>
      </c>
      <c r="BA566" s="16" t="s">
        <v>55</v>
      </c>
      <c r="BB566" s="16">
        <v>670</v>
      </c>
      <c r="BC566" s="16" t="s">
        <v>55</v>
      </c>
      <c r="BD566" s="28">
        <v>2034.1110558530734</v>
      </c>
      <c r="BE566" s="16">
        <f t="shared" si="224"/>
        <v>6356.5970495408537</v>
      </c>
      <c r="BF566" s="8">
        <f t="shared" si="225"/>
        <v>3.8032246819814324</v>
      </c>
      <c r="BG566" s="8">
        <f t="shared" si="235"/>
        <v>3.3083746603013386</v>
      </c>
      <c r="BH566" s="1" t="s">
        <v>841</v>
      </c>
      <c r="BI566" s="1"/>
      <c r="BJ566" s="2"/>
      <c r="BK566" s="1"/>
      <c r="BL566" s="1"/>
      <c r="BM566" s="7"/>
      <c r="BN566" s="7"/>
      <c r="BO566" s="1"/>
      <c r="BP566" s="11"/>
      <c r="BQ566" s="11"/>
    </row>
    <row r="567" spans="1:69" x14ac:dyDescent="0.3">
      <c r="A567" s="20">
        <v>577</v>
      </c>
      <c r="B567" s="2" t="s">
        <v>200</v>
      </c>
      <c r="C567" s="2">
        <v>2021</v>
      </c>
      <c r="D567" s="2" t="s">
        <v>201</v>
      </c>
      <c r="E567" s="10" t="s">
        <v>794</v>
      </c>
      <c r="F567" s="20" t="s">
        <v>29</v>
      </c>
      <c r="G567" s="2" t="s">
        <v>36</v>
      </c>
      <c r="H567" s="2" t="str">
        <f>'PFAS Properties'!$B$37</f>
        <v>PFDoA</v>
      </c>
      <c r="I567" s="2" t="str">
        <f>'PFAS Properties'!$C$37</f>
        <v>PFCA</v>
      </c>
      <c r="J567" s="2" t="str">
        <f>'PFAS Properties'!$D$37</f>
        <v>C12HF23O2</v>
      </c>
      <c r="K567" s="25">
        <f>'PFAS Properties'!$P$37</f>
        <v>613.96079999999995</v>
      </c>
      <c r="L567" s="2">
        <f>'PFAS Properties'!$X$37</f>
        <v>-0.2</v>
      </c>
      <c r="M567" s="2" t="str">
        <f>'PFAS Properties'!$Y$37</f>
        <v>-</v>
      </c>
      <c r="N567" s="33">
        <v>0</v>
      </c>
      <c r="O567" s="33">
        <v>0</v>
      </c>
      <c r="P567" s="33">
        <v>0</v>
      </c>
      <c r="Q567" s="33">
        <f t="shared" si="226"/>
        <v>0.99999874107617315</v>
      </c>
      <c r="R567" s="33">
        <v>0</v>
      </c>
      <c r="S567" s="33">
        <f t="shared" si="227"/>
        <v>1.2589238269029671E-6</v>
      </c>
      <c r="T567" s="8">
        <f t="shared" si="228"/>
        <v>1</v>
      </c>
      <c r="U567" s="33">
        <f t="shared" ref="U567:U625" si="245">((1*N567)+(1*O567)+(1*P567))</f>
        <v>0</v>
      </c>
      <c r="V567" s="33">
        <f t="shared" ref="V567:V625" si="246">-((1*O567)+(2*P567)+(1*Q567)+(2*R567))</f>
        <v>-0.99999874107617315</v>
      </c>
      <c r="W567" s="33">
        <f t="shared" ref="W567:W625" si="247">(N567*(K567+1))+(O567*K567)+(P567*(K567-1))+(Q567*(K567-1))+(R567*(K567-2))+(S567*K567)</f>
        <v>612.96080125892377</v>
      </c>
      <c r="X567" s="33">
        <v>96485</v>
      </c>
      <c r="Y567" s="16">
        <f t="shared" ref="Y567:Y625" si="248">((V567+U567)/W567)*X567</f>
        <v>-157.40790982811626</v>
      </c>
      <c r="Z567" s="16">
        <v>12</v>
      </c>
      <c r="AA567" s="16">
        <v>23</v>
      </c>
      <c r="AB567" s="8">
        <f t="shared" ref="AB567:AB625" si="249">(Z567/AA567)*(12/19)</f>
        <v>0.32951945080091533</v>
      </c>
      <c r="AC567" s="16">
        <f t="shared" ref="AC567:AC625" si="250">((AA567*19)/K567)*100</f>
        <v>71.177182647491506</v>
      </c>
      <c r="AD567" s="20">
        <f>'PFAS Properties'!$W$37</f>
        <v>11</v>
      </c>
      <c r="AE567" s="8">
        <f>'PFAS Properties'!$S$37</f>
        <v>-0.88605664769316317</v>
      </c>
      <c r="AF567" s="15">
        <f>'PFAS Properties'!$V$37</f>
        <v>7.6</v>
      </c>
      <c r="AG567" s="24">
        <v>5.7</v>
      </c>
      <c r="AH567" s="2" t="s">
        <v>834</v>
      </c>
      <c r="AI567" s="15">
        <v>10.64</v>
      </c>
      <c r="AJ567" s="16">
        <f t="shared" si="240"/>
        <v>190.52735249350883</v>
      </c>
      <c r="AK567" s="8">
        <f t="shared" si="241"/>
        <v>1.0640000000000001</v>
      </c>
      <c r="AL567" s="15">
        <v>0.16700000000000001</v>
      </c>
      <c r="AM567" s="16">
        <f t="shared" si="242"/>
        <v>6.1897702001482582</v>
      </c>
      <c r="AN567" s="8">
        <f t="shared" si="243"/>
        <v>1.67E-2</v>
      </c>
      <c r="AO567" s="15" t="s">
        <v>31</v>
      </c>
      <c r="AP567" s="16">
        <v>140</v>
      </c>
      <c r="AQ567" s="16" t="s">
        <v>689</v>
      </c>
      <c r="AR567" s="16">
        <v>20.7</v>
      </c>
      <c r="AS567" s="16">
        <v>78</v>
      </c>
      <c r="AT567" s="16">
        <v>1.3</v>
      </c>
      <c r="AU567" s="16" t="s">
        <v>664</v>
      </c>
      <c r="AV567" s="16">
        <f t="shared" si="238"/>
        <v>100</v>
      </c>
      <c r="AW567" s="18">
        <v>39</v>
      </c>
      <c r="AX567" s="13">
        <f t="shared" si="239"/>
        <v>0.39</v>
      </c>
      <c r="AY567" s="8" t="s">
        <v>32</v>
      </c>
      <c r="AZ567" s="16">
        <f t="shared" si="244"/>
        <v>100</v>
      </c>
      <c r="BA567" s="16" t="s">
        <v>55</v>
      </c>
      <c r="BB567" s="16">
        <v>670</v>
      </c>
      <c r="BC567" s="16" t="s">
        <v>55</v>
      </c>
      <c r="BD567" s="28">
        <v>1836.7021804336111</v>
      </c>
      <c r="BE567" s="16">
        <f t="shared" ref="BE567:BE625" si="251">BD567/AX567</f>
        <v>4709.4927703425928</v>
      </c>
      <c r="BF567" s="8">
        <f t="shared" ref="BF567:BF625" si="252">LOG(BE567)</f>
        <v>3.6729741345378759</v>
      </c>
      <c r="BG567" s="8">
        <f t="shared" si="235"/>
        <v>3.264038741564375</v>
      </c>
      <c r="BH567" s="1" t="s">
        <v>841</v>
      </c>
      <c r="BI567" s="1"/>
      <c r="BJ567" s="2"/>
      <c r="BK567" s="1"/>
      <c r="BL567" s="1"/>
      <c r="BM567" s="7"/>
      <c r="BN567" s="7"/>
      <c r="BO567" s="1"/>
      <c r="BP567" s="11"/>
      <c r="BQ567" s="11"/>
    </row>
    <row r="568" spans="1:69" x14ac:dyDescent="0.3">
      <c r="A568" s="20">
        <v>578</v>
      </c>
      <c r="B568" s="2" t="s">
        <v>200</v>
      </c>
      <c r="C568" s="2">
        <v>2021</v>
      </c>
      <c r="D568" s="2" t="s">
        <v>201</v>
      </c>
      <c r="E568" s="10" t="s">
        <v>794</v>
      </c>
      <c r="F568" s="20" t="s">
        <v>29</v>
      </c>
      <c r="G568" s="2" t="s">
        <v>38</v>
      </c>
      <c r="H568" s="2" t="str">
        <f>'PFAS Properties'!$B$37</f>
        <v>PFDoA</v>
      </c>
      <c r="I568" s="2" t="str">
        <f>'PFAS Properties'!$C$37</f>
        <v>PFCA</v>
      </c>
      <c r="J568" s="2" t="str">
        <f>'PFAS Properties'!$D$37</f>
        <v>C12HF23O2</v>
      </c>
      <c r="K568" s="25">
        <f>'PFAS Properties'!$P$37</f>
        <v>613.96079999999995</v>
      </c>
      <c r="L568" s="2">
        <f>'PFAS Properties'!$X$37</f>
        <v>-0.2</v>
      </c>
      <c r="M568" s="2" t="str">
        <f>'PFAS Properties'!$Y$37</f>
        <v>-</v>
      </c>
      <c r="N568" s="33">
        <v>0</v>
      </c>
      <c r="O568" s="33">
        <v>0</v>
      </c>
      <c r="P568" s="33">
        <v>0</v>
      </c>
      <c r="Q568" s="33">
        <f t="shared" si="226"/>
        <v>0.99999874107617315</v>
      </c>
      <c r="R568" s="33">
        <v>0</v>
      </c>
      <c r="S568" s="33">
        <f t="shared" si="227"/>
        <v>1.2589238269029671E-6</v>
      </c>
      <c r="T568" s="8">
        <f t="shared" si="228"/>
        <v>1</v>
      </c>
      <c r="U568" s="33">
        <f t="shared" si="245"/>
        <v>0</v>
      </c>
      <c r="V568" s="33">
        <f t="shared" si="246"/>
        <v>-0.99999874107617315</v>
      </c>
      <c r="W568" s="33">
        <f t="shared" si="247"/>
        <v>612.96080125892377</v>
      </c>
      <c r="X568" s="33">
        <v>96485</v>
      </c>
      <c r="Y568" s="16">
        <f t="shared" si="248"/>
        <v>-157.40790982811626</v>
      </c>
      <c r="Z568" s="16">
        <v>12</v>
      </c>
      <c r="AA568" s="16">
        <v>23</v>
      </c>
      <c r="AB568" s="8">
        <f t="shared" si="249"/>
        <v>0.32951945080091533</v>
      </c>
      <c r="AC568" s="16">
        <f t="shared" si="250"/>
        <v>71.177182647491506</v>
      </c>
      <c r="AD568" s="20">
        <f>'PFAS Properties'!$W$37</f>
        <v>11</v>
      </c>
      <c r="AE568" s="8">
        <f>'PFAS Properties'!$S$37</f>
        <v>-0.88605664769316317</v>
      </c>
      <c r="AF568" s="15">
        <f>'PFAS Properties'!$V$37</f>
        <v>7.6</v>
      </c>
      <c r="AG568" s="24">
        <v>5.7</v>
      </c>
      <c r="AH568" s="2" t="s">
        <v>834</v>
      </c>
      <c r="AI568" s="15">
        <v>19.667999999999999</v>
      </c>
      <c r="AJ568" s="16">
        <f t="shared" si="240"/>
        <v>352.18909481600861</v>
      </c>
      <c r="AK568" s="8">
        <f t="shared" si="241"/>
        <v>1.9667999999999999</v>
      </c>
      <c r="AL568" s="15">
        <v>0.48099999999999998</v>
      </c>
      <c r="AM568" s="16">
        <f t="shared" si="242"/>
        <v>17.828020756115642</v>
      </c>
      <c r="AN568" s="8">
        <f t="shared" si="243"/>
        <v>4.8099999999999997E-2</v>
      </c>
      <c r="AO568" s="15" t="s">
        <v>31</v>
      </c>
      <c r="AP568" s="16">
        <v>114</v>
      </c>
      <c r="AQ568" s="16" t="s">
        <v>689</v>
      </c>
      <c r="AR568" s="16">
        <v>20</v>
      </c>
      <c r="AS568" s="16">
        <v>78.900000000000006</v>
      </c>
      <c r="AT568" s="16">
        <v>1.1000000000000001</v>
      </c>
      <c r="AU568" s="16" t="s">
        <v>664</v>
      </c>
      <c r="AV568" s="16">
        <f t="shared" si="238"/>
        <v>100</v>
      </c>
      <c r="AW568" s="18">
        <v>41</v>
      </c>
      <c r="AX568" s="13">
        <f t="shared" si="239"/>
        <v>0.41</v>
      </c>
      <c r="AY568" s="8" t="s">
        <v>32</v>
      </c>
      <c r="AZ568" s="16">
        <f t="shared" si="244"/>
        <v>100</v>
      </c>
      <c r="BA568" s="16" t="s">
        <v>55</v>
      </c>
      <c r="BB568" s="16">
        <v>670</v>
      </c>
      <c r="BC568" s="16" t="s">
        <v>55</v>
      </c>
      <c r="BD568" s="28">
        <v>3081.7894994592593</v>
      </c>
      <c r="BE568" s="16">
        <f t="shared" si="251"/>
        <v>7516.559754778682</v>
      </c>
      <c r="BF568" s="8">
        <f t="shared" si="252"/>
        <v>3.8760191143448881</v>
      </c>
      <c r="BG568" s="8">
        <f t="shared" si="235"/>
        <v>3.4888029710646236</v>
      </c>
      <c r="BH568" s="1" t="s">
        <v>841</v>
      </c>
      <c r="BI568" s="1"/>
      <c r="BJ568" s="2"/>
      <c r="BK568" s="1"/>
      <c r="BL568" s="1"/>
      <c r="BM568" s="7"/>
      <c r="BN568" s="7"/>
      <c r="BO568" s="1"/>
      <c r="BP568" s="11"/>
      <c r="BQ568" s="11"/>
    </row>
    <row r="569" spans="1:69" s="14" customFormat="1" x14ac:dyDescent="0.3">
      <c r="A569" s="20">
        <v>579</v>
      </c>
      <c r="B569" s="2" t="s">
        <v>195</v>
      </c>
      <c r="C569" s="2">
        <v>2018</v>
      </c>
      <c r="D569" s="2" t="s">
        <v>199</v>
      </c>
      <c r="E569" s="22" t="s">
        <v>795</v>
      </c>
      <c r="F569" s="20" t="s">
        <v>29</v>
      </c>
      <c r="G569" s="2" t="s">
        <v>47</v>
      </c>
      <c r="H569" s="2" t="str">
        <f>'PFAS Properties'!$B$37</f>
        <v>PFDoA</v>
      </c>
      <c r="I569" s="2" t="str">
        <f>'PFAS Properties'!$C$37</f>
        <v>PFCA</v>
      </c>
      <c r="J569" s="2" t="str">
        <f>'PFAS Properties'!$D$37</f>
        <v>C12HF23O2</v>
      </c>
      <c r="K569" s="25">
        <f>'PFAS Properties'!$P$37</f>
        <v>613.96079999999995</v>
      </c>
      <c r="L569" s="2">
        <f>'PFAS Properties'!$X$37</f>
        <v>-0.2</v>
      </c>
      <c r="M569" s="2" t="str">
        <f>'PFAS Properties'!$Y$37</f>
        <v>-</v>
      </c>
      <c r="N569" s="33">
        <v>0</v>
      </c>
      <c r="O569" s="33">
        <v>0</v>
      </c>
      <c r="P569" s="33">
        <v>0</v>
      </c>
      <c r="Q569" s="33">
        <f t="shared" si="226"/>
        <v>0.99998004777494953</v>
      </c>
      <c r="R569" s="33">
        <v>0</v>
      </c>
      <c r="S569" s="33">
        <f t="shared" si="227"/>
        <v>1.9952225050461341E-5</v>
      </c>
      <c r="T569" s="8">
        <f t="shared" si="228"/>
        <v>1</v>
      </c>
      <c r="U569" s="33">
        <f t="shared" si="245"/>
        <v>0</v>
      </c>
      <c r="V569" s="33">
        <f t="shared" si="246"/>
        <v>-0.99998004777494953</v>
      </c>
      <c r="W569" s="33">
        <f t="shared" si="247"/>
        <v>612.96081995222494</v>
      </c>
      <c r="X569" s="33">
        <v>96485</v>
      </c>
      <c r="Y569" s="16">
        <f t="shared" si="248"/>
        <v>-157.4049625506016</v>
      </c>
      <c r="Z569" s="16">
        <v>12</v>
      </c>
      <c r="AA569" s="16">
        <v>23</v>
      </c>
      <c r="AB569" s="8">
        <f t="shared" si="249"/>
        <v>0.32951945080091533</v>
      </c>
      <c r="AC569" s="16">
        <f t="shared" si="250"/>
        <v>71.177182647491506</v>
      </c>
      <c r="AD569" s="20">
        <f>'PFAS Properties'!$W$37</f>
        <v>11</v>
      </c>
      <c r="AE569" s="8">
        <f>'PFAS Properties'!$S$37</f>
        <v>-0.88605664769316317</v>
      </c>
      <c r="AF569" s="15">
        <f>'PFAS Properties'!$V$37</f>
        <v>7.6</v>
      </c>
      <c r="AG569" s="24">
        <v>4.5</v>
      </c>
      <c r="AH569" s="2" t="s">
        <v>658</v>
      </c>
      <c r="AI569" s="8">
        <f>AJ569*55.845/1000</f>
        <v>5.8637250000000002E-2</v>
      </c>
      <c r="AJ569" s="16">
        <v>1.05</v>
      </c>
      <c r="AK569" s="8">
        <f t="shared" si="241"/>
        <v>5.8637250000000002E-3</v>
      </c>
      <c r="AL569" s="15">
        <f>AM569*26.98/1000</f>
        <v>0.18454320000000002</v>
      </c>
      <c r="AM569" s="16">
        <v>6.84</v>
      </c>
      <c r="AN569" s="8">
        <f t="shared" si="243"/>
        <v>1.8454320000000003E-2</v>
      </c>
      <c r="AO569" s="2" t="s">
        <v>48</v>
      </c>
      <c r="AP569" s="71">
        <v>21.496500000000001</v>
      </c>
      <c r="AQ569" s="70" t="s">
        <v>752</v>
      </c>
      <c r="AR569" s="71">
        <v>41.737499999999997</v>
      </c>
      <c r="AS569" s="71">
        <v>35.036999999999999</v>
      </c>
      <c r="AT569" s="71">
        <v>21.971</v>
      </c>
      <c r="AU569" s="70" t="s">
        <v>752</v>
      </c>
      <c r="AV569" s="16">
        <f t="shared" si="238"/>
        <v>98.745499999999993</v>
      </c>
      <c r="AW569" s="18">
        <v>45</v>
      </c>
      <c r="AX569" s="13">
        <f t="shared" si="239"/>
        <v>0.45</v>
      </c>
      <c r="AY569" s="8" t="s">
        <v>49</v>
      </c>
      <c r="AZ569" s="16">
        <f>0.45/0.04</f>
        <v>11.25</v>
      </c>
      <c r="BA569" s="16" t="s">
        <v>55</v>
      </c>
      <c r="BB569" s="16">
        <v>1.25</v>
      </c>
      <c r="BC569" s="16" t="s">
        <v>55</v>
      </c>
      <c r="BD569" s="25">
        <f>(10^(4.1)*AX569)</f>
        <v>5665.164353073752</v>
      </c>
      <c r="BE569" s="16">
        <f t="shared" si="251"/>
        <v>12589.254117941671</v>
      </c>
      <c r="BF569" s="8">
        <f t="shared" si="252"/>
        <v>4.0999999999999996</v>
      </c>
      <c r="BG569" s="8">
        <f t="shared" si="235"/>
        <v>3.7532125137753436</v>
      </c>
      <c r="BH569" s="2" t="s">
        <v>823</v>
      </c>
      <c r="BI569" s="2"/>
      <c r="BJ569" s="2"/>
      <c r="BK569" s="2"/>
      <c r="BL569" s="2"/>
      <c r="BM569" s="20"/>
      <c r="BN569" s="20"/>
      <c r="BO569" s="2"/>
    </row>
    <row r="570" spans="1:69" s="14" customFormat="1" x14ac:dyDescent="0.3">
      <c r="A570" s="20">
        <v>580</v>
      </c>
      <c r="B570" s="2" t="s">
        <v>195</v>
      </c>
      <c r="C570" s="2">
        <v>2022</v>
      </c>
      <c r="D570" s="2" t="s">
        <v>199</v>
      </c>
      <c r="E570" s="22" t="s">
        <v>798</v>
      </c>
      <c r="F570" s="20" t="s">
        <v>29</v>
      </c>
      <c r="G570" s="2" t="s">
        <v>237</v>
      </c>
      <c r="H570" s="2" t="str">
        <f>'PFAS Properties'!$B$37</f>
        <v>PFDoA</v>
      </c>
      <c r="I570" s="2" t="str">
        <f>'PFAS Properties'!$C$37</f>
        <v>PFCA</v>
      </c>
      <c r="J570" s="2" t="str">
        <f>'PFAS Properties'!$D$37</f>
        <v>C12HF23O2</v>
      </c>
      <c r="K570" s="25">
        <f>'PFAS Properties'!$P$37</f>
        <v>613.96079999999995</v>
      </c>
      <c r="L570" s="2">
        <f>'PFAS Properties'!$X$37</f>
        <v>-0.2</v>
      </c>
      <c r="M570" s="2" t="str">
        <f>'PFAS Properties'!$Y$37</f>
        <v>-</v>
      </c>
      <c r="N570" s="33">
        <v>0</v>
      </c>
      <c r="O570" s="33">
        <v>0</v>
      </c>
      <c r="P570" s="33">
        <v>0</v>
      </c>
      <c r="Q570" s="33">
        <f t="shared" si="226"/>
        <v>0.99984153579563773</v>
      </c>
      <c r="R570" s="33">
        <v>0</v>
      </c>
      <c r="S570" s="33">
        <f t="shared" si="227"/>
        <v>1.5846420436223696E-4</v>
      </c>
      <c r="T570" s="8">
        <f t="shared" si="228"/>
        <v>1</v>
      </c>
      <c r="U570" s="33">
        <f t="shared" si="245"/>
        <v>0</v>
      </c>
      <c r="V570" s="33">
        <f t="shared" si="246"/>
        <v>-0.99984153579563773</v>
      </c>
      <c r="W570" s="33">
        <f t="shared" si="247"/>
        <v>612.96095846420428</v>
      </c>
      <c r="X570" s="33">
        <v>96485</v>
      </c>
      <c r="Y570" s="16">
        <f t="shared" si="248"/>
        <v>-157.38312407849014</v>
      </c>
      <c r="Z570" s="16">
        <v>12</v>
      </c>
      <c r="AA570" s="16">
        <v>23</v>
      </c>
      <c r="AB570" s="8">
        <f t="shared" si="249"/>
        <v>0.32951945080091533</v>
      </c>
      <c r="AC570" s="16">
        <f t="shared" si="250"/>
        <v>71.177182647491506</v>
      </c>
      <c r="AD570" s="20">
        <f>'PFAS Properties'!$W$37</f>
        <v>11</v>
      </c>
      <c r="AE570" s="8">
        <f>'PFAS Properties'!$S$37</f>
        <v>-0.88605664769316317</v>
      </c>
      <c r="AF570" s="15">
        <f>'PFAS Properties'!$V$37</f>
        <v>7.6</v>
      </c>
      <c r="AG570" s="24">
        <v>3.6</v>
      </c>
      <c r="AH570" s="2" t="s">
        <v>832</v>
      </c>
      <c r="AI570" s="8">
        <f>(6.8*55.845)/1000</f>
        <v>0.37974599999999997</v>
      </c>
      <c r="AJ570" s="15">
        <f>AI570*1000/55.845</f>
        <v>6.8</v>
      </c>
      <c r="AK570" s="8">
        <f t="shared" si="241"/>
        <v>3.7974599999999997E-2</v>
      </c>
      <c r="AL570" s="8">
        <f>(4*26.982)/1000</f>
        <v>0.107928</v>
      </c>
      <c r="AM570" s="15">
        <f>AL570*1000/55.845</f>
        <v>1.932634971796938</v>
      </c>
      <c r="AN570" s="8">
        <f t="shared" si="243"/>
        <v>1.07928E-2</v>
      </c>
      <c r="AO570" s="2" t="s">
        <v>86</v>
      </c>
      <c r="AP570" s="71">
        <v>14.768748</v>
      </c>
      <c r="AQ570" s="70" t="s">
        <v>752</v>
      </c>
      <c r="AR570" s="71">
        <v>37.396533331999997</v>
      </c>
      <c r="AS570" s="71">
        <v>37.430266667999987</v>
      </c>
      <c r="AT570" s="71">
        <v>24.989000000000001</v>
      </c>
      <c r="AU570" s="70" t="s">
        <v>752</v>
      </c>
      <c r="AV570" s="16">
        <f t="shared" ref="AV570" si="253">SUM(AR570:AT570)</f>
        <v>99.815799999999996</v>
      </c>
      <c r="AW570" s="18">
        <v>44.9</v>
      </c>
      <c r="AX570" s="13">
        <f t="shared" si="239"/>
        <v>0.44900000000000001</v>
      </c>
      <c r="AY570" s="8" t="s">
        <v>240</v>
      </c>
      <c r="AZ570" s="16">
        <f t="shared" ref="AZ570" si="254">0.75/0.03</f>
        <v>25</v>
      </c>
      <c r="BA570" s="16" t="s">
        <v>55</v>
      </c>
      <c r="BB570" s="16">
        <f>8*K570/1000</f>
        <v>4.9116863999999998</v>
      </c>
      <c r="BC570" s="16" t="s">
        <v>55</v>
      </c>
      <c r="BD570" s="25">
        <f>(10^(3.61)*AX570)</f>
        <v>1829.1374473404683</v>
      </c>
      <c r="BE570" s="16">
        <f t="shared" si="251"/>
        <v>4073.8027780411321</v>
      </c>
      <c r="BF570" s="8">
        <f t="shared" si="252"/>
        <v>3.6100000000000003</v>
      </c>
      <c r="BG570" s="8">
        <f t="shared" si="235"/>
        <v>3.2622463410033236</v>
      </c>
      <c r="BH570" s="2" t="s">
        <v>824</v>
      </c>
      <c r="BI570" s="16"/>
      <c r="BJ570" s="13"/>
      <c r="BK570" s="13"/>
      <c r="BL570" s="8"/>
      <c r="BM570" s="18"/>
      <c r="BN570" s="8"/>
      <c r="BO570" s="24"/>
    </row>
    <row r="571" spans="1:69" x14ac:dyDescent="0.3">
      <c r="A571" s="20">
        <v>581</v>
      </c>
      <c r="B571" s="1" t="s">
        <v>706</v>
      </c>
      <c r="C571" s="1">
        <v>2022</v>
      </c>
      <c r="D571" s="2" t="s">
        <v>199</v>
      </c>
      <c r="E571" s="10" t="s">
        <v>796</v>
      </c>
      <c r="F571" s="20" t="s">
        <v>29</v>
      </c>
      <c r="G571" s="1" t="s">
        <v>707</v>
      </c>
      <c r="H571" s="2" t="str">
        <f>'PFAS Properties'!$B$37</f>
        <v>PFDoA</v>
      </c>
      <c r="I571" s="2" t="str">
        <f>'PFAS Properties'!$C$37</f>
        <v>PFCA</v>
      </c>
      <c r="J571" s="2" t="str">
        <f>'PFAS Properties'!$D$37</f>
        <v>C12HF23O2</v>
      </c>
      <c r="K571" s="25">
        <f>'PFAS Properties'!$P$37</f>
        <v>613.96079999999995</v>
      </c>
      <c r="L571" s="2">
        <f>'PFAS Properties'!$X$37</f>
        <v>-0.2</v>
      </c>
      <c r="M571" s="2" t="str">
        <f>'PFAS Properties'!$Y$37</f>
        <v>-</v>
      </c>
      <c r="N571" s="33">
        <v>0</v>
      </c>
      <c r="O571" s="33">
        <v>0</v>
      </c>
      <c r="P571" s="33">
        <v>0</v>
      </c>
      <c r="Q571" s="33">
        <f t="shared" si="226"/>
        <v>0.99999849893552062</v>
      </c>
      <c r="R571" s="33">
        <v>0</v>
      </c>
      <c r="S571" s="33">
        <f t="shared" si="227"/>
        <v>1.50106447937241E-6</v>
      </c>
      <c r="T571" s="8">
        <f t="shared" si="228"/>
        <v>1</v>
      </c>
      <c r="U571" s="33">
        <f t="shared" si="245"/>
        <v>0</v>
      </c>
      <c r="V571" s="33">
        <f t="shared" si="246"/>
        <v>-0.99999849893552062</v>
      </c>
      <c r="W571" s="33">
        <f t="shared" si="247"/>
        <v>612.96080150106445</v>
      </c>
      <c r="X571" s="33">
        <v>96485</v>
      </c>
      <c r="Y571" s="16">
        <f t="shared" si="248"/>
        <v>-157.40787165103274</v>
      </c>
      <c r="Z571" s="16">
        <v>12</v>
      </c>
      <c r="AA571" s="16">
        <v>23</v>
      </c>
      <c r="AB571" s="8">
        <f t="shared" si="249"/>
        <v>0.32951945080091533</v>
      </c>
      <c r="AC571" s="16">
        <f t="shared" si="250"/>
        <v>71.177182647491506</v>
      </c>
      <c r="AD571" s="20">
        <f>'PFAS Properties'!$W$37</f>
        <v>11</v>
      </c>
      <c r="AE571" s="8">
        <f>'PFAS Properties'!$S$37</f>
        <v>-0.88605664769316317</v>
      </c>
      <c r="AF571" s="15">
        <f>'PFAS Properties'!$V$37</f>
        <v>7.6</v>
      </c>
      <c r="AG571" s="124">
        <v>5.6236000000000006</v>
      </c>
      <c r="AH571" s="70" t="s">
        <v>752</v>
      </c>
      <c r="AI571" s="1" t="s">
        <v>661</v>
      </c>
      <c r="AJ571" s="1" t="s">
        <v>661</v>
      </c>
      <c r="AK571" s="1" t="s">
        <v>661</v>
      </c>
      <c r="AL571" s="1" t="s">
        <v>661</v>
      </c>
      <c r="AM571" s="1" t="s">
        <v>661</v>
      </c>
      <c r="AN571" s="1" t="s">
        <v>661</v>
      </c>
      <c r="AO571" s="1" t="s">
        <v>661</v>
      </c>
      <c r="AP571" s="132">
        <v>17.2</v>
      </c>
      <c r="AQ571" s="1" t="s">
        <v>661</v>
      </c>
      <c r="AR571" s="4">
        <v>44.8</v>
      </c>
      <c r="AS571" s="4">
        <v>27</v>
      </c>
      <c r="AT571" s="4">
        <v>28.2</v>
      </c>
      <c r="AU571" s="1" t="s">
        <v>661</v>
      </c>
      <c r="AV571" s="16">
        <f>SUM(AR571:AT571)</f>
        <v>100</v>
      </c>
      <c r="AW571" s="27">
        <v>4</v>
      </c>
      <c r="AX571" s="5">
        <f t="shared" si="239"/>
        <v>0.04</v>
      </c>
      <c r="AY571" s="1" t="s">
        <v>184</v>
      </c>
      <c r="AZ571" s="1">
        <f>0.25/0.01</f>
        <v>25</v>
      </c>
      <c r="BA571" s="16" t="s">
        <v>55</v>
      </c>
      <c r="BB571" s="1">
        <v>0</v>
      </c>
      <c r="BC571" s="1">
        <v>100</v>
      </c>
      <c r="BD571" s="24">
        <v>102.8</v>
      </c>
      <c r="BE571" s="16">
        <f t="shared" si="251"/>
        <v>2570</v>
      </c>
      <c r="BF571" s="16">
        <f t="shared" si="252"/>
        <v>3.4099331233312946</v>
      </c>
      <c r="BG571" s="8">
        <f t="shared" si="235"/>
        <v>2.0119931146592571</v>
      </c>
      <c r="BH571" s="1" t="s">
        <v>819</v>
      </c>
      <c r="BI571" s="1"/>
      <c r="BJ571" s="2"/>
      <c r="BK571" s="1"/>
      <c r="BL571" s="1"/>
      <c r="BM571" s="7"/>
      <c r="BN571" s="7"/>
      <c r="BO571" s="1"/>
      <c r="BP571" s="11"/>
      <c r="BQ571" s="11"/>
    </row>
    <row r="572" spans="1:69" x14ac:dyDescent="0.3">
      <c r="A572" s="20">
        <v>582</v>
      </c>
      <c r="B572" s="1" t="s">
        <v>706</v>
      </c>
      <c r="C572" s="1">
        <v>2022</v>
      </c>
      <c r="D572" s="2" t="s">
        <v>199</v>
      </c>
      <c r="E572" s="10" t="s">
        <v>796</v>
      </c>
      <c r="F572" s="20" t="s">
        <v>29</v>
      </c>
      <c r="G572" s="1" t="s">
        <v>708</v>
      </c>
      <c r="H572" s="2" t="str">
        <f>'PFAS Properties'!$B$37</f>
        <v>PFDoA</v>
      </c>
      <c r="I572" s="2" t="str">
        <f>'PFAS Properties'!$C$37</f>
        <v>PFCA</v>
      </c>
      <c r="J572" s="2" t="str">
        <f>'PFAS Properties'!$D$37</f>
        <v>C12HF23O2</v>
      </c>
      <c r="K572" s="25">
        <f>'PFAS Properties'!$P$37</f>
        <v>613.96079999999995</v>
      </c>
      <c r="L572" s="2">
        <f>'PFAS Properties'!$X$37</f>
        <v>-0.2</v>
      </c>
      <c r="M572" s="2" t="str">
        <f>'PFAS Properties'!$Y$37</f>
        <v>-</v>
      </c>
      <c r="N572" s="33">
        <v>0</v>
      </c>
      <c r="O572" s="33">
        <v>0</v>
      </c>
      <c r="P572" s="33">
        <v>0</v>
      </c>
      <c r="Q572" s="33">
        <f t="shared" si="226"/>
        <v>0.9999982333959051</v>
      </c>
      <c r="R572" s="33">
        <v>0</v>
      </c>
      <c r="S572" s="33">
        <f t="shared" si="227"/>
        <v>1.7666040948916728E-6</v>
      </c>
      <c r="T572" s="8">
        <f t="shared" si="228"/>
        <v>1</v>
      </c>
      <c r="U572" s="33">
        <f t="shared" si="245"/>
        <v>0</v>
      </c>
      <c r="V572" s="33">
        <f t="shared" si="246"/>
        <v>-0.9999982333959051</v>
      </c>
      <c r="W572" s="33">
        <f t="shared" si="247"/>
        <v>612.96080176660405</v>
      </c>
      <c r="X572" s="33">
        <v>96485</v>
      </c>
      <c r="Y572" s="16">
        <f t="shared" si="248"/>
        <v>-157.40782978475391</v>
      </c>
      <c r="Z572" s="16">
        <v>12</v>
      </c>
      <c r="AA572" s="16">
        <v>23</v>
      </c>
      <c r="AB572" s="8">
        <f t="shared" si="249"/>
        <v>0.32951945080091533</v>
      </c>
      <c r="AC572" s="16">
        <f t="shared" si="250"/>
        <v>71.177182647491506</v>
      </c>
      <c r="AD572" s="20">
        <f>'PFAS Properties'!$W$37</f>
        <v>11</v>
      </c>
      <c r="AE572" s="8">
        <f>'PFAS Properties'!$S$37</f>
        <v>-0.88605664769316317</v>
      </c>
      <c r="AF572" s="15">
        <f>'PFAS Properties'!$V$37</f>
        <v>7.6</v>
      </c>
      <c r="AG572" s="124">
        <v>5.5528600000000008</v>
      </c>
      <c r="AH572" s="70" t="s">
        <v>752</v>
      </c>
      <c r="AI572" s="1" t="s">
        <v>661</v>
      </c>
      <c r="AJ572" s="1" t="s">
        <v>661</v>
      </c>
      <c r="AK572" s="1" t="s">
        <v>661</v>
      </c>
      <c r="AL572" s="1" t="s">
        <v>661</v>
      </c>
      <c r="AM572" s="1" t="s">
        <v>661</v>
      </c>
      <c r="AN572" s="1" t="s">
        <v>661</v>
      </c>
      <c r="AO572" s="1" t="s">
        <v>661</v>
      </c>
      <c r="AP572" s="132">
        <v>12.2</v>
      </c>
      <c r="AQ572" s="1" t="s">
        <v>661</v>
      </c>
      <c r="AR572" s="4">
        <v>41.8</v>
      </c>
      <c r="AS572" s="4">
        <v>30</v>
      </c>
      <c r="AT572" s="4">
        <v>28.2</v>
      </c>
      <c r="AU572" s="1" t="s">
        <v>661</v>
      </c>
      <c r="AV572" s="16">
        <f>SUM(AR572:AT572)</f>
        <v>100</v>
      </c>
      <c r="AW572" s="27">
        <v>2</v>
      </c>
      <c r="AX572" s="5">
        <f t="shared" si="239"/>
        <v>0.02</v>
      </c>
      <c r="AY572" s="1" t="s">
        <v>184</v>
      </c>
      <c r="AZ572" s="1">
        <f>0.25/0.01</f>
        <v>25</v>
      </c>
      <c r="BA572" s="16" t="s">
        <v>55</v>
      </c>
      <c r="BB572" s="1">
        <v>0</v>
      </c>
      <c r="BC572" s="1">
        <v>100</v>
      </c>
      <c r="BD572" s="24">
        <v>63.2</v>
      </c>
      <c r="BE572" s="16">
        <f t="shared" si="251"/>
        <v>3160</v>
      </c>
      <c r="BF572" s="16">
        <f t="shared" si="252"/>
        <v>3.4996870826184039</v>
      </c>
      <c r="BG572" s="8">
        <f t="shared" si="235"/>
        <v>1.8007170782823851</v>
      </c>
      <c r="BH572" s="1" t="s">
        <v>819</v>
      </c>
      <c r="BI572" s="1"/>
      <c r="BJ572" s="2"/>
      <c r="BK572" s="1"/>
      <c r="BL572" s="1"/>
      <c r="BM572" s="7"/>
      <c r="BN572" s="7"/>
      <c r="BO572" s="1"/>
      <c r="BP572" s="11"/>
      <c r="BQ572" s="11"/>
    </row>
    <row r="573" spans="1:69" x14ac:dyDescent="0.3">
      <c r="A573" s="20">
        <v>583</v>
      </c>
      <c r="B573" s="1" t="s">
        <v>706</v>
      </c>
      <c r="C573" s="1">
        <v>2022</v>
      </c>
      <c r="D573" s="2" t="s">
        <v>199</v>
      </c>
      <c r="E573" s="10" t="s">
        <v>796</v>
      </c>
      <c r="F573" s="20" t="s">
        <v>29</v>
      </c>
      <c r="G573" s="1" t="s">
        <v>709</v>
      </c>
      <c r="H573" s="2" t="str">
        <f>'PFAS Properties'!$B$37</f>
        <v>PFDoA</v>
      </c>
      <c r="I573" s="2" t="str">
        <f>'PFAS Properties'!$C$37</f>
        <v>PFCA</v>
      </c>
      <c r="J573" s="2" t="str">
        <f>'PFAS Properties'!$D$37</f>
        <v>C12HF23O2</v>
      </c>
      <c r="K573" s="25">
        <f>'PFAS Properties'!$P$37</f>
        <v>613.96079999999995</v>
      </c>
      <c r="L573" s="2">
        <f>'PFAS Properties'!$X$37</f>
        <v>-0.2</v>
      </c>
      <c r="M573" s="2" t="str">
        <f>'PFAS Properties'!$Y$37</f>
        <v>-</v>
      </c>
      <c r="N573" s="33">
        <v>0</v>
      </c>
      <c r="O573" s="33">
        <v>0</v>
      </c>
      <c r="P573" s="33">
        <v>0</v>
      </c>
      <c r="Q573" s="33">
        <f t="shared" si="226"/>
        <v>0.99999774680374132</v>
      </c>
      <c r="R573" s="33">
        <v>0</v>
      </c>
      <c r="S573" s="33">
        <f t="shared" si="227"/>
        <v>2.2531962587246622E-6</v>
      </c>
      <c r="T573" s="8">
        <f t="shared" si="228"/>
        <v>1</v>
      </c>
      <c r="U573" s="33">
        <f t="shared" si="245"/>
        <v>0</v>
      </c>
      <c r="V573" s="33">
        <f t="shared" si="246"/>
        <v>-0.99999774680374132</v>
      </c>
      <c r="W573" s="33">
        <f t="shared" si="247"/>
        <v>612.96080225319622</v>
      </c>
      <c r="X573" s="33">
        <v>96485</v>
      </c>
      <c r="Y573" s="16">
        <f t="shared" si="248"/>
        <v>-157.40775306624573</v>
      </c>
      <c r="Z573" s="16">
        <v>12</v>
      </c>
      <c r="AA573" s="16">
        <v>23</v>
      </c>
      <c r="AB573" s="8">
        <f t="shared" si="249"/>
        <v>0.32951945080091533</v>
      </c>
      <c r="AC573" s="16">
        <f t="shared" si="250"/>
        <v>71.177182647491506</v>
      </c>
      <c r="AD573" s="20">
        <f>'PFAS Properties'!$W$37</f>
        <v>11</v>
      </c>
      <c r="AE573" s="8">
        <f>'PFAS Properties'!$S$37</f>
        <v>-0.88605664769316317</v>
      </c>
      <c r="AF573" s="15">
        <f>'PFAS Properties'!$V$37</f>
        <v>7.6</v>
      </c>
      <c r="AG573" s="124">
        <v>5.4471999999999996</v>
      </c>
      <c r="AH573" s="70" t="s">
        <v>752</v>
      </c>
      <c r="AI573" s="1" t="s">
        <v>661</v>
      </c>
      <c r="AJ573" s="1" t="s">
        <v>661</v>
      </c>
      <c r="AK573" s="1" t="s">
        <v>661</v>
      </c>
      <c r="AL573" s="1" t="s">
        <v>661</v>
      </c>
      <c r="AM573" s="1" t="s">
        <v>661</v>
      </c>
      <c r="AN573" s="1" t="s">
        <v>661</v>
      </c>
      <c r="AO573" s="1" t="s">
        <v>661</v>
      </c>
      <c r="AP573" s="132">
        <v>7.3</v>
      </c>
      <c r="AQ573" s="1" t="s">
        <v>661</v>
      </c>
      <c r="AR573" s="4">
        <v>48.9</v>
      </c>
      <c r="AS573" s="4">
        <v>26.9</v>
      </c>
      <c r="AT573" s="4">
        <v>24.2</v>
      </c>
      <c r="AU573" s="1" t="s">
        <v>661</v>
      </c>
      <c r="AV573" s="16">
        <f>SUM(AR573:AT573)</f>
        <v>100</v>
      </c>
      <c r="AW573" s="27">
        <v>2.2000000000000002</v>
      </c>
      <c r="AX573" s="5">
        <f t="shared" si="239"/>
        <v>2.2000000000000002E-2</v>
      </c>
      <c r="AY573" s="1" t="s">
        <v>184</v>
      </c>
      <c r="AZ573" s="1">
        <f>0.25/0.01</f>
        <v>25</v>
      </c>
      <c r="BA573" s="16" t="s">
        <v>55</v>
      </c>
      <c r="BB573" s="1">
        <v>0</v>
      </c>
      <c r="BC573" s="1">
        <v>100</v>
      </c>
      <c r="BD573" s="24">
        <v>77.5</v>
      </c>
      <c r="BE573" s="16">
        <f t="shared" si="251"/>
        <v>3522.7272727272725</v>
      </c>
      <c r="BF573" s="16">
        <f t="shared" si="252"/>
        <v>3.546879021684104</v>
      </c>
      <c r="BG573" s="8">
        <f t="shared" si="235"/>
        <v>1.8893017025063104</v>
      </c>
      <c r="BH573" s="1" t="s">
        <v>819</v>
      </c>
      <c r="BI573" s="1"/>
      <c r="BJ573" s="2"/>
      <c r="BK573" s="1"/>
      <c r="BL573" s="1"/>
      <c r="BM573" s="7"/>
      <c r="BN573" s="7"/>
      <c r="BO573" s="1"/>
      <c r="BP573" s="11"/>
      <c r="BQ573" s="11"/>
    </row>
    <row r="574" spans="1:69" x14ac:dyDescent="0.3">
      <c r="A574" s="20">
        <v>586</v>
      </c>
      <c r="B574" s="2" t="s">
        <v>181</v>
      </c>
      <c r="C574" s="2">
        <v>2020</v>
      </c>
      <c r="D574" s="2" t="s">
        <v>203</v>
      </c>
      <c r="E574" s="10" t="s">
        <v>787</v>
      </c>
      <c r="F574" s="20" t="s">
        <v>29</v>
      </c>
      <c r="G574" s="2" t="s">
        <v>62</v>
      </c>
      <c r="H574" s="2" t="str">
        <f>'PFAS Properties'!$B$37</f>
        <v>PFDoA</v>
      </c>
      <c r="I574" s="2" t="str">
        <f>'PFAS Properties'!$C$37</f>
        <v>PFCA</v>
      </c>
      <c r="J574" s="2" t="str">
        <f>'PFAS Properties'!$D$37</f>
        <v>C12HF23O2</v>
      </c>
      <c r="K574" s="25">
        <f>'PFAS Properties'!$P$37</f>
        <v>613.96079999999995</v>
      </c>
      <c r="L574" s="2">
        <f>'PFAS Properties'!$X$37</f>
        <v>-0.2</v>
      </c>
      <c r="M574" s="2" t="str">
        <f>'PFAS Properties'!$Y$37</f>
        <v>-</v>
      </c>
      <c r="N574" s="33">
        <v>0</v>
      </c>
      <c r="O574" s="33">
        <v>0</v>
      </c>
      <c r="P574" s="33">
        <v>0</v>
      </c>
      <c r="Q574" s="33">
        <f t="shared" si="226"/>
        <v>0.99999998004737722</v>
      </c>
      <c r="R574" s="33">
        <v>0</v>
      </c>
      <c r="S574" s="33">
        <f t="shared" si="227"/>
        <v>1.995262275158161E-8</v>
      </c>
      <c r="T574" s="8">
        <f t="shared" si="228"/>
        <v>1</v>
      </c>
      <c r="U574" s="33">
        <f t="shared" si="245"/>
        <v>0</v>
      </c>
      <c r="V574" s="33">
        <f t="shared" si="246"/>
        <v>-0.99999998004737722</v>
      </c>
      <c r="W574" s="33">
        <f t="shared" si="247"/>
        <v>612.96080001995256</v>
      </c>
      <c r="X574" s="33">
        <v>96485</v>
      </c>
      <c r="Y574" s="16">
        <f t="shared" si="248"/>
        <v>-157.40810517039668</v>
      </c>
      <c r="Z574" s="16">
        <v>12</v>
      </c>
      <c r="AA574" s="16">
        <v>23</v>
      </c>
      <c r="AB574" s="8">
        <f t="shared" si="249"/>
        <v>0.32951945080091533</v>
      </c>
      <c r="AC574" s="16">
        <f t="shared" si="250"/>
        <v>71.177182647491506</v>
      </c>
      <c r="AD574" s="20">
        <f>'PFAS Properties'!$W$37</f>
        <v>11</v>
      </c>
      <c r="AE574" s="8">
        <f>'PFAS Properties'!$S$37</f>
        <v>-0.88605664769316317</v>
      </c>
      <c r="AF574" s="15">
        <f>'PFAS Properties'!$V$37</f>
        <v>7.6</v>
      </c>
      <c r="AG574" s="24">
        <v>7.5</v>
      </c>
      <c r="AH574" s="2" t="s">
        <v>183</v>
      </c>
      <c r="AI574" s="2" t="s">
        <v>661</v>
      </c>
      <c r="AJ574" s="2" t="s">
        <v>661</v>
      </c>
      <c r="AK574" s="2" t="s">
        <v>661</v>
      </c>
      <c r="AL574" s="2" t="s">
        <v>661</v>
      </c>
      <c r="AM574" s="2" t="s">
        <v>661</v>
      </c>
      <c r="AN574" s="2" t="s">
        <v>661</v>
      </c>
      <c r="AO574" s="2" t="s">
        <v>661</v>
      </c>
      <c r="AP574" s="16">
        <v>41.4</v>
      </c>
      <c r="AQ574" s="2" t="s">
        <v>661</v>
      </c>
      <c r="AR574" s="16">
        <v>16.899999999999999</v>
      </c>
      <c r="AS574" s="16">
        <v>17.5</v>
      </c>
      <c r="AT574" s="16">
        <v>65.599999999999994</v>
      </c>
      <c r="AU574" s="2" t="s">
        <v>661</v>
      </c>
      <c r="AV574" s="16">
        <f t="shared" ref="AV574:AV586" si="255">SUM(AR574:AT574)</f>
        <v>100</v>
      </c>
      <c r="AW574" s="18">
        <v>0.7</v>
      </c>
      <c r="AX574" s="13">
        <v>6.9999999999999993E-3</v>
      </c>
      <c r="AY574" s="13" t="s">
        <v>184</v>
      </c>
      <c r="AZ574" s="16">
        <v>100</v>
      </c>
      <c r="BA574" s="16" t="s">
        <v>55</v>
      </c>
      <c r="BB574" s="16">
        <v>5</v>
      </c>
      <c r="BC574" s="16" t="s">
        <v>55</v>
      </c>
      <c r="BD574" s="28">
        <v>820.29</v>
      </c>
      <c r="BE574" s="16">
        <f t="shared" si="251"/>
        <v>117184.28571428572</v>
      </c>
      <c r="BF574" s="8">
        <f t="shared" si="252"/>
        <v>5.0688693771672266</v>
      </c>
      <c r="BG574" s="8">
        <f t="shared" si="235"/>
        <v>2.9139674171814831</v>
      </c>
      <c r="BH574" s="5" t="s">
        <v>841</v>
      </c>
      <c r="BI574" s="5"/>
      <c r="BJ574" s="13"/>
      <c r="BK574" s="5"/>
      <c r="BL574" s="5"/>
      <c r="BM574" s="21"/>
      <c r="BN574" s="21"/>
      <c r="BO574" s="1"/>
      <c r="BP574" s="11"/>
      <c r="BQ574" s="11"/>
    </row>
    <row r="575" spans="1:69" x14ac:dyDescent="0.3">
      <c r="A575" s="20">
        <v>587</v>
      </c>
      <c r="B575" s="2" t="s">
        <v>181</v>
      </c>
      <c r="C575" s="2">
        <v>2020</v>
      </c>
      <c r="D575" s="2" t="s">
        <v>203</v>
      </c>
      <c r="E575" s="10" t="s">
        <v>787</v>
      </c>
      <c r="F575" s="20" t="s">
        <v>29</v>
      </c>
      <c r="G575" s="2" t="s">
        <v>57</v>
      </c>
      <c r="H575" s="2" t="str">
        <f>'PFAS Properties'!$B$37</f>
        <v>PFDoA</v>
      </c>
      <c r="I575" s="2" t="str">
        <f>'PFAS Properties'!$C$37</f>
        <v>PFCA</v>
      </c>
      <c r="J575" s="2" t="str">
        <f>'PFAS Properties'!$D$37</f>
        <v>C12HF23O2</v>
      </c>
      <c r="K575" s="25">
        <f>'PFAS Properties'!$P$37</f>
        <v>613.96079999999995</v>
      </c>
      <c r="L575" s="2">
        <f>'PFAS Properties'!$X$37</f>
        <v>-0.2</v>
      </c>
      <c r="M575" s="2" t="str">
        <f>'PFAS Properties'!$Y$37</f>
        <v>-</v>
      </c>
      <c r="N575" s="33">
        <v>0</v>
      </c>
      <c r="O575" s="33">
        <v>0</v>
      </c>
      <c r="P575" s="33">
        <v>0</v>
      </c>
      <c r="Q575" s="33">
        <f t="shared" si="226"/>
        <v>0.99999990000001004</v>
      </c>
      <c r="R575" s="33">
        <v>0</v>
      </c>
      <c r="S575" s="33">
        <f t="shared" si="227"/>
        <v>9.9999990000001005E-8</v>
      </c>
      <c r="T575" s="8">
        <f t="shared" si="228"/>
        <v>1</v>
      </c>
      <c r="U575" s="33">
        <f t="shared" si="245"/>
        <v>0</v>
      </c>
      <c r="V575" s="33">
        <f t="shared" si="246"/>
        <v>-0.99999990000001004</v>
      </c>
      <c r="W575" s="33">
        <f t="shared" si="247"/>
        <v>612.96080010000003</v>
      </c>
      <c r="X575" s="33">
        <v>96485</v>
      </c>
      <c r="Y575" s="16">
        <f t="shared" si="248"/>
        <v>-157.4080925497359</v>
      </c>
      <c r="Z575" s="16">
        <v>12</v>
      </c>
      <c r="AA575" s="16">
        <v>23</v>
      </c>
      <c r="AB575" s="8">
        <f t="shared" si="249"/>
        <v>0.32951945080091533</v>
      </c>
      <c r="AC575" s="16">
        <f t="shared" si="250"/>
        <v>71.177182647491506</v>
      </c>
      <c r="AD575" s="20">
        <f>'PFAS Properties'!$W$37</f>
        <v>11</v>
      </c>
      <c r="AE575" s="8">
        <f>'PFAS Properties'!$S$37</f>
        <v>-0.88605664769316317</v>
      </c>
      <c r="AF575" s="15">
        <f>'PFAS Properties'!$V$37</f>
        <v>7.6</v>
      </c>
      <c r="AG575" s="24">
        <v>6.8</v>
      </c>
      <c r="AH575" s="2" t="s">
        <v>183</v>
      </c>
      <c r="AI575" s="2" t="s">
        <v>661</v>
      </c>
      <c r="AJ575" s="2" t="s">
        <v>661</v>
      </c>
      <c r="AK575" s="2" t="s">
        <v>661</v>
      </c>
      <c r="AL575" s="2" t="s">
        <v>661</v>
      </c>
      <c r="AM575" s="2" t="s">
        <v>661</v>
      </c>
      <c r="AN575" s="2" t="s">
        <v>661</v>
      </c>
      <c r="AO575" s="2" t="s">
        <v>661</v>
      </c>
      <c r="AP575" s="16">
        <v>7.1</v>
      </c>
      <c r="AQ575" s="2" t="s">
        <v>661</v>
      </c>
      <c r="AR575" s="16">
        <v>48.9</v>
      </c>
      <c r="AS575" s="16">
        <v>27</v>
      </c>
      <c r="AT575" s="16">
        <v>24.2</v>
      </c>
      <c r="AU575" s="2" t="s">
        <v>661</v>
      </c>
      <c r="AV575" s="16">
        <f t="shared" si="255"/>
        <v>100.10000000000001</v>
      </c>
      <c r="AW575" s="18">
        <v>0.37</v>
      </c>
      <c r="AX575" s="13">
        <v>3.7000000000000002E-3</v>
      </c>
      <c r="AY575" s="13" t="s">
        <v>184</v>
      </c>
      <c r="AZ575" s="16">
        <v>100</v>
      </c>
      <c r="BA575" s="16" t="s">
        <v>55</v>
      </c>
      <c r="BB575" s="16">
        <v>5</v>
      </c>
      <c r="BC575" s="16" t="s">
        <v>55</v>
      </c>
      <c r="BD575" s="28">
        <v>293.56</v>
      </c>
      <c r="BE575" s="16">
        <f t="shared" si="251"/>
        <v>79340.540540540533</v>
      </c>
      <c r="BF575" s="8">
        <f t="shared" si="252"/>
        <v>4.8994951549605963</v>
      </c>
      <c r="BG575" s="8">
        <f t="shared" si="235"/>
        <v>2.4676968790275913</v>
      </c>
      <c r="BH575" s="5" t="s">
        <v>841</v>
      </c>
      <c r="BI575" s="5"/>
      <c r="BJ575" s="13"/>
      <c r="BK575" s="5"/>
      <c r="BL575" s="5"/>
      <c r="BM575" s="21"/>
      <c r="BN575" s="21"/>
      <c r="BO575" s="1"/>
      <c r="BP575" s="11"/>
      <c r="BQ575" s="11"/>
    </row>
    <row r="576" spans="1:69" x14ac:dyDescent="0.3">
      <c r="A576" s="20">
        <v>588</v>
      </c>
      <c r="B576" s="2" t="s">
        <v>181</v>
      </c>
      <c r="C576" s="2">
        <v>2020</v>
      </c>
      <c r="D576" s="2" t="s">
        <v>203</v>
      </c>
      <c r="E576" s="10" t="s">
        <v>787</v>
      </c>
      <c r="F576" s="20" t="s">
        <v>29</v>
      </c>
      <c r="G576" s="2" t="s">
        <v>58</v>
      </c>
      <c r="H576" s="2" t="str">
        <f>'PFAS Properties'!$B$37</f>
        <v>PFDoA</v>
      </c>
      <c r="I576" s="2" t="str">
        <f>'PFAS Properties'!$C$37</f>
        <v>PFCA</v>
      </c>
      <c r="J576" s="2" t="str">
        <f>'PFAS Properties'!$D$37</f>
        <v>C12HF23O2</v>
      </c>
      <c r="K576" s="25">
        <f>'PFAS Properties'!$P$37</f>
        <v>613.96079999999995</v>
      </c>
      <c r="L576" s="2">
        <f>'PFAS Properties'!$X$37</f>
        <v>-0.2</v>
      </c>
      <c r="M576" s="2" t="str">
        <f>'PFAS Properties'!$Y$37</f>
        <v>-</v>
      </c>
      <c r="N576" s="33">
        <v>0</v>
      </c>
      <c r="O576" s="33">
        <v>0</v>
      </c>
      <c r="P576" s="33">
        <v>0</v>
      </c>
      <c r="Q576" s="33">
        <f t="shared" si="226"/>
        <v>0.99999960189298798</v>
      </c>
      <c r="R576" s="33">
        <v>0</v>
      </c>
      <c r="S576" s="33">
        <f t="shared" si="227"/>
        <v>3.9810701206424001E-7</v>
      </c>
      <c r="T576" s="8">
        <f t="shared" si="228"/>
        <v>1</v>
      </c>
      <c r="U576" s="33">
        <f t="shared" si="245"/>
        <v>0</v>
      </c>
      <c r="V576" s="33">
        <f t="shared" si="246"/>
        <v>-0.99999960189298798</v>
      </c>
      <c r="W576" s="33">
        <f t="shared" si="247"/>
        <v>612.96080039810704</v>
      </c>
      <c r="X576" s="33">
        <v>96485</v>
      </c>
      <c r="Y576" s="16">
        <f t="shared" si="248"/>
        <v>-157.40804554871974</v>
      </c>
      <c r="Z576" s="16">
        <v>12</v>
      </c>
      <c r="AA576" s="16">
        <v>23</v>
      </c>
      <c r="AB576" s="8">
        <f t="shared" si="249"/>
        <v>0.32951945080091533</v>
      </c>
      <c r="AC576" s="16">
        <f t="shared" si="250"/>
        <v>71.177182647491506</v>
      </c>
      <c r="AD576" s="20">
        <f>'PFAS Properties'!$W$37</f>
        <v>11</v>
      </c>
      <c r="AE576" s="8">
        <f>'PFAS Properties'!$S$37</f>
        <v>-0.88605664769316317</v>
      </c>
      <c r="AF576" s="15">
        <f>'PFAS Properties'!$V$37</f>
        <v>7.6</v>
      </c>
      <c r="AG576" s="24">
        <v>6.2</v>
      </c>
      <c r="AH576" s="2" t="s">
        <v>183</v>
      </c>
      <c r="AI576" s="2" t="s">
        <v>661</v>
      </c>
      <c r="AJ576" s="2" t="s">
        <v>661</v>
      </c>
      <c r="AK576" s="2" t="s">
        <v>661</v>
      </c>
      <c r="AL576" s="2" t="s">
        <v>661</v>
      </c>
      <c r="AM576" s="2" t="s">
        <v>661</v>
      </c>
      <c r="AN576" s="2" t="s">
        <v>661</v>
      </c>
      <c r="AO576" s="2" t="s">
        <v>661</v>
      </c>
      <c r="AP576" s="16">
        <v>8</v>
      </c>
      <c r="AQ576" s="2" t="s">
        <v>661</v>
      </c>
      <c r="AR576" s="16">
        <v>51.44</v>
      </c>
      <c r="AS576" s="16">
        <v>10.17</v>
      </c>
      <c r="AT576" s="16">
        <v>38.380000000000003</v>
      </c>
      <c r="AU576" s="2" t="s">
        <v>661</v>
      </c>
      <c r="AV576" s="16">
        <f t="shared" si="255"/>
        <v>99.990000000000009</v>
      </c>
      <c r="AW576" s="18">
        <v>0.08</v>
      </c>
      <c r="AX576" s="13">
        <v>8.0000000000000004E-4</v>
      </c>
      <c r="AY576" s="8" t="s">
        <v>184</v>
      </c>
      <c r="AZ576" s="16">
        <v>100</v>
      </c>
      <c r="BA576" s="16" t="s">
        <v>55</v>
      </c>
      <c r="BB576" s="16">
        <v>5</v>
      </c>
      <c r="BC576" s="16" t="s">
        <v>55</v>
      </c>
      <c r="BD576" s="28">
        <v>929.03</v>
      </c>
      <c r="BE576" s="16">
        <f t="shared" si="251"/>
        <v>1161287.5</v>
      </c>
      <c r="BF576" s="8">
        <f t="shared" si="252"/>
        <v>6.0649397513548662</v>
      </c>
      <c r="BG576" s="8">
        <f t="shared" si="235"/>
        <v>2.9680297383468095</v>
      </c>
      <c r="BH576" s="5" t="s">
        <v>841</v>
      </c>
      <c r="BI576" s="5"/>
      <c r="BJ576" s="13"/>
      <c r="BK576" s="5"/>
      <c r="BL576" s="5"/>
      <c r="BM576" s="21"/>
      <c r="BN576" s="21"/>
      <c r="BO576" s="1"/>
      <c r="BP576" s="11"/>
      <c r="BQ576" s="11"/>
    </row>
    <row r="577" spans="1:69" x14ac:dyDescent="0.3">
      <c r="A577" s="20">
        <v>589</v>
      </c>
      <c r="B577" s="2" t="s">
        <v>181</v>
      </c>
      <c r="C577" s="2">
        <v>2020</v>
      </c>
      <c r="D577" s="2" t="s">
        <v>203</v>
      </c>
      <c r="E577" s="10" t="s">
        <v>787</v>
      </c>
      <c r="F577" s="20" t="s">
        <v>29</v>
      </c>
      <c r="G577" s="2" t="s">
        <v>59</v>
      </c>
      <c r="H577" s="2" t="str">
        <f>'PFAS Properties'!$B$37</f>
        <v>PFDoA</v>
      </c>
      <c r="I577" s="2" t="str">
        <f>'PFAS Properties'!$C$37</f>
        <v>PFCA</v>
      </c>
      <c r="J577" s="2" t="str">
        <f>'PFAS Properties'!$D$37</f>
        <v>C12HF23O2</v>
      </c>
      <c r="K577" s="25">
        <f>'PFAS Properties'!$P$37</f>
        <v>613.96079999999995</v>
      </c>
      <c r="L577" s="2">
        <f>'PFAS Properties'!$X$37</f>
        <v>-0.2</v>
      </c>
      <c r="M577" s="2" t="str">
        <f>'PFAS Properties'!$Y$37</f>
        <v>-</v>
      </c>
      <c r="N577" s="33">
        <v>0</v>
      </c>
      <c r="O577" s="33">
        <v>0</v>
      </c>
      <c r="P577" s="33">
        <v>0</v>
      </c>
      <c r="Q577" s="33">
        <f t="shared" si="226"/>
        <v>0.99999998741074603</v>
      </c>
      <c r="R577" s="33">
        <v>0</v>
      </c>
      <c r="S577" s="33">
        <f t="shared" si="227"/>
        <v>1.258925395945232E-8</v>
      </c>
      <c r="T577" s="8">
        <f t="shared" si="228"/>
        <v>1</v>
      </c>
      <c r="U577" s="33">
        <f t="shared" si="245"/>
        <v>0</v>
      </c>
      <c r="V577" s="33">
        <f t="shared" si="246"/>
        <v>-0.99999998741074603</v>
      </c>
      <c r="W577" s="33">
        <f t="shared" si="247"/>
        <v>612.96080001258917</v>
      </c>
      <c r="X577" s="33">
        <v>96485</v>
      </c>
      <c r="Y577" s="16">
        <f t="shared" si="248"/>
        <v>-157.40810633134157</v>
      </c>
      <c r="Z577" s="16">
        <v>12</v>
      </c>
      <c r="AA577" s="16">
        <v>23</v>
      </c>
      <c r="AB577" s="8">
        <f t="shared" si="249"/>
        <v>0.32951945080091533</v>
      </c>
      <c r="AC577" s="16">
        <f t="shared" si="250"/>
        <v>71.177182647491506</v>
      </c>
      <c r="AD577" s="20">
        <f>'PFAS Properties'!$W$37</f>
        <v>11</v>
      </c>
      <c r="AE577" s="8">
        <f>'PFAS Properties'!$S$37</f>
        <v>-0.88605664769316317</v>
      </c>
      <c r="AF577" s="15">
        <f>'PFAS Properties'!$V$37</f>
        <v>7.6</v>
      </c>
      <c r="AG577" s="24">
        <v>7.7</v>
      </c>
      <c r="AH577" s="2" t="s">
        <v>183</v>
      </c>
      <c r="AI577" s="2" t="s">
        <v>661</v>
      </c>
      <c r="AJ577" s="2" t="s">
        <v>661</v>
      </c>
      <c r="AK577" s="2" t="s">
        <v>661</v>
      </c>
      <c r="AL577" s="2" t="s">
        <v>661</v>
      </c>
      <c r="AM577" s="2" t="s">
        <v>661</v>
      </c>
      <c r="AN577" s="2" t="s">
        <v>661</v>
      </c>
      <c r="AO577" s="2" t="s">
        <v>661</v>
      </c>
      <c r="AP577" s="16">
        <v>4.8</v>
      </c>
      <c r="AQ577" s="2" t="s">
        <v>661</v>
      </c>
      <c r="AR577" s="16">
        <v>46</v>
      </c>
      <c r="AS577" s="16">
        <v>37</v>
      </c>
      <c r="AT577" s="16">
        <v>17</v>
      </c>
      <c r="AU577" s="2" t="s">
        <v>661</v>
      </c>
      <c r="AV577" s="16">
        <f t="shared" si="255"/>
        <v>100</v>
      </c>
      <c r="AW577" s="18">
        <v>0.25</v>
      </c>
      <c r="AX577" s="13">
        <v>2.5000000000000001E-3</v>
      </c>
      <c r="AY577" s="13" t="s">
        <v>184</v>
      </c>
      <c r="AZ577" s="16">
        <v>100</v>
      </c>
      <c r="BA577" s="16" t="s">
        <v>55</v>
      </c>
      <c r="BB577" s="16">
        <v>5</v>
      </c>
      <c r="BC577" s="16" t="s">
        <v>55</v>
      </c>
      <c r="BD577" s="28">
        <v>1167.4100000000001</v>
      </c>
      <c r="BE577" s="16">
        <f t="shared" si="251"/>
        <v>466964</v>
      </c>
      <c r="BF577" s="8">
        <f t="shared" si="252"/>
        <v>5.6692834004718984</v>
      </c>
      <c r="BG577" s="8">
        <f t="shared" si="235"/>
        <v>3.0672234091439359</v>
      </c>
      <c r="BH577" s="5" t="s">
        <v>841</v>
      </c>
      <c r="BI577" s="5"/>
      <c r="BJ577" s="13"/>
      <c r="BK577" s="5"/>
      <c r="BL577" s="5"/>
      <c r="BM577" s="21"/>
      <c r="BN577" s="21"/>
      <c r="BO577" s="1"/>
      <c r="BP577" s="11"/>
      <c r="BQ577" s="11"/>
    </row>
    <row r="578" spans="1:69" x14ac:dyDescent="0.3">
      <c r="A578" s="20">
        <v>590</v>
      </c>
      <c r="B578" s="2" t="s">
        <v>181</v>
      </c>
      <c r="C578" s="2">
        <v>2020</v>
      </c>
      <c r="D578" s="2" t="s">
        <v>203</v>
      </c>
      <c r="E578" s="10" t="s">
        <v>787</v>
      </c>
      <c r="F578" s="20" t="s">
        <v>29</v>
      </c>
      <c r="G578" s="2" t="s">
        <v>61</v>
      </c>
      <c r="H578" s="2" t="str">
        <f>'PFAS Properties'!$B$37</f>
        <v>PFDoA</v>
      </c>
      <c r="I578" s="2" t="str">
        <f>'PFAS Properties'!$C$37</f>
        <v>PFCA</v>
      </c>
      <c r="J578" s="2" t="str">
        <f>'PFAS Properties'!$D$37</f>
        <v>C12HF23O2</v>
      </c>
      <c r="K578" s="25">
        <f>'PFAS Properties'!$P$37</f>
        <v>613.96079999999995</v>
      </c>
      <c r="L578" s="2">
        <f>'PFAS Properties'!$X$37</f>
        <v>-0.2</v>
      </c>
      <c r="M578" s="2" t="str">
        <f>'PFAS Properties'!$Y$37</f>
        <v>-</v>
      </c>
      <c r="N578" s="33">
        <v>0</v>
      </c>
      <c r="O578" s="33">
        <v>0</v>
      </c>
      <c r="P578" s="33">
        <v>0</v>
      </c>
      <c r="Q578" s="33">
        <f t="shared" ref="Q578:Q638" si="256">(10^(AG578-L578))/(1+(10^(AG578-L578)))</f>
        <v>0.99999997488113634</v>
      </c>
      <c r="R578" s="33">
        <v>0</v>
      </c>
      <c r="S578" s="33">
        <f t="shared" ref="S578:S638" si="257">(1/(1+(10^(AG578-L578))))</f>
        <v>2.5118863684138424E-8</v>
      </c>
      <c r="T578" s="8">
        <f t="shared" si="228"/>
        <v>1</v>
      </c>
      <c r="U578" s="33">
        <f t="shared" si="245"/>
        <v>0</v>
      </c>
      <c r="V578" s="33">
        <f t="shared" si="246"/>
        <v>-0.99999997488113634</v>
      </c>
      <c r="W578" s="33">
        <f t="shared" si="247"/>
        <v>612.96080002511883</v>
      </c>
      <c r="X578" s="33">
        <v>96485</v>
      </c>
      <c r="Y578" s="16">
        <f t="shared" si="248"/>
        <v>-157.40810435586178</v>
      </c>
      <c r="Z578" s="16">
        <v>12</v>
      </c>
      <c r="AA578" s="16">
        <v>23</v>
      </c>
      <c r="AB578" s="8">
        <f t="shared" si="249"/>
        <v>0.32951945080091533</v>
      </c>
      <c r="AC578" s="16">
        <f t="shared" si="250"/>
        <v>71.177182647491506</v>
      </c>
      <c r="AD578" s="20">
        <f>'PFAS Properties'!$W$37</f>
        <v>11</v>
      </c>
      <c r="AE578" s="8">
        <f>'PFAS Properties'!$S$37</f>
        <v>-0.88605664769316317</v>
      </c>
      <c r="AF578" s="15">
        <f>'PFAS Properties'!$V$37</f>
        <v>7.6</v>
      </c>
      <c r="AG578" s="24">
        <v>7.4</v>
      </c>
      <c r="AH578" s="2" t="s">
        <v>183</v>
      </c>
      <c r="AI578" s="2" t="s">
        <v>661</v>
      </c>
      <c r="AJ578" s="2" t="s">
        <v>661</v>
      </c>
      <c r="AK578" s="2" t="s">
        <v>661</v>
      </c>
      <c r="AL578" s="2" t="s">
        <v>661</v>
      </c>
      <c r="AM578" s="2" t="s">
        <v>661</v>
      </c>
      <c r="AN578" s="2" t="s">
        <v>661</v>
      </c>
      <c r="AO578" s="2" t="s">
        <v>661</v>
      </c>
      <c r="AP578" s="16">
        <v>29.6</v>
      </c>
      <c r="AQ578" s="2" t="s">
        <v>661</v>
      </c>
      <c r="AR578" s="16">
        <v>39.799999999999997</v>
      </c>
      <c r="AS578" s="16">
        <v>7.7</v>
      </c>
      <c r="AT578" s="16">
        <v>52.5</v>
      </c>
      <c r="AU578" s="2" t="s">
        <v>661</v>
      </c>
      <c r="AV578" s="16">
        <f t="shared" si="255"/>
        <v>100</v>
      </c>
      <c r="AW578" s="18">
        <v>2.23</v>
      </c>
      <c r="AX578" s="13">
        <v>2.23E-2</v>
      </c>
      <c r="AY578" s="8" t="s">
        <v>184</v>
      </c>
      <c r="AZ578" s="16">
        <v>100</v>
      </c>
      <c r="BA578" s="16" t="s">
        <v>55</v>
      </c>
      <c r="BB578" s="16">
        <v>5</v>
      </c>
      <c r="BC578" s="16" t="s">
        <v>55</v>
      </c>
      <c r="BD578" s="28">
        <v>904.98</v>
      </c>
      <c r="BE578" s="16">
        <f t="shared" si="251"/>
        <v>40582.062780269058</v>
      </c>
      <c r="BF578" s="8">
        <f t="shared" si="252"/>
        <v>4.6083341183828814</v>
      </c>
      <c r="BG578" s="8">
        <f t="shared" si="235"/>
        <v>2.9566389814310416</v>
      </c>
      <c r="BH578" s="5" t="s">
        <v>841</v>
      </c>
      <c r="BI578" s="5"/>
      <c r="BJ578" s="13"/>
      <c r="BK578" s="5"/>
      <c r="BL578" s="5"/>
      <c r="BM578" s="21"/>
      <c r="BN578" s="21"/>
      <c r="BO578" s="1"/>
      <c r="BP578" s="11"/>
      <c r="BQ578" s="11"/>
    </row>
    <row r="579" spans="1:69" x14ac:dyDescent="0.3">
      <c r="A579" s="20">
        <v>591</v>
      </c>
      <c r="B579" s="2" t="s">
        <v>181</v>
      </c>
      <c r="C579" s="2">
        <v>2020</v>
      </c>
      <c r="D579" s="2" t="s">
        <v>203</v>
      </c>
      <c r="E579" s="10" t="s">
        <v>787</v>
      </c>
      <c r="F579" s="20" t="s">
        <v>29</v>
      </c>
      <c r="G579" s="2" t="s">
        <v>60</v>
      </c>
      <c r="H579" s="2" t="str">
        <f>'PFAS Properties'!$B$37</f>
        <v>PFDoA</v>
      </c>
      <c r="I579" s="2" t="str">
        <f>'PFAS Properties'!$C$37</f>
        <v>PFCA</v>
      </c>
      <c r="J579" s="2" t="str">
        <f>'PFAS Properties'!$D$37</f>
        <v>C12HF23O2</v>
      </c>
      <c r="K579" s="25">
        <f>'PFAS Properties'!$P$37</f>
        <v>613.96079999999995</v>
      </c>
      <c r="L579" s="2">
        <f>'PFAS Properties'!$X$37</f>
        <v>-0.2</v>
      </c>
      <c r="M579" s="2" t="str">
        <f>'PFAS Properties'!$Y$37</f>
        <v>-</v>
      </c>
      <c r="N579" s="33">
        <v>0</v>
      </c>
      <c r="O579" s="33">
        <v>0</v>
      </c>
      <c r="P579" s="33">
        <v>0</v>
      </c>
      <c r="Q579" s="33">
        <f t="shared" si="256"/>
        <v>0.99999998741074603</v>
      </c>
      <c r="R579" s="33">
        <v>0</v>
      </c>
      <c r="S579" s="33">
        <f t="shared" si="257"/>
        <v>1.258925395945232E-8</v>
      </c>
      <c r="T579" s="8">
        <f t="shared" si="228"/>
        <v>1</v>
      </c>
      <c r="U579" s="33">
        <f t="shared" si="245"/>
        <v>0</v>
      </c>
      <c r="V579" s="33">
        <f t="shared" si="246"/>
        <v>-0.99999998741074603</v>
      </c>
      <c r="W579" s="33">
        <f t="shared" si="247"/>
        <v>612.96080001258917</v>
      </c>
      <c r="X579" s="33">
        <v>96485</v>
      </c>
      <c r="Y579" s="16">
        <f t="shared" si="248"/>
        <v>-157.40810633134157</v>
      </c>
      <c r="Z579" s="16">
        <v>12</v>
      </c>
      <c r="AA579" s="16">
        <v>23</v>
      </c>
      <c r="AB579" s="8">
        <f t="shared" si="249"/>
        <v>0.32951945080091533</v>
      </c>
      <c r="AC579" s="16">
        <f t="shared" si="250"/>
        <v>71.177182647491506</v>
      </c>
      <c r="AD579" s="20">
        <f>'PFAS Properties'!$W$37</f>
        <v>11</v>
      </c>
      <c r="AE579" s="8">
        <f>'PFAS Properties'!$S$37</f>
        <v>-0.88605664769316317</v>
      </c>
      <c r="AF579" s="15">
        <f>'PFAS Properties'!$V$37</f>
        <v>7.6</v>
      </c>
      <c r="AG579" s="24">
        <v>7.7</v>
      </c>
      <c r="AH579" s="2" t="s">
        <v>183</v>
      </c>
      <c r="AI579" s="2" t="s">
        <v>661</v>
      </c>
      <c r="AJ579" s="2" t="s">
        <v>661</v>
      </c>
      <c r="AK579" s="2" t="s">
        <v>661</v>
      </c>
      <c r="AL579" s="2" t="s">
        <v>661</v>
      </c>
      <c r="AM579" s="2" t="s">
        <v>661</v>
      </c>
      <c r="AN579" s="2" t="s">
        <v>661</v>
      </c>
      <c r="AO579" s="2" t="s">
        <v>661</v>
      </c>
      <c r="AP579" s="16">
        <v>21.63</v>
      </c>
      <c r="AQ579" s="2" t="s">
        <v>661</v>
      </c>
      <c r="AR579" s="16">
        <v>70</v>
      </c>
      <c r="AS579" s="16">
        <v>11</v>
      </c>
      <c r="AT579" s="16">
        <v>19</v>
      </c>
      <c r="AU579" s="2" t="s">
        <v>661</v>
      </c>
      <c r="AV579" s="16">
        <f t="shared" si="255"/>
        <v>100</v>
      </c>
      <c r="AW579" s="18">
        <v>4.9000000000000004</v>
      </c>
      <c r="AX579" s="13">
        <v>4.9000000000000002E-2</v>
      </c>
      <c r="AY579" s="8" t="s">
        <v>184</v>
      </c>
      <c r="AZ579" s="16">
        <v>100</v>
      </c>
      <c r="BA579" s="16" t="s">
        <v>55</v>
      </c>
      <c r="BB579" s="16">
        <v>5</v>
      </c>
      <c r="BC579" s="16" t="s">
        <v>55</v>
      </c>
      <c r="BD579" s="28">
        <v>1391.13</v>
      </c>
      <c r="BE579" s="16">
        <f t="shared" si="251"/>
        <v>28390.408163265307</v>
      </c>
      <c r="BF579" s="8">
        <f t="shared" si="252"/>
        <v>4.4531716363363394</v>
      </c>
      <c r="BG579" s="8">
        <f t="shared" si="235"/>
        <v>3.1433677163648532</v>
      </c>
      <c r="BH579" s="5" t="s">
        <v>841</v>
      </c>
      <c r="BI579" s="5"/>
      <c r="BJ579" s="13"/>
      <c r="BK579" s="5"/>
      <c r="BL579" s="5"/>
      <c r="BM579" s="21"/>
      <c r="BN579" s="21"/>
      <c r="BO579" s="1"/>
      <c r="BP579" s="11"/>
      <c r="BQ579" s="11"/>
    </row>
    <row r="580" spans="1:69" x14ac:dyDescent="0.3">
      <c r="A580" s="20">
        <v>592</v>
      </c>
      <c r="B580" s="2" t="s">
        <v>181</v>
      </c>
      <c r="C580" s="2">
        <v>2020</v>
      </c>
      <c r="D580" s="2" t="s">
        <v>203</v>
      </c>
      <c r="E580" s="10" t="s">
        <v>787</v>
      </c>
      <c r="F580" s="20" t="s">
        <v>29</v>
      </c>
      <c r="G580" s="2" t="s">
        <v>77</v>
      </c>
      <c r="H580" s="2" t="str">
        <f>'PFAS Properties'!$B$37</f>
        <v>PFDoA</v>
      </c>
      <c r="I580" s="2" t="str">
        <f>'PFAS Properties'!$C$37</f>
        <v>PFCA</v>
      </c>
      <c r="J580" s="2" t="str">
        <f>'PFAS Properties'!$D$37</f>
        <v>C12HF23O2</v>
      </c>
      <c r="K580" s="25">
        <f>'PFAS Properties'!$P$37</f>
        <v>613.96079999999995</v>
      </c>
      <c r="L580" s="2">
        <f>'PFAS Properties'!$X$37</f>
        <v>-0.2</v>
      </c>
      <c r="M580" s="2" t="str">
        <f>'PFAS Properties'!$Y$37</f>
        <v>-</v>
      </c>
      <c r="N580" s="33">
        <v>0</v>
      </c>
      <c r="O580" s="33">
        <v>0</v>
      </c>
      <c r="P580" s="33">
        <v>0</v>
      </c>
      <c r="Q580" s="33">
        <f t="shared" si="256"/>
        <v>0.99999998741074603</v>
      </c>
      <c r="R580" s="33">
        <v>0</v>
      </c>
      <c r="S580" s="33">
        <f t="shared" si="257"/>
        <v>1.258925395945232E-8</v>
      </c>
      <c r="T580" s="8">
        <f t="shared" si="228"/>
        <v>1</v>
      </c>
      <c r="U580" s="33">
        <f t="shared" si="245"/>
        <v>0</v>
      </c>
      <c r="V580" s="33">
        <f t="shared" si="246"/>
        <v>-0.99999998741074603</v>
      </c>
      <c r="W580" s="33">
        <f t="shared" si="247"/>
        <v>612.96080001258917</v>
      </c>
      <c r="X580" s="33">
        <v>96485</v>
      </c>
      <c r="Y580" s="16">
        <f t="shared" si="248"/>
        <v>-157.40810633134157</v>
      </c>
      <c r="Z580" s="16">
        <v>12</v>
      </c>
      <c r="AA580" s="16">
        <v>23</v>
      </c>
      <c r="AB580" s="8">
        <f t="shared" si="249"/>
        <v>0.32951945080091533</v>
      </c>
      <c r="AC580" s="16">
        <f t="shared" si="250"/>
        <v>71.177182647491506</v>
      </c>
      <c r="AD580" s="20">
        <f>'PFAS Properties'!$W$37</f>
        <v>11</v>
      </c>
      <c r="AE580" s="8">
        <f>'PFAS Properties'!$S$37</f>
        <v>-0.88605664769316317</v>
      </c>
      <c r="AF580" s="15">
        <f>'PFAS Properties'!$V$37</f>
        <v>7.6</v>
      </c>
      <c r="AG580" s="24">
        <v>7.7</v>
      </c>
      <c r="AH580" s="2" t="s">
        <v>183</v>
      </c>
      <c r="AI580" s="2" t="s">
        <v>661</v>
      </c>
      <c r="AJ580" s="2" t="s">
        <v>661</v>
      </c>
      <c r="AK580" s="2" t="s">
        <v>661</v>
      </c>
      <c r="AL580" s="2" t="s">
        <v>661</v>
      </c>
      <c r="AM580" s="2" t="s">
        <v>661</v>
      </c>
      <c r="AN580" s="2" t="s">
        <v>661</v>
      </c>
      <c r="AO580" s="2" t="s">
        <v>661</v>
      </c>
      <c r="AP580" s="16">
        <v>7.8</v>
      </c>
      <c r="AQ580" s="2" t="s">
        <v>661</v>
      </c>
      <c r="AR580" s="16">
        <v>48.9</v>
      </c>
      <c r="AS580" s="16">
        <v>32.6</v>
      </c>
      <c r="AT580" s="16">
        <v>18.5</v>
      </c>
      <c r="AU580" s="2" t="s">
        <v>661</v>
      </c>
      <c r="AV580" s="16">
        <f t="shared" si="255"/>
        <v>100</v>
      </c>
      <c r="AW580" s="18">
        <v>0.13</v>
      </c>
      <c r="AX580" s="13">
        <v>1.2999999999999999E-3</v>
      </c>
      <c r="AY580" s="8" t="s">
        <v>184</v>
      </c>
      <c r="AZ580" s="16">
        <v>100</v>
      </c>
      <c r="BA580" s="16" t="s">
        <v>55</v>
      </c>
      <c r="BB580" s="16">
        <v>5</v>
      </c>
      <c r="BC580" s="16" t="s">
        <v>55</v>
      </c>
      <c r="BD580" s="28">
        <v>162.38999999999999</v>
      </c>
      <c r="BE580" s="16">
        <f t="shared" si="251"/>
        <v>124915.38461538461</v>
      </c>
      <c r="BF580" s="8">
        <f t="shared" si="252"/>
        <v>5.0966159295038871</v>
      </c>
      <c r="BG580" s="8">
        <f t="shared" si="235"/>
        <v>2.2105592818107236</v>
      </c>
      <c r="BH580" s="5" t="s">
        <v>841</v>
      </c>
      <c r="BI580" s="5"/>
      <c r="BJ580" s="13"/>
      <c r="BK580" s="5"/>
      <c r="BL580" s="5"/>
      <c r="BM580" s="21"/>
      <c r="BN580" s="21"/>
      <c r="BO580" s="1"/>
      <c r="BP580" s="11"/>
      <c r="BQ580" s="11"/>
    </row>
    <row r="581" spans="1:69" x14ac:dyDescent="0.3">
      <c r="A581" s="20">
        <v>593</v>
      </c>
      <c r="B581" s="2" t="s">
        <v>181</v>
      </c>
      <c r="C581" s="2">
        <v>2020</v>
      </c>
      <c r="D581" s="2" t="s">
        <v>203</v>
      </c>
      <c r="E581" s="10" t="s">
        <v>787</v>
      </c>
      <c r="F581" s="20" t="s">
        <v>29</v>
      </c>
      <c r="G581" s="2" t="s">
        <v>182</v>
      </c>
      <c r="H581" s="2" t="str">
        <f>'PFAS Properties'!$B$37</f>
        <v>PFDoA</v>
      </c>
      <c r="I581" s="2" t="str">
        <f>'PFAS Properties'!$C$37</f>
        <v>PFCA</v>
      </c>
      <c r="J581" s="2" t="str">
        <f>'PFAS Properties'!$D$37</f>
        <v>C12HF23O2</v>
      </c>
      <c r="K581" s="25">
        <f>'PFAS Properties'!$P$37</f>
        <v>613.96079999999995</v>
      </c>
      <c r="L581" s="2">
        <f>'PFAS Properties'!$X$37</f>
        <v>-0.2</v>
      </c>
      <c r="M581" s="2" t="str">
        <f>'PFAS Properties'!$Y$37</f>
        <v>-</v>
      </c>
      <c r="N581" s="33">
        <v>0</v>
      </c>
      <c r="O581" s="33">
        <v>0</v>
      </c>
      <c r="P581" s="33">
        <v>0</v>
      </c>
      <c r="Q581" s="33">
        <f t="shared" si="256"/>
        <v>0.99999998004737722</v>
      </c>
      <c r="R581" s="33">
        <v>0</v>
      </c>
      <c r="S581" s="33">
        <f t="shared" si="257"/>
        <v>1.995262275158161E-8</v>
      </c>
      <c r="T581" s="8">
        <f t="shared" si="228"/>
        <v>1</v>
      </c>
      <c r="U581" s="33">
        <f t="shared" si="245"/>
        <v>0</v>
      </c>
      <c r="V581" s="33">
        <f t="shared" si="246"/>
        <v>-0.99999998004737722</v>
      </c>
      <c r="W581" s="33">
        <f t="shared" si="247"/>
        <v>612.96080001995256</v>
      </c>
      <c r="X581" s="33">
        <v>96485</v>
      </c>
      <c r="Y581" s="16">
        <f t="shared" si="248"/>
        <v>-157.40810517039668</v>
      </c>
      <c r="Z581" s="16">
        <v>12</v>
      </c>
      <c r="AA581" s="16">
        <v>23</v>
      </c>
      <c r="AB581" s="8">
        <f t="shared" si="249"/>
        <v>0.32951945080091533</v>
      </c>
      <c r="AC581" s="16">
        <f t="shared" si="250"/>
        <v>71.177182647491506</v>
      </c>
      <c r="AD581" s="20">
        <f>'PFAS Properties'!$W$37</f>
        <v>11</v>
      </c>
      <c r="AE581" s="8">
        <f>'PFAS Properties'!$S$37</f>
        <v>-0.88605664769316317</v>
      </c>
      <c r="AF581" s="15">
        <f>'PFAS Properties'!$V$37</f>
        <v>7.6</v>
      </c>
      <c r="AG581" s="24">
        <v>7.5</v>
      </c>
      <c r="AH581" s="2" t="s">
        <v>183</v>
      </c>
      <c r="AI581" s="2" t="s">
        <v>661</v>
      </c>
      <c r="AJ581" s="2" t="s">
        <v>661</v>
      </c>
      <c r="AK581" s="2" t="s">
        <v>661</v>
      </c>
      <c r="AL581" s="2" t="s">
        <v>661</v>
      </c>
      <c r="AM581" s="2" t="s">
        <v>661</v>
      </c>
      <c r="AN581" s="2" t="s">
        <v>661</v>
      </c>
      <c r="AO581" s="2" t="s">
        <v>661</v>
      </c>
      <c r="AP581" s="16">
        <v>2.2799999999999998</v>
      </c>
      <c r="AQ581" s="2" t="s">
        <v>661</v>
      </c>
      <c r="AR581" s="16">
        <v>93</v>
      </c>
      <c r="AS581" s="16">
        <v>1</v>
      </c>
      <c r="AT581" s="16">
        <v>5</v>
      </c>
      <c r="AU581" s="2" t="s">
        <v>661</v>
      </c>
      <c r="AV581" s="16">
        <f t="shared" si="255"/>
        <v>99</v>
      </c>
      <c r="AW581" s="18">
        <v>0.4</v>
      </c>
      <c r="AX581" s="13">
        <v>4.0000000000000001E-3</v>
      </c>
      <c r="AY581" s="8" t="s">
        <v>184</v>
      </c>
      <c r="AZ581" s="16">
        <v>100</v>
      </c>
      <c r="BA581" s="16" t="s">
        <v>55</v>
      </c>
      <c r="BB581" s="16">
        <v>5</v>
      </c>
      <c r="BC581" s="16" t="s">
        <v>55</v>
      </c>
      <c r="BD581" s="28">
        <v>93.05</v>
      </c>
      <c r="BE581" s="16">
        <f t="shared" si="251"/>
        <v>23262.5</v>
      </c>
      <c r="BF581" s="8">
        <f t="shared" si="252"/>
        <v>4.366656386138823</v>
      </c>
      <c r="BG581" s="8">
        <f t="shared" si="235"/>
        <v>1.9687163774667857</v>
      </c>
      <c r="BH581" s="5" t="s">
        <v>841</v>
      </c>
      <c r="BI581" s="5"/>
      <c r="BJ581" s="13"/>
      <c r="BK581" s="5"/>
      <c r="BL581" s="5"/>
      <c r="BM581" s="21"/>
      <c r="BN581" s="21"/>
      <c r="BO581" s="1"/>
      <c r="BP581" s="11"/>
      <c r="BQ581" s="11"/>
    </row>
    <row r="582" spans="1:69" s="14" customFormat="1" x14ac:dyDescent="0.3">
      <c r="A582" s="20">
        <v>594</v>
      </c>
      <c r="B582" s="2" t="s">
        <v>181</v>
      </c>
      <c r="C582" s="2">
        <v>2020</v>
      </c>
      <c r="D582" s="2" t="s">
        <v>203</v>
      </c>
      <c r="E582" s="10" t="s">
        <v>787</v>
      </c>
      <c r="F582" s="20" t="s">
        <v>29</v>
      </c>
      <c r="G582" s="2" t="s">
        <v>78</v>
      </c>
      <c r="H582" s="2" t="str">
        <f>'PFAS Properties'!$B$37</f>
        <v>PFDoA</v>
      </c>
      <c r="I582" s="2" t="str">
        <f>'PFAS Properties'!$C$37</f>
        <v>PFCA</v>
      </c>
      <c r="J582" s="2" t="str">
        <f>'PFAS Properties'!$D$37</f>
        <v>C12HF23O2</v>
      </c>
      <c r="K582" s="25">
        <f>'PFAS Properties'!$P$37</f>
        <v>613.96079999999995</v>
      </c>
      <c r="L582" s="2">
        <f>'PFAS Properties'!$X$37</f>
        <v>-0.2</v>
      </c>
      <c r="M582" s="2" t="str">
        <f>'PFAS Properties'!$Y$37</f>
        <v>-</v>
      </c>
      <c r="N582" s="33">
        <v>0</v>
      </c>
      <c r="O582" s="33">
        <v>0</v>
      </c>
      <c r="P582" s="33">
        <v>0</v>
      </c>
      <c r="Q582" s="33">
        <f t="shared" si="256"/>
        <v>0.99999994988127916</v>
      </c>
      <c r="R582" s="33">
        <v>0</v>
      </c>
      <c r="S582" s="33">
        <f t="shared" si="257"/>
        <v>5.011872085084086E-8</v>
      </c>
      <c r="T582" s="8">
        <f t="shared" si="228"/>
        <v>1</v>
      </c>
      <c r="U582" s="33">
        <f t="shared" si="245"/>
        <v>0</v>
      </c>
      <c r="V582" s="33">
        <f t="shared" si="246"/>
        <v>-0.99999994988127916</v>
      </c>
      <c r="W582" s="33">
        <f t="shared" si="247"/>
        <v>612.96080005011868</v>
      </c>
      <c r="X582" s="33">
        <v>96485</v>
      </c>
      <c r="Y582" s="16">
        <f t="shared" si="248"/>
        <v>-157.40810041426161</v>
      </c>
      <c r="Z582" s="16">
        <v>12</v>
      </c>
      <c r="AA582" s="16">
        <v>23</v>
      </c>
      <c r="AB582" s="8">
        <f t="shared" si="249"/>
        <v>0.32951945080091533</v>
      </c>
      <c r="AC582" s="16">
        <f t="shared" si="250"/>
        <v>71.177182647491506</v>
      </c>
      <c r="AD582" s="20">
        <f>'PFAS Properties'!$W$37</f>
        <v>11</v>
      </c>
      <c r="AE582" s="8">
        <f>'PFAS Properties'!$S$37</f>
        <v>-0.88605664769316317</v>
      </c>
      <c r="AF582" s="15">
        <f>'PFAS Properties'!$V$37</f>
        <v>7.6</v>
      </c>
      <c r="AG582" s="24">
        <v>7.1</v>
      </c>
      <c r="AH582" s="2" t="s">
        <v>183</v>
      </c>
      <c r="AI582" s="2" t="s">
        <v>661</v>
      </c>
      <c r="AJ582" s="2" t="s">
        <v>661</v>
      </c>
      <c r="AK582" s="2" t="s">
        <v>661</v>
      </c>
      <c r="AL582" s="2" t="s">
        <v>661</v>
      </c>
      <c r="AM582" s="2" t="s">
        <v>661</v>
      </c>
      <c r="AN582" s="2" t="s">
        <v>661</v>
      </c>
      <c r="AO582" s="2" t="s">
        <v>661</v>
      </c>
      <c r="AP582" s="16">
        <v>17.420000000000002</v>
      </c>
      <c r="AQ582" s="2" t="s">
        <v>661</v>
      </c>
      <c r="AR582" s="16">
        <v>48.86</v>
      </c>
      <c r="AS582" s="16">
        <v>16.05</v>
      </c>
      <c r="AT582" s="16">
        <v>35.090000000000003</v>
      </c>
      <c r="AU582" s="2" t="s">
        <v>661</v>
      </c>
      <c r="AV582" s="16">
        <f t="shared" si="255"/>
        <v>100</v>
      </c>
      <c r="AW582" s="18">
        <v>1.19</v>
      </c>
      <c r="AX582" s="13">
        <v>1.1899999999999999E-2</v>
      </c>
      <c r="AY582" s="8" t="s">
        <v>184</v>
      </c>
      <c r="AZ582" s="16">
        <v>100</v>
      </c>
      <c r="BA582" s="16" t="s">
        <v>55</v>
      </c>
      <c r="BB582" s="16">
        <v>5</v>
      </c>
      <c r="BC582" s="16" t="s">
        <v>55</v>
      </c>
      <c r="BD582" s="25">
        <v>1269.5899999999999</v>
      </c>
      <c r="BE582" s="16">
        <f t="shared" si="251"/>
        <v>106688.23529411765</v>
      </c>
      <c r="BF582" s="8">
        <f t="shared" si="252"/>
        <v>5.0281165316218077</v>
      </c>
      <c r="BG582" s="8">
        <f t="shared" si="235"/>
        <v>3.1036634930143383</v>
      </c>
      <c r="BH582" s="13" t="s">
        <v>841</v>
      </c>
      <c r="BI582" s="13"/>
      <c r="BJ582" s="13"/>
      <c r="BK582" s="13"/>
      <c r="BL582" s="13"/>
      <c r="BM582" s="17"/>
      <c r="BN582" s="17"/>
      <c r="BO582" s="2"/>
    </row>
    <row r="583" spans="1:69" s="14" customFormat="1" x14ac:dyDescent="0.3">
      <c r="A583" s="20">
        <v>595</v>
      </c>
      <c r="B583" s="2" t="s">
        <v>181</v>
      </c>
      <c r="C583" s="2">
        <v>2020</v>
      </c>
      <c r="D583" s="2" t="s">
        <v>203</v>
      </c>
      <c r="E583" s="10" t="s">
        <v>787</v>
      </c>
      <c r="F583" s="20" t="s">
        <v>29</v>
      </c>
      <c r="G583" s="2" t="s">
        <v>98</v>
      </c>
      <c r="H583" s="2" t="str">
        <f>'PFAS Properties'!$B$37</f>
        <v>PFDoA</v>
      </c>
      <c r="I583" s="2" t="str">
        <f>'PFAS Properties'!$C$37</f>
        <v>PFCA</v>
      </c>
      <c r="J583" s="2" t="str">
        <f>'PFAS Properties'!$D$37</f>
        <v>C12HF23O2</v>
      </c>
      <c r="K583" s="25">
        <f>'PFAS Properties'!$P$37</f>
        <v>613.96079999999995</v>
      </c>
      <c r="L583" s="2">
        <f>'PFAS Properties'!$X$37</f>
        <v>-0.2</v>
      </c>
      <c r="M583" s="2" t="str">
        <f>'PFAS Properties'!$Y$37</f>
        <v>-</v>
      </c>
      <c r="N583" s="33">
        <v>0</v>
      </c>
      <c r="O583" s="33">
        <v>0</v>
      </c>
      <c r="P583" s="33">
        <v>0</v>
      </c>
      <c r="Q583" s="33">
        <f t="shared" si="256"/>
        <v>0.99999974881141995</v>
      </c>
      <c r="R583" s="33">
        <v>0</v>
      </c>
      <c r="S583" s="33">
        <f t="shared" si="257"/>
        <v>2.5118858005523878E-7</v>
      </c>
      <c r="T583" s="8">
        <f t="shared" si="228"/>
        <v>1</v>
      </c>
      <c r="U583" s="33">
        <f t="shared" si="245"/>
        <v>0</v>
      </c>
      <c r="V583" s="33">
        <f t="shared" si="246"/>
        <v>-0.99999974881141995</v>
      </c>
      <c r="W583" s="33">
        <f t="shared" si="247"/>
        <v>612.96080025118852</v>
      </c>
      <c r="X583" s="33">
        <v>96485</v>
      </c>
      <c r="Y583" s="16">
        <f t="shared" si="248"/>
        <v>-157.40806871260079</v>
      </c>
      <c r="Z583" s="16">
        <v>12</v>
      </c>
      <c r="AA583" s="16">
        <v>23</v>
      </c>
      <c r="AB583" s="8">
        <f t="shared" si="249"/>
        <v>0.32951945080091533</v>
      </c>
      <c r="AC583" s="16">
        <f t="shared" si="250"/>
        <v>71.177182647491506</v>
      </c>
      <c r="AD583" s="20">
        <f>'PFAS Properties'!$W$37</f>
        <v>11</v>
      </c>
      <c r="AE583" s="8">
        <f>'PFAS Properties'!$S$37</f>
        <v>-0.88605664769316317</v>
      </c>
      <c r="AF583" s="15">
        <f>'PFAS Properties'!$V$37</f>
        <v>7.6</v>
      </c>
      <c r="AG583" s="24">
        <v>6.4</v>
      </c>
      <c r="AH583" s="2" t="s">
        <v>183</v>
      </c>
      <c r="AI583" s="2" t="s">
        <v>661</v>
      </c>
      <c r="AJ583" s="2" t="s">
        <v>661</v>
      </c>
      <c r="AK583" s="2" t="s">
        <v>661</v>
      </c>
      <c r="AL583" s="2" t="s">
        <v>661</v>
      </c>
      <c r="AM583" s="2" t="s">
        <v>661</v>
      </c>
      <c r="AN583" s="2" t="s">
        <v>661</v>
      </c>
      <c r="AO583" s="2" t="s">
        <v>661</v>
      </c>
      <c r="AP583" s="16">
        <v>16.54</v>
      </c>
      <c r="AQ583" s="2" t="s">
        <v>661</v>
      </c>
      <c r="AR583" s="16">
        <v>29.38</v>
      </c>
      <c r="AS583" s="16">
        <v>13.9</v>
      </c>
      <c r="AT583" s="16">
        <v>56.71</v>
      </c>
      <c r="AU583" s="2" t="s">
        <v>661</v>
      </c>
      <c r="AV583" s="16">
        <f t="shared" si="255"/>
        <v>99.990000000000009</v>
      </c>
      <c r="AW583" s="18">
        <v>0.17</v>
      </c>
      <c r="AX583" s="13">
        <v>1.7000000000000001E-3</v>
      </c>
      <c r="AY583" s="8" t="s">
        <v>184</v>
      </c>
      <c r="AZ583" s="16">
        <v>100</v>
      </c>
      <c r="BA583" s="16" t="s">
        <v>55</v>
      </c>
      <c r="BB583" s="16">
        <v>5</v>
      </c>
      <c r="BC583" s="16" t="s">
        <v>55</v>
      </c>
      <c r="BD583" s="25">
        <v>187.8</v>
      </c>
      <c r="BE583" s="16">
        <f t="shared" si="251"/>
        <v>110470.58823529411</v>
      </c>
      <c r="BF583" s="8">
        <f t="shared" si="252"/>
        <v>5.0432466665518181</v>
      </c>
      <c r="BG583" s="8">
        <f t="shared" si="235"/>
        <v>2.2736955879300922</v>
      </c>
      <c r="BH583" s="13" t="s">
        <v>841</v>
      </c>
      <c r="BI583" s="13"/>
      <c r="BJ583" s="13"/>
      <c r="BK583" s="13"/>
      <c r="BL583" s="13"/>
      <c r="BM583" s="17"/>
      <c r="BN583" s="17"/>
      <c r="BO583" s="2"/>
    </row>
    <row r="584" spans="1:69" s="14" customFormat="1" x14ac:dyDescent="0.3">
      <c r="A584" s="20">
        <v>596</v>
      </c>
      <c r="B584" s="2" t="s">
        <v>202</v>
      </c>
      <c r="C584" s="2">
        <v>2019</v>
      </c>
      <c r="D584" s="2" t="s">
        <v>199</v>
      </c>
      <c r="E584" s="10" t="s">
        <v>791</v>
      </c>
      <c r="F584" s="20" t="s">
        <v>29</v>
      </c>
      <c r="G584" s="2" t="s">
        <v>39</v>
      </c>
      <c r="H584" s="2" t="str">
        <f>'PFAS Properties'!$B$38</f>
        <v>PFTrA</v>
      </c>
      <c r="I584" s="2" t="str">
        <f>'PFAS Properties'!$C$38</f>
        <v>PFCA</v>
      </c>
      <c r="J584" s="2" t="str">
        <f>'PFAS Properties'!$D$38</f>
        <v>C13HF25O2</v>
      </c>
      <c r="K584" s="25">
        <f>'PFAS Properties'!$P$38</f>
        <v>663.95759999999996</v>
      </c>
      <c r="L584" s="2">
        <f>'PFAS Properties'!$X$38</f>
        <v>-0.2</v>
      </c>
      <c r="M584" s="2" t="str">
        <f>'PFAS Properties'!$Y$38</f>
        <v>-</v>
      </c>
      <c r="N584" s="33">
        <v>0</v>
      </c>
      <c r="O584" s="33">
        <v>0</v>
      </c>
      <c r="P584" s="33">
        <v>0</v>
      </c>
      <c r="Q584" s="33">
        <f t="shared" si="256"/>
        <v>0.9999964518786969</v>
      </c>
      <c r="R584" s="33">
        <v>0</v>
      </c>
      <c r="S584" s="33">
        <f t="shared" si="257"/>
        <v>3.5481213031263005E-6</v>
      </c>
      <c r="T584" s="8">
        <f t="shared" si="228"/>
        <v>1</v>
      </c>
      <c r="U584" s="33">
        <f t="shared" si="245"/>
        <v>0</v>
      </c>
      <c r="V584" s="33">
        <f t="shared" si="246"/>
        <v>-0.9999964518786969</v>
      </c>
      <c r="W584" s="33">
        <f t="shared" si="247"/>
        <v>662.95760354812126</v>
      </c>
      <c r="X584" s="33">
        <v>96485</v>
      </c>
      <c r="Y584" s="16">
        <f t="shared" si="248"/>
        <v>-145.53669366356797</v>
      </c>
      <c r="Z584" s="16">
        <v>13</v>
      </c>
      <c r="AA584" s="16">
        <v>25</v>
      </c>
      <c r="AB584" s="8">
        <f t="shared" si="249"/>
        <v>0.32842105263157895</v>
      </c>
      <c r="AC584" s="16">
        <f t="shared" si="250"/>
        <v>71.54071284069947</v>
      </c>
      <c r="AD584" s="20">
        <f>'PFAS Properties'!$W$38</f>
        <v>12</v>
      </c>
      <c r="AE584" s="8">
        <f>'PFAS Properties'!$S$38</f>
        <v>-1.7896814801737682</v>
      </c>
      <c r="AF584" s="15">
        <f>'PFAS Properties'!$V$38</f>
        <v>8.3000000000000007</v>
      </c>
      <c r="AG584" s="24">
        <v>5.25</v>
      </c>
      <c r="AH584" s="2" t="s">
        <v>661</v>
      </c>
      <c r="AI584" s="2" t="s">
        <v>661</v>
      </c>
      <c r="AJ584" s="2" t="s">
        <v>661</v>
      </c>
      <c r="AK584" s="2" t="s">
        <v>661</v>
      </c>
      <c r="AL584" s="2" t="s">
        <v>661</v>
      </c>
      <c r="AM584" s="2" t="s">
        <v>661</v>
      </c>
      <c r="AN584" s="2" t="s">
        <v>661</v>
      </c>
      <c r="AO584" s="2" t="s">
        <v>661</v>
      </c>
      <c r="AP584" s="71">
        <v>5.7023166666666656</v>
      </c>
      <c r="AQ584" s="70" t="s">
        <v>752</v>
      </c>
      <c r="AR584" s="16">
        <v>100</v>
      </c>
      <c r="AS584" s="16">
        <v>0</v>
      </c>
      <c r="AT584" s="16">
        <v>0</v>
      </c>
      <c r="AU584" s="2" t="s">
        <v>661</v>
      </c>
      <c r="AV584" s="16">
        <f t="shared" si="255"/>
        <v>100</v>
      </c>
      <c r="AW584" s="18">
        <v>0.4</v>
      </c>
      <c r="AX584" s="13">
        <f t="shared" ref="AX584:AX644" si="258">AW584/100</f>
        <v>4.0000000000000001E-3</v>
      </c>
      <c r="AY584" s="13" t="s">
        <v>658</v>
      </c>
      <c r="AZ584" s="16">
        <f>2/0.01</f>
        <v>200</v>
      </c>
      <c r="BA584" s="16" t="s">
        <v>55</v>
      </c>
      <c r="BB584" s="16">
        <v>1</v>
      </c>
      <c r="BC584" s="16">
        <v>1000</v>
      </c>
      <c r="BD584" s="25">
        <v>1535</v>
      </c>
      <c r="BE584" s="16">
        <f t="shared" si="251"/>
        <v>383750</v>
      </c>
      <c r="BF584" s="8">
        <f t="shared" si="252"/>
        <v>5.5840483884852432</v>
      </c>
      <c r="BG584" s="8">
        <f t="shared" si="235"/>
        <v>3.1861083798132053</v>
      </c>
      <c r="BH584" s="13" t="s">
        <v>272</v>
      </c>
      <c r="BI584" s="13"/>
      <c r="BJ584" s="13"/>
      <c r="BK584" s="17"/>
      <c r="BL584" s="17"/>
      <c r="BM584" s="13"/>
      <c r="BN584" s="13"/>
      <c r="BO584" s="2"/>
    </row>
    <row r="585" spans="1:69" s="14" customFormat="1" x14ac:dyDescent="0.3">
      <c r="A585" s="20">
        <v>597</v>
      </c>
      <c r="B585" s="2" t="s">
        <v>202</v>
      </c>
      <c r="C585" s="2">
        <v>2019</v>
      </c>
      <c r="D585" s="2" t="s">
        <v>199</v>
      </c>
      <c r="E585" s="10" t="s">
        <v>791</v>
      </c>
      <c r="F585" s="20" t="s">
        <v>29</v>
      </c>
      <c r="G585" s="2" t="s">
        <v>43</v>
      </c>
      <c r="H585" s="2" t="str">
        <f>'PFAS Properties'!$B$38</f>
        <v>PFTrA</v>
      </c>
      <c r="I585" s="2" t="str">
        <f>'PFAS Properties'!$C$38</f>
        <v>PFCA</v>
      </c>
      <c r="J585" s="2" t="str">
        <f>'PFAS Properties'!$D$38</f>
        <v>C13HF25O2</v>
      </c>
      <c r="K585" s="25">
        <f>'PFAS Properties'!$P$38</f>
        <v>663.95759999999996</v>
      </c>
      <c r="L585" s="2">
        <f>'PFAS Properties'!$X$38</f>
        <v>-0.2</v>
      </c>
      <c r="M585" s="2" t="str">
        <f>'PFAS Properties'!$Y$38</f>
        <v>-</v>
      </c>
      <c r="N585" s="33">
        <v>0</v>
      </c>
      <c r="O585" s="33">
        <v>0</v>
      </c>
      <c r="P585" s="33">
        <v>0</v>
      </c>
      <c r="Q585" s="33">
        <f t="shared" si="256"/>
        <v>0.99999865103893715</v>
      </c>
      <c r="R585" s="33">
        <v>0</v>
      </c>
      <c r="S585" s="33">
        <f t="shared" si="257"/>
        <v>1.3489610628932487E-6</v>
      </c>
      <c r="T585" s="8">
        <f t="shared" si="228"/>
        <v>1</v>
      </c>
      <c r="U585" s="33">
        <f t="shared" si="245"/>
        <v>0</v>
      </c>
      <c r="V585" s="33">
        <f t="shared" si="246"/>
        <v>-0.99999865103893715</v>
      </c>
      <c r="W585" s="33">
        <f t="shared" si="247"/>
        <v>662.95760134896102</v>
      </c>
      <c r="X585" s="33">
        <v>96485</v>
      </c>
      <c r="Y585" s="16">
        <f t="shared" si="248"/>
        <v>-145.53701420598858</v>
      </c>
      <c r="Z585" s="16">
        <v>13</v>
      </c>
      <c r="AA585" s="16">
        <v>25</v>
      </c>
      <c r="AB585" s="8">
        <f t="shared" si="249"/>
        <v>0.32842105263157895</v>
      </c>
      <c r="AC585" s="16">
        <f t="shared" si="250"/>
        <v>71.54071284069947</v>
      </c>
      <c r="AD585" s="20">
        <f>'PFAS Properties'!$W$38</f>
        <v>12</v>
      </c>
      <c r="AE585" s="8">
        <f>'PFAS Properties'!$S$38</f>
        <v>-1.7896814801737682</v>
      </c>
      <c r="AF585" s="15">
        <f>'PFAS Properties'!$V$38</f>
        <v>8.3000000000000007</v>
      </c>
      <c r="AG585" s="24">
        <v>5.67</v>
      </c>
      <c r="AH585" s="2" t="s">
        <v>661</v>
      </c>
      <c r="AI585" s="15" t="s">
        <v>661</v>
      </c>
      <c r="AJ585" s="16" t="s">
        <v>661</v>
      </c>
      <c r="AK585" s="2" t="s">
        <v>661</v>
      </c>
      <c r="AL585" s="15" t="s">
        <v>661</v>
      </c>
      <c r="AM585" s="16" t="s">
        <v>661</v>
      </c>
      <c r="AN585" s="2" t="s">
        <v>661</v>
      </c>
      <c r="AO585" s="2" t="s">
        <v>661</v>
      </c>
      <c r="AP585" s="71">
        <v>9.2037666666666649</v>
      </c>
      <c r="AQ585" s="70" t="s">
        <v>752</v>
      </c>
      <c r="AR585" s="16">
        <v>71</v>
      </c>
      <c r="AS585" s="16">
        <v>24</v>
      </c>
      <c r="AT585" s="16">
        <v>5</v>
      </c>
      <c r="AU585" s="2" t="s">
        <v>661</v>
      </c>
      <c r="AV585" s="16">
        <f t="shared" si="255"/>
        <v>100</v>
      </c>
      <c r="AW585" s="18">
        <v>0.93</v>
      </c>
      <c r="AX585" s="13">
        <f t="shared" si="258"/>
        <v>9.300000000000001E-3</v>
      </c>
      <c r="AY585" s="13" t="s">
        <v>658</v>
      </c>
      <c r="AZ585" s="16">
        <f>2/0.01</f>
        <v>200</v>
      </c>
      <c r="BA585" s="16" t="s">
        <v>55</v>
      </c>
      <c r="BB585" s="16">
        <v>1</v>
      </c>
      <c r="BC585" s="16">
        <v>1000</v>
      </c>
      <c r="BD585" s="25">
        <v>262</v>
      </c>
      <c r="BE585" s="16">
        <f t="shared" si="251"/>
        <v>28172.043010752684</v>
      </c>
      <c r="BF585" s="8">
        <f t="shared" si="252"/>
        <v>4.44981834276581</v>
      </c>
      <c r="BG585" s="8">
        <f t="shared" si="235"/>
        <v>2.4183012913197452</v>
      </c>
      <c r="BH585" s="13" t="s">
        <v>272</v>
      </c>
      <c r="BI585" s="13"/>
      <c r="BJ585" s="13"/>
      <c r="BK585" s="17"/>
      <c r="BL585" s="17"/>
      <c r="BM585" s="13"/>
      <c r="BN585" s="13"/>
      <c r="BO585" s="2"/>
    </row>
    <row r="586" spans="1:69" s="14" customFormat="1" x14ac:dyDescent="0.3">
      <c r="A586" s="20">
        <v>598</v>
      </c>
      <c r="B586" s="2" t="s">
        <v>195</v>
      </c>
      <c r="C586" s="2">
        <v>2018</v>
      </c>
      <c r="D586" s="2" t="s">
        <v>199</v>
      </c>
      <c r="E586" s="10" t="s">
        <v>795</v>
      </c>
      <c r="F586" s="20" t="s">
        <v>29</v>
      </c>
      <c r="G586" s="2" t="s">
        <v>47</v>
      </c>
      <c r="H586" s="2" t="str">
        <f>'PFAS Properties'!$B$38</f>
        <v>PFTrA</v>
      </c>
      <c r="I586" s="2" t="str">
        <f>'PFAS Properties'!$C$38</f>
        <v>PFCA</v>
      </c>
      <c r="J586" s="2" t="str">
        <f>'PFAS Properties'!$D$38</f>
        <v>C13HF25O2</v>
      </c>
      <c r="K586" s="25">
        <f>'PFAS Properties'!$P$38</f>
        <v>663.95759999999996</v>
      </c>
      <c r="L586" s="2">
        <f>'PFAS Properties'!$X$38</f>
        <v>-0.2</v>
      </c>
      <c r="M586" s="2" t="str">
        <f>'PFAS Properties'!$Y$38</f>
        <v>-</v>
      </c>
      <c r="N586" s="33">
        <v>0</v>
      </c>
      <c r="O586" s="33">
        <v>0</v>
      </c>
      <c r="P586" s="33">
        <v>0</v>
      </c>
      <c r="Q586" s="33">
        <f t="shared" si="256"/>
        <v>0.99998004777494953</v>
      </c>
      <c r="R586" s="33">
        <v>0</v>
      </c>
      <c r="S586" s="33">
        <f t="shared" si="257"/>
        <v>1.9952225050461341E-5</v>
      </c>
      <c r="T586" s="8">
        <f t="shared" si="228"/>
        <v>1</v>
      </c>
      <c r="U586" s="33">
        <f t="shared" si="245"/>
        <v>0</v>
      </c>
      <c r="V586" s="33">
        <f t="shared" si="246"/>
        <v>-0.99998004777494953</v>
      </c>
      <c r="W586" s="33">
        <f t="shared" si="247"/>
        <v>662.95761995222495</v>
      </c>
      <c r="X586" s="33">
        <v>96485</v>
      </c>
      <c r="Y586" s="16">
        <f t="shared" si="248"/>
        <v>-145.53430265500066</v>
      </c>
      <c r="Z586" s="16">
        <v>13</v>
      </c>
      <c r="AA586" s="16">
        <v>25</v>
      </c>
      <c r="AB586" s="8">
        <f t="shared" si="249"/>
        <v>0.32842105263157895</v>
      </c>
      <c r="AC586" s="16">
        <f t="shared" si="250"/>
        <v>71.54071284069947</v>
      </c>
      <c r="AD586" s="20">
        <f>'PFAS Properties'!$W$38</f>
        <v>12</v>
      </c>
      <c r="AE586" s="8">
        <f>'PFAS Properties'!$S$38</f>
        <v>-1.7896814801737682</v>
      </c>
      <c r="AF586" s="15">
        <f>'PFAS Properties'!$V$38</f>
        <v>8.3000000000000007</v>
      </c>
      <c r="AG586" s="24">
        <v>4.5</v>
      </c>
      <c r="AH586" s="2" t="s">
        <v>658</v>
      </c>
      <c r="AI586" s="8">
        <f>AJ586*55.845/1000</f>
        <v>5.8637250000000002E-2</v>
      </c>
      <c r="AJ586" s="16">
        <v>1.05</v>
      </c>
      <c r="AK586" s="8">
        <f>AI586/10</f>
        <v>5.8637250000000002E-3</v>
      </c>
      <c r="AL586" s="15">
        <f>AM586*26.98/1000</f>
        <v>0.18454320000000002</v>
      </c>
      <c r="AM586" s="16">
        <v>6.84</v>
      </c>
      <c r="AN586" s="8">
        <f>AL586/10</f>
        <v>1.8454320000000003E-2</v>
      </c>
      <c r="AO586" s="2" t="s">
        <v>48</v>
      </c>
      <c r="AP586" s="71">
        <v>21.496500000000001</v>
      </c>
      <c r="AQ586" s="70" t="s">
        <v>752</v>
      </c>
      <c r="AR586" s="71">
        <v>41.737499999999997</v>
      </c>
      <c r="AS586" s="71">
        <v>35.036999999999999</v>
      </c>
      <c r="AT586" s="71">
        <v>21.971</v>
      </c>
      <c r="AU586" s="70" t="s">
        <v>752</v>
      </c>
      <c r="AV586" s="16">
        <f t="shared" si="255"/>
        <v>98.745499999999993</v>
      </c>
      <c r="AW586" s="18">
        <v>45</v>
      </c>
      <c r="AX586" s="13">
        <f t="shared" si="258"/>
        <v>0.45</v>
      </c>
      <c r="AY586" s="8" t="s">
        <v>49</v>
      </c>
      <c r="AZ586" s="16">
        <f>0.45/0.04</f>
        <v>11.25</v>
      </c>
      <c r="BA586" s="16" t="s">
        <v>55</v>
      </c>
      <c r="BB586" s="16">
        <v>1.25</v>
      </c>
      <c r="BC586" s="16" t="s">
        <v>55</v>
      </c>
      <c r="BD586" s="25">
        <f>(10^(4.3)*AX586)</f>
        <v>8978.6804173599576</v>
      </c>
      <c r="BE586" s="16">
        <f t="shared" si="251"/>
        <v>19952.623149688796</v>
      </c>
      <c r="BF586" s="8">
        <f t="shared" si="252"/>
        <v>4.3</v>
      </c>
      <c r="BG586" s="8">
        <f t="shared" si="235"/>
        <v>3.9532125137753438</v>
      </c>
      <c r="BH586" s="2" t="s">
        <v>845</v>
      </c>
      <c r="BI586" s="2"/>
      <c r="BJ586" s="2"/>
      <c r="BK586" s="20"/>
      <c r="BL586" s="20"/>
      <c r="BM586" s="2"/>
      <c r="BN586" s="2"/>
      <c r="BO586" s="130"/>
    </row>
    <row r="587" spans="1:69" s="14" customFormat="1" x14ac:dyDescent="0.3">
      <c r="A587" s="20">
        <v>602</v>
      </c>
      <c r="B587" s="2" t="s">
        <v>202</v>
      </c>
      <c r="C587" s="2">
        <v>2019</v>
      </c>
      <c r="D587" s="2" t="s">
        <v>199</v>
      </c>
      <c r="E587" s="22" t="s">
        <v>791</v>
      </c>
      <c r="F587" s="20" t="s">
        <v>29</v>
      </c>
      <c r="G587" s="2" t="s">
        <v>39</v>
      </c>
      <c r="H587" s="2" t="str">
        <f>'PFAS Properties'!$B$39</f>
        <v>PFTeA</v>
      </c>
      <c r="I587" s="2" t="str">
        <f>'PFAS Properties'!$C$39</f>
        <v>PFCA</v>
      </c>
      <c r="J587" s="2" t="str">
        <f>'PFAS Properties'!$D$39</f>
        <v>C14HF27O2</v>
      </c>
      <c r="K587" s="25">
        <f>'PFAS Properties'!$P$39</f>
        <v>713.95439999999996</v>
      </c>
      <c r="L587" s="2">
        <f>'PFAS Properties'!$X$39</f>
        <v>-0.2</v>
      </c>
      <c r="M587" s="2" t="str">
        <f>'PFAS Properties'!$Y$39</f>
        <v>-</v>
      </c>
      <c r="N587" s="33">
        <v>0</v>
      </c>
      <c r="O587" s="33">
        <v>0</v>
      </c>
      <c r="P587" s="33">
        <v>0</v>
      </c>
      <c r="Q587" s="33">
        <f t="shared" si="256"/>
        <v>0.9999964518786969</v>
      </c>
      <c r="R587" s="33">
        <v>0</v>
      </c>
      <c r="S587" s="33">
        <f t="shared" si="257"/>
        <v>3.5481213031263005E-6</v>
      </c>
      <c r="T587" s="8">
        <f t="shared" ref="T587:T669" si="259">SUM(N587:S587)</f>
        <v>1</v>
      </c>
      <c r="U587" s="33">
        <f t="shared" si="245"/>
        <v>0</v>
      </c>
      <c r="V587" s="33">
        <f t="shared" si="246"/>
        <v>-0.9999964518786969</v>
      </c>
      <c r="W587" s="33">
        <f t="shared" si="247"/>
        <v>712.95440354812126</v>
      </c>
      <c r="X587" s="33">
        <v>96485</v>
      </c>
      <c r="Y587" s="16">
        <f t="shared" si="248"/>
        <v>-135.33075492534465</v>
      </c>
      <c r="Z587" s="16">
        <v>14</v>
      </c>
      <c r="AA587" s="16">
        <v>27</v>
      </c>
      <c r="AB587" s="8">
        <f t="shared" si="249"/>
        <v>0.32748538011695905</v>
      </c>
      <c r="AC587" s="16">
        <f t="shared" si="250"/>
        <v>71.853328447867256</v>
      </c>
      <c r="AD587" s="20">
        <f>'PFAS Properties'!$W$39</f>
        <v>13</v>
      </c>
      <c r="AE587" s="8">
        <f>'PFAS Properties'!$S$39</f>
        <v>-2.6937894918322383</v>
      </c>
      <c r="AF587" s="15">
        <f>'PFAS Properties'!$V$39</f>
        <v>9</v>
      </c>
      <c r="AG587" s="24">
        <v>5.25</v>
      </c>
      <c r="AH587" s="2" t="s">
        <v>661</v>
      </c>
      <c r="AI587" s="2" t="s">
        <v>661</v>
      </c>
      <c r="AJ587" s="2" t="s">
        <v>661</v>
      </c>
      <c r="AK587" s="2" t="s">
        <v>661</v>
      </c>
      <c r="AL587" s="2" t="s">
        <v>661</v>
      </c>
      <c r="AM587" s="2" t="s">
        <v>661</v>
      </c>
      <c r="AN587" s="2" t="s">
        <v>661</v>
      </c>
      <c r="AO587" s="2" t="s">
        <v>661</v>
      </c>
      <c r="AP587" s="71">
        <v>5.7023166666666656</v>
      </c>
      <c r="AQ587" s="70" t="s">
        <v>752</v>
      </c>
      <c r="AR587" s="16">
        <v>100</v>
      </c>
      <c r="AS587" s="16">
        <v>0</v>
      </c>
      <c r="AT587" s="16">
        <v>0</v>
      </c>
      <c r="AU587" s="2" t="s">
        <v>661</v>
      </c>
      <c r="AV587" s="16">
        <f t="shared" ref="AV587:AV615" si="260">SUM(AR587:AT587)</f>
        <v>100</v>
      </c>
      <c r="AW587" s="18">
        <v>0.4</v>
      </c>
      <c r="AX587" s="13">
        <f t="shared" si="258"/>
        <v>4.0000000000000001E-3</v>
      </c>
      <c r="AY587" s="13" t="s">
        <v>658</v>
      </c>
      <c r="AZ587" s="16">
        <f>2/0.01</f>
        <v>200</v>
      </c>
      <c r="BA587" s="16" t="s">
        <v>55</v>
      </c>
      <c r="BB587" s="16">
        <v>1</v>
      </c>
      <c r="BC587" s="16">
        <v>1000</v>
      </c>
      <c r="BD587" s="25">
        <v>3670</v>
      </c>
      <c r="BE587" s="16">
        <f t="shared" si="251"/>
        <v>917500</v>
      </c>
      <c r="BF587" s="8">
        <f t="shared" si="252"/>
        <v>5.9626060729241273</v>
      </c>
      <c r="BG587" s="8">
        <f t="shared" si="235"/>
        <v>3.5646660642520893</v>
      </c>
      <c r="BH587" s="13" t="s">
        <v>272</v>
      </c>
      <c r="BI587" s="13"/>
      <c r="BJ587" s="13"/>
      <c r="BK587" s="17"/>
      <c r="BL587" s="17"/>
      <c r="BM587" s="13"/>
      <c r="BN587" s="13"/>
      <c r="BO587" s="2"/>
    </row>
    <row r="588" spans="1:69" s="14" customFormat="1" x14ac:dyDescent="0.3">
      <c r="A588" s="20">
        <v>603</v>
      </c>
      <c r="B588" s="2" t="s">
        <v>202</v>
      </c>
      <c r="C588" s="2">
        <v>2019</v>
      </c>
      <c r="D588" s="2" t="s">
        <v>199</v>
      </c>
      <c r="E588" s="22" t="s">
        <v>791</v>
      </c>
      <c r="F588" s="20" t="s">
        <v>29</v>
      </c>
      <c r="G588" s="2" t="s">
        <v>43</v>
      </c>
      <c r="H588" s="2" t="str">
        <f>'PFAS Properties'!$B$39</f>
        <v>PFTeA</v>
      </c>
      <c r="I588" s="2" t="str">
        <f>'PFAS Properties'!$C$39</f>
        <v>PFCA</v>
      </c>
      <c r="J588" s="2" t="str">
        <f>'PFAS Properties'!$D$39</f>
        <v>C14HF27O2</v>
      </c>
      <c r="K588" s="25">
        <f>'PFAS Properties'!$P$39</f>
        <v>713.95439999999996</v>
      </c>
      <c r="L588" s="2">
        <f>'PFAS Properties'!$X$39</f>
        <v>-0.2</v>
      </c>
      <c r="M588" s="2" t="str">
        <f>'PFAS Properties'!$Y$39</f>
        <v>-</v>
      </c>
      <c r="N588" s="33">
        <v>0</v>
      </c>
      <c r="O588" s="33">
        <v>0</v>
      </c>
      <c r="P588" s="33">
        <v>0</v>
      </c>
      <c r="Q588" s="33">
        <f t="shared" si="256"/>
        <v>0.99999865103893715</v>
      </c>
      <c r="R588" s="33">
        <v>0</v>
      </c>
      <c r="S588" s="33">
        <f t="shared" si="257"/>
        <v>1.3489610628932487E-6</v>
      </c>
      <c r="T588" s="8">
        <f t="shared" si="259"/>
        <v>1</v>
      </c>
      <c r="U588" s="33">
        <f t="shared" si="245"/>
        <v>0</v>
      </c>
      <c r="V588" s="33">
        <f t="shared" si="246"/>
        <v>-0.99999865103893715</v>
      </c>
      <c r="W588" s="33">
        <f t="shared" si="247"/>
        <v>712.95440134896103</v>
      </c>
      <c r="X588" s="33">
        <v>96485</v>
      </c>
      <c r="Y588" s="16">
        <f t="shared" si="248"/>
        <v>-135.33105295785472</v>
      </c>
      <c r="Z588" s="16">
        <v>14</v>
      </c>
      <c r="AA588" s="16">
        <v>27</v>
      </c>
      <c r="AB588" s="8">
        <f t="shared" si="249"/>
        <v>0.32748538011695905</v>
      </c>
      <c r="AC588" s="16">
        <f t="shared" si="250"/>
        <v>71.853328447867256</v>
      </c>
      <c r="AD588" s="20">
        <f>'PFAS Properties'!$W$39</f>
        <v>13</v>
      </c>
      <c r="AE588" s="8">
        <f>'PFAS Properties'!$S$39</f>
        <v>-2.6937894918322383</v>
      </c>
      <c r="AF588" s="15">
        <f>'PFAS Properties'!$V$39</f>
        <v>9</v>
      </c>
      <c r="AG588" s="24">
        <v>5.67</v>
      </c>
      <c r="AH588" s="2" t="s">
        <v>661</v>
      </c>
      <c r="AI588" s="15" t="s">
        <v>661</v>
      </c>
      <c r="AJ588" s="16" t="s">
        <v>661</v>
      </c>
      <c r="AK588" s="2" t="s">
        <v>661</v>
      </c>
      <c r="AL588" s="15" t="s">
        <v>661</v>
      </c>
      <c r="AM588" s="16" t="s">
        <v>661</v>
      </c>
      <c r="AN588" s="2" t="s">
        <v>661</v>
      </c>
      <c r="AO588" s="2" t="s">
        <v>661</v>
      </c>
      <c r="AP588" s="71">
        <v>9.2037666666666649</v>
      </c>
      <c r="AQ588" s="70" t="s">
        <v>752</v>
      </c>
      <c r="AR588" s="16">
        <v>71</v>
      </c>
      <c r="AS588" s="16">
        <v>24</v>
      </c>
      <c r="AT588" s="16">
        <v>5</v>
      </c>
      <c r="AU588" s="2" t="s">
        <v>661</v>
      </c>
      <c r="AV588" s="16">
        <f t="shared" si="260"/>
        <v>100</v>
      </c>
      <c r="AW588" s="18">
        <v>0.93</v>
      </c>
      <c r="AX588" s="13">
        <f t="shared" si="258"/>
        <v>9.300000000000001E-3</v>
      </c>
      <c r="AY588" s="13" t="s">
        <v>658</v>
      </c>
      <c r="AZ588" s="16">
        <f>2/0.01</f>
        <v>200</v>
      </c>
      <c r="BA588" s="16" t="s">
        <v>55</v>
      </c>
      <c r="BB588" s="16">
        <v>1</v>
      </c>
      <c r="BC588" s="16">
        <v>1000</v>
      </c>
      <c r="BD588" s="25">
        <v>334</v>
      </c>
      <c r="BE588" s="16">
        <f t="shared" si="251"/>
        <v>35913.978494623654</v>
      </c>
      <c r="BF588" s="8">
        <f t="shared" si="252"/>
        <v>4.5552635182576298</v>
      </c>
      <c r="BG588" s="8">
        <f t="shared" si="235"/>
        <v>2.5237464668115646</v>
      </c>
      <c r="BH588" s="13" t="s">
        <v>272</v>
      </c>
      <c r="BI588" s="13"/>
      <c r="BJ588" s="13"/>
      <c r="BK588" s="17"/>
      <c r="BL588" s="17"/>
      <c r="BM588" s="13"/>
      <c r="BN588" s="13"/>
      <c r="BO588" s="2"/>
    </row>
    <row r="589" spans="1:69" s="14" customFormat="1" x14ac:dyDescent="0.3">
      <c r="A589" s="20">
        <v>604</v>
      </c>
      <c r="B589" s="2" t="s">
        <v>181</v>
      </c>
      <c r="C589" s="2">
        <v>2020</v>
      </c>
      <c r="D589" s="2" t="s">
        <v>203</v>
      </c>
      <c r="E589" s="10" t="s">
        <v>787</v>
      </c>
      <c r="F589" s="20" t="s">
        <v>29</v>
      </c>
      <c r="G589" s="2" t="s">
        <v>57</v>
      </c>
      <c r="H589" s="2" t="str">
        <f>'PFAS Properties'!$B$40</f>
        <v>GenX</v>
      </c>
      <c r="I589" s="2" t="str">
        <f>'PFAS Properties'!$C$40</f>
        <v>PFECA</v>
      </c>
      <c r="J589" s="2" t="str">
        <f>'PFAS Properties'!$D$40</f>
        <v>C6HF11O3</v>
      </c>
      <c r="K589" s="25">
        <f>'PFAS Properties'!$P$40</f>
        <v>329.97489999999993</v>
      </c>
      <c r="L589" s="2">
        <f>'PFAS Properties'!$X$40</f>
        <v>-0.1</v>
      </c>
      <c r="M589" s="2" t="str">
        <f>'PFAS Properties'!$Y$63</f>
        <v>-</v>
      </c>
      <c r="N589" s="33">
        <v>0</v>
      </c>
      <c r="O589" s="33">
        <v>0</v>
      </c>
      <c r="P589" s="33">
        <v>0</v>
      </c>
      <c r="Q589" s="33">
        <f t="shared" si="256"/>
        <v>0.99999987410747471</v>
      </c>
      <c r="R589" s="33">
        <v>0</v>
      </c>
      <c r="S589" s="33">
        <f t="shared" si="257"/>
        <v>1.2589252533048682E-7</v>
      </c>
      <c r="T589" s="8">
        <f t="shared" ref="T589:T607" si="261">SUM(N589:S589)</f>
        <v>1</v>
      </c>
      <c r="U589" s="33">
        <f t="shared" si="245"/>
        <v>0</v>
      </c>
      <c r="V589" s="33">
        <f t="shared" si="246"/>
        <v>-0.99999987410747471</v>
      </c>
      <c r="W589" s="33">
        <f t="shared" si="247"/>
        <v>328.97490012589247</v>
      </c>
      <c r="X589" s="33">
        <v>96485</v>
      </c>
      <c r="Y589" s="16">
        <f t="shared" si="248"/>
        <v>-293.28981577724232</v>
      </c>
      <c r="Z589" s="16">
        <v>6</v>
      </c>
      <c r="AA589" s="16">
        <v>11</v>
      </c>
      <c r="AB589" s="8">
        <f t="shared" si="249"/>
        <v>0.34449760765550236</v>
      </c>
      <c r="AC589" s="16">
        <f t="shared" si="250"/>
        <v>63.338150871475385</v>
      </c>
      <c r="AD589" s="20">
        <f>'PFAS Properties'!$W$40</f>
        <v>5</v>
      </c>
      <c r="AE589" s="8">
        <f>'PFAS Properties'!$S$40</f>
        <v>4.4345689040341991</v>
      </c>
      <c r="AF589" s="2">
        <f>'PFAS Properties'!$V$40</f>
        <v>3.6</v>
      </c>
      <c r="AG589" s="24">
        <v>6.8</v>
      </c>
      <c r="AH589" s="2" t="s">
        <v>183</v>
      </c>
      <c r="AI589" s="2" t="s">
        <v>661</v>
      </c>
      <c r="AJ589" s="2" t="s">
        <v>661</v>
      </c>
      <c r="AK589" s="2" t="s">
        <v>661</v>
      </c>
      <c r="AL589" s="2" t="s">
        <v>661</v>
      </c>
      <c r="AM589" s="2" t="s">
        <v>661</v>
      </c>
      <c r="AN589" s="2" t="s">
        <v>661</v>
      </c>
      <c r="AO589" s="2" t="s">
        <v>661</v>
      </c>
      <c r="AP589" s="15">
        <v>7.1</v>
      </c>
      <c r="AQ589" s="2" t="s">
        <v>661</v>
      </c>
      <c r="AR589" s="16">
        <v>48.9</v>
      </c>
      <c r="AS589" s="16">
        <v>27</v>
      </c>
      <c r="AT589" s="16">
        <v>24.2</v>
      </c>
      <c r="AU589" s="2" t="s">
        <v>661</v>
      </c>
      <c r="AV589" s="16">
        <f t="shared" si="260"/>
        <v>100.10000000000001</v>
      </c>
      <c r="AW589" s="18">
        <v>0.37</v>
      </c>
      <c r="AX589" s="13">
        <f t="shared" si="258"/>
        <v>3.7000000000000002E-3</v>
      </c>
      <c r="AY589" s="13" t="s">
        <v>184</v>
      </c>
      <c r="AZ589" s="16">
        <v>100</v>
      </c>
      <c r="BA589" s="16" t="s">
        <v>55</v>
      </c>
      <c r="BB589" s="16">
        <v>5</v>
      </c>
      <c r="BC589" s="16" t="s">
        <v>55</v>
      </c>
      <c r="BD589" s="20">
        <v>0.35</v>
      </c>
      <c r="BE589" s="16">
        <f t="shared" si="251"/>
        <v>94.594594594594582</v>
      </c>
      <c r="BF589" s="16">
        <f t="shared" si="252"/>
        <v>1.9758663202832807</v>
      </c>
      <c r="BG589" s="8">
        <f t="shared" si="235"/>
        <v>-0.45593195564972439</v>
      </c>
      <c r="BH589" s="13" t="s">
        <v>345</v>
      </c>
      <c r="BI589" s="13"/>
      <c r="BJ589" s="13"/>
      <c r="BK589" s="13"/>
      <c r="BL589" s="13"/>
      <c r="BM589" s="17"/>
      <c r="BN589" s="17"/>
      <c r="BO589" s="2"/>
    </row>
    <row r="590" spans="1:69" s="14" customFormat="1" x14ac:dyDescent="0.3">
      <c r="A590" s="20">
        <v>605</v>
      </c>
      <c r="B590" s="2" t="s">
        <v>181</v>
      </c>
      <c r="C590" s="2">
        <v>2020</v>
      </c>
      <c r="D590" s="2" t="s">
        <v>203</v>
      </c>
      <c r="E590" s="10" t="s">
        <v>787</v>
      </c>
      <c r="F590" s="20" t="s">
        <v>29</v>
      </c>
      <c r="G590" s="2" t="s">
        <v>58</v>
      </c>
      <c r="H590" s="2" t="str">
        <f>'PFAS Properties'!$B$40</f>
        <v>GenX</v>
      </c>
      <c r="I590" s="2" t="str">
        <f>'PFAS Properties'!$C$40</f>
        <v>PFECA</v>
      </c>
      <c r="J590" s="2" t="str">
        <f>'PFAS Properties'!$D$40</f>
        <v>C6HF11O3</v>
      </c>
      <c r="K590" s="25">
        <f>'PFAS Properties'!$P$40</f>
        <v>329.97489999999993</v>
      </c>
      <c r="L590" s="2">
        <f>'PFAS Properties'!$X$40</f>
        <v>-0.1</v>
      </c>
      <c r="M590" s="2" t="str">
        <f>'PFAS Properties'!$Y$63</f>
        <v>-</v>
      </c>
      <c r="N590" s="33">
        <v>0</v>
      </c>
      <c r="O590" s="33">
        <v>0</v>
      </c>
      <c r="P590" s="33">
        <v>0</v>
      </c>
      <c r="Q590" s="33">
        <f t="shared" si="256"/>
        <v>0.99999949881301753</v>
      </c>
      <c r="R590" s="33">
        <v>0</v>
      </c>
      <c r="S590" s="33">
        <f t="shared" si="257"/>
        <v>5.0118698243875488E-7</v>
      </c>
      <c r="T590" s="8">
        <f t="shared" si="261"/>
        <v>1</v>
      </c>
      <c r="U590" s="33">
        <f t="shared" si="245"/>
        <v>0</v>
      </c>
      <c r="V590" s="33">
        <f t="shared" si="246"/>
        <v>-0.99999949881301753</v>
      </c>
      <c r="W590" s="33">
        <f t="shared" si="247"/>
        <v>328.97490050118694</v>
      </c>
      <c r="X590" s="33">
        <v>96485</v>
      </c>
      <c r="Y590" s="16">
        <f t="shared" si="248"/>
        <v>-293.28970537260147</v>
      </c>
      <c r="Z590" s="16">
        <v>6</v>
      </c>
      <c r="AA590" s="16">
        <v>11</v>
      </c>
      <c r="AB590" s="8">
        <f t="shared" si="249"/>
        <v>0.34449760765550236</v>
      </c>
      <c r="AC590" s="16">
        <f t="shared" si="250"/>
        <v>63.338150871475385</v>
      </c>
      <c r="AD590" s="20">
        <f>'PFAS Properties'!$W$40</f>
        <v>5</v>
      </c>
      <c r="AE590" s="8">
        <f>'PFAS Properties'!$S$40</f>
        <v>4.4345689040341991</v>
      </c>
      <c r="AF590" s="2">
        <f>'PFAS Properties'!$V$40</f>
        <v>3.6</v>
      </c>
      <c r="AG590" s="24">
        <v>6.2</v>
      </c>
      <c r="AH590" s="2" t="s">
        <v>183</v>
      </c>
      <c r="AI590" s="2" t="s">
        <v>661</v>
      </c>
      <c r="AJ590" s="2" t="s">
        <v>661</v>
      </c>
      <c r="AK590" s="2" t="s">
        <v>661</v>
      </c>
      <c r="AL590" s="2" t="s">
        <v>661</v>
      </c>
      <c r="AM590" s="2" t="s">
        <v>661</v>
      </c>
      <c r="AN590" s="2" t="s">
        <v>661</v>
      </c>
      <c r="AO590" s="2" t="s">
        <v>661</v>
      </c>
      <c r="AP590" s="15">
        <v>8</v>
      </c>
      <c r="AQ590" s="2" t="s">
        <v>661</v>
      </c>
      <c r="AR590" s="16">
        <v>51.44</v>
      </c>
      <c r="AS590" s="16">
        <v>10.17</v>
      </c>
      <c r="AT590" s="16">
        <v>38.380000000000003</v>
      </c>
      <c r="AU590" s="2" t="s">
        <v>661</v>
      </c>
      <c r="AV590" s="16">
        <f t="shared" si="260"/>
        <v>99.990000000000009</v>
      </c>
      <c r="AW590" s="18">
        <v>0.08</v>
      </c>
      <c r="AX590" s="13">
        <f t="shared" si="258"/>
        <v>8.0000000000000004E-4</v>
      </c>
      <c r="AY590" s="8" t="s">
        <v>184</v>
      </c>
      <c r="AZ590" s="16">
        <v>100</v>
      </c>
      <c r="BA590" s="16" t="s">
        <v>55</v>
      </c>
      <c r="BB590" s="16">
        <v>5</v>
      </c>
      <c r="BC590" s="16" t="s">
        <v>55</v>
      </c>
      <c r="BD590" s="20">
        <v>0.27</v>
      </c>
      <c r="BE590" s="16">
        <f t="shared" si="251"/>
        <v>337.5</v>
      </c>
      <c r="BF590" s="16">
        <f t="shared" si="252"/>
        <v>2.5282737771670436</v>
      </c>
      <c r="BG590" s="8">
        <f t="shared" si="235"/>
        <v>-0.56863623584101264</v>
      </c>
      <c r="BH590" s="13" t="s">
        <v>345</v>
      </c>
      <c r="BI590" s="13"/>
      <c r="BJ590" s="13"/>
      <c r="BK590" s="13"/>
      <c r="BL590" s="13"/>
      <c r="BM590" s="17"/>
      <c r="BN590" s="17"/>
      <c r="BO590" s="2"/>
    </row>
    <row r="591" spans="1:69" s="14" customFormat="1" x14ac:dyDescent="0.3">
      <c r="A591" s="20">
        <v>606</v>
      </c>
      <c r="B591" s="2" t="s">
        <v>181</v>
      </c>
      <c r="C591" s="2">
        <v>2020</v>
      </c>
      <c r="D591" s="2" t="s">
        <v>203</v>
      </c>
      <c r="E591" s="10" t="s">
        <v>787</v>
      </c>
      <c r="F591" s="20" t="s">
        <v>29</v>
      </c>
      <c r="G591" s="2" t="s">
        <v>59</v>
      </c>
      <c r="H591" s="2" t="str">
        <f>'PFAS Properties'!$B$40</f>
        <v>GenX</v>
      </c>
      <c r="I591" s="2" t="str">
        <f>'PFAS Properties'!$C$40</f>
        <v>PFECA</v>
      </c>
      <c r="J591" s="2" t="str">
        <f>'PFAS Properties'!$D$40</f>
        <v>C6HF11O3</v>
      </c>
      <c r="K591" s="25">
        <f>'PFAS Properties'!$P$40</f>
        <v>329.97489999999993</v>
      </c>
      <c r="L591" s="2">
        <f>'PFAS Properties'!$X$40</f>
        <v>-0.1</v>
      </c>
      <c r="M591" s="2" t="str">
        <f>'PFAS Properties'!$Y$63</f>
        <v>-</v>
      </c>
      <c r="N591" s="33">
        <v>0</v>
      </c>
      <c r="O591" s="33">
        <v>0</v>
      </c>
      <c r="P591" s="33">
        <v>0</v>
      </c>
      <c r="Q591" s="33">
        <f t="shared" si="256"/>
        <v>0.99999998415106828</v>
      </c>
      <c r="R591" s="33">
        <v>0</v>
      </c>
      <c r="S591" s="33">
        <f t="shared" si="257"/>
        <v>1.5848931673422493E-8</v>
      </c>
      <c r="T591" s="8">
        <f t="shared" si="261"/>
        <v>1</v>
      </c>
      <c r="U591" s="33">
        <f t="shared" si="245"/>
        <v>0</v>
      </c>
      <c r="V591" s="33">
        <f t="shared" si="246"/>
        <v>-0.99999998415106828</v>
      </c>
      <c r="W591" s="33">
        <f t="shared" si="247"/>
        <v>328.97490001584885</v>
      </c>
      <c r="X591" s="33">
        <v>96485</v>
      </c>
      <c r="Y591" s="16">
        <f t="shared" si="248"/>
        <v>-293.28984815001849</v>
      </c>
      <c r="Z591" s="16">
        <v>6</v>
      </c>
      <c r="AA591" s="16">
        <v>11</v>
      </c>
      <c r="AB591" s="8">
        <f t="shared" si="249"/>
        <v>0.34449760765550236</v>
      </c>
      <c r="AC591" s="16">
        <f t="shared" si="250"/>
        <v>63.338150871475385</v>
      </c>
      <c r="AD591" s="20">
        <f>'PFAS Properties'!$W$40</f>
        <v>5</v>
      </c>
      <c r="AE591" s="8">
        <f>'PFAS Properties'!$S$40</f>
        <v>4.4345689040341991</v>
      </c>
      <c r="AF591" s="2">
        <f>'PFAS Properties'!$V$40</f>
        <v>3.6</v>
      </c>
      <c r="AG591" s="24">
        <v>7.7</v>
      </c>
      <c r="AH591" s="2" t="s">
        <v>183</v>
      </c>
      <c r="AI591" s="2" t="s">
        <v>661</v>
      </c>
      <c r="AJ591" s="2" t="s">
        <v>661</v>
      </c>
      <c r="AK591" s="2" t="s">
        <v>661</v>
      </c>
      <c r="AL591" s="2" t="s">
        <v>661</v>
      </c>
      <c r="AM591" s="2" t="s">
        <v>661</v>
      </c>
      <c r="AN591" s="2" t="s">
        <v>661</v>
      </c>
      <c r="AO591" s="2" t="s">
        <v>661</v>
      </c>
      <c r="AP591" s="15">
        <v>4.8</v>
      </c>
      <c r="AQ591" s="2" t="s">
        <v>661</v>
      </c>
      <c r="AR591" s="16">
        <v>46</v>
      </c>
      <c r="AS591" s="16">
        <v>37</v>
      </c>
      <c r="AT591" s="16">
        <v>17</v>
      </c>
      <c r="AU591" s="2" t="s">
        <v>661</v>
      </c>
      <c r="AV591" s="16">
        <f t="shared" si="260"/>
        <v>100</v>
      </c>
      <c r="AW591" s="18">
        <v>0.25</v>
      </c>
      <c r="AX591" s="13">
        <f t="shared" si="258"/>
        <v>2.5000000000000001E-3</v>
      </c>
      <c r="AY591" s="13" t="s">
        <v>184</v>
      </c>
      <c r="AZ591" s="16">
        <v>100</v>
      </c>
      <c r="BA591" s="16" t="s">
        <v>55</v>
      </c>
      <c r="BB591" s="16">
        <v>5</v>
      </c>
      <c r="BC591" s="16" t="s">
        <v>55</v>
      </c>
      <c r="BD591" s="18">
        <v>0.19</v>
      </c>
      <c r="BE591" s="16">
        <f t="shared" si="251"/>
        <v>76</v>
      </c>
      <c r="BF591" s="16">
        <f t="shared" si="252"/>
        <v>1.8808135922807914</v>
      </c>
      <c r="BG591" s="8">
        <f t="shared" si="235"/>
        <v>-0.72124639904717103</v>
      </c>
      <c r="BH591" s="13" t="s">
        <v>345</v>
      </c>
      <c r="BI591" s="13"/>
      <c r="BJ591" s="13"/>
      <c r="BK591" s="13"/>
      <c r="BL591" s="13"/>
      <c r="BM591" s="17"/>
      <c r="BN591" s="17"/>
      <c r="BO591" s="2"/>
    </row>
    <row r="592" spans="1:69" s="14" customFormat="1" x14ac:dyDescent="0.3">
      <c r="A592" s="20">
        <v>607</v>
      </c>
      <c r="B592" s="2" t="s">
        <v>181</v>
      </c>
      <c r="C592" s="2">
        <v>2020</v>
      </c>
      <c r="D592" s="2" t="s">
        <v>203</v>
      </c>
      <c r="E592" s="10" t="s">
        <v>787</v>
      </c>
      <c r="F592" s="20" t="s">
        <v>29</v>
      </c>
      <c r="G592" s="2" t="s">
        <v>61</v>
      </c>
      <c r="H592" s="2" t="str">
        <f>'PFAS Properties'!$B$40</f>
        <v>GenX</v>
      </c>
      <c r="I592" s="2" t="str">
        <f>'PFAS Properties'!$C$40</f>
        <v>PFECA</v>
      </c>
      <c r="J592" s="2" t="str">
        <f>'PFAS Properties'!$D$40</f>
        <v>C6HF11O3</v>
      </c>
      <c r="K592" s="25">
        <f>'PFAS Properties'!$P$40</f>
        <v>329.97489999999993</v>
      </c>
      <c r="L592" s="2">
        <f>'PFAS Properties'!$X$40</f>
        <v>-0.1</v>
      </c>
      <c r="M592" s="2" t="str">
        <f>'PFAS Properties'!$Y$63</f>
        <v>-</v>
      </c>
      <c r="N592" s="33">
        <v>0</v>
      </c>
      <c r="O592" s="33">
        <v>0</v>
      </c>
      <c r="P592" s="33">
        <v>0</v>
      </c>
      <c r="Q592" s="33">
        <f t="shared" si="256"/>
        <v>0.99999996837722438</v>
      </c>
      <c r="R592" s="33">
        <v>0</v>
      </c>
      <c r="S592" s="33">
        <f t="shared" si="257"/>
        <v>3.1622775601683729E-8</v>
      </c>
      <c r="T592" s="8">
        <f t="shared" si="261"/>
        <v>1</v>
      </c>
      <c r="U592" s="33">
        <f t="shared" si="245"/>
        <v>0</v>
      </c>
      <c r="V592" s="33">
        <f t="shared" si="246"/>
        <v>-0.99999996837722438</v>
      </c>
      <c r="W592" s="33">
        <f t="shared" si="247"/>
        <v>328.97490003162272</v>
      </c>
      <c r="X592" s="33">
        <v>96485</v>
      </c>
      <c r="Y592" s="16">
        <f t="shared" si="248"/>
        <v>-293.28984350964731</v>
      </c>
      <c r="Z592" s="16">
        <v>6</v>
      </c>
      <c r="AA592" s="16">
        <v>11</v>
      </c>
      <c r="AB592" s="8">
        <f t="shared" si="249"/>
        <v>0.34449760765550236</v>
      </c>
      <c r="AC592" s="16">
        <f t="shared" si="250"/>
        <v>63.338150871475385</v>
      </c>
      <c r="AD592" s="20">
        <f>'PFAS Properties'!$W$40</f>
        <v>5</v>
      </c>
      <c r="AE592" s="8">
        <f>'PFAS Properties'!$S$40</f>
        <v>4.4345689040341991</v>
      </c>
      <c r="AF592" s="2">
        <f>'PFAS Properties'!$V$40</f>
        <v>3.6</v>
      </c>
      <c r="AG592" s="24">
        <v>7.4</v>
      </c>
      <c r="AH592" s="2" t="s">
        <v>183</v>
      </c>
      <c r="AI592" s="2" t="s">
        <v>661</v>
      </c>
      <c r="AJ592" s="2" t="s">
        <v>661</v>
      </c>
      <c r="AK592" s="2" t="s">
        <v>661</v>
      </c>
      <c r="AL592" s="2" t="s">
        <v>661</v>
      </c>
      <c r="AM592" s="2" t="s">
        <v>661</v>
      </c>
      <c r="AN592" s="2" t="s">
        <v>661</v>
      </c>
      <c r="AO592" s="2" t="s">
        <v>661</v>
      </c>
      <c r="AP592" s="15">
        <v>29.6</v>
      </c>
      <c r="AQ592" s="2" t="s">
        <v>661</v>
      </c>
      <c r="AR592" s="16">
        <v>39.799999999999997</v>
      </c>
      <c r="AS592" s="16">
        <v>7.7</v>
      </c>
      <c r="AT592" s="16">
        <v>52.5</v>
      </c>
      <c r="AU592" s="2" t="s">
        <v>661</v>
      </c>
      <c r="AV592" s="16">
        <f t="shared" si="260"/>
        <v>100</v>
      </c>
      <c r="AW592" s="18">
        <v>2.23</v>
      </c>
      <c r="AX592" s="13">
        <f t="shared" si="258"/>
        <v>2.23E-2</v>
      </c>
      <c r="AY592" s="8" t="s">
        <v>184</v>
      </c>
      <c r="AZ592" s="16">
        <v>100</v>
      </c>
      <c r="BA592" s="16" t="s">
        <v>55</v>
      </c>
      <c r="BB592" s="16">
        <v>5</v>
      </c>
      <c r="BC592" s="16" t="s">
        <v>55</v>
      </c>
      <c r="BD592" s="20">
        <v>0.32</v>
      </c>
      <c r="BE592" s="16">
        <f t="shared" si="251"/>
        <v>14.349775784753364</v>
      </c>
      <c r="BF592" s="16">
        <f t="shared" si="252"/>
        <v>1.1568451152717454</v>
      </c>
      <c r="BG592" s="8">
        <f t="shared" si="235"/>
        <v>-0.49485002168009401</v>
      </c>
      <c r="BH592" s="13" t="s">
        <v>345</v>
      </c>
      <c r="BI592" s="13"/>
      <c r="BJ592" s="13"/>
      <c r="BK592" s="13"/>
      <c r="BL592" s="13"/>
      <c r="BM592" s="17"/>
      <c r="BN592" s="17"/>
      <c r="BO592" s="2"/>
    </row>
    <row r="593" spans="1:67" s="14" customFormat="1" x14ac:dyDescent="0.3">
      <c r="A593" s="20">
        <v>608</v>
      </c>
      <c r="B593" s="2" t="s">
        <v>181</v>
      </c>
      <c r="C593" s="2">
        <v>2020</v>
      </c>
      <c r="D593" s="2" t="s">
        <v>203</v>
      </c>
      <c r="E593" s="10" t="s">
        <v>787</v>
      </c>
      <c r="F593" s="20" t="s">
        <v>29</v>
      </c>
      <c r="G593" s="2" t="s">
        <v>60</v>
      </c>
      <c r="H593" s="2" t="str">
        <f>'PFAS Properties'!$B$40</f>
        <v>GenX</v>
      </c>
      <c r="I593" s="2" t="str">
        <f>'PFAS Properties'!$C$40</f>
        <v>PFECA</v>
      </c>
      <c r="J593" s="2" t="str">
        <f>'PFAS Properties'!$D$40</f>
        <v>C6HF11O3</v>
      </c>
      <c r="K593" s="25">
        <f>'PFAS Properties'!$P$40</f>
        <v>329.97489999999993</v>
      </c>
      <c r="L593" s="2">
        <f>'PFAS Properties'!$X$40</f>
        <v>-0.1</v>
      </c>
      <c r="M593" s="2" t="str">
        <f>'PFAS Properties'!$Y$63</f>
        <v>-</v>
      </c>
      <c r="N593" s="33">
        <v>0</v>
      </c>
      <c r="O593" s="33">
        <v>0</v>
      </c>
      <c r="P593" s="33">
        <v>0</v>
      </c>
      <c r="Q593" s="33">
        <f t="shared" si="256"/>
        <v>0.99999998415106828</v>
      </c>
      <c r="R593" s="33">
        <v>0</v>
      </c>
      <c r="S593" s="33">
        <f t="shared" si="257"/>
        <v>1.5848931673422493E-8</v>
      </c>
      <c r="T593" s="8">
        <f t="shared" si="261"/>
        <v>1</v>
      </c>
      <c r="U593" s="33">
        <f t="shared" si="245"/>
        <v>0</v>
      </c>
      <c r="V593" s="33">
        <f t="shared" si="246"/>
        <v>-0.99999998415106828</v>
      </c>
      <c r="W593" s="33">
        <f t="shared" si="247"/>
        <v>328.97490001584885</v>
      </c>
      <c r="X593" s="33">
        <v>96485</v>
      </c>
      <c r="Y593" s="16">
        <f t="shared" si="248"/>
        <v>-293.28984815001849</v>
      </c>
      <c r="Z593" s="16">
        <v>6</v>
      </c>
      <c r="AA593" s="16">
        <v>11</v>
      </c>
      <c r="AB593" s="8">
        <f t="shared" si="249"/>
        <v>0.34449760765550236</v>
      </c>
      <c r="AC593" s="16">
        <f t="shared" si="250"/>
        <v>63.338150871475385</v>
      </c>
      <c r="AD593" s="20">
        <f>'PFAS Properties'!$W$40</f>
        <v>5</v>
      </c>
      <c r="AE593" s="8">
        <f>'PFAS Properties'!$S$40</f>
        <v>4.4345689040341991</v>
      </c>
      <c r="AF593" s="2">
        <f>'PFAS Properties'!$V$40</f>
        <v>3.6</v>
      </c>
      <c r="AG593" s="24">
        <v>7.7</v>
      </c>
      <c r="AH593" s="2" t="s">
        <v>183</v>
      </c>
      <c r="AI593" s="2" t="s">
        <v>661</v>
      </c>
      <c r="AJ593" s="2" t="s">
        <v>661</v>
      </c>
      <c r="AK593" s="2" t="s">
        <v>661</v>
      </c>
      <c r="AL593" s="2" t="s">
        <v>661</v>
      </c>
      <c r="AM593" s="2" t="s">
        <v>661</v>
      </c>
      <c r="AN593" s="2" t="s">
        <v>661</v>
      </c>
      <c r="AO593" s="2" t="s">
        <v>661</v>
      </c>
      <c r="AP593" s="15">
        <v>21.63</v>
      </c>
      <c r="AQ593" s="2" t="s">
        <v>661</v>
      </c>
      <c r="AR593" s="16">
        <v>70</v>
      </c>
      <c r="AS593" s="16">
        <v>11</v>
      </c>
      <c r="AT593" s="16">
        <v>19</v>
      </c>
      <c r="AU593" s="2" t="s">
        <v>661</v>
      </c>
      <c r="AV593" s="16">
        <f t="shared" si="260"/>
        <v>100</v>
      </c>
      <c r="AW593" s="18">
        <v>4.9000000000000004</v>
      </c>
      <c r="AX593" s="13">
        <f t="shared" si="258"/>
        <v>4.9000000000000002E-2</v>
      </c>
      <c r="AY593" s="8" t="s">
        <v>184</v>
      </c>
      <c r="AZ593" s="16">
        <v>100</v>
      </c>
      <c r="BA593" s="16" t="s">
        <v>55</v>
      </c>
      <c r="BB593" s="16">
        <v>5</v>
      </c>
      <c r="BC593" s="16" t="s">
        <v>55</v>
      </c>
      <c r="BD593" s="18">
        <v>0.5</v>
      </c>
      <c r="BE593" s="16">
        <f t="shared" si="251"/>
        <v>10.204081632653061</v>
      </c>
      <c r="BF593" s="16">
        <f t="shared" si="252"/>
        <v>1.0087739243075051</v>
      </c>
      <c r="BG593" s="8">
        <f t="shared" si="235"/>
        <v>-0.3010299956639812</v>
      </c>
      <c r="BH593" s="13" t="s">
        <v>345</v>
      </c>
      <c r="BI593" s="13"/>
      <c r="BJ593" s="13"/>
      <c r="BK593" s="13"/>
      <c r="BL593" s="13"/>
      <c r="BM593" s="17"/>
      <c r="BN593" s="17"/>
      <c r="BO593" s="2"/>
    </row>
    <row r="594" spans="1:67" s="14" customFormat="1" x14ac:dyDescent="0.3">
      <c r="A594" s="20">
        <v>609</v>
      </c>
      <c r="B594" s="2" t="s">
        <v>181</v>
      </c>
      <c r="C594" s="2">
        <v>2020</v>
      </c>
      <c r="D594" s="2" t="s">
        <v>203</v>
      </c>
      <c r="E594" s="10" t="s">
        <v>787</v>
      </c>
      <c r="F594" s="20" t="s">
        <v>29</v>
      </c>
      <c r="G594" s="2" t="s">
        <v>77</v>
      </c>
      <c r="H594" s="2" t="str">
        <f>'PFAS Properties'!$B$40</f>
        <v>GenX</v>
      </c>
      <c r="I594" s="2" t="str">
        <f>'PFAS Properties'!$C$40</f>
        <v>PFECA</v>
      </c>
      <c r="J594" s="2" t="str">
        <f>'PFAS Properties'!$D$40</f>
        <v>C6HF11O3</v>
      </c>
      <c r="K594" s="25">
        <f>'PFAS Properties'!$P$40</f>
        <v>329.97489999999993</v>
      </c>
      <c r="L594" s="2">
        <f>'PFAS Properties'!$X$40</f>
        <v>-0.1</v>
      </c>
      <c r="M594" s="2" t="str">
        <f>'PFAS Properties'!$Y$63</f>
        <v>-</v>
      </c>
      <c r="N594" s="33">
        <v>0</v>
      </c>
      <c r="O594" s="33">
        <v>0</v>
      </c>
      <c r="P594" s="33">
        <v>0</v>
      </c>
      <c r="Q594" s="33">
        <f t="shared" si="256"/>
        <v>0.99999998415106828</v>
      </c>
      <c r="R594" s="33">
        <v>0</v>
      </c>
      <c r="S594" s="33">
        <f t="shared" si="257"/>
        <v>1.5848931673422493E-8</v>
      </c>
      <c r="T594" s="8">
        <f t="shared" si="261"/>
        <v>1</v>
      </c>
      <c r="U594" s="33">
        <f t="shared" si="245"/>
        <v>0</v>
      </c>
      <c r="V594" s="33">
        <f t="shared" si="246"/>
        <v>-0.99999998415106828</v>
      </c>
      <c r="W594" s="33">
        <f t="shared" si="247"/>
        <v>328.97490001584885</v>
      </c>
      <c r="X594" s="33">
        <v>96485</v>
      </c>
      <c r="Y594" s="16">
        <f t="shared" si="248"/>
        <v>-293.28984815001849</v>
      </c>
      <c r="Z594" s="16">
        <v>6</v>
      </c>
      <c r="AA594" s="16">
        <v>11</v>
      </c>
      <c r="AB594" s="8">
        <f t="shared" si="249"/>
        <v>0.34449760765550236</v>
      </c>
      <c r="AC594" s="16">
        <f t="shared" si="250"/>
        <v>63.338150871475385</v>
      </c>
      <c r="AD594" s="20">
        <f>'PFAS Properties'!$W$40</f>
        <v>5</v>
      </c>
      <c r="AE594" s="8">
        <f>'PFAS Properties'!$S$40</f>
        <v>4.4345689040341991</v>
      </c>
      <c r="AF594" s="2">
        <f>'PFAS Properties'!$V$40</f>
        <v>3.6</v>
      </c>
      <c r="AG594" s="24">
        <v>7.7</v>
      </c>
      <c r="AH594" s="2" t="s">
        <v>183</v>
      </c>
      <c r="AI594" s="2" t="s">
        <v>661</v>
      </c>
      <c r="AJ594" s="2" t="s">
        <v>661</v>
      </c>
      <c r="AK594" s="2" t="s">
        <v>661</v>
      </c>
      <c r="AL594" s="2" t="s">
        <v>661</v>
      </c>
      <c r="AM594" s="2" t="s">
        <v>661</v>
      </c>
      <c r="AN594" s="2" t="s">
        <v>661</v>
      </c>
      <c r="AO594" s="2" t="s">
        <v>661</v>
      </c>
      <c r="AP594" s="15">
        <v>7.8</v>
      </c>
      <c r="AQ594" s="2" t="s">
        <v>661</v>
      </c>
      <c r="AR594" s="16">
        <v>48.9</v>
      </c>
      <c r="AS594" s="16">
        <v>32.6</v>
      </c>
      <c r="AT594" s="16">
        <v>18.5</v>
      </c>
      <c r="AU594" s="2" t="s">
        <v>661</v>
      </c>
      <c r="AV594" s="16">
        <f t="shared" si="260"/>
        <v>100</v>
      </c>
      <c r="AW594" s="18">
        <v>0.13</v>
      </c>
      <c r="AX594" s="13">
        <f t="shared" si="258"/>
        <v>1.2999999999999999E-3</v>
      </c>
      <c r="AY594" s="8" t="s">
        <v>184</v>
      </c>
      <c r="AZ594" s="16">
        <v>100</v>
      </c>
      <c r="BA594" s="16" t="s">
        <v>55</v>
      </c>
      <c r="BB594" s="16">
        <v>5</v>
      </c>
      <c r="BC594" s="16" t="s">
        <v>55</v>
      </c>
      <c r="BD594" s="20">
        <v>0.23</v>
      </c>
      <c r="BE594" s="16">
        <f t="shared" si="251"/>
        <v>176.92307692307693</v>
      </c>
      <c r="BF594" s="16">
        <f t="shared" si="252"/>
        <v>2.2477844837107561</v>
      </c>
      <c r="BG594" s="8">
        <f t="shared" si="235"/>
        <v>-0.63827216398240705</v>
      </c>
      <c r="BH594" s="13" t="s">
        <v>345</v>
      </c>
      <c r="BI594" s="13"/>
      <c r="BJ594" s="13"/>
      <c r="BK594" s="13"/>
      <c r="BL594" s="13"/>
      <c r="BM594" s="17"/>
      <c r="BN594" s="17"/>
      <c r="BO594" s="2"/>
    </row>
    <row r="595" spans="1:67" s="14" customFormat="1" x14ac:dyDescent="0.3">
      <c r="A595" s="20">
        <v>610</v>
      </c>
      <c r="B595" s="2" t="s">
        <v>181</v>
      </c>
      <c r="C595" s="2">
        <v>2020</v>
      </c>
      <c r="D595" s="2" t="s">
        <v>203</v>
      </c>
      <c r="E595" s="10" t="s">
        <v>787</v>
      </c>
      <c r="F595" s="20" t="s">
        <v>29</v>
      </c>
      <c r="G595" s="2" t="s">
        <v>182</v>
      </c>
      <c r="H595" s="2" t="str">
        <f>'PFAS Properties'!$B$40</f>
        <v>GenX</v>
      </c>
      <c r="I595" s="2" t="str">
        <f>'PFAS Properties'!$C$40</f>
        <v>PFECA</v>
      </c>
      <c r="J595" s="2" t="str">
        <f>'PFAS Properties'!$D$40</f>
        <v>C6HF11O3</v>
      </c>
      <c r="K595" s="25">
        <f>'PFAS Properties'!$P$40</f>
        <v>329.97489999999993</v>
      </c>
      <c r="L595" s="2">
        <f>'PFAS Properties'!$X$40</f>
        <v>-0.1</v>
      </c>
      <c r="M595" s="2" t="str">
        <f>'PFAS Properties'!$Y$63</f>
        <v>-</v>
      </c>
      <c r="N595" s="33">
        <v>0</v>
      </c>
      <c r="O595" s="33">
        <v>0</v>
      </c>
      <c r="P595" s="33">
        <v>0</v>
      </c>
      <c r="Q595" s="33">
        <f t="shared" si="256"/>
        <v>0.99999997488113634</v>
      </c>
      <c r="R595" s="33">
        <v>0</v>
      </c>
      <c r="S595" s="33">
        <f t="shared" si="257"/>
        <v>2.5118863684138424E-8</v>
      </c>
      <c r="T595" s="8">
        <f t="shared" si="261"/>
        <v>1</v>
      </c>
      <c r="U595" s="33">
        <f t="shared" si="245"/>
        <v>0</v>
      </c>
      <c r="V595" s="33">
        <f t="shared" si="246"/>
        <v>-0.99999997488113634</v>
      </c>
      <c r="W595" s="33">
        <f t="shared" si="247"/>
        <v>328.97490002511881</v>
      </c>
      <c r="X595" s="33">
        <v>96485</v>
      </c>
      <c r="Y595" s="16">
        <f t="shared" si="248"/>
        <v>-293.28984542297712</v>
      </c>
      <c r="Z595" s="16">
        <v>6</v>
      </c>
      <c r="AA595" s="16">
        <v>11</v>
      </c>
      <c r="AB595" s="8">
        <f t="shared" si="249"/>
        <v>0.34449760765550236</v>
      </c>
      <c r="AC595" s="16">
        <f t="shared" si="250"/>
        <v>63.338150871475385</v>
      </c>
      <c r="AD595" s="20">
        <f>'PFAS Properties'!$W$40</f>
        <v>5</v>
      </c>
      <c r="AE595" s="8">
        <f>'PFAS Properties'!$S$40</f>
        <v>4.4345689040341991</v>
      </c>
      <c r="AF595" s="2">
        <f>'PFAS Properties'!$V$40</f>
        <v>3.6</v>
      </c>
      <c r="AG595" s="24">
        <v>7.5</v>
      </c>
      <c r="AH595" s="2" t="s">
        <v>183</v>
      </c>
      <c r="AI595" s="2" t="s">
        <v>661</v>
      </c>
      <c r="AJ595" s="2" t="s">
        <v>661</v>
      </c>
      <c r="AK595" s="2" t="s">
        <v>661</v>
      </c>
      <c r="AL595" s="2" t="s">
        <v>661</v>
      </c>
      <c r="AM595" s="2" t="s">
        <v>661</v>
      </c>
      <c r="AN595" s="2" t="s">
        <v>661</v>
      </c>
      <c r="AO595" s="2" t="s">
        <v>661</v>
      </c>
      <c r="AP595" s="15">
        <v>2.2799999999999998</v>
      </c>
      <c r="AQ595" s="2" t="s">
        <v>661</v>
      </c>
      <c r="AR595" s="16">
        <v>93</v>
      </c>
      <c r="AS595" s="16">
        <v>1</v>
      </c>
      <c r="AT595" s="16">
        <v>5</v>
      </c>
      <c r="AU595" s="2" t="s">
        <v>661</v>
      </c>
      <c r="AV595" s="16">
        <f t="shared" si="260"/>
        <v>99</v>
      </c>
      <c r="AW595" s="18">
        <v>0.4</v>
      </c>
      <c r="AX595" s="13">
        <f t="shared" si="258"/>
        <v>4.0000000000000001E-3</v>
      </c>
      <c r="AY595" s="8" t="s">
        <v>184</v>
      </c>
      <c r="AZ595" s="16">
        <v>100</v>
      </c>
      <c r="BA595" s="16" t="s">
        <v>55</v>
      </c>
      <c r="BB595" s="16">
        <v>5</v>
      </c>
      <c r="BC595" s="16" t="s">
        <v>55</v>
      </c>
      <c r="BD595" s="20">
        <v>7.0000000000000007E-2</v>
      </c>
      <c r="BE595" s="16">
        <f t="shared" si="251"/>
        <v>17.5</v>
      </c>
      <c r="BF595" s="16">
        <f t="shared" si="252"/>
        <v>1.2430380486862944</v>
      </c>
      <c r="BG595" s="8">
        <f t="shared" si="235"/>
        <v>-1.1549019599857431</v>
      </c>
      <c r="BH595" s="13" t="s">
        <v>345</v>
      </c>
      <c r="BI595" s="13"/>
      <c r="BJ595" s="13"/>
      <c r="BK595" s="13"/>
      <c r="BL595" s="13"/>
      <c r="BM595" s="17"/>
      <c r="BN595" s="17"/>
      <c r="BO595" s="2"/>
    </row>
    <row r="596" spans="1:67" s="14" customFormat="1" x14ac:dyDescent="0.3">
      <c r="A596" s="20">
        <v>611</v>
      </c>
      <c r="B596" s="2" t="s">
        <v>181</v>
      </c>
      <c r="C596" s="2">
        <v>2020</v>
      </c>
      <c r="D596" s="2" t="s">
        <v>203</v>
      </c>
      <c r="E596" s="10" t="s">
        <v>787</v>
      </c>
      <c r="F596" s="20" t="s">
        <v>29</v>
      </c>
      <c r="G596" s="2" t="s">
        <v>78</v>
      </c>
      <c r="H596" s="2" t="str">
        <f>'PFAS Properties'!$B$40</f>
        <v>GenX</v>
      </c>
      <c r="I596" s="2" t="str">
        <f>'PFAS Properties'!$C$40</f>
        <v>PFECA</v>
      </c>
      <c r="J596" s="2" t="str">
        <f>'PFAS Properties'!$D$40</f>
        <v>C6HF11O3</v>
      </c>
      <c r="K596" s="25">
        <f>'PFAS Properties'!$P$40</f>
        <v>329.97489999999993</v>
      </c>
      <c r="L596" s="2">
        <f>'PFAS Properties'!$X$40</f>
        <v>-0.1</v>
      </c>
      <c r="M596" s="2" t="str">
        <f>'PFAS Properties'!$Y$63</f>
        <v>-</v>
      </c>
      <c r="N596" s="33">
        <v>0</v>
      </c>
      <c r="O596" s="33">
        <v>0</v>
      </c>
      <c r="P596" s="33">
        <v>0</v>
      </c>
      <c r="Q596" s="33">
        <f t="shared" si="256"/>
        <v>0.99999993690426958</v>
      </c>
      <c r="R596" s="33">
        <v>0</v>
      </c>
      <c r="S596" s="33">
        <f t="shared" si="257"/>
        <v>6.3095730466947954E-8</v>
      </c>
      <c r="T596" s="8">
        <f t="shared" si="261"/>
        <v>1</v>
      </c>
      <c r="U596" s="33">
        <f t="shared" si="245"/>
        <v>0</v>
      </c>
      <c r="V596" s="33">
        <f t="shared" si="246"/>
        <v>-0.99999993690426958</v>
      </c>
      <c r="W596" s="33">
        <f t="shared" si="247"/>
        <v>328.97490006309567</v>
      </c>
      <c r="X596" s="33">
        <v>96485</v>
      </c>
      <c r="Y596" s="16">
        <f t="shared" si="248"/>
        <v>-293.28983425089007</v>
      </c>
      <c r="Z596" s="16">
        <v>6</v>
      </c>
      <c r="AA596" s="16">
        <v>11</v>
      </c>
      <c r="AB596" s="8">
        <f t="shared" si="249"/>
        <v>0.34449760765550236</v>
      </c>
      <c r="AC596" s="16">
        <f t="shared" si="250"/>
        <v>63.338150871475385</v>
      </c>
      <c r="AD596" s="20">
        <f>'PFAS Properties'!$W$40</f>
        <v>5</v>
      </c>
      <c r="AE596" s="8">
        <f>'PFAS Properties'!$S$40</f>
        <v>4.4345689040341991</v>
      </c>
      <c r="AF596" s="2">
        <f>'PFAS Properties'!$V$40</f>
        <v>3.6</v>
      </c>
      <c r="AG596" s="24">
        <v>7.1</v>
      </c>
      <c r="AH596" s="2" t="s">
        <v>183</v>
      </c>
      <c r="AI596" s="2" t="s">
        <v>661</v>
      </c>
      <c r="AJ596" s="2" t="s">
        <v>661</v>
      </c>
      <c r="AK596" s="2" t="s">
        <v>661</v>
      </c>
      <c r="AL596" s="2" t="s">
        <v>661</v>
      </c>
      <c r="AM596" s="2" t="s">
        <v>661</v>
      </c>
      <c r="AN596" s="2" t="s">
        <v>661</v>
      </c>
      <c r="AO596" s="2" t="s">
        <v>661</v>
      </c>
      <c r="AP596" s="15">
        <v>17.420000000000002</v>
      </c>
      <c r="AQ596" s="2" t="s">
        <v>661</v>
      </c>
      <c r="AR596" s="16">
        <v>48.86</v>
      </c>
      <c r="AS596" s="16">
        <v>16.05</v>
      </c>
      <c r="AT596" s="16">
        <v>35.090000000000003</v>
      </c>
      <c r="AU596" s="2" t="s">
        <v>661</v>
      </c>
      <c r="AV596" s="16">
        <f t="shared" si="260"/>
        <v>100</v>
      </c>
      <c r="AW596" s="18">
        <v>1.19</v>
      </c>
      <c r="AX596" s="13">
        <f t="shared" si="258"/>
        <v>1.1899999999999999E-2</v>
      </c>
      <c r="AY596" s="8" t="s">
        <v>184</v>
      </c>
      <c r="AZ596" s="16">
        <v>100</v>
      </c>
      <c r="BA596" s="16" t="s">
        <v>55</v>
      </c>
      <c r="BB596" s="16">
        <v>5</v>
      </c>
      <c r="BC596" s="16" t="s">
        <v>55</v>
      </c>
      <c r="BD596" s="20">
        <v>0.18</v>
      </c>
      <c r="BE596" s="16">
        <f t="shared" si="251"/>
        <v>15.126050420168069</v>
      </c>
      <c r="BF596" s="16">
        <f t="shared" si="252"/>
        <v>1.1797255437107754</v>
      </c>
      <c r="BG596" s="8">
        <f t="shared" si="235"/>
        <v>-0.74472749489669399</v>
      </c>
      <c r="BH596" s="13" t="s">
        <v>345</v>
      </c>
      <c r="BI596" s="13"/>
      <c r="BJ596" s="13"/>
      <c r="BK596" s="13"/>
      <c r="BL596" s="13"/>
      <c r="BM596" s="17"/>
      <c r="BN596" s="17"/>
      <c r="BO596" s="2"/>
    </row>
    <row r="597" spans="1:67" s="14" customFormat="1" x14ac:dyDescent="0.3">
      <c r="A597" s="20">
        <v>612</v>
      </c>
      <c r="B597" s="2" t="s">
        <v>181</v>
      </c>
      <c r="C597" s="2">
        <v>2020</v>
      </c>
      <c r="D597" s="2" t="s">
        <v>203</v>
      </c>
      <c r="E597" s="10" t="s">
        <v>787</v>
      </c>
      <c r="F597" s="20" t="s">
        <v>29</v>
      </c>
      <c r="G597" s="2" t="s">
        <v>98</v>
      </c>
      <c r="H597" s="2" t="str">
        <f>'PFAS Properties'!$B$40</f>
        <v>GenX</v>
      </c>
      <c r="I597" s="2" t="str">
        <f>'PFAS Properties'!$C$40</f>
        <v>PFECA</v>
      </c>
      <c r="J597" s="2" t="str">
        <f>'PFAS Properties'!$D$40</f>
        <v>C6HF11O3</v>
      </c>
      <c r="K597" s="25">
        <f>'PFAS Properties'!$P$40</f>
        <v>329.97489999999993</v>
      </c>
      <c r="L597" s="2">
        <f>'PFAS Properties'!$X$40</f>
        <v>-0.1</v>
      </c>
      <c r="M597" s="2" t="str">
        <f>'PFAS Properties'!$Y$63</f>
        <v>-</v>
      </c>
      <c r="N597" s="33">
        <v>0</v>
      </c>
      <c r="O597" s="33">
        <v>0</v>
      </c>
      <c r="P597" s="33">
        <v>0</v>
      </c>
      <c r="Q597" s="33">
        <f t="shared" si="256"/>
        <v>0.99999968377233395</v>
      </c>
      <c r="R597" s="33">
        <v>0</v>
      </c>
      <c r="S597" s="33">
        <f t="shared" si="257"/>
        <v>3.1622766601686895E-7</v>
      </c>
      <c r="T597" s="8">
        <f t="shared" si="261"/>
        <v>1</v>
      </c>
      <c r="U597" s="33">
        <f t="shared" si="245"/>
        <v>0</v>
      </c>
      <c r="V597" s="33">
        <f t="shared" si="246"/>
        <v>-0.99999968377233395</v>
      </c>
      <c r="W597" s="33">
        <f t="shared" si="247"/>
        <v>328.9749003162276</v>
      </c>
      <c r="X597" s="33">
        <v>96485</v>
      </c>
      <c r="Y597" s="16">
        <f t="shared" si="248"/>
        <v>-293.28975978418816</v>
      </c>
      <c r="Z597" s="16">
        <v>6</v>
      </c>
      <c r="AA597" s="16">
        <v>11</v>
      </c>
      <c r="AB597" s="8">
        <f t="shared" si="249"/>
        <v>0.34449760765550236</v>
      </c>
      <c r="AC597" s="16">
        <f t="shared" si="250"/>
        <v>63.338150871475385</v>
      </c>
      <c r="AD597" s="20">
        <f>'PFAS Properties'!$W$40</f>
        <v>5</v>
      </c>
      <c r="AE597" s="8">
        <f>'PFAS Properties'!$S$40</f>
        <v>4.4345689040341991</v>
      </c>
      <c r="AF597" s="2">
        <f>'PFAS Properties'!$V$40</f>
        <v>3.6</v>
      </c>
      <c r="AG597" s="24">
        <v>6.4</v>
      </c>
      <c r="AH597" s="2" t="s">
        <v>183</v>
      </c>
      <c r="AI597" s="2" t="s">
        <v>661</v>
      </c>
      <c r="AJ597" s="15" t="s">
        <v>661</v>
      </c>
      <c r="AK597" s="8" t="s">
        <v>661</v>
      </c>
      <c r="AL597" s="2" t="s">
        <v>661</v>
      </c>
      <c r="AM597" s="15" t="s">
        <v>661</v>
      </c>
      <c r="AN597" s="8" t="s">
        <v>661</v>
      </c>
      <c r="AO597" s="15" t="s">
        <v>661</v>
      </c>
      <c r="AP597" s="15">
        <v>16.54</v>
      </c>
      <c r="AQ597" s="13" t="s">
        <v>661</v>
      </c>
      <c r="AR597" s="16">
        <v>29.38</v>
      </c>
      <c r="AS597" s="16">
        <v>13.9</v>
      </c>
      <c r="AT597" s="16">
        <v>56.71</v>
      </c>
      <c r="AU597" s="15" t="s">
        <v>661</v>
      </c>
      <c r="AV597" s="16">
        <f t="shared" si="260"/>
        <v>99.990000000000009</v>
      </c>
      <c r="AW597" s="18">
        <v>0.17</v>
      </c>
      <c r="AX597" s="13">
        <f t="shared" si="258"/>
        <v>1.7000000000000001E-3</v>
      </c>
      <c r="AY597" s="8" t="s">
        <v>184</v>
      </c>
      <c r="AZ597" s="16">
        <v>100</v>
      </c>
      <c r="BA597" s="16" t="s">
        <v>55</v>
      </c>
      <c r="BB597" s="16">
        <v>5</v>
      </c>
      <c r="BC597" s="16" t="s">
        <v>55</v>
      </c>
      <c r="BD597" s="20">
        <v>0.32</v>
      </c>
      <c r="BE597" s="16">
        <f t="shared" si="251"/>
        <v>188.23529411764704</v>
      </c>
      <c r="BF597" s="16">
        <f t="shared" si="252"/>
        <v>2.2747010569416322</v>
      </c>
      <c r="BG597" s="8">
        <f t="shared" si="235"/>
        <v>-0.49485002168009401</v>
      </c>
      <c r="BH597" s="13" t="s">
        <v>345</v>
      </c>
      <c r="BI597" s="13"/>
      <c r="BJ597" s="13"/>
      <c r="BK597" s="13"/>
      <c r="BL597" s="13"/>
      <c r="BM597" s="17"/>
      <c r="BN597" s="17"/>
      <c r="BO597" s="2"/>
    </row>
    <row r="598" spans="1:67" s="14" customFormat="1" x14ac:dyDescent="0.3">
      <c r="A598" s="20">
        <v>613</v>
      </c>
      <c r="B598" s="2" t="s">
        <v>181</v>
      </c>
      <c r="C598" s="2">
        <v>2020</v>
      </c>
      <c r="D598" s="2" t="s">
        <v>203</v>
      </c>
      <c r="E598" s="10" t="s">
        <v>787</v>
      </c>
      <c r="F598" s="20" t="s">
        <v>29</v>
      </c>
      <c r="G598" s="2" t="s">
        <v>62</v>
      </c>
      <c r="H598" s="2" t="str">
        <f>'PFAS Properties'!$B$41</f>
        <v>ADONA</v>
      </c>
      <c r="I598" s="2" t="str">
        <f>'PFAS Properties'!$C$41</f>
        <v>PFECA</v>
      </c>
      <c r="J598" s="2" t="str">
        <f>'PFAS Properties'!$D$41</f>
        <v>C7H2F12O4</v>
      </c>
      <c r="K598" s="25">
        <f>'PFAS Properties'!$P$41</f>
        <v>377.976</v>
      </c>
      <c r="L598" s="2">
        <f>'PFAS Properties'!$X$41</f>
        <v>1.2</v>
      </c>
      <c r="M598" s="2" t="str">
        <f>'PFAS Properties'!$Y$63</f>
        <v>-</v>
      </c>
      <c r="N598" s="33">
        <v>0</v>
      </c>
      <c r="O598" s="33">
        <v>0</v>
      </c>
      <c r="P598" s="33">
        <v>0</v>
      </c>
      <c r="Q598" s="33">
        <f t="shared" si="256"/>
        <v>0.99999949881301753</v>
      </c>
      <c r="R598" s="33">
        <v>0</v>
      </c>
      <c r="S598" s="33">
        <f t="shared" si="257"/>
        <v>5.0118698243875488E-7</v>
      </c>
      <c r="T598" s="8">
        <f t="shared" si="261"/>
        <v>1</v>
      </c>
      <c r="U598" s="33">
        <f t="shared" si="245"/>
        <v>0</v>
      </c>
      <c r="V598" s="33">
        <f t="shared" si="246"/>
        <v>-0.99999949881301753</v>
      </c>
      <c r="W598" s="33">
        <f t="shared" si="247"/>
        <v>376.976000501187</v>
      </c>
      <c r="X598" s="33">
        <v>96485</v>
      </c>
      <c r="Y598" s="16">
        <f t="shared" si="248"/>
        <v>-255.94454690669411</v>
      </c>
      <c r="Z598" s="16">
        <v>7</v>
      </c>
      <c r="AA598" s="16">
        <v>12</v>
      </c>
      <c r="AB598" s="8">
        <f t="shared" si="249"/>
        <v>0.36842105263157893</v>
      </c>
      <c r="AC598" s="16">
        <f t="shared" si="250"/>
        <v>60.321290240650207</v>
      </c>
      <c r="AD598" s="20">
        <f>'PFAS Properties'!$W$41</f>
        <v>6</v>
      </c>
      <c r="AE598" s="8">
        <f>'PFAS Properties'!$S$41</f>
        <v>3.9716932389498609</v>
      </c>
      <c r="AF598" s="2">
        <f>'PFAS Properties'!$V$41</f>
        <v>4.0999999999999996</v>
      </c>
      <c r="AG598" s="24">
        <v>7.5</v>
      </c>
      <c r="AH598" s="2" t="s">
        <v>183</v>
      </c>
      <c r="AI598" s="2" t="s">
        <v>661</v>
      </c>
      <c r="AJ598" s="2" t="s">
        <v>661</v>
      </c>
      <c r="AK598" s="2" t="s">
        <v>661</v>
      </c>
      <c r="AL598" s="2" t="s">
        <v>661</v>
      </c>
      <c r="AM598" s="2" t="s">
        <v>661</v>
      </c>
      <c r="AN598" s="2" t="s">
        <v>661</v>
      </c>
      <c r="AO598" s="2" t="s">
        <v>661</v>
      </c>
      <c r="AP598" s="15">
        <v>41.4</v>
      </c>
      <c r="AQ598" s="2" t="s">
        <v>661</v>
      </c>
      <c r="AR598" s="16">
        <v>16.899999999999999</v>
      </c>
      <c r="AS598" s="16">
        <v>17.5</v>
      </c>
      <c r="AT598" s="16">
        <v>65.599999999999994</v>
      </c>
      <c r="AU598" s="2" t="s">
        <v>661</v>
      </c>
      <c r="AV598" s="16">
        <f t="shared" si="260"/>
        <v>100</v>
      </c>
      <c r="AW598" s="18">
        <v>0.7</v>
      </c>
      <c r="AX598" s="13">
        <f t="shared" si="258"/>
        <v>6.9999999999999993E-3</v>
      </c>
      <c r="AY598" s="13" t="s">
        <v>184</v>
      </c>
      <c r="AZ598" s="16">
        <v>100</v>
      </c>
      <c r="BA598" s="16" t="s">
        <v>55</v>
      </c>
      <c r="BB598" s="16">
        <v>5</v>
      </c>
      <c r="BC598" s="16" t="s">
        <v>55</v>
      </c>
      <c r="BD598" s="18">
        <v>0.39</v>
      </c>
      <c r="BE598" s="16">
        <f t="shared" si="251"/>
        <v>55.714285714285722</v>
      </c>
      <c r="BF598" s="16">
        <f t="shared" si="252"/>
        <v>1.7459665670122424</v>
      </c>
      <c r="BG598" s="8">
        <f t="shared" ref="BG598:BG661" si="262">LOG(BD598)</f>
        <v>-0.40893539297350079</v>
      </c>
      <c r="BH598" s="13" t="s">
        <v>345</v>
      </c>
      <c r="BI598" s="13"/>
      <c r="BJ598" s="13"/>
      <c r="BK598" s="13"/>
      <c r="BL598" s="13"/>
      <c r="BM598" s="17"/>
      <c r="BN598" s="17"/>
      <c r="BO598" s="2"/>
    </row>
    <row r="599" spans="1:67" s="14" customFormat="1" x14ac:dyDescent="0.3">
      <c r="A599" s="20">
        <v>614</v>
      </c>
      <c r="B599" s="2" t="s">
        <v>181</v>
      </c>
      <c r="C599" s="2">
        <v>2020</v>
      </c>
      <c r="D599" s="2" t="s">
        <v>203</v>
      </c>
      <c r="E599" s="10" t="s">
        <v>787</v>
      </c>
      <c r="F599" s="20" t="s">
        <v>29</v>
      </c>
      <c r="G599" s="2" t="s">
        <v>57</v>
      </c>
      <c r="H599" s="2" t="str">
        <f>'PFAS Properties'!$B$41</f>
        <v>ADONA</v>
      </c>
      <c r="I599" s="2" t="str">
        <f>'PFAS Properties'!$C$41</f>
        <v>PFECA</v>
      </c>
      <c r="J599" s="2" t="str">
        <f>'PFAS Properties'!$D$41</f>
        <v>C7H2F12O4</v>
      </c>
      <c r="K599" s="25">
        <f>'PFAS Properties'!$P$41</f>
        <v>377.976</v>
      </c>
      <c r="L599" s="2">
        <f>'PFAS Properties'!$X$41</f>
        <v>1.2</v>
      </c>
      <c r="M599" s="2" t="str">
        <f>'PFAS Properties'!$Y$63</f>
        <v>-</v>
      </c>
      <c r="N599" s="33">
        <v>0</v>
      </c>
      <c r="O599" s="33">
        <v>0</v>
      </c>
      <c r="P599" s="33">
        <v>0</v>
      </c>
      <c r="Q599" s="33">
        <f t="shared" si="256"/>
        <v>0.9999974881198781</v>
      </c>
      <c r="R599" s="33">
        <v>0</v>
      </c>
      <c r="S599" s="33">
        <f t="shared" si="257"/>
        <v>2.5118801219519848E-6</v>
      </c>
      <c r="T599" s="8">
        <f t="shared" si="261"/>
        <v>1</v>
      </c>
      <c r="U599" s="33">
        <f t="shared" si="245"/>
        <v>0</v>
      </c>
      <c r="V599" s="33">
        <f t="shared" si="246"/>
        <v>-0.9999974881198781</v>
      </c>
      <c r="W599" s="33">
        <f t="shared" si="247"/>
        <v>376.97600251188015</v>
      </c>
      <c r="X599" s="33">
        <v>96485</v>
      </c>
      <c r="Y599" s="16">
        <f t="shared" si="248"/>
        <v>-255.9440309153519</v>
      </c>
      <c r="Z599" s="16">
        <v>7</v>
      </c>
      <c r="AA599" s="16">
        <v>12</v>
      </c>
      <c r="AB599" s="8">
        <f t="shared" si="249"/>
        <v>0.36842105263157893</v>
      </c>
      <c r="AC599" s="16">
        <f t="shared" si="250"/>
        <v>60.321290240650207</v>
      </c>
      <c r="AD599" s="20">
        <f>'PFAS Properties'!$W$41</f>
        <v>6</v>
      </c>
      <c r="AE599" s="8">
        <f>'PFAS Properties'!$S$41</f>
        <v>3.9716932389498609</v>
      </c>
      <c r="AF599" s="2">
        <f>'PFAS Properties'!$V$41</f>
        <v>4.0999999999999996</v>
      </c>
      <c r="AG599" s="24">
        <v>6.8</v>
      </c>
      <c r="AH599" s="2" t="s">
        <v>183</v>
      </c>
      <c r="AI599" s="2" t="s">
        <v>661</v>
      </c>
      <c r="AJ599" s="2" t="s">
        <v>661</v>
      </c>
      <c r="AK599" s="2" t="s">
        <v>661</v>
      </c>
      <c r="AL599" s="2" t="s">
        <v>661</v>
      </c>
      <c r="AM599" s="2" t="s">
        <v>661</v>
      </c>
      <c r="AN599" s="2" t="s">
        <v>661</v>
      </c>
      <c r="AO599" s="2" t="s">
        <v>661</v>
      </c>
      <c r="AP599" s="15">
        <v>7.1</v>
      </c>
      <c r="AQ599" s="2" t="s">
        <v>661</v>
      </c>
      <c r="AR599" s="16">
        <v>48.9</v>
      </c>
      <c r="AS599" s="16">
        <v>27</v>
      </c>
      <c r="AT599" s="16">
        <v>24.2</v>
      </c>
      <c r="AU599" s="2" t="s">
        <v>661</v>
      </c>
      <c r="AV599" s="16">
        <f t="shared" si="260"/>
        <v>100.10000000000001</v>
      </c>
      <c r="AW599" s="18">
        <v>0.37</v>
      </c>
      <c r="AX599" s="13">
        <f t="shared" si="258"/>
        <v>3.7000000000000002E-3</v>
      </c>
      <c r="AY599" s="13" t="s">
        <v>184</v>
      </c>
      <c r="AZ599" s="16">
        <v>100</v>
      </c>
      <c r="BA599" s="16" t="s">
        <v>55</v>
      </c>
      <c r="BB599" s="16">
        <v>5</v>
      </c>
      <c r="BC599" s="16" t="s">
        <v>55</v>
      </c>
      <c r="BD599" s="20">
        <v>0.31</v>
      </c>
      <c r="BE599" s="16">
        <f t="shared" si="251"/>
        <v>83.783783783783775</v>
      </c>
      <c r="BF599" s="16">
        <f t="shared" si="252"/>
        <v>1.9231599697672777</v>
      </c>
      <c r="BG599" s="8">
        <f t="shared" si="262"/>
        <v>-0.50863830616572736</v>
      </c>
      <c r="BH599" s="13" t="s">
        <v>345</v>
      </c>
      <c r="BI599" s="13"/>
      <c r="BJ599" s="13"/>
      <c r="BK599" s="13"/>
      <c r="BL599" s="13"/>
      <c r="BM599" s="17"/>
      <c r="BN599" s="17"/>
      <c r="BO599" s="2"/>
    </row>
    <row r="600" spans="1:67" s="14" customFormat="1" x14ac:dyDescent="0.3">
      <c r="A600" s="20">
        <v>615</v>
      </c>
      <c r="B600" s="2" t="s">
        <v>181</v>
      </c>
      <c r="C600" s="2">
        <v>2020</v>
      </c>
      <c r="D600" s="2" t="s">
        <v>203</v>
      </c>
      <c r="E600" s="10" t="s">
        <v>787</v>
      </c>
      <c r="F600" s="20" t="s">
        <v>29</v>
      </c>
      <c r="G600" s="2" t="s">
        <v>58</v>
      </c>
      <c r="H600" s="2" t="str">
        <f>'PFAS Properties'!$B$41</f>
        <v>ADONA</v>
      </c>
      <c r="I600" s="2" t="str">
        <f>'PFAS Properties'!$C$41</f>
        <v>PFECA</v>
      </c>
      <c r="J600" s="2" t="str">
        <f>'PFAS Properties'!$D$41</f>
        <v>C7H2F12O4</v>
      </c>
      <c r="K600" s="25">
        <f>'PFAS Properties'!$P$41</f>
        <v>377.976</v>
      </c>
      <c r="L600" s="2">
        <f>'PFAS Properties'!$X$41</f>
        <v>1.2</v>
      </c>
      <c r="M600" s="2" t="str">
        <f>'PFAS Properties'!$Y$63</f>
        <v>-</v>
      </c>
      <c r="N600" s="33">
        <v>0</v>
      </c>
      <c r="O600" s="33">
        <v>0</v>
      </c>
      <c r="P600" s="33">
        <v>0</v>
      </c>
      <c r="Q600" s="33">
        <f t="shared" si="256"/>
        <v>0.99999000009999905</v>
      </c>
      <c r="R600" s="33">
        <v>0</v>
      </c>
      <c r="S600" s="33">
        <f t="shared" si="257"/>
        <v>9.9999000009999908E-6</v>
      </c>
      <c r="T600" s="8">
        <f t="shared" si="261"/>
        <v>1</v>
      </c>
      <c r="U600" s="33">
        <f t="shared" si="245"/>
        <v>0</v>
      </c>
      <c r="V600" s="33">
        <f t="shared" si="246"/>
        <v>-0.99999000009999905</v>
      </c>
      <c r="W600" s="33">
        <f t="shared" si="247"/>
        <v>376.97600999989999</v>
      </c>
      <c r="X600" s="33">
        <v>96485</v>
      </c>
      <c r="Y600" s="16">
        <f t="shared" si="248"/>
        <v>-255.94210931266952</v>
      </c>
      <c r="Z600" s="16">
        <v>7</v>
      </c>
      <c r="AA600" s="16">
        <v>12</v>
      </c>
      <c r="AB600" s="8">
        <f t="shared" si="249"/>
        <v>0.36842105263157893</v>
      </c>
      <c r="AC600" s="16">
        <f t="shared" si="250"/>
        <v>60.321290240650207</v>
      </c>
      <c r="AD600" s="20">
        <f>'PFAS Properties'!$W$41</f>
        <v>6</v>
      </c>
      <c r="AE600" s="8">
        <f>'PFAS Properties'!$S$41</f>
        <v>3.9716932389498609</v>
      </c>
      <c r="AF600" s="2">
        <f>'PFAS Properties'!$V$41</f>
        <v>4.0999999999999996</v>
      </c>
      <c r="AG600" s="24">
        <v>6.2</v>
      </c>
      <c r="AH600" s="2" t="s">
        <v>183</v>
      </c>
      <c r="AI600" s="2" t="s">
        <v>661</v>
      </c>
      <c r="AJ600" s="2" t="s">
        <v>661</v>
      </c>
      <c r="AK600" s="2" t="s">
        <v>661</v>
      </c>
      <c r="AL600" s="2" t="s">
        <v>661</v>
      </c>
      <c r="AM600" s="2" t="s">
        <v>661</v>
      </c>
      <c r="AN600" s="2" t="s">
        <v>661</v>
      </c>
      <c r="AO600" s="2" t="s">
        <v>661</v>
      </c>
      <c r="AP600" s="15">
        <v>8</v>
      </c>
      <c r="AQ600" s="2" t="s">
        <v>661</v>
      </c>
      <c r="AR600" s="16">
        <v>51.44</v>
      </c>
      <c r="AS600" s="16">
        <v>10.17</v>
      </c>
      <c r="AT600" s="16">
        <v>38.380000000000003</v>
      </c>
      <c r="AU600" s="2" t="s">
        <v>661</v>
      </c>
      <c r="AV600" s="16">
        <f t="shared" si="260"/>
        <v>99.990000000000009</v>
      </c>
      <c r="AW600" s="18">
        <v>0.08</v>
      </c>
      <c r="AX600" s="13">
        <f t="shared" si="258"/>
        <v>8.0000000000000004E-4</v>
      </c>
      <c r="AY600" s="8" t="s">
        <v>184</v>
      </c>
      <c r="AZ600" s="16">
        <v>100</v>
      </c>
      <c r="BA600" s="16" t="s">
        <v>55</v>
      </c>
      <c r="BB600" s="16">
        <v>5</v>
      </c>
      <c r="BC600" s="16" t="s">
        <v>55</v>
      </c>
      <c r="BD600" s="20">
        <v>0.21</v>
      </c>
      <c r="BE600" s="16">
        <f t="shared" si="251"/>
        <v>262.5</v>
      </c>
      <c r="BF600" s="16">
        <f t="shared" si="252"/>
        <v>2.4191293077419758</v>
      </c>
      <c r="BG600" s="8">
        <f t="shared" si="262"/>
        <v>-0.6777807052660807</v>
      </c>
      <c r="BH600" s="13" t="s">
        <v>345</v>
      </c>
      <c r="BI600" s="13"/>
      <c r="BJ600" s="13"/>
      <c r="BK600" s="13"/>
      <c r="BL600" s="13"/>
      <c r="BM600" s="17"/>
      <c r="BN600" s="17"/>
      <c r="BO600" s="2"/>
    </row>
    <row r="601" spans="1:67" s="14" customFormat="1" x14ac:dyDescent="0.3">
      <c r="A601" s="20">
        <v>616</v>
      </c>
      <c r="B601" s="2" t="s">
        <v>181</v>
      </c>
      <c r="C601" s="2">
        <v>2020</v>
      </c>
      <c r="D601" s="2" t="s">
        <v>203</v>
      </c>
      <c r="E601" s="10" t="s">
        <v>787</v>
      </c>
      <c r="F601" s="20" t="s">
        <v>29</v>
      </c>
      <c r="G601" s="2" t="s">
        <v>59</v>
      </c>
      <c r="H601" s="2" t="str">
        <f>'PFAS Properties'!$B$41</f>
        <v>ADONA</v>
      </c>
      <c r="I601" s="2" t="str">
        <f>'PFAS Properties'!$C$41</f>
        <v>PFECA</v>
      </c>
      <c r="J601" s="2" t="str">
        <f>'PFAS Properties'!$D$41</f>
        <v>C7H2F12O4</v>
      </c>
      <c r="K601" s="25">
        <f>'PFAS Properties'!$P$41</f>
        <v>377.976</v>
      </c>
      <c r="L601" s="2">
        <f>'PFAS Properties'!$X$41</f>
        <v>1.2</v>
      </c>
      <c r="M601" s="2" t="str">
        <f>'PFAS Properties'!$Y$63</f>
        <v>-</v>
      </c>
      <c r="N601" s="33">
        <v>0</v>
      </c>
      <c r="O601" s="33">
        <v>0</v>
      </c>
      <c r="P601" s="33">
        <v>0</v>
      </c>
      <c r="Q601" s="33">
        <f t="shared" si="256"/>
        <v>0.99999968377233395</v>
      </c>
      <c r="R601" s="33">
        <v>0</v>
      </c>
      <c r="S601" s="33">
        <f t="shared" si="257"/>
        <v>3.1622766601686895E-7</v>
      </c>
      <c r="T601" s="8">
        <f t="shared" si="261"/>
        <v>1</v>
      </c>
      <c r="U601" s="33">
        <f t="shared" si="245"/>
        <v>0</v>
      </c>
      <c r="V601" s="33">
        <f t="shared" si="246"/>
        <v>-0.99999968377233395</v>
      </c>
      <c r="W601" s="33">
        <f t="shared" si="247"/>
        <v>376.97600031622761</v>
      </c>
      <c r="X601" s="33">
        <v>96485</v>
      </c>
      <c r="Y601" s="16">
        <f t="shared" si="248"/>
        <v>-255.94459437162286</v>
      </c>
      <c r="Z601" s="16">
        <v>7</v>
      </c>
      <c r="AA601" s="16">
        <v>12</v>
      </c>
      <c r="AB601" s="8">
        <f t="shared" si="249"/>
        <v>0.36842105263157893</v>
      </c>
      <c r="AC601" s="16">
        <f t="shared" si="250"/>
        <v>60.321290240650207</v>
      </c>
      <c r="AD601" s="20">
        <f>'PFAS Properties'!$W$41</f>
        <v>6</v>
      </c>
      <c r="AE601" s="8">
        <f>'PFAS Properties'!$S$41</f>
        <v>3.9716932389498609</v>
      </c>
      <c r="AF601" s="2">
        <f>'PFAS Properties'!$V$41</f>
        <v>4.0999999999999996</v>
      </c>
      <c r="AG601" s="24">
        <v>7.7</v>
      </c>
      <c r="AH601" s="2" t="s">
        <v>183</v>
      </c>
      <c r="AI601" s="2" t="s">
        <v>661</v>
      </c>
      <c r="AJ601" s="2" t="s">
        <v>661</v>
      </c>
      <c r="AK601" s="2" t="s">
        <v>661</v>
      </c>
      <c r="AL601" s="2" t="s">
        <v>661</v>
      </c>
      <c r="AM601" s="2" t="s">
        <v>661</v>
      </c>
      <c r="AN601" s="2" t="s">
        <v>661</v>
      </c>
      <c r="AO601" s="2" t="s">
        <v>661</v>
      </c>
      <c r="AP601" s="15">
        <v>4.8</v>
      </c>
      <c r="AQ601" s="2" t="s">
        <v>661</v>
      </c>
      <c r="AR601" s="16">
        <v>46</v>
      </c>
      <c r="AS601" s="16">
        <v>37</v>
      </c>
      <c r="AT601" s="16">
        <v>17</v>
      </c>
      <c r="AU601" s="2" t="s">
        <v>661</v>
      </c>
      <c r="AV601" s="16">
        <f t="shared" si="260"/>
        <v>100</v>
      </c>
      <c r="AW601" s="18">
        <v>0.25</v>
      </c>
      <c r="AX601" s="13">
        <f t="shared" si="258"/>
        <v>2.5000000000000001E-3</v>
      </c>
      <c r="AY601" s="13" t="s">
        <v>184</v>
      </c>
      <c r="AZ601" s="16">
        <v>100</v>
      </c>
      <c r="BA601" s="16" t="s">
        <v>55</v>
      </c>
      <c r="BB601" s="16">
        <v>5</v>
      </c>
      <c r="BC601" s="16" t="s">
        <v>55</v>
      </c>
      <c r="BD601" s="18">
        <v>0.14000000000000001</v>
      </c>
      <c r="BE601" s="16">
        <f t="shared" si="251"/>
        <v>56.000000000000007</v>
      </c>
      <c r="BF601" s="16">
        <f t="shared" si="252"/>
        <v>1.7481880270062005</v>
      </c>
      <c r="BG601" s="8">
        <f t="shared" si="262"/>
        <v>-0.85387196432176193</v>
      </c>
      <c r="BH601" s="13" t="s">
        <v>345</v>
      </c>
      <c r="BI601" s="13"/>
      <c r="BJ601" s="13"/>
      <c r="BK601" s="13"/>
      <c r="BL601" s="13"/>
      <c r="BM601" s="17"/>
      <c r="BN601" s="17"/>
      <c r="BO601" s="2"/>
    </row>
    <row r="602" spans="1:67" s="14" customFormat="1" x14ac:dyDescent="0.3">
      <c r="A602" s="20">
        <v>617</v>
      </c>
      <c r="B602" s="2" t="s">
        <v>181</v>
      </c>
      <c r="C602" s="2">
        <v>2020</v>
      </c>
      <c r="D602" s="2" t="s">
        <v>203</v>
      </c>
      <c r="E602" s="10" t="s">
        <v>787</v>
      </c>
      <c r="F602" s="20" t="s">
        <v>29</v>
      </c>
      <c r="G602" s="2" t="s">
        <v>61</v>
      </c>
      <c r="H602" s="2" t="str">
        <f>'PFAS Properties'!$B$41</f>
        <v>ADONA</v>
      </c>
      <c r="I602" s="2" t="str">
        <f>'PFAS Properties'!$C$41</f>
        <v>PFECA</v>
      </c>
      <c r="J602" s="2" t="str">
        <f>'PFAS Properties'!$D$41</f>
        <v>C7H2F12O4</v>
      </c>
      <c r="K602" s="25">
        <f>'PFAS Properties'!$P$41</f>
        <v>377.976</v>
      </c>
      <c r="L602" s="2">
        <f>'PFAS Properties'!$X$41</f>
        <v>1.2</v>
      </c>
      <c r="M602" s="2" t="str">
        <f>'PFAS Properties'!$Y$63</f>
        <v>-</v>
      </c>
      <c r="N602" s="33">
        <v>0</v>
      </c>
      <c r="O602" s="33">
        <v>0</v>
      </c>
      <c r="P602" s="33">
        <v>0</v>
      </c>
      <c r="Q602" s="33">
        <f t="shared" si="256"/>
        <v>0.99999936904305364</v>
      </c>
      <c r="R602" s="33">
        <v>0</v>
      </c>
      <c r="S602" s="33">
        <f t="shared" si="257"/>
        <v>6.309569463732732E-7</v>
      </c>
      <c r="T602" s="8">
        <f t="shared" si="261"/>
        <v>1</v>
      </c>
      <c r="U602" s="33">
        <f t="shared" si="245"/>
        <v>0</v>
      </c>
      <c r="V602" s="33">
        <f t="shared" si="246"/>
        <v>-0.99999936904305364</v>
      </c>
      <c r="W602" s="33">
        <f t="shared" si="247"/>
        <v>376.97600063095695</v>
      </c>
      <c r="X602" s="33">
        <v>96485</v>
      </c>
      <c r="Y602" s="16">
        <f t="shared" si="248"/>
        <v>-255.94451360465672</v>
      </c>
      <c r="Z602" s="16">
        <v>7</v>
      </c>
      <c r="AA602" s="16">
        <v>12</v>
      </c>
      <c r="AB602" s="8">
        <f t="shared" si="249"/>
        <v>0.36842105263157893</v>
      </c>
      <c r="AC602" s="16">
        <f t="shared" si="250"/>
        <v>60.321290240650207</v>
      </c>
      <c r="AD602" s="20">
        <f>'PFAS Properties'!$W$41</f>
        <v>6</v>
      </c>
      <c r="AE602" s="8">
        <f>'PFAS Properties'!$S$41</f>
        <v>3.9716932389498609</v>
      </c>
      <c r="AF602" s="2">
        <f>'PFAS Properties'!$V$41</f>
        <v>4.0999999999999996</v>
      </c>
      <c r="AG602" s="24">
        <v>7.4</v>
      </c>
      <c r="AH602" s="2" t="s">
        <v>183</v>
      </c>
      <c r="AI602" s="2" t="s">
        <v>661</v>
      </c>
      <c r="AJ602" s="2" t="s">
        <v>661</v>
      </c>
      <c r="AK602" s="2" t="s">
        <v>661</v>
      </c>
      <c r="AL602" s="2" t="s">
        <v>661</v>
      </c>
      <c r="AM602" s="2" t="s">
        <v>661</v>
      </c>
      <c r="AN602" s="2" t="s">
        <v>661</v>
      </c>
      <c r="AO602" s="2" t="s">
        <v>661</v>
      </c>
      <c r="AP602" s="15">
        <v>29.6</v>
      </c>
      <c r="AQ602" s="2" t="s">
        <v>661</v>
      </c>
      <c r="AR602" s="16">
        <v>39.799999999999997</v>
      </c>
      <c r="AS602" s="16">
        <v>7.7</v>
      </c>
      <c r="AT602" s="16">
        <v>52.5</v>
      </c>
      <c r="AU602" s="2" t="s">
        <v>661</v>
      </c>
      <c r="AV602" s="16">
        <f t="shared" si="260"/>
        <v>100</v>
      </c>
      <c r="AW602" s="18">
        <v>2.23</v>
      </c>
      <c r="AX602" s="13">
        <f t="shared" si="258"/>
        <v>2.23E-2</v>
      </c>
      <c r="AY602" s="8" t="s">
        <v>184</v>
      </c>
      <c r="AZ602" s="16">
        <v>100</v>
      </c>
      <c r="BA602" s="16" t="s">
        <v>55</v>
      </c>
      <c r="BB602" s="16">
        <v>5</v>
      </c>
      <c r="BC602" s="16" t="s">
        <v>55</v>
      </c>
      <c r="BD602" s="20">
        <v>0.26</v>
      </c>
      <c r="BE602" s="16">
        <f t="shared" si="251"/>
        <v>11.659192825112108</v>
      </c>
      <c r="BF602" s="16">
        <f t="shared" si="252"/>
        <v>1.0666684849226573</v>
      </c>
      <c r="BG602" s="8">
        <f t="shared" si="262"/>
        <v>-0.58502665202918203</v>
      </c>
      <c r="BH602" s="13" t="s">
        <v>345</v>
      </c>
      <c r="BI602" s="13"/>
      <c r="BJ602" s="13"/>
      <c r="BK602" s="13"/>
      <c r="BL602" s="13"/>
      <c r="BM602" s="17"/>
      <c r="BN602" s="17"/>
      <c r="BO602" s="2"/>
    </row>
    <row r="603" spans="1:67" s="14" customFormat="1" x14ac:dyDescent="0.3">
      <c r="A603" s="20">
        <v>618</v>
      </c>
      <c r="B603" s="2" t="s">
        <v>181</v>
      </c>
      <c r="C603" s="2">
        <v>2020</v>
      </c>
      <c r="D603" s="2" t="s">
        <v>203</v>
      </c>
      <c r="E603" s="10" t="s">
        <v>787</v>
      </c>
      <c r="F603" s="20" t="s">
        <v>29</v>
      </c>
      <c r="G603" s="2" t="s">
        <v>60</v>
      </c>
      <c r="H603" s="2" t="str">
        <f>'PFAS Properties'!$B$41</f>
        <v>ADONA</v>
      </c>
      <c r="I603" s="2" t="str">
        <f>'PFAS Properties'!$C$41</f>
        <v>PFECA</v>
      </c>
      <c r="J603" s="2" t="str">
        <f>'PFAS Properties'!$D$41</f>
        <v>C7H2F12O4</v>
      </c>
      <c r="K603" s="25">
        <f>'PFAS Properties'!$P$41</f>
        <v>377.976</v>
      </c>
      <c r="L603" s="2">
        <f>'PFAS Properties'!$X$41</f>
        <v>1.2</v>
      </c>
      <c r="M603" s="2" t="str">
        <f>'PFAS Properties'!$Y$63</f>
        <v>-</v>
      </c>
      <c r="N603" s="33">
        <v>0</v>
      </c>
      <c r="O603" s="33">
        <v>0</v>
      </c>
      <c r="P603" s="33">
        <v>0</v>
      </c>
      <c r="Q603" s="33">
        <f t="shared" si="256"/>
        <v>0.99999968377233395</v>
      </c>
      <c r="R603" s="33">
        <v>0</v>
      </c>
      <c r="S603" s="33">
        <f t="shared" si="257"/>
        <v>3.1622766601686895E-7</v>
      </c>
      <c r="T603" s="8">
        <f t="shared" si="261"/>
        <v>1</v>
      </c>
      <c r="U603" s="33">
        <f t="shared" si="245"/>
        <v>0</v>
      </c>
      <c r="V603" s="33">
        <f t="shared" si="246"/>
        <v>-0.99999968377233395</v>
      </c>
      <c r="W603" s="33">
        <f t="shared" si="247"/>
        <v>376.97600031622761</v>
      </c>
      <c r="X603" s="33">
        <v>96485</v>
      </c>
      <c r="Y603" s="16">
        <f t="shared" si="248"/>
        <v>-255.94459437162286</v>
      </c>
      <c r="Z603" s="16">
        <v>7</v>
      </c>
      <c r="AA603" s="16">
        <v>12</v>
      </c>
      <c r="AB603" s="8">
        <f t="shared" si="249"/>
        <v>0.36842105263157893</v>
      </c>
      <c r="AC603" s="16">
        <f t="shared" si="250"/>
        <v>60.321290240650207</v>
      </c>
      <c r="AD603" s="20">
        <f>'PFAS Properties'!$W$41</f>
        <v>6</v>
      </c>
      <c r="AE603" s="8">
        <f>'PFAS Properties'!$S$41</f>
        <v>3.9716932389498609</v>
      </c>
      <c r="AF603" s="2">
        <f>'PFAS Properties'!$V$41</f>
        <v>4.0999999999999996</v>
      </c>
      <c r="AG603" s="24">
        <v>7.7</v>
      </c>
      <c r="AH603" s="2" t="s">
        <v>183</v>
      </c>
      <c r="AI603" s="2" t="s">
        <v>661</v>
      </c>
      <c r="AJ603" s="2" t="s">
        <v>661</v>
      </c>
      <c r="AK603" s="2" t="s">
        <v>661</v>
      </c>
      <c r="AL603" s="2" t="s">
        <v>661</v>
      </c>
      <c r="AM603" s="2" t="s">
        <v>661</v>
      </c>
      <c r="AN603" s="2" t="s">
        <v>661</v>
      </c>
      <c r="AO603" s="2" t="s">
        <v>661</v>
      </c>
      <c r="AP603" s="15">
        <v>21.63</v>
      </c>
      <c r="AQ603" s="2" t="s">
        <v>661</v>
      </c>
      <c r="AR603" s="16">
        <v>70</v>
      </c>
      <c r="AS603" s="16">
        <v>11</v>
      </c>
      <c r="AT603" s="16">
        <v>19</v>
      </c>
      <c r="AU603" s="2" t="s">
        <v>661</v>
      </c>
      <c r="AV603" s="16">
        <f t="shared" si="260"/>
        <v>100</v>
      </c>
      <c r="AW603" s="18">
        <v>4.9000000000000004</v>
      </c>
      <c r="AX603" s="13">
        <f t="shared" si="258"/>
        <v>4.9000000000000002E-2</v>
      </c>
      <c r="AY603" s="8" t="s">
        <v>184</v>
      </c>
      <c r="AZ603" s="16">
        <v>100</v>
      </c>
      <c r="BA603" s="16" t="s">
        <v>55</v>
      </c>
      <c r="BB603" s="16">
        <v>5</v>
      </c>
      <c r="BC603" s="16" t="s">
        <v>55</v>
      </c>
      <c r="BD603" s="20">
        <v>0.68</v>
      </c>
      <c r="BE603" s="16">
        <f t="shared" si="251"/>
        <v>13.877551020408164</v>
      </c>
      <c r="BF603" s="16">
        <f t="shared" si="252"/>
        <v>1.1423128326777228</v>
      </c>
      <c r="BG603" s="8">
        <f t="shared" si="262"/>
        <v>-0.16749108729376366</v>
      </c>
      <c r="BH603" s="13" t="s">
        <v>345</v>
      </c>
      <c r="BI603" s="13"/>
      <c r="BJ603" s="13"/>
      <c r="BK603" s="13"/>
      <c r="BL603" s="13"/>
      <c r="BM603" s="17"/>
      <c r="BN603" s="17"/>
      <c r="BO603" s="2"/>
    </row>
    <row r="604" spans="1:67" s="14" customFormat="1" x14ac:dyDescent="0.3">
      <c r="A604" s="20">
        <v>619</v>
      </c>
      <c r="B604" s="2" t="s">
        <v>181</v>
      </c>
      <c r="C604" s="2">
        <v>2020</v>
      </c>
      <c r="D604" s="2" t="s">
        <v>203</v>
      </c>
      <c r="E604" s="10" t="s">
        <v>787</v>
      </c>
      <c r="F604" s="20" t="s">
        <v>29</v>
      </c>
      <c r="G604" s="2" t="s">
        <v>77</v>
      </c>
      <c r="H604" s="2" t="str">
        <f>'PFAS Properties'!$B$41</f>
        <v>ADONA</v>
      </c>
      <c r="I604" s="2" t="str">
        <f>'PFAS Properties'!$C$41</f>
        <v>PFECA</v>
      </c>
      <c r="J604" s="2" t="str">
        <f>'PFAS Properties'!$D$41</f>
        <v>C7H2F12O4</v>
      </c>
      <c r="K604" s="25">
        <f>'PFAS Properties'!$P$41</f>
        <v>377.976</v>
      </c>
      <c r="L604" s="2">
        <f>'PFAS Properties'!$X$41</f>
        <v>1.2</v>
      </c>
      <c r="M604" s="2" t="str">
        <f>'PFAS Properties'!$Y$63</f>
        <v>-</v>
      </c>
      <c r="N604" s="33">
        <v>0</v>
      </c>
      <c r="O604" s="33">
        <v>0</v>
      </c>
      <c r="P604" s="33">
        <v>0</v>
      </c>
      <c r="Q604" s="33">
        <f t="shared" si="256"/>
        <v>0.99999968377233395</v>
      </c>
      <c r="R604" s="33">
        <v>0</v>
      </c>
      <c r="S604" s="33">
        <f t="shared" si="257"/>
        <v>3.1622766601686895E-7</v>
      </c>
      <c r="T604" s="8">
        <f t="shared" si="261"/>
        <v>1</v>
      </c>
      <c r="U604" s="33">
        <f t="shared" si="245"/>
        <v>0</v>
      </c>
      <c r="V604" s="33">
        <f t="shared" si="246"/>
        <v>-0.99999968377233395</v>
      </c>
      <c r="W604" s="33">
        <f t="shared" si="247"/>
        <v>376.97600031622761</v>
      </c>
      <c r="X604" s="33">
        <v>96485</v>
      </c>
      <c r="Y604" s="16">
        <f t="shared" si="248"/>
        <v>-255.94459437162286</v>
      </c>
      <c r="Z604" s="16">
        <v>7</v>
      </c>
      <c r="AA604" s="16">
        <v>12</v>
      </c>
      <c r="AB604" s="8">
        <f t="shared" si="249"/>
        <v>0.36842105263157893</v>
      </c>
      <c r="AC604" s="16">
        <f t="shared" si="250"/>
        <v>60.321290240650207</v>
      </c>
      <c r="AD604" s="20">
        <f>'PFAS Properties'!$W$41</f>
        <v>6</v>
      </c>
      <c r="AE604" s="8">
        <f>'PFAS Properties'!$S$41</f>
        <v>3.9716932389498609</v>
      </c>
      <c r="AF604" s="2">
        <f>'PFAS Properties'!$V$41</f>
        <v>4.0999999999999996</v>
      </c>
      <c r="AG604" s="24">
        <v>7.7</v>
      </c>
      <c r="AH604" s="2" t="s">
        <v>183</v>
      </c>
      <c r="AI604" s="2" t="s">
        <v>661</v>
      </c>
      <c r="AJ604" s="2" t="s">
        <v>661</v>
      </c>
      <c r="AK604" s="2" t="s">
        <v>661</v>
      </c>
      <c r="AL604" s="2" t="s">
        <v>661</v>
      </c>
      <c r="AM604" s="2" t="s">
        <v>661</v>
      </c>
      <c r="AN604" s="2" t="s">
        <v>661</v>
      </c>
      <c r="AO604" s="2" t="s">
        <v>661</v>
      </c>
      <c r="AP604" s="15">
        <v>7.8</v>
      </c>
      <c r="AQ604" s="2" t="s">
        <v>661</v>
      </c>
      <c r="AR604" s="16">
        <v>48.9</v>
      </c>
      <c r="AS604" s="16">
        <v>32.6</v>
      </c>
      <c r="AT604" s="16">
        <v>18.5</v>
      </c>
      <c r="AU604" s="2" t="s">
        <v>661</v>
      </c>
      <c r="AV604" s="16">
        <f t="shared" si="260"/>
        <v>100</v>
      </c>
      <c r="AW604" s="18">
        <v>0.13</v>
      </c>
      <c r="AX604" s="13">
        <f t="shared" si="258"/>
        <v>1.2999999999999999E-3</v>
      </c>
      <c r="AY604" s="8" t="s">
        <v>184</v>
      </c>
      <c r="AZ604" s="16">
        <v>100</v>
      </c>
      <c r="BA604" s="16" t="s">
        <v>55</v>
      </c>
      <c r="BB604" s="16">
        <v>5</v>
      </c>
      <c r="BC604" s="16" t="s">
        <v>55</v>
      </c>
      <c r="BD604" s="20">
        <v>0.23</v>
      </c>
      <c r="BE604" s="16">
        <f t="shared" si="251"/>
        <v>176.92307692307693</v>
      </c>
      <c r="BF604" s="16">
        <f t="shared" si="252"/>
        <v>2.2477844837107561</v>
      </c>
      <c r="BG604" s="8">
        <f t="shared" si="262"/>
        <v>-0.63827216398240705</v>
      </c>
      <c r="BH604" s="13" t="s">
        <v>345</v>
      </c>
      <c r="BI604" s="13"/>
      <c r="BJ604" s="13"/>
      <c r="BK604" s="13"/>
      <c r="BL604" s="13"/>
      <c r="BM604" s="17"/>
      <c r="BN604" s="17"/>
      <c r="BO604" s="2"/>
    </row>
    <row r="605" spans="1:67" s="14" customFormat="1" x14ac:dyDescent="0.3">
      <c r="A605" s="20">
        <v>620</v>
      </c>
      <c r="B605" s="2" t="s">
        <v>181</v>
      </c>
      <c r="C605" s="2">
        <v>2020</v>
      </c>
      <c r="D605" s="2" t="s">
        <v>203</v>
      </c>
      <c r="E605" s="10" t="s">
        <v>787</v>
      </c>
      <c r="F605" s="20" t="s">
        <v>29</v>
      </c>
      <c r="G605" s="2" t="s">
        <v>182</v>
      </c>
      <c r="H605" s="2" t="str">
        <f>'PFAS Properties'!$B$41</f>
        <v>ADONA</v>
      </c>
      <c r="I605" s="2" t="str">
        <f>'PFAS Properties'!$C$41</f>
        <v>PFECA</v>
      </c>
      <c r="J605" s="2" t="str">
        <f>'PFAS Properties'!$D$41</f>
        <v>C7H2F12O4</v>
      </c>
      <c r="K605" s="25">
        <f>'PFAS Properties'!$P$41</f>
        <v>377.976</v>
      </c>
      <c r="L605" s="2">
        <f>'PFAS Properties'!$X$41</f>
        <v>1.2</v>
      </c>
      <c r="M605" s="2" t="str">
        <f>'PFAS Properties'!$Y$63</f>
        <v>-</v>
      </c>
      <c r="N605" s="33">
        <v>0</v>
      </c>
      <c r="O605" s="33">
        <v>0</v>
      </c>
      <c r="P605" s="33">
        <v>0</v>
      </c>
      <c r="Q605" s="33">
        <f t="shared" si="256"/>
        <v>0.99999949881301753</v>
      </c>
      <c r="R605" s="33">
        <v>0</v>
      </c>
      <c r="S605" s="33">
        <f t="shared" si="257"/>
        <v>5.0118698243875488E-7</v>
      </c>
      <c r="T605" s="8">
        <f t="shared" si="261"/>
        <v>1</v>
      </c>
      <c r="U605" s="33">
        <f t="shared" si="245"/>
        <v>0</v>
      </c>
      <c r="V605" s="33">
        <f t="shared" si="246"/>
        <v>-0.99999949881301753</v>
      </c>
      <c r="W605" s="33">
        <f t="shared" si="247"/>
        <v>376.976000501187</v>
      </c>
      <c r="X605" s="33">
        <v>96485</v>
      </c>
      <c r="Y605" s="16">
        <f t="shared" si="248"/>
        <v>-255.94454690669411</v>
      </c>
      <c r="Z605" s="16">
        <v>7</v>
      </c>
      <c r="AA605" s="16">
        <v>12</v>
      </c>
      <c r="AB605" s="8">
        <f t="shared" si="249"/>
        <v>0.36842105263157893</v>
      </c>
      <c r="AC605" s="16">
        <f t="shared" si="250"/>
        <v>60.321290240650207</v>
      </c>
      <c r="AD605" s="20">
        <f>'PFAS Properties'!$W$41</f>
        <v>6</v>
      </c>
      <c r="AE605" s="8">
        <f>'PFAS Properties'!$S$41</f>
        <v>3.9716932389498609</v>
      </c>
      <c r="AF605" s="2">
        <f>'PFAS Properties'!$V$41</f>
        <v>4.0999999999999996</v>
      </c>
      <c r="AG605" s="24">
        <v>7.5</v>
      </c>
      <c r="AH605" s="2" t="s">
        <v>183</v>
      </c>
      <c r="AI605" s="2" t="s">
        <v>661</v>
      </c>
      <c r="AJ605" s="2" t="s">
        <v>661</v>
      </c>
      <c r="AK605" s="2" t="s">
        <v>661</v>
      </c>
      <c r="AL605" s="2" t="s">
        <v>661</v>
      </c>
      <c r="AM605" s="2" t="s">
        <v>661</v>
      </c>
      <c r="AN605" s="2" t="s">
        <v>661</v>
      </c>
      <c r="AO605" s="2" t="s">
        <v>661</v>
      </c>
      <c r="AP605" s="15">
        <v>2.2799999999999998</v>
      </c>
      <c r="AQ605" s="2" t="s">
        <v>661</v>
      </c>
      <c r="AR605" s="16">
        <v>93</v>
      </c>
      <c r="AS605" s="16">
        <v>1</v>
      </c>
      <c r="AT605" s="16">
        <v>5</v>
      </c>
      <c r="AU605" s="2" t="s">
        <v>661</v>
      </c>
      <c r="AV605" s="16">
        <f t="shared" si="260"/>
        <v>99</v>
      </c>
      <c r="AW605" s="18">
        <v>0.4</v>
      </c>
      <c r="AX605" s="13">
        <f t="shared" si="258"/>
        <v>4.0000000000000001E-3</v>
      </c>
      <c r="AY605" s="8" t="s">
        <v>184</v>
      </c>
      <c r="AZ605" s="16">
        <v>100</v>
      </c>
      <c r="BA605" s="16" t="s">
        <v>55</v>
      </c>
      <c r="BB605" s="16">
        <v>5</v>
      </c>
      <c r="BC605" s="16" t="s">
        <v>55</v>
      </c>
      <c r="BD605" s="20">
        <v>0.09</v>
      </c>
      <c r="BE605" s="16">
        <f t="shared" si="251"/>
        <v>22.5</v>
      </c>
      <c r="BF605" s="16">
        <f t="shared" si="252"/>
        <v>1.3521825181113625</v>
      </c>
      <c r="BG605" s="8">
        <f t="shared" si="262"/>
        <v>-1.0457574905606752</v>
      </c>
      <c r="BH605" s="13" t="s">
        <v>345</v>
      </c>
      <c r="BI605" s="13"/>
      <c r="BJ605" s="13"/>
      <c r="BK605" s="13"/>
      <c r="BL605" s="13"/>
      <c r="BM605" s="17"/>
      <c r="BN605" s="17"/>
      <c r="BO605" s="2"/>
    </row>
    <row r="606" spans="1:67" s="14" customFormat="1" x14ac:dyDescent="0.3">
      <c r="A606" s="20">
        <v>621</v>
      </c>
      <c r="B606" s="2" t="s">
        <v>181</v>
      </c>
      <c r="C606" s="2">
        <v>2020</v>
      </c>
      <c r="D606" s="2" t="s">
        <v>203</v>
      </c>
      <c r="E606" s="10" t="s">
        <v>787</v>
      </c>
      <c r="F606" s="20" t="s">
        <v>29</v>
      </c>
      <c r="G606" s="2" t="s">
        <v>78</v>
      </c>
      <c r="H606" s="2" t="str">
        <f>'PFAS Properties'!$B$41</f>
        <v>ADONA</v>
      </c>
      <c r="I606" s="2" t="str">
        <f>'PFAS Properties'!$C$41</f>
        <v>PFECA</v>
      </c>
      <c r="J606" s="2" t="str">
        <f>'PFAS Properties'!$D$41</f>
        <v>C7H2F12O4</v>
      </c>
      <c r="K606" s="25">
        <f>'PFAS Properties'!$P$41</f>
        <v>377.976</v>
      </c>
      <c r="L606" s="2">
        <f>'PFAS Properties'!$X$41</f>
        <v>1.2</v>
      </c>
      <c r="M606" s="2" t="str">
        <f>'PFAS Properties'!$Y$63</f>
        <v>-</v>
      </c>
      <c r="N606" s="33">
        <v>0</v>
      </c>
      <c r="O606" s="33">
        <v>0</v>
      </c>
      <c r="P606" s="33">
        <v>0</v>
      </c>
      <c r="Q606" s="33">
        <f t="shared" si="256"/>
        <v>0.99999874107617315</v>
      </c>
      <c r="R606" s="33">
        <v>0</v>
      </c>
      <c r="S606" s="33">
        <f t="shared" si="257"/>
        <v>1.2589238269029693E-6</v>
      </c>
      <c r="T606" s="8">
        <f t="shared" si="261"/>
        <v>1</v>
      </c>
      <c r="U606" s="33">
        <f t="shared" si="245"/>
        <v>0</v>
      </c>
      <c r="V606" s="33">
        <f t="shared" si="246"/>
        <v>-0.99999874107617315</v>
      </c>
      <c r="W606" s="33">
        <f t="shared" si="247"/>
        <v>376.97600125892382</v>
      </c>
      <c r="X606" s="33">
        <v>96485</v>
      </c>
      <c r="Y606" s="16">
        <f t="shared" si="248"/>
        <v>-255.94435245352523</v>
      </c>
      <c r="Z606" s="16">
        <v>7</v>
      </c>
      <c r="AA606" s="16">
        <v>12</v>
      </c>
      <c r="AB606" s="8">
        <f t="shared" si="249"/>
        <v>0.36842105263157893</v>
      </c>
      <c r="AC606" s="16">
        <f t="shared" si="250"/>
        <v>60.321290240650207</v>
      </c>
      <c r="AD606" s="20">
        <f>'PFAS Properties'!$W$41</f>
        <v>6</v>
      </c>
      <c r="AE606" s="8">
        <f>'PFAS Properties'!$S$41</f>
        <v>3.9716932389498609</v>
      </c>
      <c r="AF606" s="2">
        <f>'PFAS Properties'!$V$41</f>
        <v>4.0999999999999996</v>
      </c>
      <c r="AG606" s="24">
        <v>7.1</v>
      </c>
      <c r="AH606" s="2" t="s">
        <v>183</v>
      </c>
      <c r="AI606" s="2" t="s">
        <v>661</v>
      </c>
      <c r="AJ606" s="2" t="s">
        <v>661</v>
      </c>
      <c r="AK606" s="2" t="s">
        <v>661</v>
      </c>
      <c r="AL606" s="2" t="s">
        <v>661</v>
      </c>
      <c r="AM606" s="2" t="s">
        <v>661</v>
      </c>
      <c r="AN606" s="2" t="s">
        <v>661</v>
      </c>
      <c r="AO606" s="2" t="s">
        <v>661</v>
      </c>
      <c r="AP606" s="15">
        <v>17.420000000000002</v>
      </c>
      <c r="AQ606" s="2" t="s">
        <v>661</v>
      </c>
      <c r="AR606" s="16">
        <v>48.86</v>
      </c>
      <c r="AS606" s="16">
        <v>16.05</v>
      </c>
      <c r="AT606" s="16">
        <v>35.090000000000003</v>
      </c>
      <c r="AU606" s="2" t="s">
        <v>661</v>
      </c>
      <c r="AV606" s="16">
        <f t="shared" si="260"/>
        <v>100</v>
      </c>
      <c r="AW606" s="18">
        <v>1.19</v>
      </c>
      <c r="AX606" s="13">
        <f t="shared" si="258"/>
        <v>1.1899999999999999E-2</v>
      </c>
      <c r="AY606" s="8" t="s">
        <v>184</v>
      </c>
      <c r="AZ606" s="16">
        <v>100</v>
      </c>
      <c r="BA606" s="16" t="s">
        <v>55</v>
      </c>
      <c r="BB606" s="16">
        <v>5</v>
      </c>
      <c r="BC606" s="16" t="s">
        <v>55</v>
      </c>
      <c r="BD606" s="20">
        <v>0.18</v>
      </c>
      <c r="BE606" s="16">
        <f t="shared" si="251"/>
        <v>15.126050420168069</v>
      </c>
      <c r="BF606" s="16">
        <f t="shared" si="252"/>
        <v>1.1797255437107754</v>
      </c>
      <c r="BG606" s="8">
        <f t="shared" si="262"/>
        <v>-0.74472749489669399</v>
      </c>
      <c r="BH606" s="13" t="s">
        <v>345</v>
      </c>
      <c r="BI606" s="13"/>
      <c r="BJ606" s="13"/>
      <c r="BK606" s="13"/>
      <c r="BL606" s="13"/>
      <c r="BM606" s="17"/>
      <c r="BN606" s="17"/>
      <c r="BO606" s="2"/>
    </row>
    <row r="607" spans="1:67" s="14" customFormat="1" x14ac:dyDescent="0.3">
      <c r="A607" s="20">
        <v>622</v>
      </c>
      <c r="B607" s="2" t="s">
        <v>181</v>
      </c>
      <c r="C607" s="2">
        <v>2020</v>
      </c>
      <c r="D607" s="2" t="s">
        <v>203</v>
      </c>
      <c r="E607" s="10" t="s">
        <v>787</v>
      </c>
      <c r="F607" s="20" t="s">
        <v>29</v>
      </c>
      <c r="G607" s="2" t="s">
        <v>98</v>
      </c>
      <c r="H607" s="2" t="str">
        <f>'PFAS Properties'!$B$41</f>
        <v>ADONA</v>
      </c>
      <c r="I607" s="2" t="str">
        <f>'PFAS Properties'!$C$41</f>
        <v>PFECA</v>
      </c>
      <c r="J607" s="2" t="str">
        <f>'PFAS Properties'!$D$41</f>
        <v>C7H2F12O4</v>
      </c>
      <c r="K607" s="25">
        <f>'PFAS Properties'!$P$41</f>
        <v>377.976</v>
      </c>
      <c r="L607" s="2">
        <f>'PFAS Properties'!$X$41</f>
        <v>1.2</v>
      </c>
      <c r="M607" s="2" t="str">
        <f>'PFAS Properties'!$Y$63</f>
        <v>-</v>
      </c>
      <c r="N607" s="33">
        <v>0</v>
      </c>
      <c r="O607" s="33">
        <v>0</v>
      </c>
      <c r="P607" s="33">
        <v>0</v>
      </c>
      <c r="Q607" s="33">
        <f t="shared" si="256"/>
        <v>0.99999369046636566</v>
      </c>
      <c r="R607" s="33">
        <v>0</v>
      </c>
      <c r="S607" s="33">
        <f t="shared" si="257"/>
        <v>6.3095336343360528E-6</v>
      </c>
      <c r="T607" s="8">
        <f t="shared" si="261"/>
        <v>1</v>
      </c>
      <c r="U607" s="33">
        <f t="shared" si="245"/>
        <v>0</v>
      </c>
      <c r="V607" s="33">
        <f t="shared" si="246"/>
        <v>-0.99999369046636566</v>
      </c>
      <c r="W607" s="33">
        <f t="shared" si="247"/>
        <v>376.97600630953366</v>
      </c>
      <c r="X607" s="33">
        <v>96485</v>
      </c>
      <c r="Y607" s="16">
        <f t="shared" si="248"/>
        <v>-255.94305634779391</v>
      </c>
      <c r="Z607" s="16">
        <v>7</v>
      </c>
      <c r="AA607" s="16">
        <v>12</v>
      </c>
      <c r="AB607" s="8">
        <f t="shared" si="249"/>
        <v>0.36842105263157893</v>
      </c>
      <c r="AC607" s="16">
        <f t="shared" si="250"/>
        <v>60.321290240650207</v>
      </c>
      <c r="AD607" s="20">
        <f>'PFAS Properties'!$W$41</f>
        <v>6</v>
      </c>
      <c r="AE607" s="8">
        <f>'PFAS Properties'!$S$41</f>
        <v>3.9716932389498609</v>
      </c>
      <c r="AF607" s="2">
        <f>'PFAS Properties'!$V$41</f>
        <v>4.0999999999999996</v>
      </c>
      <c r="AG607" s="24">
        <v>6.4</v>
      </c>
      <c r="AH607" s="2" t="s">
        <v>183</v>
      </c>
      <c r="AI607" s="2" t="s">
        <v>661</v>
      </c>
      <c r="AJ607" s="15" t="s">
        <v>661</v>
      </c>
      <c r="AK607" s="8" t="s">
        <v>661</v>
      </c>
      <c r="AL607" s="2" t="s">
        <v>661</v>
      </c>
      <c r="AM607" s="15" t="s">
        <v>661</v>
      </c>
      <c r="AN607" s="8" t="s">
        <v>661</v>
      </c>
      <c r="AO607" s="15" t="s">
        <v>661</v>
      </c>
      <c r="AP607" s="15">
        <v>16.54</v>
      </c>
      <c r="AQ607" s="13" t="s">
        <v>661</v>
      </c>
      <c r="AR607" s="16">
        <v>29.38</v>
      </c>
      <c r="AS607" s="16">
        <v>13.9</v>
      </c>
      <c r="AT607" s="16">
        <v>56.71</v>
      </c>
      <c r="AU607" s="15" t="s">
        <v>661</v>
      </c>
      <c r="AV607" s="16">
        <f t="shared" si="260"/>
        <v>99.990000000000009</v>
      </c>
      <c r="AW607" s="18">
        <v>0.17</v>
      </c>
      <c r="AX607" s="13">
        <f t="shared" si="258"/>
        <v>1.7000000000000001E-3</v>
      </c>
      <c r="AY607" s="8" t="s">
        <v>184</v>
      </c>
      <c r="AZ607" s="16">
        <v>100</v>
      </c>
      <c r="BA607" s="16" t="s">
        <v>55</v>
      </c>
      <c r="BB607" s="16">
        <v>5</v>
      </c>
      <c r="BC607" s="16" t="s">
        <v>55</v>
      </c>
      <c r="BD607" s="20">
        <v>0.24</v>
      </c>
      <c r="BE607" s="16">
        <f t="shared" si="251"/>
        <v>141.17647058823528</v>
      </c>
      <c r="BF607" s="16">
        <f t="shared" si="252"/>
        <v>2.1497623203333323</v>
      </c>
      <c r="BG607" s="8">
        <f t="shared" si="262"/>
        <v>-0.61978875828839397</v>
      </c>
      <c r="BH607" s="13" t="s">
        <v>345</v>
      </c>
      <c r="BI607" s="13"/>
      <c r="BJ607" s="13"/>
      <c r="BK607" s="13"/>
      <c r="BL607" s="13"/>
      <c r="BM607" s="17"/>
      <c r="BN607" s="17"/>
      <c r="BO607" s="2"/>
    </row>
    <row r="608" spans="1:67" s="14" customFormat="1" x14ac:dyDescent="0.3">
      <c r="A608" s="20">
        <v>623</v>
      </c>
      <c r="B608" s="2" t="s">
        <v>207</v>
      </c>
      <c r="C608" s="2">
        <v>2015</v>
      </c>
      <c r="D608" s="2" t="s">
        <v>201</v>
      </c>
      <c r="E608" s="10" t="s">
        <v>810</v>
      </c>
      <c r="F608" s="20" t="s">
        <v>29</v>
      </c>
      <c r="G608" s="2" t="s">
        <v>51</v>
      </c>
      <c r="H608" s="2" t="str">
        <f>'PFAS Properties'!$B$42</f>
        <v>PFBS</v>
      </c>
      <c r="I608" s="2" t="str">
        <f>'PFAS Properties'!$C$42</f>
        <v>PFSA</v>
      </c>
      <c r="J608" s="2" t="str">
        <f>'PFAS Properties'!$D$42</f>
        <v>C4HF9O3S</v>
      </c>
      <c r="K608" s="25">
        <f>'PFAS Properties'!$P$42</f>
        <v>299.9502</v>
      </c>
      <c r="L608" s="2">
        <f>'PFAS Properties'!$X$42</f>
        <v>0.1</v>
      </c>
      <c r="M608" s="2" t="str">
        <f>'PFAS Properties'!$Y$42</f>
        <v>-</v>
      </c>
      <c r="N608" s="33">
        <v>0</v>
      </c>
      <c r="O608" s="33">
        <v>0</v>
      </c>
      <c r="P608" s="33">
        <v>0</v>
      </c>
      <c r="Q608" s="33">
        <f t="shared" si="256"/>
        <v>0.99999999498812764</v>
      </c>
      <c r="R608" s="33">
        <v>0</v>
      </c>
      <c r="S608" s="33">
        <f t="shared" si="257"/>
        <v>5.0118723111538468E-9</v>
      </c>
      <c r="T608" s="8">
        <f t="shared" si="259"/>
        <v>1</v>
      </c>
      <c r="U608" s="33">
        <f t="shared" si="245"/>
        <v>0</v>
      </c>
      <c r="V608" s="33">
        <f t="shared" si="246"/>
        <v>-0.99999999498812764</v>
      </c>
      <c r="W608" s="33">
        <f t="shared" si="247"/>
        <v>298.95020000501182</v>
      </c>
      <c r="X608" s="33">
        <v>96485</v>
      </c>
      <c r="Y608" s="16">
        <f t="shared" si="248"/>
        <v>-322.7460610991796</v>
      </c>
      <c r="Z608" s="16">
        <v>4</v>
      </c>
      <c r="AA608" s="16">
        <v>9</v>
      </c>
      <c r="AB608" s="8">
        <f t="shared" si="249"/>
        <v>0.2807017543859649</v>
      </c>
      <c r="AC608" s="16">
        <f t="shared" si="250"/>
        <v>57.009463570952775</v>
      </c>
      <c r="AD608" s="20">
        <f>'PFAS Properties'!$W$42</f>
        <v>4</v>
      </c>
      <c r="AE608" s="8">
        <f>'PFAS Properties'!$S$42</f>
        <v>5.53655844257153</v>
      </c>
      <c r="AF608" s="2">
        <f>'PFAS Properties'!$V$42</f>
        <v>2.2999999999999998</v>
      </c>
      <c r="AG608" s="24">
        <v>8.4</v>
      </c>
      <c r="AH608" s="2" t="s">
        <v>834</v>
      </c>
      <c r="AI608" s="2">
        <v>0.40699999999999997</v>
      </c>
      <c r="AJ608" s="15">
        <f t="shared" ref="AJ608:AJ613" si="263">AI608*1000/55.845</f>
        <v>7.2880293669979412</v>
      </c>
      <c r="AK608" s="8">
        <f t="shared" ref="AK608:AK613" si="264">AI608/10</f>
        <v>4.07E-2</v>
      </c>
      <c r="AL608" s="2">
        <v>0.504</v>
      </c>
      <c r="AM608" s="15">
        <f t="shared" ref="AM608:AM613" si="265">AL608*1000/26.98</f>
        <v>18.680504077094145</v>
      </c>
      <c r="AN608" s="8">
        <f t="shared" ref="AN608:AN613" si="266">AL608/10</f>
        <v>5.04E-2</v>
      </c>
      <c r="AO608" s="15" t="s">
        <v>31</v>
      </c>
      <c r="AP608" s="16">
        <v>42.8</v>
      </c>
      <c r="AQ608" s="16" t="s">
        <v>689</v>
      </c>
      <c r="AR608" s="16">
        <v>18.5</v>
      </c>
      <c r="AS608" s="16">
        <v>64.599999999999994</v>
      </c>
      <c r="AT608" s="16">
        <v>16.899999999999999</v>
      </c>
      <c r="AU608" s="16" t="s">
        <v>664</v>
      </c>
      <c r="AV608" s="16">
        <f t="shared" si="260"/>
        <v>100</v>
      </c>
      <c r="AW608" s="20">
        <v>0.2</v>
      </c>
      <c r="AX608" s="8">
        <f t="shared" si="258"/>
        <v>2E-3</v>
      </c>
      <c r="AY608" s="8" t="s">
        <v>32</v>
      </c>
      <c r="AZ608" s="16">
        <f t="shared" ref="AZ608:AZ613" si="267">3/0.03</f>
        <v>100</v>
      </c>
      <c r="BA608" s="16" t="s">
        <v>55</v>
      </c>
      <c r="BB608" s="16">
        <v>1</v>
      </c>
      <c r="BC608" s="16">
        <v>150</v>
      </c>
      <c r="BD608" s="18">
        <v>0.4</v>
      </c>
      <c r="BE608" s="15">
        <f t="shared" si="251"/>
        <v>200</v>
      </c>
      <c r="BF608" s="15">
        <f t="shared" si="252"/>
        <v>2.3010299956639813</v>
      </c>
      <c r="BG608" s="8">
        <f t="shared" si="262"/>
        <v>-0.3979400086720376</v>
      </c>
      <c r="BH608" s="13" t="s">
        <v>856</v>
      </c>
      <c r="BI608" s="15"/>
      <c r="BJ608" s="13"/>
      <c r="BK608" s="15"/>
      <c r="BL608" s="8"/>
      <c r="BM608" s="18"/>
      <c r="BN608" s="8"/>
      <c r="BO608" s="24"/>
    </row>
    <row r="609" spans="1:67" s="14" customFormat="1" x14ac:dyDescent="0.3">
      <c r="A609" s="20">
        <v>624</v>
      </c>
      <c r="B609" s="2" t="s">
        <v>207</v>
      </c>
      <c r="C609" s="2">
        <v>2015</v>
      </c>
      <c r="D609" s="2" t="s">
        <v>201</v>
      </c>
      <c r="E609" s="10" t="s">
        <v>810</v>
      </c>
      <c r="F609" s="20" t="s">
        <v>29</v>
      </c>
      <c r="G609" s="2" t="s">
        <v>30</v>
      </c>
      <c r="H609" s="2" t="str">
        <f>'PFAS Properties'!$B$42</f>
        <v>PFBS</v>
      </c>
      <c r="I609" s="2" t="str">
        <f>'PFAS Properties'!$C$42</f>
        <v>PFSA</v>
      </c>
      <c r="J609" s="2" t="str">
        <f>'PFAS Properties'!$D$42</f>
        <v>C4HF9O3S</v>
      </c>
      <c r="K609" s="25">
        <f>'PFAS Properties'!$P$42</f>
        <v>299.9502</v>
      </c>
      <c r="L609" s="2">
        <f>'PFAS Properties'!$X$42</f>
        <v>0.1</v>
      </c>
      <c r="M609" s="2" t="str">
        <f>'PFAS Properties'!$Y$42</f>
        <v>-</v>
      </c>
      <c r="N609" s="33">
        <v>0</v>
      </c>
      <c r="O609" s="33">
        <v>0</v>
      </c>
      <c r="P609" s="33">
        <v>0</v>
      </c>
      <c r="Q609" s="33">
        <f t="shared" si="256"/>
        <v>0.99999601894414336</v>
      </c>
      <c r="R609" s="33">
        <v>0</v>
      </c>
      <c r="S609" s="33">
        <f t="shared" si="257"/>
        <v>3.981055856666137E-6</v>
      </c>
      <c r="T609" s="8">
        <f t="shared" si="259"/>
        <v>1</v>
      </c>
      <c r="U609" s="33">
        <f t="shared" si="245"/>
        <v>0</v>
      </c>
      <c r="V609" s="33">
        <f t="shared" si="246"/>
        <v>-0.99999601894414336</v>
      </c>
      <c r="W609" s="33">
        <f t="shared" si="247"/>
        <v>298.95020398105584</v>
      </c>
      <c r="X609" s="33">
        <v>96485</v>
      </c>
      <c r="Y609" s="16">
        <f t="shared" si="248"/>
        <v>-322.74477355412608</v>
      </c>
      <c r="Z609" s="16">
        <v>4</v>
      </c>
      <c r="AA609" s="16">
        <v>9</v>
      </c>
      <c r="AB609" s="8">
        <f t="shared" si="249"/>
        <v>0.2807017543859649</v>
      </c>
      <c r="AC609" s="16">
        <f t="shared" si="250"/>
        <v>57.009463570952775</v>
      </c>
      <c r="AD609" s="20">
        <f>'PFAS Properties'!$W$42</f>
        <v>4</v>
      </c>
      <c r="AE609" s="8">
        <f>'PFAS Properties'!$S$42</f>
        <v>5.53655844257153</v>
      </c>
      <c r="AF609" s="2">
        <f>'PFAS Properties'!$V$42</f>
        <v>2.2999999999999998</v>
      </c>
      <c r="AG609" s="24">
        <v>5.5</v>
      </c>
      <c r="AH609" s="2" t="s">
        <v>834</v>
      </c>
      <c r="AI609" s="15">
        <v>1.0129999999999999</v>
      </c>
      <c r="AJ609" s="15">
        <f t="shared" si="263"/>
        <v>18.13949324021846</v>
      </c>
      <c r="AK609" s="15">
        <f t="shared" si="264"/>
        <v>0.10129999999999999</v>
      </c>
      <c r="AL609" s="15">
        <v>0.40400000000000003</v>
      </c>
      <c r="AM609" s="15">
        <f t="shared" si="265"/>
        <v>14.974054855448481</v>
      </c>
      <c r="AN609" s="15">
        <f t="shared" si="266"/>
        <v>4.0400000000000005E-2</v>
      </c>
      <c r="AO609" s="2" t="s">
        <v>31</v>
      </c>
      <c r="AP609" s="16">
        <v>23.4</v>
      </c>
      <c r="AQ609" s="16" t="s">
        <v>689</v>
      </c>
      <c r="AR609" s="16">
        <v>54.4</v>
      </c>
      <c r="AS609" s="16">
        <v>35</v>
      </c>
      <c r="AT609" s="16">
        <v>10.6</v>
      </c>
      <c r="AU609" s="16" t="s">
        <v>664</v>
      </c>
      <c r="AV609" s="16">
        <f t="shared" si="260"/>
        <v>100</v>
      </c>
      <c r="AW609" s="20">
        <v>1.6</v>
      </c>
      <c r="AX609" s="8">
        <f t="shared" si="258"/>
        <v>1.6E-2</v>
      </c>
      <c r="AY609" s="8" t="s">
        <v>32</v>
      </c>
      <c r="AZ609" s="16">
        <f t="shared" si="267"/>
        <v>100</v>
      </c>
      <c r="BA609" s="16" t="s">
        <v>55</v>
      </c>
      <c r="BB609" s="16">
        <v>1</v>
      </c>
      <c r="BC609" s="16">
        <v>150</v>
      </c>
      <c r="BD609" s="18">
        <v>0.6</v>
      </c>
      <c r="BE609" s="15">
        <f t="shared" si="251"/>
        <v>37.5</v>
      </c>
      <c r="BF609" s="15">
        <f t="shared" si="252"/>
        <v>1.5740312677277188</v>
      </c>
      <c r="BG609" s="8">
        <f t="shared" si="262"/>
        <v>-0.22184874961635639</v>
      </c>
      <c r="BH609" s="13" t="s">
        <v>856</v>
      </c>
      <c r="BI609" s="15"/>
      <c r="BJ609" s="13"/>
      <c r="BK609" s="15"/>
      <c r="BL609" s="8"/>
      <c r="BM609" s="18"/>
      <c r="BN609" s="8"/>
      <c r="BO609" s="24"/>
    </row>
    <row r="610" spans="1:67" s="14" customFormat="1" x14ac:dyDescent="0.3">
      <c r="A610" s="20">
        <v>625</v>
      </c>
      <c r="B610" s="2" t="s">
        <v>207</v>
      </c>
      <c r="C610" s="2">
        <v>2015</v>
      </c>
      <c r="D610" s="2" t="s">
        <v>201</v>
      </c>
      <c r="E610" s="10" t="s">
        <v>810</v>
      </c>
      <c r="F610" s="20" t="s">
        <v>29</v>
      </c>
      <c r="G610" s="2" t="s">
        <v>56</v>
      </c>
      <c r="H610" s="2" t="str">
        <f>'PFAS Properties'!$B$42</f>
        <v>PFBS</v>
      </c>
      <c r="I610" s="2" t="str">
        <f>'PFAS Properties'!$C$42</f>
        <v>PFSA</v>
      </c>
      <c r="J610" s="2" t="str">
        <f>'PFAS Properties'!$D$42</f>
        <v>C4HF9O3S</v>
      </c>
      <c r="K610" s="25">
        <f>'PFAS Properties'!$P$42</f>
        <v>299.9502</v>
      </c>
      <c r="L610" s="2">
        <f>'PFAS Properties'!$X$42</f>
        <v>0.1</v>
      </c>
      <c r="M610" s="2" t="str">
        <f>'PFAS Properties'!$Y$42</f>
        <v>-</v>
      </c>
      <c r="N610" s="33">
        <v>0</v>
      </c>
      <c r="O610" s="33">
        <v>0</v>
      </c>
      <c r="P610" s="33">
        <v>0</v>
      </c>
      <c r="Q610" s="33">
        <f t="shared" si="256"/>
        <v>0.99999841510931942</v>
      </c>
      <c r="R610" s="33">
        <v>0</v>
      </c>
      <c r="S610" s="33">
        <f t="shared" si="257"/>
        <v>1.5848906805786579E-6</v>
      </c>
      <c r="T610" s="8">
        <f t="shared" si="259"/>
        <v>1</v>
      </c>
      <c r="U610" s="33">
        <f t="shared" si="245"/>
        <v>0</v>
      </c>
      <c r="V610" s="33">
        <f t="shared" si="246"/>
        <v>-0.99999841510931942</v>
      </c>
      <c r="W610" s="33">
        <f t="shared" si="247"/>
        <v>298.95020158489069</v>
      </c>
      <c r="X610" s="33">
        <v>96485</v>
      </c>
      <c r="Y610" s="16">
        <f t="shared" si="248"/>
        <v>-322.74554949388317</v>
      </c>
      <c r="Z610" s="16">
        <v>4</v>
      </c>
      <c r="AA610" s="16">
        <v>9</v>
      </c>
      <c r="AB610" s="8">
        <f t="shared" si="249"/>
        <v>0.2807017543859649</v>
      </c>
      <c r="AC610" s="16">
        <f t="shared" si="250"/>
        <v>57.009463570952775</v>
      </c>
      <c r="AD610" s="20">
        <f>'PFAS Properties'!$W$42</f>
        <v>4</v>
      </c>
      <c r="AE610" s="8">
        <f>'PFAS Properties'!$S$42</f>
        <v>5.53655844257153</v>
      </c>
      <c r="AF610" s="2">
        <f>'PFAS Properties'!$V$42</f>
        <v>2.2999999999999998</v>
      </c>
      <c r="AG610" s="24">
        <v>5.9</v>
      </c>
      <c r="AH610" s="2" t="s">
        <v>834</v>
      </c>
      <c r="AI610" s="2">
        <v>0.13800000000000001</v>
      </c>
      <c r="AJ610" s="15">
        <f t="shared" si="263"/>
        <v>2.4711254364759605</v>
      </c>
      <c r="AK610" s="8">
        <f t="shared" si="264"/>
        <v>1.3800000000000002E-2</v>
      </c>
      <c r="AL610" s="2">
        <v>0.32500000000000001</v>
      </c>
      <c r="AM610" s="15">
        <f t="shared" si="265"/>
        <v>12.045959970348406</v>
      </c>
      <c r="AN610" s="8">
        <f t="shared" si="266"/>
        <v>3.2500000000000001E-2</v>
      </c>
      <c r="AO610" s="15" t="s">
        <v>31</v>
      </c>
      <c r="AP610" s="16">
        <v>72.400000000000006</v>
      </c>
      <c r="AQ610" s="16" t="s">
        <v>689</v>
      </c>
      <c r="AR610" s="16">
        <v>73.400000000000006</v>
      </c>
      <c r="AS610" s="16">
        <v>16.8</v>
      </c>
      <c r="AT610" s="16">
        <v>9.8000000000000007</v>
      </c>
      <c r="AU610" s="16" t="s">
        <v>664</v>
      </c>
      <c r="AV610" s="16">
        <f t="shared" si="260"/>
        <v>100</v>
      </c>
      <c r="AW610" s="20">
        <v>3.9</v>
      </c>
      <c r="AX610" s="8">
        <f t="shared" si="258"/>
        <v>3.9E-2</v>
      </c>
      <c r="AY610" s="8" t="s">
        <v>32</v>
      </c>
      <c r="AZ610" s="16">
        <f t="shared" si="267"/>
        <v>100</v>
      </c>
      <c r="BA610" s="16" t="s">
        <v>55</v>
      </c>
      <c r="BB610" s="16">
        <v>1</v>
      </c>
      <c r="BC610" s="16">
        <v>150</v>
      </c>
      <c r="BD610" s="18">
        <v>0.8</v>
      </c>
      <c r="BE610" s="15">
        <f t="shared" si="251"/>
        <v>20.512820512820515</v>
      </c>
      <c r="BF610" s="15">
        <f t="shared" si="252"/>
        <v>1.3120253799654444</v>
      </c>
      <c r="BG610" s="8">
        <f t="shared" si="262"/>
        <v>-9.6910013008056392E-2</v>
      </c>
      <c r="BH610" s="13" t="s">
        <v>856</v>
      </c>
      <c r="BI610" s="15"/>
      <c r="BJ610" s="13"/>
      <c r="BK610" s="15"/>
      <c r="BL610" s="8"/>
      <c r="BM610" s="18"/>
      <c r="BN610" s="8"/>
      <c r="BO610" s="24"/>
    </row>
    <row r="611" spans="1:67" s="14" customFormat="1" x14ac:dyDescent="0.3">
      <c r="A611" s="20">
        <v>626</v>
      </c>
      <c r="B611" s="2" t="s">
        <v>207</v>
      </c>
      <c r="C611" s="2">
        <v>2015</v>
      </c>
      <c r="D611" s="2" t="s">
        <v>201</v>
      </c>
      <c r="E611" s="10" t="s">
        <v>810</v>
      </c>
      <c r="F611" s="20" t="s">
        <v>29</v>
      </c>
      <c r="G611" s="2" t="s">
        <v>33</v>
      </c>
      <c r="H611" s="2" t="str">
        <f>'PFAS Properties'!$B$42</f>
        <v>PFBS</v>
      </c>
      <c r="I611" s="2" t="str">
        <f>'PFAS Properties'!$C$42</f>
        <v>PFSA</v>
      </c>
      <c r="J611" s="2" t="str">
        <f>'PFAS Properties'!$D$42</f>
        <v>C4HF9O3S</v>
      </c>
      <c r="K611" s="25">
        <f>'PFAS Properties'!$P$42</f>
        <v>299.9502</v>
      </c>
      <c r="L611" s="2">
        <f>'PFAS Properties'!$X$42</f>
        <v>0.1</v>
      </c>
      <c r="M611" s="2" t="str">
        <f>'PFAS Properties'!$Y$42</f>
        <v>-</v>
      </c>
      <c r="N611" s="33">
        <v>0</v>
      </c>
      <c r="O611" s="33">
        <v>0</v>
      </c>
      <c r="P611" s="33">
        <v>0</v>
      </c>
      <c r="Q611" s="33">
        <f t="shared" si="256"/>
        <v>0.99999998741074603</v>
      </c>
      <c r="R611" s="33">
        <v>0</v>
      </c>
      <c r="S611" s="33">
        <f t="shared" si="257"/>
        <v>1.258925395945232E-8</v>
      </c>
      <c r="T611" s="8">
        <f t="shared" si="259"/>
        <v>1</v>
      </c>
      <c r="U611" s="33">
        <f t="shared" si="245"/>
        <v>0</v>
      </c>
      <c r="V611" s="33">
        <f t="shared" si="246"/>
        <v>-0.99999998741074603</v>
      </c>
      <c r="W611" s="33">
        <f t="shared" si="247"/>
        <v>298.95020001258922</v>
      </c>
      <c r="X611" s="33">
        <v>96485</v>
      </c>
      <c r="Y611" s="16">
        <f t="shared" si="248"/>
        <v>-322.74605864542895</v>
      </c>
      <c r="Z611" s="16">
        <v>4</v>
      </c>
      <c r="AA611" s="16">
        <v>9</v>
      </c>
      <c r="AB611" s="8">
        <f t="shared" si="249"/>
        <v>0.2807017543859649</v>
      </c>
      <c r="AC611" s="16">
        <f t="shared" si="250"/>
        <v>57.009463570952775</v>
      </c>
      <c r="AD611" s="20">
        <f>'PFAS Properties'!$W$42</f>
        <v>4</v>
      </c>
      <c r="AE611" s="8">
        <f>'PFAS Properties'!$S$42</f>
        <v>5.53655844257153</v>
      </c>
      <c r="AF611" s="2">
        <f>'PFAS Properties'!$V$42</f>
        <v>2.2999999999999998</v>
      </c>
      <c r="AG611" s="24">
        <v>8</v>
      </c>
      <c r="AH611" s="2" t="s">
        <v>834</v>
      </c>
      <c r="AI611" s="15">
        <v>2.9660000000000002</v>
      </c>
      <c r="AJ611" s="15">
        <f t="shared" si="263"/>
        <v>53.111290178171728</v>
      </c>
      <c r="AK611" s="15">
        <f t="shared" si="264"/>
        <v>0.29660000000000003</v>
      </c>
      <c r="AL611" s="15">
        <v>0.23</v>
      </c>
      <c r="AM611" s="15">
        <f t="shared" si="265"/>
        <v>8.5248332097850259</v>
      </c>
      <c r="AN611" s="15">
        <f t="shared" si="266"/>
        <v>2.3E-2</v>
      </c>
      <c r="AO611" s="2" t="s">
        <v>31</v>
      </c>
      <c r="AP611" s="16">
        <v>89.3</v>
      </c>
      <c r="AQ611" s="16" t="s">
        <v>689</v>
      </c>
      <c r="AR611" s="16">
        <v>12.2</v>
      </c>
      <c r="AS611" s="16">
        <v>54.3</v>
      </c>
      <c r="AT611" s="16">
        <v>33.5</v>
      </c>
      <c r="AU611" s="16" t="s">
        <v>664</v>
      </c>
      <c r="AV611" s="16">
        <f t="shared" si="260"/>
        <v>100</v>
      </c>
      <c r="AW611" s="20">
        <v>7.7</v>
      </c>
      <c r="AX611" s="8">
        <f t="shared" si="258"/>
        <v>7.6999999999999999E-2</v>
      </c>
      <c r="AY611" s="8" t="s">
        <v>32</v>
      </c>
      <c r="AZ611" s="16">
        <f t="shared" si="267"/>
        <v>100</v>
      </c>
      <c r="BA611" s="16" t="s">
        <v>55</v>
      </c>
      <c r="BB611" s="16">
        <v>1</v>
      </c>
      <c r="BC611" s="16">
        <v>150</v>
      </c>
      <c r="BD611" s="18">
        <v>1.6</v>
      </c>
      <c r="BE611" s="15">
        <f t="shared" si="251"/>
        <v>20.779220779220779</v>
      </c>
      <c r="BF611" s="15">
        <f t="shared" si="252"/>
        <v>1.317629257483443</v>
      </c>
      <c r="BG611" s="8">
        <f t="shared" si="262"/>
        <v>0.20411998265592479</v>
      </c>
      <c r="BH611" s="13" t="s">
        <v>856</v>
      </c>
      <c r="BI611" s="15"/>
      <c r="BJ611" s="13"/>
      <c r="BK611" s="15"/>
      <c r="BL611" s="8"/>
      <c r="BM611" s="18"/>
      <c r="BN611" s="8"/>
      <c r="BO611" s="24"/>
    </row>
    <row r="612" spans="1:67" s="14" customFormat="1" x14ac:dyDescent="0.3">
      <c r="A612" s="20">
        <v>627</v>
      </c>
      <c r="B612" s="2" t="s">
        <v>207</v>
      </c>
      <c r="C612" s="2">
        <v>2015</v>
      </c>
      <c r="D612" s="2" t="s">
        <v>201</v>
      </c>
      <c r="E612" s="10" t="s">
        <v>810</v>
      </c>
      <c r="F612" s="20" t="s">
        <v>29</v>
      </c>
      <c r="G612" s="2" t="s">
        <v>34</v>
      </c>
      <c r="H612" s="2" t="str">
        <f>'PFAS Properties'!$B$42</f>
        <v>PFBS</v>
      </c>
      <c r="I612" s="2" t="str">
        <f>'PFAS Properties'!$C$42</f>
        <v>PFSA</v>
      </c>
      <c r="J612" s="2" t="str">
        <f>'PFAS Properties'!$D$42</f>
        <v>C4HF9O3S</v>
      </c>
      <c r="K612" s="25">
        <f>'PFAS Properties'!$P$42</f>
        <v>299.9502</v>
      </c>
      <c r="L612" s="2">
        <f>'PFAS Properties'!$X$42</f>
        <v>0.1</v>
      </c>
      <c r="M612" s="2" t="str">
        <f>'PFAS Properties'!$Y$42</f>
        <v>-</v>
      </c>
      <c r="N612" s="33">
        <v>0</v>
      </c>
      <c r="O612" s="33">
        <v>0</v>
      </c>
      <c r="P612" s="33">
        <v>0</v>
      </c>
      <c r="Q612" s="33">
        <f t="shared" si="256"/>
        <v>0.99999205678074798</v>
      </c>
      <c r="R612" s="33">
        <v>0</v>
      </c>
      <c r="S612" s="33">
        <f t="shared" si="257"/>
        <v>7.9432192520095278E-6</v>
      </c>
      <c r="T612" s="8">
        <f t="shared" si="259"/>
        <v>1</v>
      </c>
      <c r="U612" s="33">
        <f t="shared" si="245"/>
        <v>0</v>
      </c>
      <c r="V612" s="33">
        <f t="shared" si="246"/>
        <v>-0.99999205678074798</v>
      </c>
      <c r="W612" s="33">
        <f t="shared" si="247"/>
        <v>298.95020794321925</v>
      </c>
      <c r="X612" s="33">
        <v>96485</v>
      </c>
      <c r="Y612" s="16">
        <f t="shared" si="248"/>
        <v>-322.74349050399752</v>
      </c>
      <c r="Z612" s="16">
        <v>4</v>
      </c>
      <c r="AA612" s="16">
        <v>9</v>
      </c>
      <c r="AB612" s="8">
        <f t="shared" si="249"/>
        <v>0.2807017543859649</v>
      </c>
      <c r="AC612" s="16">
        <f t="shared" si="250"/>
        <v>57.009463570952775</v>
      </c>
      <c r="AD612" s="20">
        <f>'PFAS Properties'!$W$42</f>
        <v>4</v>
      </c>
      <c r="AE612" s="8">
        <f>'PFAS Properties'!$S$42</f>
        <v>5.53655844257153</v>
      </c>
      <c r="AF612" s="2">
        <f>'PFAS Properties'!$V$42</f>
        <v>2.2999999999999998</v>
      </c>
      <c r="AG612" s="24">
        <v>5.2</v>
      </c>
      <c r="AH612" s="2" t="s">
        <v>834</v>
      </c>
      <c r="AI612" s="15">
        <v>4.5149999999999997</v>
      </c>
      <c r="AJ612" s="15">
        <f t="shared" si="263"/>
        <v>80.848777867311313</v>
      </c>
      <c r="AK612" s="15">
        <f t="shared" si="264"/>
        <v>0.45149999999999996</v>
      </c>
      <c r="AL612" s="15">
        <v>0.377</v>
      </c>
      <c r="AM612" s="15">
        <f t="shared" si="265"/>
        <v>13.973313565604151</v>
      </c>
      <c r="AN612" s="15">
        <f t="shared" si="266"/>
        <v>3.7699999999999997E-2</v>
      </c>
      <c r="AO612" s="2" t="s">
        <v>31</v>
      </c>
      <c r="AP612" s="16">
        <v>46.3</v>
      </c>
      <c r="AQ612" s="16" t="s">
        <v>689</v>
      </c>
      <c r="AR612" s="16">
        <v>41.3</v>
      </c>
      <c r="AS612" s="16">
        <v>39.799999999999997</v>
      </c>
      <c r="AT612" s="16">
        <v>18.899999999999999</v>
      </c>
      <c r="AU612" s="16" t="s">
        <v>664</v>
      </c>
      <c r="AV612" s="16">
        <f t="shared" si="260"/>
        <v>100</v>
      </c>
      <c r="AW612" s="20">
        <v>9.4</v>
      </c>
      <c r="AX612" s="8">
        <f t="shared" si="258"/>
        <v>9.4E-2</v>
      </c>
      <c r="AY612" s="8" t="s">
        <v>32</v>
      </c>
      <c r="AZ612" s="16">
        <f t="shared" si="267"/>
        <v>100</v>
      </c>
      <c r="BA612" s="16" t="s">
        <v>55</v>
      </c>
      <c r="BB612" s="16">
        <v>1</v>
      </c>
      <c r="BC612" s="16">
        <v>150</v>
      </c>
      <c r="BD612" s="18">
        <v>1.4</v>
      </c>
      <c r="BE612" s="15">
        <f t="shared" si="251"/>
        <v>14.893617021276595</v>
      </c>
      <c r="BF612" s="15">
        <f t="shared" si="252"/>
        <v>1.1730001820785394</v>
      </c>
      <c r="BG612" s="8">
        <f t="shared" si="262"/>
        <v>0.14612803567823801</v>
      </c>
      <c r="BH612" s="13" t="s">
        <v>856</v>
      </c>
      <c r="BI612" s="15"/>
      <c r="BJ612" s="13"/>
      <c r="BK612" s="15"/>
      <c r="BL612" s="8"/>
      <c r="BM612" s="18"/>
      <c r="BN612" s="8"/>
      <c r="BO612" s="24"/>
    </row>
    <row r="613" spans="1:67" s="14" customFormat="1" x14ac:dyDescent="0.3">
      <c r="A613" s="20">
        <v>628</v>
      </c>
      <c r="B613" s="2" t="s">
        <v>207</v>
      </c>
      <c r="C613" s="2">
        <v>2015</v>
      </c>
      <c r="D613" s="2" t="s">
        <v>201</v>
      </c>
      <c r="E613" s="10" t="s">
        <v>810</v>
      </c>
      <c r="F613" s="20" t="s">
        <v>29</v>
      </c>
      <c r="G613" s="2" t="s">
        <v>37</v>
      </c>
      <c r="H613" s="2" t="str">
        <f>'PFAS Properties'!$B$42</f>
        <v>PFBS</v>
      </c>
      <c r="I613" s="2" t="str">
        <f>'PFAS Properties'!$C$42</f>
        <v>PFSA</v>
      </c>
      <c r="J613" s="2" t="str">
        <f>'PFAS Properties'!$D$42</f>
        <v>C4HF9O3S</v>
      </c>
      <c r="K613" s="25">
        <f>'PFAS Properties'!$P$42</f>
        <v>299.9502</v>
      </c>
      <c r="L613" s="2">
        <f>'PFAS Properties'!$X$42</f>
        <v>0.1</v>
      </c>
      <c r="M613" s="2" t="str">
        <f>'PFAS Properties'!$Y$42</f>
        <v>-</v>
      </c>
      <c r="N613" s="33">
        <v>0</v>
      </c>
      <c r="O613" s="33">
        <v>0</v>
      </c>
      <c r="P613" s="33">
        <v>0</v>
      </c>
      <c r="Q613" s="33">
        <f t="shared" si="256"/>
        <v>0.9999974881198781</v>
      </c>
      <c r="R613" s="33">
        <v>0</v>
      </c>
      <c r="S613" s="33">
        <f t="shared" si="257"/>
        <v>2.5118801219519806E-6</v>
      </c>
      <c r="T613" s="8">
        <f t="shared" si="259"/>
        <v>1</v>
      </c>
      <c r="U613" s="33">
        <f t="shared" si="245"/>
        <v>0</v>
      </c>
      <c r="V613" s="33">
        <f t="shared" si="246"/>
        <v>-0.9999974881198781</v>
      </c>
      <c r="W613" s="33">
        <f t="shared" si="247"/>
        <v>298.95020251188015</v>
      </c>
      <c r="X613" s="33">
        <v>96485</v>
      </c>
      <c r="Y613" s="16">
        <f t="shared" si="248"/>
        <v>-322.74524931091884</v>
      </c>
      <c r="Z613" s="16">
        <v>4</v>
      </c>
      <c r="AA613" s="16">
        <v>9</v>
      </c>
      <c r="AB613" s="8">
        <f t="shared" si="249"/>
        <v>0.2807017543859649</v>
      </c>
      <c r="AC613" s="16">
        <f t="shared" si="250"/>
        <v>57.009463570952775</v>
      </c>
      <c r="AD613" s="20">
        <f>'PFAS Properties'!$W$42</f>
        <v>4</v>
      </c>
      <c r="AE613" s="8">
        <f>'PFAS Properties'!$S$42</f>
        <v>5.53655844257153</v>
      </c>
      <c r="AF613" s="2">
        <f>'PFAS Properties'!$V$42</f>
        <v>2.2999999999999998</v>
      </c>
      <c r="AG613" s="24">
        <v>5.7</v>
      </c>
      <c r="AH613" s="2" t="s">
        <v>834</v>
      </c>
      <c r="AI613" s="15">
        <v>10.64</v>
      </c>
      <c r="AJ613" s="15">
        <f t="shared" si="263"/>
        <v>190.52735249350883</v>
      </c>
      <c r="AK613" s="15">
        <f t="shared" si="264"/>
        <v>1.0640000000000001</v>
      </c>
      <c r="AL613" s="15">
        <v>0.16700000000000001</v>
      </c>
      <c r="AM613" s="15">
        <f t="shared" si="265"/>
        <v>6.1897702001482582</v>
      </c>
      <c r="AN613" s="15">
        <f t="shared" si="266"/>
        <v>1.67E-2</v>
      </c>
      <c r="AO613" s="2" t="s">
        <v>31</v>
      </c>
      <c r="AP613" s="16">
        <v>130</v>
      </c>
      <c r="AQ613" s="16" t="s">
        <v>689</v>
      </c>
      <c r="AR613" s="16">
        <v>20.7</v>
      </c>
      <c r="AS613" s="16">
        <v>78</v>
      </c>
      <c r="AT613" s="16">
        <v>1.3</v>
      </c>
      <c r="AU613" s="16" t="s">
        <v>664</v>
      </c>
      <c r="AV613" s="16">
        <f t="shared" si="260"/>
        <v>100</v>
      </c>
      <c r="AW613" s="20">
        <v>39</v>
      </c>
      <c r="AX613" s="8">
        <f t="shared" si="258"/>
        <v>0.39</v>
      </c>
      <c r="AY613" s="8" t="s">
        <v>32</v>
      </c>
      <c r="AZ613" s="16">
        <f t="shared" si="267"/>
        <v>100</v>
      </c>
      <c r="BA613" s="16" t="s">
        <v>55</v>
      </c>
      <c r="BB613" s="16">
        <v>1</v>
      </c>
      <c r="BC613" s="16">
        <v>150</v>
      </c>
      <c r="BD613" s="18">
        <v>6.8</v>
      </c>
      <c r="BE613" s="15">
        <f t="shared" si="251"/>
        <v>17.435897435897434</v>
      </c>
      <c r="BF613" s="15">
        <f t="shared" si="252"/>
        <v>1.2414443056797371</v>
      </c>
      <c r="BG613" s="8">
        <f t="shared" si="262"/>
        <v>0.83250891270623628</v>
      </c>
      <c r="BH613" s="13" t="s">
        <v>856</v>
      </c>
      <c r="BI613" s="15"/>
      <c r="BJ613" s="13"/>
      <c r="BK613" s="15"/>
      <c r="BL613" s="8"/>
      <c r="BM613" s="18"/>
      <c r="BN613" s="8"/>
      <c r="BO613" s="24"/>
    </row>
    <row r="614" spans="1:67" s="14" customFormat="1" x14ac:dyDescent="0.3">
      <c r="A614" s="20">
        <v>629</v>
      </c>
      <c r="B614" s="2" t="s">
        <v>202</v>
      </c>
      <c r="C614" s="2">
        <v>2019</v>
      </c>
      <c r="D614" s="2" t="s">
        <v>199</v>
      </c>
      <c r="E614" s="10" t="s">
        <v>791</v>
      </c>
      <c r="F614" s="20" t="s">
        <v>29</v>
      </c>
      <c r="G614" s="2" t="s">
        <v>39</v>
      </c>
      <c r="H614" s="2" t="str">
        <f>'PFAS Properties'!$B$42</f>
        <v>PFBS</v>
      </c>
      <c r="I614" s="2" t="str">
        <f>'PFAS Properties'!$C$42</f>
        <v>PFSA</v>
      </c>
      <c r="J614" s="2" t="str">
        <f>'PFAS Properties'!$D$42</f>
        <v>C4HF9O3S</v>
      </c>
      <c r="K614" s="25">
        <f>'PFAS Properties'!$P$42</f>
        <v>299.9502</v>
      </c>
      <c r="L614" s="2">
        <f>'PFAS Properties'!$X$42</f>
        <v>0.1</v>
      </c>
      <c r="M614" s="2" t="str">
        <f>'PFAS Properties'!$Y$42</f>
        <v>-</v>
      </c>
      <c r="N614" s="33">
        <v>0</v>
      </c>
      <c r="O614" s="33">
        <v>0</v>
      </c>
      <c r="P614" s="33">
        <v>0</v>
      </c>
      <c r="Q614" s="33">
        <f t="shared" si="256"/>
        <v>0.99999292059227451</v>
      </c>
      <c r="R614" s="33">
        <v>0</v>
      </c>
      <c r="S614" s="33">
        <f t="shared" si="257"/>
        <v>7.0794077254728099E-6</v>
      </c>
      <c r="T614" s="8">
        <f t="shared" si="259"/>
        <v>1</v>
      </c>
      <c r="U614" s="33">
        <f t="shared" si="245"/>
        <v>0</v>
      </c>
      <c r="V614" s="33">
        <f t="shared" si="246"/>
        <v>-0.99999292059227451</v>
      </c>
      <c r="W614" s="33">
        <f t="shared" si="247"/>
        <v>298.95020707940773</v>
      </c>
      <c r="X614" s="33">
        <v>96485</v>
      </c>
      <c r="Y614" s="16">
        <f t="shared" si="248"/>
        <v>-322.74377022832186</v>
      </c>
      <c r="Z614" s="16">
        <v>4</v>
      </c>
      <c r="AA614" s="16">
        <v>9</v>
      </c>
      <c r="AB614" s="8">
        <f t="shared" si="249"/>
        <v>0.2807017543859649</v>
      </c>
      <c r="AC614" s="16">
        <f t="shared" si="250"/>
        <v>57.009463570952775</v>
      </c>
      <c r="AD614" s="20">
        <f>'PFAS Properties'!$W$42</f>
        <v>4</v>
      </c>
      <c r="AE614" s="8">
        <f>'PFAS Properties'!$S$42</f>
        <v>5.53655844257153</v>
      </c>
      <c r="AF614" s="2">
        <f>'PFAS Properties'!$V$42</f>
        <v>2.2999999999999998</v>
      </c>
      <c r="AG614" s="24">
        <v>5.25</v>
      </c>
      <c r="AH614" s="2" t="s">
        <v>661</v>
      </c>
      <c r="AI614" s="2" t="s">
        <v>661</v>
      </c>
      <c r="AJ614" s="2" t="s">
        <v>661</v>
      </c>
      <c r="AK614" s="2" t="s">
        <v>661</v>
      </c>
      <c r="AL614" s="2" t="s">
        <v>661</v>
      </c>
      <c r="AM614" s="2" t="s">
        <v>661</v>
      </c>
      <c r="AN614" s="2" t="s">
        <v>661</v>
      </c>
      <c r="AO614" s="2" t="s">
        <v>661</v>
      </c>
      <c r="AP614" s="72">
        <v>5.7023166666666656</v>
      </c>
      <c r="AQ614" s="70" t="s">
        <v>752</v>
      </c>
      <c r="AR614" s="16">
        <v>100</v>
      </c>
      <c r="AS614" s="16">
        <v>0</v>
      </c>
      <c r="AT614" s="16">
        <v>0</v>
      </c>
      <c r="AU614" s="2" t="s">
        <v>661</v>
      </c>
      <c r="AV614" s="16">
        <f t="shared" si="260"/>
        <v>100</v>
      </c>
      <c r="AW614" s="20">
        <v>0.4</v>
      </c>
      <c r="AX614" s="8">
        <f t="shared" si="258"/>
        <v>4.0000000000000001E-3</v>
      </c>
      <c r="AY614" s="13" t="s">
        <v>658</v>
      </c>
      <c r="AZ614" s="16">
        <f>2/0.01</f>
        <v>200</v>
      </c>
      <c r="BA614" s="16" t="s">
        <v>55</v>
      </c>
      <c r="BB614" s="16">
        <v>1</v>
      </c>
      <c r="BC614" s="16">
        <v>1000</v>
      </c>
      <c r="BD614" s="18">
        <v>0.44</v>
      </c>
      <c r="BE614" s="15">
        <f t="shared" si="251"/>
        <v>110</v>
      </c>
      <c r="BF614" s="15">
        <f t="shared" si="252"/>
        <v>2.0413926851582249</v>
      </c>
      <c r="BG614" s="8">
        <f t="shared" si="262"/>
        <v>-0.35654732351381258</v>
      </c>
      <c r="BH614" s="13" t="s">
        <v>272</v>
      </c>
      <c r="BI614" s="13"/>
      <c r="BJ614" s="13"/>
      <c r="BK614" s="13"/>
      <c r="BL614" s="13"/>
      <c r="BM614" s="17"/>
      <c r="BN614" s="17"/>
      <c r="BO614" s="2"/>
    </row>
    <row r="615" spans="1:67" s="14" customFormat="1" x14ac:dyDescent="0.3">
      <c r="A615" s="20">
        <v>630</v>
      </c>
      <c r="B615" s="2" t="s">
        <v>202</v>
      </c>
      <c r="C615" s="2">
        <v>2019</v>
      </c>
      <c r="D615" s="2" t="s">
        <v>199</v>
      </c>
      <c r="E615" s="10" t="s">
        <v>791</v>
      </c>
      <c r="F615" s="20" t="s">
        <v>29</v>
      </c>
      <c r="G615" s="2" t="s">
        <v>43</v>
      </c>
      <c r="H615" s="2" t="str">
        <f>'PFAS Properties'!$B$42</f>
        <v>PFBS</v>
      </c>
      <c r="I615" s="2" t="str">
        <f>'PFAS Properties'!$C$42</f>
        <v>PFSA</v>
      </c>
      <c r="J615" s="2" t="str">
        <f>'PFAS Properties'!$D$42</f>
        <v>C4HF9O3S</v>
      </c>
      <c r="K615" s="25">
        <f>'PFAS Properties'!$P$42</f>
        <v>299.9502</v>
      </c>
      <c r="L615" s="2">
        <f>'PFAS Properties'!$X$42</f>
        <v>0.1</v>
      </c>
      <c r="M615" s="2" t="str">
        <f>'PFAS Properties'!$Y$42</f>
        <v>-</v>
      </c>
      <c r="N615" s="33">
        <v>0</v>
      </c>
      <c r="O615" s="33">
        <v>0</v>
      </c>
      <c r="P615" s="33">
        <v>0</v>
      </c>
      <c r="Q615" s="33">
        <f t="shared" si="256"/>
        <v>0.99999730847244039</v>
      </c>
      <c r="R615" s="33">
        <v>0</v>
      </c>
      <c r="S615" s="33">
        <f t="shared" si="257"/>
        <v>2.6915275595868084E-6</v>
      </c>
      <c r="T615" s="8">
        <f t="shared" si="259"/>
        <v>1</v>
      </c>
      <c r="U615" s="33">
        <f t="shared" si="245"/>
        <v>0</v>
      </c>
      <c r="V615" s="33">
        <f t="shared" si="246"/>
        <v>-0.99999730847244039</v>
      </c>
      <c r="W615" s="33">
        <f t="shared" si="247"/>
        <v>298.95020269152758</v>
      </c>
      <c r="X615" s="33">
        <v>96485</v>
      </c>
      <c r="Y615" s="16">
        <f t="shared" si="248"/>
        <v>-322.74519113646966</v>
      </c>
      <c r="Z615" s="16">
        <v>4</v>
      </c>
      <c r="AA615" s="16">
        <v>9</v>
      </c>
      <c r="AB615" s="8">
        <f t="shared" si="249"/>
        <v>0.2807017543859649</v>
      </c>
      <c r="AC615" s="16">
        <f t="shared" si="250"/>
        <v>57.009463570952775</v>
      </c>
      <c r="AD615" s="20">
        <f>'PFAS Properties'!$W$42</f>
        <v>4</v>
      </c>
      <c r="AE615" s="8">
        <f>'PFAS Properties'!$S$42</f>
        <v>5.53655844257153</v>
      </c>
      <c r="AF615" s="2">
        <f>'PFAS Properties'!$V$42</f>
        <v>2.2999999999999998</v>
      </c>
      <c r="AG615" s="24">
        <v>5.67</v>
      </c>
      <c r="AH615" s="2" t="s">
        <v>661</v>
      </c>
      <c r="AI615" s="15" t="s">
        <v>661</v>
      </c>
      <c r="AJ615" s="16" t="s">
        <v>661</v>
      </c>
      <c r="AK615" s="2" t="s">
        <v>661</v>
      </c>
      <c r="AL615" s="15" t="s">
        <v>661</v>
      </c>
      <c r="AM615" s="16" t="s">
        <v>661</v>
      </c>
      <c r="AN615" s="2" t="s">
        <v>661</v>
      </c>
      <c r="AO615" s="2" t="s">
        <v>661</v>
      </c>
      <c r="AP615" s="72">
        <v>9.2037666666666649</v>
      </c>
      <c r="AQ615" s="70" t="s">
        <v>752</v>
      </c>
      <c r="AR615" s="16">
        <v>71</v>
      </c>
      <c r="AS615" s="16">
        <v>24</v>
      </c>
      <c r="AT615" s="16">
        <v>5</v>
      </c>
      <c r="AU615" s="2" t="s">
        <v>661</v>
      </c>
      <c r="AV615" s="16">
        <f t="shared" si="260"/>
        <v>100</v>
      </c>
      <c r="AW615" s="20">
        <v>0.93</v>
      </c>
      <c r="AX615" s="8">
        <f t="shared" si="258"/>
        <v>9.300000000000001E-3</v>
      </c>
      <c r="AY615" s="13" t="s">
        <v>658</v>
      </c>
      <c r="AZ615" s="16">
        <f>2/0.01</f>
        <v>200</v>
      </c>
      <c r="BA615" s="16" t="s">
        <v>55</v>
      </c>
      <c r="BB615" s="16">
        <v>1</v>
      </c>
      <c r="BC615" s="16">
        <v>1000</v>
      </c>
      <c r="BD615" s="18">
        <v>0.5</v>
      </c>
      <c r="BE615" s="15">
        <f t="shared" si="251"/>
        <v>53.763440860215049</v>
      </c>
      <c r="BF615" s="15">
        <f t="shared" si="252"/>
        <v>1.7304870557820837</v>
      </c>
      <c r="BG615" s="8">
        <f t="shared" si="262"/>
        <v>-0.3010299956639812</v>
      </c>
      <c r="BH615" s="13" t="s">
        <v>272</v>
      </c>
      <c r="BI615" s="13"/>
      <c r="BJ615" s="13"/>
      <c r="BK615" s="13"/>
      <c r="BL615" s="13"/>
      <c r="BM615" s="17"/>
      <c r="BN615" s="17"/>
      <c r="BO615" s="2"/>
    </row>
    <row r="616" spans="1:67" s="2" customFormat="1" x14ac:dyDescent="0.3">
      <c r="A616" s="20">
        <v>631</v>
      </c>
      <c r="B616" s="2" t="s">
        <v>720</v>
      </c>
      <c r="C616" s="2">
        <v>2019</v>
      </c>
      <c r="D616" s="2" t="s">
        <v>201</v>
      </c>
      <c r="E616" s="10" t="s">
        <v>797</v>
      </c>
      <c r="F616" s="20" t="s">
        <v>29</v>
      </c>
      <c r="G616" s="2" t="s">
        <v>713</v>
      </c>
      <c r="H616" s="2" t="str">
        <f>'PFAS Properties'!$B$42</f>
        <v>PFBS</v>
      </c>
      <c r="I616" s="2" t="str">
        <f>'PFAS Properties'!$C$42</f>
        <v>PFSA</v>
      </c>
      <c r="J616" s="2" t="str">
        <f>'PFAS Properties'!$D$42</f>
        <v>C4HF9O3S</v>
      </c>
      <c r="K616" s="25">
        <f>'PFAS Properties'!$P$42</f>
        <v>299.9502</v>
      </c>
      <c r="L616" s="2">
        <f>'PFAS Properties'!$X$42</f>
        <v>0.1</v>
      </c>
      <c r="M616" s="2" t="str">
        <f>'PFAS Properties'!$Y$42</f>
        <v>-</v>
      </c>
      <c r="N616" s="33">
        <v>0</v>
      </c>
      <c r="O616" s="33">
        <v>0</v>
      </c>
      <c r="P616" s="33">
        <v>0</v>
      </c>
      <c r="Q616" s="33">
        <f t="shared" si="256"/>
        <v>0.99999690971411737</v>
      </c>
      <c r="R616" s="33">
        <v>0</v>
      </c>
      <c r="S616" s="33">
        <f t="shared" si="257"/>
        <v>3.0902858826172347E-6</v>
      </c>
      <c r="T616" s="8">
        <f t="shared" si="259"/>
        <v>1</v>
      </c>
      <c r="U616" s="33">
        <f t="shared" si="245"/>
        <v>0</v>
      </c>
      <c r="V616" s="33">
        <f t="shared" si="246"/>
        <v>-0.99999690971411737</v>
      </c>
      <c r="W616" s="33">
        <f t="shared" si="247"/>
        <v>298.95020309028587</v>
      </c>
      <c r="X616" s="33">
        <v>96485</v>
      </c>
      <c r="Y616" s="16">
        <f t="shared" si="248"/>
        <v>-322.74506200829472</v>
      </c>
      <c r="Z616" s="16">
        <v>4</v>
      </c>
      <c r="AA616" s="16">
        <v>9</v>
      </c>
      <c r="AB616" s="8">
        <f t="shared" si="249"/>
        <v>0.2807017543859649</v>
      </c>
      <c r="AC616" s="16">
        <f t="shared" si="250"/>
        <v>57.009463570952775</v>
      </c>
      <c r="AD616" s="20">
        <f>'PFAS Properties'!$W$42</f>
        <v>4</v>
      </c>
      <c r="AE616" s="8">
        <f>'PFAS Properties'!$S$42</f>
        <v>5.53655844257153</v>
      </c>
      <c r="AF616" s="2">
        <f>'PFAS Properties'!$V$42</f>
        <v>2.2999999999999998</v>
      </c>
      <c r="AG616" s="24">
        <v>5.61</v>
      </c>
      <c r="AH616" s="2" t="s">
        <v>652</v>
      </c>
      <c r="AI616" s="15">
        <f>9.1*2*55.845/159.69</f>
        <v>6.3647003569415741</v>
      </c>
      <c r="AJ616" s="16">
        <f t="shared" ref="AJ616:AJ621" si="268">AI616*1000/55.845</f>
        <v>113.97081846076773</v>
      </c>
      <c r="AK616" s="15">
        <f t="shared" ref="AK616:AK621" si="269">AI616/10</f>
        <v>0.63647003569415739</v>
      </c>
      <c r="AL616" s="15">
        <f>22.3*2*26.98/101.96</f>
        <v>11.801765398195371</v>
      </c>
      <c r="AM616" s="16">
        <f>AL616*1000/26.98</f>
        <v>437.42644174185961</v>
      </c>
      <c r="AN616" s="15">
        <f t="shared" ref="AN616:AN621" si="270">AL616/10</f>
        <v>1.1801765398195372</v>
      </c>
      <c r="AO616" s="15" t="s">
        <v>41</v>
      </c>
      <c r="AP616" s="2">
        <v>11</v>
      </c>
      <c r="AQ616" s="2" t="s">
        <v>652</v>
      </c>
      <c r="AR616" s="16">
        <v>40.700000000000003</v>
      </c>
      <c r="AS616" s="16">
        <v>23.3</v>
      </c>
      <c r="AT616" s="16">
        <v>36</v>
      </c>
      <c r="AU616" s="2" t="s">
        <v>652</v>
      </c>
      <c r="AV616" s="16">
        <f t="shared" ref="AV616:AV629" si="271">SUM(AR616:AT616)</f>
        <v>100</v>
      </c>
      <c r="AW616" s="20">
        <v>3.82</v>
      </c>
      <c r="AX616" s="8">
        <f t="shared" si="258"/>
        <v>3.8199999999999998E-2</v>
      </c>
      <c r="AY616" s="16" t="s">
        <v>750</v>
      </c>
      <c r="AZ616" s="16">
        <f t="shared" ref="AZ616:AZ621" si="272">5/0.04</f>
        <v>125</v>
      </c>
      <c r="BA616" s="16" t="s">
        <v>55</v>
      </c>
      <c r="BB616" s="16">
        <f t="shared" ref="BB616:BB621" si="273">50*K616/1000</f>
        <v>14.99751</v>
      </c>
      <c r="BC616" s="16">
        <f t="shared" ref="BC616:BC621" si="274">1000*K616/1000</f>
        <v>299.9502</v>
      </c>
      <c r="BD616" s="25">
        <f t="shared" ref="BD616:BD621" si="275">BO616</f>
        <v>5.2308627122060837E-2</v>
      </c>
      <c r="BE616" s="16">
        <f t="shared" si="251"/>
        <v>1.3693357885356241</v>
      </c>
      <c r="BF616" s="16">
        <f t="shared" si="252"/>
        <v>0.13650995889096101</v>
      </c>
      <c r="BG616" s="8">
        <f t="shared" si="262"/>
        <v>-1.2814266781973302</v>
      </c>
      <c r="BH616" s="13" t="s">
        <v>782</v>
      </c>
      <c r="BI616" s="16">
        <f>10^2.1173</f>
        <v>131.00865862570294</v>
      </c>
      <c r="BJ616" s="16" t="s">
        <v>329</v>
      </c>
      <c r="BK616" s="8">
        <v>0.37780000000000002</v>
      </c>
      <c r="BL616" s="16">
        <f t="shared" ref="BL616:BL621" si="276">(BI616*K616/1000)/(BI616*(K616^BK616)/1000)</f>
        <v>34.77122447971422</v>
      </c>
      <c r="BM616" s="25">
        <f>'PFAS Properties'!$U$42</f>
        <v>34400</v>
      </c>
      <c r="BN616" s="16">
        <f t="shared" ref="BN616:BN621" si="277">(BL616*(BM616^BK616))</f>
        <v>1799.4167729988928</v>
      </c>
      <c r="BO616" s="24">
        <f t="shared" ref="BO616:BO621" si="278">BN616/BM616</f>
        <v>5.2308627122060837E-2</v>
      </c>
    </row>
    <row r="617" spans="1:67" s="14" customFormat="1" x14ac:dyDescent="0.3">
      <c r="A617" s="20">
        <v>632</v>
      </c>
      <c r="B617" s="2" t="s">
        <v>720</v>
      </c>
      <c r="C617" s="2">
        <v>2019</v>
      </c>
      <c r="D617" s="2" t="s">
        <v>201</v>
      </c>
      <c r="E617" s="10" t="s">
        <v>797</v>
      </c>
      <c r="F617" s="20" t="s">
        <v>29</v>
      </c>
      <c r="G617" s="2" t="s">
        <v>714</v>
      </c>
      <c r="H617" s="2" t="str">
        <f>'PFAS Properties'!$B$42</f>
        <v>PFBS</v>
      </c>
      <c r="I617" s="2" t="str">
        <f>'PFAS Properties'!$C$42</f>
        <v>PFSA</v>
      </c>
      <c r="J617" s="2" t="str">
        <f>'PFAS Properties'!$D$42</f>
        <v>C4HF9O3S</v>
      </c>
      <c r="K617" s="25">
        <f>'PFAS Properties'!$P$42</f>
        <v>299.9502</v>
      </c>
      <c r="L617" s="2">
        <f>'PFAS Properties'!$X$42</f>
        <v>0.1</v>
      </c>
      <c r="M617" s="2" t="str">
        <f>'PFAS Properties'!$Y$42</f>
        <v>-</v>
      </c>
      <c r="N617" s="33">
        <v>0</v>
      </c>
      <c r="O617" s="33">
        <v>0</v>
      </c>
      <c r="P617" s="33">
        <v>0</v>
      </c>
      <c r="Q617" s="33">
        <f t="shared" si="256"/>
        <v>0.99994111910162875</v>
      </c>
      <c r="R617" s="33">
        <v>0</v>
      </c>
      <c r="S617" s="33">
        <f t="shared" si="257"/>
        <v>5.8880898371216013E-5</v>
      </c>
      <c r="T617" s="8">
        <f t="shared" si="259"/>
        <v>1</v>
      </c>
      <c r="U617" s="33">
        <f t="shared" si="245"/>
        <v>0</v>
      </c>
      <c r="V617" s="33">
        <f t="shared" si="246"/>
        <v>-0.99994111910162875</v>
      </c>
      <c r="W617" s="33">
        <f t="shared" si="247"/>
        <v>298.95025888089833</v>
      </c>
      <c r="X617" s="33">
        <v>96485</v>
      </c>
      <c r="Y617" s="16">
        <f t="shared" si="248"/>
        <v>-322.72699558008406</v>
      </c>
      <c r="Z617" s="16">
        <v>4</v>
      </c>
      <c r="AA617" s="16">
        <v>9</v>
      </c>
      <c r="AB617" s="8">
        <f t="shared" si="249"/>
        <v>0.2807017543859649</v>
      </c>
      <c r="AC617" s="16">
        <f t="shared" si="250"/>
        <v>57.009463570952775</v>
      </c>
      <c r="AD617" s="20">
        <f>'PFAS Properties'!$W$42</f>
        <v>4</v>
      </c>
      <c r="AE617" s="8">
        <f>'PFAS Properties'!$S$42</f>
        <v>5.53655844257153</v>
      </c>
      <c r="AF617" s="2">
        <f>'PFAS Properties'!$V$42</f>
        <v>2.2999999999999998</v>
      </c>
      <c r="AG617" s="24">
        <v>4.33</v>
      </c>
      <c r="AH617" s="2" t="s">
        <v>652</v>
      </c>
      <c r="AI617" s="15">
        <f>4.25*2*55.845/159.69</f>
        <v>2.9725248919782077</v>
      </c>
      <c r="AJ617" s="16">
        <f t="shared" si="268"/>
        <v>53.228129500908004</v>
      </c>
      <c r="AK617" s="15">
        <f t="shared" si="269"/>
        <v>0.29725248919782077</v>
      </c>
      <c r="AL617" s="15">
        <f>4.49*2*26.98/101.96</f>
        <v>2.3762298940761086</v>
      </c>
      <c r="AM617" s="16">
        <f t="shared" ref="AM617:AM621" si="279">AL617*1000/26.98</f>
        <v>88.073754413495507</v>
      </c>
      <c r="AN617" s="15">
        <f t="shared" si="270"/>
        <v>0.23762298940761087</v>
      </c>
      <c r="AO617" s="15" t="s">
        <v>41</v>
      </c>
      <c r="AP617" s="2">
        <v>19</v>
      </c>
      <c r="AQ617" s="2" t="s">
        <v>652</v>
      </c>
      <c r="AR617" s="16">
        <v>46.7</v>
      </c>
      <c r="AS617" s="16">
        <v>50</v>
      </c>
      <c r="AT617" s="16">
        <v>3.3</v>
      </c>
      <c r="AU617" s="2" t="s">
        <v>652</v>
      </c>
      <c r="AV617" s="16">
        <f t="shared" si="271"/>
        <v>100</v>
      </c>
      <c r="AW617" s="20">
        <v>0.52</v>
      </c>
      <c r="AX617" s="8">
        <f t="shared" si="258"/>
        <v>5.1999999999999998E-3</v>
      </c>
      <c r="AY617" s="16" t="s">
        <v>750</v>
      </c>
      <c r="AZ617" s="16">
        <f t="shared" si="272"/>
        <v>125</v>
      </c>
      <c r="BA617" s="16" t="s">
        <v>55</v>
      </c>
      <c r="BB617" s="16">
        <f t="shared" si="273"/>
        <v>14.99751</v>
      </c>
      <c r="BC617" s="16">
        <f t="shared" si="274"/>
        <v>299.9502</v>
      </c>
      <c r="BD617" s="25">
        <f t="shared" si="275"/>
        <v>0.16079225313649834</v>
      </c>
      <c r="BE617" s="16">
        <f t="shared" si="251"/>
        <v>30.921587141634298</v>
      </c>
      <c r="BF617" s="16">
        <f t="shared" si="252"/>
        <v>1.4902617772632223</v>
      </c>
      <c r="BG617" s="8">
        <f t="shared" si="262"/>
        <v>-0.79373487910197849</v>
      </c>
      <c r="BH617" s="13" t="s">
        <v>782</v>
      </c>
      <c r="BI617" s="16">
        <f>10^1.6232</f>
        <v>41.995233466406582</v>
      </c>
      <c r="BJ617" s="16" t="s">
        <v>329</v>
      </c>
      <c r="BK617" s="8">
        <v>0.61460000000000004</v>
      </c>
      <c r="BL617" s="16">
        <f t="shared" si="276"/>
        <v>9.0085469159240059</v>
      </c>
      <c r="BM617" s="25">
        <f>'PFAS Properties'!$U$42</f>
        <v>34400</v>
      </c>
      <c r="BN617" s="16">
        <f t="shared" si="277"/>
        <v>5531.2535078955425</v>
      </c>
      <c r="BO617" s="24">
        <f t="shared" si="278"/>
        <v>0.16079225313649834</v>
      </c>
    </row>
    <row r="618" spans="1:67" s="14" customFormat="1" x14ac:dyDescent="0.3">
      <c r="A618" s="20">
        <v>633</v>
      </c>
      <c r="B618" s="2" t="s">
        <v>720</v>
      </c>
      <c r="C618" s="2">
        <v>2019</v>
      </c>
      <c r="D618" s="2" t="s">
        <v>201</v>
      </c>
      <c r="E618" s="10" t="s">
        <v>797</v>
      </c>
      <c r="F618" s="20" t="s">
        <v>29</v>
      </c>
      <c r="G618" s="2" t="s">
        <v>715</v>
      </c>
      <c r="H618" s="2" t="str">
        <f>'PFAS Properties'!$B$42</f>
        <v>PFBS</v>
      </c>
      <c r="I618" s="2" t="str">
        <f>'PFAS Properties'!$C$42</f>
        <v>PFSA</v>
      </c>
      <c r="J618" s="2" t="str">
        <f>'PFAS Properties'!$D$42</f>
        <v>C4HF9O3S</v>
      </c>
      <c r="K618" s="25">
        <f>'PFAS Properties'!$P$42</f>
        <v>299.9502</v>
      </c>
      <c r="L618" s="2">
        <f>'PFAS Properties'!$X$42</f>
        <v>0.1</v>
      </c>
      <c r="M618" s="2" t="str">
        <f>'PFAS Properties'!$Y$42</f>
        <v>-</v>
      </c>
      <c r="N618" s="33">
        <v>0</v>
      </c>
      <c r="O618" s="33">
        <v>0</v>
      </c>
      <c r="P618" s="33">
        <v>0</v>
      </c>
      <c r="Q618" s="33">
        <f t="shared" si="256"/>
        <v>0.99973091894371013</v>
      </c>
      <c r="R618" s="33">
        <v>0</v>
      </c>
      <c r="S618" s="33">
        <f t="shared" si="257"/>
        <v>2.6908105628988352E-4</v>
      </c>
      <c r="T618" s="8">
        <f t="shared" si="259"/>
        <v>1</v>
      </c>
      <c r="U618" s="33">
        <f t="shared" si="245"/>
        <v>0</v>
      </c>
      <c r="V618" s="33">
        <f t="shared" si="246"/>
        <v>-0.99973091894371013</v>
      </c>
      <c r="W618" s="33">
        <f t="shared" si="247"/>
        <v>298.95046908105633</v>
      </c>
      <c r="X618" s="33">
        <v>96485</v>
      </c>
      <c r="Y618" s="16">
        <f t="shared" si="248"/>
        <v>-322.65892744971853</v>
      </c>
      <c r="Z618" s="16">
        <v>4</v>
      </c>
      <c r="AA618" s="16">
        <v>9</v>
      </c>
      <c r="AB618" s="8">
        <f t="shared" si="249"/>
        <v>0.2807017543859649</v>
      </c>
      <c r="AC618" s="16">
        <f t="shared" si="250"/>
        <v>57.009463570952775</v>
      </c>
      <c r="AD618" s="20">
        <f>'PFAS Properties'!$W$42</f>
        <v>4</v>
      </c>
      <c r="AE618" s="8">
        <f>'PFAS Properties'!$S$42</f>
        <v>5.53655844257153</v>
      </c>
      <c r="AF618" s="2">
        <f>'PFAS Properties'!$V$42</f>
        <v>2.2999999999999998</v>
      </c>
      <c r="AG618" s="24">
        <v>3.67</v>
      </c>
      <c r="AH618" s="2" t="s">
        <v>652</v>
      </c>
      <c r="AI618" s="15">
        <f>1.51*2*55.845/159.69</f>
        <v>1.056120608679316</v>
      </c>
      <c r="AJ618" s="16">
        <f t="shared" si="268"/>
        <v>18.911641305028493</v>
      </c>
      <c r="AK618" s="15">
        <f t="shared" si="269"/>
        <v>0.1056120608679316</v>
      </c>
      <c r="AL618" s="15">
        <f>1.01*2*26.98/101.96</f>
        <v>0.53451941938014913</v>
      </c>
      <c r="AM618" s="16">
        <f t="shared" si="279"/>
        <v>19.811690859160453</v>
      </c>
      <c r="AN618" s="15">
        <f t="shared" si="270"/>
        <v>5.3451941938014912E-2</v>
      </c>
      <c r="AO618" s="15" t="s">
        <v>41</v>
      </c>
      <c r="AP618" s="2">
        <v>6.57</v>
      </c>
      <c r="AQ618" s="2" t="s">
        <v>652</v>
      </c>
      <c r="AR618" s="16">
        <v>59.3</v>
      </c>
      <c r="AS618" s="16">
        <v>21.3</v>
      </c>
      <c r="AT618" s="16">
        <v>19.399999999999999</v>
      </c>
      <c r="AU618" s="2" t="s">
        <v>652</v>
      </c>
      <c r="AV618" s="16">
        <f t="shared" si="271"/>
        <v>100</v>
      </c>
      <c r="AW618" s="20">
        <v>0.25800000000000001</v>
      </c>
      <c r="AX618" s="8">
        <f t="shared" si="258"/>
        <v>2.5800000000000003E-3</v>
      </c>
      <c r="AY618" s="16" t="s">
        <v>750</v>
      </c>
      <c r="AZ618" s="16">
        <f t="shared" si="272"/>
        <v>125</v>
      </c>
      <c r="BA618" s="16" t="s">
        <v>55</v>
      </c>
      <c r="BB618" s="16">
        <f t="shared" si="273"/>
        <v>14.99751</v>
      </c>
      <c r="BC618" s="16">
        <f t="shared" si="274"/>
        <v>299.9502</v>
      </c>
      <c r="BD618" s="25">
        <f t="shared" si="275"/>
        <v>0.3369368952072429</v>
      </c>
      <c r="BE618" s="16">
        <f t="shared" si="251"/>
        <v>130.59569581676081</v>
      </c>
      <c r="BF618" s="16">
        <f t="shared" si="252"/>
        <v>2.1159288636631475</v>
      </c>
      <c r="BG618" s="8">
        <f t="shared" si="262"/>
        <v>-0.47245143037362231</v>
      </c>
      <c r="BH618" s="13" t="s">
        <v>782</v>
      </c>
      <c r="BI618" s="16">
        <f>10^0.9848</f>
        <v>9.6560609854155004</v>
      </c>
      <c r="BJ618" s="16" t="s">
        <v>329</v>
      </c>
      <c r="BK618" s="8">
        <v>0.77059999999999995</v>
      </c>
      <c r="BL618" s="16">
        <f t="shared" si="276"/>
        <v>3.7002841578682664</v>
      </c>
      <c r="BM618" s="25">
        <f>'PFAS Properties'!$U$42</f>
        <v>34400</v>
      </c>
      <c r="BN618" s="16">
        <f t="shared" si="277"/>
        <v>11590.629195129155</v>
      </c>
      <c r="BO618" s="24">
        <f t="shared" si="278"/>
        <v>0.3369368952072429</v>
      </c>
    </row>
    <row r="619" spans="1:67" s="14" customFormat="1" x14ac:dyDescent="0.3">
      <c r="A619" s="20">
        <v>634</v>
      </c>
      <c r="B619" s="2" t="s">
        <v>720</v>
      </c>
      <c r="C619" s="2">
        <v>2019</v>
      </c>
      <c r="D619" s="2" t="s">
        <v>201</v>
      </c>
      <c r="E619" s="10" t="s">
        <v>797</v>
      </c>
      <c r="F619" s="20" t="s">
        <v>29</v>
      </c>
      <c r="G619" s="2" t="s">
        <v>716</v>
      </c>
      <c r="H619" s="2" t="str">
        <f>'PFAS Properties'!$B$42</f>
        <v>PFBS</v>
      </c>
      <c r="I619" s="2" t="str">
        <f>'PFAS Properties'!$C$42</f>
        <v>PFSA</v>
      </c>
      <c r="J619" s="2" t="str">
        <f>'PFAS Properties'!$D$42</f>
        <v>C4HF9O3S</v>
      </c>
      <c r="K619" s="25">
        <f>'PFAS Properties'!$P$42</f>
        <v>299.9502</v>
      </c>
      <c r="L619" s="2">
        <f>'PFAS Properties'!$X$42</f>
        <v>0.1</v>
      </c>
      <c r="M619" s="2" t="str">
        <f>'PFAS Properties'!$Y$42</f>
        <v>-</v>
      </c>
      <c r="N619" s="33">
        <v>0</v>
      </c>
      <c r="O619" s="33">
        <v>0</v>
      </c>
      <c r="P619" s="33">
        <v>0</v>
      </c>
      <c r="Q619" s="33">
        <f t="shared" si="256"/>
        <v>0.99997116051670853</v>
      </c>
      <c r="R619" s="33">
        <v>0</v>
      </c>
      <c r="S619" s="33">
        <f t="shared" si="257"/>
        <v>2.8839483291482564E-5</v>
      </c>
      <c r="T619" s="8">
        <f t="shared" si="259"/>
        <v>1</v>
      </c>
      <c r="U619" s="33">
        <f t="shared" si="245"/>
        <v>0</v>
      </c>
      <c r="V619" s="33">
        <f t="shared" si="246"/>
        <v>-0.99997116051670853</v>
      </c>
      <c r="W619" s="33">
        <f t="shared" si="247"/>
        <v>298.95022883948332</v>
      </c>
      <c r="X619" s="33">
        <v>96485</v>
      </c>
      <c r="Y619" s="16">
        <f t="shared" si="248"/>
        <v>-322.73672375831916</v>
      </c>
      <c r="Z619" s="16">
        <v>4</v>
      </c>
      <c r="AA619" s="16">
        <v>9</v>
      </c>
      <c r="AB619" s="8">
        <f t="shared" si="249"/>
        <v>0.2807017543859649</v>
      </c>
      <c r="AC619" s="16">
        <f t="shared" si="250"/>
        <v>57.009463570952775</v>
      </c>
      <c r="AD619" s="20">
        <f>'PFAS Properties'!$W$42</f>
        <v>4</v>
      </c>
      <c r="AE619" s="8">
        <f>'PFAS Properties'!$S$42</f>
        <v>5.53655844257153</v>
      </c>
      <c r="AF619" s="2">
        <f>'PFAS Properties'!$V$42</f>
        <v>2.2999999999999998</v>
      </c>
      <c r="AG619" s="24">
        <v>4.6399999999999997</v>
      </c>
      <c r="AH619" s="2" t="s">
        <v>652</v>
      </c>
      <c r="AI619" s="15">
        <f>6.69*2*55.845/159.69</f>
        <v>4.6791038887845202</v>
      </c>
      <c r="AJ619" s="16">
        <f t="shared" si="268"/>
        <v>83.787337967311657</v>
      </c>
      <c r="AK619" s="15">
        <f t="shared" si="269"/>
        <v>0.46791038887845204</v>
      </c>
      <c r="AL619" s="15">
        <f>14.7*2*26.98/101.96</f>
        <v>7.7796390741467247</v>
      </c>
      <c r="AM619" s="16">
        <f t="shared" si="279"/>
        <v>288.34837191055317</v>
      </c>
      <c r="AN619" s="15">
        <f t="shared" si="270"/>
        <v>0.77796390741467247</v>
      </c>
      <c r="AO619" s="15" t="s">
        <v>41</v>
      </c>
      <c r="AP619" s="2">
        <v>19.600000000000001</v>
      </c>
      <c r="AQ619" s="2" t="s">
        <v>652</v>
      </c>
      <c r="AR619" s="16">
        <v>42</v>
      </c>
      <c r="AS619" s="16">
        <v>36.700000000000003</v>
      </c>
      <c r="AT619" s="16">
        <v>21.3</v>
      </c>
      <c r="AU619" s="2" t="s">
        <v>652</v>
      </c>
      <c r="AV619" s="16">
        <f t="shared" si="271"/>
        <v>100</v>
      </c>
      <c r="AW619" s="20">
        <v>0.92800000000000005</v>
      </c>
      <c r="AX619" s="8">
        <f t="shared" si="258"/>
        <v>9.2800000000000001E-3</v>
      </c>
      <c r="AY619" s="16" t="s">
        <v>750</v>
      </c>
      <c r="AZ619" s="16">
        <f t="shared" si="272"/>
        <v>125</v>
      </c>
      <c r="BA619" s="16" t="s">
        <v>55</v>
      </c>
      <c r="BB619" s="16">
        <f t="shared" si="273"/>
        <v>14.99751</v>
      </c>
      <c r="BC619" s="16">
        <f t="shared" si="274"/>
        <v>299.9502</v>
      </c>
      <c r="BD619" s="25">
        <f t="shared" si="275"/>
        <v>9.9977504056658936E-2</v>
      </c>
      <c r="BE619" s="16">
        <f t="shared" si="251"/>
        <v>10.773437937139972</v>
      </c>
      <c r="BF619" s="16">
        <f t="shared" si="252"/>
        <v>1.032354314149792</v>
      </c>
      <c r="BG619" s="8">
        <f t="shared" si="262"/>
        <v>-1.0000977096313461</v>
      </c>
      <c r="BH619" s="13" t="s">
        <v>782</v>
      </c>
      <c r="BI619" s="16">
        <f>10^1.7762</f>
        <v>59.731029481213767</v>
      </c>
      <c r="BJ619" s="16" t="s">
        <v>329</v>
      </c>
      <c r="BK619" s="8">
        <v>0.51439999999999997</v>
      </c>
      <c r="BL619" s="16">
        <f t="shared" si="276"/>
        <v>15.953466697210137</v>
      </c>
      <c r="BM619" s="25">
        <f>'PFAS Properties'!$U$42</f>
        <v>34400</v>
      </c>
      <c r="BN619" s="16">
        <f t="shared" si="277"/>
        <v>3439.2261395490673</v>
      </c>
      <c r="BO619" s="24">
        <f t="shared" si="278"/>
        <v>9.9977504056658936E-2</v>
      </c>
    </row>
    <row r="620" spans="1:67" s="14" customFormat="1" x14ac:dyDescent="0.3">
      <c r="A620" s="20">
        <v>635</v>
      </c>
      <c r="B620" s="2" t="s">
        <v>720</v>
      </c>
      <c r="C620" s="2">
        <v>2019</v>
      </c>
      <c r="D620" s="2" t="s">
        <v>201</v>
      </c>
      <c r="E620" s="10" t="s">
        <v>797</v>
      </c>
      <c r="F620" s="20" t="s">
        <v>29</v>
      </c>
      <c r="G620" s="2" t="s">
        <v>717</v>
      </c>
      <c r="H620" s="2" t="str">
        <f>'PFAS Properties'!$B$42</f>
        <v>PFBS</v>
      </c>
      <c r="I620" s="2" t="str">
        <f>'PFAS Properties'!$C$42</f>
        <v>PFSA</v>
      </c>
      <c r="J620" s="2" t="str">
        <f>'PFAS Properties'!$D$42</f>
        <v>C4HF9O3S</v>
      </c>
      <c r="K620" s="25">
        <f>'PFAS Properties'!$P$42</f>
        <v>299.9502</v>
      </c>
      <c r="L620" s="2">
        <f>'PFAS Properties'!$X$42</f>
        <v>0.1</v>
      </c>
      <c r="M620" s="2" t="str">
        <f>'PFAS Properties'!$Y$42</f>
        <v>-</v>
      </c>
      <c r="N620" s="33">
        <v>0</v>
      </c>
      <c r="O620" s="33">
        <v>0</v>
      </c>
      <c r="P620" s="33">
        <v>0</v>
      </c>
      <c r="Q620" s="33">
        <f t="shared" si="256"/>
        <v>0.99991088284876106</v>
      </c>
      <c r="R620" s="33">
        <v>0</v>
      </c>
      <c r="S620" s="33">
        <f t="shared" si="257"/>
        <v>8.9117151238909804E-5</v>
      </c>
      <c r="T620" s="8">
        <f t="shared" si="259"/>
        <v>1</v>
      </c>
      <c r="U620" s="33">
        <f t="shared" si="245"/>
        <v>0</v>
      </c>
      <c r="V620" s="33">
        <f t="shared" si="246"/>
        <v>-0.99991088284876106</v>
      </c>
      <c r="W620" s="33">
        <f t="shared" si="247"/>
        <v>298.95028911715121</v>
      </c>
      <c r="X620" s="33">
        <v>96485</v>
      </c>
      <c r="Y620" s="16">
        <f t="shared" si="248"/>
        <v>-322.71720431036613</v>
      </c>
      <c r="Z620" s="16">
        <v>4</v>
      </c>
      <c r="AA620" s="16">
        <v>9</v>
      </c>
      <c r="AB620" s="8">
        <f t="shared" si="249"/>
        <v>0.2807017543859649</v>
      </c>
      <c r="AC620" s="16">
        <f t="shared" si="250"/>
        <v>57.009463570952775</v>
      </c>
      <c r="AD620" s="20">
        <f>'PFAS Properties'!$W$42</f>
        <v>4</v>
      </c>
      <c r="AE620" s="8">
        <f>'PFAS Properties'!$S$42</f>
        <v>5.53655844257153</v>
      </c>
      <c r="AF620" s="2">
        <f>'PFAS Properties'!$V$42</f>
        <v>2.2999999999999998</v>
      </c>
      <c r="AG620" s="24">
        <v>4.1500000000000004</v>
      </c>
      <c r="AH620" s="2" t="s">
        <v>652</v>
      </c>
      <c r="AI620" s="15">
        <f>5.68*2*55.845/159.69</f>
        <v>3.9726920909261692</v>
      </c>
      <c r="AJ620" s="16">
        <f t="shared" si="268"/>
        <v>71.137829544742928</v>
      </c>
      <c r="AK620" s="15">
        <f t="shared" si="269"/>
        <v>0.39726920909261693</v>
      </c>
      <c r="AL620" s="15">
        <f>9.78*2*26.98/101.96</f>
        <v>5.1758415064731267</v>
      </c>
      <c r="AM620" s="16">
        <f t="shared" si="279"/>
        <v>191.83993723028641</v>
      </c>
      <c r="AN620" s="15">
        <f t="shared" si="270"/>
        <v>0.51758415064731267</v>
      </c>
      <c r="AO620" s="15" t="s">
        <v>41</v>
      </c>
      <c r="AP620" s="2">
        <v>9.76</v>
      </c>
      <c r="AQ620" s="2" t="s">
        <v>652</v>
      </c>
      <c r="AR620" s="16">
        <v>49.3</v>
      </c>
      <c r="AS620" s="16">
        <v>39.4</v>
      </c>
      <c r="AT620" s="16">
        <v>11.3</v>
      </c>
      <c r="AU620" s="2" t="s">
        <v>652</v>
      </c>
      <c r="AV620" s="16">
        <f t="shared" si="271"/>
        <v>99.999999999999986</v>
      </c>
      <c r="AW620" s="20">
        <v>2.48</v>
      </c>
      <c r="AX620" s="8">
        <f t="shared" si="258"/>
        <v>2.4799999999999999E-2</v>
      </c>
      <c r="AY620" s="16" t="s">
        <v>750</v>
      </c>
      <c r="AZ620" s="16">
        <f t="shared" si="272"/>
        <v>125</v>
      </c>
      <c r="BA620" s="16" t="s">
        <v>55</v>
      </c>
      <c r="BB620" s="16">
        <f t="shared" si="273"/>
        <v>14.99751</v>
      </c>
      <c r="BC620" s="16">
        <f t="shared" si="274"/>
        <v>299.9502</v>
      </c>
      <c r="BD620" s="25">
        <f t="shared" si="275"/>
        <v>0.17915211210893206</v>
      </c>
      <c r="BE620" s="16">
        <f t="shared" si="251"/>
        <v>7.2238754882633902</v>
      </c>
      <c r="BF620" s="16">
        <f t="shared" si="252"/>
        <v>0.85877025180902644</v>
      </c>
      <c r="BG620" s="8">
        <f t="shared" si="262"/>
        <v>-0.74677806736475738</v>
      </c>
      <c r="BH620" s="13" t="s">
        <v>782</v>
      </c>
      <c r="BI620" s="16">
        <f>10^1.5852</f>
        <v>38.476893389378844</v>
      </c>
      <c r="BJ620" s="16" t="s">
        <v>329</v>
      </c>
      <c r="BK620" s="8">
        <v>0.63739999999999997</v>
      </c>
      <c r="BL620" s="16">
        <f t="shared" si="276"/>
        <v>7.9100280563002352</v>
      </c>
      <c r="BM620" s="25">
        <f>'PFAS Properties'!$U$42</f>
        <v>34400</v>
      </c>
      <c r="BN620" s="16">
        <f t="shared" si="277"/>
        <v>6162.8326565472626</v>
      </c>
      <c r="BO620" s="24">
        <f t="shared" si="278"/>
        <v>0.17915211210893206</v>
      </c>
    </row>
    <row r="621" spans="1:67" s="14" customFormat="1" x14ac:dyDescent="0.3">
      <c r="A621" s="20">
        <v>636</v>
      </c>
      <c r="B621" s="2" t="s">
        <v>720</v>
      </c>
      <c r="C621" s="2">
        <v>2019</v>
      </c>
      <c r="D621" s="2" t="s">
        <v>201</v>
      </c>
      <c r="E621" s="10" t="s">
        <v>797</v>
      </c>
      <c r="F621" s="20" t="s">
        <v>29</v>
      </c>
      <c r="G621" s="2" t="s">
        <v>718</v>
      </c>
      <c r="H621" s="2" t="str">
        <f>'PFAS Properties'!$B$42</f>
        <v>PFBS</v>
      </c>
      <c r="I621" s="2" t="str">
        <f>'PFAS Properties'!$C$42</f>
        <v>PFSA</v>
      </c>
      <c r="J621" s="2" t="str">
        <f>'PFAS Properties'!$D$42</f>
        <v>C4HF9O3S</v>
      </c>
      <c r="K621" s="25">
        <f>'PFAS Properties'!$P$42</f>
        <v>299.9502</v>
      </c>
      <c r="L621" s="2">
        <f>'PFAS Properties'!$X$42</f>
        <v>0.1</v>
      </c>
      <c r="M621" s="2" t="str">
        <f>'PFAS Properties'!$Y$42</f>
        <v>-</v>
      </c>
      <c r="N621" s="33">
        <v>0</v>
      </c>
      <c r="O621" s="33">
        <v>0</v>
      </c>
      <c r="P621" s="33">
        <v>0</v>
      </c>
      <c r="Q621" s="33">
        <f t="shared" si="256"/>
        <v>0.99983784528867892</v>
      </c>
      <c r="R621" s="33">
        <v>0</v>
      </c>
      <c r="S621" s="33">
        <f t="shared" si="257"/>
        <v>1.6215471132107731E-4</v>
      </c>
      <c r="T621" s="8">
        <f t="shared" si="259"/>
        <v>1</v>
      </c>
      <c r="U621" s="33">
        <f t="shared" si="245"/>
        <v>0</v>
      </c>
      <c r="V621" s="33">
        <f t="shared" si="246"/>
        <v>-0.99983784528867892</v>
      </c>
      <c r="W621" s="33">
        <f t="shared" si="247"/>
        <v>298.95036215471129</v>
      </c>
      <c r="X621" s="33">
        <v>96485</v>
      </c>
      <c r="Y621" s="16">
        <f t="shared" si="248"/>
        <v>-322.69355289408833</v>
      </c>
      <c r="Z621" s="16">
        <v>4</v>
      </c>
      <c r="AA621" s="16">
        <v>9</v>
      </c>
      <c r="AB621" s="8">
        <f t="shared" si="249"/>
        <v>0.2807017543859649</v>
      </c>
      <c r="AC621" s="16">
        <f t="shared" si="250"/>
        <v>57.009463570952775</v>
      </c>
      <c r="AD621" s="20">
        <f>'PFAS Properties'!$W$42</f>
        <v>4</v>
      </c>
      <c r="AE621" s="8">
        <f>'PFAS Properties'!$S$42</f>
        <v>5.53655844257153</v>
      </c>
      <c r="AF621" s="2">
        <f>'PFAS Properties'!$V$42</f>
        <v>2.2999999999999998</v>
      </c>
      <c r="AG621" s="24">
        <v>3.89</v>
      </c>
      <c r="AH621" s="2" t="s">
        <v>652</v>
      </c>
      <c r="AI621" s="15">
        <f>2.95*2*55.845/159.69</f>
        <v>2.0632819838436971</v>
      </c>
      <c r="AJ621" s="16">
        <f t="shared" si="268"/>
        <v>36.946584006512616</v>
      </c>
      <c r="AK621" s="15">
        <f t="shared" si="269"/>
        <v>0.20632819838436972</v>
      </c>
      <c r="AL621" s="15">
        <f>0.634*2*26.98/101.96</f>
        <v>0.33553001176932129</v>
      </c>
      <c r="AM621" s="16">
        <f t="shared" si="279"/>
        <v>12.436249509611612</v>
      </c>
      <c r="AN621" s="15">
        <f t="shared" si="270"/>
        <v>3.3553001176932128E-2</v>
      </c>
      <c r="AO621" s="15" t="s">
        <v>41</v>
      </c>
      <c r="AP621" s="2">
        <v>2.89</v>
      </c>
      <c r="AQ621" s="2" t="s">
        <v>652</v>
      </c>
      <c r="AR621" s="16">
        <v>60</v>
      </c>
      <c r="AS621" s="16">
        <v>16</v>
      </c>
      <c r="AT621" s="16">
        <v>24</v>
      </c>
      <c r="AU621" s="2" t="s">
        <v>652</v>
      </c>
      <c r="AV621" s="16">
        <f t="shared" si="271"/>
        <v>100</v>
      </c>
      <c r="AW621" s="20">
        <v>0.99299999999999999</v>
      </c>
      <c r="AX621" s="8">
        <f t="shared" si="258"/>
        <v>9.9299999999999996E-3</v>
      </c>
      <c r="AY621" s="16" t="s">
        <v>750</v>
      </c>
      <c r="AZ621" s="16">
        <f t="shared" si="272"/>
        <v>125</v>
      </c>
      <c r="BA621" s="16" t="s">
        <v>55</v>
      </c>
      <c r="BB621" s="16">
        <f t="shared" si="273"/>
        <v>14.99751</v>
      </c>
      <c r="BC621" s="16">
        <f t="shared" si="274"/>
        <v>299.9502</v>
      </c>
      <c r="BD621" s="25">
        <f t="shared" si="275"/>
        <v>0.2336439031150106</v>
      </c>
      <c r="BE621" s="16">
        <f t="shared" si="251"/>
        <v>23.529093969286063</v>
      </c>
      <c r="BF621" s="16">
        <f t="shared" si="252"/>
        <v>1.371605204196195</v>
      </c>
      <c r="BG621" s="8">
        <f t="shared" si="262"/>
        <v>-0.63144554730842384</v>
      </c>
      <c r="BH621" s="13" t="s">
        <v>782</v>
      </c>
      <c r="BI621" s="16">
        <f>10^1.4577</f>
        <v>28.687982018213575</v>
      </c>
      <c r="BJ621" s="16" t="s">
        <v>329</v>
      </c>
      <c r="BK621" s="8">
        <v>0.69340000000000002</v>
      </c>
      <c r="BL621" s="16">
        <f t="shared" si="276"/>
        <v>5.7472921123717633</v>
      </c>
      <c r="BM621" s="25">
        <f>'PFAS Properties'!$U$42</f>
        <v>34400</v>
      </c>
      <c r="BN621" s="16">
        <f t="shared" si="277"/>
        <v>8037.3502671563647</v>
      </c>
      <c r="BO621" s="24">
        <f t="shared" si="278"/>
        <v>0.2336439031150106</v>
      </c>
    </row>
    <row r="622" spans="1:67" s="14" customFormat="1" x14ac:dyDescent="0.3">
      <c r="A622" s="20">
        <v>637</v>
      </c>
      <c r="B622" s="2" t="s">
        <v>210</v>
      </c>
      <c r="C622" s="2">
        <v>2010</v>
      </c>
      <c r="D622" s="2" t="s">
        <v>209</v>
      </c>
      <c r="E622" s="10" t="s">
        <v>208</v>
      </c>
      <c r="F622" s="20" t="s">
        <v>29</v>
      </c>
      <c r="G622" s="2" t="s">
        <v>52</v>
      </c>
      <c r="H622" s="2" t="str">
        <f>'PFAS Properties'!$B$42</f>
        <v>PFBS</v>
      </c>
      <c r="I622" s="2" t="str">
        <f>'PFAS Properties'!$C$42</f>
        <v>PFSA</v>
      </c>
      <c r="J622" s="2" t="str">
        <f>'PFAS Properties'!$D$42</f>
        <v>C4HF9O3S</v>
      </c>
      <c r="K622" s="25">
        <f>'PFAS Properties'!$P$42</f>
        <v>299.9502</v>
      </c>
      <c r="L622" s="2">
        <f>'PFAS Properties'!$X$42</f>
        <v>0.1</v>
      </c>
      <c r="M622" s="2" t="str">
        <f>'PFAS Properties'!$Y$42</f>
        <v>-</v>
      </c>
      <c r="N622" s="33">
        <v>0</v>
      </c>
      <c r="O622" s="33">
        <v>0</v>
      </c>
      <c r="P622" s="33">
        <v>0</v>
      </c>
      <c r="Q622" s="33">
        <f t="shared" si="256"/>
        <v>0.99999996837722438</v>
      </c>
      <c r="R622" s="33">
        <v>0</v>
      </c>
      <c r="S622" s="33">
        <f t="shared" si="257"/>
        <v>3.1622775601683729E-8</v>
      </c>
      <c r="T622" s="8">
        <f t="shared" si="259"/>
        <v>1</v>
      </c>
      <c r="U622" s="33">
        <f t="shared" si="245"/>
        <v>0</v>
      </c>
      <c r="V622" s="33">
        <f t="shared" si="246"/>
        <v>-0.99999996837722438</v>
      </c>
      <c r="W622" s="33">
        <f t="shared" si="247"/>
        <v>298.95020003162278</v>
      </c>
      <c r="X622" s="33">
        <v>96485</v>
      </c>
      <c r="Y622" s="16">
        <f t="shared" si="248"/>
        <v>-322.74605248188618</v>
      </c>
      <c r="Z622" s="16">
        <v>4</v>
      </c>
      <c r="AA622" s="16">
        <v>9</v>
      </c>
      <c r="AB622" s="8">
        <f t="shared" si="249"/>
        <v>0.2807017543859649</v>
      </c>
      <c r="AC622" s="16">
        <f t="shared" si="250"/>
        <v>57.009463570952775</v>
      </c>
      <c r="AD622" s="20">
        <f>'PFAS Properties'!$W$42</f>
        <v>4</v>
      </c>
      <c r="AE622" s="8">
        <f>'PFAS Properties'!$S$42</f>
        <v>5.53655844257153</v>
      </c>
      <c r="AF622" s="2">
        <f>'PFAS Properties'!$V$42</f>
        <v>2.2999999999999998</v>
      </c>
      <c r="AG622" s="24">
        <v>7.6</v>
      </c>
      <c r="AH622" s="2" t="s">
        <v>661</v>
      </c>
      <c r="AI622" s="2">
        <v>8.1199999999999992</v>
      </c>
      <c r="AJ622" s="15">
        <f>AI622*1000/55.845</f>
        <v>145.40245321873041</v>
      </c>
      <c r="AK622" s="8">
        <f>AI622/10</f>
        <v>0.81199999999999994</v>
      </c>
      <c r="AL622" s="2">
        <v>1.294</v>
      </c>
      <c r="AM622" s="15">
        <f>AL622*1000/26.98</f>
        <v>47.961452928094886</v>
      </c>
      <c r="AN622" s="8">
        <f>AL622/10</f>
        <v>0.12940000000000002</v>
      </c>
      <c r="AO622" s="15" t="s">
        <v>41</v>
      </c>
      <c r="AP622" s="72">
        <v>5.6985666666666646</v>
      </c>
      <c r="AQ622" s="70" t="s">
        <v>752</v>
      </c>
      <c r="AR622" s="16">
        <v>41</v>
      </c>
      <c r="AS622" s="16">
        <v>22</v>
      </c>
      <c r="AT622" s="16">
        <v>37</v>
      </c>
      <c r="AU622" s="16" t="s">
        <v>661</v>
      </c>
      <c r="AV622" s="16">
        <f t="shared" si="271"/>
        <v>100</v>
      </c>
      <c r="AW622" s="20">
        <v>0.42</v>
      </c>
      <c r="AX622" s="8">
        <f t="shared" si="258"/>
        <v>4.1999999999999997E-3</v>
      </c>
      <c r="AY622" s="13" t="s">
        <v>53</v>
      </c>
      <c r="AZ622" s="16">
        <f>12/0.025</f>
        <v>480</v>
      </c>
      <c r="BA622" s="16" t="s">
        <v>55</v>
      </c>
      <c r="BB622" s="8">
        <v>0.02</v>
      </c>
      <c r="BC622" s="8">
        <v>1</v>
      </c>
      <c r="BD622" s="18">
        <v>7.0000000000000007E-2</v>
      </c>
      <c r="BE622" s="15">
        <f t="shared" si="251"/>
        <v>16.666666666666668</v>
      </c>
      <c r="BF622" s="15">
        <f t="shared" si="252"/>
        <v>1.2218487496163564</v>
      </c>
      <c r="BG622" s="8">
        <f t="shared" si="262"/>
        <v>-1.1549019599857431</v>
      </c>
      <c r="BH622" s="13" t="s">
        <v>856</v>
      </c>
      <c r="BI622" s="13"/>
      <c r="BJ622" s="13"/>
      <c r="BK622" s="13"/>
      <c r="BL622" s="13"/>
      <c r="BM622" s="17"/>
      <c r="BN622" s="17"/>
      <c r="BO622" s="2"/>
    </row>
    <row r="623" spans="1:67" s="14" customFormat="1" x14ac:dyDescent="0.3">
      <c r="A623" s="20">
        <v>638</v>
      </c>
      <c r="B623" s="2" t="s">
        <v>210</v>
      </c>
      <c r="C623" s="2">
        <v>2010</v>
      </c>
      <c r="D623" s="2" t="s">
        <v>209</v>
      </c>
      <c r="E623" s="10" t="s">
        <v>208</v>
      </c>
      <c r="F623" s="20" t="s">
        <v>29</v>
      </c>
      <c r="G623" s="2" t="s">
        <v>54</v>
      </c>
      <c r="H623" s="2" t="str">
        <f>'PFAS Properties'!$B$42</f>
        <v>PFBS</v>
      </c>
      <c r="I623" s="2" t="str">
        <f>'PFAS Properties'!$C$42</f>
        <v>PFSA</v>
      </c>
      <c r="J623" s="2" t="str">
        <f>'PFAS Properties'!$D$42</f>
        <v>C4HF9O3S</v>
      </c>
      <c r="K623" s="25">
        <f>'PFAS Properties'!$P$42</f>
        <v>299.9502</v>
      </c>
      <c r="L623" s="2">
        <f>'PFAS Properties'!$X$42</f>
        <v>0.1</v>
      </c>
      <c r="M623" s="2" t="str">
        <f>'PFAS Properties'!$Y$42</f>
        <v>-</v>
      </c>
      <c r="N623" s="33">
        <v>0</v>
      </c>
      <c r="O623" s="33">
        <v>0</v>
      </c>
      <c r="P623" s="33">
        <v>0</v>
      </c>
      <c r="Q623" s="33">
        <f t="shared" si="256"/>
        <v>0.99999900000099995</v>
      </c>
      <c r="R623" s="33">
        <v>0</v>
      </c>
      <c r="S623" s="33">
        <f t="shared" si="257"/>
        <v>9.9999900000100006E-7</v>
      </c>
      <c r="T623" s="8">
        <f t="shared" si="259"/>
        <v>1</v>
      </c>
      <c r="U623" s="33">
        <f t="shared" si="245"/>
        <v>0</v>
      </c>
      <c r="V623" s="33">
        <f t="shared" si="246"/>
        <v>-0.99999900000099995</v>
      </c>
      <c r="W623" s="33">
        <f t="shared" si="247"/>
        <v>298.95020099999903</v>
      </c>
      <c r="X623" s="33">
        <v>96485</v>
      </c>
      <c r="Y623" s="16">
        <f t="shared" si="248"/>
        <v>-322.74573889681642</v>
      </c>
      <c r="Z623" s="16">
        <v>4</v>
      </c>
      <c r="AA623" s="16">
        <v>9</v>
      </c>
      <c r="AB623" s="8">
        <f t="shared" si="249"/>
        <v>0.2807017543859649</v>
      </c>
      <c r="AC623" s="16">
        <f t="shared" si="250"/>
        <v>57.009463570952775</v>
      </c>
      <c r="AD623" s="20">
        <f>'PFAS Properties'!$W$42</f>
        <v>4</v>
      </c>
      <c r="AE623" s="8">
        <f>'PFAS Properties'!$S$42</f>
        <v>5.53655844257153</v>
      </c>
      <c r="AF623" s="2">
        <f>'PFAS Properties'!$V$42</f>
        <v>2.2999999999999998</v>
      </c>
      <c r="AG623" s="24">
        <v>6.1</v>
      </c>
      <c r="AH623" s="2" t="s">
        <v>661</v>
      </c>
      <c r="AI623" s="2">
        <v>2.73</v>
      </c>
      <c r="AJ623" s="15">
        <f>AI623*1000/55.845</f>
        <v>48.885307547676604</v>
      </c>
      <c r="AK623" s="8">
        <f>AI623/10</f>
        <v>0.27300000000000002</v>
      </c>
      <c r="AL623" s="2">
        <v>2.6320000000000001</v>
      </c>
      <c r="AM623" s="15">
        <f>AL623*1000/26.98</f>
        <v>97.553743513713854</v>
      </c>
      <c r="AN623" s="8">
        <f>AL623/10</f>
        <v>0.26319999999999999</v>
      </c>
      <c r="AO623" s="15" t="s">
        <v>41</v>
      </c>
      <c r="AP623" s="72">
        <v>12.81991666666667</v>
      </c>
      <c r="AQ623" s="70" t="s">
        <v>752</v>
      </c>
      <c r="AR623" s="2">
        <v>94</v>
      </c>
      <c r="AS623" s="2">
        <v>1</v>
      </c>
      <c r="AT623" s="2">
        <v>5</v>
      </c>
      <c r="AU623" s="16" t="s">
        <v>661</v>
      </c>
      <c r="AV623" s="16">
        <f t="shared" si="271"/>
        <v>100</v>
      </c>
      <c r="AW623" s="20">
        <v>1</v>
      </c>
      <c r="AX623" s="8">
        <f t="shared" si="258"/>
        <v>0.01</v>
      </c>
      <c r="AY623" s="13" t="s">
        <v>53</v>
      </c>
      <c r="AZ623" s="16">
        <f>12/0.025</f>
        <v>480</v>
      </c>
      <c r="BA623" s="16" t="s">
        <v>55</v>
      </c>
      <c r="BB623" s="8">
        <v>0.02</v>
      </c>
      <c r="BC623" s="8">
        <v>1</v>
      </c>
      <c r="BD623" s="18">
        <v>0.41</v>
      </c>
      <c r="BE623" s="15">
        <f t="shared" si="251"/>
        <v>41</v>
      </c>
      <c r="BF623" s="15">
        <f t="shared" si="252"/>
        <v>1.6127838567197355</v>
      </c>
      <c r="BG623" s="8">
        <f t="shared" si="262"/>
        <v>-0.38721614328026455</v>
      </c>
      <c r="BH623" s="13" t="s">
        <v>856</v>
      </c>
      <c r="BI623" s="13"/>
      <c r="BJ623" s="13"/>
      <c r="BK623" s="13"/>
      <c r="BL623" s="13"/>
      <c r="BM623" s="17"/>
      <c r="BN623" s="17"/>
      <c r="BO623" s="2"/>
    </row>
    <row r="624" spans="1:67" s="14" customFormat="1" x14ac:dyDescent="0.3">
      <c r="A624" s="20">
        <v>639</v>
      </c>
      <c r="B624" s="2" t="s">
        <v>204</v>
      </c>
      <c r="C624" s="2">
        <v>2013</v>
      </c>
      <c r="D624" s="2" t="s">
        <v>203</v>
      </c>
      <c r="E624" s="10" t="s">
        <v>792</v>
      </c>
      <c r="F624" s="20" t="s">
        <v>29</v>
      </c>
      <c r="G624" s="2" t="s">
        <v>46</v>
      </c>
      <c r="H624" s="2" t="str">
        <f>'PFAS Properties'!$B$42</f>
        <v>PFBS</v>
      </c>
      <c r="I624" s="2" t="str">
        <f>'PFAS Properties'!$C$42</f>
        <v>PFSA</v>
      </c>
      <c r="J624" s="2" t="str">
        <f>'PFAS Properties'!$D$42</f>
        <v>C4HF9O3S</v>
      </c>
      <c r="K624" s="25">
        <f>'PFAS Properties'!$P$42</f>
        <v>299.9502</v>
      </c>
      <c r="L624" s="2">
        <f>'PFAS Properties'!$X$42</f>
        <v>0.1</v>
      </c>
      <c r="M624" s="2" t="str">
        <f>'PFAS Properties'!$Y$42</f>
        <v>-</v>
      </c>
      <c r="N624" s="33">
        <v>0</v>
      </c>
      <c r="O624" s="33">
        <v>0</v>
      </c>
      <c r="P624" s="33">
        <v>0</v>
      </c>
      <c r="Q624" s="33">
        <f t="shared" si="256"/>
        <v>0.99999900000099995</v>
      </c>
      <c r="R624" s="33">
        <v>0</v>
      </c>
      <c r="S624" s="33">
        <f t="shared" si="257"/>
        <v>9.9999900000100006E-7</v>
      </c>
      <c r="T624" s="8">
        <f t="shared" si="259"/>
        <v>1</v>
      </c>
      <c r="U624" s="33">
        <f t="shared" si="245"/>
        <v>0</v>
      </c>
      <c r="V624" s="33">
        <f t="shared" si="246"/>
        <v>-0.99999900000099995</v>
      </c>
      <c r="W624" s="33">
        <f t="shared" si="247"/>
        <v>298.95020099999903</v>
      </c>
      <c r="X624" s="33">
        <v>96485</v>
      </c>
      <c r="Y624" s="16">
        <f t="shared" si="248"/>
        <v>-322.74573889681642</v>
      </c>
      <c r="Z624" s="16">
        <v>4</v>
      </c>
      <c r="AA624" s="16">
        <v>9</v>
      </c>
      <c r="AB624" s="8">
        <f t="shared" si="249"/>
        <v>0.2807017543859649</v>
      </c>
      <c r="AC624" s="16">
        <f t="shared" si="250"/>
        <v>57.009463570952775</v>
      </c>
      <c r="AD624" s="20">
        <f>'PFAS Properties'!$W$42</f>
        <v>4</v>
      </c>
      <c r="AE624" s="8">
        <f>'PFAS Properties'!$S$42</f>
        <v>5.53655844257153</v>
      </c>
      <c r="AF624" s="2">
        <f>'PFAS Properties'!$V$42</f>
        <v>2.2999999999999998</v>
      </c>
      <c r="AG624" s="24">
        <v>6.1</v>
      </c>
      <c r="AH624" s="2" t="s">
        <v>661</v>
      </c>
      <c r="AI624" s="15">
        <v>2.21</v>
      </c>
      <c r="AJ624" s="16">
        <f>AI624*1000/55.845</f>
        <v>39.573820395738203</v>
      </c>
      <c r="AK624" s="8">
        <f>AI624/10</f>
        <v>0.221</v>
      </c>
      <c r="AL624" s="15">
        <v>0.93</v>
      </c>
      <c r="AM624" s="16">
        <f>AL624*1000/26.98</f>
        <v>34.469977761304669</v>
      </c>
      <c r="AN624" s="8">
        <f>AL624/10</f>
        <v>9.2999999999999999E-2</v>
      </c>
      <c r="AO624" s="15" t="s">
        <v>41</v>
      </c>
      <c r="AP624" s="72">
        <v>14.27683666666667</v>
      </c>
      <c r="AQ624" s="2" t="s">
        <v>752</v>
      </c>
      <c r="AR624" s="16">
        <v>81</v>
      </c>
      <c r="AS624" s="16">
        <v>1</v>
      </c>
      <c r="AT624" s="16">
        <v>9</v>
      </c>
      <c r="AU624" s="16" t="s">
        <v>661</v>
      </c>
      <c r="AV624" s="16">
        <f t="shared" ref="AV624:AV626" si="280">SUM(AR624:AT624)</f>
        <v>91</v>
      </c>
      <c r="AW624" s="18">
        <v>1.7</v>
      </c>
      <c r="AX624" s="13">
        <f t="shared" si="258"/>
        <v>1.7000000000000001E-2</v>
      </c>
      <c r="AY624" s="13" t="s">
        <v>42</v>
      </c>
      <c r="AZ624" s="16">
        <f>15/0.04</f>
        <v>375</v>
      </c>
      <c r="BA624" s="16" t="s">
        <v>55</v>
      </c>
      <c r="BB624" s="15">
        <v>0.5</v>
      </c>
      <c r="BC624" s="16">
        <v>1000</v>
      </c>
      <c r="BD624" s="18">
        <v>0.8</v>
      </c>
      <c r="BE624" s="15">
        <f t="shared" si="251"/>
        <v>47.058823529411761</v>
      </c>
      <c r="BF624" s="15">
        <f t="shared" si="252"/>
        <v>1.6726410656136697</v>
      </c>
      <c r="BG624" s="8">
        <f t="shared" si="262"/>
        <v>-9.6910013008056392E-2</v>
      </c>
      <c r="BH624" s="13" t="s">
        <v>844</v>
      </c>
      <c r="BI624" s="15"/>
      <c r="BJ624" s="13"/>
      <c r="BK624" s="15"/>
      <c r="BL624" s="15"/>
      <c r="BM624" s="18"/>
      <c r="BN624" s="8"/>
      <c r="BO624" s="24"/>
    </row>
    <row r="625" spans="1:67" s="14" customFormat="1" x14ac:dyDescent="0.3">
      <c r="A625" s="20">
        <v>640</v>
      </c>
      <c r="B625" s="2" t="s">
        <v>204</v>
      </c>
      <c r="C625" s="2">
        <v>2013</v>
      </c>
      <c r="D625" s="2" t="s">
        <v>203</v>
      </c>
      <c r="E625" s="10" t="s">
        <v>792</v>
      </c>
      <c r="F625" s="20" t="s">
        <v>29</v>
      </c>
      <c r="G625" s="2" t="s">
        <v>50</v>
      </c>
      <c r="H625" s="2" t="str">
        <f>'PFAS Properties'!$B$42</f>
        <v>PFBS</v>
      </c>
      <c r="I625" s="2" t="str">
        <f>'PFAS Properties'!$C$42</f>
        <v>PFSA</v>
      </c>
      <c r="J625" s="2" t="str">
        <f>'PFAS Properties'!$D$42</f>
        <v>C4HF9O3S</v>
      </c>
      <c r="K625" s="25">
        <f>'PFAS Properties'!$P$42</f>
        <v>299.9502</v>
      </c>
      <c r="L625" s="2">
        <f>'PFAS Properties'!$X$42</f>
        <v>0.1</v>
      </c>
      <c r="M625" s="2" t="str">
        <f>'PFAS Properties'!$Y$42</f>
        <v>-</v>
      </c>
      <c r="N625" s="33">
        <v>0</v>
      </c>
      <c r="O625" s="33">
        <v>0</v>
      </c>
      <c r="P625" s="33">
        <v>0</v>
      </c>
      <c r="Q625" s="33">
        <f t="shared" si="256"/>
        <v>0.99999998004737722</v>
      </c>
      <c r="R625" s="33">
        <v>0</v>
      </c>
      <c r="S625" s="33">
        <f t="shared" si="257"/>
        <v>1.995262275158161E-8</v>
      </c>
      <c r="T625" s="8">
        <f t="shared" si="259"/>
        <v>1</v>
      </c>
      <c r="U625" s="33">
        <f t="shared" si="245"/>
        <v>0</v>
      </c>
      <c r="V625" s="33">
        <f t="shared" si="246"/>
        <v>-0.99999998004737722</v>
      </c>
      <c r="W625" s="33">
        <f t="shared" si="247"/>
        <v>298.9502000199526</v>
      </c>
      <c r="X625" s="33">
        <v>96485</v>
      </c>
      <c r="Y625" s="16">
        <f t="shared" si="248"/>
        <v>-322.74605626098116</v>
      </c>
      <c r="Z625" s="16">
        <v>4</v>
      </c>
      <c r="AA625" s="16">
        <v>9</v>
      </c>
      <c r="AB625" s="8">
        <f t="shared" si="249"/>
        <v>0.2807017543859649</v>
      </c>
      <c r="AC625" s="16">
        <f t="shared" si="250"/>
        <v>57.009463570952775</v>
      </c>
      <c r="AD625" s="20">
        <f>'PFAS Properties'!$W$42</f>
        <v>4</v>
      </c>
      <c r="AE625" s="8">
        <f>'PFAS Properties'!$S$42</f>
        <v>5.53655844257153</v>
      </c>
      <c r="AF625" s="2">
        <f>'PFAS Properties'!$V$42</f>
        <v>2.2999999999999998</v>
      </c>
      <c r="AG625" s="24">
        <v>7.8</v>
      </c>
      <c r="AH625" s="2" t="s">
        <v>661</v>
      </c>
      <c r="AI625" s="15">
        <v>6.14</v>
      </c>
      <c r="AJ625" s="16">
        <f>AI625/10</f>
        <v>0.61399999999999999</v>
      </c>
      <c r="AK625" s="8">
        <f>AI625/10</f>
        <v>0.61399999999999999</v>
      </c>
      <c r="AL625" s="15">
        <v>1.67</v>
      </c>
      <c r="AM625" s="15">
        <f>AL625/10</f>
        <v>0.16699999999999998</v>
      </c>
      <c r="AN625" s="8">
        <f>AL625/10</f>
        <v>0.16699999999999998</v>
      </c>
      <c r="AO625" s="15" t="s">
        <v>41</v>
      </c>
      <c r="AP625" s="72">
        <v>6.4956666666666676</v>
      </c>
      <c r="AQ625" s="2" t="s">
        <v>752</v>
      </c>
      <c r="AR625" s="16">
        <v>33</v>
      </c>
      <c r="AS625" s="16">
        <v>42</v>
      </c>
      <c r="AT625" s="16">
        <v>25</v>
      </c>
      <c r="AU625" s="16" t="s">
        <v>661</v>
      </c>
      <c r="AV625" s="16">
        <f t="shared" si="280"/>
        <v>100</v>
      </c>
      <c r="AW625" s="18">
        <v>4.5</v>
      </c>
      <c r="AX625" s="13">
        <f t="shared" si="258"/>
        <v>4.4999999999999998E-2</v>
      </c>
      <c r="AY625" s="13" t="s">
        <v>42</v>
      </c>
      <c r="AZ625" s="16">
        <f>15/0.04</f>
        <v>375</v>
      </c>
      <c r="BA625" s="16" t="s">
        <v>55</v>
      </c>
      <c r="BB625" s="15">
        <v>0.5</v>
      </c>
      <c r="BC625" s="16">
        <v>1000</v>
      </c>
      <c r="BD625" s="24">
        <v>2.35</v>
      </c>
      <c r="BE625" s="15">
        <f t="shared" si="251"/>
        <v>52.222222222222229</v>
      </c>
      <c r="BF625" s="15">
        <f t="shared" si="252"/>
        <v>1.7178553484963925</v>
      </c>
      <c r="BG625" s="8">
        <f t="shared" si="262"/>
        <v>0.37106786227173627</v>
      </c>
      <c r="BH625" s="13" t="s">
        <v>844</v>
      </c>
      <c r="BI625" s="15"/>
      <c r="BJ625" s="13"/>
      <c r="BK625" s="15"/>
      <c r="BL625" s="16"/>
      <c r="BM625" s="18"/>
      <c r="BN625" s="8"/>
      <c r="BO625" s="24"/>
    </row>
    <row r="626" spans="1:67" s="14" customFormat="1" x14ac:dyDescent="0.3">
      <c r="A626" s="20">
        <v>641</v>
      </c>
      <c r="B626" s="2" t="s">
        <v>204</v>
      </c>
      <c r="C626" s="2">
        <v>2013</v>
      </c>
      <c r="D626" s="2" t="s">
        <v>203</v>
      </c>
      <c r="E626" s="10" t="s">
        <v>792</v>
      </c>
      <c r="F626" s="20" t="s">
        <v>29</v>
      </c>
      <c r="G626" s="2" t="s">
        <v>40</v>
      </c>
      <c r="H626" s="2" t="str">
        <f>'PFAS Properties'!$B$42</f>
        <v>PFBS</v>
      </c>
      <c r="I626" s="2" t="str">
        <f>'PFAS Properties'!$C$42</f>
        <v>PFSA</v>
      </c>
      <c r="J626" s="2" t="str">
        <f>'PFAS Properties'!$D$42</f>
        <v>C4HF9O3S</v>
      </c>
      <c r="K626" s="25">
        <f>'PFAS Properties'!$P$42</f>
        <v>299.9502</v>
      </c>
      <c r="L626" s="2">
        <f>'PFAS Properties'!$X$42</f>
        <v>0.1</v>
      </c>
      <c r="M626" s="2" t="str">
        <f>'PFAS Properties'!$Y$42</f>
        <v>-</v>
      </c>
      <c r="N626" s="33">
        <v>0</v>
      </c>
      <c r="O626" s="33">
        <v>0</v>
      </c>
      <c r="P626" s="33">
        <v>0</v>
      </c>
      <c r="Q626" s="33">
        <f t="shared" si="256"/>
        <v>0.99999205678074798</v>
      </c>
      <c r="R626" s="33">
        <v>0</v>
      </c>
      <c r="S626" s="33">
        <f t="shared" si="257"/>
        <v>7.9432192520095278E-6</v>
      </c>
      <c r="T626" s="8">
        <f t="shared" si="259"/>
        <v>1</v>
      </c>
      <c r="U626" s="33">
        <f t="shared" ref="U626:U708" si="281">((1*N626)+(1*O626)+(1*P626))</f>
        <v>0</v>
      </c>
      <c r="V626" s="33">
        <f t="shared" ref="V626:V708" si="282">-((1*O626)+(2*P626)+(1*Q626)+(2*R626))</f>
        <v>-0.99999205678074798</v>
      </c>
      <c r="W626" s="33">
        <f t="shared" ref="W626:W708" si="283">(N626*(K626+1))+(O626*K626)+(P626*(K626-1))+(Q626*(K626-1))+(R626*(K626-2))+(S626*K626)</f>
        <v>298.95020794321925</v>
      </c>
      <c r="X626" s="33">
        <v>96485</v>
      </c>
      <c r="Y626" s="16">
        <f t="shared" ref="Y626:Y708" si="284">((V626+U626)/W626)*X626</f>
        <v>-322.74349050399752</v>
      </c>
      <c r="Z626" s="16">
        <v>4</v>
      </c>
      <c r="AA626" s="16">
        <v>9</v>
      </c>
      <c r="AB626" s="8">
        <f t="shared" ref="AB626:AB708" si="285">(Z626/AA626)*(12/19)</f>
        <v>0.2807017543859649</v>
      </c>
      <c r="AC626" s="16">
        <f t="shared" ref="AC626:AC689" si="286">((AA626*19)/K626)*100</f>
        <v>57.009463570952775</v>
      </c>
      <c r="AD626" s="20">
        <f>'PFAS Properties'!$W$42</f>
        <v>4</v>
      </c>
      <c r="AE626" s="8">
        <f>'PFAS Properties'!$S$42</f>
        <v>5.53655844257153</v>
      </c>
      <c r="AF626" s="2">
        <f>'PFAS Properties'!$V$42</f>
        <v>2.2999999999999998</v>
      </c>
      <c r="AG626" s="24">
        <v>5.2</v>
      </c>
      <c r="AH626" s="2" t="s">
        <v>661</v>
      </c>
      <c r="AI626" s="15">
        <v>24.17</v>
      </c>
      <c r="AJ626" s="16">
        <f>AI626*1000/55.845</f>
        <v>432.80508550452146</v>
      </c>
      <c r="AK626" s="8">
        <f>AI626/10</f>
        <v>2.4170000000000003</v>
      </c>
      <c r="AL626" s="15">
        <v>3.99</v>
      </c>
      <c r="AM626" s="16">
        <f>AL626*1000/26.98</f>
        <v>147.88732394366198</v>
      </c>
      <c r="AN626" s="8">
        <f>AL626/10</f>
        <v>0.39900000000000002</v>
      </c>
      <c r="AO626" s="15" t="s">
        <v>41</v>
      </c>
      <c r="AP626" s="72">
        <v>12.009766666666669</v>
      </c>
      <c r="AQ626" s="2" t="s">
        <v>752</v>
      </c>
      <c r="AR626" s="16">
        <v>47</v>
      </c>
      <c r="AS626" s="16">
        <v>20</v>
      </c>
      <c r="AT626" s="16">
        <v>33</v>
      </c>
      <c r="AU626" s="16" t="s">
        <v>661</v>
      </c>
      <c r="AV626" s="16">
        <f t="shared" si="280"/>
        <v>100</v>
      </c>
      <c r="AW626" s="18">
        <v>0.8</v>
      </c>
      <c r="AX626" s="13">
        <f t="shared" si="258"/>
        <v>8.0000000000000002E-3</v>
      </c>
      <c r="AY626" s="13" t="s">
        <v>42</v>
      </c>
      <c r="AZ626" s="16">
        <f>15/0.04</f>
        <v>375</v>
      </c>
      <c r="BA626" s="16" t="s">
        <v>55</v>
      </c>
      <c r="BB626" s="15">
        <v>0.5</v>
      </c>
      <c r="BC626" s="16">
        <v>1000</v>
      </c>
      <c r="BD626" s="18">
        <v>0.46</v>
      </c>
      <c r="BE626" s="15">
        <f t="shared" ref="BE626:BE689" si="287">BD626/AX626</f>
        <v>57.5</v>
      </c>
      <c r="BF626" s="15">
        <f t="shared" ref="BF626:BF708" si="288">LOG(BE626)</f>
        <v>1.7596678446896306</v>
      </c>
      <c r="BG626" s="8">
        <f t="shared" si="262"/>
        <v>-0.33724216831842591</v>
      </c>
      <c r="BH626" s="13" t="s">
        <v>844</v>
      </c>
      <c r="BI626" s="15"/>
      <c r="BJ626" s="13"/>
      <c r="BK626" s="15"/>
      <c r="BL626" s="16"/>
      <c r="BM626" s="18"/>
      <c r="BN626" s="8"/>
      <c r="BO626" s="24"/>
    </row>
    <row r="627" spans="1:67" s="14" customFormat="1" x14ac:dyDescent="0.3">
      <c r="A627" s="20">
        <v>642</v>
      </c>
      <c r="B627" s="2" t="s">
        <v>211</v>
      </c>
      <c r="C627" s="2">
        <v>2019</v>
      </c>
      <c r="D627" s="2" t="s">
        <v>212</v>
      </c>
      <c r="E627" s="10" t="s">
        <v>213</v>
      </c>
      <c r="F627" s="20" t="s">
        <v>29</v>
      </c>
      <c r="G627" s="2" t="s">
        <v>55</v>
      </c>
      <c r="H627" s="2" t="str">
        <f>'PFAS Properties'!$B$42</f>
        <v>PFBS</v>
      </c>
      <c r="I627" s="2" t="str">
        <f>'PFAS Properties'!$C$42</f>
        <v>PFSA</v>
      </c>
      <c r="J627" s="2" t="str">
        <f>'PFAS Properties'!$D$42</f>
        <v>C4HF9O3S</v>
      </c>
      <c r="K627" s="25">
        <f>'PFAS Properties'!$P$42</f>
        <v>299.9502</v>
      </c>
      <c r="L627" s="2">
        <f>'PFAS Properties'!$X$42</f>
        <v>0.1</v>
      </c>
      <c r="M627" s="2" t="str">
        <f>'PFAS Properties'!$Y$42</f>
        <v>-</v>
      </c>
      <c r="N627" s="33">
        <v>0</v>
      </c>
      <c r="O627" s="33">
        <v>0</v>
      </c>
      <c r="P627" s="33">
        <v>0</v>
      </c>
      <c r="Q627" s="33">
        <f t="shared" si="256"/>
        <v>0.99999987410747471</v>
      </c>
      <c r="R627" s="33">
        <v>0</v>
      </c>
      <c r="S627" s="33">
        <f t="shared" si="257"/>
        <v>1.2589252533048661E-7</v>
      </c>
      <c r="T627" s="8">
        <f t="shared" si="259"/>
        <v>1</v>
      </c>
      <c r="U627" s="33">
        <f t="shared" si="281"/>
        <v>0</v>
      </c>
      <c r="V627" s="33">
        <f t="shared" si="282"/>
        <v>-0.99999987410747471</v>
      </c>
      <c r="W627" s="33">
        <f t="shared" si="283"/>
        <v>298.95020012589254</v>
      </c>
      <c r="X627" s="33">
        <v>96485</v>
      </c>
      <c r="Y627" s="16">
        <f t="shared" si="284"/>
        <v>-322.74602195492218</v>
      </c>
      <c r="Z627" s="16">
        <v>4</v>
      </c>
      <c r="AA627" s="16">
        <v>9</v>
      </c>
      <c r="AB627" s="8">
        <f t="shared" si="285"/>
        <v>0.2807017543859649</v>
      </c>
      <c r="AC627" s="16">
        <f t="shared" si="286"/>
        <v>57.009463570952775</v>
      </c>
      <c r="AD627" s="20">
        <f>'PFAS Properties'!$W$42</f>
        <v>4</v>
      </c>
      <c r="AE627" s="8">
        <f>'PFAS Properties'!$S$42</f>
        <v>5.53655844257153</v>
      </c>
      <c r="AF627" s="2">
        <f>'PFAS Properties'!$V$42</f>
        <v>2.2999999999999998</v>
      </c>
      <c r="AG627" s="24">
        <v>7</v>
      </c>
      <c r="AH627" s="2" t="s">
        <v>661</v>
      </c>
      <c r="AI627" s="2" t="s">
        <v>661</v>
      </c>
      <c r="AJ627" s="2" t="s">
        <v>661</v>
      </c>
      <c r="AK627" s="2" t="s">
        <v>661</v>
      </c>
      <c r="AL627" s="2" t="s">
        <v>661</v>
      </c>
      <c r="AM627" s="2" t="s">
        <v>661</v>
      </c>
      <c r="AN627" s="2" t="s">
        <v>661</v>
      </c>
      <c r="AO627" s="2" t="s">
        <v>661</v>
      </c>
      <c r="AP627" s="37">
        <f>(26.31+26.59+27.81)/3</f>
        <v>26.903333333333332</v>
      </c>
      <c r="AQ627" s="16" t="s">
        <v>661</v>
      </c>
      <c r="AR627" s="71">
        <v>31.549399999999999</v>
      </c>
      <c r="AS627" s="71">
        <v>38.265099999999997</v>
      </c>
      <c r="AT627" s="71">
        <v>30.404799999999991</v>
      </c>
      <c r="AU627" s="70" t="s">
        <v>752</v>
      </c>
      <c r="AV627" s="16">
        <f t="shared" si="271"/>
        <v>100.21929999999999</v>
      </c>
      <c r="AW627" s="18">
        <f>(1.55+1.44+1.34)/3</f>
        <v>1.4433333333333334</v>
      </c>
      <c r="AX627" s="8">
        <f t="shared" si="258"/>
        <v>1.4433333333333333E-2</v>
      </c>
      <c r="AY627" s="8" t="s">
        <v>829</v>
      </c>
      <c r="AZ627" s="16">
        <f>5/0.01</f>
        <v>500</v>
      </c>
      <c r="BA627" s="16" t="s">
        <v>55</v>
      </c>
      <c r="BB627" s="16">
        <v>10</v>
      </c>
      <c r="BC627" s="16">
        <v>100</v>
      </c>
      <c r="BD627" s="20">
        <v>0.62</v>
      </c>
      <c r="BE627" s="15">
        <f t="shared" si="287"/>
        <v>42.956120092378754</v>
      </c>
      <c r="BF627" s="15">
        <f t="shared" si="288"/>
        <v>1.6330250478645509</v>
      </c>
      <c r="BG627" s="8">
        <f t="shared" si="262"/>
        <v>-0.20760831050174613</v>
      </c>
      <c r="BH627" s="13" t="s">
        <v>856</v>
      </c>
      <c r="BI627" s="2"/>
      <c r="BJ627" s="2"/>
      <c r="BK627" s="2"/>
      <c r="BL627" s="2"/>
      <c r="BM627" s="20"/>
      <c r="BN627" s="20"/>
      <c r="BO627" s="2"/>
    </row>
    <row r="628" spans="1:67" s="14" customFormat="1" x14ac:dyDescent="0.3">
      <c r="A628" s="20">
        <v>643</v>
      </c>
      <c r="B628" s="2" t="s">
        <v>206</v>
      </c>
      <c r="C628" s="2">
        <v>2020</v>
      </c>
      <c r="D628" s="2" t="s">
        <v>201</v>
      </c>
      <c r="E628" s="22" t="s">
        <v>793</v>
      </c>
      <c r="F628" s="20" t="s">
        <v>29</v>
      </c>
      <c r="G628" s="2" t="s">
        <v>44</v>
      </c>
      <c r="H628" s="2" t="str">
        <f>'PFAS Properties'!$B$42</f>
        <v>PFBS</v>
      </c>
      <c r="I628" s="2" t="str">
        <f>'PFAS Properties'!$C$42</f>
        <v>PFSA</v>
      </c>
      <c r="J628" s="2" t="str">
        <f>'PFAS Properties'!$D$42</f>
        <v>C4HF9O3S</v>
      </c>
      <c r="K628" s="25">
        <f>'PFAS Properties'!$P$42</f>
        <v>299.9502</v>
      </c>
      <c r="L628" s="2">
        <f>'PFAS Properties'!$X$42</f>
        <v>0.1</v>
      </c>
      <c r="M628" s="2" t="str">
        <f>'PFAS Properties'!$Y$42</f>
        <v>-</v>
      </c>
      <c r="N628" s="33">
        <v>0</v>
      </c>
      <c r="O628" s="33">
        <v>0</v>
      </c>
      <c r="P628" s="33">
        <v>0</v>
      </c>
      <c r="Q628" s="33">
        <f t="shared" si="256"/>
        <v>0.99999998004737722</v>
      </c>
      <c r="R628" s="33">
        <v>0</v>
      </c>
      <c r="S628" s="33">
        <f t="shared" si="257"/>
        <v>1.995262275158161E-8</v>
      </c>
      <c r="T628" s="8">
        <f t="shared" si="259"/>
        <v>1</v>
      </c>
      <c r="U628" s="33">
        <f t="shared" si="281"/>
        <v>0</v>
      </c>
      <c r="V628" s="33">
        <f t="shared" si="282"/>
        <v>-0.99999998004737722</v>
      </c>
      <c r="W628" s="33">
        <f t="shared" si="283"/>
        <v>298.9502000199526</v>
      </c>
      <c r="X628" s="33">
        <v>96485</v>
      </c>
      <c r="Y628" s="16">
        <f t="shared" si="284"/>
        <v>-322.74605626098116</v>
      </c>
      <c r="Z628" s="16">
        <v>4</v>
      </c>
      <c r="AA628" s="16">
        <v>9</v>
      </c>
      <c r="AB628" s="8">
        <f t="shared" si="285"/>
        <v>0.2807017543859649</v>
      </c>
      <c r="AC628" s="16">
        <f t="shared" si="286"/>
        <v>57.009463570952775</v>
      </c>
      <c r="AD628" s="20">
        <f>'PFAS Properties'!$W$42</f>
        <v>4</v>
      </c>
      <c r="AE628" s="8">
        <f>'PFAS Properties'!$S$42</f>
        <v>5.53655844257153</v>
      </c>
      <c r="AF628" s="2">
        <f>'PFAS Properties'!$V$42</f>
        <v>2.2999999999999998</v>
      </c>
      <c r="AG628" s="24">
        <v>7.8</v>
      </c>
      <c r="AH628" s="2" t="s">
        <v>661</v>
      </c>
      <c r="AI628" s="2" t="s">
        <v>661</v>
      </c>
      <c r="AJ628" s="2" t="s">
        <v>661</v>
      </c>
      <c r="AK628" s="2" t="s">
        <v>661</v>
      </c>
      <c r="AL628" s="2" t="s">
        <v>661</v>
      </c>
      <c r="AM628" s="2" t="s">
        <v>661</v>
      </c>
      <c r="AN628" s="2" t="s">
        <v>661</v>
      </c>
      <c r="AO628" s="2" t="s">
        <v>661</v>
      </c>
      <c r="AP628" s="72">
        <v>11.17476666666666</v>
      </c>
      <c r="AQ628" s="70" t="s">
        <v>752</v>
      </c>
      <c r="AR628" s="16">
        <v>47</v>
      </c>
      <c r="AS628" s="16">
        <v>38</v>
      </c>
      <c r="AT628" s="16">
        <v>15</v>
      </c>
      <c r="AU628" s="16" t="s">
        <v>661</v>
      </c>
      <c r="AV628" s="16">
        <f t="shared" si="271"/>
        <v>100</v>
      </c>
      <c r="AW628" s="20">
        <v>1.43</v>
      </c>
      <c r="AX628" s="8">
        <f t="shared" si="258"/>
        <v>1.43E-2</v>
      </c>
      <c r="AY628" s="8" t="s">
        <v>45</v>
      </c>
      <c r="AZ628" s="16">
        <f>5/0.025</f>
        <v>200</v>
      </c>
      <c r="BA628" s="16" t="s">
        <v>55</v>
      </c>
      <c r="BB628" s="16">
        <v>10</v>
      </c>
      <c r="BC628" s="16">
        <v>100</v>
      </c>
      <c r="BD628" s="20">
        <v>0.8</v>
      </c>
      <c r="BE628" s="15">
        <f t="shared" si="287"/>
        <v>55.944055944055947</v>
      </c>
      <c r="BF628" s="15">
        <f t="shared" si="288"/>
        <v>1.7477539495268819</v>
      </c>
      <c r="BG628" s="8">
        <f t="shared" si="262"/>
        <v>-9.6910013008056392E-2</v>
      </c>
      <c r="BH628" s="13" t="s">
        <v>856</v>
      </c>
      <c r="BI628" s="8"/>
      <c r="BJ628" s="13"/>
      <c r="BK628" s="15"/>
      <c r="BL628" s="8"/>
      <c r="BM628" s="18"/>
      <c r="BN628" s="8"/>
      <c r="BO628" s="24"/>
    </row>
    <row r="629" spans="1:67" s="14" customFormat="1" x14ac:dyDescent="0.3">
      <c r="A629" s="20">
        <v>644</v>
      </c>
      <c r="B629" s="2" t="s">
        <v>195</v>
      </c>
      <c r="C629" s="2">
        <v>2018</v>
      </c>
      <c r="D629" s="2" t="s">
        <v>199</v>
      </c>
      <c r="E629" s="10" t="s">
        <v>795</v>
      </c>
      <c r="F629" s="20" t="s">
        <v>29</v>
      </c>
      <c r="G629" s="2" t="s">
        <v>47</v>
      </c>
      <c r="H629" s="2" t="str">
        <f>'PFAS Properties'!$B$42</f>
        <v>PFBS</v>
      </c>
      <c r="I629" s="2" t="str">
        <f>'PFAS Properties'!$C$42</f>
        <v>PFSA</v>
      </c>
      <c r="J629" s="2" t="str">
        <f>'PFAS Properties'!$D$42</f>
        <v>C4HF9O3S</v>
      </c>
      <c r="K629" s="25">
        <f>'PFAS Properties'!$P$42</f>
        <v>299.9502</v>
      </c>
      <c r="L629" s="2">
        <f>'PFAS Properties'!$X$42</f>
        <v>0.1</v>
      </c>
      <c r="M629" s="2" t="str">
        <f>'PFAS Properties'!$Y$42</f>
        <v>-</v>
      </c>
      <c r="N629" s="33">
        <v>0</v>
      </c>
      <c r="O629" s="33">
        <v>0</v>
      </c>
      <c r="P629" s="33">
        <v>0</v>
      </c>
      <c r="Q629" s="33">
        <f t="shared" si="256"/>
        <v>0.99996019086777477</v>
      </c>
      <c r="R629" s="33">
        <v>0</v>
      </c>
      <c r="S629" s="33">
        <f t="shared" si="257"/>
        <v>3.9809132225250393E-5</v>
      </c>
      <c r="T629" s="8">
        <f t="shared" si="259"/>
        <v>1</v>
      </c>
      <c r="U629" s="33">
        <f t="shared" si="281"/>
        <v>0</v>
      </c>
      <c r="V629" s="33">
        <f t="shared" si="282"/>
        <v>-0.99996019086777477</v>
      </c>
      <c r="W629" s="33">
        <f t="shared" si="283"/>
        <v>298.95023980913226</v>
      </c>
      <c r="X629" s="33">
        <v>96485</v>
      </c>
      <c r="Y629" s="16">
        <f t="shared" si="284"/>
        <v>-322.73317150532012</v>
      </c>
      <c r="Z629" s="16">
        <v>4</v>
      </c>
      <c r="AA629" s="16">
        <v>9</v>
      </c>
      <c r="AB629" s="8">
        <f t="shared" si="285"/>
        <v>0.2807017543859649</v>
      </c>
      <c r="AC629" s="16">
        <f t="shared" si="286"/>
        <v>57.009463570952775</v>
      </c>
      <c r="AD629" s="20">
        <f>'PFAS Properties'!$W$42</f>
        <v>4</v>
      </c>
      <c r="AE629" s="8">
        <f>'PFAS Properties'!$S$42</f>
        <v>5.53655844257153</v>
      </c>
      <c r="AF629" s="2">
        <f>'PFAS Properties'!$V$42</f>
        <v>2.2999999999999998</v>
      </c>
      <c r="AG629" s="24">
        <v>4.5</v>
      </c>
      <c r="AH629" s="2" t="s">
        <v>658</v>
      </c>
      <c r="AI629" s="8">
        <f>AJ629*55.845/1000</f>
        <v>5.8637250000000002E-2</v>
      </c>
      <c r="AJ629" s="16">
        <v>1.05</v>
      </c>
      <c r="AK629" s="8">
        <f t="shared" ref="AK629:AK639" si="289">AI629/10</f>
        <v>5.8637250000000002E-3</v>
      </c>
      <c r="AL629" s="15">
        <f>AM629*26.98/1000</f>
        <v>0.18454320000000002</v>
      </c>
      <c r="AM629" s="16">
        <v>6.84</v>
      </c>
      <c r="AN629" s="8">
        <f t="shared" ref="AN629:AN639" si="290">AL629/10</f>
        <v>1.8454320000000003E-2</v>
      </c>
      <c r="AO629" s="2" t="s">
        <v>48</v>
      </c>
      <c r="AP629" s="72">
        <v>21.496500000000001</v>
      </c>
      <c r="AQ629" s="70" t="s">
        <v>752</v>
      </c>
      <c r="AR629" s="71">
        <v>41.737499999999997</v>
      </c>
      <c r="AS629" s="71">
        <v>35.036999999999999</v>
      </c>
      <c r="AT629" s="71">
        <v>21.971</v>
      </c>
      <c r="AU629" s="70" t="s">
        <v>752</v>
      </c>
      <c r="AV629" s="16">
        <f t="shared" si="271"/>
        <v>98.745499999999993</v>
      </c>
      <c r="AW629" s="20">
        <v>45</v>
      </c>
      <c r="AX629" s="8">
        <f t="shared" si="258"/>
        <v>0.45</v>
      </c>
      <c r="AY629" s="8" t="s">
        <v>49</v>
      </c>
      <c r="AZ629" s="16">
        <f>0.45/0.04</f>
        <v>11.25</v>
      </c>
      <c r="BA629" s="16" t="s">
        <v>55</v>
      </c>
      <c r="BB629" s="8">
        <v>1.25</v>
      </c>
      <c r="BC629" s="8" t="s">
        <v>55</v>
      </c>
      <c r="BD629" s="25">
        <f>(10^(1.1)*AX629)</f>
        <v>5.6651643530737559</v>
      </c>
      <c r="BE629" s="15">
        <f t="shared" si="287"/>
        <v>12.58925411794168</v>
      </c>
      <c r="BF629" s="15">
        <f t="shared" si="288"/>
        <v>1.1000000000000003</v>
      </c>
      <c r="BG629" s="8">
        <f t="shared" si="262"/>
        <v>0.75321251377534393</v>
      </c>
      <c r="BH629" s="2" t="s">
        <v>821</v>
      </c>
      <c r="BI629" s="2"/>
      <c r="BJ629" s="2"/>
      <c r="BK629" s="2"/>
      <c r="BL629" s="2"/>
      <c r="BM629" s="20"/>
      <c r="BN629" s="20"/>
      <c r="BO629" s="2"/>
    </row>
    <row r="630" spans="1:67" s="14" customFormat="1" x14ac:dyDescent="0.3">
      <c r="A630" s="20">
        <v>645</v>
      </c>
      <c r="B630" s="2" t="s">
        <v>195</v>
      </c>
      <c r="C630" s="2">
        <v>2022</v>
      </c>
      <c r="D630" s="2" t="s">
        <v>199</v>
      </c>
      <c r="E630" s="10" t="s">
        <v>798</v>
      </c>
      <c r="F630" s="20" t="s">
        <v>29</v>
      </c>
      <c r="G630" s="2" t="s">
        <v>237</v>
      </c>
      <c r="H630" s="2" t="str">
        <f>'PFAS Properties'!$B$42</f>
        <v>PFBS</v>
      </c>
      <c r="I630" s="2" t="str">
        <f>'PFAS Properties'!$C$42</f>
        <v>PFSA</v>
      </c>
      <c r="J630" s="2" t="str">
        <f>'PFAS Properties'!$D$42</f>
        <v>C4HF9O3S</v>
      </c>
      <c r="K630" s="25">
        <f>'PFAS Properties'!$P$42</f>
        <v>299.9502</v>
      </c>
      <c r="L630" s="2">
        <f>'PFAS Properties'!$X$42</f>
        <v>0.1</v>
      </c>
      <c r="M630" s="2" t="str">
        <f>'PFAS Properties'!$Y$42</f>
        <v>-</v>
      </c>
      <c r="N630" s="33">
        <v>0</v>
      </c>
      <c r="O630" s="33">
        <v>0</v>
      </c>
      <c r="P630" s="33">
        <v>0</v>
      </c>
      <c r="Q630" s="33">
        <f t="shared" si="256"/>
        <v>0.99997488176662641</v>
      </c>
      <c r="R630" s="33">
        <v>0</v>
      </c>
      <c r="S630" s="33">
        <f t="shared" si="257"/>
        <v>2.5118233373599799E-5</v>
      </c>
      <c r="T630" s="8">
        <f t="shared" si="259"/>
        <v>1</v>
      </c>
      <c r="U630" s="33">
        <f t="shared" si="281"/>
        <v>0</v>
      </c>
      <c r="V630" s="33">
        <f t="shared" si="282"/>
        <v>-0.99997488176662641</v>
      </c>
      <c r="W630" s="33">
        <f t="shared" si="283"/>
        <v>298.95022511823339</v>
      </c>
      <c r="X630" s="33">
        <v>96485</v>
      </c>
      <c r="Y630" s="16">
        <f t="shared" si="284"/>
        <v>-322.73792879431534</v>
      </c>
      <c r="Z630" s="16">
        <v>4</v>
      </c>
      <c r="AA630" s="16">
        <v>9</v>
      </c>
      <c r="AB630" s="8">
        <f t="shared" si="285"/>
        <v>0.2807017543859649</v>
      </c>
      <c r="AC630" s="16">
        <f t="shared" si="286"/>
        <v>57.009463570952775</v>
      </c>
      <c r="AD630" s="20">
        <f>'PFAS Properties'!$W$42</f>
        <v>4</v>
      </c>
      <c r="AE630" s="8">
        <f>'PFAS Properties'!$S$42</f>
        <v>5.53655844257153</v>
      </c>
      <c r="AF630" s="2">
        <f>'PFAS Properties'!$V$42</f>
        <v>2.2999999999999998</v>
      </c>
      <c r="AG630" s="24">
        <v>4.7</v>
      </c>
      <c r="AH630" s="2" t="s">
        <v>832</v>
      </c>
      <c r="AI630" s="8">
        <f>(6.8*55.845)/1000</f>
        <v>0.37974599999999997</v>
      </c>
      <c r="AJ630" s="15">
        <f t="shared" ref="AJ630:AJ639" si="291">AI630*1000/55.845</f>
        <v>6.8</v>
      </c>
      <c r="AK630" s="8">
        <f t="shared" si="289"/>
        <v>3.7974599999999997E-2</v>
      </c>
      <c r="AL630" s="8">
        <f>(4*26.982)/1000</f>
        <v>0.107928</v>
      </c>
      <c r="AM630" s="15">
        <f>AL630*1000/55.845</f>
        <v>1.932634971796938</v>
      </c>
      <c r="AN630" s="8">
        <f t="shared" si="290"/>
        <v>1.07928E-2</v>
      </c>
      <c r="AO630" s="2" t="s">
        <v>86</v>
      </c>
      <c r="AP630" s="72">
        <v>14.768748</v>
      </c>
      <c r="AQ630" s="70" t="s">
        <v>752</v>
      </c>
      <c r="AR630" s="71">
        <v>37.396533331999997</v>
      </c>
      <c r="AS630" s="71">
        <v>37.430266667999987</v>
      </c>
      <c r="AT630" s="71">
        <v>24.989000000000001</v>
      </c>
      <c r="AU630" s="70" t="s">
        <v>752</v>
      </c>
      <c r="AV630" s="16">
        <f t="shared" ref="AV630:AV632" si="292">SUM(AR630:AT630)</f>
        <v>99.815799999999996</v>
      </c>
      <c r="AW630" s="20">
        <v>44.9</v>
      </c>
      <c r="AX630" s="8">
        <f t="shared" si="258"/>
        <v>0.44900000000000001</v>
      </c>
      <c r="AY630" s="8" t="s">
        <v>240</v>
      </c>
      <c r="AZ630" s="16">
        <f>0.75/0.03</f>
        <v>25</v>
      </c>
      <c r="BA630" s="16" t="s">
        <v>55</v>
      </c>
      <c r="BB630" s="15">
        <f>(7*K630)/1000</f>
        <v>2.0996513999999999</v>
      </c>
      <c r="BC630" s="16">
        <f>(200*K630)/1000</f>
        <v>59.99004</v>
      </c>
      <c r="BD630" s="25">
        <f>(10^1.15)*AX630</f>
        <v>6.3422935753561669</v>
      </c>
      <c r="BE630" s="15">
        <f t="shared" si="287"/>
        <v>14.125375446227542</v>
      </c>
      <c r="BF630" s="15">
        <f t="shared" si="288"/>
        <v>1.1499999999999999</v>
      </c>
      <c r="BG630" s="8">
        <f t="shared" si="262"/>
        <v>0.80224634100332315</v>
      </c>
      <c r="BH630" s="35" t="s">
        <v>857</v>
      </c>
      <c r="BI630" s="16"/>
      <c r="BJ630" s="13"/>
      <c r="BK630" s="15"/>
      <c r="BL630" s="16"/>
      <c r="BM630" s="18"/>
      <c r="BN630" s="8"/>
      <c r="BO630" s="24"/>
    </row>
    <row r="631" spans="1:67" s="14" customFormat="1" x14ac:dyDescent="0.3">
      <c r="A631" s="20">
        <v>646</v>
      </c>
      <c r="B631" s="2" t="s">
        <v>195</v>
      </c>
      <c r="C631" s="2">
        <v>2022</v>
      </c>
      <c r="D631" s="2" t="s">
        <v>199</v>
      </c>
      <c r="E631" s="10" t="s">
        <v>798</v>
      </c>
      <c r="F631" s="20" t="s">
        <v>29</v>
      </c>
      <c r="G631" s="2" t="s">
        <v>238</v>
      </c>
      <c r="H631" s="2" t="str">
        <f>'PFAS Properties'!$B$42</f>
        <v>PFBS</v>
      </c>
      <c r="I631" s="2" t="str">
        <f>'PFAS Properties'!$C$42</f>
        <v>PFSA</v>
      </c>
      <c r="J631" s="2" t="str">
        <f>'PFAS Properties'!$D$42</f>
        <v>C4HF9O3S</v>
      </c>
      <c r="K631" s="25">
        <f>'PFAS Properties'!$P$42</f>
        <v>299.9502</v>
      </c>
      <c r="L631" s="2">
        <f>'PFAS Properties'!$X$42</f>
        <v>0.1</v>
      </c>
      <c r="M631" s="2" t="str">
        <f>'PFAS Properties'!$Y$42</f>
        <v>-</v>
      </c>
      <c r="N631" s="33">
        <v>0</v>
      </c>
      <c r="O631" s="33">
        <v>0</v>
      </c>
      <c r="P631" s="33">
        <v>0</v>
      </c>
      <c r="Q631" s="33">
        <f t="shared" si="256"/>
        <v>0.99990000999900008</v>
      </c>
      <c r="R631" s="33">
        <v>0</v>
      </c>
      <c r="S631" s="33">
        <f t="shared" si="257"/>
        <v>9.9990000999900097E-5</v>
      </c>
      <c r="T631" s="8">
        <f t="shared" si="259"/>
        <v>1</v>
      </c>
      <c r="U631" s="33">
        <f t="shared" si="281"/>
        <v>0</v>
      </c>
      <c r="V631" s="33">
        <f t="shared" si="282"/>
        <v>-0.99990000999900008</v>
      </c>
      <c r="W631" s="33">
        <f t="shared" si="283"/>
        <v>298.95029999000099</v>
      </c>
      <c r="X631" s="33">
        <v>96485</v>
      </c>
      <c r="Y631" s="16">
        <f t="shared" si="284"/>
        <v>-322.71368340483468</v>
      </c>
      <c r="Z631" s="16">
        <v>4</v>
      </c>
      <c r="AA631" s="16">
        <v>9</v>
      </c>
      <c r="AB631" s="8">
        <f t="shared" si="285"/>
        <v>0.2807017543859649</v>
      </c>
      <c r="AC631" s="16">
        <f t="shared" si="286"/>
        <v>57.009463570952775</v>
      </c>
      <c r="AD631" s="20">
        <f>'PFAS Properties'!$W$42</f>
        <v>4</v>
      </c>
      <c r="AE631" s="8">
        <f>'PFAS Properties'!$S$42</f>
        <v>5.53655844257153</v>
      </c>
      <c r="AF631" s="2">
        <f>'PFAS Properties'!$V$42</f>
        <v>2.2999999999999998</v>
      </c>
      <c r="AG631" s="24">
        <v>4.0999999999999996</v>
      </c>
      <c r="AH631" s="2" t="s">
        <v>832</v>
      </c>
      <c r="AI631" s="8">
        <f>(28*55.845)/1000</f>
        <v>1.5636599999999998</v>
      </c>
      <c r="AJ631" s="15">
        <f t="shared" si="291"/>
        <v>27.999999999999996</v>
      </c>
      <c r="AK631" s="8">
        <f t="shared" si="289"/>
        <v>0.15636599999999998</v>
      </c>
      <c r="AL631" s="8">
        <f>(17*26.982)/1000</f>
        <v>0.45869399999999994</v>
      </c>
      <c r="AM631" s="15">
        <f>AL631*1000/55.845</f>
        <v>8.2136986301369852</v>
      </c>
      <c r="AN631" s="8">
        <f t="shared" si="290"/>
        <v>4.5869399999999991E-2</v>
      </c>
      <c r="AO631" s="2" t="s">
        <v>86</v>
      </c>
      <c r="AP631" s="72">
        <v>14.715147999999999</v>
      </c>
      <c r="AQ631" s="70" t="s">
        <v>752</v>
      </c>
      <c r="AR631" s="71">
        <v>37.490533331999998</v>
      </c>
      <c r="AS631" s="71">
        <v>37.393866668000001</v>
      </c>
      <c r="AT631" s="71">
        <v>24.9392</v>
      </c>
      <c r="AU631" s="70" t="s">
        <v>752</v>
      </c>
      <c r="AV631" s="16">
        <f t="shared" si="292"/>
        <v>99.823599999999999</v>
      </c>
      <c r="AW631" s="20">
        <v>46.6</v>
      </c>
      <c r="AX631" s="8">
        <f t="shared" si="258"/>
        <v>0.46600000000000003</v>
      </c>
      <c r="AY631" s="8" t="s">
        <v>240</v>
      </c>
      <c r="AZ631" s="16">
        <f>0.75/0.03</f>
        <v>25</v>
      </c>
      <c r="BA631" s="16" t="s">
        <v>55</v>
      </c>
      <c r="BB631" s="15">
        <f>(30*K631)/1000</f>
        <v>8.998505999999999</v>
      </c>
      <c r="BC631" s="16" t="s">
        <v>55</v>
      </c>
      <c r="BD631" s="25">
        <f>(10^1.19)*AX631</f>
        <v>7.2174854441321648</v>
      </c>
      <c r="BE631" s="15">
        <f t="shared" si="287"/>
        <v>15.488166189124817</v>
      </c>
      <c r="BF631" s="15">
        <f t="shared" si="288"/>
        <v>1.1900000000000002</v>
      </c>
      <c r="BG631" s="8">
        <f t="shared" si="262"/>
        <v>0.85838591669000031</v>
      </c>
      <c r="BH631" s="35" t="s">
        <v>857</v>
      </c>
      <c r="BI631" s="2"/>
      <c r="BJ631" s="2"/>
      <c r="BK631" s="2"/>
      <c r="BL631" s="2"/>
      <c r="BM631" s="20"/>
      <c r="BN631" s="20"/>
      <c r="BO631" s="2"/>
    </row>
    <row r="632" spans="1:67" s="14" customFormat="1" x14ac:dyDescent="0.3">
      <c r="A632" s="20">
        <v>647</v>
      </c>
      <c r="B632" s="2" t="s">
        <v>195</v>
      </c>
      <c r="C632" s="2">
        <v>2022</v>
      </c>
      <c r="D632" s="2" t="s">
        <v>199</v>
      </c>
      <c r="E632" s="10" t="s">
        <v>798</v>
      </c>
      <c r="F632" s="20" t="s">
        <v>29</v>
      </c>
      <c r="G632" s="2" t="s">
        <v>239</v>
      </c>
      <c r="H632" s="2" t="str">
        <f>'PFAS Properties'!$B$42</f>
        <v>PFBS</v>
      </c>
      <c r="I632" s="2" t="str">
        <f>'PFAS Properties'!$C$42</f>
        <v>PFSA</v>
      </c>
      <c r="J632" s="2" t="str">
        <f>'PFAS Properties'!$D$42</f>
        <v>C4HF9O3S</v>
      </c>
      <c r="K632" s="25">
        <f>'PFAS Properties'!$P$42</f>
        <v>299.9502</v>
      </c>
      <c r="L632" s="2">
        <f>'PFAS Properties'!$X$42</f>
        <v>0.1</v>
      </c>
      <c r="M632" s="2" t="str">
        <f>'PFAS Properties'!$Y$42</f>
        <v>-</v>
      </c>
      <c r="N632" s="33">
        <v>0</v>
      </c>
      <c r="O632" s="33">
        <v>0</v>
      </c>
      <c r="P632" s="33">
        <v>0</v>
      </c>
      <c r="Q632" s="33">
        <f t="shared" si="256"/>
        <v>0.99987412330575753</v>
      </c>
      <c r="R632" s="33">
        <v>0</v>
      </c>
      <c r="S632" s="33">
        <f t="shared" si="257"/>
        <v>1.2587669424250327E-4</v>
      </c>
      <c r="T632" s="8">
        <f t="shared" si="259"/>
        <v>1</v>
      </c>
      <c r="U632" s="33">
        <f t="shared" si="281"/>
        <v>0</v>
      </c>
      <c r="V632" s="33">
        <f t="shared" si="282"/>
        <v>-0.99987412330575753</v>
      </c>
      <c r="W632" s="33">
        <f t="shared" si="283"/>
        <v>298.95032587669425</v>
      </c>
      <c r="X632" s="33">
        <v>96485</v>
      </c>
      <c r="Y632" s="16">
        <f t="shared" si="284"/>
        <v>-322.70530063562279</v>
      </c>
      <c r="Z632" s="16">
        <v>4</v>
      </c>
      <c r="AA632" s="16">
        <v>9</v>
      </c>
      <c r="AB632" s="8">
        <f t="shared" si="285"/>
        <v>0.2807017543859649</v>
      </c>
      <c r="AC632" s="16">
        <f t="shared" si="286"/>
        <v>57.009463570952775</v>
      </c>
      <c r="AD632" s="20">
        <f>'PFAS Properties'!$W$42</f>
        <v>4</v>
      </c>
      <c r="AE632" s="8">
        <f>'PFAS Properties'!$S$42</f>
        <v>5.53655844257153</v>
      </c>
      <c r="AF632" s="2">
        <f>'PFAS Properties'!$V$42</f>
        <v>2.2999999999999998</v>
      </c>
      <c r="AG632" s="24">
        <v>4</v>
      </c>
      <c r="AH632" s="2" t="s">
        <v>832</v>
      </c>
      <c r="AI632" s="8">
        <f>(5*55.845)/1000</f>
        <v>0.279225</v>
      </c>
      <c r="AJ632" s="15">
        <f t="shared" si="291"/>
        <v>5.0000000000000009</v>
      </c>
      <c r="AK632" s="8">
        <f t="shared" si="289"/>
        <v>2.7922499999999999E-2</v>
      </c>
      <c r="AL632" s="8">
        <f>(15*26.982)/1000</f>
        <v>0.40473000000000003</v>
      </c>
      <c r="AM632" s="15">
        <f>AL632*1000/55.845</f>
        <v>7.2473811442385179</v>
      </c>
      <c r="AN632" s="8">
        <f t="shared" si="290"/>
        <v>4.0473000000000002E-2</v>
      </c>
      <c r="AO632" s="2" t="s">
        <v>86</v>
      </c>
      <c r="AP632" s="72">
        <v>14.763688</v>
      </c>
      <c r="AQ632" s="70" t="s">
        <v>752</v>
      </c>
      <c r="AR632" s="71">
        <v>37.414333332000012</v>
      </c>
      <c r="AS632" s="71">
        <v>37.430866668</v>
      </c>
      <c r="AT632" s="71">
        <v>24.970400000000001</v>
      </c>
      <c r="AU632" s="70" t="s">
        <v>752</v>
      </c>
      <c r="AV632" s="16">
        <f t="shared" si="292"/>
        <v>99.815600000000003</v>
      </c>
      <c r="AW632" s="20">
        <v>53.6</v>
      </c>
      <c r="AX632" s="8">
        <f t="shared" si="258"/>
        <v>0.53600000000000003</v>
      </c>
      <c r="AY632" s="8" t="s">
        <v>240</v>
      </c>
      <c r="AZ632" s="16">
        <f>0.75/0.03</f>
        <v>25</v>
      </c>
      <c r="BA632" s="16" t="s">
        <v>55</v>
      </c>
      <c r="BB632" s="15">
        <f>(7*K632)/1000</f>
        <v>2.0996513999999999</v>
      </c>
      <c r="BC632" s="16">
        <f>(200*K632)/1000</f>
        <v>59.99004</v>
      </c>
      <c r="BD632" s="25">
        <f>(10^1.14)*AX632</f>
        <v>7.3988596582714647</v>
      </c>
      <c r="BE632" s="15">
        <f t="shared" si="287"/>
        <v>13.803842646028851</v>
      </c>
      <c r="BF632" s="15">
        <f t="shared" si="288"/>
        <v>1.1400000000000001</v>
      </c>
      <c r="BG632" s="8">
        <f t="shared" si="262"/>
        <v>0.86916478969277011</v>
      </c>
      <c r="BH632" s="35" t="s">
        <v>858</v>
      </c>
      <c r="BI632" s="16"/>
      <c r="BJ632" s="13"/>
      <c r="BK632" s="15"/>
      <c r="BL632" s="16"/>
      <c r="BM632" s="18"/>
      <c r="BN632" s="8"/>
      <c r="BO632" s="24"/>
    </row>
    <row r="633" spans="1:67" s="14" customFormat="1" x14ac:dyDescent="0.3">
      <c r="A633" s="20">
        <v>648</v>
      </c>
      <c r="B633" s="2" t="s">
        <v>200</v>
      </c>
      <c r="C633" s="2">
        <v>2021</v>
      </c>
      <c r="D633" s="2" t="s">
        <v>201</v>
      </c>
      <c r="E633" s="10" t="s">
        <v>794</v>
      </c>
      <c r="F633" s="20" t="s">
        <v>29</v>
      </c>
      <c r="G633" s="2" t="s">
        <v>30</v>
      </c>
      <c r="H633" s="2" t="str">
        <f>'PFAS Properties'!$B$42</f>
        <v>PFBS</v>
      </c>
      <c r="I633" s="2" t="str">
        <f>'PFAS Properties'!$C$42</f>
        <v>PFSA</v>
      </c>
      <c r="J633" s="2" t="str">
        <f>'PFAS Properties'!$D$42</f>
        <v>C4HF9O3S</v>
      </c>
      <c r="K633" s="25">
        <f>'PFAS Properties'!$P$42</f>
        <v>299.9502</v>
      </c>
      <c r="L633" s="2">
        <f>'PFAS Properties'!$X$42</f>
        <v>0.1</v>
      </c>
      <c r="M633" s="2" t="str">
        <f>'PFAS Properties'!$Y$42</f>
        <v>-</v>
      </c>
      <c r="N633" s="33">
        <v>0</v>
      </c>
      <c r="O633" s="33">
        <v>0</v>
      </c>
      <c r="P633" s="33">
        <v>0</v>
      </c>
      <c r="Q633" s="33">
        <f t="shared" si="256"/>
        <v>0.99999601894414336</v>
      </c>
      <c r="R633" s="33">
        <v>0</v>
      </c>
      <c r="S633" s="33">
        <f t="shared" si="257"/>
        <v>3.981055856666137E-6</v>
      </c>
      <c r="T633" s="8">
        <f t="shared" si="259"/>
        <v>1</v>
      </c>
      <c r="U633" s="33">
        <f t="shared" si="281"/>
        <v>0</v>
      </c>
      <c r="V633" s="33">
        <f t="shared" si="282"/>
        <v>-0.99999601894414336</v>
      </c>
      <c r="W633" s="33">
        <f t="shared" si="283"/>
        <v>298.95020398105584</v>
      </c>
      <c r="X633" s="33">
        <v>96485</v>
      </c>
      <c r="Y633" s="16">
        <f t="shared" si="284"/>
        <v>-322.74477355412608</v>
      </c>
      <c r="Z633" s="16">
        <v>4</v>
      </c>
      <c r="AA633" s="16">
        <v>9</v>
      </c>
      <c r="AB633" s="8">
        <f t="shared" si="285"/>
        <v>0.2807017543859649</v>
      </c>
      <c r="AC633" s="16">
        <f t="shared" si="286"/>
        <v>57.009463570952775</v>
      </c>
      <c r="AD633" s="20">
        <f>'PFAS Properties'!$W$42</f>
        <v>4</v>
      </c>
      <c r="AE633" s="8">
        <f>'PFAS Properties'!$S$42</f>
        <v>5.53655844257153</v>
      </c>
      <c r="AF633" s="2">
        <f>'PFAS Properties'!$V$42</f>
        <v>2.2999999999999998</v>
      </c>
      <c r="AG633" s="24">
        <v>5.5</v>
      </c>
      <c r="AH633" s="2" t="s">
        <v>834</v>
      </c>
      <c r="AI633" s="15">
        <v>1.0129999999999999</v>
      </c>
      <c r="AJ633" s="16">
        <f t="shared" si="291"/>
        <v>18.13949324021846</v>
      </c>
      <c r="AK633" s="8">
        <f t="shared" si="289"/>
        <v>0.10129999999999999</v>
      </c>
      <c r="AL633" s="15">
        <v>0.40400000000000003</v>
      </c>
      <c r="AM633" s="16">
        <f t="shared" ref="AM633:AM639" si="293">AL633*1000/26.98</f>
        <v>14.974054855448481</v>
      </c>
      <c r="AN633" s="8">
        <f t="shared" si="290"/>
        <v>4.0400000000000005E-2</v>
      </c>
      <c r="AO633" s="15" t="s">
        <v>31</v>
      </c>
      <c r="AP633" s="16">
        <v>23.4</v>
      </c>
      <c r="AQ633" s="16" t="s">
        <v>689</v>
      </c>
      <c r="AR633" s="16">
        <v>54.4</v>
      </c>
      <c r="AS633" s="16">
        <v>35</v>
      </c>
      <c r="AT633" s="16">
        <v>10.6</v>
      </c>
      <c r="AU633" s="16" t="s">
        <v>664</v>
      </c>
      <c r="AV633" s="16">
        <f t="shared" ref="AV633:AV664" si="294">SUM(AR633:AT633)</f>
        <v>100</v>
      </c>
      <c r="AW633" s="20">
        <v>1.6</v>
      </c>
      <c r="AX633" s="8">
        <f t="shared" si="258"/>
        <v>1.6E-2</v>
      </c>
      <c r="AY633" s="8" t="s">
        <v>32</v>
      </c>
      <c r="AZ633" s="16">
        <f t="shared" ref="AZ633:AZ639" si="295">3/0.03</f>
        <v>100</v>
      </c>
      <c r="BA633" s="16" t="s">
        <v>55</v>
      </c>
      <c r="BB633" s="16">
        <v>30</v>
      </c>
      <c r="BC633" s="16" t="s">
        <v>55</v>
      </c>
      <c r="BD633" s="20">
        <v>0.6</v>
      </c>
      <c r="BE633" s="15">
        <f t="shared" si="287"/>
        <v>37.5</v>
      </c>
      <c r="BF633" s="15">
        <f t="shared" si="288"/>
        <v>1.5740312677277188</v>
      </c>
      <c r="BG633" s="8">
        <f t="shared" si="262"/>
        <v>-0.22184874961635639</v>
      </c>
      <c r="BH633" s="2" t="s">
        <v>841</v>
      </c>
      <c r="BI633" s="2"/>
      <c r="BJ633" s="2"/>
      <c r="BK633" s="2"/>
      <c r="BL633" s="2"/>
      <c r="BM633" s="20"/>
      <c r="BN633" s="20"/>
      <c r="BO633" s="2"/>
    </row>
    <row r="634" spans="1:67" s="14" customFormat="1" x14ac:dyDescent="0.3">
      <c r="A634" s="20">
        <v>649</v>
      </c>
      <c r="B634" s="2" t="s">
        <v>200</v>
      </c>
      <c r="C634" s="2">
        <v>2021</v>
      </c>
      <c r="D634" s="2" t="s">
        <v>201</v>
      </c>
      <c r="E634" s="10" t="s">
        <v>794</v>
      </c>
      <c r="F634" s="20" t="s">
        <v>29</v>
      </c>
      <c r="G634" s="2" t="s">
        <v>33</v>
      </c>
      <c r="H634" s="2" t="str">
        <f>'PFAS Properties'!$B$42</f>
        <v>PFBS</v>
      </c>
      <c r="I634" s="2" t="str">
        <f>'PFAS Properties'!$C$42</f>
        <v>PFSA</v>
      </c>
      <c r="J634" s="2" t="str">
        <f>'PFAS Properties'!$D$42</f>
        <v>C4HF9O3S</v>
      </c>
      <c r="K634" s="25">
        <f>'PFAS Properties'!$P$42</f>
        <v>299.9502</v>
      </c>
      <c r="L634" s="2">
        <f>'PFAS Properties'!$X$42</f>
        <v>0.1</v>
      </c>
      <c r="M634" s="2" t="str">
        <f>'PFAS Properties'!$Y$42</f>
        <v>-</v>
      </c>
      <c r="N634" s="33">
        <v>0</v>
      </c>
      <c r="O634" s="33">
        <v>0</v>
      </c>
      <c r="P634" s="33">
        <v>0</v>
      </c>
      <c r="Q634" s="33">
        <f t="shared" si="256"/>
        <v>0.99999998741074603</v>
      </c>
      <c r="R634" s="33">
        <v>0</v>
      </c>
      <c r="S634" s="33">
        <f t="shared" si="257"/>
        <v>1.258925395945232E-8</v>
      </c>
      <c r="T634" s="8">
        <f t="shared" si="259"/>
        <v>1</v>
      </c>
      <c r="U634" s="33">
        <f t="shared" si="281"/>
        <v>0</v>
      </c>
      <c r="V634" s="33">
        <f t="shared" si="282"/>
        <v>-0.99999998741074603</v>
      </c>
      <c r="W634" s="33">
        <f t="shared" si="283"/>
        <v>298.95020001258922</v>
      </c>
      <c r="X634" s="33">
        <v>96485</v>
      </c>
      <c r="Y634" s="16">
        <f t="shared" si="284"/>
        <v>-322.74605864542895</v>
      </c>
      <c r="Z634" s="16">
        <v>4</v>
      </c>
      <c r="AA634" s="16">
        <v>9</v>
      </c>
      <c r="AB634" s="8">
        <f t="shared" si="285"/>
        <v>0.2807017543859649</v>
      </c>
      <c r="AC634" s="16">
        <f t="shared" si="286"/>
        <v>57.009463570952775</v>
      </c>
      <c r="AD634" s="20">
        <f>'PFAS Properties'!$W$42</f>
        <v>4</v>
      </c>
      <c r="AE634" s="8">
        <f>'PFAS Properties'!$S$42</f>
        <v>5.53655844257153</v>
      </c>
      <c r="AF634" s="2">
        <f>'PFAS Properties'!$V$42</f>
        <v>2.2999999999999998</v>
      </c>
      <c r="AG634" s="24">
        <v>8</v>
      </c>
      <c r="AH634" s="2" t="s">
        <v>834</v>
      </c>
      <c r="AI634" s="15">
        <v>2.9660000000000002</v>
      </c>
      <c r="AJ634" s="16">
        <f t="shared" si="291"/>
        <v>53.111290178171728</v>
      </c>
      <c r="AK634" s="8">
        <f t="shared" si="289"/>
        <v>0.29660000000000003</v>
      </c>
      <c r="AL634" s="15">
        <v>0.23</v>
      </c>
      <c r="AM634" s="16">
        <f t="shared" si="293"/>
        <v>8.5248332097850259</v>
      </c>
      <c r="AN634" s="8">
        <f t="shared" si="290"/>
        <v>2.3E-2</v>
      </c>
      <c r="AO634" s="15" t="s">
        <v>31</v>
      </c>
      <c r="AP634" s="16">
        <v>87.3</v>
      </c>
      <c r="AQ634" s="16" t="s">
        <v>689</v>
      </c>
      <c r="AR634" s="16">
        <v>12.2</v>
      </c>
      <c r="AS634" s="16">
        <v>54.3</v>
      </c>
      <c r="AT634" s="16">
        <v>33.5</v>
      </c>
      <c r="AU634" s="16" t="s">
        <v>664</v>
      </c>
      <c r="AV634" s="16">
        <f t="shared" si="294"/>
        <v>100</v>
      </c>
      <c r="AW634" s="20">
        <v>7.7</v>
      </c>
      <c r="AX634" s="8">
        <f t="shared" si="258"/>
        <v>7.6999999999999999E-2</v>
      </c>
      <c r="AY634" s="8" t="s">
        <v>32</v>
      </c>
      <c r="AZ634" s="16">
        <f t="shared" si="295"/>
        <v>100</v>
      </c>
      <c r="BA634" s="16" t="s">
        <v>55</v>
      </c>
      <c r="BB634" s="16">
        <v>30</v>
      </c>
      <c r="BC634" s="16" t="s">
        <v>55</v>
      </c>
      <c r="BD634" s="20">
        <v>1.6</v>
      </c>
      <c r="BE634" s="15">
        <f t="shared" si="287"/>
        <v>20.779220779220779</v>
      </c>
      <c r="BF634" s="15">
        <f t="shared" si="288"/>
        <v>1.317629257483443</v>
      </c>
      <c r="BG634" s="8">
        <f t="shared" si="262"/>
        <v>0.20411998265592479</v>
      </c>
      <c r="BH634" s="2" t="s">
        <v>841</v>
      </c>
      <c r="BI634" s="2"/>
      <c r="BJ634" s="2"/>
      <c r="BK634" s="2"/>
      <c r="BL634" s="2"/>
      <c r="BM634" s="20"/>
      <c r="BN634" s="20"/>
      <c r="BO634" s="2"/>
    </row>
    <row r="635" spans="1:67" s="14" customFormat="1" x14ac:dyDescent="0.3">
      <c r="A635" s="20">
        <v>650</v>
      </c>
      <c r="B635" s="2" t="s">
        <v>200</v>
      </c>
      <c r="C635" s="2">
        <v>2021</v>
      </c>
      <c r="D635" s="2" t="s">
        <v>201</v>
      </c>
      <c r="E635" s="10" t="s">
        <v>794</v>
      </c>
      <c r="F635" s="20" t="s">
        <v>29</v>
      </c>
      <c r="G635" s="2" t="s">
        <v>34</v>
      </c>
      <c r="H635" s="2" t="str">
        <f>'PFAS Properties'!$B$42</f>
        <v>PFBS</v>
      </c>
      <c r="I635" s="2" t="str">
        <f>'PFAS Properties'!$C$42</f>
        <v>PFSA</v>
      </c>
      <c r="J635" s="2" t="str">
        <f>'PFAS Properties'!$D$42</f>
        <v>C4HF9O3S</v>
      </c>
      <c r="K635" s="25">
        <f>'PFAS Properties'!$P$42</f>
        <v>299.9502</v>
      </c>
      <c r="L635" s="2">
        <f>'PFAS Properties'!$X$42</f>
        <v>0.1</v>
      </c>
      <c r="M635" s="2" t="str">
        <f>'PFAS Properties'!$Y$42</f>
        <v>-</v>
      </c>
      <c r="N635" s="33">
        <v>0</v>
      </c>
      <c r="O635" s="33">
        <v>0</v>
      </c>
      <c r="P635" s="33">
        <v>0</v>
      </c>
      <c r="Q635" s="33">
        <f t="shared" si="256"/>
        <v>0.99999205678074798</v>
      </c>
      <c r="R635" s="33">
        <v>0</v>
      </c>
      <c r="S635" s="33">
        <f t="shared" si="257"/>
        <v>7.9432192520095278E-6</v>
      </c>
      <c r="T635" s="8">
        <f t="shared" si="259"/>
        <v>1</v>
      </c>
      <c r="U635" s="33">
        <f t="shared" si="281"/>
        <v>0</v>
      </c>
      <c r="V635" s="33">
        <f t="shared" si="282"/>
        <v>-0.99999205678074798</v>
      </c>
      <c r="W635" s="33">
        <f t="shared" si="283"/>
        <v>298.95020794321925</v>
      </c>
      <c r="X635" s="33">
        <v>96485</v>
      </c>
      <c r="Y635" s="16">
        <f t="shared" si="284"/>
        <v>-322.74349050399752</v>
      </c>
      <c r="Z635" s="16">
        <v>4</v>
      </c>
      <c r="AA635" s="16">
        <v>9</v>
      </c>
      <c r="AB635" s="8">
        <f t="shared" si="285"/>
        <v>0.2807017543859649</v>
      </c>
      <c r="AC635" s="16">
        <f t="shared" si="286"/>
        <v>57.009463570952775</v>
      </c>
      <c r="AD635" s="20">
        <f>'PFAS Properties'!$W$42</f>
        <v>4</v>
      </c>
      <c r="AE635" s="8">
        <f>'PFAS Properties'!$S$42</f>
        <v>5.53655844257153</v>
      </c>
      <c r="AF635" s="2">
        <f>'PFAS Properties'!$V$42</f>
        <v>2.2999999999999998</v>
      </c>
      <c r="AG635" s="24">
        <v>5.2</v>
      </c>
      <c r="AH635" s="2" t="s">
        <v>834</v>
      </c>
      <c r="AI635" s="15">
        <v>4.5149999999999997</v>
      </c>
      <c r="AJ635" s="16">
        <f t="shared" si="291"/>
        <v>80.848777867311313</v>
      </c>
      <c r="AK635" s="8">
        <f t="shared" si="289"/>
        <v>0.45149999999999996</v>
      </c>
      <c r="AL635" s="15">
        <v>0.377</v>
      </c>
      <c r="AM635" s="16">
        <f t="shared" si="293"/>
        <v>13.973313565604151</v>
      </c>
      <c r="AN635" s="8">
        <f t="shared" si="290"/>
        <v>3.7699999999999997E-2</v>
      </c>
      <c r="AO635" s="15" t="s">
        <v>31</v>
      </c>
      <c r="AP635" s="16">
        <v>44.3</v>
      </c>
      <c r="AQ635" s="16" t="s">
        <v>689</v>
      </c>
      <c r="AR635" s="16">
        <v>41.3</v>
      </c>
      <c r="AS635" s="16">
        <v>39.799999999999997</v>
      </c>
      <c r="AT635" s="16">
        <v>18.899999999999999</v>
      </c>
      <c r="AU635" s="16" t="s">
        <v>664</v>
      </c>
      <c r="AV635" s="16">
        <f t="shared" si="294"/>
        <v>100</v>
      </c>
      <c r="AW635" s="20">
        <v>9.4</v>
      </c>
      <c r="AX635" s="8">
        <f t="shared" si="258"/>
        <v>9.4E-2</v>
      </c>
      <c r="AY635" s="8" t="s">
        <v>32</v>
      </c>
      <c r="AZ635" s="16">
        <f t="shared" si="295"/>
        <v>100</v>
      </c>
      <c r="BA635" s="16" t="s">
        <v>55</v>
      </c>
      <c r="BB635" s="16">
        <v>30</v>
      </c>
      <c r="BC635" s="16" t="s">
        <v>55</v>
      </c>
      <c r="BD635" s="20">
        <v>1.4</v>
      </c>
      <c r="BE635" s="15">
        <f t="shared" si="287"/>
        <v>14.893617021276595</v>
      </c>
      <c r="BF635" s="15">
        <f t="shared" si="288"/>
        <v>1.1730001820785394</v>
      </c>
      <c r="BG635" s="8">
        <f t="shared" si="262"/>
        <v>0.14612803567823801</v>
      </c>
      <c r="BH635" s="2" t="s">
        <v>841</v>
      </c>
      <c r="BI635" s="2"/>
      <c r="BJ635" s="2"/>
      <c r="BK635" s="2"/>
      <c r="BL635" s="2"/>
      <c r="BM635" s="20"/>
      <c r="BN635" s="20"/>
      <c r="BO635" s="2"/>
    </row>
    <row r="636" spans="1:67" s="14" customFormat="1" x14ac:dyDescent="0.3">
      <c r="A636" s="20">
        <v>651</v>
      </c>
      <c r="B636" s="2" t="s">
        <v>200</v>
      </c>
      <c r="C636" s="2">
        <v>2021</v>
      </c>
      <c r="D636" s="2" t="s">
        <v>201</v>
      </c>
      <c r="E636" s="10" t="s">
        <v>794</v>
      </c>
      <c r="F636" s="20" t="s">
        <v>29</v>
      </c>
      <c r="G636" s="2" t="s">
        <v>35</v>
      </c>
      <c r="H636" s="2" t="str">
        <f>'PFAS Properties'!$B$42</f>
        <v>PFBS</v>
      </c>
      <c r="I636" s="2" t="str">
        <f>'PFAS Properties'!$C$42</f>
        <v>PFSA</v>
      </c>
      <c r="J636" s="2" t="str">
        <f>'PFAS Properties'!$D$42</f>
        <v>C4HF9O3S</v>
      </c>
      <c r="K636" s="25">
        <f>'PFAS Properties'!$P$42</f>
        <v>299.9502</v>
      </c>
      <c r="L636" s="2">
        <f>'PFAS Properties'!$X$42</f>
        <v>0.1</v>
      </c>
      <c r="M636" s="2" t="str">
        <f>'PFAS Properties'!$Y$42</f>
        <v>-</v>
      </c>
      <c r="N636" s="33">
        <v>0</v>
      </c>
      <c r="O636" s="33">
        <v>0</v>
      </c>
      <c r="P636" s="33">
        <v>0</v>
      </c>
      <c r="Q636" s="33">
        <f t="shared" si="256"/>
        <v>0.99999800474166611</v>
      </c>
      <c r="R636" s="33">
        <v>0</v>
      </c>
      <c r="S636" s="33">
        <f t="shared" si="257"/>
        <v>1.9952583339051124E-6</v>
      </c>
      <c r="T636" s="8">
        <f t="shared" si="259"/>
        <v>1</v>
      </c>
      <c r="U636" s="33">
        <f t="shared" si="281"/>
        <v>0</v>
      </c>
      <c r="V636" s="33">
        <f t="shared" si="282"/>
        <v>-0.99999800474166611</v>
      </c>
      <c r="W636" s="33">
        <f t="shared" si="283"/>
        <v>298.95020199525828</v>
      </c>
      <c r="X636" s="33">
        <v>96485</v>
      </c>
      <c r="Y636" s="16">
        <f t="shared" si="284"/>
        <v>-322.74541660630831</v>
      </c>
      <c r="Z636" s="16">
        <v>4</v>
      </c>
      <c r="AA636" s="16">
        <v>9</v>
      </c>
      <c r="AB636" s="8">
        <f t="shared" si="285"/>
        <v>0.2807017543859649</v>
      </c>
      <c r="AC636" s="16">
        <f t="shared" si="286"/>
        <v>57.009463570952775</v>
      </c>
      <c r="AD636" s="20">
        <f>'PFAS Properties'!$W$42</f>
        <v>4</v>
      </c>
      <c r="AE636" s="8">
        <f>'PFAS Properties'!$S$42</f>
        <v>5.53655844257153</v>
      </c>
      <c r="AF636" s="2">
        <f>'PFAS Properties'!$V$42</f>
        <v>2.2999999999999998</v>
      </c>
      <c r="AG636" s="24">
        <v>5.8</v>
      </c>
      <c r="AH636" s="2" t="s">
        <v>834</v>
      </c>
      <c r="AI636" s="15">
        <v>6.5019999999999998</v>
      </c>
      <c r="AJ636" s="16">
        <f t="shared" si="291"/>
        <v>116.42940281135286</v>
      </c>
      <c r="AK636" s="8">
        <f t="shared" si="289"/>
        <v>0.6502</v>
      </c>
      <c r="AL636" s="15">
        <v>1.732</v>
      </c>
      <c r="AM636" s="16">
        <f t="shared" si="293"/>
        <v>64.195700518902896</v>
      </c>
      <c r="AN636" s="8">
        <f t="shared" si="290"/>
        <v>0.17319999999999999</v>
      </c>
      <c r="AO636" s="15" t="s">
        <v>31</v>
      </c>
      <c r="AP636" s="16">
        <v>90</v>
      </c>
      <c r="AQ636" s="16" t="s">
        <v>689</v>
      </c>
      <c r="AR636" s="16">
        <v>46</v>
      </c>
      <c r="AS636" s="16">
        <v>51</v>
      </c>
      <c r="AT636" s="16">
        <v>3</v>
      </c>
      <c r="AU636" s="16" t="s">
        <v>664</v>
      </c>
      <c r="AV636" s="16">
        <f t="shared" si="294"/>
        <v>100</v>
      </c>
      <c r="AW636" s="20">
        <v>27</v>
      </c>
      <c r="AX636" s="8">
        <f t="shared" si="258"/>
        <v>0.27</v>
      </c>
      <c r="AY636" s="8" t="s">
        <v>32</v>
      </c>
      <c r="AZ636" s="16">
        <f t="shared" si="295"/>
        <v>100</v>
      </c>
      <c r="BA636" s="16" t="s">
        <v>55</v>
      </c>
      <c r="BB636" s="16">
        <v>50</v>
      </c>
      <c r="BC636" s="16" t="s">
        <v>55</v>
      </c>
      <c r="BD636" s="20">
        <v>1.5</v>
      </c>
      <c r="BE636" s="15">
        <f t="shared" si="287"/>
        <v>5.5555555555555554</v>
      </c>
      <c r="BF636" s="15">
        <f t="shared" si="288"/>
        <v>0.74472749489669388</v>
      </c>
      <c r="BG636" s="8">
        <f t="shared" si="262"/>
        <v>0.17609125905568124</v>
      </c>
      <c r="BH636" s="2" t="s">
        <v>841</v>
      </c>
      <c r="BI636" s="2"/>
      <c r="BJ636" s="2"/>
      <c r="BK636" s="2"/>
      <c r="BL636" s="2"/>
      <c r="BM636" s="20"/>
      <c r="BN636" s="20"/>
      <c r="BO636" s="2"/>
    </row>
    <row r="637" spans="1:67" s="14" customFormat="1" x14ac:dyDescent="0.3">
      <c r="A637" s="20">
        <v>652</v>
      </c>
      <c r="B637" s="2" t="s">
        <v>200</v>
      </c>
      <c r="C637" s="2">
        <v>2021</v>
      </c>
      <c r="D637" s="2" t="s">
        <v>201</v>
      </c>
      <c r="E637" s="10" t="s">
        <v>794</v>
      </c>
      <c r="F637" s="20" t="s">
        <v>29</v>
      </c>
      <c r="G637" s="2" t="s">
        <v>36</v>
      </c>
      <c r="H637" s="2" t="str">
        <f>'PFAS Properties'!$B$42</f>
        <v>PFBS</v>
      </c>
      <c r="I637" s="2" t="str">
        <f>'PFAS Properties'!$C$42</f>
        <v>PFSA</v>
      </c>
      <c r="J637" s="2" t="str">
        <f>'PFAS Properties'!$D$42</f>
        <v>C4HF9O3S</v>
      </c>
      <c r="K637" s="25">
        <f>'PFAS Properties'!$P$42</f>
        <v>299.9502</v>
      </c>
      <c r="L637" s="2">
        <f>'PFAS Properties'!$X$42</f>
        <v>0.1</v>
      </c>
      <c r="M637" s="2" t="str">
        <f>'PFAS Properties'!$Y$42</f>
        <v>-</v>
      </c>
      <c r="N637" s="33">
        <v>0</v>
      </c>
      <c r="O637" s="33">
        <v>0</v>
      </c>
      <c r="P637" s="33">
        <v>0</v>
      </c>
      <c r="Q637" s="33">
        <f t="shared" si="256"/>
        <v>0.9999974881198781</v>
      </c>
      <c r="R637" s="33">
        <v>0</v>
      </c>
      <c r="S637" s="33">
        <f t="shared" si="257"/>
        <v>2.5118801219519806E-6</v>
      </c>
      <c r="T637" s="8">
        <f t="shared" si="259"/>
        <v>1</v>
      </c>
      <c r="U637" s="33">
        <f t="shared" si="281"/>
        <v>0</v>
      </c>
      <c r="V637" s="33">
        <f t="shared" si="282"/>
        <v>-0.9999974881198781</v>
      </c>
      <c r="W637" s="33">
        <f t="shared" si="283"/>
        <v>298.95020251188015</v>
      </c>
      <c r="X637" s="33">
        <v>96485</v>
      </c>
      <c r="Y637" s="16">
        <f t="shared" si="284"/>
        <v>-322.74524931091884</v>
      </c>
      <c r="Z637" s="16">
        <v>4</v>
      </c>
      <c r="AA637" s="16">
        <v>9</v>
      </c>
      <c r="AB637" s="8">
        <f t="shared" si="285"/>
        <v>0.2807017543859649</v>
      </c>
      <c r="AC637" s="16">
        <f t="shared" si="286"/>
        <v>57.009463570952775</v>
      </c>
      <c r="AD637" s="20">
        <f>'PFAS Properties'!$W$42</f>
        <v>4</v>
      </c>
      <c r="AE637" s="8">
        <f>'PFAS Properties'!$S$42</f>
        <v>5.53655844257153</v>
      </c>
      <c r="AF637" s="2">
        <f>'PFAS Properties'!$V$42</f>
        <v>2.2999999999999998</v>
      </c>
      <c r="AG637" s="24">
        <v>5.7</v>
      </c>
      <c r="AH637" s="2" t="s">
        <v>834</v>
      </c>
      <c r="AI637" s="15">
        <v>12.358000000000001</v>
      </c>
      <c r="AJ637" s="16">
        <f t="shared" si="291"/>
        <v>221.29107350702839</v>
      </c>
      <c r="AK637" s="8">
        <f t="shared" si="289"/>
        <v>1.2358</v>
      </c>
      <c r="AL637" s="15">
        <v>1.0269999999999999</v>
      </c>
      <c r="AM637" s="16">
        <f t="shared" si="293"/>
        <v>38.065233506300963</v>
      </c>
      <c r="AN637" s="8">
        <f t="shared" si="290"/>
        <v>0.10269999999999999</v>
      </c>
      <c r="AO637" s="15" t="s">
        <v>31</v>
      </c>
      <c r="AP637" s="16">
        <v>103</v>
      </c>
      <c r="AQ637" s="16" t="s">
        <v>689</v>
      </c>
      <c r="AR637" s="16">
        <v>35</v>
      </c>
      <c r="AS637" s="16">
        <v>63</v>
      </c>
      <c r="AT637" s="16">
        <v>2</v>
      </c>
      <c r="AU637" s="16" t="s">
        <v>664</v>
      </c>
      <c r="AV637" s="16">
        <f t="shared" si="294"/>
        <v>100</v>
      </c>
      <c r="AW637" s="20">
        <v>32</v>
      </c>
      <c r="AX637" s="8">
        <f t="shared" si="258"/>
        <v>0.32</v>
      </c>
      <c r="AY637" s="8" t="s">
        <v>32</v>
      </c>
      <c r="AZ637" s="16">
        <f t="shared" si="295"/>
        <v>100</v>
      </c>
      <c r="BA637" s="16" t="s">
        <v>55</v>
      </c>
      <c r="BB637" s="16">
        <v>50</v>
      </c>
      <c r="BC637" s="16" t="s">
        <v>55</v>
      </c>
      <c r="BD637" s="20">
        <v>3</v>
      </c>
      <c r="BE637" s="15">
        <f t="shared" si="287"/>
        <v>9.375</v>
      </c>
      <c r="BF637" s="15">
        <f t="shared" si="288"/>
        <v>0.97197127639975645</v>
      </c>
      <c r="BG637" s="8">
        <f t="shared" si="262"/>
        <v>0.47712125471966244</v>
      </c>
      <c r="BH637" s="2" t="s">
        <v>841</v>
      </c>
      <c r="BI637" s="2"/>
      <c r="BJ637" s="2"/>
      <c r="BK637" s="2"/>
      <c r="BL637" s="2"/>
      <c r="BM637" s="20"/>
      <c r="BN637" s="20"/>
      <c r="BO637" s="2"/>
    </row>
    <row r="638" spans="1:67" s="14" customFormat="1" x14ac:dyDescent="0.3">
      <c r="A638" s="20">
        <v>653</v>
      </c>
      <c r="B638" s="2" t="s">
        <v>200</v>
      </c>
      <c r="C638" s="2">
        <v>2021</v>
      </c>
      <c r="D638" s="2" t="s">
        <v>201</v>
      </c>
      <c r="E638" s="10" t="s">
        <v>794</v>
      </c>
      <c r="F638" s="20" t="s">
        <v>29</v>
      </c>
      <c r="G638" s="2" t="s">
        <v>37</v>
      </c>
      <c r="H638" s="2" t="str">
        <f>'PFAS Properties'!$B$42</f>
        <v>PFBS</v>
      </c>
      <c r="I638" s="2" t="str">
        <f>'PFAS Properties'!$C$42</f>
        <v>PFSA</v>
      </c>
      <c r="J638" s="2" t="str">
        <f>'PFAS Properties'!$D$42</f>
        <v>C4HF9O3S</v>
      </c>
      <c r="K638" s="25">
        <f>'PFAS Properties'!$P$42</f>
        <v>299.9502</v>
      </c>
      <c r="L638" s="2">
        <f>'PFAS Properties'!$X$42</f>
        <v>0.1</v>
      </c>
      <c r="M638" s="2" t="str">
        <f>'PFAS Properties'!$Y$42</f>
        <v>-</v>
      </c>
      <c r="N638" s="33">
        <v>0</v>
      </c>
      <c r="O638" s="33">
        <v>0</v>
      </c>
      <c r="P638" s="33">
        <v>0</v>
      </c>
      <c r="Q638" s="33">
        <f t="shared" si="256"/>
        <v>0.9999974881198781</v>
      </c>
      <c r="R638" s="33">
        <v>0</v>
      </c>
      <c r="S638" s="33">
        <f t="shared" si="257"/>
        <v>2.5118801219519806E-6</v>
      </c>
      <c r="T638" s="8">
        <f t="shared" si="259"/>
        <v>1</v>
      </c>
      <c r="U638" s="33">
        <f t="shared" si="281"/>
        <v>0</v>
      </c>
      <c r="V638" s="33">
        <f t="shared" si="282"/>
        <v>-0.9999974881198781</v>
      </c>
      <c r="W638" s="33">
        <f t="shared" si="283"/>
        <v>298.95020251188015</v>
      </c>
      <c r="X638" s="33">
        <v>96485</v>
      </c>
      <c r="Y638" s="16">
        <f t="shared" si="284"/>
        <v>-322.74524931091884</v>
      </c>
      <c r="Z638" s="16">
        <v>4</v>
      </c>
      <c r="AA638" s="16">
        <v>9</v>
      </c>
      <c r="AB638" s="8">
        <f t="shared" si="285"/>
        <v>0.2807017543859649</v>
      </c>
      <c r="AC638" s="16">
        <f t="shared" si="286"/>
        <v>57.009463570952775</v>
      </c>
      <c r="AD638" s="20">
        <f>'PFAS Properties'!$W$42</f>
        <v>4</v>
      </c>
      <c r="AE638" s="8">
        <f>'PFAS Properties'!$S$42</f>
        <v>5.53655844257153</v>
      </c>
      <c r="AF638" s="2">
        <f>'PFAS Properties'!$V$42</f>
        <v>2.2999999999999998</v>
      </c>
      <c r="AG638" s="24">
        <v>5.7</v>
      </c>
      <c r="AH638" s="2" t="s">
        <v>834</v>
      </c>
      <c r="AI638" s="15">
        <v>10.64</v>
      </c>
      <c r="AJ638" s="16">
        <f t="shared" si="291"/>
        <v>190.52735249350883</v>
      </c>
      <c r="AK638" s="8">
        <f t="shared" si="289"/>
        <v>1.0640000000000001</v>
      </c>
      <c r="AL638" s="15">
        <v>0.16700000000000001</v>
      </c>
      <c r="AM638" s="16">
        <f t="shared" si="293"/>
        <v>6.1897702001482582</v>
      </c>
      <c r="AN638" s="8">
        <f t="shared" si="290"/>
        <v>1.67E-2</v>
      </c>
      <c r="AO638" s="15" t="s">
        <v>31</v>
      </c>
      <c r="AP638" s="16">
        <v>140</v>
      </c>
      <c r="AQ638" s="16" t="s">
        <v>689</v>
      </c>
      <c r="AR638" s="16">
        <v>20.7</v>
      </c>
      <c r="AS638" s="16">
        <v>78</v>
      </c>
      <c r="AT638" s="16">
        <v>1.3</v>
      </c>
      <c r="AU638" s="16" t="s">
        <v>664</v>
      </c>
      <c r="AV638" s="16">
        <f t="shared" si="294"/>
        <v>100</v>
      </c>
      <c r="AW638" s="20">
        <v>39</v>
      </c>
      <c r="AX638" s="8">
        <f t="shared" si="258"/>
        <v>0.39</v>
      </c>
      <c r="AY638" s="8" t="s">
        <v>32</v>
      </c>
      <c r="AZ638" s="16">
        <f t="shared" si="295"/>
        <v>100</v>
      </c>
      <c r="BA638" s="16" t="s">
        <v>55</v>
      </c>
      <c r="BB638" s="16">
        <v>50</v>
      </c>
      <c r="BC638" s="16" t="s">
        <v>55</v>
      </c>
      <c r="BD638" s="20">
        <v>6.8</v>
      </c>
      <c r="BE638" s="15">
        <f t="shared" si="287"/>
        <v>17.435897435897434</v>
      </c>
      <c r="BF638" s="15">
        <f t="shared" si="288"/>
        <v>1.2414443056797371</v>
      </c>
      <c r="BG638" s="8">
        <f t="shared" si="262"/>
        <v>0.83250891270623628</v>
      </c>
      <c r="BH638" s="2" t="s">
        <v>841</v>
      </c>
      <c r="BI638" s="2"/>
      <c r="BJ638" s="2"/>
      <c r="BK638" s="2"/>
      <c r="BL638" s="2"/>
      <c r="BM638" s="20"/>
      <c r="BN638" s="20"/>
      <c r="BO638" s="2"/>
    </row>
    <row r="639" spans="1:67" s="14" customFormat="1" x14ac:dyDescent="0.3">
      <c r="A639" s="20">
        <v>654</v>
      </c>
      <c r="B639" s="2" t="s">
        <v>200</v>
      </c>
      <c r="C639" s="2">
        <v>2021</v>
      </c>
      <c r="D639" s="2" t="s">
        <v>201</v>
      </c>
      <c r="E639" s="10" t="s">
        <v>794</v>
      </c>
      <c r="F639" s="20" t="s">
        <v>29</v>
      </c>
      <c r="G639" s="2" t="s">
        <v>38</v>
      </c>
      <c r="H639" s="2" t="str">
        <f>'PFAS Properties'!$B$42</f>
        <v>PFBS</v>
      </c>
      <c r="I639" s="2" t="str">
        <f>'PFAS Properties'!$C$42</f>
        <v>PFSA</v>
      </c>
      <c r="J639" s="2" t="str">
        <f>'PFAS Properties'!$D$42</f>
        <v>C4HF9O3S</v>
      </c>
      <c r="K639" s="25">
        <f>'PFAS Properties'!$P$42</f>
        <v>299.9502</v>
      </c>
      <c r="L639" s="2">
        <f>'PFAS Properties'!$X$42</f>
        <v>0.1</v>
      </c>
      <c r="M639" s="2" t="str">
        <f>'PFAS Properties'!$Y$42</f>
        <v>-</v>
      </c>
      <c r="N639" s="33">
        <v>0</v>
      </c>
      <c r="O639" s="33">
        <v>0</v>
      </c>
      <c r="P639" s="33">
        <v>0</v>
      </c>
      <c r="Q639" s="33">
        <f t="shared" ref="Q639:Q702" si="296">(10^(AG639-L639))/(1+(10^(AG639-L639)))</f>
        <v>0.9999974881198781</v>
      </c>
      <c r="R639" s="33">
        <v>0</v>
      </c>
      <c r="S639" s="33">
        <f t="shared" ref="S639:S702" si="297">(1/(1+(10^(AG639-L639))))</f>
        <v>2.5118801219519806E-6</v>
      </c>
      <c r="T639" s="8">
        <f t="shared" si="259"/>
        <v>1</v>
      </c>
      <c r="U639" s="33">
        <f t="shared" si="281"/>
        <v>0</v>
      </c>
      <c r="V639" s="33">
        <f t="shared" si="282"/>
        <v>-0.9999974881198781</v>
      </c>
      <c r="W639" s="33">
        <f t="shared" si="283"/>
        <v>298.95020251188015</v>
      </c>
      <c r="X639" s="33">
        <v>96485</v>
      </c>
      <c r="Y639" s="16">
        <f t="shared" si="284"/>
        <v>-322.74524931091884</v>
      </c>
      <c r="Z639" s="16">
        <v>4</v>
      </c>
      <c r="AA639" s="16">
        <v>9</v>
      </c>
      <c r="AB639" s="8">
        <f t="shared" si="285"/>
        <v>0.2807017543859649</v>
      </c>
      <c r="AC639" s="16">
        <f t="shared" si="286"/>
        <v>57.009463570952775</v>
      </c>
      <c r="AD639" s="20">
        <f>'PFAS Properties'!$W$42</f>
        <v>4</v>
      </c>
      <c r="AE639" s="8">
        <f>'PFAS Properties'!$S$42</f>
        <v>5.53655844257153</v>
      </c>
      <c r="AF639" s="2">
        <f>'PFAS Properties'!$V$42</f>
        <v>2.2999999999999998</v>
      </c>
      <c r="AG639" s="24">
        <v>5.7</v>
      </c>
      <c r="AH639" s="2" t="s">
        <v>834</v>
      </c>
      <c r="AI639" s="15">
        <v>19.667999999999999</v>
      </c>
      <c r="AJ639" s="16">
        <f t="shared" si="291"/>
        <v>352.18909481600861</v>
      </c>
      <c r="AK639" s="8">
        <f t="shared" si="289"/>
        <v>1.9667999999999999</v>
      </c>
      <c r="AL639" s="15">
        <v>0.48099999999999998</v>
      </c>
      <c r="AM639" s="16">
        <f t="shared" si="293"/>
        <v>17.828020756115642</v>
      </c>
      <c r="AN639" s="8">
        <f t="shared" si="290"/>
        <v>4.8099999999999997E-2</v>
      </c>
      <c r="AO639" s="15" t="s">
        <v>31</v>
      </c>
      <c r="AP639" s="16">
        <v>114</v>
      </c>
      <c r="AQ639" s="16" t="s">
        <v>689</v>
      </c>
      <c r="AR639" s="16">
        <v>20</v>
      </c>
      <c r="AS639" s="16">
        <v>78.900000000000006</v>
      </c>
      <c r="AT639" s="16">
        <v>1.1000000000000001</v>
      </c>
      <c r="AU639" s="16" t="s">
        <v>664</v>
      </c>
      <c r="AV639" s="16">
        <f t="shared" si="294"/>
        <v>100</v>
      </c>
      <c r="AW639" s="20">
        <v>41</v>
      </c>
      <c r="AX639" s="8">
        <f t="shared" si="258"/>
        <v>0.41</v>
      </c>
      <c r="AY639" s="8" t="s">
        <v>32</v>
      </c>
      <c r="AZ639" s="16">
        <f t="shared" si="295"/>
        <v>100</v>
      </c>
      <c r="BA639" s="16" t="s">
        <v>55</v>
      </c>
      <c r="BB639" s="16">
        <v>50</v>
      </c>
      <c r="BC639" s="16" t="s">
        <v>55</v>
      </c>
      <c r="BD639" s="20">
        <v>3</v>
      </c>
      <c r="BE639" s="15">
        <f t="shared" si="287"/>
        <v>7.3170731707317076</v>
      </c>
      <c r="BF639" s="15">
        <f t="shared" si="288"/>
        <v>0.86433739799992693</v>
      </c>
      <c r="BG639" s="8">
        <f t="shared" si="262"/>
        <v>0.47712125471966244</v>
      </c>
      <c r="BH639" s="2" t="s">
        <v>841</v>
      </c>
      <c r="BI639" s="2"/>
      <c r="BJ639" s="2"/>
      <c r="BK639" s="2"/>
      <c r="BL639" s="2"/>
      <c r="BM639" s="20"/>
      <c r="BN639" s="20"/>
      <c r="BO639" s="2"/>
    </row>
    <row r="640" spans="1:67" s="14" customFormat="1" x14ac:dyDescent="0.3">
      <c r="A640" s="20">
        <v>655</v>
      </c>
      <c r="B640" s="2" t="s">
        <v>181</v>
      </c>
      <c r="C640" s="2">
        <v>2020</v>
      </c>
      <c r="D640" s="2" t="s">
        <v>203</v>
      </c>
      <c r="E640" s="10" t="s">
        <v>787</v>
      </c>
      <c r="F640" s="20" t="s">
        <v>29</v>
      </c>
      <c r="G640" s="2" t="s">
        <v>62</v>
      </c>
      <c r="H640" s="2" t="str">
        <f>'PFAS Properties'!$B$42</f>
        <v>PFBS</v>
      </c>
      <c r="I640" s="2" t="str">
        <f>'PFAS Properties'!$C$42</f>
        <v>PFSA</v>
      </c>
      <c r="J640" s="2" t="str">
        <f>'PFAS Properties'!$D$42</f>
        <v>C4HF9O3S</v>
      </c>
      <c r="K640" s="25">
        <f>'PFAS Properties'!$P$42</f>
        <v>299.9502</v>
      </c>
      <c r="L640" s="2">
        <f>'PFAS Properties'!$X$42</f>
        <v>0.1</v>
      </c>
      <c r="M640" s="2" t="str">
        <f>'PFAS Properties'!$Y$42</f>
        <v>-</v>
      </c>
      <c r="N640" s="33">
        <v>0</v>
      </c>
      <c r="O640" s="33">
        <v>0</v>
      </c>
      <c r="P640" s="33">
        <v>0</v>
      </c>
      <c r="Q640" s="33">
        <f t="shared" si="296"/>
        <v>0.9999999601892845</v>
      </c>
      <c r="R640" s="33">
        <v>0</v>
      </c>
      <c r="S640" s="33">
        <f t="shared" si="297"/>
        <v>3.9810715470456442E-8</v>
      </c>
      <c r="T640" s="8">
        <f t="shared" si="259"/>
        <v>1</v>
      </c>
      <c r="U640" s="33">
        <f t="shared" si="281"/>
        <v>0</v>
      </c>
      <c r="V640" s="33">
        <f t="shared" si="282"/>
        <v>-0.9999999601892845</v>
      </c>
      <c r="W640" s="33">
        <f t="shared" si="283"/>
        <v>298.95020003981068</v>
      </c>
      <c r="X640" s="33">
        <v>96485</v>
      </c>
      <c r="Y640" s="16">
        <f t="shared" si="284"/>
        <v>-322.74604983042116</v>
      </c>
      <c r="Z640" s="16">
        <v>4</v>
      </c>
      <c r="AA640" s="16">
        <v>9</v>
      </c>
      <c r="AB640" s="8">
        <f t="shared" si="285"/>
        <v>0.2807017543859649</v>
      </c>
      <c r="AC640" s="16">
        <f t="shared" si="286"/>
        <v>57.009463570952775</v>
      </c>
      <c r="AD640" s="20">
        <f>'PFAS Properties'!$W$42</f>
        <v>4</v>
      </c>
      <c r="AE640" s="8">
        <f>'PFAS Properties'!$S$42</f>
        <v>5.53655844257153</v>
      </c>
      <c r="AF640" s="2">
        <f>'PFAS Properties'!$V$42</f>
        <v>2.2999999999999998</v>
      </c>
      <c r="AG640" s="24">
        <v>7.5</v>
      </c>
      <c r="AH640" s="2" t="s">
        <v>183</v>
      </c>
      <c r="AI640" s="2" t="s">
        <v>661</v>
      </c>
      <c r="AJ640" s="2" t="s">
        <v>661</v>
      </c>
      <c r="AK640" s="2" t="s">
        <v>661</v>
      </c>
      <c r="AL640" s="2" t="s">
        <v>661</v>
      </c>
      <c r="AM640" s="2" t="s">
        <v>661</v>
      </c>
      <c r="AN640" s="2" t="s">
        <v>661</v>
      </c>
      <c r="AO640" s="2" t="s">
        <v>661</v>
      </c>
      <c r="AP640" s="15">
        <v>41.4</v>
      </c>
      <c r="AQ640" s="2" t="s">
        <v>661</v>
      </c>
      <c r="AR640" s="16">
        <v>16.899999999999999</v>
      </c>
      <c r="AS640" s="16">
        <v>17.5</v>
      </c>
      <c r="AT640" s="16">
        <v>65.599999999999994</v>
      </c>
      <c r="AU640" s="2" t="s">
        <v>661</v>
      </c>
      <c r="AV640" s="16">
        <f t="shared" si="294"/>
        <v>100</v>
      </c>
      <c r="AW640" s="20">
        <v>0.7</v>
      </c>
      <c r="AX640" s="8">
        <f t="shared" si="258"/>
        <v>6.9999999999999993E-3</v>
      </c>
      <c r="AY640" s="13" t="s">
        <v>184</v>
      </c>
      <c r="AZ640" s="16">
        <f t="shared" ref="AZ640:AZ649" si="298">0.8/0.008</f>
        <v>100</v>
      </c>
      <c r="BA640" s="16" t="s">
        <v>55</v>
      </c>
      <c r="BB640" s="16">
        <v>5</v>
      </c>
      <c r="BC640" s="16" t="s">
        <v>55</v>
      </c>
      <c r="BD640" s="18">
        <v>0.41</v>
      </c>
      <c r="BE640" s="15">
        <f t="shared" si="287"/>
        <v>58.571428571428577</v>
      </c>
      <c r="BF640" s="15">
        <f t="shared" si="288"/>
        <v>1.7676858167054788</v>
      </c>
      <c r="BG640" s="8">
        <f t="shared" si="262"/>
        <v>-0.38721614328026455</v>
      </c>
      <c r="BH640" s="13" t="s">
        <v>345</v>
      </c>
      <c r="BI640" s="2"/>
      <c r="BJ640" s="2"/>
      <c r="BK640" s="2"/>
      <c r="BL640" s="2"/>
      <c r="BM640" s="20"/>
      <c r="BN640" s="20"/>
      <c r="BO640" s="2"/>
    </row>
    <row r="641" spans="1:67" s="14" customFormat="1" x14ac:dyDescent="0.3">
      <c r="A641" s="20">
        <v>656</v>
      </c>
      <c r="B641" s="2" t="s">
        <v>181</v>
      </c>
      <c r="C641" s="2">
        <v>2020</v>
      </c>
      <c r="D641" s="2" t="s">
        <v>203</v>
      </c>
      <c r="E641" s="10" t="s">
        <v>787</v>
      </c>
      <c r="F641" s="20" t="s">
        <v>29</v>
      </c>
      <c r="G641" s="2" t="s">
        <v>57</v>
      </c>
      <c r="H641" s="2" t="str">
        <f>'PFAS Properties'!$B$42</f>
        <v>PFBS</v>
      </c>
      <c r="I641" s="2" t="str">
        <f>'PFAS Properties'!$C$42</f>
        <v>PFSA</v>
      </c>
      <c r="J641" s="2" t="str">
        <f>'PFAS Properties'!$D$42</f>
        <v>C4HF9O3S</v>
      </c>
      <c r="K641" s="25">
        <f>'PFAS Properties'!$P$42</f>
        <v>299.9502</v>
      </c>
      <c r="L641" s="2">
        <f>'PFAS Properties'!$X$42</f>
        <v>0.1</v>
      </c>
      <c r="M641" s="2" t="str">
        <f>'PFAS Properties'!$Y$42</f>
        <v>-</v>
      </c>
      <c r="N641" s="33">
        <v>0</v>
      </c>
      <c r="O641" s="33">
        <v>0</v>
      </c>
      <c r="P641" s="33">
        <v>0</v>
      </c>
      <c r="Q641" s="33">
        <f t="shared" si="296"/>
        <v>0.99999980047380832</v>
      </c>
      <c r="R641" s="33">
        <v>0</v>
      </c>
      <c r="S641" s="33">
        <f t="shared" si="297"/>
        <v>1.9952619168617852E-7</v>
      </c>
      <c r="T641" s="8">
        <f t="shared" si="259"/>
        <v>1</v>
      </c>
      <c r="U641" s="33">
        <f t="shared" si="281"/>
        <v>0</v>
      </c>
      <c r="V641" s="33">
        <f t="shared" si="282"/>
        <v>-0.99999980047380832</v>
      </c>
      <c r="W641" s="33">
        <f t="shared" si="283"/>
        <v>298.95020019952619</v>
      </c>
      <c r="X641" s="33">
        <v>96485</v>
      </c>
      <c r="Y641" s="16">
        <f t="shared" si="284"/>
        <v>-322.74599811045152</v>
      </c>
      <c r="Z641" s="16">
        <v>4</v>
      </c>
      <c r="AA641" s="16">
        <v>9</v>
      </c>
      <c r="AB641" s="8">
        <f t="shared" si="285"/>
        <v>0.2807017543859649</v>
      </c>
      <c r="AC641" s="16">
        <f t="shared" si="286"/>
        <v>57.009463570952775</v>
      </c>
      <c r="AD641" s="20">
        <f>'PFAS Properties'!$W$42</f>
        <v>4</v>
      </c>
      <c r="AE641" s="8">
        <f>'PFAS Properties'!$S$42</f>
        <v>5.53655844257153</v>
      </c>
      <c r="AF641" s="2">
        <f>'PFAS Properties'!$V$42</f>
        <v>2.2999999999999998</v>
      </c>
      <c r="AG641" s="24">
        <v>6.8</v>
      </c>
      <c r="AH641" s="2" t="s">
        <v>183</v>
      </c>
      <c r="AI641" s="2" t="s">
        <v>661</v>
      </c>
      <c r="AJ641" s="2" t="s">
        <v>661</v>
      </c>
      <c r="AK641" s="2" t="s">
        <v>661</v>
      </c>
      <c r="AL641" s="2" t="s">
        <v>661</v>
      </c>
      <c r="AM641" s="2" t="s">
        <v>661</v>
      </c>
      <c r="AN641" s="2" t="s">
        <v>661</v>
      </c>
      <c r="AO641" s="2" t="s">
        <v>661</v>
      </c>
      <c r="AP641" s="15">
        <v>7.1</v>
      </c>
      <c r="AQ641" s="2" t="s">
        <v>661</v>
      </c>
      <c r="AR641" s="16">
        <v>48.9</v>
      </c>
      <c r="AS641" s="16">
        <v>27</v>
      </c>
      <c r="AT641" s="16">
        <v>24.2</v>
      </c>
      <c r="AU641" s="2" t="s">
        <v>661</v>
      </c>
      <c r="AV641" s="16">
        <f t="shared" si="294"/>
        <v>100.10000000000001</v>
      </c>
      <c r="AW641" s="20">
        <v>0.37</v>
      </c>
      <c r="AX641" s="8">
        <f t="shared" si="258"/>
        <v>3.7000000000000002E-3</v>
      </c>
      <c r="AY641" s="13" t="s">
        <v>184</v>
      </c>
      <c r="AZ641" s="16">
        <f t="shared" si="298"/>
        <v>100</v>
      </c>
      <c r="BA641" s="16" t="s">
        <v>55</v>
      </c>
      <c r="BB641" s="16">
        <v>5</v>
      </c>
      <c r="BC641" s="16" t="s">
        <v>55</v>
      </c>
      <c r="BD641" s="20">
        <v>0.36</v>
      </c>
      <c r="BE641" s="15">
        <f t="shared" si="287"/>
        <v>97.297297297297291</v>
      </c>
      <c r="BF641" s="15">
        <f t="shared" si="288"/>
        <v>1.9881007767002923</v>
      </c>
      <c r="BG641" s="8">
        <f t="shared" si="262"/>
        <v>-0.44369749923271273</v>
      </c>
      <c r="BH641" s="13" t="s">
        <v>345</v>
      </c>
      <c r="BI641" s="2"/>
      <c r="BJ641" s="2"/>
      <c r="BK641" s="2"/>
      <c r="BL641" s="2"/>
      <c r="BM641" s="20"/>
      <c r="BN641" s="20"/>
      <c r="BO641" s="2"/>
    </row>
    <row r="642" spans="1:67" s="14" customFormat="1" x14ac:dyDescent="0.3">
      <c r="A642" s="20">
        <v>657</v>
      </c>
      <c r="B642" s="2" t="s">
        <v>181</v>
      </c>
      <c r="C642" s="2">
        <v>2020</v>
      </c>
      <c r="D642" s="2" t="s">
        <v>203</v>
      </c>
      <c r="E642" s="10" t="s">
        <v>787</v>
      </c>
      <c r="F642" s="20" t="s">
        <v>29</v>
      </c>
      <c r="G642" s="2" t="s">
        <v>58</v>
      </c>
      <c r="H642" s="2" t="str">
        <f>'PFAS Properties'!$B$42</f>
        <v>PFBS</v>
      </c>
      <c r="I642" s="2" t="str">
        <f>'PFAS Properties'!$C$42</f>
        <v>PFSA</v>
      </c>
      <c r="J642" s="2" t="str">
        <f>'PFAS Properties'!$D$42</f>
        <v>C4HF9O3S</v>
      </c>
      <c r="K642" s="25">
        <f>'PFAS Properties'!$P$42</f>
        <v>299.9502</v>
      </c>
      <c r="L642" s="2">
        <f>'PFAS Properties'!$X$42</f>
        <v>0.1</v>
      </c>
      <c r="M642" s="2" t="str">
        <f>'PFAS Properties'!$Y$42</f>
        <v>-</v>
      </c>
      <c r="N642" s="33">
        <v>0</v>
      </c>
      <c r="O642" s="33">
        <v>0</v>
      </c>
      <c r="P642" s="33">
        <v>0</v>
      </c>
      <c r="Q642" s="33">
        <f t="shared" si="296"/>
        <v>0.9999992056723962</v>
      </c>
      <c r="R642" s="33">
        <v>0</v>
      </c>
      <c r="S642" s="33">
        <f t="shared" si="297"/>
        <v>7.9432760376743655E-7</v>
      </c>
      <c r="T642" s="8">
        <f t="shared" si="259"/>
        <v>1</v>
      </c>
      <c r="U642" s="33">
        <f t="shared" si="281"/>
        <v>0</v>
      </c>
      <c r="V642" s="33">
        <f t="shared" si="282"/>
        <v>-0.9999992056723962</v>
      </c>
      <c r="W642" s="33">
        <f t="shared" si="283"/>
        <v>298.9502007943276</v>
      </c>
      <c r="X642" s="33">
        <v>96485</v>
      </c>
      <c r="Y642" s="16">
        <f t="shared" si="284"/>
        <v>-322.7458054984919</v>
      </c>
      <c r="Z642" s="16">
        <v>4</v>
      </c>
      <c r="AA642" s="16">
        <v>9</v>
      </c>
      <c r="AB642" s="8">
        <f t="shared" si="285"/>
        <v>0.2807017543859649</v>
      </c>
      <c r="AC642" s="16">
        <f t="shared" si="286"/>
        <v>57.009463570952775</v>
      </c>
      <c r="AD642" s="20">
        <f>'PFAS Properties'!$W$42</f>
        <v>4</v>
      </c>
      <c r="AE642" s="8">
        <f>'PFAS Properties'!$S$42</f>
        <v>5.53655844257153</v>
      </c>
      <c r="AF642" s="2">
        <f>'PFAS Properties'!$V$42</f>
        <v>2.2999999999999998</v>
      </c>
      <c r="AG642" s="24">
        <v>6.2</v>
      </c>
      <c r="AH642" s="2" t="s">
        <v>183</v>
      </c>
      <c r="AI642" s="2" t="s">
        <v>661</v>
      </c>
      <c r="AJ642" s="2" t="s">
        <v>661</v>
      </c>
      <c r="AK642" s="2" t="s">
        <v>661</v>
      </c>
      <c r="AL642" s="2" t="s">
        <v>661</v>
      </c>
      <c r="AM642" s="2" t="s">
        <v>661</v>
      </c>
      <c r="AN642" s="2" t="s">
        <v>661</v>
      </c>
      <c r="AO642" s="2" t="s">
        <v>661</v>
      </c>
      <c r="AP642" s="15">
        <v>8</v>
      </c>
      <c r="AQ642" s="2" t="s">
        <v>661</v>
      </c>
      <c r="AR642" s="16">
        <v>51.44</v>
      </c>
      <c r="AS642" s="16">
        <v>10.17</v>
      </c>
      <c r="AT642" s="16">
        <v>38.380000000000003</v>
      </c>
      <c r="AU642" s="2" t="s">
        <v>661</v>
      </c>
      <c r="AV642" s="16">
        <f t="shared" si="294"/>
        <v>99.990000000000009</v>
      </c>
      <c r="AW642" s="20">
        <v>0.08</v>
      </c>
      <c r="AX642" s="8">
        <f t="shared" si="258"/>
        <v>8.0000000000000004E-4</v>
      </c>
      <c r="AY642" s="8" t="s">
        <v>184</v>
      </c>
      <c r="AZ642" s="16">
        <f t="shared" si="298"/>
        <v>100</v>
      </c>
      <c r="BA642" s="16" t="s">
        <v>55</v>
      </c>
      <c r="BB642" s="16">
        <v>5</v>
      </c>
      <c r="BC642" s="16" t="s">
        <v>55</v>
      </c>
      <c r="BD642" s="20">
        <v>0.25</v>
      </c>
      <c r="BE642" s="15">
        <f t="shared" si="287"/>
        <v>312.5</v>
      </c>
      <c r="BF642" s="59">
        <f t="shared" si="288"/>
        <v>2.4948500216800942</v>
      </c>
      <c r="BG642" s="8">
        <f t="shared" si="262"/>
        <v>-0.6020599913279624</v>
      </c>
      <c r="BH642" s="13" t="s">
        <v>345</v>
      </c>
      <c r="BI642" s="2"/>
      <c r="BJ642" s="2"/>
      <c r="BK642" s="2"/>
      <c r="BL642" s="2"/>
      <c r="BM642" s="20"/>
      <c r="BN642" s="20"/>
      <c r="BO642" s="2"/>
    </row>
    <row r="643" spans="1:67" s="14" customFormat="1" x14ac:dyDescent="0.3">
      <c r="A643" s="20">
        <v>658</v>
      </c>
      <c r="B643" s="2" t="s">
        <v>181</v>
      </c>
      <c r="C643" s="2">
        <v>2020</v>
      </c>
      <c r="D643" s="2" t="s">
        <v>203</v>
      </c>
      <c r="E643" s="10" t="s">
        <v>787</v>
      </c>
      <c r="F643" s="20" t="s">
        <v>29</v>
      </c>
      <c r="G643" s="2" t="s">
        <v>59</v>
      </c>
      <c r="H643" s="2" t="str">
        <f>'PFAS Properties'!$B$42</f>
        <v>PFBS</v>
      </c>
      <c r="I643" s="2" t="str">
        <f>'PFAS Properties'!$C$42</f>
        <v>PFSA</v>
      </c>
      <c r="J643" s="2" t="str">
        <f>'PFAS Properties'!$D$42</f>
        <v>C4HF9O3S</v>
      </c>
      <c r="K643" s="25">
        <f>'PFAS Properties'!$P$42</f>
        <v>299.9502</v>
      </c>
      <c r="L643" s="2">
        <f>'PFAS Properties'!$X$42</f>
        <v>0.1</v>
      </c>
      <c r="M643" s="2" t="str">
        <f>'PFAS Properties'!$Y$42</f>
        <v>-</v>
      </c>
      <c r="N643" s="33">
        <v>0</v>
      </c>
      <c r="O643" s="33">
        <v>0</v>
      </c>
      <c r="P643" s="33">
        <v>0</v>
      </c>
      <c r="Q643" s="33">
        <f t="shared" si="296"/>
        <v>0.99999997488113634</v>
      </c>
      <c r="R643" s="33">
        <v>0</v>
      </c>
      <c r="S643" s="33">
        <f t="shared" si="297"/>
        <v>2.5118863684138424E-8</v>
      </c>
      <c r="T643" s="8">
        <f t="shared" si="259"/>
        <v>1</v>
      </c>
      <c r="U643" s="33">
        <f t="shared" si="281"/>
        <v>0</v>
      </c>
      <c r="V643" s="33">
        <f t="shared" si="282"/>
        <v>-0.99999997488113634</v>
      </c>
      <c r="W643" s="33">
        <f t="shared" si="283"/>
        <v>298.95020002511887</v>
      </c>
      <c r="X643" s="33">
        <v>96485</v>
      </c>
      <c r="Y643" s="16">
        <f t="shared" si="284"/>
        <v>-322.74605458801977</v>
      </c>
      <c r="Z643" s="16">
        <v>4</v>
      </c>
      <c r="AA643" s="16">
        <v>9</v>
      </c>
      <c r="AB643" s="8">
        <f t="shared" si="285"/>
        <v>0.2807017543859649</v>
      </c>
      <c r="AC643" s="16">
        <f t="shared" si="286"/>
        <v>57.009463570952775</v>
      </c>
      <c r="AD643" s="20">
        <f>'PFAS Properties'!$W$42</f>
        <v>4</v>
      </c>
      <c r="AE643" s="8">
        <f>'PFAS Properties'!$S$42</f>
        <v>5.53655844257153</v>
      </c>
      <c r="AF643" s="2">
        <f>'PFAS Properties'!$V$42</f>
        <v>2.2999999999999998</v>
      </c>
      <c r="AG643" s="24">
        <v>7.7</v>
      </c>
      <c r="AH643" s="2" t="s">
        <v>183</v>
      </c>
      <c r="AI643" s="2" t="s">
        <v>661</v>
      </c>
      <c r="AJ643" s="2" t="s">
        <v>661</v>
      </c>
      <c r="AK643" s="2" t="s">
        <v>661</v>
      </c>
      <c r="AL643" s="2" t="s">
        <v>661</v>
      </c>
      <c r="AM643" s="2" t="s">
        <v>661</v>
      </c>
      <c r="AN643" s="2" t="s">
        <v>661</v>
      </c>
      <c r="AO643" s="2" t="s">
        <v>661</v>
      </c>
      <c r="AP643" s="15">
        <v>4.8</v>
      </c>
      <c r="AQ643" s="2" t="s">
        <v>661</v>
      </c>
      <c r="AR643" s="16">
        <v>46</v>
      </c>
      <c r="AS643" s="16">
        <v>37</v>
      </c>
      <c r="AT643" s="16">
        <v>17</v>
      </c>
      <c r="AU643" s="2" t="s">
        <v>661</v>
      </c>
      <c r="AV643" s="16">
        <f t="shared" si="294"/>
        <v>100</v>
      </c>
      <c r="AW643" s="20">
        <v>0.25</v>
      </c>
      <c r="AX643" s="8">
        <f t="shared" si="258"/>
        <v>2.5000000000000001E-3</v>
      </c>
      <c r="AY643" s="13" t="s">
        <v>184</v>
      </c>
      <c r="AZ643" s="16">
        <f t="shared" si="298"/>
        <v>100</v>
      </c>
      <c r="BA643" s="16" t="s">
        <v>55</v>
      </c>
      <c r="BB643" s="16">
        <v>5</v>
      </c>
      <c r="BC643" s="16" t="s">
        <v>55</v>
      </c>
      <c r="BD643" s="18">
        <v>0.17</v>
      </c>
      <c r="BE643" s="15">
        <f t="shared" si="287"/>
        <v>68</v>
      </c>
      <c r="BF643" s="15">
        <f t="shared" si="288"/>
        <v>1.8325089127062364</v>
      </c>
      <c r="BG643" s="8">
        <f t="shared" si="262"/>
        <v>-0.769551078621726</v>
      </c>
      <c r="BH643" s="13" t="s">
        <v>345</v>
      </c>
      <c r="BI643" s="2"/>
      <c r="BJ643" s="2"/>
      <c r="BK643" s="2"/>
      <c r="BL643" s="2"/>
      <c r="BM643" s="20"/>
      <c r="BN643" s="20"/>
      <c r="BO643" s="2"/>
    </row>
    <row r="644" spans="1:67" s="14" customFormat="1" x14ac:dyDescent="0.3">
      <c r="A644" s="20">
        <v>659</v>
      </c>
      <c r="B644" s="2" t="s">
        <v>181</v>
      </c>
      <c r="C644" s="2">
        <v>2020</v>
      </c>
      <c r="D644" s="2" t="s">
        <v>203</v>
      </c>
      <c r="E644" s="10" t="s">
        <v>787</v>
      </c>
      <c r="F644" s="20" t="s">
        <v>29</v>
      </c>
      <c r="G644" s="2" t="s">
        <v>61</v>
      </c>
      <c r="H644" s="2" t="str">
        <f>'PFAS Properties'!$B$42</f>
        <v>PFBS</v>
      </c>
      <c r="I644" s="2" t="str">
        <f>'PFAS Properties'!$C$42</f>
        <v>PFSA</v>
      </c>
      <c r="J644" s="2" t="str">
        <f>'PFAS Properties'!$D$42</f>
        <v>C4HF9O3S</v>
      </c>
      <c r="K644" s="25">
        <f>'PFAS Properties'!$P$42</f>
        <v>299.9502</v>
      </c>
      <c r="L644" s="2">
        <f>'PFAS Properties'!$X$42</f>
        <v>0.1</v>
      </c>
      <c r="M644" s="2" t="str">
        <f>'PFAS Properties'!$Y$42</f>
        <v>-</v>
      </c>
      <c r="N644" s="33">
        <v>0</v>
      </c>
      <c r="O644" s="33">
        <v>0</v>
      </c>
      <c r="P644" s="33">
        <v>0</v>
      </c>
      <c r="Q644" s="33">
        <f t="shared" si="296"/>
        <v>0.99999994988127916</v>
      </c>
      <c r="R644" s="33">
        <v>0</v>
      </c>
      <c r="S644" s="33">
        <f t="shared" si="297"/>
        <v>5.0118720850840682E-8</v>
      </c>
      <c r="T644" s="8">
        <f t="shared" si="259"/>
        <v>1</v>
      </c>
      <c r="U644" s="33">
        <f t="shared" si="281"/>
        <v>0</v>
      </c>
      <c r="V644" s="33">
        <f t="shared" si="282"/>
        <v>-0.99999994988127916</v>
      </c>
      <c r="W644" s="33">
        <f t="shared" si="283"/>
        <v>298.95020005011872</v>
      </c>
      <c r="X644" s="33">
        <v>96485</v>
      </c>
      <c r="Y644" s="16">
        <f t="shared" si="284"/>
        <v>-322.74604649242445</v>
      </c>
      <c r="Z644" s="16">
        <v>4</v>
      </c>
      <c r="AA644" s="16">
        <v>9</v>
      </c>
      <c r="AB644" s="8">
        <f t="shared" si="285"/>
        <v>0.2807017543859649</v>
      </c>
      <c r="AC644" s="16">
        <f t="shared" si="286"/>
        <v>57.009463570952775</v>
      </c>
      <c r="AD644" s="20">
        <f>'PFAS Properties'!$W$42</f>
        <v>4</v>
      </c>
      <c r="AE644" s="8">
        <f>'PFAS Properties'!$S$42</f>
        <v>5.53655844257153</v>
      </c>
      <c r="AF644" s="2">
        <f>'PFAS Properties'!$V$42</f>
        <v>2.2999999999999998</v>
      </c>
      <c r="AG644" s="24">
        <v>7.4</v>
      </c>
      <c r="AH644" s="2" t="s">
        <v>183</v>
      </c>
      <c r="AI644" s="2" t="s">
        <v>661</v>
      </c>
      <c r="AJ644" s="2" t="s">
        <v>661</v>
      </c>
      <c r="AK644" s="2" t="s">
        <v>661</v>
      </c>
      <c r="AL644" s="2" t="s">
        <v>661</v>
      </c>
      <c r="AM644" s="2" t="s">
        <v>661</v>
      </c>
      <c r="AN644" s="2" t="s">
        <v>661</v>
      </c>
      <c r="AO644" s="2" t="s">
        <v>661</v>
      </c>
      <c r="AP644" s="15">
        <v>29.6</v>
      </c>
      <c r="AQ644" s="2" t="s">
        <v>661</v>
      </c>
      <c r="AR644" s="16">
        <v>39.799999999999997</v>
      </c>
      <c r="AS644" s="16">
        <v>7.7</v>
      </c>
      <c r="AT644" s="16">
        <v>52.5</v>
      </c>
      <c r="AU644" s="2" t="s">
        <v>661</v>
      </c>
      <c r="AV644" s="16">
        <f t="shared" si="294"/>
        <v>100</v>
      </c>
      <c r="AW644" s="20">
        <v>2.23</v>
      </c>
      <c r="AX644" s="8">
        <f t="shared" si="258"/>
        <v>2.23E-2</v>
      </c>
      <c r="AY644" s="8" t="s">
        <v>184</v>
      </c>
      <c r="AZ644" s="16">
        <f t="shared" si="298"/>
        <v>100</v>
      </c>
      <c r="BA644" s="16" t="s">
        <v>55</v>
      </c>
      <c r="BB644" s="16">
        <v>5</v>
      </c>
      <c r="BC644" s="16" t="s">
        <v>55</v>
      </c>
      <c r="BD644" s="20">
        <v>0.34</v>
      </c>
      <c r="BE644" s="15">
        <f t="shared" si="287"/>
        <v>15.24663677130045</v>
      </c>
      <c r="BF644" s="15">
        <f t="shared" si="288"/>
        <v>1.1831740539940945</v>
      </c>
      <c r="BG644" s="8">
        <f t="shared" si="262"/>
        <v>-0.46852108295774486</v>
      </c>
      <c r="BH644" s="13" t="s">
        <v>345</v>
      </c>
      <c r="BI644" s="2"/>
      <c r="BJ644" s="2"/>
      <c r="BK644" s="2"/>
      <c r="BL644" s="2"/>
      <c r="BM644" s="20"/>
      <c r="BN644" s="20"/>
      <c r="BO644" s="2"/>
    </row>
    <row r="645" spans="1:67" s="14" customFormat="1" x14ac:dyDescent="0.3">
      <c r="A645" s="20">
        <v>660</v>
      </c>
      <c r="B645" s="2" t="s">
        <v>181</v>
      </c>
      <c r="C645" s="2">
        <v>2020</v>
      </c>
      <c r="D645" s="2" t="s">
        <v>203</v>
      </c>
      <c r="E645" s="10" t="s">
        <v>787</v>
      </c>
      <c r="F645" s="20" t="s">
        <v>29</v>
      </c>
      <c r="G645" s="2" t="s">
        <v>60</v>
      </c>
      <c r="H645" s="2" t="str">
        <f>'PFAS Properties'!$B$42</f>
        <v>PFBS</v>
      </c>
      <c r="I645" s="2" t="str">
        <f>'PFAS Properties'!$C$42</f>
        <v>PFSA</v>
      </c>
      <c r="J645" s="2" t="str">
        <f>'PFAS Properties'!$D$42</f>
        <v>C4HF9O3S</v>
      </c>
      <c r="K645" s="25">
        <f>'PFAS Properties'!$P$42</f>
        <v>299.9502</v>
      </c>
      <c r="L645" s="2">
        <f>'PFAS Properties'!$X$42</f>
        <v>0.1</v>
      </c>
      <c r="M645" s="2" t="str">
        <f>'PFAS Properties'!$Y$42</f>
        <v>-</v>
      </c>
      <c r="N645" s="33">
        <v>0</v>
      </c>
      <c r="O645" s="33">
        <v>0</v>
      </c>
      <c r="P645" s="33">
        <v>0</v>
      </c>
      <c r="Q645" s="33">
        <f t="shared" si="296"/>
        <v>0.99999997488113634</v>
      </c>
      <c r="R645" s="33">
        <v>0</v>
      </c>
      <c r="S645" s="33">
        <f t="shared" si="297"/>
        <v>2.5118863684138424E-8</v>
      </c>
      <c r="T645" s="8">
        <f t="shared" si="259"/>
        <v>1</v>
      </c>
      <c r="U645" s="33">
        <f t="shared" si="281"/>
        <v>0</v>
      </c>
      <c r="V645" s="33">
        <f t="shared" si="282"/>
        <v>-0.99999997488113634</v>
      </c>
      <c r="W645" s="33">
        <f t="shared" si="283"/>
        <v>298.95020002511887</v>
      </c>
      <c r="X645" s="33">
        <v>96485</v>
      </c>
      <c r="Y645" s="16">
        <f t="shared" si="284"/>
        <v>-322.74605458801977</v>
      </c>
      <c r="Z645" s="16">
        <v>4</v>
      </c>
      <c r="AA645" s="16">
        <v>9</v>
      </c>
      <c r="AB645" s="8">
        <f t="shared" si="285"/>
        <v>0.2807017543859649</v>
      </c>
      <c r="AC645" s="16">
        <f t="shared" si="286"/>
        <v>57.009463570952775</v>
      </c>
      <c r="AD645" s="20">
        <f>'PFAS Properties'!$W$42</f>
        <v>4</v>
      </c>
      <c r="AE645" s="8">
        <f>'PFAS Properties'!$S$42</f>
        <v>5.53655844257153</v>
      </c>
      <c r="AF645" s="2">
        <f>'PFAS Properties'!$V$42</f>
        <v>2.2999999999999998</v>
      </c>
      <c r="AG645" s="24">
        <v>7.7</v>
      </c>
      <c r="AH645" s="2" t="s">
        <v>183</v>
      </c>
      <c r="AI645" s="2" t="s">
        <v>661</v>
      </c>
      <c r="AJ645" s="2" t="s">
        <v>661</v>
      </c>
      <c r="AK645" s="2" t="s">
        <v>661</v>
      </c>
      <c r="AL645" s="2" t="s">
        <v>661</v>
      </c>
      <c r="AM645" s="2" t="s">
        <v>661</v>
      </c>
      <c r="AN645" s="2" t="s">
        <v>661</v>
      </c>
      <c r="AO645" s="2" t="s">
        <v>661</v>
      </c>
      <c r="AP645" s="15">
        <v>21.63</v>
      </c>
      <c r="AQ645" s="2" t="s">
        <v>661</v>
      </c>
      <c r="AR645" s="16">
        <v>70</v>
      </c>
      <c r="AS645" s="16">
        <v>11</v>
      </c>
      <c r="AT645" s="16">
        <v>19</v>
      </c>
      <c r="AU645" s="2" t="s">
        <v>661</v>
      </c>
      <c r="AV645" s="16">
        <f t="shared" si="294"/>
        <v>100</v>
      </c>
      <c r="AW645" s="20">
        <v>4.9000000000000004</v>
      </c>
      <c r="AX645" s="8">
        <f t="shared" ref="AX645:AX653" si="299">AW645/100</f>
        <v>4.9000000000000002E-2</v>
      </c>
      <c r="AY645" s="8" t="s">
        <v>184</v>
      </c>
      <c r="AZ645" s="16">
        <f t="shared" si="298"/>
        <v>100</v>
      </c>
      <c r="BA645" s="16" t="s">
        <v>55</v>
      </c>
      <c r="BB645" s="16">
        <v>5</v>
      </c>
      <c r="BC645" s="16" t="s">
        <v>55</v>
      </c>
      <c r="BD645" s="20">
        <v>0.5</v>
      </c>
      <c r="BE645" s="15">
        <f t="shared" si="287"/>
        <v>10.204081632653061</v>
      </c>
      <c r="BF645" s="15">
        <f t="shared" si="288"/>
        <v>1.0087739243075051</v>
      </c>
      <c r="BG645" s="8">
        <f t="shared" si="262"/>
        <v>-0.3010299956639812</v>
      </c>
      <c r="BH645" s="13" t="s">
        <v>345</v>
      </c>
      <c r="BI645" s="2"/>
      <c r="BJ645" s="2"/>
      <c r="BK645" s="2"/>
      <c r="BL645" s="2"/>
      <c r="BM645" s="20"/>
      <c r="BN645" s="20"/>
      <c r="BO645" s="2"/>
    </row>
    <row r="646" spans="1:67" s="14" customFormat="1" x14ac:dyDescent="0.3">
      <c r="A646" s="20">
        <v>661</v>
      </c>
      <c r="B646" s="2" t="s">
        <v>181</v>
      </c>
      <c r="C646" s="2">
        <v>2020</v>
      </c>
      <c r="D646" s="2" t="s">
        <v>203</v>
      </c>
      <c r="E646" s="10" t="s">
        <v>787</v>
      </c>
      <c r="F646" s="20" t="s">
        <v>29</v>
      </c>
      <c r="G646" s="2" t="s">
        <v>77</v>
      </c>
      <c r="H646" s="2" t="str">
        <f>'PFAS Properties'!$B$42</f>
        <v>PFBS</v>
      </c>
      <c r="I646" s="2" t="str">
        <f>'PFAS Properties'!$C$42</f>
        <v>PFSA</v>
      </c>
      <c r="J646" s="2" t="str">
        <f>'PFAS Properties'!$D$42</f>
        <v>C4HF9O3S</v>
      </c>
      <c r="K646" s="25">
        <f>'PFAS Properties'!$P$42</f>
        <v>299.9502</v>
      </c>
      <c r="L646" s="2">
        <f>'PFAS Properties'!$X$42</f>
        <v>0.1</v>
      </c>
      <c r="M646" s="2" t="str">
        <f>'PFAS Properties'!$Y$42</f>
        <v>-</v>
      </c>
      <c r="N646" s="33">
        <v>0</v>
      </c>
      <c r="O646" s="33">
        <v>0</v>
      </c>
      <c r="P646" s="33">
        <v>0</v>
      </c>
      <c r="Q646" s="33">
        <f t="shared" si="296"/>
        <v>0.99999997488113634</v>
      </c>
      <c r="R646" s="33">
        <v>0</v>
      </c>
      <c r="S646" s="33">
        <f t="shared" si="297"/>
        <v>2.5118863684138424E-8</v>
      </c>
      <c r="T646" s="8">
        <f t="shared" si="259"/>
        <v>1</v>
      </c>
      <c r="U646" s="33">
        <f t="shared" si="281"/>
        <v>0</v>
      </c>
      <c r="V646" s="33">
        <f t="shared" si="282"/>
        <v>-0.99999997488113634</v>
      </c>
      <c r="W646" s="33">
        <f t="shared" si="283"/>
        <v>298.95020002511887</v>
      </c>
      <c r="X646" s="33">
        <v>96485</v>
      </c>
      <c r="Y646" s="16">
        <f t="shared" si="284"/>
        <v>-322.74605458801977</v>
      </c>
      <c r="Z646" s="16">
        <v>4</v>
      </c>
      <c r="AA646" s="16">
        <v>9</v>
      </c>
      <c r="AB646" s="8">
        <f t="shared" si="285"/>
        <v>0.2807017543859649</v>
      </c>
      <c r="AC646" s="16">
        <f t="shared" si="286"/>
        <v>57.009463570952775</v>
      </c>
      <c r="AD646" s="20">
        <f>'PFAS Properties'!$W$42</f>
        <v>4</v>
      </c>
      <c r="AE646" s="8">
        <f>'PFAS Properties'!$S$42</f>
        <v>5.53655844257153</v>
      </c>
      <c r="AF646" s="2">
        <f>'PFAS Properties'!$V$42</f>
        <v>2.2999999999999998</v>
      </c>
      <c r="AG646" s="24">
        <v>7.7</v>
      </c>
      <c r="AH646" s="2" t="s">
        <v>183</v>
      </c>
      <c r="AI646" s="2" t="s">
        <v>661</v>
      </c>
      <c r="AJ646" s="2" t="s">
        <v>661</v>
      </c>
      <c r="AK646" s="2" t="s">
        <v>661</v>
      </c>
      <c r="AL646" s="2" t="s">
        <v>661</v>
      </c>
      <c r="AM646" s="2" t="s">
        <v>661</v>
      </c>
      <c r="AN646" s="2" t="s">
        <v>661</v>
      </c>
      <c r="AO646" s="2" t="s">
        <v>661</v>
      </c>
      <c r="AP646" s="15">
        <v>7.8</v>
      </c>
      <c r="AQ646" s="2" t="s">
        <v>661</v>
      </c>
      <c r="AR646" s="16">
        <v>48.9</v>
      </c>
      <c r="AS646" s="16">
        <v>32.6</v>
      </c>
      <c r="AT646" s="16">
        <v>18.5</v>
      </c>
      <c r="AU646" s="2" t="s">
        <v>661</v>
      </c>
      <c r="AV646" s="16">
        <f t="shared" si="294"/>
        <v>100</v>
      </c>
      <c r="AW646" s="20">
        <v>0.13</v>
      </c>
      <c r="AX646" s="8">
        <f t="shared" si="299"/>
        <v>1.2999999999999999E-3</v>
      </c>
      <c r="AY646" s="8" t="s">
        <v>184</v>
      </c>
      <c r="AZ646" s="16">
        <f t="shared" si="298"/>
        <v>100</v>
      </c>
      <c r="BA646" s="16" t="s">
        <v>55</v>
      </c>
      <c r="BB646" s="16">
        <v>5</v>
      </c>
      <c r="BC646" s="16" t="s">
        <v>55</v>
      </c>
      <c r="BD646" s="20">
        <v>0.2</v>
      </c>
      <c r="BE646" s="15">
        <f t="shared" si="287"/>
        <v>153.84615384615387</v>
      </c>
      <c r="BF646" s="15">
        <f t="shared" si="288"/>
        <v>2.1870866433571443</v>
      </c>
      <c r="BG646" s="8">
        <f t="shared" si="262"/>
        <v>-0.69897000433601875</v>
      </c>
      <c r="BH646" s="13" t="s">
        <v>345</v>
      </c>
      <c r="BI646" s="2"/>
      <c r="BJ646" s="2"/>
      <c r="BK646" s="2"/>
      <c r="BL646" s="2"/>
      <c r="BM646" s="20"/>
      <c r="BN646" s="20"/>
      <c r="BO646" s="2"/>
    </row>
    <row r="647" spans="1:67" s="14" customFormat="1" x14ac:dyDescent="0.3">
      <c r="A647" s="20">
        <v>662</v>
      </c>
      <c r="B647" s="2" t="s">
        <v>181</v>
      </c>
      <c r="C647" s="2">
        <v>2020</v>
      </c>
      <c r="D647" s="2" t="s">
        <v>203</v>
      </c>
      <c r="E647" s="10" t="s">
        <v>787</v>
      </c>
      <c r="F647" s="20" t="s">
        <v>29</v>
      </c>
      <c r="G647" s="2" t="s">
        <v>182</v>
      </c>
      <c r="H647" s="2" t="str">
        <f>'PFAS Properties'!$B$42</f>
        <v>PFBS</v>
      </c>
      <c r="I647" s="2" t="str">
        <f>'PFAS Properties'!$C$42</f>
        <v>PFSA</v>
      </c>
      <c r="J647" s="2" t="str">
        <f>'PFAS Properties'!$D$42</f>
        <v>C4HF9O3S</v>
      </c>
      <c r="K647" s="25">
        <f>'PFAS Properties'!$P$42</f>
        <v>299.9502</v>
      </c>
      <c r="L647" s="2">
        <f>'PFAS Properties'!$X$42</f>
        <v>0.1</v>
      </c>
      <c r="M647" s="2" t="str">
        <f>'PFAS Properties'!$Y$42</f>
        <v>-</v>
      </c>
      <c r="N647" s="33">
        <v>0</v>
      </c>
      <c r="O647" s="33">
        <v>0</v>
      </c>
      <c r="P647" s="33">
        <v>0</v>
      </c>
      <c r="Q647" s="33">
        <f t="shared" si="296"/>
        <v>0.9999999601892845</v>
      </c>
      <c r="R647" s="33">
        <v>0</v>
      </c>
      <c r="S647" s="33">
        <f t="shared" si="297"/>
        <v>3.9810715470456442E-8</v>
      </c>
      <c r="T647" s="8">
        <f t="shared" si="259"/>
        <v>1</v>
      </c>
      <c r="U647" s="33">
        <f t="shared" si="281"/>
        <v>0</v>
      </c>
      <c r="V647" s="33">
        <f t="shared" si="282"/>
        <v>-0.9999999601892845</v>
      </c>
      <c r="W647" s="33">
        <f t="shared" si="283"/>
        <v>298.95020003981068</v>
      </c>
      <c r="X647" s="33">
        <v>96485</v>
      </c>
      <c r="Y647" s="16">
        <f t="shared" si="284"/>
        <v>-322.74604983042116</v>
      </c>
      <c r="Z647" s="16">
        <v>4</v>
      </c>
      <c r="AA647" s="16">
        <v>9</v>
      </c>
      <c r="AB647" s="8">
        <f t="shared" si="285"/>
        <v>0.2807017543859649</v>
      </c>
      <c r="AC647" s="16">
        <f t="shared" si="286"/>
        <v>57.009463570952775</v>
      </c>
      <c r="AD647" s="20">
        <f>'PFAS Properties'!$W$42</f>
        <v>4</v>
      </c>
      <c r="AE647" s="8">
        <f>'PFAS Properties'!$S$42</f>
        <v>5.53655844257153</v>
      </c>
      <c r="AF647" s="2">
        <f>'PFAS Properties'!$V$42</f>
        <v>2.2999999999999998</v>
      </c>
      <c r="AG647" s="24">
        <v>7.5</v>
      </c>
      <c r="AH647" s="2" t="s">
        <v>183</v>
      </c>
      <c r="AI647" s="2" t="s">
        <v>661</v>
      </c>
      <c r="AJ647" s="2" t="s">
        <v>661</v>
      </c>
      <c r="AK647" s="2" t="s">
        <v>661</v>
      </c>
      <c r="AL647" s="2" t="s">
        <v>661</v>
      </c>
      <c r="AM647" s="2" t="s">
        <v>661</v>
      </c>
      <c r="AN647" s="2" t="s">
        <v>661</v>
      </c>
      <c r="AO647" s="2" t="s">
        <v>661</v>
      </c>
      <c r="AP647" s="15">
        <v>2.2799999999999998</v>
      </c>
      <c r="AQ647" s="2" t="s">
        <v>661</v>
      </c>
      <c r="AR647" s="16">
        <v>93</v>
      </c>
      <c r="AS647" s="16">
        <v>1</v>
      </c>
      <c r="AT647" s="16">
        <v>5</v>
      </c>
      <c r="AU647" s="2" t="s">
        <v>661</v>
      </c>
      <c r="AV647" s="16">
        <f t="shared" si="294"/>
        <v>99</v>
      </c>
      <c r="AW647" s="20">
        <v>0.4</v>
      </c>
      <c r="AX647" s="8">
        <f t="shared" si="299"/>
        <v>4.0000000000000001E-3</v>
      </c>
      <c r="AY647" s="8" t="s">
        <v>184</v>
      </c>
      <c r="AZ647" s="16">
        <f t="shared" si="298"/>
        <v>100</v>
      </c>
      <c r="BA647" s="16" t="s">
        <v>55</v>
      </c>
      <c r="BB647" s="16">
        <v>5</v>
      </c>
      <c r="BC647" s="16" t="s">
        <v>55</v>
      </c>
      <c r="BD647" s="20">
        <v>0.05</v>
      </c>
      <c r="BE647" s="15">
        <f t="shared" si="287"/>
        <v>12.5</v>
      </c>
      <c r="BF647" s="15">
        <f t="shared" si="288"/>
        <v>1.0969100130080565</v>
      </c>
      <c r="BG647" s="8">
        <f t="shared" si="262"/>
        <v>-1.3010299956639813</v>
      </c>
      <c r="BH647" s="13" t="s">
        <v>345</v>
      </c>
      <c r="BI647" s="2"/>
      <c r="BJ647" s="2"/>
      <c r="BK647" s="2"/>
      <c r="BL647" s="2"/>
      <c r="BM647" s="20"/>
      <c r="BN647" s="20"/>
      <c r="BO647" s="2"/>
    </row>
    <row r="648" spans="1:67" s="14" customFormat="1" x14ac:dyDescent="0.3">
      <c r="A648" s="20">
        <v>663</v>
      </c>
      <c r="B648" s="2" t="s">
        <v>181</v>
      </c>
      <c r="C648" s="2">
        <v>2020</v>
      </c>
      <c r="D648" s="2" t="s">
        <v>203</v>
      </c>
      <c r="E648" s="10" t="s">
        <v>787</v>
      </c>
      <c r="F648" s="20" t="s">
        <v>29</v>
      </c>
      <c r="G648" s="2" t="s">
        <v>78</v>
      </c>
      <c r="H648" s="2" t="str">
        <f>'PFAS Properties'!$B$42</f>
        <v>PFBS</v>
      </c>
      <c r="I648" s="2" t="str">
        <f>'PFAS Properties'!$C$42</f>
        <v>PFSA</v>
      </c>
      <c r="J648" s="2" t="str">
        <f>'PFAS Properties'!$D$42</f>
        <v>C4HF9O3S</v>
      </c>
      <c r="K648" s="25">
        <f>'PFAS Properties'!$P$42</f>
        <v>299.9502</v>
      </c>
      <c r="L648" s="2">
        <f>'PFAS Properties'!$X$42</f>
        <v>0.1</v>
      </c>
      <c r="M648" s="2" t="str">
        <f>'PFAS Properties'!$Y$42</f>
        <v>-</v>
      </c>
      <c r="N648" s="33">
        <v>0</v>
      </c>
      <c r="O648" s="33">
        <v>0</v>
      </c>
      <c r="P648" s="33">
        <v>0</v>
      </c>
      <c r="Q648" s="33">
        <f t="shared" si="296"/>
        <v>0.99999990000001004</v>
      </c>
      <c r="R648" s="33">
        <v>0</v>
      </c>
      <c r="S648" s="33">
        <f t="shared" si="297"/>
        <v>9.9999990000001005E-8</v>
      </c>
      <c r="T648" s="8">
        <f t="shared" si="259"/>
        <v>1</v>
      </c>
      <c r="U648" s="33">
        <f t="shared" si="281"/>
        <v>0</v>
      </c>
      <c r="V648" s="33">
        <f t="shared" si="282"/>
        <v>-0.99999990000001004</v>
      </c>
      <c r="W648" s="33">
        <f t="shared" si="283"/>
        <v>298.95020009999996</v>
      </c>
      <c r="X648" s="33">
        <v>96485</v>
      </c>
      <c r="Y648" s="16">
        <f t="shared" si="284"/>
        <v>-322.74603033958959</v>
      </c>
      <c r="Z648" s="16">
        <v>4</v>
      </c>
      <c r="AA648" s="16">
        <v>9</v>
      </c>
      <c r="AB648" s="8">
        <f t="shared" si="285"/>
        <v>0.2807017543859649</v>
      </c>
      <c r="AC648" s="16">
        <f t="shared" si="286"/>
        <v>57.009463570952775</v>
      </c>
      <c r="AD648" s="20">
        <f>'PFAS Properties'!$W$42</f>
        <v>4</v>
      </c>
      <c r="AE648" s="8">
        <f>'PFAS Properties'!$S$42</f>
        <v>5.53655844257153</v>
      </c>
      <c r="AF648" s="2">
        <f>'PFAS Properties'!$V$42</f>
        <v>2.2999999999999998</v>
      </c>
      <c r="AG648" s="24">
        <v>7.1</v>
      </c>
      <c r="AH648" s="2" t="s">
        <v>183</v>
      </c>
      <c r="AI648" s="2" t="s">
        <v>661</v>
      </c>
      <c r="AJ648" s="2" t="s">
        <v>661</v>
      </c>
      <c r="AK648" s="2" t="s">
        <v>661</v>
      </c>
      <c r="AL648" s="2" t="s">
        <v>661</v>
      </c>
      <c r="AM648" s="2" t="s">
        <v>661</v>
      </c>
      <c r="AN648" s="2" t="s">
        <v>661</v>
      </c>
      <c r="AO648" s="2" t="s">
        <v>661</v>
      </c>
      <c r="AP648" s="15">
        <v>17.420000000000002</v>
      </c>
      <c r="AQ648" s="2" t="s">
        <v>661</v>
      </c>
      <c r="AR648" s="16">
        <v>48.86</v>
      </c>
      <c r="AS648" s="16">
        <v>16.05</v>
      </c>
      <c r="AT648" s="16">
        <v>35.090000000000003</v>
      </c>
      <c r="AU648" s="2" t="s">
        <v>661</v>
      </c>
      <c r="AV648" s="16">
        <f t="shared" si="294"/>
        <v>100</v>
      </c>
      <c r="AW648" s="20">
        <v>1.19</v>
      </c>
      <c r="AX648" s="8">
        <f t="shared" si="299"/>
        <v>1.1899999999999999E-2</v>
      </c>
      <c r="AY648" s="8" t="s">
        <v>184</v>
      </c>
      <c r="AZ648" s="16">
        <f t="shared" si="298"/>
        <v>100</v>
      </c>
      <c r="BA648" s="16" t="s">
        <v>55</v>
      </c>
      <c r="BB648" s="16">
        <v>5</v>
      </c>
      <c r="BC648" s="16" t="s">
        <v>55</v>
      </c>
      <c r="BD648" s="20">
        <v>0.24</v>
      </c>
      <c r="BE648" s="15">
        <f t="shared" si="287"/>
        <v>20.168067226890756</v>
      </c>
      <c r="BF648" s="15">
        <f t="shared" si="288"/>
        <v>1.3046642803190753</v>
      </c>
      <c r="BG648" s="8">
        <f t="shared" si="262"/>
        <v>-0.61978875828839397</v>
      </c>
      <c r="BH648" s="13" t="s">
        <v>345</v>
      </c>
      <c r="BI648" s="2"/>
      <c r="BJ648" s="2"/>
      <c r="BK648" s="2"/>
      <c r="BL648" s="2"/>
      <c r="BM648" s="20"/>
      <c r="BN648" s="20"/>
      <c r="BO648" s="2"/>
    </row>
    <row r="649" spans="1:67" s="14" customFormat="1" x14ac:dyDescent="0.3">
      <c r="A649" s="20">
        <v>664</v>
      </c>
      <c r="B649" s="2" t="s">
        <v>181</v>
      </c>
      <c r="C649" s="2">
        <v>2020</v>
      </c>
      <c r="D649" s="2" t="s">
        <v>203</v>
      </c>
      <c r="E649" s="10" t="s">
        <v>787</v>
      </c>
      <c r="F649" s="20" t="s">
        <v>29</v>
      </c>
      <c r="G649" s="2" t="s">
        <v>98</v>
      </c>
      <c r="H649" s="2" t="str">
        <f>'PFAS Properties'!$B$42</f>
        <v>PFBS</v>
      </c>
      <c r="I649" s="2" t="str">
        <f>'PFAS Properties'!$C$42</f>
        <v>PFSA</v>
      </c>
      <c r="J649" s="2" t="str">
        <f>'PFAS Properties'!$D$42</f>
        <v>C4HF9O3S</v>
      </c>
      <c r="K649" s="25">
        <f>'PFAS Properties'!$P$42</f>
        <v>299.9502</v>
      </c>
      <c r="L649" s="2">
        <f>'PFAS Properties'!$X$42</f>
        <v>0.1</v>
      </c>
      <c r="M649" s="2" t="str">
        <f>'PFAS Properties'!$Y$42</f>
        <v>-</v>
      </c>
      <c r="N649" s="33">
        <v>0</v>
      </c>
      <c r="O649" s="33">
        <v>0</v>
      </c>
      <c r="P649" s="33">
        <v>0</v>
      </c>
      <c r="Q649" s="33">
        <f t="shared" si="296"/>
        <v>0.99999949881301753</v>
      </c>
      <c r="R649" s="33">
        <v>0</v>
      </c>
      <c r="S649" s="33">
        <f t="shared" si="297"/>
        <v>5.0118698243875318E-7</v>
      </c>
      <c r="T649" s="8">
        <f t="shared" si="259"/>
        <v>1</v>
      </c>
      <c r="U649" s="33">
        <f t="shared" si="281"/>
        <v>0</v>
      </c>
      <c r="V649" s="33">
        <f t="shared" si="282"/>
        <v>-0.99999949881301753</v>
      </c>
      <c r="W649" s="33">
        <f t="shared" si="283"/>
        <v>298.95020050118694</v>
      </c>
      <c r="X649" s="33">
        <v>96485</v>
      </c>
      <c r="Y649" s="16">
        <f t="shared" si="284"/>
        <v>-322.74590042494691</v>
      </c>
      <c r="Z649" s="16">
        <v>4</v>
      </c>
      <c r="AA649" s="16">
        <v>9</v>
      </c>
      <c r="AB649" s="8">
        <f t="shared" si="285"/>
        <v>0.2807017543859649</v>
      </c>
      <c r="AC649" s="16">
        <f t="shared" si="286"/>
        <v>57.009463570952775</v>
      </c>
      <c r="AD649" s="20">
        <f>'PFAS Properties'!$W$42</f>
        <v>4</v>
      </c>
      <c r="AE649" s="8">
        <f>'PFAS Properties'!$S$42</f>
        <v>5.53655844257153</v>
      </c>
      <c r="AF649" s="2">
        <f>'PFAS Properties'!$V$42</f>
        <v>2.2999999999999998</v>
      </c>
      <c r="AG649" s="24">
        <v>6.4</v>
      </c>
      <c r="AH649" s="2" t="s">
        <v>183</v>
      </c>
      <c r="AI649" s="2" t="s">
        <v>661</v>
      </c>
      <c r="AJ649" s="2" t="s">
        <v>661</v>
      </c>
      <c r="AK649" s="2" t="s">
        <v>661</v>
      </c>
      <c r="AL649" s="2" t="s">
        <v>661</v>
      </c>
      <c r="AM649" s="2" t="s">
        <v>661</v>
      </c>
      <c r="AN649" s="2" t="s">
        <v>661</v>
      </c>
      <c r="AO649" s="2" t="s">
        <v>661</v>
      </c>
      <c r="AP649" s="15">
        <v>16.54</v>
      </c>
      <c r="AQ649" s="2" t="s">
        <v>661</v>
      </c>
      <c r="AR649" s="16">
        <v>29.38</v>
      </c>
      <c r="AS649" s="16">
        <v>13.9</v>
      </c>
      <c r="AT649" s="16">
        <v>56.71</v>
      </c>
      <c r="AU649" s="2" t="s">
        <v>661</v>
      </c>
      <c r="AV649" s="16">
        <f t="shared" si="294"/>
        <v>99.990000000000009</v>
      </c>
      <c r="AW649" s="20">
        <v>0.17</v>
      </c>
      <c r="AX649" s="8">
        <f t="shared" si="299"/>
        <v>1.7000000000000001E-3</v>
      </c>
      <c r="AY649" s="8" t="s">
        <v>184</v>
      </c>
      <c r="AZ649" s="16">
        <f t="shared" si="298"/>
        <v>100</v>
      </c>
      <c r="BA649" s="16" t="s">
        <v>55</v>
      </c>
      <c r="BB649" s="16">
        <v>5</v>
      </c>
      <c r="BC649" s="16" t="s">
        <v>55</v>
      </c>
      <c r="BD649" s="20">
        <v>0.31</v>
      </c>
      <c r="BE649" s="15">
        <f t="shared" si="287"/>
        <v>182.35294117647058</v>
      </c>
      <c r="BF649" s="15">
        <f t="shared" si="288"/>
        <v>2.2609127724559985</v>
      </c>
      <c r="BG649" s="8">
        <f t="shared" si="262"/>
        <v>-0.50863830616572736</v>
      </c>
      <c r="BH649" s="13" t="s">
        <v>345</v>
      </c>
      <c r="BI649" s="2"/>
      <c r="BJ649" s="2"/>
      <c r="BK649" s="2"/>
      <c r="BL649" s="2"/>
      <c r="BM649" s="20"/>
      <c r="BN649" s="20"/>
      <c r="BO649" s="2"/>
    </row>
    <row r="650" spans="1:67" s="14" customFormat="1" x14ac:dyDescent="0.3">
      <c r="A650" s="20">
        <v>665</v>
      </c>
      <c r="B650" s="2" t="s">
        <v>214</v>
      </c>
      <c r="C650" s="2">
        <v>2022</v>
      </c>
      <c r="D650" s="2" t="s">
        <v>201</v>
      </c>
      <c r="E650" s="22" t="s">
        <v>808</v>
      </c>
      <c r="F650" s="20" t="s">
        <v>29</v>
      </c>
      <c r="G650" s="2" t="s">
        <v>215</v>
      </c>
      <c r="H650" s="2" t="str">
        <f>'PFAS Properties'!$B$42</f>
        <v>PFBS</v>
      </c>
      <c r="I650" s="2" t="str">
        <f>'PFAS Properties'!$C$42</f>
        <v>PFSA</v>
      </c>
      <c r="J650" s="2" t="str">
        <f>'PFAS Properties'!$D$42</f>
        <v>C4HF9O3S</v>
      </c>
      <c r="K650" s="25">
        <f>'PFAS Properties'!$P$42</f>
        <v>299.9502</v>
      </c>
      <c r="L650" s="2">
        <f>'PFAS Properties'!$X$42</f>
        <v>0.1</v>
      </c>
      <c r="M650" s="2" t="str">
        <f>'PFAS Properties'!$Y$42</f>
        <v>-</v>
      </c>
      <c r="N650" s="33">
        <v>0</v>
      </c>
      <c r="O650" s="33">
        <v>0</v>
      </c>
      <c r="P650" s="33">
        <v>0</v>
      </c>
      <c r="Q650" s="33">
        <f t="shared" si="296"/>
        <v>0.99998004777494953</v>
      </c>
      <c r="R650" s="33">
        <v>0</v>
      </c>
      <c r="S650" s="33">
        <f t="shared" si="297"/>
        <v>1.9952225050461341E-5</v>
      </c>
      <c r="T650" s="8">
        <f t="shared" si="259"/>
        <v>1</v>
      </c>
      <c r="U650" s="33">
        <f t="shared" si="281"/>
        <v>0</v>
      </c>
      <c r="V650" s="33">
        <f t="shared" si="282"/>
        <v>-0.99998004777494953</v>
      </c>
      <c r="W650" s="33">
        <f t="shared" si="283"/>
        <v>298.95021995222504</v>
      </c>
      <c r="X650" s="33">
        <v>96485</v>
      </c>
      <c r="Y650" s="16">
        <f t="shared" si="284"/>
        <v>-322.73960168012212</v>
      </c>
      <c r="Z650" s="16">
        <v>4</v>
      </c>
      <c r="AA650" s="16">
        <v>9</v>
      </c>
      <c r="AB650" s="8">
        <f t="shared" si="285"/>
        <v>0.2807017543859649</v>
      </c>
      <c r="AC650" s="16">
        <f t="shared" si="286"/>
        <v>57.009463570952775</v>
      </c>
      <c r="AD650" s="20">
        <f>'PFAS Properties'!$W$42</f>
        <v>4</v>
      </c>
      <c r="AE650" s="8">
        <f>'PFAS Properties'!$S$42</f>
        <v>5.53655844257153</v>
      </c>
      <c r="AF650" s="2">
        <f>'PFAS Properties'!$V$42</f>
        <v>2.2999999999999998</v>
      </c>
      <c r="AG650" s="24">
        <v>4.8</v>
      </c>
      <c r="AH650" s="2" t="s">
        <v>216</v>
      </c>
      <c r="AI650" s="2">
        <v>8.3000000000000007</v>
      </c>
      <c r="AJ650" s="15">
        <f>AI650*1000/55.845</f>
        <v>148.62566030978601</v>
      </c>
      <c r="AK650" s="15">
        <f>AI650/10</f>
        <v>0.83000000000000007</v>
      </c>
      <c r="AL650" s="15">
        <v>7.85</v>
      </c>
      <c r="AM650" s="15">
        <f>AL650*1000/26.98</f>
        <v>290.95626389918459</v>
      </c>
      <c r="AN650" s="15">
        <f>AL650/10</f>
        <v>0.78499999999999992</v>
      </c>
      <c r="AO650" s="15" t="s">
        <v>217</v>
      </c>
      <c r="AP650" s="72">
        <v>15.34083666666667</v>
      </c>
      <c r="AQ650" s="70" t="s">
        <v>752</v>
      </c>
      <c r="AR650" s="16">
        <v>32</v>
      </c>
      <c r="AS650" s="16">
        <v>40</v>
      </c>
      <c r="AT650" s="16">
        <v>28</v>
      </c>
      <c r="AU650" s="2" t="s">
        <v>661</v>
      </c>
      <c r="AV650" s="16">
        <f t="shared" si="294"/>
        <v>100</v>
      </c>
      <c r="AW650" s="20">
        <v>4.9000000000000004</v>
      </c>
      <c r="AX650" s="8">
        <f t="shared" si="299"/>
        <v>4.9000000000000002E-2</v>
      </c>
      <c r="AY650" s="8" t="s">
        <v>218</v>
      </c>
      <c r="AZ650" s="16">
        <f>1.5/0.075</f>
        <v>20</v>
      </c>
      <c r="BA650" s="16" t="s">
        <v>55</v>
      </c>
      <c r="BB650" s="16">
        <v>10</v>
      </c>
      <c r="BC650" s="16" t="s">
        <v>55</v>
      </c>
      <c r="BD650" s="20">
        <v>7.0000000000000007E-2</v>
      </c>
      <c r="BE650" s="15">
        <f t="shared" si="287"/>
        <v>1.4285714285714286</v>
      </c>
      <c r="BF650" s="15">
        <f t="shared" si="288"/>
        <v>0.15490195998574319</v>
      </c>
      <c r="BG650" s="8">
        <f t="shared" si="262"/>
        <v>-1.1549019599857431</v>
      </c>
      <c r="BH650" s="2" t="s">
        <v>374</v>
      </c>
      <c r="BI650" s="2"/>
      <c r="BJ650" s="2"/>
      <c r="BK650" s="2"/>
      <c r="BL650" s="2"/>
      <c r="BM650" s="20"/>
      <c r="BN650" s="20"/>
      <c r="BO650" s="2"/>
    </row>
    <row r="651" spans="1:67" s="14" customFormat="1" x14ac:dyDescent="0.3">
      <c r="A651" s="20">
        <v>666</v>
      </c>
      <c r="B651" s="2" t="s">
        <v>214</v>
      </c>
      <c r="C651" s="2">
        <v>2022</v>
      </c>
      <c r="D651" s="2" t="s">
        <v>201</v>
      </c>
      <c r="E651" s="10" t="s">
        <v>808</v>
      </c>
      <c r="F651" s="20" t="s">
        <v>29</v>
      </c>
      <c r="G651" s="2" t="s">
        <v>233</v>
      </c>
      <c r="H651" s="2" t="str">
        <f>'PFAS Properties'!$B$42</f>
        <v>PFBS</v>
      </c>
      <c r="I651" s="2" t="str">
        <f>'PFAS Properties'!$C$42</f>
        <v>PFSA</v>
      </c>
      <c r="J651" s="2" t="str">
        <f>'PFAS Properties'!$D$42</f>
        <v>C4HF9O3S</v>
      </c>
      <c r="K651" s="25">
        <f>'PFAS Properties'!$P$42</f>
        <v>299.9502</v>
      </c>
      <c r="L651" s="2">
        <f>'PFAS Properties'!$X$42</f>
        <v>0.1</v>
      </c>
      <c r="M651" s="2" t="str">
        <f>'PFAS Properties'!$Y$42</f>
        <v>-</v>
      </c>
      <c r="N651" s="33">
        <v>0</v>
      </c>
      <c r="O651" s="33">
        <v>0</v>
      </c>
      <c r="P651" s="33">
        <v>0</v>
      </c>
      <c r="Q651" s="33">
        <f t="shared" si="296"/>
        <v>0.99999841510931942</v>
      </c>
      <c r="R651" s="33">
        <v>0</v>
      </c>
      <c r="S651" s="33">
        <f t="shared" si="297"/>
        <v>1.5848906805786579E-6</v>
      </c>
      <c r="T651" s="8">
        <f t="shared" si="259"/>
        <v>1</v>
      </c>
      <c r="U651" s="33">
        <f t="shared" si="281"/>
        <v>0</v>
      </c>
      <c r="V651" s="33">
        <f t="shared" si="282"/>
        <v>-0.99999841510931942</v>
      </c>
      <c r="W651" s="33">
        <f t="shared" si="283"/>
        <v>298.95020158489069</v>
      </c>
      <c r="X651" s="33">
        <v>96485</v>
      </c>
      <c r="Y651" s="16">
        <f t="shared" si="284"/>
        <v>-322.74554949388317</v>
      </c>
      <c r="Z651" s="16">
        <v>4</v>
      </c>
      <c r="AA651" s="16">
        <v>9</v>
      </c>
      <c r="AB651" s="8">
        <f t="shared" si="285"/>
        <v>0.2807017543859649</v>
      </c>
      <c r="AC651" s="16">
        <f t="shared" si="286"/>
        <v>57.009463570952775</v>
      </c>
      <c r="AD651" s="20">
        <f>'PFAS Properties'!$W$42</f>
        <v>4</v>
      </c>
      <c r="AE651" s="8">
        <f>'PFAS Properties'!$S$42</f>
        <v>5.53655844257153</v>
      </c>
      <c r="AF651" s="2">
        <f>'PFAS Properties'!$V$42</f>
        <v>2.2999999999999998</v>
      </c>
      <c r="AG651" s="24">
        <v>5.9</v>
      </c>
      <c r="AH651" s="2" t="s">
        <v>216</v>
      </c>
      <c r="AI651" s="2">
        <v>1.4</v>
      </c>
      <c r="AJ651" s="15">
        <f>AI651*1000/55.845</f>
        <v>25.069388485988004</v>
      </c>
      <c r="AK651" s="15">
        <f>AI651/10</f>
        <v>0.13999999999999999</v>
      </c>
      <c r="AL651" s="15">
        <v>0.92</v>
      </c>
      <c r="AM651" s="15">
        <f>AL651*1000/26.98</f>
        <v>34.099332839140104</v>
      </c>
      <c r="AN651" s="15">
        <f>AL651/10</f>
        <v>9.1999999999999998E-2</v>
      </c>
      <c r="AO651" s="15" t="s">
        <v>217</v>
      </c>
      <c r="AP651" s="72">
        <v>15.34083666666667</v>
      </c>
      <c r="AQ651" s="70" t="s">
        <v>752</v>
      </c>
      <c r="AR651" s="16">
        <v>37</v>
      </c>
      <c r="AS651" s="16">
        <v>22</v>
      </c>
      <c r="AT651" s="16">
        <v>41</v>
      </c>
      <c r="AU651" s="2" t="s">
        <v>661</v>
      </c>
      <c r="AV651" s="16">
        <f t="shared" si="294"/>
        <v>100</v>
      </c>
      <c r="AW651" s="20">
        <v>2.6</v>
      </c>
      <c r="AX651" s="8">
        <f t="shared" si="299"/>
        <v>2.6000000000000002E-2</v>
      </c>
      <c r="AY651" s="8" t="s">
        <v>218</v>
      </c>
      <c r="AZ651" s="16">
        <f>1.5/0.075</f>
        <v>20</v>
      </c>
      <c r="BA651" s="16" t="s">
        <v>55</v>
      </c>
      <c r="BB651" s="16">
        <v>10</v>
      </c>
      <c r="BC651" s="16" t="s">
        <v>55</v>
      </c>
      <c r="BD651" s="20">
        <v>0.19</v>
      </c>
      <c r="BE651" s="15">
        <f t="shared" si="287"/>
        <v>7.3076923076923075</v>
      </c>
      <c r="BF651" s="15">
        <f t="shared" si="288"/>
        <v>0.863780252982011</v>
      </c>
      <c r="BG651" s="8">
        <f t="shared" si="262"/>
        <v>-0.72124639904717103</v>
      </c>
      <c r="BH651" s="2" t="s">
        <v>378</v>
      </c>
      <c r="BI651" s="2"/>
      <c r="BJ651" s="2"/>
      <c r="BK651" s="2"/>
      <c r="BL651" s="2"/>
      <c r="BM651" s="20"/>
      <c r="BN651" s="20"/>
      <c r="BO651" s="2"/>
    </row>
    <row r="652" spans="1:67" s="14" customFormat="1" x14ac:dyDescent="0.3">
      <c r="A652" s="20">
        <v>667</v>
      </c>
      <c r="B652" s="2" t="s">
        <v>214</v>
      </c>
      <c r="C652" s="2">
        <v>2022</v>
      </c>
      <c r="D652" s="2" t="s">
        <v>201</v>
      </c>
      <c r="E652" s="10" t="s">
        <v>808</v>
      </c>
      <c r="F652" s="20" t="s">
        <v>29</v>
      </c>
      <c r="G652" s="2" t="s">
        <v>215</v>
      </c>
      <c r="H652" s="2" t="str">
        <f>'PFAS Properties'!$B$43</f>
        <v>PFPeS</v>
      </c>
      <c r="I652" s="2" t="str">
        <f>'PFAS Properties'!$C$43</f>
        <v>PFSA</v>
      </c>
      <c r="J652" s="2" t="str">
        <f>'PFAS Properties'!$D$43</f>
        <v>C5HF11O3S</v>
      </c>
      <c r="K652" s="25">
        <f>'PFAS Properties'!$P$43</f>
        <v>349.94699999999995</v>
      </c>
      <c r="L652" s="2">
        <f>'PFAS Properties'!$X$43</f>
        <v>0.1</v>
      </c>
      <c r="M652" s="2" t="str">
        <f>'PFAS Properties'!$Y$43</f>
        <v>-</v>
      </c>
      <c r="N652" s="33">
        <v>0</v>
      </c>
      <c r="O652" s="33">
        <v>0</v>
      </c>
      <c r="P652" s="33">
        <v>0</v>
      </c>
      <c r="Q652" s="33">
        <f t="shared" si="296"/>
        <v>0.99998004777494953</v>
      </c>
      <c r="R652" s="33">
        <v>0</v>
      </c>
      <c r="S652" s="33">
        <f t="shared" si="297"/>
        <v>1.9952225050461341E-5</v>
      </c>
      <c r="T652" s="8">
        <f t="shared" si="259"/>
        <v>1</v>
      </c>
      <c r="U652" s="33">
        <f t="shared" si="281"/>
        <v>0</v>
      </c>
      <c r="V652" s="33">
        <f t="shared" si="282"/>
        <v>-0.99998004777494953</v>
      </c>
      <c r="W652" s="33">
        <f t="shared" si="283"/>
        <v>348.94701995222499</v>
      </c>
      <c r="X652" s="33">
        <v>96485</v>
      </c>
      <c r="Y652" s="16">
        <f t="shared" si="284"/>
        <v>-276.497775859429</v>
      </c>
      <c r="Z652" s="16">
        <v>5</v>
      </c>
      <c r="AA652" s="16">
        <v>11</v>
      </c>
      <c r="AB652" s="8">
        <f t="shared" si="285"/>
        <v>0.28708133971291866</v>
      </c>
      <c r="AC652" s="16">
        <f t="shared" si="286"/>
        <v>59.72332953275783</v>
      </c>
      <c r="AD652" s="20">
        <f>'PFAS Properties'!$W$43</f>
        <v>5</v>
      </c>
      <c r="AE652" s="8">
        <f>'PFAS Properties'!$S$43</f>
        <v>4.6680129716418319</v>
      </c>
      <c r="AF652" s="15">
        <f>'PFAS Properties'!$V$43</f>
        <v>3</v>
      </c>
      <c r="AG652" s="24">
        <v>4.8</v>
      </c>
      <c r="AH652" s="2" t="s">
        <v>216</v>
      </c>
      <c r="AI652" s="2">
        <v>8.3000000000000007</v>
      </c>
      <c r="AJ652" s="15">
        <f>AI652*1000/55.845</f>
        <v>148.62566030978601</v>
      </c>
      <c r="AK652" s="15">
        <f>AI652/10</f>
        <v>0.83000000000000007</v>
      </c>
      <c r="AL652" s="15">
        <v>7.85</v>
      </c>
      <c r="AM652" s="15">
        <f>AL652*1000/26.98</f>
        <v>290.95626389918459</v>
      </c>
      <c r="AN652" s="15">
        <f>AL652/10</f>
        <v>0.78499999999999992</v>
      </c>
      <c r="AO652" s="15" t="s">
        <v>217</v>
      </c>
      <c r="AP652" s="72">
        <v>15.34083666666667</v>
      </c>
      <c r="AQ652" s="70" t="s">
        <v>752</v>
      </c>
      <c r="AR652" s="16">
        <v>32</v>
      </c>
      <c r="AS652" s="16">
        <v>40</v>
      </c>
      <c r="AT652" s="16">
        <v>28</v>
      </c>
      <c r="AU652" s="2" t="s">
        <v>661</v>
      </c>
      <c r="AV652" s="16">
        <f t="shared" si="294"/>
        <v>100</v>
      </c>
      <c r="AW652" s="20">
        <v>4.9000000000000004</v>
      </c>
      <c r="AX652" s="8">
        <f t="shared" si="299"/>
        <v>4.9000000000000002E-2</v>
      </c>
      <c r="AY652" s="8" t="s">
        <v>218</v>
      </c>
      <c r="AZ652" s="16">
        <f>1.5/0.075</f>
        <v>20</v>
      </c>
      <c r="BA652" s="16" t="s">
        <v>55</v>
      </c>
      <c r="BB652" s="16">
        <v>10</v>
      </c>
      <c r="BC652" s="16" t="s">
        <v>55</v>
      </c>
      <c r="BD652" s="20">
        <v>0.83</v>
      </c>
      <c r="BE652" s="15">
        <f t="shared" si="287"/>
        <v>16.938775510204081</v>
      </c>
      <c r="BF652" s="15">
        <f t="shared" si="288"/>
        <v>1.2288820123475603</v>
      </c>
      <c r="BG652" s="8">
        <f t="shared" si="262"/>
        <v>-8.092190762392612E-2</v>
      </c>
      <c r="BH652" s="2" t="s">
        <v>380</v>
      </c>
      <c r="BI652" s="2"/>
      <c r="BJ652" s="2"/>
      <c r="BK652" s="15"/>
      <c r="BL652" s="2"/>
      <c r="BM652" s="20"/>
      <c r="BN652" s="20"/>
      <c r="BO652" s="2"/>
    </row>
    <row r="653" spans="1:67" s="14" customFormat="1" x14ac:dyDescent="0.3">
      <c r="A653" s="20">
        <v>668</v>
      </c>
      <c r="B653" s="2" t="s">
        <v>214</v>
      </c>
      <c r="C653" s="2">
        <v>2022</v>
      </c>
      <c r="D653" s="2" t="s">
        <v>201</v>
      </c>
      <c r="E653" s="10" t="s">
        <v>808</v>
      </c>
      <c r="F653" s="20" t="s">
        <v>29</v>
      </c>
      <c r="G653" s="2" t="s">
        <v>233</v>
      </c>
      <c r="H653" s="2" t="str">
        <f>'PFAS Properties'!$B$43</f>
        <v>PFPeS</v>
      </c>
      <c r="I653" s="2" t="str">
        <f>'PFAS Properties'!$C$43</f>
        <v>PFSA</v>
      </c>
      <c r="J653" s="2" t="str">
        <f>'PFAS Properties'!$D$43</f>
        <v>C5HF11O3S</v>
      </c>
      <c r="K653" s="25">
        <f>'PFAS Properties'!$P$43</f>
        <v>349.94699999999995</v>
      </c>
      <c r="L653" s="2">
        <f>'PFAS Properties'!$X$43</f>
        <v>0.1</v>
      </c>
      <c r="M653" s="2" t="str">
        <f>'PFAS Properties'!$Y$43</f>
        <v>-</v>
      </c>
      <c r="N653" s="33">
        <v>0</v>
      </c>
      <c r="O653" s="33">
        <v>0</v>
      </c>
      <c r="P653" s="33">
        <v>0</v>
      </c>
      <c r="Q653" s="33">
        <f t="shared" si="296"/>
        <v>0.99999841510931942</v>
      </c>
      <c r="R653" s="33">
        <v>0</v>
      </c>
      <c r="S653" s="33">
        <f t="shared" si="297"/>
        <v>1.5848906805786579E-6</v>
      </c>
      <c r="T653" s="8">
        <f t="shared" si="259"/>
        <v>1</v>
      </c>
      <c r="U653" s="33">
        <f t="shared" si="281"/>
        <v>0</v>
      </c>
      <c r="V653" s="33">
        <f t="shared" si="282"/>
        <v>-0.99999841510931942</v>
      </c>
      <c r="W653" s="33">
        <f t="shared" si="283"/>
        <v>348.94700158489064</v>
      </c>
      <c r="X653" s="33">
        <v>96485</v>
      </c>
      <c r="Y653" s="16">
        <f t="shared" si="284"/>
        <v>-276.50286904199169</v>
      </c>
      <c r="Z653" s="16">
        <v>5</v>
      </c>
      <c r="AA653" s="16">
        <v>11</v>
      </c>
      <c r="AB653" s="8">
        <f t="shared" si="285"/>
        <v>0.28708133971291866</v>
      </c>
      <c r="AC653" s="16">
        <f t="shared" si="286"/>
        <v>59.72332953275783</v>
      </c>
      <c r="AD653" s="20">
        <f>'PFAS Properties'!$W$43</f>
        <v>5</v>
      </c>
      <c r="AE653" s="8">
        <f>'PFAS Properties'!$S$43</f>
        <v>4.6680129716418319</v>
      </c>
      <c r="AF653" s="15">
        <f>'PFAS Properties'!$V$43</f>
        <v>3</v>
      </c>
      <c r="AG653" s="24">
        <v>5.9</v>
      </c>
      <c r="AH653" s="2" t="s">
        <v>216</v>
      </c>
      <c r="AI653" s="2">
        <v>1.4</v>
      </c>
      <c r="AJ653" s="15">
        <f>AI653*1000/55.845</f>
        <v>25.069388485988004</v>
      </c>
      <c r="AK653" s="15">
        <f>AI653/10</f>
        <v>0.13999999999999999</v>
      </c>
      <c r="AL653" s="15">
        <v>0.92</v>
      </c>
      <c r="AM653" s="15">
        <f>AL653*1000/26.98</f>
        <v>34.099332839140104</v>
      </c>
      <c r="AN653" s="15">
        <f>AL653/10</f>
        <v>9.1999999999999998E-2</v>
      </c>
      <c r="AO653" s="15" t="s">
        <v>217</v>
      </c>
      <c r="AP653" s="72">
        <v>15.34083666666667</v>
      </c>
      <c r="AQ653" s="70" t="s">
        <v>752</v>
      </c>
      <c r="AR653" s="16">
        <v>37</v>
      </c>
      <c r="AS653" s="16">
        <v>22</v>
      </c>
      <c r="AT653" s="16">
        <v>41</v>
      </c>
      <c r="AU653" s="2" t="s">
        <v>661</v>
      </c>
      <c r="AV653" s="16">
        <f t="shared" si="294"/>
        <v>100</v>
      </c>
      <c r="AW653" s="20">
        <v>2.6</v>
      </c>
      <c r="AX653" s="8">
        <f t="shared" si="299"/>
        <v>2.6000000000000002E-2</v>
      </c>
      <c r="AY653" s="8" t="s">
        <v>218</v>
      </c>
      <c r="AZ653" s="16">
        <f>1.5/0.075</f>
        <v>20</v>
      </c>
      <c r="BA653" s="16" t="s">
        <v>55</v>
      </c>
      <c r="BB653" s="16">
        <v>10</v>
      </c>
      <c r="BC653" s="16" t="s">
        <v>55</v>
      </c>
      <c r="BD653" s="20">
        <v>0.54</v>
      </c>
      <c r="BE653" s="15">
        <f t="shared" si="287"/>
        <v>20.76923076923077</v>
      </c>
      <c r="BF653" s="15">
        <f t="shared" si="288"/>
        <v>1.3174204118521506</v>
      </c>
      <c r="BG653" s="8">
        <f t="shared" si="262"/>
        <v>-0.26760624017703144</v>
      </c>
      <c r="BH653" s="2" t="s">
        <v>380</v>
      </c>
      <c r="BI653" s="2"/>
      <c r="BJ653" s="2"/>
      <c r="BK653" s="15"/>
      <c r="BL653" s="2"/>
      <c r="BM653" s="20"/>
      <c r="BN653" s="20"/>
      <c r="BO653" s="2"/>
    </row>
    <row r="654" spans="1:67" s="14" customFormat="1" x14ac:dyDescent="0.3">
      <c r="A654" s="20">
        <v>669</v>
      </c>
      <c r="B654" s="2" t="s">
        <v>181</v>
      </c>
      <c r="C654" s="2">
        <v>2020</v>
      </c>
      <c r="D654" s="2" t="s">
        <v>203</v>
      </c>
      <c r="E654" s="10" t="s">
        <v>787</v>
      </c>
      <c r="F654" s="20" t="s">
        <v>29</v>
      </c>
      <c r="G654" s="2" t="s">
        <v>62</v>
      </c>
      <c r="H654" s="2" t="str">
        <f>'PFAS Properties'!$B$43</f>
        <v>PFPeS</v>
      </c>
      <c r="I654" s="2" t="str">
        <f>'PFAS Properties'!$C$43</f>
        <v>PFSA</v>
      </c>
      <c r="J654" s="2" t="str">
        <f>'PFAS Properties'!$D$43</f>
        <v>C5HF11O3S</v>
      </c>
      <c r="K654" s="25">
        <f>'PFAS Properties'!$P$43</f>
        <v>349.94699999999995</v>
      </c>
      <c r="L654" s="2">
        <f>'PFAS Properties'!$X$43</f>
        <v>0.1</v>
      </c>
      <c r="M654" s="2" t="str">
        <f>'PFAS Properties'!$Y$43</f>
        <v>-</v>
      </c>
      <c r="N654" s="33">
        <v>0</v>
      </c>
      <c r="O654" s="33">
        <v>0</v>
      </c>
      <c r="P654" s="33">
        <v>0</v>
      </c>
      <c r="Q654" s="33">
        <f t="shared" si="296"/>
        <v>0.9999999601892845</v>
      </c>
      <c r="R654" s="33">
        <v>0</v>
      </c>
      <c r="S654" s="33">
        <f t="shared" si="297"/>
        <v>3.9810715470456442E-8</v>
      </c>
      <c r="T654" s="8">
        <f t="shared" si="259"/>
        <v>1</v>
      </c>
      <c r="U654" s="33">
        <f t="shared" si="281"/>
        <v>0</v>
      </c>
      <c r="V654" s="33">
        <f t="shared" si="282"/>
        <v>-0.9999999601892845</v>
      </c>
      <c r="W654" s="33">
        <f t="shared" si="283"/>
        <v>348.94700003981069</v>
      </c>
      <c r="X654" s="33">
        <v>96485</v>
      </c>
      <c r="Y654" s="16">
        <f t="shared" si="284"/>
        <v>-276.50329748602314</v>
      </c>
      <c r="Z654" s="16">
        <v>5</v>
      </c>
      <c r="AA654" s="16">
        <v>11</v>
      </c>
      <c r="AB654" s="8">
        <f t="shared" si="285"/>
        <v>0.28708133971291866</v>
      </c>
      <c r="AC654" s="16">
        <f t="shared" si="286"/>
        <v>59.72332953275783</v>
      </c>
      <c r="AD654" s="20">
        <f>'PFAS Properties'!$W$43</f>
        <v>5</v>
      </c>
      <c r="AE654" s="8">
        <f>'PFAS Properties'!$S$43</f>
        <v>4.6680129716418319</v>
      </c>
      <c r="AF654" s="15">
        <f>'PFAS Properties'!$V$43</f>
        <v>3</v>
      </c>
      <c r="AG654" s="24">
        <v>7.5</v>
      </c>
      <c r="AH654" s="2" t="s">
        <v>183</v>
      </c>
      <c r="AI654" s="2" t="s">
        <v>661</v>
      </c>
      <c r="AJ654" s="2" t="s">
        <v>661</v>
      </c>
      <c r="AK654" s="2" t="s">
        <v>661</v>
      </c>
      <c r="AL654" s="2" t="s">
        <v>661</v>
      </c>
      <c r="AM654" s="2" t="s">
        <v>661</v>
      </c>
      <c r="AN654" s="2" t="s">
        <v>661</v>
      </c>
      <c r="AO654" s="2" t="s">
        <v>661</v>
      </c>
      <c r="AP654" s="15">
        <v>41.4</v>
      </c>
      <c r="AQ654" s="2" t="s">
        <v>661</v>
      </c>
      <c r="AR654" s="16">
        <v>16.899999999999999</v>
      </c>
      <c r="AS654" s="16">
        <v>17.5</v>
      </c>
      <c r="AT654" s="16">
        <v>65.599999999999994</v>
      </c>
      <c r="AU654" s="2" t="s">
        <v>661</v>
      </c>
      <c r="AV654" s="16">
        <f t="shared" si="294"/>
        <v>100</v>
      </c>
      <c r="AW654" s="20">
        <v>0.7</v>
      </c>
      <c r="AX654" s="8">
        <v>6.9999999999999993E-3</v>
      </c>
      <c r="AY654" s="13" t="s">
        <v>184</v>
      </c>
      <c r="AZ654" s="16">
        <v>100</v>
      </c>
      <c r="BA654" s="16" t="s">
        <v>55</v>
      </c>
      <c r="BB654" s="16">
        <v>5</v>
      </c>
      <c r="BC654" s="16" t="s">
        <v>55</v>
      </c>
      <c r="BD654" s="18">
        <v>0.46</v>
      </c>
      <c r="BE654" s="15">
        <f t="shared" si="287"/>
        <v>65.714285714285722</v>
      </c>
      <c r="BF654" s="15">
        <f t="shared" si="288"/>
        <v>1.8176597916673174</v>
      </c>
      <c r="BG654" s="8">
        <f t="shared" si="262"/>
        <v>-0.33724216831842591</v>
      </c>
      <c r="BH654" s="13" t="s">
        <v>345</v>
      </c>
      <c r="BI654" s="13"/>
      <c r="BJ654" s="13"/>
      <c r="BK654" s="15"/>
      <c r="BL654" s="13"/>
      <c r="BM654" s="17"/>
      <c r="BN654" s="17"/>
      <c r="BO654" s="2"/>
    </row>
    <row r="655" spans="1:67" s="14" customFormat="1" x14ac:dyDescent="0.3">
      <c r="A655" s="20">
        <v>670</v>
      </c>
      <c r="B655" s="2" t="s">
        <v>181</v>
      </c>
      <c r="C655" s="2">
        <v>2020</v>
      </c>
      <c r="D655" s="2" t="s">
        <v>203</v>
      </c>
      <c r="E655" s="10" t="s">
        <v>787</v>
      </c>
      <c r="F655" s="20" t="s">
        <v>29</v>
      </c>
      <c r="G655" s="2" t="s">
        <v>57</v>
      </c>
      <c r="H655" s="2" t="str">
        <f>'PFAS Properties'!$B$43</f>
        <v>PFPeS</v>
      </c>
      <c r="I655" s="2" t="str">
        <f>'PFAS Properties'!$C$43</f>
        <v>PFSA</v>
      </c>
      <c r="J655" s="2" t="str">
        <f>'PFAS Properties'!$D$43</f>
        <v>C5HF11O3S</v>
      </c>
      <c r="K655" s="25">
        <f>'PFAS Properties'!$P$43</f>
        <v>349.94699999999995</v>
      </c>
      <c r="L655" s="2">
        <f>'PFAS Properties'!$X$43</f>
        <v>0.1</v>
      </c>
      <c r="M655" s="2" t="str">
        <f>'PFAS Properties'!$Y$43</f>
        <v>-</v>
      </c>
      <c r="N655" s="33">
        <v>0</v>
      </c>
      <c r="O655" s="33">
        <v>0</v>
      </c>
      <c r="P655" s="33">
        <v>0</v>
      </c>
      <c r="Q655" s="33">
        <f t="shared" si="296"/>
        <v>0.99999980047380832</v>
      </c>
      <c r="R655" s="33">
        <v>0</v>
      </c>
      <c r="S655" s="33">
        <f t="shared" si="297"/>
        <v>1.9952619168617852E-7</v>
      </c>
      <c r="T655" s="8">
        <f t="shared" si="259"/>
        <v>1</v>
      </c>
      <c r="U655" s="33">
        <f t="shared" si="281"/>
        <v>0</v>
      </c>
      <c r="V655" s="33">
        <f t="shared" si="282"/>
        <v>-0.99999980047380832</v>
      </c>
      <c r="W655" s="33">
        <f t="shared" si="283"/>
        <v>348.94700019952614</v>
      </c>
      <c r="X655" s="33">
        <v>96485</v>
      </c>
      <c r="Y655" s="16">
        <f t="shared" si="284"/>
        <v>-276.50325319760816</v>
      </c>
      <c r="Z655" s="16">
        <v>5</v>
      </c>
      <c r="AA655" s="16">
        <v>11</v>
      </c>
      <c r="AB655" s="8">
        <f t="shared" si="285"/>
        <v>0.28708133971291866</v>
      </c>
      <c r="AC655" s="16">
        <f t="shared" si="286"/>
        <v>59.72332953275783</v>
      </c>
      <c r="AD655" s="20">
        <f>'PFAS Properties'!$W$43</f>
        <v>5</v>
      </c>
      <c r="AE655" s="8">
        <f>'PFAS Properties'!$S$43</f>
        <v>4.6680129716418319</v>
      </c>
      <c r="AF655" s="15">
        <f>'PFAS Properties'!$V$43</f>
        <v>3</v>
      </c>
      <c r="AG655" s="24">
        <v>6.8</v>
      </c>
      <c r="AH655" s="2" t="s">
        <v>183</v>
      </c>
      <c r="AI655" s="2" t="s">
        <v>661</v>
      </c>
      <c r="AJ655" s="2" t="s">
        <v>661</v>
      </c>
      <c r="AK655" s="2" t="s">
        <v>661</v>
      </c>
      <c r="AL655" s="2" t="s">
        <v>661</v>
      </c>
      <c r="AM655" s="2" t="s">
        <v>661</v>
      </c>
      <c r="AN655" s="2" t="s">
        <v>661</v>
      </c>
      <c r="AO655" s="2" t="s">
        <v>661</v>
      </c>
      <c r="AP655" s="15">
        <v>7.1</v>
      </c>
      <c r="AQ655" s="2" t="s">
        <v>661</v>
      </c>
      <c r="AR655" s="16">
        <v>48.9</v>
      </c>
      <c r="AS655" s="16">
        <v>27</v>
      </c>
      <c r="AT655" s="16">
        <v>24.2</v>
      </c>
      <c r="AU655" s="2" t="s">
        <v>661</v>
      </c>
      <c r="AV655" s="16">
        <f t="shared" si="294"/>
        <v>100.10000000000001</v>
      </c>
      <c r="AW655" s="20">
        <v>0.37</v>
      </c>
      <c r="AX655" s="8">
        <v>3.7000000000000002E-3</v>
      </c>
      <c r="AY655" s="13" t="s">
        <v>184</v>
      </c>
      <c r="AZ655" s="16">
        <v>100</v>
      </c>
      <c r="BA655" s="16" t="s">
        <v>55</v>
      </c>
      <c r="BB655" s="16">
        <v>5</v>
      </c>
      <c r="BC655" s="16" t="s">
        <v>55</v>
      </c>
      <c r="BD655" s="20">
        <v>0.4</v>
      </c>
      <c r="BE655" s="15">
        <f t="shared" si="287"/>
        <v>108.10810810810811</v>
      </c>
      <c r="BF655" s="15">
        <f t="shared" si="288"/>
        <v>2.0338582672609675</v>
      </c>
      <c r="BG655" s="8">
        <f t="shared" si="262"/>
        <v>-0.3979400086720376</v>
      </c>
      <c r="BH655" s="13" t="s">
        <v>345</v>
      </c>
      <c r="BI655" s="13"/>
      <c r="BJ655" s="13"/>
      <c r="BK655" s="15"/>
      <c r="BL655" s="13"/>
      <c r="BM655" s="17"/>
      <c r="BN655" s="17"/>
      <c r="BO655" s="2"/>
    </row>
    <row r="656" spans="1:67" s="14" customFormat="1" x14ac:dyDescent="0.3">
      <c r="A656" s="20">
        <v>671</v>
      </c>
      <c r="B656" s="2" t="s">
        <v>181</v>
      </c>
      <c r="C656" s="2">
        <v>2020</v>
      </c>
      <c r="D656" s="2" t="s">
        <v>203</v>
      </c>
      <c r="E656" s="10" t="s">
        <v>787</v>
      </c>
      <c r="F656" s="20" t="s">
        <v>29</v>
      </c>
      <c r="G656" s="2" t="s">
        <v>58</v>
      </c>
      <c r="H656" s="2" t="str">
        <f>'PFAS Properties'!$B$43</f>
        <v>PFPeS</v>
      </c>
      <c r="I656" s="2" t="str">
        <f>'PFAS Properties'!$C$43</f>
        <v>PFSA</v>
      </c>
      <c r="J656" s="2" t="str">
        <f>'PFAS Properties'!$D$43</f>
        <v>C5HF11O3S</v>
      </c>
      <c r="K656" s="25">
        <f>'PFAS Properties'!$P$43</f>
        <v>349.94699999999995</v>
      </c>
      <c r="L656" s="2">
        <f>'PFAS Properties'!$X$43</f>
        <v>0.1</v>
      </c>
      <c r="M656" s="2" t="str">
        <f>'PFAS Properties'!$Y$43</f>
        <v>-</v>
      </c>
      <c r="N656" s="33">
        <v>0</v>
      </c>
      <c r="O656" s="33">
        <v>0</v>
      </c>
      <c r="P656" s="33">
        <v>0</v>
      </c>
      <c r="Q656" s="33">
        <f t="shared" si="296"/>
        <v>0.9999992056723962</v>
      </c>
      <c r="R656" s="33">
        <v>0</v>
      </c>
      <c r="S656" s="33">
        <f t="shared" si="297"/>
        <v>7.9432760376743655E-7</v>
      </c>
      <c r="T656" s="8">
        <f t="shared" si="259"/>
        <v>1</v>
      </c>
      <c r="U656" s="33">
        <f t="shared" si="281"/>
        <v>0</v>
      </c>
      <c r="V656" s="33">
        <f t="shared" si="282"/>
        <v>-0.9999992056723962</v>
      </c>
      <c r="W656" s="33">
        <f t="shared" si="283"/>
        <v>348.94700079432755</v>
      </c>
      <c r="X656" s="33">
        <v>96485</v>
      </c>
      <c r="Y656" s="16">
        <f t="shared" si="284"/>
        <v>-276.50308826173352</v>
      </c>
      <c r="Z656" s="16">
        <v>5</v>
      </c>
      <c r="AA656" s="16">
        <v>11</v>
      </c>
      <c r="AB656" s="8">
        <f t="shared" si="285"/>
        <v>0.28708133971291866</v>
      </c>
      <c r="AC656" s="16">
        <f t="shared" si="286"/>
        <v>59.72332953275783</v>
      </c>
      <c r="AD656" s="20">
        <f>'PFAS Properties'!$W$43</f>
        <v>5</v>
      </c>
      <c r="AE656" s="8">
        <f>'PFAS Properties'!$S$43</f>
        <v>4.6680129716418319</v>
      </c>
      <c r="AF656" s="15">
        <f>'PFAS Properties'!$V$43</f>
        <v>3</v>
      </c>
      <c r="AG656" s="24">
        <v>6.2</v>
      </c>
      <c r="AH656" s="2" t="s">
        <v>183</v>
      </c>
      <c r="AI656" s="2" t="s">
        <v>661</v>
      </c>
      <c r="AJ656" s="2" t="s">
        <v>661</v>
      </c>
      <c r="AK656" s="2" t="s">
        <v>661</v>
      </c>
      <c r="AL656" s="2" t="s">
        <v>661</v>
      </c>
      <c r="AM656" s="2" t="s">
        <v>661</v>
      </c>
      <c r="AN656" s="2" t="s">
        <v>661</v>
      </c>
      <c r="AO656" s="2" t="s">
        <v>661</v>
      </c>
      <c r="AP656" s="15">
        <v>8</v>
      </c>
      <c r="AQ656" s="2" t="s">
        <v>661</v>
      </c>
      <c r="AR656" s="16">
        <v>51.44</v>
      </c>
      <c r="AS656" s="16">
        <v>10.17</v>
      </c>
      <c r="AT656" s="16">
        <v>38.380000000000003</v>
      </c>
      <c r="AU656" s="2" t="s">
        <v>661</v>
      </c>
      <c r="AV656" s="16">
        <f t="shared" si="294"/>
        <v>99.990000000000009</v>
      </c>
      <c r="AW656" s="20">
        <v>0.08</v>
      </c>
      <c r="AX656" s="8">
        <v>8.0000000000000004E-4</v>
      </c>
      <c r="AY656" s="8" t="s">
        <v>184</v>
      </c>
      <c r="AZ656" s="16">
        <v>100</v>
      </c>
      <c r="BA656" s="16" t="s">
        <v>55</v>
      </c>
      <c r="BB656" s="16">
        <v>5</v>
      </c>
      <c r="BC656" s="16" t="s">
        <v>55</v>
      </c>
      <c r="BD656" s="20">
        <v>0.28000000000000003</v>
      </c>
      <c r="BE656" s="15">
        <f t="shared" si="287"/>
        <v>350</v>
      </c>
      <c r="BF656" s="59">
        <f t="shared" si="288"/>
        <v>2.5440680443502757</v>
      </c>
      <c r="BG656" s="8">
        <f t="shared" si="262"/>
        <v>-0.55284196865778079</v>
      </c>
      <c r="BH656" s="13" t="s">
        <v>345</v>
      </c>
      <c r="BI656" s="13"/>
      <c r="BJ656" s="13"/>
      <c r="BK656" s="15"/>
      <c r="BL656" s="13"/>
      <c r="BM656" s="17"/>
      <c r="BN656" s="17"/>
      <c r="BO656" s="2"/>
    </row>
    <row r="657" spans="1:69" s="14" customFormat="1" x14ac:dyDescent="0.3">
      <c r="A657" s="20">
        <v>672</v>
      </c>
      <c r="B657" s="2" t="s">
        <v>181</v>
      </c>
      <c r="C657" s="2">
        <v>2020</v>
      </c>
      <c r="D657" s="2" t="s">
        <v>203</v>
      </c>
      <c r="E657" s="10" t="s">
        <v>787</v>
      </c>
      <c r="F657" s="20" t="s">
        <v>29</v>
      </c>
      <c r="G657" s="2" t="s">
        <v>59</v>
      </c>
      <c r="H657" s="2" t="str">
        <f>'PFAS Properties'!$B$43</f>
        <v>PFPeS</v>
      </c>
      <c r="I657" s="2" t="str">
        <f>'PFAS Properties'!$C$43</f>
        <v>PFSA</v>
      </c>
      <c r="J657" s="2" t="str">
        <f>'PFAS Properties'!$D$43</f>
        <v>C5HF11O3S</v>
      </c>
      <c r="K657" s="25">
        <f>'PFAS Properties'!$P$43</f>
        <v>349.94699999999995</v>
      </c>
      <c r="L657" s="2">
        <f>'PFAS Properties'!$X$43</f>
        <v>0.1</v>
      </c>
      <c r="M657" s="2" t="str">
        <f>'PFAS Properties'!$Y$43</f>
        <v>-</v>
      </c>
      <c r="N657" s="33">
        <v>0</v>
      </c>
      <c r="O657" s="33">
        <v>0</v>
      </c>
      <c r="P657" s="33">
        <v>0</v>
      </c>
      <c r="Q657" s="33">
        <f t="shared" si="296"/>
        <v>0.99999997488113634</v>
      </c>
      <c r="R657" s="33">
        <v>0</v>
      </c>
      <c r="S657" s="33">
        <f t="shared" si="297"/>
        <v>2.5118863684138424E-8</v>
      </c>
      <c r="T657" s="8">
        <f t="shared" si="259"/>
        <v>1</v>
      </c>
      <c r="U657" s="33">
        <f t="shared" si="281"/>
        <v>0</v>
      </c>
      <c r="V657" s="33">
        <f t="shared" si="282"/>
        <v>-0.99999997488113634</v>
      </c>
      <c r="W657" s="33">
        <f t="shared" si="283"/>
        <v>348.94700002511883</v>
      </c>
      <c r="X657" s="33">
        <v>96485</v>
      </c>
      <c r="Y657" s="16">
        <f t="shared" si="284"/>
        <v>-276.50330156001058</v>
      </c>
      <c r="Z657" s="16">
        <v>5</v>
      </c>
      <c r="AA657" s="16">
        <v>11</v>
      </c>
      <c r="AB657" s="8">
        <f t="shared" si="285"/>
        <v>0.28708133971291866</v>
      </c>
      <c r="AC657" s="16">
        <f t="shared" si="286"/>
        <v>59.72332953275783</v>
      </c>
      <c r="AD657" s="20">
        <f>'PFAS Properties'!$W$43</f>
        <v>5</v>
      </c>
      <c r="AE657" s="8">
        <f>'PFAS Properties'!$S$43</f>
        <v>4.6680129716418319</v>
      </c>
      <c r="AF657" s="15">
        <f>'PFAS Properties'!$V$43</f>
        <v>3</v>
      </c>
      <c r="AG657" s="24">
        <v>7.7</v>
      </c>
      <c r="AH657" s="2" t="s">
        <v>183</v>
      </c>
      <c r="AI657" s="2" t="s">
        <v>661</v>
      </c>
      <c r="AJ657" s="2" t="s">
        <v>661</v>
      </c>
      <c r="AK657" s="2" t="s">
        <v>661</v>
      </c>
      <c r="AL657" s="2" t="s">
        <v>661</v>
      </c>
      <c r="AM657" s="2" t="s">
        <v>661</v>
      </c>
      <c r="AN657" s="2" t="s">
        <v>661</v>
      </c>
      <c r="AO657" s="2" t="s">
        <v>661</v>
      </c>
      <c r="AP657" s="15">
        <v>4.8</v>
      </c>
      <c r="AQ657" s="2" t="s">
        <v>661</v>
      </c>
      <c r="AR657" s="16">
        <v>46</v>
      </c>
      <c r="AS657" s="16">
        <v>37</v>
      </c>
      <c r="AT657" s="16">
        <v>17</v>
      </c>
      <c r="AU657" s="2" t="s">
        <v>661</v>
      </c>
      <c r="AV657" s="16">
        <f t="shared" si="294"/>
        <v>100</v>
      </c>
      <c r="AW657" s="20">
        <v>0.25</v>
      </c>
      <c r="AX657" s="8">
        <v>2.5000000000000001E-3</v>
      </c>
      <c r="AY657" s="13" t="s">
        <v>184</v>
      </c>
      <c r="AZ657" s="16">
        <v>100</v>
      </c>
      <c r="BA657" s="16" t="s">
        <v>55</v>
      </c>
      <c r="BB657" s="16">
        <v>5</v>
      </c>
      <c r="BC657" s="16" t="s">
        <v>55</v>
      </c>
      <c r="BD657" s="18">
        <v>0.18</v>
      </c>
      <c r="BE657" s="15">
        <f t="shared" si="287"/>
        <v>72</v>
      </c>
      <c r="BF657" s="15">
        <f t="shared" si="288"/>
        <v>1.8573324964312685</v>
      </c>
      <c r="BG657" s="8">
        <f t="shared" si="262"/>
        <v>-0.74472749489669399</v>
      </c>
      <c r="BH657" s="13" t="s">
        <v>345</v>
      </c>
      <c r="BI657" s="13"/>
      <c r="BJ657" s="13"/>
      <c r="BK657" s="15"/>
      <c r="BL657" s="13"/>
      <c r="BM657" s="17"/>
      <c r="BN657" s="17"/>
      <c r="BO657" s="2"/>
    </row>
    <row r="658" spans="1:69" s="14" customFormat="1" x14ac:dyDescent="0.3">
      <c r="A658" s="20">
        <v>673</v>
      </c>
      <c r="B658" s="2" t="s">
        <v>181</v>
      </c>
      <c r="C658" s="2">
        <v>2020</v>
      </c>
      <c r="D658" s="2" t="s">
        <v>203</v>
      </c>
      <c r="E658" s="10" t="s">
        <v>787</v>
      </c>
      <c r="F658" s="20" t="s">
        <v>29</v>
      </c>
      <c r="G658" s="2" t="s">
        <v>61</v>
      </c>
      <c r="H658" s="2" t="str">
        <f>'PFAS Properties'!$B$43</f>
        <v>PFPeS</v>
      </c>
      <c r="I658" s="2" t="str">
        <f>'PFAS Properties'!$C$43</f>
        <v>PFSA</v>
      </c>
      <c r="J658" s="2" t="str">
        <f>'PFAS Properties'!$D$43</f>
        <v>C5HF11O3S</v>
      </c>
      <c r="K658" s="25">
        <f>'PFAS Properties'!$P$43</f>
        <v>349.94699999999995</v>
      </c>
      <c r="L658" s="2">
        <f>'PFAS Properties'!$X$43</f>
        <v>0.1</v>
      </c>
      <c r="M658" s="2" t="str">
        <f>'PFAS Properties'!$Y$43</f>
        <v>-</v>
      </c>
      <c r="N658" s="33">
        <v>0</v>
      </c>
      <c r="O658" s="33">
        <v>0</v>
      </c>
      <c r="P658" s="33">
        <v>0</v>
      </c>
      <c r="Q658" s="33">
        <f t="shared" si="296"/>
        <v>0.99999994988127916</v>
      </c>
      <c r="R658" s="33">
        <v>0</v>
      </c>
      <c r="S658" s="33">
        <f t="shared" si="297"/>
        <v>5.0118720850840682E-8</v>
      </c>
      <c r="T658" s="8">
        <f t="shared" si="259"/>
        <v>1</v>
      </c>
      <c r="U658" s="33">
        <f t="shared" si="281"/>
        <v>0</v>
      </c>
      <c r="V658" s="33">
        <f t="shared" si="282"/>
        <v>-0.99999994988127916</v>
      </c>
      <c r="W658" s="33">
        <f t="shared" si="283"/>
        <v>348.94700005011867</v>
      </c>
      <c r="X658" s="33">
        <v>96485</v>
      </c>
      <c r="Y658" s="16">
        <f t="shared" si="284"/>
        <v>-276.50329462765762</v>
      </c>
      <c r="Z658" s="16">
        <v>5</v>
      </c>
      <c r="AA658" s="16">
        <v>11</v>
      </c>
      <c r="AB658" s="8">
        <f t="shared" si="285"/>
        <v>0.28708133971291866</v>
      </c>
      <c r="AC658" s="16">
        <f t="shared" si="286"/>
        <v>59.72332953275783</v>
      </c>
      <c r="AD658" s="20">
        <f>'PFAS Properties'!$W$43</f>
        <v>5</v>
      </c>
      <c r="AE658" s="8">
        <f>'PFAS Properties'!$S$43</f>
        <v>4.6680129716418319</v>
      </c>
      <c r="AF658" s="15">
        <f>'PFAS Properties'!$V$43</f>
        <v>3</v>
      </c>
      <c r="AG658" s="24">
        <v>7.4</v>
      </c>
      <c r="AH658" s="2" t="s">
        <v>183</v>
      </c>
      <c r="AI658" s="2" t="s">
        <v>661</v>
      </c>
      <c r="AJ658" s="2" t="s">
        <v>661</v>
      </c>
      <c r="AK658" s="2" t="s">
        <v>661</v>
      </c>
      <c r="AL658" s="2" t="s">
        <v>661</v>
      </c>
      <c r="AM658" s="2" t="s">
        <v>661</v>
      </c>
      <c r="AN658" s="2" t="s">
        <v>661</v>
      </c>
      <c r="AO658" s="2" t="s">
        <v>661</v>
      </c>
      <c r="AP658" s="15">
        <v>29.6</v>
      </c>
      <c r="AQ658" s="2" t="s">
        <v>661</v>
      </c>
      <c r="AR658" s="16">
        <v>39.799999999999997</v>
      </c>
      <c r="AS658" s="16">
        <v>7.7</v>
      </c>
      <c r="AT658" s="16">
        <v>52.5</v>
      </c>
      <c r="AU658" s="2" t="s">
        <v>661</v>
      </c>
      <c r="AV658" s="16">
        <f t="shared" si="294"/>
        <v>100</v>
      </c>
      <c r="AW658" s="20">
        <v>2.23</v>
      </c>
      <c r="AX658" s="8">
        <v>2.23E-2</v>
      </c>
      <c r="AY658" s="8" t="s">
        <v>184</v>
      </c>
      <c r="AZ658" s="16">
        <v>100</v>
      </c>
      <c r="BA658" s="16" t="s">
        <v>55</v>
      </c>
      <c r="BB658" s="16">
        <v>5</v>
      </c>
      <c r="BC658" s="16" t="s">
        <v>55</v>
      </c>
      <c r="BD658" s="20">
        <v>0.37</v>
      </c>
      <c r="BE658" s="15">
        <f t="shared" si="287"/>
        <v>16.591928251121075</v>
      </c>
      <c r="BF658" s="15">
        <f t="shared" si="288"/>
        <v>1.2198968610188343</v>
      </c>
      <c r="BG658" s="8">
        <f t="shared" si="262"/>
        <v>-0.43179827593300502</v>
      </c>
      <c r="BH658" s="13" t="s">
        <v>345</v>
      </c>
      <c r="BI658" s="13"/>
      <c r="BJ658" s="13"/>
      <c r="BK658" s="15"/>
      <c r="BL658" s="13"/>
      <c r="BM658" s="17"/>
      <c r="BN658" s="17"/>
      <c r="BO658" s="2"/>
    </row>
    <row r="659" spans="1:69" s="14" customFormat="1" x14ac:dyDescent="0.3">
      <c r="A659" s="20">
        <v>674</v>
      </c>
      <c r="B659" s="2" t="s">
        <v>181</v>
      </c>
      <c r="C659" s="2">
        <v>2020</v>
      </c>
      <c r="D659" s="2" t="s">
        <v>203</v>
      </c>
      <c r="E659" s="10" t="s">
        <v>787</v>
      </c>
      <c r="F659" s="20" t="s">
        <v>29</v>
      </c>
      <c r="G659" s="2" t="s">
        <v>60</v>
      </c>
      <c r="H659" s="2" t="str">
        <f>'PFAS Properties'!$B$43</f>
        <v>PFPeS</v>
      </c>
      <c r="I659" s="2" t="str">
        <f>'PFAS Properties'!$C$43</f>
        <v>PFSA</v>
      </c>
      <c r="J659" s="2" t="str">
        <f>'PFAS Properties'!$D$43</f>
        <v>C5HF11O3S</v>
      </c>
      <c r="K659" s="25">
        <f>'PFAS Properties'!$P$43</f>
        <v>349.94699999999995</v>
      </c>
      <c r="L659" s="2">
        <f>'PFAS Properties'!$X$43</f>
        <v>0.1</v>
      </c>
      <c r="M659" s="2" t="str">
        <f>'PFAS Properties'!$Y$43</f>
        <v>-</v>
      </c>
      <c r="N659" s="33">
        <v>0</v>
      </c>
      <c r="O659" s="33">
        <v>0</v>
      </c>
      <c r="P659" s="33">
        <v>0</v>
      </c>
      <c r="Q659" s="33">
        <f t="shared" si="296"/>
        <v>0.99999997488113634</v>
      </c>
      <c r="R659" s="33">
        <v>0</v>
      </c>
      <c r="S659" s="33">
        <f t="shared" si="297"/>
        <v>2.5118863684138424E-8</v>
      </c>
      <c r="T659" s="8">
        <f t="shared" si="259"/>
        <v>1</v>
      </c>
      <c r="U659" s="33">
        <f t="shared" si="281"/>
        <v>0</v>
      </c>
      <c r="V659" s="33">
        <f t="shared" si="282"/>
        <v>-0.99999997488113634</v>
      </c>
      <c r="W659" s="33">
        <f t="shared" si="283"/>
        <v>348.94700002511883</v>
      </c>
      <c r="X659" s="33">
        <v>96485</v>
      </c>
      <c r="Y659" s="16">
        <f t="shared" si="284"/>
        <v>-276.50330156001058</v>
      </c>
      <c r="Z659" s="16">
        <v>5</v>
      </c>
      <c r="AA659" s="16">
        <v>11</v>
      </c>
      <c r="AB659" s="8">
        <f t="shared" si="285"/>
        <v>0.28708133971291866</v>
      </c>
      <c r="AC659" s="16">
        <f t="shared" si="286"/>
        <v>59.72332953275783</v>
      </c>
      <c r="AD659" s="20">
        <f>'PFAS Properties'!$W$43</f>
        <v>5</v>
      </c>
      <c r="AE659" s="8">
        <f>'PFAS Properties'!$S$43</f>
        <v>4.6680129716418319</v>
      </c>
      <c r="AF659" s="15">
        <f>'PFAS Properties'!$V$43</f>
        <v>3</v>
      </c>
      <c r="AG659" s="24">
        <v>7.7</v>
      </c>
      <c r="AH659" s="2" t="s">
        <v>183</v>
      </c>
      <c r="AI659" s="2" t="s">
        <v>661</v>
      </c>
      <c r="AJ659" s="2" t="s">
        <v>661</v>
      </c>
      <c r="AK659" s="2" t="s">
        <v>661</v>
      </c>
      <c r="AL659" s="2" t="s">
        <v>661</v>
      </c>
      <c r="AM659" s="2" t="s">
        <v>661</v>
      </c>
      <c r="AN659" s="2" t="s">
        <v>661</v>
      </c>
      <c r="AO659" s="2" t="s">
        <v>661</v>
      </c>
      <c r="AP659" s="15">
        <v>21.63</v>
      </c>
      <c r="AQ659" s="2" t="s">
        <v>661</v>
      </c>
      <c r="AR659" s="16">
        <v>70</v>
      </c>
      <c r="AS659" s="16">
        <v>11</v>
      </c>
      <c r="AT659" s="16">
        <v>19</v>
      </c>
      <c r="AU659" s="2" t="s">
        <v>661</v>
      </c>
      <c r="AV659" s="16">
        <f t="shared" si="294"/>
        <v>100</v>
      </c>
      <c r="AW659" s="20">
        <v>4.9000000000000004</v>
      </c>
      <c r="AX659" s="8">
        <v>4.9000000000000002E-2</v>
      </c>
      <c r="AY659" s="8" t="s">
        <v>184</v>
      </c>
      <c r="AZ659" s="16">
        <v>100</v>
      </c>
      <c r="BA659" s="16" t="s">
        <v>55</v>
      </c>
      <c r="BB659" s="16">
        <v>5</v>
      </c>
      <c r="BC659" s="16" t="s">
        <v>55</v>
      </c>
      <c r="BD659" s="20">
        <v>0.81</v>
      </c>
      <c r="BE659" s="15">
        <f t="shared" si="287"/>
        <v>16.530612244897959</v>
      </c>
      <c r="BF659" s="15">
        <f t="shared" si="288"/>
        <v>1.2182889388501361</v>
      </c>
      <c r="BG659" s="8">
        <f t="shared" si="262"/>
        <v>-9.1514981121350217E-2</v>
      </c>
      <c r="BH659" s="13" t="s">
        <v>345</v>
      </c>
      <c r="BI659" s="13"/>
      <c r="BJ659" s="13"/>
      <c r="BK659" s="15"/>
      <c r="BL659" s="13"/>
      <c r="BM659" s="17"/>
      <c r="BN659" s="17"/>
      <c r="BO659" s="2"/>
    </row>
    <row r="660" spans="1:69" s="14" customFormat="1" x14ac:dyDescent="0.3">
      <c r="A660" s="20">
        <v>675</v>
      </c>
      <c r="B660" s="2" t="s">
        <v>181</v>
      </c>
      <c r="C660" s="2">
        <v>2020</v>
      </c>
      <c r="D660" s="2" t="s">
        <v>203</v>
      </c>
      <c r="E660" s="10" t="s">
        <v>787</v>
      </c>
      <c r="F660" s="20" t="s">
        <v>29</v>
      </c>
      <c r="G660" s="2" t="s">
        <v>77</v>
      </c>
      <c r="H660" s="2" t="str">
        <f>'PFAS Properties'!$B$43</f>
        <v>PFPeS</v>
      </c>
      <c r="I660" s="2" t="str">
        <f>'PFAS Properties'!$C$43</f>
        <v>PFSA</v>
      </c>
      <c r="J660" s="2" t="str">
        <f>'PFAS Properties'!$D$43</f>
        <v>C5HF11O3S</v>
      </c>
      <c r="K660" s="25">
        <f>'PFAS Properties'!$P$43</f>
        <v>349.94699999999995</v>
      </c>
      <c r="L660" s="2">
        <f>'PFAS Properties'!$X$43</f>
        <v>0.1</v>
      </c>
      <c r="M660" s="2" t="str">
        <f>'PFAS Properties'!$Y$43</f>
        <v>-</v>
      </c>
      <c r="N660" s="33">
        <v>0</v>
      </c>
      <c r="O660" s="33">
        <v>0</v>
      </c>
      <c r="P660" s="33">
        <v>0</v>
      </c>
      <c r="Q660" s="33">
        <f t="shared" si="296"/>
        <v>0.99999997488113634</v>
      </c>
      <c r="R660" s="33">
        <v>0</v>
      </c>
      <c r="S660" s="33">
        <f t="shared" si="297"/>
        <v>2.5118863684138424E-8</v>
      </c>
      <c r="T660" s="8">
        <f t="shared" si="259"/>
        <v>1</v>
      </c>
      <c r="U660" s="33">
        <f t="shared" si="281"/>
        <v>0</v>
      </c>
      <c r="V660" s="33">
        <f t="shared" si="282"/>
        <v>-0.99999997488113634</v>
      </c>
      <c r="W660" s="33">
        <f t="shared" si="283"/>
        <v>348.94700002511883</v>
      </c>
      <c r="X660" s="33">
        <v>96485</v>
      </c>
      <c r="Y660" s="16">
        <f t="shared" si="284"/>
        <v>-276.50330156001058</v>
      </c>
      <c r="Z660" s="16">
        <v>5</v>
      </c>
      <c r="AA660" s="16">
        <v>11</v>
      </c>
      <c r="AB660" s="8">
        <f t="shared" si="285"/>
        <v>0.28708133971291866</v>
      </c>
      <c r="AC660" s="16">
        <f t="shared" si="286"/>
        <v>59.72332953275783</v>
      </c>
      <c r="AD660" s="20">
        <f>'PFAS Properties'!$W$43</f>
        <v>5</v>
      </c>
      <c r="AE660" s="8">
        <f>'PFAS Properties'!$S$43</f>
        <v>4.6680129716418319</v>
      </c>
      <c r="AF660" s="15">
        <f>'PFAS Properties'!$V$43</f>
        <v>3</v>
      </c>
      <c r="AG660" s="24">
        <v>7.7</v>
      </c>
      <c r="AH660" s="2" t="s">
        <v>183</v>
      </c>
      <c r="AI660" s="2" t="s">
        <v>661</v>
      </c>
      <c r="AJ660" s="2" t="s">
        <v>661</v>
      </c>
      <c r="AK660" s="2" t="s">
        <v>661</v>
      </c>
      <c r="AL660" s="2" t="s">
        <v>661</v>
      </c>
      <c r="AM660" s="2" t="s">
        <v>661</v>
      </c>
      <c r="AN660" s="2" t="s">
        <v>661</v>
      </c>
      <c r="AO660" s="2" t="s">
        <v>661</v>
      </c>
      <c r="AP660" s="15">
        <v>7.8</v>
      </c>
      <c r="AQ660" s="2" t="s">
        <v>661</v>
      </c>
      <c r="AR660" s="16">
        <v>48.9</v>
      </c>
      <c r="AS660" s="16">
        <v>32.6</v>
      </c>
      <c r="AT660" s="16">
        <v>18.5</v>
      </c>
      <c r="AU660" s="2" t="s">
        <v>661</v>
      </c>
      <c r="AV660" s="16">
        <f t="shared" si="294"/>
        <v>100</v>
      </c>
      <c r="AW660" s="20">
        <v>0.13</v>
      </c>
      <c r="AX660" s="8">
        <v>1.2999999999999999E-3</v>
      </c>
      <c r="AY660" s="8" t="s">
        <v>184</v>
      </c>
      <c r="AZ660" s="16">
        <v>100</v>
      </c>
      <c r="BA660" s="16" t="s">
        <v>55</v>
      </c>
      <c r="BB660" s="16">
        <v>5</v>
      </c>
      <c r="BC660" s="16" t="s">
        <v>55</v>
      </c>
      <c r="BD660" s="20">
        <v>0.21</v>
      </c>
      <c r="BE660" s="15">
        <f t="shared" si="287"/>
        <v>161.53846153846155</v>
      </c>
      <c r="BF660" s="15">
        <f t="shared" si="288"/>
        <v>2.2082759424270826</v>
      </c>
      <c r="BG660" s="8">
        <f t="shared" si="262"/>
        <v>-0.6777807052660807</v>
      </c>
      <c r="BH660" s="13" t="s">
        <v>345</v>
      </c>
      <c r="BI660" s="13"/>
      <c r="BJ660" s="13"/>
      <c r="BK660" s="15"/>
      <c r="BL660" s="13"/>
      <c r="BM660" s="17"/>
      <c r="BN660" s="17"/>
      <c r="BO660" s="2"/>
    </row>
    <row r="661" spans="1:69" s="14" customFormat="1" x14ac:dyDescent="0.3">
      <c r="A661" s="20">
        <v>676</v>
      </c>
      <c r="B661" s="2" t="s">
        <v>181</v>
      </c>
      <c r="C661" s="2">
        <v>2020</v>
      </c>
      <c r="D661" s="2" t="s">
        <v>203</v>
      </c>
      <c r="E661" s="10" t="s">
        <v>787</v>
      </c>
      <c r="F661" s="20" t="s">
        <v>29</v>
      </c>
      <c r="G661" s="2" t="s">
        <v>182</v>
      </c>
      <c r="H661" s="2" t="str">
        <f>'PFAS Properties'!$B$43</f>
        <v>PFPeS</v>
      </c>
      <c r="I661" s="2" t="str">
        <f>'PFAS Properties'!$C$43</f>
        <v>PFSA</v>
      </c>
      <c r="J661" s="2" t="str">
        <f>'PFAS Properties'!$D$43</f>
        <v>C5HF11O3S</v>
      </c>
      <c r="K661" s="25">
        <f>'PFAS Properties'!$P$43</f>
        <v>349.94699999999995</v>
      </c>
      <c r="L661" s="2">
        <f>'PFAS Properties'!$X$43</f>
        <v>0.1</v>
      </c>
      <c r="M661" s="2" t="str">
        <f>'PFAS Properties'!$Y$43</f>
        <v>-</v>
      </c>
      <c r="N661" s="33">
        <v>0</v>
      </c>
      <c r="O661" s="33">
        <v>0</v>
      </c>
      <c r="P661" s="33">
        <v>0</v>
      </c>
      <c r="Q661" s="33">
        <f t="shared" si="296"/>
        <v>0.9999999601892845</v>
      </c>
      <c r="R661" s="33">
        <v>0</v>
      </c>
      <c r="S661" s="33">
        <f t="shared" si="297"/>
        <v>3.9810715470456442E-8</v>
      </c>
      <c r="T661" s="8">
        <f t="shared" si="259"/>
        <v>1</v>
      </c>
      <c r="U661" s="33">
        <f t="shared" si="281"/>
        <v>0</v>
      </c>
      <c r="V661" s="33">
        <f t="shared" si="282"/>
        <v>-0.9999999601892845</v>
      </c>
      <c r="W661" s="33">
        <f t="shared" si="283"/>
        <v>348.94700003981069</v>
      </c>
      <c r="X661" s="33">
        <v>96485</v>
      </c>
      <c r="Y661" s="16">
        <f t="shared" si="284"/>
        <v>-276.50329748602314</v>
      </c>
      <c r="Z661" s="16">
        <v>5</v>
      </c>
      <c r="AA661" s="16">
        <v>11</v>
      </c>
      <c r="AB661" s="8">
        <f t="shared" si="285"/>
        <v>0.28708133971291866</v>
      </c>
      <c r="AC661" s="16">
        <f t="shared" si="286"/>
        <v>59.72332953275783</v>
      </c>
      <c r="AD661" s="20">
        <f>'PFAS Properties'!$W$43</f>
        <v>5</v>
      </c>
      <c r="AE661" s="8">
        <f>'PFAS Properties'!$S$43</f>
        <v>4.6680129716418319</v>
      </c>
      <c r="AF661" s="15">
        <f>'PFAS Properties'!$V$43</f>
        <v>3</v>
      </c>
      <c r="AG661" s="24">
        <v>7.5</v>
      </c>
      <c r="AH661" s="2" t="s">
        <v>183</v>
      </c>
      <c r="AI661" s="2" t="s">
        <v>661</v>
      </c>
      <c r="AJ661" s="2" t="s">
        <v>661</v>
      </c>
      <c r="AK661" s="2" t="s">
        <v>661</v>
      </c>
      <c r="AL661" s="2" t="s">
        <v>661</v>
      </c>
      <c r="AM661" s="2" t="s">
        <v>661</v>
      </c>
      <c r="AN661" s="2" t="s">
        <v>661</v>
      </c>
      <c r="AO661" s="2" t="s">
        <v>661</v>
      </c>
      <c r="AP661" s="15">
        <v>2.2799999999999998</v>
      </c>
      <c r="AQ661" s="2" t="s">
        <v>661</v>
      </c>
      <c r="AR661" s="16">
        <v>93</v>
      </c>
      <c r="AS661" s="16">
        <v>1</v>
      </c>
      <c r="AT661" s="16">
        <v>5</v>
      </c>
      <c r="AU661" s="2" t="s">
        <v>661</v>
      </c>
      <c r="AV661" s="16">
        <f t="shared" si="294"/>
        <v>99</v>
      </c>
      <c r="AW661" s="20">
        <v>0.4</v>
      </c>
      <c r="AX661" s="8">
        <v>4.0000000000000001E-3</v>
      </c>
      <c r="AY661" s="8" t="s">
        <v>184</v>
      </c>
      <c r="AZ661" s="16">
        <v>100</v>
      </c>
      <c r="BA661" s="16" t="s">
        <v>55</v>
      </c>
      <c r="BB661" s="16">
        <v>5</v>
      </c>
      <c r="BC661" s="16" t="s">
        <v>55</v>
      </c>
      <c r="BD661" s="20">
        <v>0.1</v>
      </c>
      <c r="BE661" s="15">
        <f t="shared" si="287"/>
        <v>25</v>
      </c>
      <c r="BF661" s="15">
        <f t="shared" si="288"/>
        <v>1.3979400086720377</v>
      </c>
      <c r="BG661" s="8">
        <f t="shared" si="262"/>
        <v>-1</v>
      </c>
      <c r="BH661" s="13" t="s">
        <v>345</v>
      </c>
      <c r="BI661" s="13"/>
      <c r="BJ661" s="13"/>
      <c r="BK661" s="15"/>
      <c r="BL661" s="13"/>
      <c r="BM661" s="17"/>
      <c r="BN661" s="17"/>
      <c r="BO661" s="2"/>
    </row>
    <row r="662" spans="1:69" s="14" customFormat="1" x14ac:dyDescent="0.3">
      <c r="A662" s="20">
        <v>677</v>
      </c>
      <c r="B662" s="2" t="s">
        <v>181</v>
      </c>
      <c r="C662" s="2">
        <v>2020</v>
      </c>
      <c r="D662" s="2" t="s">
        <v>203</v>
      </c>
      <c r="E662" s="10" t="s">
        <v>787</v>
      </c>
      <c r="F662" s="20" t="s">
        <v>29</v>
      </c>
      <c r="G662" s="2" t="s">
        <v>78</v>
      </c>
      <c r="H662" s="2" t="str">
        <f>'PFAS Properties'!$B$43</f>
        <v>PFPeS</v>
      </c>
      <c r="I662" s="2" t="str">
        <f>'PFAS Properties'!$C$43</f>
        <v>PFSA</v>
      </c>
      <c r="J662" s="2" t="str">
        <f>'PFAS Properties'!$D$43</f>
        <v>C5HF11O3S</v>
      </c>
      <c r="K662" s="25">
        <f>'PFAS Properties'!$P$43</f>
        <v>349.94699999999995</v>
      </c>
      <c r="L662" s="2">
        <f>'PFAS Properties'!$X$43</f>
        <v>0.1</v>
      </c>
      <c r="M662" s="2" t="str">
        <f>'PFAS Properties'!$Y$43</f>
        <v>-</v>
      </c>
      <c r="N662" s="33">
        <v>0</v>
      </c>
      <c r="O662" s="33">
        <v>0</v>
      </c>
      <c r="P662" s="33">
        <v>0</v>
      </c>
      <c r="Q662" s="33">
        <f t="shared" si="296"/>
        <v>0.99999990000001004</v>
      </c>
      <c r="R662" s="33">
        <v>0</v>
      </c>
      <c r="S662" s="33">
        <f t="shared" si="297"/>
        <v>9.9999990000001005E-8</v>
      </c>
      <c r="T662" s="8">
        <f t="shared" si="259"/>
        <v>1</v>
      </c>
      <c r="U662" s="33">
        <f t="shared" si="281"/>
        <v>0</v>
      </c>
      <c r="V662" s="33">
        <f t="shared" si="282"/>
        <v>-0.99999990000001004</v>
      </c>
      <c r="W662" s="33">
        <f t="shared" si="283"/>
        <v>348.94700009999991</v>
      </c>
      <c r="X662" s="33">
        <v>96485</v>
      </c>
      <c r="Y662" s="16">
        <f t="shared" si="284"/>
        <v>-276.50328079579612</v>
      </c>
      <c r="Z662" s="16">
        <v>5</v>
      </c>
      <c r="AA662" s="16">
        <v>11</v>
      </c>
      <c r="AB662" s="8">
        <f t="shared" si="285"/>
        <v>0.28708133971291866</v>
      </c>
      <c r="AC662" s="16">
        <f t="shared" si="286"/>
        <v>59.72332953275783</v>
      </c>
      <c r="AD662" s="20">
        <f>'PFAS Properties'!$W$43</f>
        <v>5</v>
      </c>
      <c r="AE662" s="8">
        <f>'PFAS Properties'!$S$43</f>
        <v>4.6680129716418319</v>
      </c>
      <c r="AF662" s="15">
        <f>'PFAS Properties'!$V$43</f>
        <v>3</v>
      </c>
      <c r="AG662" s="24">
        <v>7.1</v>
      </c>
      <c r="AH662" s="2" t="s">
        <v>183</v>
      </c>
      <c r="AI662" s="2" t="s">
        <v>661</v>
      </c>
      <c r="AJ662" s="2" t="s">
        <v>661</v>
      </c>
      <c r="AK662" s="2" t="s">
        <v>661</v>
      </c>
      <c r="AL662" s="2" t="s">
        <v>661</v>
      </c>
      <c r="AM662" s="2" t="s">
        <v>661</v>
      </c>
      <c r="AN662" s="2" t="s">
        <v>661</v>
      </c>
      <c r="AO662" s="2" t="s">
        <v>661</v>
      </c>
      <c r="AP662" s="15">
        <v>17.420000000000002</v>
      </c>
      <c r="AQ662" s="2" t="s">
        <v>661</v>
      </c>
      <c r="AR662" s="16">
        <v>48.86</v>
      </c>
      <c r="AS662" s="16">
        <v>16.05</v>
      </c>
      <c r="AT662" s="16">
        <v>35.090000000000003</v>
      </c>
      <c r="AU662" s="2" t="s">
        <v>661</v>
      </c>
      <c r="AV662" s="16">
        <f t="shared" si="294"/>
        <v>100</v>
      </c>
      <c r="AW662" s="20">
        <v>1.19</v>
      </c>
      <c r="AX662" s="8">
        <v>1.1899999999999999E-2</v>
      </c>
      <c r="AY662" s="8" t="s">
        <v>184</v>
      </c>
      <c r="AZ662" s="16">
        <v>100</v>
      </c>
      <c r="BA662" s="16" t="s">
        <v>55</v>
      </c>
      <c r="BB662" s="16">
        <v>5</v>
      </c>
      <c r="BC662" s="16" t="s">
        <v>55</v>
      </c>
      <c r="BD662" s="20">
        <v>0.3</v>
      </c>
      <c r="BE662" s="15">
        <f t="shared" si="287"/>
        <v>25.210084033613445</v>
      </c>
      <c r="BF662" s="15">
        <f t="shared" si="288"/>
        <v>1.4015742933271316</v>
      </c>
      <c r="BG662" s="8">
        <f t="shared" ref="BG662:BG665" si="300">LOG(BD662)</f>
        <v>-0.52287874528033762</v>
      </c>
      <c r="BH662" s="13" t="s">
        <v>345</v>
      </c>
      <c r="BI662" s="13"/>
      <c r="BJ662" s="13"/>
      <c r="BK662" s="15"/>
      <c r="BL662" s="13"/>
      <c r="BM662" s="17"/>
      <c r="BN662" s="17"/>
      <c r="BO662" s="2"/>
    </row>
    <row r="663" spans="1:69" s="14" customFormat="1" x14ac:dyDescent="0.3">
      <c r="A663" s="20">
        <v>678</v>
      </c>
      <c r="B663" s="2" t="s">
        <v>181</v>
      </c>
      <c r="C663" s="2">
        <v>2020</v>
      </c>
      <c r="D663" s="2" t="s">
        <v>203</v>
      </c>
      <c r="E663" s="10" t="s">
        <v>787</v>
      </c>
      <c r="F663" s="20" t="s">
        <v>29</v>
      </c>
      <c r="G663" s="2" t="s">
        <v>98</v>
      </c>
      <c r="H663" s="2" t="str">
        <f>'PFAS Properties'!$B$43</f>
        <v>PFPeS</v>
      </c>
      <c r="I663" s="2" t="str">
        <f>'PFAS Properties'!$C$43</f>
        <v>PFSA</v>
      </c>
      <c r="J663" s="2" t="str">
        <f>'PFAS Properties'!$D$43</f>
        <v>C5HF11O3S</v>
      </c>
      <c r="K663" s="25">
        <f>'PFAS Properties'!$P$43</f>
        <v>349.94699999999995</v>
      </c>
      <c r="L663" s="2">
        <f>'PFAS Properties'!$X$43</f>
        <v>0.1</v>
      </c>
      <c r="M663" s="2" t="str">
        <f>'PFAS Properties'!$Y$43</f>
        <v>-</v>
      </c>
      <c r="N663" s="33">
        <v>0</v>
      </c>
      <c r="O663" s="33">
        <v>0</v>
      </c>
      <c r="P663" s="33">
        <v>0</v>
      </c>
      <c r="Q663" s="33">
        <f t="shared" si="296"/>
        <v>0.99999949881301753</v>
      </c>
      <c r="R663" s="33">
        <v>0</v>
      </c>
      <c r="S663" s="33">
        <f t="shared" si="297"/>
        <v>5.0118698243875318E-7</v>
      </c>
      <c r="T663" s="8">
        <f t="shared" si="259"/>
        <v>1</v>
      </c>
      <c r="U663" s="33">
        <f t="shared" si="281"/>
        <v>0</v>
      </c>
      <c r="V663" s="33">
        <f t="shared" si="282"/>
        <v>-0.99999949881301753</v>
      </c>
      <c r="W663" s="33">
        <f t="shared" si="283"/>
        <v>348.94700050118695</v>
      </c>
      <c r="X663" s="33">
        <v>96485</v>
      </c>
      <c r="Y663" s="16">
        <f t="shared" si="284"/>
        <v>-276.50316954836757</v>
      </c>
      <c r="Z663" s="16">
        <v>5</v>
      </c>
      <c r="AA663" s="16">
        <v>11</v>
      </c>
      <c r="AB663" s="8">
        <f t="shared" si="285"/>
        <v>0.28708133971291866</v>
      </c>
      <c r="AC663" s="16">
        <f t="shared" si="286"/>
        <v>59.72332953275783</v>
      </c>
      <c r="AD663" s="20">
        <f>'PFAS Properties'!$W$43</f>
        <v>5</v>
      </c>
      <c r="AE663" s="8">
        <f>'PFAS Properties'!$S$43</f>
        <v>4.6680129716418319</v>
      </c>
      <c r="AF663" s="15">
        <f>'PFAS Properties'!$V$43</f>
        <v>3</v>
      </c>
      <c r="AG663" s="24">
        <v>6.4</v>
      </c>
      <c r="AH663" s="2" t="s">
        <v>183</v>
      </c>
      <c r="AI663" s="2" t="s">
        <v>661</v>
      </c>
      <c r="AJ663" s="2" t="s">
        <v>661</v>
      </c>
      <c r="AK663" s="2" t="s">
        <v>661</v>
      </c>
      <c r="AL663" s="2" t="s">
        <v>661</v>
      </c>
      <c r="AM663" s="2" t="s">
        <v>661</v>
      </c>
      <c r="AN663" s="2" t="s">
        <v>661</v>
      </c>
      <c r="AO663" s="2" t="s">
        <v>661</v>
      </c>
      <c r="AP663" s="15">
        <v>16.54</v>
      </c>
      <c r="AQ663" s="2" t="s">
        <v>661</v>
      </c>
      <c r="AR663" s="16">
        <v>29.38</v>
      </c>
      <c r="AS663" s="16">
        <v>13.9</v>
      </c>
      <c r="AT663" s="16">
        <v>56.71</v>
      </c>
      <c r="AU663" s="2" t="s">
        <v>661</v>
      </c>
      <c r="AV663" s="16">
        <f t="shared" si="294"/>
        <v>99.990000000000009</v>
      </c>
      <c r="AW663" s="20">
        <v>0.17</v>
      </c>
      <c r="AX663" s="8">
        <v>1.7000000000000001E-3</v>
      </c>
      <c r="AY663" s="8" t="s">
        <v>184</v>
      </c>
      <c r="AZ663" s="16">
        <v>100</v>
      </c>
      <c r="BA663" s="16" t="s">
        <v>55</v>
      </c>
      <c r="BB663" s="16">
        <v>5</v>
      </c>
      <c r="BC663" s="16" t="s">
        <v>55</v>
      </c>
      <c r="BD663" s="20">
        <v>0.35</v>
      </c>
      <c r="BE663" s="15">
        <f t="shared" si="287"/>
        <v>205.88235294117644</v>
      </c>
      <c r="BF663" s="15">
        <f t="shared" si="288"/>
        <v>2.3136191229720016</v>
      </c>
      <c r="BG663" s="8">
        <f t="shared" si="300"/>
        <v>-0.45593195564972439</v>
      </c>
      <c r="BH663" s="13" t="s">
        <v>345</v>
      </c>
      <c r="BI663" s="13"/>
      <c r="BJ663" s="13"/>
      <c r="BK663" s="15"/>
      <c r="BL663" s="13"/>
      <c r="BM663" s="17"/>
      <c r="BN663" s="17"/>
      <c r="BO663" s="2"/>
    </row>
    <row r="664" spans="1:69" s="14" customFormat="1" x14ac:dyDescent="0.3">
      <c r="A664" s="20">
        <v>679</v>
      </c>
      <c r="B664" s="2" t="s">
        <v>202</v>
      </c>
      <c r="C664" s="2">
        <v>2019</v>
      </c>
      <c r="D664" s="2" t="s">
        <v>199</v>
      </c>
      <c r="E664" s="10" t="s">
        <v>791</v>
      </c>
      <c r="F664" s="20" t="s">
        <v>29</v>
      </c>
      <c r="G664" s="2" t="s">
        <v>39</v>
      </c>
      <c r="H664" s="2" t="str">
        <f>'PFAS Properties'!$B$44</f>
        <v>PFHxS</v>
      </c>
      <c r="I664" s="2" t="str">
        <f>'PFAS Properties'!$C$44</f>
        <v>PFSA</v>
      </c>
      <c r="J664" s="2" t="str">
        <f>'PFAS Properties'!$D$44</f>
        <v>C6F13O3SH</v>
      </c>
      <c r="K664" s="25">
        <f>'PFAS Properties'!$P$44</f>
        <v>399.94379999999995</v>
      </c>
      <c r="L664" s="2">
        <f>'PFAS Properties'!$X$44</f>
        <v>0.1</v>
      </c>
      <c r="M664" s="2" t="str">
        <f>'PFAS Properties'!$Y$44</f>
        <v>-</v>
      </c>
      <c r="N664" s="33">
        <v>0</v>
      </c>
      <c r="O664" s="33">
        <v>0</v>
      </c>
      <c r="P664" s="33">
        <v>0</v>
      </c>
      <c r="Q664" s="33">
        <f t="shared" si="296"/>
        <v>0.99999292059227451</v>
      </c>
      <c r="R664" s="33">
        <v>0</v>
      </c>
      <c r="S664" s="33">
        <f t="shared" si="297"/>
        <v>7.0794077254728099E-6</v>
      </c>
      <c r="T664" s="8">
        <f t="shared" si="259"/>
        <v>1</v>
      </c>
      <c r="U664" s="33">
        <f t="shared" si="281"/>
        <v>0</v>
      </c>
      <c r="V664" s="33">
        <f t="shared" si="282"/>
        <v>-0.99999292059227451</v>
      </c>
      <c r="W664" s="33">
        <f t="shared" si="283"/>
        <v>398.94380707940763</v>
      </c>
      <c r="X664" s="33">
        <v>96485</v>
      </c>
      <c r="Y664" s="16">
        <f t="shared" si="284"/>
        <v>-241.84939139596901</v>
      </c>
      <c r="Z664" s="16">
        <v>6</v>
      </c>
      <c r="AA664" s="16">
        <v>13</v>
      </c>
      <c r="AB664" s="8">
        <f t="shared" si="285"/>
        <v>0.291497975708502</v>
      </c>
      <c r="AC664" s="16">
        <f t="shared" si="286"/>
        <v>61.758677094131734</v>
      </c>
      <c r="AD664" s="20">
        <f>'PFAS Properties'!$W$44</f>
        <v>6</v>
      </c>
      <c r="AE664" s="8">
        <f>'PFAS Properties'!$S$44</f>
        <v>3.7905666251460763</v>
      </c>
      <c r="AF664" s="15">
        <f>'PFAS Properties'!$V$44</f>
        <v>3.6</v>
      </c>
      <c r="AG664" s="24">
        <v>5.25</v>
      </c>
      <c r="AH664" s="2" t="s">
        <v>661</v>
      </c>
      <c r="AI664" s="2" t="s">
        <v>661</v>
      </c>
      <c r="AJ664" s="2" t="s">
        <v>661</v>
      </c>
      <c r="AK664" s="2" t="s">
        <v>661</v>
      </c>
      <c r="AL664" s="2" t="s">
        <v>661</v>
      </c>
      <c r="AM664" s="2" t="s">
        <v>661</v>
      </c>
      <c r="AN664" s="2" t="s">
        <v>661</v>
      </c>
      <c r="AO664" s="2" t="s">
        <v>661</v>
      </c>
      <c r="AP664" s="72">
        <v>5.7023166666666656</v>
      </c>
      <c r="AQ664" s="70" t="s">
        <v>752</v>
      </c>
      <c r="AR664" s="16">
        <v>100</v>
      </c>
      <c r="AS664" s="16">
        <v>0</v>
      </c>
      <c r="AT664" s="16">
        <v>0</v>
      </c>
      <c r="AU664" s="2" t="s">
        <v>661</v>
      </c>
      <c r="AV664" s="16">
        <f t="shared" si="294"/>
        <v>100</v>
      </c>
      <c r="AW664" s="20">
        <v>0.4</v>
      </c>
      <c r="AX664" s="8">
        <f t="shared" ref="AX664:AX706" si="301">AW664/100</f>
        <v>4.0000000000000001E-3</v>
      </c>
      <c r="AY664" s="13" t="s">
        <v>658</v>
      </c>
      <c r="AZ664" s="16">
        <f>2/0.01</f>
        <v>200</v>
      </c>
      <c r="BA664" s="16" t="s">
        <v>55</v>
      </c>
      <c r="BB664" s="16">
        <v>1</v>
      </c>
      <c r="BC664" s="16">
        <v>1000</v>
      </c>
      <c r="BD664" s="18">
        <v>0.56000000000000005</v>
      </c>
      <c r="BE664" s="15">
        <f t="shared" si="287"/>
        <v>140</v>
      </c>
      <c r="BF664" s="15">
        <f t="shared" si="288"/>
        <v>2.1461280356782382</v>
      </c>
      <c r="BG664" s="8">
        <f t="shared" si="300"/>
        <v>-0.25181197299379954</v>
      </c>
      <c r="BH664" s="13" t="s">
        <v>272</v>
      </c>
      <c r="BI664" s="13"/>
      <c r="BJ664" s="13"/>
      <c r="BK664" s="13"/>
      <c r="BL664" s="13"/>
      <c r="BM664" s="17"/>
      <c r="BN664" s="17"/>
      <c r="BO664" s="2"/>
    </row>
    <row r="665" spans="1:69" s="14" customFormat="1" x14ac:dyDescent="0.3">
      <c r="A665" s="20">
        <v>680</v>
      </c>
      <c r="B665" s="2" t="s">
        <v>202</v>
      </c>
      <c r="C665" s="2">
        <v>2019</v>
      </c>
      <c r="D665" s="2" t="s">
        <v>199</v>
      </c>
      <c r="E665" s="10" t="s">
        <v>791</v>
      </c>
      <c r="F665" s="20" t="s">
        <v>29</v>
      </c>
      <c r="G665" s="2" t="s">
        <v>43</v>
      </c>
      <c r="H665" s="2" t="str">
        <f>'PFAS Properties'!$B$44</f>
        <v>PFHxS</v>
      </c>
      <c r="I665" s="2" t="str">
        <f>'PFAS Properties'!$C$44</f>
        <v>PFSA</v>
      </c>
      <c r="J665" s="2" t="str">
        <f>'PFAS Properties'!$D$44</f>
        <v>C6F13O3SH</v>
      </c>
      <c r="K665" s="25">
        <f>'PFAS Properties'!$P$44</f>
        <v>399.94379999999995</v>
      </c>
      <c r="L665" s="2">
        <f>'PFAS Properties'!$X$44</f>
        <v>0.1</v>
      </c>
      <c r="M665" s="2" t="str">
        <f>'PFAS Properties'!$Y$44</f>
        <v>-</v>
      </c>
      <c r="N665" s="33">
        <v>0</v>
      </c>
      <c r="O665" s="33">
        <v>0</v>
      </c>
      <c r="P665" s="33">
        <v>0</v>
      </c>
      <c r="Q665" s="33">
        <f t="shared" si="296"/>
        <v>0.99999730847244039</v>
      </c>
      <c r="R665" s="33">
        <v>0</v>
      </c>
      <c r="S665" s="33">
        <f t="shared" si="297"/>
        <v>2.6915275595868084E-6</v>
      </c>
      <c r="T665" s="8">
        <f t="shared" si="259"/>
        <v>1</v>
      </c>
      <c r="U665" s="33">
        <f t="shared" si="281"/>
        <v>0</v>
      </c>
      <c r="V665" s="33">
        <f t="shared" si="282"/>
        <v>-0.99999730847244039</v>
      </c>
      <c r="W665" s="33">
        <f t="shared" si="283"/>
        <v>398.94380269152748</v>
      </c>
      <c r="X665" s="33">
        <v>96485</v>
      </c>
      <c r="Y665" s="16">
        <f t="shared" si="284"/>
        <v>-241.85045526968025</v>
      </c>
      <c r="Z665" s="16">
        <v>6</v>
      </c>
      <c r="AA665" s="16">
        <v>13</v>
      </c>
      <c r="AB665" s="8">
        <f t="shared" si="285"/>
        <v>0.291497975708502</v>
      </c>
      <c r="AC665" s="16">
        <f t="shared" si="286"/>
        <v>61.758677094131734</v>
      </c>
      <c r="AD665" s="20">
        <f>'PFAS Properties'!$W$44</f>
        <v>6</v>
      </c>
      <c r="AE665" s="8">
        <f>'PFAS Properties'!$S$44</f>
        <v>3.7905666251460763</v>
      </c>
      <c r="AF665" s="15">
        <f>'PFAS Properties'!$V$44</f>
        <v>3.6</v>
      </c>
      <c r="AG665" s="24">
        <v>5.67</v>
      </c>
      <c r="AH665" s="2" t="s">
        <v>661</v>
      </c>
      <c r="AI665" s="15" t="s">
        <v>661</v>
      </c>
      <c r="AJ665" s="16" t="s">
        <v>661</v>
      </c>
      <c r="AK665" s="2" t="s">
        <v>661</v>
      </c>
      <c r="AL665" s="15" t="s">
        <v>661</v>
      </c>
      <c r="AM665" s="16" t="s">
        <v>661</v>
      </c>
      <c r="AN665" s="2" t="s">
        <v>661</v>
      </c>
      <c r="AO665" s="2" t="s">
        <v>661</v>
      </c>
      <c r="AP665" s="72">
        <v>9.2037666666666649</v>
      </c>
      <c r="AQ665" s="70" t="s">
        <v>752</v>
      </c>
      <c r="AR665" s="16">
        <v>71</v>
      </c>
      <c r="AS665" s="16">
        <v>24</v>
      </c>
      <c r="AT665" s="16">
        <v>5</v>
      </c>
      <c r="AU665" s="2" t="s">
        <v>661</v>
      </c>
      <c r="AV665" s="16">
        <f t="shared" ref="AV665:AV728" si="302">SUM(AR665:AT665)</f>
        <v>100</v>
      </c>
      <c r="AW665" s="20">
        <v>0.93</v>
      </c>
      <c r="AX665" s="8">
        <f t="shared" si="301"/>
        <v>9.300000000000001E-3</v>
      </c>
      <c r="AY665" s="13" t="s">
        <v>658</v>
      </c>
      <c r="AZ665" s="16">
        <f>2/0.01</f>
        <v>200</v>
      </c>
      <c r="BA665" s="16" t="s">
        <v>55</v>
      </c>
      <c r="BB665" s="16">
        <v>1</v>
      </c>
      <c r="BC665" s="16">
        <v>1000</v>
      </c>
      <c r="BD665" s="18">
        <v>2</v>
      </c>
      <c r="BE665" s="15">
        <f t="shared" si="287"/>
        <v>215.05376344086019</v>
      </c>
      <c r="BF665" s="15">
        <f t="shared" si="288"/>
        <v>2.332547047110046</v>
      </c>
      <c r="BG665" s="8">
        <f t="shared" si="300"/>
        <v>0.3010299956639812</v>
      </c>
      <c r="BH665" s="13" t="s">
        <v>272</v>
      </c>
      <c r="BI665" s="13"/>
      <c r="BJ665" s="13"/>
      <c r="BK665" s="13"/>
      <c r="BL665" s="13"/>
      <c r="BM665" s="17"/>
      <c r="BN665" s="17"/>
      <c r="BO665" s="2"/>
    </row>
    <row r="666" spans="1:69" s="14" customFormat="1" x14ac:dyDescent="0.3">
      <c r="A666" s="20">
        <v>681</v>
      </c>
      <c r="B666" s="2" t="s">
        <v>690</v>
      </c>
      <c r="C666" s="2">
        <v>2023</v>
      </c>
      <c r="D666" s="2" t="s">
        <v>199</v>
      </c>
      <c r="E666" s="10" t="s">
        <v>803</v>
      </c>
      <c r="F666" s="20" t="s">
        <v>29</v>
      </c>
      <c r="G666" s="2" t="s">
        <v>691</v>
      </c>
      <c r="H666" s="2" t="str">
        <f>'PFAS Properties'!$B$44</f>
        <v>PFHxS</v>
      </c>
      <c r="I666" s="2" t="str">
        <f>'PFAS Properties'!$C$44</f>
        <v>PFSA</v>
      </c>
      <c r="J666" s="2" t="str">
        <f>'PFAS Properties'!$D$44</f>
        <v>C6F13O3SH</v>
      </c>
      <c r="K666" s="25">
        <f>'PFAS Properties'!$P$44</f>
        <v>399.94379999999995</v>
      </c>
      <c r="L666" s="2">
        <f>'PFAS Properties'!$X$44</f>
        <v>0.1</v>
      </c>
      <c r="M666" s="2" t="str">
        <f>'PFAS Properties'!$Y$44</f>
        <v>-</v>
      </c>
      <c r="N666" s="33">
        <v>0</v>
      </c>
      <c r="O666" s="33">
        <v>0</v>
      </c>
      <c r="P666" s="33">
        <v>0</v>
      </c>
      <c r="Q666" s="33">
        <f t="shared" si="296"/>
        <v>0.99999841510931942</v>
      </c>
      <c r="R666" s="33">
        <v>0</v>
      </c>
      <c r="S666" s="33">
        <f t="shared" si="297"/>
        <v>1.5848906805786579E-6</v>
      </c>
      <c r="T666" s="8">
        <f t="shared" si="259"/>
        <v>1</v>
      </c>
      <c r="U666" s="33">
        <f t="shared" si="281"/>
        <v>0</v>
      </c>
      <c r="V666" s="33">
        <f t="shared" si="282"/>
        <v>-0.99999841510931942</v>
      </c>
      <c r="W666" s="33">
        <f t="shared" si="283"/>
        <v>398.94380158489065</v>
      </c>
      <c r="X666" s="33">
        <v>96485</v>
      </c>
      <c r="Y666" s="16">
        <f t="shared" si="284"/>
        <v>-241.85072358190735</v>
      </c>
      <c r="Z666" s="16">
        <v>6</v>
      </c>
      <c r="AA666" s="16">
        <v>13</v>
      </c>
      <c r="AB666" s="8">
        <f t="shared" si="285"/>
        <v>0.291497975708502</v>
      </c>
      <c r="AC666" s="16">
        <f t="shared" si="286"/>
        <v>61.758677094131734</v>
      </c>
      <c r="AD666" s="20">
        <f>'PFAS Properties'!$W$44</f>
        <v>6</v>
      </c>
      <c r="AE666" s="8">
        <f>'PFAS Properties'!$S$44</f>
        <v>3.7905666251460763</v>
      </c>
      <c r="AF666" s="15">
        <f>'PFAS Properties'!$V$44</f>
        <v>3.6</v>
      </c>
      <c r="AG666" s="24">
        <v>5.9</v>
      </c>
      <c r="AH666" s="2" t="s">
        <v>701</v>
      </c>
      <c r="AI666" s="15">
        <f t="shared" ref="AI666:AI675" si="303">AJ666*55.845/1000</f>
        <v>10.052100000000001</v>
      </c>
      <c r="AJ666" s="16">
        <v>180</v>
      </c>
      <c r="AK666" s="8">
        <f t="shared" ref="AK666:AK679" si="304">AI666/10</f>
        <v>1.0052100000000002</v>
      </c>
      <c r="AL666" s="15">
        <f t="shared" ref="AL666:AL675" si="305">AM666*26.982/1000</f>
        <v>1.3491</v>
      </c>
      <c r="AM666" s="16">
        <v>50</v>
      </c>
      <c r="AN666" s="8">
        <f t="shared" ref="AN666:AN679" si="306">AL666/10</f>
        <v>0.13491</v>
      </c>
      <c r="AO666" s="15" t="s">
        <v>705</v>
      </c>
      <c r="AP666" s="15">
        <v>20</v>
      </c>
      <c r="AQ666" s="15" t="s">
        <v>702</v>
      </c>
      <c r="AR666" s="2">
        <v>4.2</v>
      </c>
      <c r="AS666" s="2">
        <v>53</v>
      </c>
      <c r="AT666" s="2">
        <v>43</v>
      </c>
      <c r="AU666" s="2" t="s">
        <v>703</v>
      </c>
      <c r="AV666" s="16">
        <f t="shared" si="302"/>
        <v>100.2</v>
      </c>
      <c r="AW666" s="20">
        <v>3.1</v>
      </c>
      <c r="AX666" s="8">
        <f t="shared" si="301"/>
        <v>3.1E-2</v>
      </c>
      <c r="AY666" s="8" t="s">
        <v>704</v>
      </c>
      <c r="AZ666" s="16">
        <v>10</v>
      </c>
      <c r="BA666" s="16" t="s">
        <v>55</v>
      </c>
      <c r="BB666" s="16" t="s">
        <v>55</v>
      </c>
      <c r="BC666" s="16" t="s">
        <v>55</v>
      </c>
      <c r="BD666" s="24">
        <f t="shared" ref="BD666:BD675" si="307">10^BG666</f>
        <v>5.1286138399136494</v>
      </c>
      <c r="BE666" s="16">
        <f t="shared" si="287"/>
        <v>165.43915612624676</v>
      </c>
      <c r="BF666" s="16">
        <f t="shared" si="288"/>
        <v>2.2186383061657273</v>
      </c>
      <c r="BG666" s="8">
        <v>0.71</v>
      </c>
      <c r="BH666" s="15" t="s">
        <v>846</v>
      </c>
      <c r="BI666" s="8"/>
      <c r="BJ666" s="13"/>
      <c r="BK666" s="16"/>
      <c r="BL666" s="16"/>
      <c r="BM666" s="16"/>
      <c r="BN666" s="16"/>
      <c r="BO666" s="2"/>
    </row>
    <row r="667" spans="1:69" x14ac:dyDescent="0.3">
      <c r="A667" s="20">
        <v>682</v>
      </c>
      <c r="B667" s="2" t="s">
        <v>690</v>
      </c>
      <c r="C667" s="2">
        <v>2023</v>
      </c>
      <c r="D667" s="2" t="s">
        <v>199</v>
      </c>
      <c r="E667" s="10" t="s">
        <v>803</v>
      </c>
      <c r="F667" s="20" t="s">
        <v>29</v>
      </c>
      <c r="G667" s="2" t="s">
        <v>692</v>
      </c>
      <c r="H667" s="2" t="str">
        <f>'PFAS Properties'!$B$44</f>
        <v>PFHxS</v>
      </c>
      <c r="I667" s="2" t="str">
        <f>'PFAS Properties'!$C$44</f>
        <v>PFSA</v>
      </c>
      <c r="J667" s="2" t="str">
        <f>'PFAS Properties'!$D$44</f>
        <v>C6F13O3SH</v>
      </c>
      <c r="K667" s="25">
        <f>'PFAS Properties'!$P$44</f>
        <v>399.94379999999995</v>
      </c>
      <c r="L667" s="2">
        <f>'PFAS Properties'!$X$44</f>
        <v>0.1</v>
      </c>
      <c r="M667" s="2" t="str">
        <f>'PFAS Properties'!$Y$44</f>
        <v>-</v>
      </c>
      <c r="N667" s="33">
        <v>0</v>
      </c>
      <c r="O667" s="33">
        <v>0</v>
      </c>
      <c r="P667" s="33">
        <v>0</v>
      </c>
      <c r="Q667" s="33">
        <f t="shared" si="296"/>
        <v>0.99999601894414336</v>
      </c>
      <c r="R667" s="33">
        <v>0</v>
      </c>
      <c r="S667" s="33">
        <f t="shared" si="297"/>
        <v>3.981055856666137E-6</v>
      </c>
      <c r="T667" s="8">
        <f t="shared" si="259"/>
        <v>1</v>
      </c>
      <c r="U667" s="33">
        <f t="shared" si="281"/>
        <v>0</v>
      </c>
      <c r="V667" s="33">
        <f t="shared" si="282"/>
        <v>-0.99999601894414336</v>
      </c>
      <c r="W667" s="33">
        <f t="shared" si="283"/>
        <v>398.94380398105585</v>
      </c>
      <c r="X667" s="33">
        <v>96485</v>
      </c>
      <c r="Y667" s="16">
        <f t="shared" si="284"/>
        <v>-241.85014261408938</v>
      </c>
      <c r="Z667" s="16">
        <v>6</v>
      </c>
      <c r="AA667" s="16">
        <v>13</v>
      </c>
      <c r="AB667" s="8">
        <f t="shared" si="285"/>
        <v>0.291497975708502</v>
      </c>
      <c r="AC667" s="16">
        <f t="shared" si="286"/>
        <v>61.758677094131734</v>
      </c>
      <c r="AD667" s="20">
        <f>'PFAS Properties'!$W$44</f>
        <v>6</v>
      </c>
      <c r="AE667" s="8">
        <f>'PFAS Properties'!$S$44</f>
        <v>3.7905666251460763</v>
      </c>
      <c r="AF667" s="15">
        <f>'PFAS Properties'!$V$44</f>
        <v>3.6</v>
      </c>
      <c r="AG667" s="26">
        <v>5.5</v>
      </c>
      <c r="AH667" s="2" t="s">
        <v>701</v>
      </c>
      <c r="AI667" s="15">
        <f t="shared" si="303"/>
        <v>7.2598499999999992</v>
      </c>
      <c r="AJ667" s="16">
        <v>130</v>
      </c>
      <c r="AK667" s="8">
        <f t="shared" si="304"/>
        <v>0.72598499999999988</v>
      </c>
      <c r="AL667" s="15">
        <f t="shared" si="305"/>
        <v>13.491</v>
      </c>
      <c r="AM667" s="16">
        <v>500</v>
      </c>
      <c r="AN667" s="8">
        <f t="shared" si="306"/>
        <v>1.3491</v>
      </c>
      <c r="AO667" s="15" t="s">
        <v>705</v>
      </c>
      <c r="AP667" s="2">
        <v>1</v>
      </c>
      <c r="AQ667" s="15" t="s">
        <v>702</v>
      </c>
      <c r="AR667" s="4">
        <v>54</v>
      </c>
      <c r="AS667" s="4">
        <v>42</v>
      </c>
      <c r="AT667" s="4">
        <v>4</v>
      </c>
      <c r="AU667" s="2" t="s">
        <v>703</v>
      </c>
      <c r="AV667" s="16">
        <f t="shared" si="302"/>
        <v>100</v>
      </c>
      <c r="AW667" s="7">
        <v>2.2000000000000002</v>
      </c>
      <c r="AX667" s="8">
        <f t="shared" si="301"/>
        <v>2.2000000000000002E-2</v>
      </c>
      <c r="AY667" s="8" t="s">
        <v>704</v>
      </c>
      <c r="AZ667" s="16">
        <v>10</v>
      </c>
      <c r="BA667" s="16" t="s">
        <v>55</v>
      </c>
      <c r="BB667" s="16" t="s">
        <v>55</v>
      </c>
      <c r="BC667" s="16" t="s">
        <v>55</v>
      </c>
      <c r="BD667" s="24">
        <f t="shared" si="307"/>
        <v>9.1201083935590983</v>
      </c>
      <c r="BE667" s="16">
        <f t="shared" si="287"/>
        <v>414.55038152541351</v>
      </c>
      <c r="BF667" s="16">
        <f t="shared" si="288"/>
        <v>2.6175773191777938</v>
      </c>
      <c r="BG667" s="8">
        <f>(0.9+1.02)/2</f>
        <v>0.96</v>
      </c>
      <c r="BH667" s="15" t="s">
        <v>847</v>
      </c>
      <c r="BI667" s="1"/>
      <c r="BJ667" s="2"/>
      <c r="BK667" s="1"/>
      <c r="BL667" s="1"/>
      <c r="BM667" s="7"/>
      <c r="BN667" s="7"/>
      <c r="BO667" s="1"/>
      <c r="BP667" s="11"/>
      <c r="BQ667" s="11"/>
    </row>
    <row r="668" spans="1:69" x14ac:dyDescent="0.3">
      <c r="A668" s="20">
        <v>683</v>
      </c>
      <c r="B668" s="2" t="s">
        <v>690</v>
      </c>
      <c r="C668" s="2">
        <v>2023</v>
      </c>
      <c r="D668" s="2" t="s">
        <v>199</v>
      </c>
      <c r="E668" s="10" t="s">
        <v>803</v>
      </c>
      <c r="F668" s="20" t="s">
        <v>29</v>
      </c>
      <c r="G668" s="2" t="s">
        <v>693</v>
      </c>
      <c r="H668" s="2" t="str">
        <f>'PFAS Properties'!$B$44</f>
        <v>PFHxS</v>
      </c>
      <c r="I668" s="2" t="str">
        <f>'PFAS Properties'!$C$44</f>
        <v>PFSA</v>
      </c>
      <c r="J668" s="2" t="str">
        <f>'PFAS Properties'!$D$44</f>
        <v>C6F13O3SH</v>
      </c>
      <c r="K668" s="25">
        <f>'PFAS Properties'!$P$44</f>
        <v>399.94379999999995</v>
      </c>
      <c r="L668" s="2">
        <f>'PFAS Properties'!$X$44</f>
        <v>0.1</v>
      </c>
      <c r="M668" s="2" t="str">
        <f>'PFAS Properties'!$Y$44</f>
        <v>-</v>
      </c>
      <c r="N668" s="33">
        <v>0</v>
      </c>
      <c r="O668" s="33">
        <v>0</v>
      </c>
      <c r="P668" s="33">
        <v>0</v>
      </c>
      <c r="Q668" s="33">
        <f t="shared" si="296"/>
        <v>0.99999984151070587</v>
      </c>
      <c r="R668" s="33">
        <v>0</v>
      </c>
      <c r="S668" s="33">
        <f t="shared" si="297"/>
        <v>1.584892941272506E-7</v>
      </c>
      <c r="T668" s="8">
        <f t="shared" si="259"/>
        <v>1</v>
      </c>
      <c r="U668" s="33">
        <f t="shared" si="281"/>
        <v>0</v>
      </c>
      <c r="V668" s="33">
        <f t="shared" si="282"/>
        <v>-0.99999984151070587</v>
      </c>
      <c r="W668" s="33">
        <f t="shared" si="283"/>
        <v>398.94380015848924</v>
      </c>
      <c r="X668" s="33">
        <v>96485</v>
      </c>
      <c r="Y668" s="16">
        <f t="shared" si="284"/>
        <v>-241.8510694233866</v>
      </c>
      <c r="Z668" s="16">
        <v>6</v>
      </c>
      <c r="AA668" s="16">
        <v>13</v>
      </c>
      <c r="AB668" s="8">
        <f t="shared" si="285"/>
        <v>0.291497975708502</v>
      </c>
      <c r="AC668" s="16">
        <f t="shared" si="286"/>
        <v>61.758677094131734</v>
      </c>
      <c r="AD668" s="20">
        <f>'PFAS Properties'!$W$44</f>
        <v>6</v>
      </c>
      <c r="AE668" s="8">
        <f>'PFAS Properties'!$S$44</f>
        <v>3.7905666251460763</v>
      </c>
      <c r="AF668" s="15">
        <f>'PFAS Properties'!$V$44</f>
        <v>3.6</v>
      </c>
      <c r="AG668" s="26">
        <v>6.9</v>
      </c>
      <c r="AH668" s="2" t="s">
        <v>701</v>
      </c>
      <c r="AI668" s="15">
        <f t="shared" si="303"/>
        <v>7.2598499999999992</v>
      </c>
      <c r="AJ668" s="16">
        <v>130</v>
      </c>
      <c r="AK668" s="8">
        <f t="shared" si="304"/>
        <v>0.72598499999999988</v>
      </c>
      <c r="AL668" s="15">
        <f t="shared" si="305"/>
        <v>1.1332439999999999</v>
      </c>
      <c r="AM668" s="16">
        <v>42</v>
      </c>
      <c r="AN668" s="8">
        <f t="shared" si="306"/>
        <v>0.11332439999999999</v>
      </c>
      <c r="AO668" s="15" t="s">
        <v>705</v>
      </c>
      <c r="AP668" s="2">
        <v>13</v>
      </c>
      <c r="AQ668" s="15" t="s">
        <v>702</v>
      </c>
      <c r="AR668" s="4">
        <v>24</v>
      </c>
      <c r="AS668" s="4">
        <v>26</v>
      </c>
      <c r="AT668" s="4">
        <v>50</v>
      </c>
      <c r="AU668" s="2" t="s">
        <v>703</v>
      </c>
      <c r="AV668" s="16">
        <f t="shared" si="302"/>
        <v>100</v>
      </c>
      <c r="AW668" s="7">
        <v>1.7</v>
      </c>
      <c r="AX668" s="8">
        <f t="shared" si="301"/>
        <v>1.7000000000000001E-2</v>
      </c>
      <c r="AY668" s="8" t="s">
        <v>704</v>
      </c>
      <c r="AZ668" s="16">
        <v>10</v>
      </c>
      <c r="BA668" s="16" t="s">
        <v>55</v>
      </c>
      <c r="BB668" s="16" t="s">
        <v>55</v>
      </c>
      <c r="BC668" s="16" t="s">
        <v>55</v>
      </c>
      <c r="BD668" s="24">
        <f t="shared" si="307"/>
        <v>0.34673685045253166</v>
      </c>
      <c r="BE668" s="16">
        <f t="shared" si="287"/>
        <v>20.396285320737157</v>
      </c>
      <c r="BF668" s="16">
        <f t="shared" si="288"/>
        <v>1.3095510786217262</v>
      </c>
      <c r="BG668" s="8">
        <v>-0.46</v>
      </c>
      <c r="BH668" s="15" t="s">
        <v>854</v>
      </c>
      <c r="BI668" s="1"/>
      <c r="BJ668" s="2"/>
      <c r="BK668" s="1"/>
      <c r="BL668" s="1"/>
      <c r="BM668" s="7"/>
      <c r="BN668" s="7"/>
      <c r="BO668" s="1"/>
      <c r="BP668" s="11"/>
      <c r="BQ668" s="11"/>
    </row>
    <row r="669" spans="1:69" x14ac:dyDescent="0.3">
      <c r="A669" s="20">
        <v>684</v>
      </c>
      <c r="B669" s="2" t="s">
        <v>690</v>
      </c>
      <c r="C669" s="2">
        <v>2023</v>
      </c>
      <c r="D669" s="2" t="s">
        <v>199</v>
      </c>
      <c r="E669" s="10" t="s">
        <v>803</v>
      </c>
      <c r="F669" s="20" t="s">
        <v>29</v>
      </c>
      <c r="G669" s="2" t="s">
        <v>694</v>
      </c>
      <c r="H669" s="2" t="str">
        <f>'PFAS Properties'!$B$44</f>
        <v>PFHxS</v>
      </c>
      <c r="I669" s="2" t="str">
        <f>'PFAS Properties'!$C$44</f>
        <v>PFSA</v>
      </c>
      <c r="J669" s="2" t="str">
        <f>'PFAS Properties'!$D$44</f>
        <v>C6F13O3SH</v>
      </c>
      <c r="K669" s="25">
        <f>'PFAS Properties'!$P$44</f>
        <v>399.94379999999995</v>
      </c>
      <c r="L669" s="2">
        <f>'PFAS Properties'!$X$44</f>
        <v>0.1</v>
      </c>
      <c r="M669" s="2" t="str">
        <f>'PFAS Properties'!$Y$44</f>
        <v>-</v>
      </c>
      <c r="N669" s="33">
        <v>0</v>
      </c>
      <c r="O669" s="33">
        <v>0</v>
      </c>
      <c r="P669" s="33">
        <v>0</v>
      </c>
      <c r="Q669" s="33">
        <f t="shared" si="296"/>
        <v>0.99999999205671775</v>
      </c>
      <c r="R669" s="33">
        <v>0</v>
      </c>
      <c r="S669" s="33">
        <f t="shared" si="297"/>
        <v>7.9432822841470747E-9</v>
      </c>
      <c r="T669" s="8">
        <f t="shared" si="259"/>
        <v>1</v>
      </c>
      <c r="U669" s="33">
        <f t="shared" si="281"/>
        <v>0</v>
      </c>
      <c r="V669" s="33">
        <f t="shared" si="282"/>
        <v>-0.99999999205671775</v>
      </c>
      <c r="W669" s="33">
        <f t="shared" si="283"/>
        <v>398.94380000794325</v>
      </c>
      <c r="X669" s="33">
        <v>96485</v>
      </c>
      <c r="Y669" s="16">
        <f t="shared" si="284"/>
        <v>-241.85110592437161</v>
      </c>
      <c r="Z669" s="16">
        <v>6</v>
      </c>
      <c r="AA669" s="16">
        <v>13</v>
      </c>
      <c r="AB669" s="8">
        <f t="shared" si="285"/>
        <v>0.291497975708502</v>
      </c>
      <c r="AC669" s="16">
        <f t="shared" si="286"/>
        <v>61.758677094131734</v>
      </c>
      <c r="AD669" s="20">
        <f>'PFAS Properties'!$W$44</f>
        <v>6</v>
      </c>
      <c r="AE669" s="8">
        <f>'PFAS Properties'!$S$44</f>
        <v>3.7905666251460763</v>
      </c>
      <c r="AF669" s="15">
        <f>'PFAS Properties'!$V$44</f>
        <v>3.6</v>
      </c>
      <c r="AG669" s="26">
        <v>8.1999999999999993</v>
      </c>
      <c r="AH669" s="2" t="s">
        <v>701</v>
      </c>
      <c r="AI669" s="15">
        <f t="shared" si="303"/>
        <v>1.89873</v>
      </c>
      <c r="AJ669" s="16">
        <v>34</v>
      </c>
      <c r="AK669" s="8">
        <f t="shared" si="304"/>
        <v>0.18987300000000001</v>
      </c>
      <c r="AL669" s="15">
        <f t="shared" si="305"/>
        <v>0.75549599999999995</v>
      </c>
      <c r="AM669" s="16">
        <v>28</v>
      </c>
      <c r="AN669" s="8">
        <f t="shared" si="306"/>
        <v>7.5549599999999995E-2</v>
      </c>
      <c r="AO669" s="15" t="s">
        <v>705</v>
      </c>
      <c r="AP669" s="2">
        <v>15</v>
      </c>
      <c r="AQ669" s="15" t="s">
        <v>702</v>
      </c>
      <c r="AR669" s="4">
        <v>27</v>
      </c>
      <c r="AS669" s="4">
        <v>56</v>
      </c>
      <c r="AT669" s="4">
        <v>16</v>
      </c>
      <c r="AU669" s="2" t="s">
        <v>703</v>
      </c>
      <c r="AV669" s="16">
        <f t="shared" si="302"/>
        <v>99</v>
      </c>
      <c r="AW669" s="7">
        <v>1.6</v>
      </c>
      <c r="AX669" s="8">
        <f t="shared" si="301"/>
        <v>1.6E-2</v>
      </c>
      <c r="AY669" s="8" t="s">
        <v>704</v>
      </c>
      <c r="AZ669" s="16">
        <v>10</v>
      </c>
      <c r="BA669" s="16" t="s">
        <v>55</v>
      </c>
      <c r="BB669" s="16" t="s">
        <v>55</v>
      </c>
      <c r="BC669" s="16" t="s">
        <v>55</v>
      </c>
      <c r="BD669" s="24">
        <f t="shared" si="307"/>
        <v>4.5708818961487507</v>
      </c>
      <c r="BE669" s="16">
        <f t="shared" si="287"/>
        <v>285.6801185092969</v>
      </c>
      <c r="BF669" s="16">
        <f t="shared" si="288"/>
        <v>2.4558800173440751</v>
      </c>
      <c r="BG669" s="8">
        <v>0.66</v>
      </c>
      <c r="BH669" s="15" t="s">
        <v>848</v>
      </c>
      <c r="BI669" s="1"/>
      <c r="BJ669" s="2"/>
      <c r="BK669" s="1"/>
      <c r="BL669" s="1"/>
      <c r="BM669" s="7"/>
      <c r="BN669" s="7"/>
      <c r="BO669" s="1"/>
      <c r="BP669" s="11"/>
      <c r="BQ669" s="11"/>
    </row>
    <row r="670" spans="1:69" x14ac:dyDescent="0.3">
      <c r="A670" s="20">
        <v>685</v>
      </c>
      <c r="B670" s="2" t="s">
        <v>690</v>
      </c>
      <c r="C670" s="2">
        <v>2023</v>
      </c>
      <c r="D670" s="2" t="s">
        <v>199</v>
      </c>
      <c r="E670" s="10" t="s">
        <v>803</v>
      </c>
      <c r="F670" s="20" t="s">
        <v>29</v>
      </c>
      <c r="G670" s="2" t="s">
        <v>693</v>
      </c>
      <c r="H670" s="2" t="str">
        <f>'PFAS Properties'!$B$44</f>
        <v>PFHxS</v>
      </c>
      <c r="I670" s="2" t="str">
        <f>'PFAS Properties'!$C$44</f>
        <v>PFSA</v>
      </c>
      <c r="J670" s="2" t="str">
        <f>'PFAS Properties'!$D$44</f>
        <v>C6F13O3SH</v>
      </c>
      <c r="K670" s="25">
        <f>'PFAS Properties'!$P$44</f>
        <v>399.94379999999995</v>
      </c>
      <c r="L670" s="2">
        <f>'PFAS Properties'!$X$44</f>
        <v>0.1</v>
      </c>
      <c r="M670" s="2" t="str">
        <f>'PFAS Properties'!$Y$44</f>
        <v>-</v>
      </c>
      <c r="N670" s="33">
        <v>0</v>
      </c>
      <c r="O670" s="33">
        <v>0</v>
      </c>
      <c r="P670" s="33">
        <v>0</v>
      </c>
      <c r="Q670" s="33">
        <f t="shared" si="296"/>
        <v>0.99999601894414336</v>
      </c>
      <c r="R670" s="33">
        <v>0</v>
      </c>
      <c r="S670" s="33">
        <f t="shared" si="297"/>
        <v>3.981055856666137E-6</v>
      </c>
      <c r="T670" s="8">
        <f t="shared" ref="T670:T733" si="308">SUM(N670:S670)</f>
        <v>1</v>
      </c>
      <c r="U670" s="33">
        <f t="shared" si="281"/>
        <v>0</v>
      </c>
      <c r="V670" s="33">
        <f t="shared" si="282"/>
        <v>-0.99999601894414336</v>
      </c>
      <c r="W670" s="33">
        <f t="shared" si="283"/>
        <v>398.94380398105585</v>
      </c>
      <c r="X670" s="33">
        <v>96485</v>
      </c>
      <c r="Y670" s="16">
        <f t="shared" si="284"/>
        <v>-241.85014261408938</v>
      </c>
      <c r="Z670" s="16">
        <v>6</v>
      </c>
      <c r="AA670" s="16">
        <v>13</v>
      </c>
      <c r="AB670" s="8">
        <f t="shared" si="285"/>
        <v>0.291497975708502</v>
      </c>
      <c r="AC670" s="16">
        <f t="shared" si="286"/>
        <v>61.758677094131734</v>
      </c>
      <c r="AD670" s="20">
        <f>'PFAS Properties'!$W$44</f>
        <v>6</v>
      </c>
      <c r="AE670" s="8">
        <f>'PFAS Properties'!$S$44</f>
        <v>3.7905666251460763</v>
      </c>
      <c r="AF670" s="15">
        <f>'PFAS Properties'!$V$44</f>
        <v>3.6</v>
      </c>
      <c r="AG670" s="26">
        <v>5.5</v>
      </c>
      <c r="AH670" s="2" t="s">
        <v>701</v>
      </c>
      <c r="AI670" s="15">
        <f t="shared" si="303"/>
        <v>6.1429499999999999</v>
      </c>
      <c r="AJ670" s="16">
        <v>110</v>
      </c>
      <c r="AK670" s="8">
        <f t="shared" si="304"/>
        <v>0.61429500000000004</v>
      </c>
      <c r="AL670" s="15">
        <f t="shared" si="305"/>
        <v>0.83644200000000002</v>
      </c>
      <c r="AM670" s="16">
        <v>31</v>
      </c>
      <c r="AN670" s="8">
        <f t="shared" si="306"/>
        <v>8.3644200000000002E-2</v>
      </c>
      <c r="AO670" s="15" t="s">
        <v>705</v>
      </c>
      <c r="AP670" s="2">
        <v>8.6</v>
      </c>
      <c r="AQ670" s="15" t="s">
        <v>702</v>
      </c>
      <c r="AR670" s="4">
        <v>27</v>
      </c>
      <c r="AS670" s="4">
        <v>44</v>
      </c>
      <c r="AT670" s="4">
        <v>29</v>
      </c>
      <c r="AU670" s="2" t="s">
        <v>703</v>
      </c>
      <c r="AV670" s="16">
        <f t="shared" si="302"/>
        <v>100</v>
      </c>
      <c r="AW670" s="7">
        <v>1.3</v>
      </c>
      <c r="AX670" s="8">
        <f t="shared" si="301"/>
        <v>1.3000000000000001E-2</v>
      </c>
      <c r="AY670" s="8" t="s">
        <v>704</v>
      </c>
      <c r="AZ670" s="16">
        <v>10</v>
      </c>
      <c r="BA670" s="16" t="s">
        <v>55</v>
      </c>
      <c r="BB670" s="16" t="s">
        <v>55</v>
      </c>
      <c r="BC670" s="16" t="s">
        <v>55</v>
      </c>
      <c r="BD670" s="24">
        <f t="shared" si="307"/>
        <v>4.7315125896148054</v>
      </c>
      <c r="BE670" s="16">
        <f t="shared" si="287"/>
        <v>363.96250689344652</v>
      </c>
      <c r="BF670" s="16">
        <f t="shared" si="288"/>
        <v>2.5610566476931633</v>
      </c>
      <c r="BG670" s="8">
        <f>(0.76+0.59)/2</f>
        <v>0.67500000000000004</v>
      </c>
      <c r="BH670" s="15" t="s">
        <v>849</v>
      </c>
      <c r="BI670" s="1"/>
      <c r="BJ670" s="2"/>
      <c r="BK670" s="1"/>
      <c r="BL670" s="1"/>
      <c r="BM670" s="7"/>
      <c r="BN670" s="7"/>
      <c r="BO670" s="1"/>
      <c r="BP670" s="11"/>
      <c r="BQ670" s="11"/>
    </row>
    <row r="671" spans="1:69" x14ac:dyDescent="0.3">
      <c r="A671" s="20">
        <v>686</v>
      </c>
      <c r="B671" s="2" t="s">
        <v>690</v>
      </c>
      <c r="C671" s="2">
        <v>2023</v>
      </c>
      <c r="D671" s="2" t="s">
        <v>199</v>
      </c>
      <c r="E671" s="10" t="s">
        <v>803</v>
      </c>
      <c r="F671" s="20" t="s">
        <v>29</v>
      </c>
      <c r="G671" s="2" t="s">
        <v>695</v>
      </c>
      <c r="H671" s="2" t="str">
        <f>'PFAS Properties'!$B$44</f>
        <v>PFHxS</v>
      </c>
      <c r="I671" s="2" t="str">
        <f>'PFAS Properties'!$C$44</f>
        <v>PFSA</v>
      </c>
      <c r="J671" s="2" t="str">
        <f>'PFAS Properties'!$D$44</f>
        <v>C6F13O3SH</v>
      </c>
      <c r="K671" s="25">
        <f>'PFAS Properties'!$P$44</f>
        <v>399.94379999999995</v>
      </c>
      <c r="L671" s="2">
        <f>'PFAS Properties'!$X$44</f>
        <v>0.1</v>
      </c>
      <c r="M671" s="2" t="str">
        <f>'PFAS Properties'!$Y$44</f>
        <v>-</v>
      </c>
      <c r="N671" s="33">
        <v>0</v>
      </c>
      <c r="O671" s="33">
        <v>0</v>
      </c>
      <c r="P671" s="33">
        <v>0</v>
      </c>
      <c r="Q671" s="33">
        <f t="shared" si="296"/>
        <v>0.99999999369042658</v>
      </c>
      <c r="R671" s="33">
        <v>0</v>
      </c>
      <c r="S671" s="33">
        <f t="shared" si="297"/>
        <v>6.309573404991195E-9</v>
      </c>
      <c r="T671" s="8">
        <f t="shared" si="308"/>
        <v>1</v>
      </c>
      <c r="U671" s="33">
        <f t="shared" si="281"/>
        <v>0</v>
      </c>
      <c r="V671" s="33">
        <f t="shared" si="282"/>
        <v>-0.99999999369042658</v>
      </c>
      <c r="W671" s="33">
        <f t="shared" si="283"/>
        <v>398.94380000630957</v>
      </c>
      <c r="X671" s="33">
        <v>96485</v>
      </c>
      <c r="Y671" s="16">
        <f t="shared" si="284"/>
        <v>-241.8511063204763</v>
      </c>
      <c r="Z671" s="16">
        <v>6</v>
      </c>
      <c r="AA671" s="16">
        <v>13</v>
      </c>
      <c r="AB671" s="8">
        <f t="shared" si="285"/>
        <v>0.291497975708502</v>
      </c>
      <c r="AC671" s="16">
        <f t="shared" si="286"/>
        <v>61.758677094131734</v>
      </c>
      <c r="AD671" s="20">
        <f>'PFAS Properties'!$W$44</f>
        <v>6</v>
      </c>
      <c r="AE671" s="8">
        <f>'PFAS Properties'!$S$44</f>
        <v>3.7905666251460763</v>
      </c>
      <c r="AF671" s="15">
        <f>'PFAS Properties'!$V$44</f>
        <v>3.6</v>
      </c>
      <c r="AG671" s="26">
        <v>8.3000000000000007</v>
      </c>
      <c r="AH671" s="2" t="s">
        <v>701</v>
      </c>
      <c r="AI671" s="15">
        <f t="shared" si="303"/>
        <v>2.066265</v>
      </c>
      <c r="AJ671" s="16">
        <v>37</v>
      </c>
      <c r="AK671" s="8">
        <f t="shared" si="304"/>
        <v>0.20662649999999999</v>
      </c>
      <c r="AL671" s="15">
        <f t="shared" si="305"/>
        <v>0.72851399999999999</v>
      </c>
      <c r="AM671" s="16">
        <v>27</v>
      </c>
      <c r="AN671" s="8">
        <f t="shared" si="306"/>
        <v>7.2851399999999997E-2</v>
      </c>
      <c r="AO671" s="15" t="s">
        <v>705</v>
      </c>
      <c r="AP671" s="2">
        <v>14</v>
      </c>
      <c r="AQ671" s="15" t="s">
        <v>702</v>
      </c>
      <c r="AR671" s="4">
        <v>80</v>
      </c>
      <c r="AS671" s="4">
        <v>15</v>
      </c>
      <c r="AT671" s="4">
        <v>4.4000000000000004</v>
      </c>
      <c r="AU671" s="2" t="s">
        <v>703</v>
      </c>
      <c r="AV671" s="16">
        <f t="shared" si="302"/>
        <v>99.4</v>
      </c>
      <c r="AW671" s="7">
        <v>1.2</v>
      </c>
      <c r="AX671" s="8">
        <f t="shared" si="301"/>
        <v>1.2E-2</v>
      </c>
      <c r="AY671" s="8" t="s">
        <v>704</v>
      </c>
      <c r="AZ671" s="16">
        <v>10</v>
      </c>
      <c r="BA671" s="16" t="s">
        <v>55</v>
      </c>
      <c r="BB671" s="16" t="s">
        <v>55</v>
      </c>
      <c r="BC671" s="16" t="s">
        <v>55</v>
      </c>
      <c r="BD671" s="24">
        <f t="shared" si="307"/>
        <v>2.1627185237270203</v>
      </c>
      <c r="BE671" s="16">
        <f t="shared" si="287"/>
        <v>180.22654364391835</v>
      </c>
      <c r="BF671" s="16">
        <f t="shared" si="288"/>
        <v>2.2558187539523753</v>
      </c>
      <c r="BG671" s="8">
        <f>(0.05+0.62)/2</f>
        <v>0.33500000000000002</v>
      </c>
      <c r="BH671" s="15" t="s">
        <v>850</v>
      </c>
      <c r="BI671" s="1"/>
      <c r="BJ671" s="2"/>
      <c r="BK671" s="1"/>
      <c r="BL671" s="1"/>
      <c r="BM671" s="7"/>
      <c r="BN671" s="7"/>
      <c r="BO671" s="1"/>
      <c r="BP671" s="11"/>
      <c r="BQ671" s="11"/>
    </row>
    <row r="672" spans="1:69" x14ac:dyDescent="0.3">
      <c r="A672" s="20">
        <v>687</v>
      </c>
      <c r="B672" s="2" t="s">
        <v>690</v>
      </c>
      <c r="C672" s="2">
        <v>2023</v>
      </c>
      <c r="D672" s="2" t="s">
        <v>199</v>
      </c>
      <c r="E672" s="10" t="s">
        <v>803</v>
      </c>
      <c r="F672" s="20" t="s">
        <v>29</v>
      </c>
      <c r="G672" s="2" t="s">
        <v>696</v>
      </c>
      <c r="H672" s="2" t="str">
        <f>'PFAS Properties'!$B$44</f>
        <v>PFHxS</v>
      </c>
      <c r="I672" s="2" t="str">
        <f>'PFAS Properties'!$C$44</f>
        <v>PFSA</v>
      </c>
      <c r="J672" s="2" t="str">
        <f>'PFAS Properties'!$D$44</f>
        <v>C6F13O3SH</v>
      </c>
      <c r="K672" s="25">
        <f>'PFAS Properties'!$P$44</f>
        <v>399.94379999999995</v>
      </c>
      <c r="L672" s="2">
        <f>'PFAS Properties'!$X$44</f>
        <v>0.1</v>
      </c>
      <c r="M672" s="2" t="str">
        <f>'PFAS Properties'!$Y$44</f>
        <v>-</v>
      </c>
      <c r="N672" s="33">
        <v>0</v>
      </c>
      <c r="O672" s="33">
        <v>0</v>
      </c>
      <c r="P672" s="33">
        <v>0</v>
      </c>
      <c r="Q672" s="33">
        <f t="shared" si="296"/>
        <v>0.99999601894414336</v>
      </c>
      <c r="R672" s="33">
        <v>0</v>
      </c>
      <c r="S672" s="33">
        <f t="shared" si="297"/>
        <v>3.981055856666137E-6</v>
      </c>
      <c r="T672" s="8">
        <f t="shared" si="308"/>
        <v>1</v>
      </c>
      <c r="U672" s="33">
        <f t="shared" si="281"/>
        <v>0</v>
      </c>
      <c r="V672" s="33">
        <f t="shared" si="282"/>
        <v>-0.99999601894414336</v>
      </c>
      <c r="W672" s="33">
        <f t="shared" si="283"/>
        <v>398.94380398105585</v>
      </c>
      <c r="X672" s="33">
        <v>96485</v>
      </c>
      <c r="Y672" s="16">
        <f t="shared" si="284"/>
        <v>-241.85014261408938</v>
      </c>
      <c r="Z672" s="16">
        <v>6</v>
      </c>
      <c r="AA672" s="16">
        <v>13</v>
      </c>
      <c r="AB672" s="8">
        <f t="shared" si="285"/>
        <v>0.291497975708502</v>
      </c>
      <c r="AC672" s="16">
        <f t="shared" si="286"/>
        <v>61.758677094131734</v>
      </c>
      <c r="AD672" s="20">
        <f>'PFAS Properties'!$W$44</f>
        <v>6</v>
      </c>
      <c r="AE672" s="8">
        <f>'PFAS Properties'!$S$44</f>
        <v>3.7905666251460763</v>
      </c>
      <c r="AF672" s="15">
        <f>'PFAS Properties'!$V$44</f>
        <v>3.6</v>
      </c>
      <c r="AG672" s="26">
        <v>5.5</v>
      </c>
      <c r="AH672" s="2" t="s">
        <v>701</v>
      </c>
      <c r="AI672" s="15">
        <f t="shared" si="303"/>
        <v>1.3402799999999999</v>
      </c>
      <c r="AJ672" s="16">
        <v>24</v>
      </c>
      <c r="AK672" s="8">
        <f t="shared" si="304"/>
        <v>0.13402799999999998</v>
      </c>
      <c r="AL672" s="15">
        <f t="shared" si="305"/>
        <v>0.32378400000000002</v>
      </c>
      <c r="AM672" s="16">
        <v>12</v>
      </c>
      <c r="AN672" s="8">
        <f t="shared" si="306"/>
        <v>3.2378400000000002E-2</v>
      </c>
      <c r="AO672" s="15" t="s">
        <v>705</v>
      </c>
      <c r="AP672" s="2">
        <v>2.6</v>
      </c>
      <c r="AQ672" s="15" t="s">
        <v>702</v>
      </c>
      <c r="AR672" s="4">
        <v>86</v>
      </c>
      <c r="AS672" s="4">
        <v>8</v>
      </c>
      <c r="AT672" s="4">
        <v>6</v>
      </c>
      <c r="AU672" s="2" t="s">
        <v>703</v>
      </c>
      <c r="AV672" s="16">
        <f t="shared" si="302"/>
        <v>100</v>
      </c>
      <c r="AW672" s="7">
        <v>1.2</v>
      </c>
      <c r="AX672" s="8">
        <f t="shared" si="301"/>
        <v>1.2E-2</v>
      </c>
      <c r="AY672" s="8" t="s">
        <v>704</v>
      </c>
      <c r="AZ672" s="16">
        <v>10</v>
      </c>
      <c r="BA672" s="16" t="s">
        <v>55</v>
      </c>
      <c r="BB672" s="16" t="s">
        <v>55</v>
      </c>
      <c r="BC672" s="16" t="s">
        <v>55</v>
      </c>
      <c r="BD672" s="24">
        <f t="shared" si="307"/>
        <v>7.9432823472428176</v>
      </c>
      <c r="BE672" s="16">
        <f t="shared" si="287"/>
        <v>661.9401956035681</v>
      </c>
      <c r="BF672" s="16">
        <f t="shared" si="288"/>
        <v>2.8208187539523752</v>
      </c>
      <c r="BG672" s="8">
        <v>0.9</v>
      </c>
      <c r="BH672" s="15" t="s">
        <v>851</v>
      </c>
      <c r="BI672" s="1"/>
      <c r="BJ672" s="2"/>
      <c r="BK672" s="1"/>
      <c r="BL672" s="1"/>
      <c r="BM672" s="7"/>
      <c r="BN672" s="7"/>
      <c r="BO672" s="1"/>
      <c r="BP672" s="11"/>
      <c r="BQ672" s="11"/>
    </row>
    <row r="673" spans="1:69" x14ac:dyDescent="0.3">
      <c r="A673" s="20">
        <v>688</v>
      </c>
      <c r="B673" s="2" t="s">
        <v>690</v>
      </c>
      <c r="C673" s="2">
        <v>2023</v>
      </c>
      <c r="D673" s="2" t="s">
        <v>199</v>
      </c>
      <c r="E673" s="10" t="s">
        <v>803</v>
      </c>
      <c r="F673" s="20" t="s">
        <v>29</v>
      </c>
      <c r="G673" s="2" t="s">
        <v>697</v>
      </c>
      <c r="H673" s="2" t="str">
        <f>'PFAS Properties'!$B$44</f>
        <v>PFHxS</v>
      </c>
      <c r="I673" s="2" t="str">
        <f>'PFAS Properties'!$C$44</f>
        <v>PFSA</v>
      </c>
      <c r="J673" s="2" t="str">
        <f>'PFAS Properties'!$D$44</f>
        <v>C6F13O3SH</v>
      </c>
      <c r="K673" s="25">
        <f>'PFAS Properties'!$P$44</f>
        <v>399.94379999999995</v>
      </c>
      <c r="L673" s="2">
        <f>'PFAS Properties'!$X$44</f>
        <v>0.1</v>
      </c>
      <c r="M673" s="2" t="str">
        <f>'PFAS Properties'!$Y$44</f>
        <v>-</v>
      </c>
      <c r="N673" s="33">
        <v>0</v>
      </c>
      <c r="O673" s="33">
        <v>0</v>
      </c>
      <c r="P673" s="33">
        <v>0</v>
      </c>
      <c r="Q673" s="33">
        <f t="shared" si="296"/>
        <v>0.99996837822336671</v>
      </c>
      <c r="R673" s="33">
        <v>0</v>
      </c>
      <c r="S673" s="33">
        <f t="shared" si="297"/>
        <v>3.1621776633305525E-5</v>
      </c>
      <c r="T673" s="8">
        <f t="shared" si="308"/>
        <v>1</v>
      </c>
      <c r="U673" s="33">
        <f t="shared" si="281"/>
        <v>0</v>
      </c>
      <c r="V673" s="33">
        <f t="shared" si="282"/>
        <v>-0.99996837822336671</v>
      </c>
      <c r="W673" s="33">
        <f t="shared" si="283"/>
        <v>398.94383162177661</v>
      </c>
      <c r="X673" s="33">
        <v>96485</v>
      </c>
      <c r="Y673" s="16">
        <f t="shared" si="284"/>
        <v>-241.8434409191527</v>
      </c>
      <c r="Z673" s="16">
        <v>6</v>
      </c>
      <c r="AA673" s="16">
        <v>13</v>
      </c>
      <c r="AB673" s="8">
        <f t="shared" si="285"/>
        <v>0.291497975708502</v>
      </c>
      <c r="AC673" s="16">
        <f t="shared" si="286"/>
        <v>61.758677094131734</v>
      </c>
      <c r="AD673" s="20">
        <f>'PFAS Properties'!$W$44</f>
        <v>6</v>
      </c>
      <c r="AE673" s="8">
        <f>'PFAS Properties'!$S$44</f>
        <v>3.7905666251460763</v>
      </c>
      <c r="AF673" s="15">
        <f>'PFAS Properties'!$V$44</f>
        <v>3.6</v>
      </c>
      <c r="AG673" s="26">
        <v>4.5999999999999996</v>
      </c>
      <c r="AH673" s="2" t="s">
        <v>701</v>
      </c>
      <c r="AI673" s="15">
        <f t="shared" si="303"/>
        <v>0.1396125</v>
      </c>
      <c r="AJ673" s="16">
        <v>2.5</v>
      </c>
      <c r="AK673" s="8">
        <f t="shared" si="304"/>
        <v>1.396125E-2</v>
      </c>
      <c r="AL673" s="15">
        <f t="shared" si="305"/>
        <v>5.12658E-2</v>
      </c>
      <c r="AM673" s="16">
        <v>1.9</v>
      </c>
      <c r="AN673" s="8">
        <f t="shared" si="306"/>
        <v>5.1265800000000004E-3</v>
      </c>
      <c r="AO673" s="15" t="s">
        <v>705</v>
      </c>
      <c r="AP673" s="2">
        <v>1.8</v>
      </c>
      <c r="AQ673" s="15" t="s">
        <v>702</v>
      </c>
      <c r="AR673" s="4">
        <v>53</v>
      </c>
      <c r="AS673" s="4">
        <v>40</v>
      </c>
      <c r="AT673" s="4">
        <v>7</v>
      </c>
      <c r="AU673" s="2" t="s">
        <v>703</v>
      </c>
      <c r="AV673" s="16">
        <f t="shared" si="302"/>
        <v>100</v>
      </c>
      <c r="AW673" s="7">
        <v>1.1000000000000001</v>
      </c>
      <c r="AX673" s="8">
        <f t="shared" si="301"/>
        <v>1.1000000000000001E-2</v>
      </c>
      <c r="AY673" s="8" t="s">
        <v>704</v>
      </c>
      <c r="AZ673" s="16">
        <v>10</v>
      </c>
      <c r="BA673" s="16" t="s">
        <v>55</v>
      </c>
      <c r="BB673" s="16" t="s">
        <v>55</v>
      </c>
      <c r="BC673" s="16" t="s">
        <v>55</v>
      </c>
      <c r="BD673" s="24">
        <f t="shared" si="307"/>
        <v>2.5118864315095806</v>
      </c>
      <c r="BE673" s="16">
        <f t="shared" si="287"/>
        <v>228.35331195541639</v>
      </c>
      <c r="BF673" s="16">
        <f t="shared" si="288"/>
        <v>2.358607314841775</v>
      </c>
      <c r="BG673" s="8">
        <v>0.4</v>
      </c>
      <c r="BH673" s="15" t="s">
        <v>849</v>
      </c>
      <c r="BI673" s="1"/>
      <c r="BJ673" s="2"/>
      <c r="BK673" s="1"/>
      <c r="BL673" s="1"/>
      <c r="BM673" s="7"/>
      <c r="BN673" s="7"/>
      <c r="BO673" s="1"/>
      <c r="BP673" s="11"/>
      <c r="BQ673" s="11"/>
    </row>
    <row r="674" spans="1:69" x14ac:dyDescent="0.3">
      <c r="A674" s="20">
        <v>689</v>
      </c>
      <c r="B674" s="2" t="s">
        <v>690</v>
      </c>
      <c r="C674" s="2">
        <v>2023</v>
      </c>
      <c r="D674" s="2" t="s">
        <v>199</v>
      </c>
      <c r="E674" s="10" t="s">
        <v>803</v>
      </c>
      <c r="F674" s="20" t="s">
        <v>29</v>
      </c>
      <c r="G674" s="2" t="s">
        <v>698</v>
      </c>
      <c r="H674" s="2" t="str">
        <f>'PFAS Properties'!$B$44</f>
        <v>PFHxS</v>
      </c>
      <c r="I674" s="2" t="str">
        <f>'PFAS Properties'!$C$44</f>
        <v>PFSA</v>
      </c>
      <c r="J674" s="2" t="str">
        <f>'PFAS Properties'!$D$44</f>
        <v>C6F13O3SH</v>
      </c>
      <c r="K674" s="25">
        <f>'PFAS Properties'!$P$44</f>
        <v>399.94379999999995</v>
      </c>
      <c r="L674" s="2">
        <f>'PFAS Properties'!$X$44</f>
        <v>0.1</v>
      </c>
      <c r="M674" s="2" t="str">
        <f>'PFAS Properties'!$Y$44</f>
        <v>-</v>
      </c>
      <c r="N674" s="33">
        <v>0</v>
      </c>
      <c r="O674" s="33">
        <v>0</v>
      </c>
      <c r="P674" s="33">
        <v>0</v>
      </c>
      <c r="Q674" s="33">
        <f t="shared" si="296"/>
        <v>0.99999968377233395</v>
      </c>
      <c r="R674" s="33">
        <v>0</v>
      </c>
      <c r="S674" s="33">
        <f t="shared" si="297"/>
        <v>3.1622766601686895E-7</v>
      </c>
      <c r="T674" s="8">
        <f t="shared" si="308"/>
        <v>1</v>
      </c>
      <c r="U674" s="33">
        <f t="shared" si="281"/>
        <v>0</v>
      </c>
      <c r="V674" s="33">
        <f t="shared" si="282"/>
        <v>-0.99999968377233395</v>
      </c>
      <c r="W674" s="33">
        <f t="shared" si="283"/>
        <v>398.94380031622762</v>
      </c>
      <c r="X674" s="33">
        <v>96485</v>
      </c>
      <c r="Y674" s="16">
        <f t="shared" si="284"/>
        <v>-241.85103117856113</v>
      </c>
      <c r="Z674" s="16">
        <v>6</v>
      </c>
      <c r="AA674" s="16">
        <v>13</v>
      </c>
      <c r="AB674" s="8">
        <f t="shared" si="285"/>
        <v>0.291497975708502</v>
      </c>
      <c r="AC674" s="16">
        <f t="shared" si="286"/>
        <v>61.758677094131734</v>
      </c>
      <c r="AD674" s="20">
        <f>'PFAS Properties'!$W$44</f>
        <v>6</v>
      </c>
      <c r="AE674" s="8">
        <f>'PFAS Properties'!$S$44</f>
        <v>3.7905666251460763</v>
      </c>
      <c r="AF674" s="15">
        <f>'PFAS Properties'!$V$44</f>
        <v>3.6</v>
      </c>
      <c r="AG674" s="26">
        <v>6.6</v>
      </c>
      <c r="AH674" s="2" t="s">
        <v>701</v>
      </c>
      <c r="AI674" s="15">
        <f t="shared" si="303"/>
        <v>11.169</v>
      </c>
      <c r="AJ674" s="16">
        <v>200</v>
      </c>
      <c r="AK674" s="8">
        <f t="shared" si="304"/>
        <v>1.1169</v>
      </c>
      <c r="AL674" s="15">
        <f t="shared" si="305"/>
        <v>1.3760819999999998</v>
      </c>
      <c r="AM674" s="16">
        <v>51</v>
      </c>
      <c r="AN674" s="8">
        <f t="shared" si="306"/>
        <v>0.13760819999999999</v>
      </c>
      <c r="AO674" s="15" t="s">
        <v>705</v>
      </c>
      <c r="AP674" s="2">
        <v>16</v>
      </c>
      <c r="AQ674" s="15" t="s">
        <v>702</v>
      </c>
      <c r="AR674" s="4">
        <v>0.68</v>
      </c>
      <c r="AS674" s="4">
        <v>48</v>
      </c>
      <c r="AT674" s="4">
        <v>52</v>
      </c>
      <c r="AU674" s="2" t="s">
        <v>703</v>
      </c>
      <c r="AV674" s="16">
        <f t="shared" si="302"/>
        <v>100.68</v>
      </c>
      <c r="AW674" s="7">
        <v>0.91</v>
      </c>
      <c r="AX674" s="8">
        <f t="shared" si="301"/>
        <v>9.1000000000000004E-3</v>
      </c>
      <c r="AY674" s="8" t="s">
        <v>704</v>
      </c>
      <c r="AZ674" s="16">
        <v>10</v>
      </c>
      <c r="BA674" s="16" t="s">
        <v>55</v>
      </c>
      <c r="BB674" s="16" t="s">
        <v>55</v>
      </c>
      <c r="BC674" s="16" t="s">
        <v>55</v>
      </c>
      <c r="BD674" s="24">
        <f t="shared" si="307"/>
        <v>0.54954087385762451</v>
      </c>
      <c r="BE674" s="16">
        <f t="shared" si="287"/>
        <v>60.389107017321372</v>
      </c>
      <c r="BF674" s="16">
        <f t="shared" si="288"/>
        <v>1.7809586076789063</v>
      </c>
      <c r="BG674" s="8">
        <v>-0.26</v>
      </c>
      <c r="BH674" s="15" t="s">
        <v>852</v>
      </c>
      <c r="BI674" s="1"/>
      <c r="BJ674" s="2"/>
      <c r="BK674" s="1"/>
      <c r="BL674" s="1"/>
      <c r="BM674" s="7"/>
      <c r="BN674" s="7"/>
      <c r="BO674" s="1"/>
      <c r="BP674" s="11"/>
      <c r="BQ674" s="11"/>
    </row>
    <row r="675" spans="1:69" x14ac:dyDescent="0.3">
      <c r="A675" s="20">
        <v>690</v>
      </c>
      <c r="B675" s="2" t="s">
        <v>690</v>
      </c>
      <c r="C675" s="2">
        <v>2023</v>
      </c>
      <c r="D675" s="2" t="s">
        <v>199</v>
      </c>
      <c r="E675" s="10" t="s">
        <v>803</v>
      </c>
      <c r="F675" s="20" t="s">
        <v>29</v>
      </c>
      <c r="G675" s="2" t="s">
        <v>699</v>
      </c>
      <c r="H675" s="2" t="str">
        <f>'PFAS Properties'!$B$44</f>
        <v>PFHxS</v>
      </c>
      <c r="I675" s="2" t="str">
        <f>'PFAS Properties'!$C$44</f>
        <v>PFSA</v>
      </c>
      <c r="J675" s="2" t="str">
        <f>'PFAS Properties'!$D$44</f>
        <v>C6F13O3SH</v>
      </c>
      <c r="K675" s="25">
        <f>'PFAS Properties'!$P$44</f>
        <v>399.94379999999995</v>
      </c>
      <c r="L675" s="2">
        <f>'PFAS Properties'!$X$44</f>
        <v>0.1</v>
      </c>
      <c r="M675" s="2" t="str">
        <f>'PFAS Properties'!$Y$44</f>
        <v>-</v>
      </c>
      <c r="N675" s="33">
        <v>0</v>
      </c>
      <c r="O675" s="33">
        <v>0</v>
      </c>
      <c r="P675" s="33">
        <v>0</v>
      </c>
      <c r="Q675" s="33">
        <f t="shared" si="296"/>
        <v>0.99999800474166611</v>
      </c>
      <c r="R675" s="33">
        <v>0</v>
      </c>
      <c r="S675" s="33">
        <f t="shared" si="297"/>
        <v>1.9952583339051124E-6</v>
      </c>
      <c r="T675" s="8">
        <f t="shared" si="308"/>
        <v>1</v>
      </c>
      <c r="U675" s="33">
        <f t="shared" si="281"/>
        <v>0</v>
      </c>
      <c r="V675" s="33">
        <f t="shared" si="282"/>
        <v>-0.99999800474166611</v>
      </c>
      <c r="W675" s="33">
        <f t="shared" si="283"/>
        <v>398.9438019952583</v>
      </c>
      <c r="X675" s="33">
        <v>96485</v>
      </c>
      <c r="Y675" s="16">
        <f t="shared" si="284"/>
        <v>-241.85062408526008</v>
      </c>
      <c r="Z675" s="16">
        <v>6</v>
      </c>
      <c r="AA675" s="16">
        <v>13</v>
      </c>
      <c r="AB675" s="8">
        <f t="shared" si="285"/>
        <v>0.291497975708502</v>
      </c>
      <c r="AC675" s="16">
        <f t="shared" si="286"/>
        <v>61.758677094131734</v>
      </c>
      <c r="AD675" s="20">
        <f>'PFAS Properties'!$W$44</f>
        <v>6</v>
      </c>
      <c r="AE675" s="8">
        <f>'PFAS Properties'!$S$44</f>
        <v>3.7905666251460763</v>
      </c>
      <c r="AF675" s="15">
        <f>'PFAS Properties'!$V$44</f>
        <v>3.6</v>
      </c>
      <c r="AG675" s="26">
        <v>5.8</v>
      </c>
      <c r="AH675" s="2" t="s">
        <v>701</v>
      </c>
      <c r="AI675" s="15">
        <f t="shared" si="303"/>
        <v>1.6753499999999999</v>
      </c>
      <c r="AJ675" s="16">
        <v>30</v>
      </c>
      <c r="AK675" s="8">
        <f t="shared" si="304"/>
        <v>0.16753499999999999</v>
      </c>
      <c r="AL675" s="15">
        <f t="shared" si="305"/>
        <v>0.75549599999999995</v>
      </c>
      <c r="AM675" s="16">
        <v>28</v>
      </c>
      <c r="AN675" s="8">
        <f t="shared" si="306"/>
        <v>7.5549599999999995E-2</v>
      </c>
      <c r="AO675" s="15" t="s">
        <v>705</v>
      </c>
      <c r="AP675" s="2">
        <v>0.77</v>
      </c>
      <c r="AQ675" s="15" t="s">
        <v>702</v>
      </c>
      <c r="AR675" s="4">
        <v>89</v>
      </c>
      <c r="AS675" s="4">
        <v>8</v>
      </c>
      <c r="AT675" s="4">
        <v>3</v>
      </c>
      <c r="AU675" s="2" t="s">
        <v>703</v>
      </c>
      <c r="AV675" s="16">
        <f t="shared" si="302"/>
        <v>100</v>
      </c>
      <c r="AW675" s="7">
        <v>0.3</v>
      </c>
      <c r="AX675" s="8">
        <f t="shared" si="301"/>
        <v>3.0000000000000001E-3</v>
      </c>
      <c r="AY675" s="8" t="s">
        <v>704</v>
      </c>
      <c r="AZ675" s="16">
        <v>10</v>
      </c>
      <c r="BA675" s="16" t="s">
        <v>55</v>
      </c>
      <c r="BB675" s="16" t="s">
        <v>55</v>
      </c>
      <c r="BC675" s="16" t="s">
        <v>55</v>
      </c>
      <c r="BD675" s="24">
        <f t="shared" si="307"/>
        <v>4.5708818961487507</v>
      </c>
      <c r="BE675" s="16">
        <f t="shared" si="287"/>
        <v>1523.6272987162502</v>
      </c>
      <c r="BF675" s="16">
        <f t="shared" si="288"/>
        <v>3.1828787452803375</v>
      </c>
      <c r="BG675" s="8">
        <v>0.66</v>
      </c>
      <c r="BH675" s="15" t="s">
        <v>853</v>
      </c>
      <c r="BI675" s="1"/>
      <c r="BJ675" s="2"/>
      <c r="BK675" s="1"/>
      <c r="BL675" s="1"/>
      <c r="BM675" s="7"/>
      <c r="BN675" s="7"/>
      <c r="BO675" s="1"/>
      <c r="BP675" s="11"/>
      <c r="BQ675" s="11"/>
    </row>
    <row r="676" spans="1:69" s="14" customFormat="1" x14ac:dyDescent="0.3">
      <c r="A676" s="20">
        <v>691</v>
      </c>
      <c r="B676" s="2" t="s">
        <v>204</v>
      </c>
      <c r="C676" s="2">
        <v>2013</v>
      </c>
      <c r="D676" s="2" t="s">
        <v>203</v>
      </c>
      <c r="E676" s="10" t="s">
        <v>792</v>
      </c>
      <c r="F676" s="20" t="s">
        <v>29</v>
      </c>
      <c r="G676" s="2" t="s">
        <v>46</v>
      </c>
      <c r="H676" s="2" t="str">
        <f>'PFAS Properties'!$B$44</f>
        <v>PFHxS</v>
      </c>
      <c r="I676" s="2" t="str">
        <f>'PFAS Properties'!$C$44</f>
        <v>PFSA</v>
      </c>
      <c r="J676" s="2" t="str">
        <f>'PFAS Properties'!$D$44</f>
        <v>C6F13O3SH</v>
      </c>
      <c r="K676" s="25">
        <f>'PFAS Properties'!$P$44</f>
        <v>399.94379999999995</v>
      </c>
      <c r="L676" s="2">
        <f>'PFAS Properties'!$X$44</f>
        <v>0.1</v>
      </c>
      <c r="M676" s="2" t="str">
        <f>'PFAS Properties'!$Y$44</f>
        <v>-</v>
      </c>
      <c r="N676" s="33">
        <v>0</v>
      </c>
      <c r="O676" s="33">
        <v>0</v>
      </c>
      <c r="P676" s="33">
        <v>0</v>
      </c>
      <c r="Q676" s="33">
        <f t="shared" si="296"/>
        <v>0.99999900000099995</v>
      </c>
      <c r="R676" s="33">
        <v>0</v>
      </c>
      <c r="S676" s="33">
        <f t="shared" si="297"/>
        <v>9.9999900000100006E-7</v>
      </c>
      <c r="T676" s="8">
        <f t="shared" si="308"/>
        <v>1</v>
      </c>
      <c r="U676" s="33">
        <f t="shared" si="281"/>
        <v>0</v>
      </c>
      <c r="V676" s="33">
        <f t="shared" si="282"/>
        <v>-0.99999900000099995</v>
      </c>
      <c r="W676" s="33">
        <f t="shared" si="283"/>
        <v>398.94380099999893</v>
      </c>
      <c r="X676" s="33">
        <v>96485</v>
      </c>
      <c r="Y676" s="16">
        <f t="shared" si="284"/>
        <v>-241.85086539318539</v>
      </c>
      <c r="Z676" s="16">
        <v>6</v>
      </c>
      <c r="AA676" s="16">
        <v>13</v>
      </c>
      <c r="AB676" s="8">
        <f t="shared" si="285"/>
        <v>0.291497975708502</v>
      </c>
      <c r="AC676" s="16">
        <f t="shared" si="286"/>
        <v>61.758677094131734</v>
      </c>
      <c r="AD676" s="20">
        <f>'PFAS Properties'!$W$44</f>
        <v>6</v>
      </c>
      <c r="AE676" s="8">
        <f>'PFAS Properties'!$S$44</f>
        <v>3.7905666251460763</v>
      </c>
      <c r="AF676" s="15">
        <f>'PFAS Properties'!$V$44</f>
        <v>3.6</v>
      </c>
      <c r="AG676" s="24">
        <v>6.1</v>
      </c>
      <c r="AH676" s="2" t="s">
        <v>661</v>
      </c>
      <c r="AI676" s="15">
        <v>2.21</v>
      </c>
      <c r="AJ676" s="16">
        <f>AI676*1000/55.845</f>
        <v>39.573820395738203</v>
      </c>
      <c r="AK676" s="8">
        <f>AI676/10</f>
        <v>0.221</v>
      </c>
      <c r="AL676" s="15">
        <v>0.93</v>
      </c>
      <c r="AM676" s="16">
        <f>AL676*1000/26.98</f>
        <v>34.469977761304669</v>
      </c>
      <c r="AN676" s="8">
        <f>AL676/10</f>
        <v>9.2999999999999999E-2</v>
      </c>
      <c r="AO676" s="15" t="s">
        <v>41</v>
      </c>
      <c r="AP676" s="72">
        <v>14.27683666666667</v>
      </c>
      <c r="AQ676" s="2" t="s">
        <v>752</v>
      </c>
      <c r="AR676" s="16">
        <v>81</v>
      </c>
      <c r="AS676" s="16">
        <v>1</v>
      </c>
      <c r="AT676" s="16">
        <v>9</v>
      </c>
      <c r="AU676" s="16" t="s">
        <v>661</v>
      </c>
      <c r="AV676" s="16">
        <f t="shared" si="302"/>
        <v>91</v>
      </c>
      <c r="AW676" s="18">
        <v>1.7</v>
      </c>
      <c r="AX676" s="13">
        <f t="shared" si="301"/>
        <v>1.7000000000000001E-2</v>
      </c>
      <c r="AY676" s="13" t="s">
        <v>42</v>
      </c>
      <c r="AZ676" s="16">
        <f>15/0.04</f>
        <v>375</v>
      </c>
      <c r="BA676" s="16" t="s">
        <v>55</v>
      </c>
      <c r="BB676" s="15">
        <v>0.5</v>
      </c>
      <c r="BC676" s="16">
        <v>1000</v>
      </c>
      <c r="BD676" s="18">
        <v>1.04</v>
      </c>
      <c r="BE676" s="15">
        <f t="shared" si="287"/>
        <v>61.17647058823529</v>
      </c>
      <c r="BF676" s="15">
        <f t="shared" si="288"/>
        <v>1.7865844179205064</v>
      </c>
      <c r="BG676" s="8">
        <f t="shared" ref="BG676:BG739" si="309">LOG(BD676)</f>
        <v>1.703333929878037E-2</v>
      </c>
      <c r="BH676" s="13" t="s">
        <v>844</v>
      </c>
      <c r="BI676" s="13"/>
      <c r="BJ676" s="13"/>
      <c r="BK676" s="15"/>
      <c r="BL676" s="8"/>
      <c r="BM676" s="18"/>
      <c r="BN676" s="8"/>
      <c r="BO676" s="24"/>
    </row>
    <row r="677" spans="1:69" s="14" customFormat="1" x14ac:dyDescent="0.3">
      <c r="A677" s="20">
        <v>692</v>
      </c>
      <c r="B677" s="2" t="s">
        <v>204</v>
      </c>
      <c r="C677" s="2">
        <v>2013</v>
      </c>
      <c r="D677" s="2" t="s">
        <v>203</v>
      </c>
      <c r="E677" s="10" t="s">
        <v>792</v>
      </c>
      <c r="F677" s="20" t="s">
        <v>29</v>
      </c>
      <c r="G677" s="2" t="s">
        <v>50</v>
      </c>
      <c r="H677" s="2" t="str">
        <f>'PFAS Properties'!$B$44</f>
        <v>PFHxS</v>
      </c>
      <c r="I677" s="2" t="str">
        <f>'PFAS Properties'!$C$44</f>
        <v>PFSA</v>
      </c>
      <c r="J677" s="2" t="str">
        <f>'PFAS Properties'!$D$44</f>
        <v>C6F13O3SH</v>
      </c>
      <c r="K677" s="25">
        <f>'PFAS Properties'!$P$44</f>
        <v>399.94379999999995</v>
      </c>
      <c r="L677" s="2">
        <f>'PFAS Properties'!$X$44</f>
        <v>0.1</v>
      </c>
      <c r="M677" s="2" t="str">
        <f>'PFAS Properties'!$Y$44</f>
        <v>-</v>
      </c>
      <c r="N677" s="33">
        <v>0</v>
      </c>
      <c r="O677" s="33">
        <v>0</v>
      </c>
      <c r="P677" s="33">
        <v>0</v>
      </c>
      <c r="Q677" s="33">
        <f t="shared" si="296"/>
        <v>0.99999998004737722</v>
      </c>
      <c r="R677" s="33">
        <v>0</v>
      </c>
      <c r="S677" s="33">
        <f t="shared" si="297"/>
        <v>1.995262275158161E-8</v>
      </c>
      <c r="T677" s="8">
        <f t="shared" si="308"/>
        <v>1</v>
      </c>
      <c r="U677" s="33">
        <f t="shared" si="281"/>
        <v>0</v>
      </c>
      <c r="V677" s="33">
        <f t="shared" si="282"/>
        <v>-0.99999998004737722</v>
      </c>
      <c r="W677" s="33">
        <f t="shared" si="283"/>
        <v>398.94380001995256</v>
      </c>
      <c r="X677" s="33">
        <v>96485</v>
      </c>
      <c r="Y677" s="16">
        <f t="shared" si="284"/>
        <v>-241.85110301261892</v>
      </c>
      <c r="Z677" s="16">
        <v>6</v>
      </c>
      <c r="AA677" s="16">
        <v>13</v>
      </c>
      <c r="AB677" s="8">
        <f t="shared" si="285"/>
        <v>0.291497975708502</v>
      </c>
      <c r="AC677" s="16">
        <f t="shared" si="286"/>
        <v>61.758677094131734</v>
      </c>
      <c r="AD677" s="20">
        <f>'PFAS Properties'!$W$44</f>
        <v>6</v>
      </c>
      <c r="AE677" s="8">
        <f>'PFAS Properties'!$S$44</f>
        <v>3.7905666251460763</v>
      </c>
      <c r="AF677" s="15">
        <f>'PFAS Properties'!$V$44</f>
        <v>3.6</v>
      </c>
      <c r="AG677" s="24">
        <v>7.8</v>
      </c>
      <c r="AH677" s="2" t="s">
        <v>661</v>
      </c>
      <c r="AI677" s="15">
        <v>6.14</v>
      </c>
      <c r="AJ677" s="16">
        <f>AI677/10</f>
        <v>0.61399999999999999</v>
      </c>
      <c r="AK677" s="8">
        <f>AI677/10</f>
        <v>0.61399999999999999</v>
      </c>
      <c r="AL677" s="15">
        <v>1.67</v>
      </c>
      <c r="AM677" s="15">
        <f>AL677/10</f>
        <v>0.16699999999999998</v>
      </c>
      <c r="AN677" s="8">
        <f>AL677/10</f>
        <v>0.16699999999999998</v>
      </c>
      <c r="AO677" s="15" t="s">
        <v>41</v>
      </c>
      <c r="AP677" s="72">
        <v>6.4956666666666676</v>
      </c>
      <c r="AQ677" s="2" t="s">
        <v>752</v>
      </c>
      <c r="AR677" s="16">
        <v>33</v>
      </c>
      <c r="AS677" s="16">
        <v>42</v>
      </c>
      <c r="AT677" s="16">
        <v>25</v>
      </c>
      <c r="AU677" s="16" t="s">
        <v>661</v>
      </c>
      <c r="AV677" s="16">
        <f t="shared" si="302"/>
        <v>100</v>
      </c>
      <c r="AW677" s="18">
        <v>4.5</v>
      </c>
      <c r="AX677" s="13">
        <f t="shared" si="301"/>
        <v>4.4999999999999998E-2</v>
      </c>
      <c r="AY677" s="13" t="s">
        <v>42</v>
      </c>
      <c r="AZ677" s="16">
        <f>15/0.04</f>
        <v>375</v>
      </c>
      <c r="BA677" s="16" t="s">
        <v>55</v>
      </c>
      <c r="BB677" s="15">
        <v>0.5</v>
      </c>
      <c r="BC677" s="16">
        <v>1000</v>
      </c>
      <c r="BD677" s="18">
        <v>6.27</v>
      </c>
      <c r="BE677" s="15">
        <f t="shared" si="287"/>
        <v>139.33333333333334</v>
      </c>
      <c r="BF677" s="15">
        <f t="shared" si="288"/>
        <v>2.1440550270553729</v>
      </c>
      <c r="BG677" s="8">
        <f t="shared" si="309"/>
        <v>0.79726754083071638</v>
      </c>
      <c r="BH677" s="13" t="s">
        <v>844</v>
      </c>
      <c r="BI677" s="13"/>
      <c r="BJ677" s="13"/>
      <c r="BK677" s="15"/>
      <c r="BL677" s="8"/>
      <c r="BM677" s="18"/>
      <c r="BN677" s="8"/>
      <c r="BO677" s="24"/>
    </row>
    <row r="678" spans="1:69" s="14" customFormat="1" x14ac:dyDescent="0.3">
      <c r="A678" s="20">
        <v>693</v>
      </c>
      <c r="B678" s="2" t="s">
        <v>204</v>
      </c>
      <c r="C678" s="2">
        <v>2013</v>
      </c>
      <c r="D678" s="2" t="s">
        <v>203</v>
      </c>
      <c r="E678" s="10" t="s">
        <v>792</v>
      </c>
      <c r="F678" s="20" t="s">
        <v>29</v>
      </c>
      <c r="G678" s="2" t="s">
        <v>40</v>
      </c>
      <c r="H678" s="2" t="str">
        <f>'PFAS Properties'!$B$44</f>
        <v>PFHxS</v>
      </c>
      <c r="I678" s="2" t="str">
        <f>'PFAS Properties'!$C$44</f>
        <v>PFSA</v>
      </c>
      <c r="J678" s="2" t="str">
        <f>'PFAS Properties'!$D$44</f>
        <v>C6F13O3SH</v>
      </c>
      <c r="K678" s="25">
        <f>'PFAS Properties'!$P$44</f>
        <v>399.94379999999995</v>
      </c>
      <c r="L678" s="2">
        <f>'PFAS Properties'!$X$44</f>
        <v>0.1</v>
      </c>
      <c r="M678" s="2" t="str">
        <f>'PFAS Properties'!$Y$44</f>
        <v>-</v>
      </c>
      <c r="N678" s="33">
        <v>0</v>
      </c>
      <c r="O678" s="33">
        <v>0</v>
      </c>
      <c r="P678" s="33">
        <v>0</v>
      </c>
      <c r="Q678" s="33">
        <f t="shared" si="296"/>
        <v>0.99999205678074798</v>
      </c>
      <c r="R678" s="33">
        <v>0</v>
      </c>
      <c r="S678" s="33">
        <f t="shared" si="297"/>
        <v>7.9432192520095278E-6</v>
      </c>
      <c r="T678" s="8">
        <f t="shared" si="308"/>
        <v>1</v>
      </c>
      <c r="U678" s="33">
        <f t="shared" si="281"/>
        <v>0</v>
      </c>
      <c r="V678" s="33">
        <f t="shared" si="282"/>
        <v>-0.99999205678074798</v>
      </c>
      <c r="W678" s="33">
        <f t="shared" si="283"/>
        <v>398.94380794321916</v>
      </c>
      <c r="X678" s="33">
        <v>96485</v>
      </c>
      <c r="Y678" s="16">
        <f t="shared" si="284"/>
        <v>-241.84918195853504</v>
      </c>
      <c r="Z678" s="16">
        <v>6</v>
      </c>
      <c r="AA678" s="16">
        <v>13</v>
      </c>
      <c r="AB678" s="8">
        <f t="shared" si="285"/>
        <v>0.291497975708502</v>
      </c>
      <c r="AC678" s="16">
        <f t="shared" si="286"/>
        <v>61.758677094131734</v>
      </c>
      <c r="AD678" s="20">
        <f>'PFAS Properties'!$W$44</f>
        <v>6</v>
      </c>
      <c r="AE678" s="8">
        <f>'PFAS Properties'!$S$44</f>
        <v>3.7905666251460763</v>
      </c>
      <c r="AF678" s="15">
        <f>'PFAS Properties'!$V$44</f>
        <v>3.6</v>
      </c>
      <c r="AG678" s="24">
        <v>5.2</v>
      </c>
      <c r="AH678" s="2" t="s">
        <v>661</v>
      </c>
      <c r="AI678" s="15">
        <v>24.17</v>
      </c>
      <c r="AJ678" s="16">
        <f>AI678*1000/55.845</f>
        <v>432.80508550452146</v>
      </c>
      <c r="AK678" s="8">
        <f>AI678/10</f>
        <v>2.4170000000000003</v>
      </c>
      <c r="AL678" s="15">
        <v>3.99</v>
      </c>
      <c r="AM678" s="16">
        <f>AL678*1000/26.98</f>
        <v>147.88732394366198</v>
      </c>
      <c r="AN678" s="8">
        <f>AL678/10</f>
        <v>0.39900000000000002</v>
      </c>
      <c r="AO678" s="15" t="s">
        <v>41</v>
      </c>
      <c r="AP678" s="72">
        <v>12.009766666666669</v>
      </c>
      <c r="AQ678" s="2" t="s">
        <v>752</v>
      </c>
      <c r="AR678" s="16">
        <v>47</v>
      </c>
      <c r="AS678" s="16">
        <v>20</v>
      </c>
      <c r="AT678" s="16">
        <v>33</v>
      </c>
      <c r="AU678" s="16" t="s">
        <v>661</v>
      </c>
      <c r="AV678" s="16">
        <f t="shared" si="302"/>
        <v>100</v>
      </c>
      <c r="AW678" s="18">
        <v>0.8</v>
      </c>
      <c r="AX678" s="13">
        <f t="shared" si="301"/>
        <v>8.0000000000000002E-3</v>
      </c>
      <c r="AY678" s="13" t="s">
        <v>42</v>
      </c>
      <c r="AZ678" s="16">
        <f>15/0.04</f>
        <v>375</v>
      </c>
      <c r="BA678" s="16" t="s">
        <v>55</v>
      </c>
      <c r="BB678" s="15">
        <v>0.5</v>
      </c>
      <c r="BC678" s="16">
        <v>1000</v>
      </c>
      <c r="BD678" s="18">
        <v>0.8</v>
      </c>
      <c r="BE678" s="15">
        <f t="shared" si="287"/>
        <v>100</v>
      </c>
      <c r="BF678" s="15">
        <f t="shared" si="288"/>
        <v>2</v>
      </c>
      <c r="BG678" s="8">
        <f t="shared" si="309"/>
        <v>-9.6910013008056392E-2</v>
      </c>
      <c r="BH678" s="13" t="s">
        <v>844</v>
      </c>
      <c r="BI678" s="13"/>
      <c r="BJ678" s="13"/>
      <c r="BK678" s="15"/>
      <c r="BL678" s="8"/>
      <c r="BM678" s="18"/>
      <c r="BN678" s="8"/>
      <c r="BO678" s="24"/>
    </row>
    <row r="679" spans="1:69" s="14" customFormat="1" x14ac:dyDescent="0.3">
      <c r="A679" s="20">
        <v>694</v>
      </c>
      <c r="B679" s="2" t="s">
        <v>221</v>
      </c>
      <c r="C679" s="2">
        <v>2016</v>
      </c>
      <c r="D679" s="2" t="s">
        <v>199</v>
      </c>
      <c r="E679" s="22" t="s">
        <v>811</v>
      </c>
      <c r="F679" s="20" t="s">
        <v>63</v>
      </c>
      <c r="G679" s="2" t="s">
        <v>64</v>
      </c>
      <c r="H679" s="2" t="str">
        <f>'PFAS Properties'!$B$44</f>
        <v>PFHxS</v>
      </c>
      <c r="I679" s="2" t="str">
        <f>'PFAS Properties'!$C$44</f>
        <v>PFSA</v>
      </c>
      <c r="J679" s="2" t="str">
        <f>'PFAS Properties'!$D$44</f>
        <v>C6F13O3SH</v>
      </c>
      <c r="K679" s="25">
        <f>'PFAS Properties'!$P$44</f>
        <v>399.94379999999995</v>
      </c>
      <c r="L679" s="2">
        <f>'PFAS Properties'!$X$44</f>
        <v>0.1</v>
      </c>
      <c r="M679" s="2" t="str">
        <f>'PFAS Properties'!$Y$44</f>
        <v>-</v>
      </c>
      <c r="N679" s="33">
        <v>0</v>
      </c>
      <c r="O679" s="33">
        <v>0</v>
      </c>
      <c r="P679" s="33">
        <v>0</v>
      </c>
      <c r="Q679" s="33">
        <f t="shared" si="296"/>
        <v>0.99999996837722438</v>
      </c>
      <c r="R679" s="33">
        <v>0</v>
      </c>
      <c r="S679" s="33">
        <f t="shared" si="297"/>
        <v>3.1622775601683729E-8</v>
      </c>
      <c r="T679" s="8">
        <f t="shared" si="308"/>
        <v>1</v>
      </c>
      <c r="U679" s="33">
        <f t="shared" si="281"/>
        <v>0</v>
      </c>
      <c r="V679" s="33">
        <f t="shared" si="282"/>
        <v>-0.99999996837722438</v>
      </c>
      <c r="W679" s="33">
        <f t="shared" si="283"/>
        <v>398.94380003162274</v>
      </c>
      <c r="X679" s="33">
        <v>96485</v>
      </c>
      <c r="Y679" s="16">
        <f t="shared" si="284"/>
        <v>-241.85110018310473</v>
      </c>
      <c r="Z679" s="16">
        <v>6</v>
      </c>
      <c r="AA679" s="16">
        <v>13</v>
      </c>
      <c r="AB679" s="8">
        <f t="shared" si="285"/>
        <v>0.291497975708502</v>
      </c>
      <c r="AC679" s="16">
        <f t="shared" si="286"/>
        <v>61.758677094131734</v>
      </c>
      <c r="AD679" s="20">
        <f>'PFAS Properties'!$W$44</f>
        <v>6</v>
      </c>
      <c r="AE679" s="8">
        <f>'PFAS Properties'!$S$44</f>
        <v>3.7905666251460763</v>
      </c>
      <c r="AF679" s="15">
        <f>'PFAS Properties'!$V$44</f>
        <v>3.6</v>
      </c>
      <c r="AG679" s="24">
        <v>7.6</v>
      </c>
      <c r="AH679" s="2" t="s">
        <v>661</v>
      </c>
      <c r="AI679" s="2">
        <v>2.8492E-2</v>
      </c>
      <c r="AJ679" s="15">
        <f>AI679*1000/55.845</f>
        <v>0.51019786910197873</v>
      </c>
      <c r="AK679" s="8">
        <f t="shared" si="304"/>
        <v>2.8492000000000001E-3</v>
      </c>
      <c r="AL679" s="12">
        <v>1.2054E-2</v>
      </c>
      <c r="AM679" s="15">
        <f>AL679*1000/26.98</f>
        <v>0.4467753891771683</v>
      </c>
      <c r="AN679" s="8">
        <f t="shared" si="306"/>
        <v>1.2054000000000001E-3</v>
      </c>
      <c r="AO679" s="2" t="s">
        <v>661</v>
      </c>
      <c r="AP679" s="72">
        <v>15.90036666666667</v>
      </c>
      <c r="AQ679" s="70" t="s">
        <v>752</v>
      </c>
      <c r="AR679" s="2">
        <v>4</v>
      </c>
      <c r="AS679" s="2">
        <v>61</v>
      </c>
      <c r="AT679" s="2">
        <v>35</v>
      </c>
      <c r="AU679" s="2" t="s">
        <v>661</v>
      </c>
      <c r="AV679" s="16">
        <f t="shared" si="302"/>
        <v>100</v>
      </c>
      <c r="AW679" s="20">
        <v>2.52</v>
      </c>
      <c r="AX679" s="8">
        <f t="shared" si="301"/>
        <v>2.52E-2</v>
      </c>
      <c r="AY679" s="13" t="s">
        <v>65</v>
      </c>
      <c r="AZ679" s="16">
        <f>5/0.04</f>
        <v>125</v>
      </c>
      <c r="BA679" s="16" t="s">
        <v>55</v>
      </c>
      <c r="BB679" s="15">
        <v>0.5</v>
      </c>
      <c r="BC679" s="16">
        <v>100</v>
      </c>
      <c r="BD679" s="18">
        <f>10^0.22</f>
        <v>1.6595869074375607</v>
      </c>
      <c r="BE679" s="15">
        <f t="shared" si="287"/>
        <v>65.856623311014317</v>
      </c>
      <c r="BF679" s="15">
        <f t="shared" si="288"/>
        <v>1.818599459218456</v>
      </c>
      <c r="BG679" s="8">
        <f t="shared" si="309"/>
        <v>0.22</v>
      </c>
      <c r="BH679" s="13" t="s">
        <v>390</v>
      </c>
      <c r="BI679" s="13"/>
      <c r="BJ679" s="13"/>
      <c r="BK679" s="15"/>
      <c r="BL679" s="8"/>
      <c r="BM679" s="18"/>
      <c r="BN679" s="8"/>
      <c r="BO679" s="24"/>
    </row>
    <row r="680" spans="1:69" s="14" customFormat="1" x14ac:dyDescent="0.3">
      <c r="A680" s="20">
        <v>695</v>
      </c>
      <c r="B680" s="2" t="s">
        <v>211</v>
      </c>
      <c r="C680" s="2">
        <v>2019</v>
      </c>
      <c r="D680" s="2" t="s">
        <v>212</v>
      </c>
      <c r="E680" s="10" t="s">
        <v>213</v>
      </c>
      <c r="F680" s="20" t="s">
        <v>29</v>
      </c>
      <c r="G680" s="2" t="s">
        <v>55</v>
      </c>
      <c r="H680" s="2" t="str">
        <f>'PFAS Properties'!$B$44</f>
        <v>PFHxS</v>
      </c>
      <c r="I680" s="2" t="str">
        <f>'PFAS Properties'!$C$44</f>
        <v>PFSA</v>
      </c>
      <c r="J680" s="2" t="str">
        <f>'PFAS Properties'!$D$44</f>
        <v>C6F13O3SH</v>
      </c>
      <c r="K680" s="25">
        <f>'PFAS Properties'!$P$44</f>
        <v>399.94379999999995</v>
      </c>
      <c r="L680" s="2">
        <f>'PFAS Properties'!$X$44</f>
        <v>0.1</v>
      </c>
      <c r="M680" s="2" t="str">
        <f>'PFAS Properties'!$Y$44</f>
        <v>-</v>
      </c>
      <c r="N680" s="33">
        <v>0</v>
      </c>
      <c r="O680" s="33">
        <v>0</v>
      </c>
      <c r="P680" s="33">
        <v>0</v>
      </c>
      <c r="Q680" s="33">
        <f t="shared" si="296"/>
        <v>0.99999987410747471</v>
      </c>
      <c r="R680" s="33">
        <v>0</v>
      </c>
      <c r="S680" s="33">
        <f t="shared" si="297"/>
        <v>1.2589252533048661E-7</v>
      </c>
      <c r="T680" s="8">
        <f t="shared" si="308"/>
        <v>1</v>
      </c>
      <c r="U680" s="33">
        <f t="shared" si="281"/>
        <v>0</v>
      </c>
      <c r="V680" s="33">
        <f t="shared" si="282"/>
        <v>-0.99999987410747471</v>
      </c>
      <c r="W680" s="33">
        <f t="shared" si="283"/>
        <v>398.94380012589249</v>
      </c>
      <c r="X680" s="33">
        <v>96485</v>
      </c>
      <c r="Y680" s="16">
        <f t="shared" si="284"/>
        <v>-241.85107732671233</v>
      </c>
      <c r="Z680" s="16">
        <v>6</v>
      </c>
      <c r="AA680" s="16">
        <v>13</v>
      </c>
      <c r="AB680" s="8">
        <f t="shared" si="285"/>
        <v>0.291497975708502</v>
      </c>
      <c r="AC680" s="16">
        <f t="shared" si="286"/>
        <v>61.758677094131734</v>
      </c>
      <c r="AD680" s="20">
        <f>'PFAS Properties'!$W$44</f>
        <v>6</v>
      </c>
      <c r="AE680" s="8">
        <f>'PFAS Properties'!$S$44</f>
        <v>3.7905666251460763</v>
      </c>
      <c r="AF680" s="15">
        <f>'PFAS Properties'!$V$44</f>
        <v>3.6</v>
      </c>
      <c r="AG680" s="24">
        <v>7</v>
      </c>
      <c r="AH680" s="2" t="s">
        <v>661</v>
      </c>
      <c r="AI680" s="2" t="s">
        <v>661</v>
      </c>
      <c r="AJ680" s="2" t="s">
        <v>661</v>
      </c>
      <c r="AK680" s="2" t="s">
        <v>661</v>
      </c>
      <c r="AL680" s="2" t="s">
        <v>661</v>
      </c>
      <c r="AM680" s="2" t="s">
        <v>661</v>
      </c>
      <c r="AN680" s="2" t="s">
        <v>661</v>
      </c>
      <c r="AO680" s="2" t="s">
        <v>661</v>
      </c>
      <c r="AP680" s="37">
        <f>(26.31+26.59+27.81)/3</f>
        <v>26.903333333333332</v>
      </c>
      <c r="AQ680" s="16" t="s">
        <v>661</v>
      </c>
      <c r="AR680" s="71">
        <v>31.549399999999999</v>
      </c>
      <c r="AS680" s="71">
        <v>38.265099999999997</v>
      </c>
      <c r="AT680" s="71">
        <v>30.404799999999991</v>
      </c>
      <c r="AU680" s="70" t="s">
        <v>752</v>
      </c>
      <c r="AV680" s="16">
        <f t="shared" si="302"/>
        <v>100.21929999999999</v>
      </c>
      <c r="AW680" s="18">
        <f>(1.55+1.44+1.34)/3</f>
        <v>1.4433333333333334</v>
      </c>
      <c r="AX680" s="8">
        <f t="shared" si="301"/>
        <v>1.4433333333333333E-2</v>
      </c>
      <c r="AY680" s="8" t="s">
        <v>829</v>
      </c>
      <c r="AZ680" s="16">
        <f>5/0.01</f>
        <v>500</v>
      </c>
      <c r="BA680" s="16" t="s">
        <v>55</v>
      </c>
      <c r="BB680" s="16">
        <v>10</v>
      </c>
      <c r="BC680" s="16">
        <v>100</v>
      </c>
      <c r="BD680" s="18">
        <v>0.45</v>
      </c>
      <c r="BE680" s="15">
        <f t="shared" si="287"/>
        <v>31.177829099307161</v>
      </c>
      <c r="BF680" s="15">
        <f t="shared" si="288"/>
        <v>1.4938458721416408</v>
      </c>
      <c r="BG680" s="8">
        <f t="shared" si="309"/>
        <v>-0.34678748622465633</v>
      </c>
      <c r="BH680" s="2" t="s">
        <v>838</v>
      </c>
      <c r="BI680" s="2"/>
      <c r="BJ680" s="2"/>
      <c r="BK680" s="2"/>
      <c r="BL680" s="2"/>
      <c r="BM680" s="20"/>
      <c r="BN680" s="20"/>
      <c r="BO680" s="2"/>
    </row>
    <row r="681" spans="1:69" s="14" customFormat="1" x14ac:dyDescent="0.3">
      <c r="A681" s="20">
        <v>696</v>
      </c>
      <c r="B681" s="2" t="s">
        <v>200</v>
      </c>
      <c r="C681" s="2">
        <v>2021</v>
      </c>
      <c r="D681" s="2" t="s">
        <v>201</v>
      </c>
      <c r="E681" s="10" t="s">
        <v>794</v>
      </c>
      <c r="F681" s="20" t="s">
        <v>29</v>
      </c>
      <c r="G681" s="2" t="s">
        <v>30</v>
      </c>
      <c r="H681" s="2" t="str">
        <f>'PFAS Properties'!$B$44</f>
        <v>PFHxS</v>
      </c>
      <c r="I681" s="2" t="str">
        <f>'PFAS Properties'!$C$44</f>
        <v>PFSA</v>
      </c>
      <c r="J681" s="2" t="str">
        <f>'PFAS Properties'!$D$44</f>
        <v>C6F13O3SH</v>
      </c>
      <c r="K681" s="25">
        <f>'PFAS Properties'!$P$44</f>
        <v>399.94379999999995</v>
      </c>
      <c r="L681" s="2">
        <f>'PFAS Properties'!$X$44</f>
        <v>0.1</v>
      </c>
      <c r="M681" s="2" t="str">
        <f>'PFAS Properties'!$Y$44</f>
        <v>-</v>
      </c>
      <c r="N681" s="33">
        <v>0</v>
      </c>
      <c r="O681" s="33">
        <v>0</v>
      </c>
      <c r="P681" s="33">
        <v>0</v>
      </c>
      <c r="Q681" s="33">
        <f t="shared" si="296"/>
        <v>0.99999601894414336</v>
      </c>
      <c r="R681" s="33">
        <v>0</v>
      </c>
      <c r="S681" s="33">
        <f t="shared" si="297"/>
        <v>3.981055856666137E-6</v>
      </c>
      <c r="T681" s="8">
        <f t="shared" si="308"/>
        <v>1</v>
      </c>
      <c r="U681" s="33">
        <f t="shared" si="281"/>
        <v>0</v>
      </c>
      <c r="V681" s="33">
        <f t="shared" si="282"/>
        <v>-0.99999601894414336</v>
      </c>
      <c r="W681" s="33">
        <f t="shared" si="283"/>
        <v>398.94380398105585</v>
      </c>
      <c r="X681" s="33">
        <v>96485</v>
      </c>
      <c r="Y681" s="16">
        <f t="shared" si="284"/>
        <v>-241.85014261408938</v>
      </c>
      <c r="Z681" s="16">
        <v>6</v>
      </c>
      <c r="AA681" s="16">
        <v>13</v>
      </c>
      <c r="AB681" s="8">
        <f t="shared" si="285"/>
        <v>0.291497975708502</v>
      </c>
      <c r="AC681" s="16">
        <f t="shared" si="286"/>
        <v>61.758677094131734</v>
      </c>
      <c r="AD681" s="20">
        <f>'PFAS Properties'!$W$44</f>
        <v>6</v>
      </c>
      <c r="AE681" s="8">
        <f>'PFAS Properties'!$S$44</f>
        <v>3.7905666251460763</v>
      </c>
      <c r="AF681" s="15">
        <f>'PFAS Properties'!$V$44</f>
        <v>3.6</v>
      </c>
      <c r="AG681" s="24">
        <v>5.5</v>
      </c>
      <c r="AH681" s="2" t="s">
        <v>834</v>
      </c>
      <c r="AI681" s="15">
        <v>1.0129999999999999</v>
      </c>
      <c r="AJ681" s="16">
        <f t="shared" ref="AJ681:AJ706" si="310">AI681*1000/55.845</f>
        <v>18.13949324021846</v>
      </c>
      <c r="AK681" s="8">
        <f t="shared" ref="AK681:AK706" si="311">AI681/10</f>
        <v>0.10129999999999999</v>
      </c>
      <c r="AL681" s="15">
        <v>0.40400000000000003</v>
      </c>
      <c r="AM681" s="16">
        <f t="shared" ref="AM681:AM706" si="312">AL681*1000/26.98</f>
        <v>14.974054855448481</v>
      </c>
      <c r="AN681" s="8">
        <f t="shared" ref="AN681:AN706" si="313">AL681/10</f>
        <v>4.0400000000000005E-2</v>
      </c>
      <c r="AO681" s="15" t="s">
        <v>31</v>
      </c>
      <c r="AP681" s="16">
        <v>23.4</v>
      </c>
      <c r="AQ681" s="16" t="s">
        <v>689</v>
      </c>
      <c r="AR681" s="16">
        <v>54.4</v>
      </c>
      <c r="AS681" s="16">
        <v>35</v>
      </c>
      <c r="AT681" s="16">
        <v>10.6</v>
      </c>
      <c r="AU681" s="16" t="s">
        <v>664</v>
      </c>
      <c r="AV681" s="16">
        <f t="shared" si="302"/>
        <v>100</v>
      </c>
      <c r="AW681" s="20">
        <v>1.6</v>
      </c>
      <c r="AX681" s="8">
        <f t="shared" si="301"/>
        <v>1.6E-2</v>
      </c>
      <c r="AY681" s="8" t="s">
        <v>32</v>
      </c>
      <c r="AZ681" s="16">
        <f t="shared" ref="AZ681:AZ687" si="314">3/0.03</f>
        <v>100</v>
      </c>
      <c r="BA681" s="16" t="s">
        <v>55</v>
      </c>
      <c r="BB681" s="16">
        <v>50</v>
      </c>
      <c r="BC681" s="16" t="s">
        <v>55</v>
      </c>
      <c r="BD681" s="20">
        <v>2.4</v>
      </c>
      <c r="BE681" s="15">
        <f t="shared" si="287"/>
        <v>150</v>
      </c>
      <c r="BF681" s="15">
        <f t="shared" si="288"/>
        <v>2.1760912590556813</v>
      </c>
      <c r="BG681" s="8">
        <f t="shared" si="309"/>
        <v>0.38021124171160603</v>
      </c>
      <c r="BH681" s="2" t="s">
        <v>841</v>
      </c>
      <c r="BI681" s="2"/>
      <c r="BJ681" s="2"/>
      <c r="BK681" s="2"/>
      <c r="BL681" s="2"/>
      <c r="BM681" s="20"/>
      <c r="BN681" s="20"/>
      <c r="BO681" s="2"/>
    </row>
    <row r="682" spans="1:69" s="14" customFormat="1" x14ac:dyDescent="0.3">
      <c r="A682" s="20">
        <v>697</v>
      </c>
      <c r="B682" s="2" t="s">
        <v>200</v>
      </c>
      <c r="C682" s="2">
        <v>2021</v>
      </c>
      <c r="D682" s="2" t="s">
        <v>201</v>
      </c>
      <c r="E682" s="10" t="s">
        <v>794</v>
      </c>
      <c r="F682" s="20" t="s">
        <v>29</v>
      </c>
      <c r="G682" s="2" t="s">
        <v>33</v>
      </c>
      <c r="H682" s="2" t="str">
        <f>'PFAS Properties'!$B$44</f>
        <v>PFHxS</v>
      </c>
      <c r="I682" s="2" t="str">
        <f>'PFAS Properties'!$C$44</f>
        <v>PFSA</v>
      </c>
      <c r="J682" s="2" t="str">
        <f>'PFAS Properties'!$D$44</f>
        <v>C6F13O3SH</v>
      </c>
      <c r="K682" s="25">
        <f>'PFAS Properties'!$P$44</f>
        <v>399.94379999999995</v>
      </c>
      <c r="L682" s="2">
        <f>'PFAS Properties'!$X$44</f>
        <v>0.1</v>
      </c>
      <c r="M682" s="2" t="str">
        <f>'PFAS Properties'!$Y$44</f>
        <v>-</v>
      </c>
      <c r="N682" s="33">
        <v>0</v>
      </c>
      <c r="O682" s="33">
        <v>0</v>
      </c>
      <c r="P682" s="33">
        <v>0</v>
      </c>
      <c r="Q682" s="33">
        <f t="shared" si="296"/>
        <v>0.99999998741074603</v>
      </c>
      <c r="R682" s="33">
        <v>0</v>
      </c>
      <c r="S682" s="33">
        <f t="shared" si="297"/>
        <v>1.258925395945232E-8</v>
      </c>
      <c r="T682" s="8">
        <f t="shared" si="308"/>
        <v>1</v>
      </c>
      <c r="U682" s="33">
        <f t="shared" si="281"/>
        <v>0</v>
      </c>
      <c r="V682" s="33">
        <f t="shared" si="282"/>
        <v>-0.99999998741074603</v>
      </c>
      <c r="W682" s="33">
        <f t="shared" si="283"/>
        <v>398.94380001258918</v>
      </c>
      <c r="X682" s="33">
        <v>96485</v>
      </c>
      <c r="Y682" s="16">
        <f t="shared" si="284"/>
        <v>-241.85110479792169</v>
      </c>
      <c r="Z682" s="16">
        <v>6</v>
      </c>
      <c r="AA682" s="16">
        <v>13</v>
      </c>
      <c r="AB682" s="8">
        <f t="shared" si="285"/>
        <v>0.291497975708502</v>
      </c>
      <c r="AC682" s="16">
        <f t="shared" si="286"/>
        <v>61.758677094131734</v>
      </c>
      <c r="AD682" s="20">
        <f>'PFAS Properties'!$W$44</f>
        <v>6</v>
      </c>
      <c r="AE682" s="8">
        <f>'PFAS Properties'!$S$44</f>
        <v>3.7905666251460763</v>
      </c>
      <c r="AF682" s="15">
        <f>'PFAS Properties'!$V$44</f>
        <v>3.6</v>
      </c>
      <c r="AG682" s="24">
        <v>8</v>
      </c>
      <c r="AH682" s="2" t="s">
        <v>834</v>
      </c>
      <c r="AI682" s="15">
        <v>2.9660000000000002</v>
      </c>
      <c r="AJ682" s="16">
        <f t="shared" si="310"/>
        <v>53.111290178171728</v>
      </c>
      <c r="AK682" s="8">
        <f t="shared" si="311"/>
        <v>0.29660000000000003</v>
      </c>
      <c r="AL682" s="15">
        <v>0.23</v>
      </c>
      <c r="AM682" s="16">
        <f t="shared" si="312"/>
        <v>8.5248332097850259</v>
      </c>
      <c r="AN682" s="8">
        <f t="shared" si="313"/>
        <v>2.3E-2</v>
      </c>
      <c r="AO682" s="15" t="s">
        <v>31</v>
      </c>
      <c r="AP682" s="16">
        <v>87.3</v>
      </c>
      <c r="AQ682" s="16" t="s">
        <v>689</v>
      </c>
      <c r="AR682" s="16">
        <v>12.2</v>
      </c>
      <c r="AS682" s="16">
        <v>54.3</v>
      </c>
      <c r="AT682" s="16">
        <v>33.5</v>
      </c>
      <c r="AU682" s="16" t="s">
        <v>664</v>
      </c>
      <c r="AV682" s="16">
        <f t="shared" si="302"/>
        <v>100</v>
      </c>
      <c r="AW682" s="20">
        <v>7.7</v>
      </c>
      <c r="AX682" s="8">
        <f t="shared" si="301"/>
        <v>7.6999999999999999E-2</v>
      </c>
      <c r="AY682" s="8" t="s">
        <v>32</v>
      </c>
      <c r="AZ682" s="16">
        <f t="shared" si="314"/>
        <v>100</v>
      </c>
      <c r="BA682" s="16" t="s">
        <v>55</v>
      </c>
      <c r="BB682" s="16">
        <v>50</v>
      </c>
      <c r="BC682" s="16" t="s">
        <v>55</v>
      </c>
      <c r="BD682" s="20">
        <v>4.0999999999999996</v>
      </c>
      <c r="BE682" s="15">
        <f t="shared" si="287"/>
        <v>53.246753246753244</v>
      </c>
      <c r="BF682" s="15">
        <f t="shared" si="288"/>
        <v>1.7262931315472536</v>
      </c>
      <c r="BG682" s="8">
        <f t="shared" si="309"/>
        <v>0.61278385671973545</v>
      </c>
      <c r="BH682" s="2" t="s">
        <v>841</v>
      </c>
      <c r="BI682" s="2"/>
      <c r="BJ682" s="2"/>
      <c r="BK682" s="2"/>
      <c r="BL682" s="2"/>
      <c r="BM682" s="20"/>
      <c r="BN682" s="20"/>
      <c r="BO682" s="2"/>
    </row>
    <row r="683" spans="1:69" s="14" customFormat="1" x14ac:dyDescent="0.3">
      <c r="A683" s="20">
        <v>698</v>
      </c>
      <c r="B683" s="2" t="s">
        <v>200</v>
      </c>
      <c r="C683" s="2">
        <v>2021</v>
      </c>
      <c r="D683" s="2" t="s">
        <v>201</v>
      </c>
      <c r="E683" s="10" t="s">
        <v>794</v>
      </c>
      <c r="F683" s="20" t="s">
        <v>29</v>
      </c>
      <c r="G683" s="2" t="s">
        <v>34</v>
      </c>
      <c r="H683" s="2" t="str">
        <f>'PFAS Properties'!$B$44</f>
        <v>PFHxS</v>
      </c>
      <c r="I683" s="2" t="str">
        <f>'PFAS Properties'!$C$44</f>
        <v>PFSA</v>
      </c>
      <c r="J683" s="2" t="str">
        <f>'PFAS Properties'!$D$44</f>
        <v>C6F13O3SH</v>
      </c>
      <c r="K683" s="25">
        <f>'PFAS Properties'!$P$44</f>
        <v>399.94379999999995</v>
      </c>
      <c r="L683" s="2">
        <f>'PFAS Properties'!$X$44</f>
        <v>0.1</v>
      </c>
      <c r="M683" s="2" t="str">
        <f>'PFAS Properties'!$Y$44</f>
        <v>-</v>
      </c>
      <c r="N683" s="33">
        <v>0</v>
      </c>
      <c r="O683" s="33">
        <v>0</v>
      </c>
      <c r="P683" s="33">
        <v>0</v>
      </c>
      <c r="Q683" s="33">
        <f t="shared" si="296"/>
        <v>0.99999205678074798</v>
      </c>
      <c r="R683" s="33">
        <v>0</v>
      </c>
      <c r="S683" s="33">
        <f t="shared" si="297"/>
        <v>7.9432192520095278E-6</v>
      </c>
      <c r="T683" s="8">
        <f t="shared" si="308"/>
        <v>1</v>
      </c>
      <c r="U683" s="33">
        <f t="shared" si="281"/>
        <v>0</v>
      </c>
      <c r="V683" s="33">
        <f t="shared" si="282"/>
        <v>-0.99999205678074798</v>
      </c>
      <c r="W683" s="33">
        <f t="shared" si="283"/>
        <v>398.94380794321916</v>
      </c>
      <c r="X683" s="33">
        <v>96485</v>
      </c>
      <c r="Y683" s="16">
        <f t="shared" si="284"/>
        <v>-241.84918195853504</v>
      </c>
      <c r="Z683" s="16">
        <v>6</v>
      </c>
      <c r="AA683" s="16">
        <v>13</v>
      </c>
      <c r="AB683" s="8">
        <f t="shared" si="285"/>
        <v>0.291497975708502</v>
      </c>
      <c r="AC683" s="16">
        <f t="shared" si="286"/>
        <v>61.758677094131734</v>
      </c>
      <c r="AD683" s="20">
        <f>'PFAS Properties'!$W$44</f>
        <v>6</v>
      </c>
      <c r="AE683" s="8">
        <f>'PFAS Properties'!$S$44</f>
        <v>3.7905666251460763</v>
      </c>
      <c r="AF683" s="15">
        <f>'PFAS Properties'!$V$44</f>
        <v>3.6</v>
      </c>
      <c r="AG683" s="24">
        <v>5.2</v>
      </c>
      <c r="AH683" s="2" t="s">
        <v>834</v>
      </c>
      <c r="AI683" s="15">
        <v>4.5149999999999997</v>
      </c>
      <c r="AJ683" s="16">
        <f t="shared" si="310"/>
        <v>80.848777867311313</v>
      </c>
      <c r="AK683" s="8">
        <f t="shared" si="311"/>
        <v>0.45149999999999996</v>
      </c>
      <c r="AL683" s="15">
        <v>0.377</v>
      </c>
      <c r="AM683" s="16">
        <f t="shared" si="312"/>
        <v>13.973313565604151</v>
      </c>
      <c r="AN683" s="8">
        <f t="shared" si="313"/>
        <v>3.7699999999999997E-2</v>
      </c>
      <c r="AO683" s="15" t="s">
        <v>31</v>
      </c>
      <c r="AP683" s="16">
        <v>44.3</v>
      </c>
      <c r="AQ683" s="16" t="s">
        <v>689</v>
      </c>
      <c r="AR683" s="16">
        <v>41.3</v>
      </c>
      <c r="AS683" s="16">
        <v>39.799999999999997</v>
      </c>
      <c r="AT683" s="16">
        <v>18.899999999999999</v>
      </c>
      <c r="AU683" s="16" t="s">
        <v>664</v>
      </c>
      <c r="AV683" s="16">
        <f t="shared" si="302"/>
        <v>100</v>
      </c>
      <c r="AW683" s="20">
        <v>9.4</v>
      </c>
      <c r="AX683" s="8">
        <f t="shared" si="301"/>
        <v>9.4E-2</v>
      </c>
      <c r="AY683" s="8" t="s">
        <v>32</v>
      </c>
      <c r="AZ683" s="16">
        <f t="shared" si="314"/>
        <v>100</v>
      </c>
      <c r="BA683" s="16" t="s">
        <v>55</v>
      </c>
      <c r="BB683" s="16">
        <v>50</v>
      </c>
      <c r="BC683" s="16" t="s">
        <v>55</v>
      </c>
      <c r="BD683" s="20">
        <v>5.4</v>
      </c>
      <c r="BE683" s="15">
        <f t="shared" si="287"/>
        <v>57.446808510638299</v>
      </c>
      <c r="BF683" s="15">
        <f t="shared" si="288"/>
        <v>1.7592659062232698</v>
      </c>
      <c r="BG683" s="8">
        <f t="shared" si="309"/>
        <v>0.7323937598229685</v>
      </c>
      <c r="BH683" s="2" t="s">
        <v>841</v>
      </c>
      <c r="BI683" s="2"/>
      <c r="BJ683" s="2"/>
      <c r="BK683" s="2"/>
      <c r="BL683" s="2"/>
      <c r="BM683" s="20"/>
      <c r="BN683" s="20"/>
      <c r="BO683" s="2"/>
    </row>
    <row r="684" spans="1:69" s="14" customFormat="1" x14ac:dyDescent="0.3">
      <c r="A684" s="20">
        <v>699</v>
      </c>
      <c r="B684" s="2" t="s">
        <v>200</v>
      </c>
      <c r="C684" s="2">
        <v>2021</v>
      </c>
      <c r="D684" s="2" t="s">
        <v>201</v>
      </c>
      <c r="E684" s="10" t="s">
        <v>794</v>
      </c>
      <c r="F684" s="20" t="s">
        <v>29</v>
      </c>
      <c r="G684" s="2" t="s">
        <v>35</v>
      </c>
      <c r="H684" s="2" t="str">
        <f>'PFAS Properties'!$B$44</f>
        <v>PFHxS</v>
      </c>
      <c r="I684" s="2" t="str">
        <f>'PFAS Properties'!$C$44</f>
        <v>PFSA</v>
      </c>
      <c r="J684" s="2" t="str">
        <f>'PFAS Properties'!$D$44</f>
        <v>C6F13O3SH</v>
      </c>
      <c r="K684" s="25">
        <f>'PFAS Properties'!$P$44</f>
        <v>399.94379999999995</v>
      </c>
      <c r="L684" s="2">
        <f>'PFAS Properties'!$X$44</f>
        <v>0.1</v>
      </c>
      <c r="M684" s="2" t="str">
        <f>'PFAS Properties'!$Y$44</f>
        <v>-</v>
      </c>
      <c r="N684" s="33">
        <v>0</v>
      </c>
      <c r="O684" s="33">
        <v>0</v>
      </c>
      <c r="P684" s="33">
        <v>0</v>
      </c>
      <c r="Q684" s="33">
        <f t="shared" si="296"/>
        <v>0.99999800474166611</v>
      </c>
      <c r="R684" s="33">
        <v>0</v>
      </c>
      <c r="S684" s="33">
        <f t="shared" si="297"/>
        <v>1.9952583339051124E-6</v>
      </c>
      <c r="T684" s="8">
        <f t="shared" si="308"/>
        <v>1</v>
      </c>
      <c r="U684" s="33">
        <f t="shared" si="281"/>
        <v>0</v>
      </c>
      <c r="V684" s="33">
        <f t="shared" si="282"/>
        <v>-0.99999800474166611</v>
      </c>
      <c r="W684" s="33">
        <f t="shared" si="283"/>
        <v>398.9438019952583</v>
      </c>
      <c r="X684" s="33">
        <v>96485</v>
      </c>
      <c r="Y684" s="16">
        <f t="shared" si="284"/>
        <v>-241.85062408526008</v>
      </c>
      <c r="Z684" s="16">
        <v>6</v>
      </c>
      <c r="AA684" s="16">
        <v>13</v>
      </c>
      <c r="AB684" s="8">
        <f t="shared" si="285"/>
        <v>0.291497975708502</v>
      </c>
      <c r="AC684" s="16">
        <f t="shared" si="286"/>
        <v>61.758677094131734</v>
      </c>
      <c r="AD684" s="20">
        <f>'PFAS Properties'!$W$44</f>
        <v>6</v>
      </c>
      <c r="AE684" s="8">
        <f>'PFAS Properties'!$S$44</f>
        <v>3.7905666251460763</v>
      </c>
      <c r="AF684" s="15">
        <f>'PFAS Properties'!$V$44</f>
        <v>3.6</v>
      </c>
      <c r="AG684" s="24">
        <v>5.8</v>
      </c>
      <c r="AH684" s="2" t="s">
        <v>834</v>
      </c>
      <c r="AI684" s="15">
        <v>6.5019999999999998</v>
      </c>
      <c r="AJ684" s="16">
        <f t="shared" si="310"/>
        <v>116.42940281135286</v>
      </c>
      <c r="AK684" s="8">
        <f t="shared" si="311"/>
        <v>0.6502</v>
      </c>
      <c r="AL684" s="15">
        <v>1.732</v>
      </c>
      <c r="AM684" s="16">
        <f t="shared" si="312"/>
        <v>64.195700518902896</v>
      </c>
      <c r="AN684" s="8">
        <f t="shared" si="313"/>
        <v>0.17319999999999999</v>
      </c>
      <c r="AO684" s="15" t="s">
        <v>31</v>
      </c>
      <c r="AP684" s="16">
        <v>90</v>
      </c>
      <c r="AQ684" s="16" t="s">
        <v>689</v>
      </c>
      <c r="AR684" s="16">
        <v>46</v>
      </c>
      <c r="AS684" s="16">
        <v>51</v>
      </c>
      <c r="AT684" s="16">
        <v>3</v>
      </c>
      <c r="AU684" s="16" t="s">
        <v>664</v>
      </c>
      <c r="AV684" s="16">
        <f t="shared" si="302"/>
        <v>100</v>
      </c>
      <c r="AW684" s="20">
        <v>27</v>
      </c>
      <c r="AX684" s="8">
        <f t="shared" si="301"/>
        <v>0.27</v>
      </c>
      <c r="AY684" s="8" t="s">
        <v>32</v>
      </c>
      <c r="AZ684" s="16">
        <f t="shared" si="314"/>
        <v>100</v>
      </c>
      <c r="BA684" s="16" t="s">
        <v>55</v>
      </c>
      <c r="BB684" s="16">
        <v>140</v>
      </c>
      <c r="BC684" s="16" t="s">
        <v>55</v>
      </c>
      <c r="BD684" s="20">
        <v>18</v>
      </c>
      <c r="BE684" s="15">
        <f t="shared" si="287"/>
        <v>66.666666666666657</v>
      </c>
      <c r="BF684" s="15">
        <f t="shared" si="288"/>
        <v>1.8239087409443187</v>
      </c>
      <c r="BG684" s="8">
        <f t="shared" si="309"/>
        <v>1.255272505103306</v>
      </c>
      <c r="BH684" s="2" t="s">
        <v>841</v>
      </c>
      <c r="BI684" s="2"/>
      <c r="BJ684" s="2"/>
      <c r="BK684" s="2"/>
      <c r="BL684" s="2"/>
      <c r="BM684" s="20"/>
      <c r="BN684" s="20"/>
      <c r="BO684" s="2"/>
    </row>
    <row r="685" spans="1:69" s="14" customFormat="1" x14ac:dyDescent="0.3">
      <c r="A685" s="20">
        <v>700</v>
      </c>
      <c r="B685" s="2" t="s">
        <v>200</v>
      </c>
      <c r="C685" s="2">
        <v>2021</v>
      </c>
      <c r="D685" s="2" t="s">
        <v>201</v>
      </c>
      <c r="E685" s="10" t="s">
        <v>794</v>
      </c>
      <c r="F685" s="20" t="s">
        <v>29</v>
      </c>
      <c r="G685" s="2" t="s">
        <v>36</v>
      </c>
      <c r="H685" s="2" t="str">
        <f>'PFAS Properties'!$B$44</f>
        <v>PFHxS</v>
      </c>
      <c r="I685" s="2" t="str">
        <f>'PFAS Properties'!$C$44</f>
        <v>PFSA</v>
      </c>
      <c r="J685" s="2" t="str">
        <f>'PFAS Properties'!$D$44</f>
        <v>C6F13O3SH</v>
      </c>
      <c r="K685" s="25">
        <f>'PFAS Properties'!$P$44</f>
        <v>399.94379999999995</v>
      </c>
      <c r="L685" s="2">
        <f>'PFAS Properties'!$X$44</f>
        <v>0.1</v>
      </c>
      <c r="M685" s="2" t="str">
        <f>'PFAS Properties'!$Y$44</f>
        <v>-</v>
      </c>
      <c r="N685" s="33">
        <v>0</v>
      </c>
      <c r="O685" s="33">
        <v>0</v>
      </c>
      <c r="P685" s="33">
        <v>0</v>
      </c>
      <c r="Q685" s="33">
        <f t="shared" si="296"/>
        <v>0.9999974881198781</v>
      </c>
      <c r="R685" s="33">
        <v>0</v>
      </c>
      <c r="S685" s="33">
        <f t="shared" si="297"/>
        <v>2.5118801219519806E-6</v>
      </c>
      <c r="T685" s="8">
        <f t="shared" si="308"/>
        <v>1</v>
      </c>
      <c r="U685" s="33">
        <f t="shared" si="281"/>
        <v>0</v>
      </c>
      <c r="V685" s="33">
        <f t="shared" si="282"/>
        <v>-0.9999974881198781</v>
      </c>
      <c r="W685" s="33">
        <f t="shared" si="283"/>
        <v>398.94380251188011</v>
      </c>
      <c r="X685" s="33">
        <v>96485</v>
      </c>
      <c r="Y685" s="16">
        <f t="shared" si="284"/>
        <v>-241.85049882651887</v>
      </c>
      <c r="Z685" s="16">
        <v>6</v>
      </c>
      <c r="AA685" s="16">
        <v>13</v>
      </c>
      <c r="AB685" s="8">
        <f t="shared" si="285"/>
        <v>0.291497975708502</v>
      </c>
      <c r="AC685" s="16">
        <f t="shared" si="286"/>
        <v>61.758677094131734</v>
      </c>
      <c r="AD685" s="20">
        <f>'PFAS Properties'!$W$44</f>
        <v>6</v>
      </c>
      <c r="AE685" s="8">
        <f>'PFAS Properties'!$S$44</f>
        <v>3.7905666251460763</v>
      </c>
      <c r="AF685" s="15">
        <f>'PFAS Properties'!$V$44</f>
        <v>3.6</v>
      </c>
      <c r="AG685" s="24">
        <v>5.7</v>
      </c>
      <c r="AH685" s="2" t="s">
        <v>834</v>
      </c>
      <c r="AI685" s="15">
        <v>12.358000000000001</v>
      </c>
      <c r="AJ685" s="16">
        <f t="shared" si="310"/>
        <v>221.29107350702839</v>
      </c>
      <c r="AK685" s="8">
        <f t="shared" si="311"/>
        <v>1.2358</v>
      </c>
      <c r="AL685" s="15">
        <v>1.0269999999999999</v>
      </c>
      <c r="AM685" s="16">
        <f t="shared" si="312"/>
        <v>38.065233506300963</v>
      </c>
      <c r="AN685" s="8">
        <f t="shared" si="313"/>
        <v>0.10269999999999999</v>
      </c>
      <c r="AO685" s="15" t="s">
        <v>31</v>
      </c>
      <c r="AP685" s="16">
        <v>103</v>
      </c>
      <c r="AQ685" s="16" t="s">
        <v>689</v>
      </c>
      <c r="AR685" s="16">
        <v>35</v>
      </c>
      <c r="AS685" s="16">
        <v>63</v>
      </c>
      <c r="AT685" s="16">
        <v>2</v>
      </c>
      <c r="AU685" s="16" t="s">
        <v>664</v>
      </c>
      <c r="AV685" s="16">
        <f t="shared" si="302"/>
        <v>100</v>
      </c>
      <c r="AW685" s="20">
        <v>32</v>
      </c>
      <c r="AX685" s="8">
        <f t="shared" si="301"/>
        <v>0.32</v>
      </c>
      <c r="AY685" s="8" t="s">
        <v>32</v>
      </c>
      <c r="AZ685" s="16">
        <f t="shared" si="314"/>
        <v>100</v>
      </c>
      <c r="BA685" s="16" t="s">
        <v>55</v>
      </c>
      <c r="BB685" s="16">
        <v>140</v>
      </c>
      <c r="BC685" s="16" t="s">
        <v>55</v>
      </c>
      <c r="BD685" s="20">
        <v>17</v>
      </c>
      <c r="BE685" s="15">
        <f t="shared" si="287"/>
        <v>53.125</v>
      </c>
      <c r="BF685" s="15">
        <f t="shared" si="288"/>
        <v>1.7252989430583681</v>
      </c>
      <c r="BG685" s="8">
        <f t="shared" si="309"/>
        <v>1.2304489213782739</v>
      </c>
      <c r="BH685" s="2" t="s">
        <v>841</v>
      </c>
      <c r="BI685" s="2"/>
      <c r="BJ685" s="2"/>
      <c r="BK685" s="2"/>
      <c r="BL685" s="2"/>
      <c r="BM685" s="20"/>
      <c r="BN685" s="20"/>
      <c r="BO685" s="2"/>
    </row>
    <row r="686" spans="1:69" s="14" customFormat="1" x14ac:dyDescent="0.3">
      <c r="A686" s="20">
        <v>701</v>
      </c>
      <c r="B686" s="2" t="s">
        <v>200</v>
      </c>
      <c r="C686" s="2">
        <v>2021</v>
      </c>
      <c r="D686" s="2" t="s">
        <v>201</v>
      </c>
      <c r="E686" s="10" t="s">
        <v>794</v>
      </c>
      <c r="F686" s="20" t="s">
        <v>29</v>
      </c>
      <c r="G686" s="2" t="s">
        <v>37</v>
      </c>
      <c r="H686" s="2" t="str">
        <f>'PFAS Properties'!$B$44</f>
        <v>PFHxS</v>
      </c>
      <c r="I686" s="2" t="str">
        <f>'PFAS Properties'!$C$44</f>
        <v>PFSA</v>
      </c>
      <c r="J686" s="2" t="str">
        <f>'PFAS Properties'!$D$44</f>
        <v>C6F13O3SH</v>
      </c>
      <c r="K686" s="25">
        <f>'PFAS Properties'!$P$44</f>
        <v>399.94379999999995</v>
      </c>
      <c r="L686" s="2">
        <f>'PFAS Properties'!$X$44</f>
        <v>0.1</v>
      </c>
      <c r="M686" s="2" t="str">
        <f>'PFAS Properties'!$Y$44</f>
        <v>-</v>
      </c>
      <c r="N686" s="33">
        <v>0</v>
      </c>
      <c r="O686" s="33">
        <v>0</v>
      </c>
      <c r="P686" s="33">
        <v>0</v>
      </c>
      <c r="Q686" s="33">
        <f t="shared" si="296"/>
        <v>0.9999974881198781</v>
      </c>
      <c r="R686" s="33">
        <v>0</v>
      </c>
      <c r="S686" s="33">
        <f t="shared" si="297"/>
        <v>2.5118801219519806E-6</v>
      </c>
      <c r="T686" s="8">
        <f t="shared" si="308"/>
        <v>1</v>
      </c>
      <c r="U686" s="33">
        <f t="shared" si="281"/>
        <v>0</v>
      </c>
      <c r="V686" s="33">
        <f t="shared" si="282"/>
        <v>-0.9999974881198781</v>
      </c>
      <c r="W686" s="33">
        <f t="shared" si="283"/>
        <v>398.94380251188011</v>
      </c>
      <c r="X686" s="33">
        <v>96485</v>
      </c>
      <c r="Y686" s="16">
        <f t="shared" si="284"/>
        <v>-241.85049882651887</v>
      </c>
      <c r="Z686" s="16">
        <v>6</v>
      </c>
      <c r="AA686" s="16">
        <v>13</v>
      </c>
      <c r="AB686" s="8">
        <f t="shared" si="285"/>
        <v>0.291497975708502</v>
      </c>
      <c r="AC686" s="16">
        <f t="shared" si="286"/>
        <v>61.758677094131734</v>
      </c>
      <c r="AD686" s="20">
        <f>'PFAS Properties'!$W$44</f>
        <v>6</v>
      </c>
      <c r="AE686" s="8">
        <f>'PFAS Properties'!$S$44</f>
        <v>3.7905666251460763</v>
      </c>
      <c r="AF686" s="15">
        <f>'PFAS Properties'!$V$44</f>
        <v>3.6</v>
      </c>
      <c r="AG686" s="24">
        <v>5.7</v>
      </c>
      <c r="AH686" s="2" t="s">
        <v>834</v>
      </c>
      <c r="AI686" s="15">
        <v>10.64</v>
      </c>
      <c r="AJ686" s="16">
        <f t="shared" si="310"/>
        <v>190.52735249350883</v>
      </c>
      <c r="AK686" s="8">
        <f t="shared" si="311"/>
        <v>1.0640000000000001</v>
      </c>
      <c r="AL686" s="15">
        <v>0.16700000000000001</v>
      </c>
      <c r="AM686" s="16">
        <f t="shared" si="312"/>
        <v>6.1897702001482582</v>
      </c>
      <c r="AN686" s="8">
        <f t="shared" si="313"/>
        <v>1.67E-2</v>
      </c>
      <c r="AO686" s="15" t="s">
        <v>31</v>
      </c>
      <c r="AP686" s="16">
        <v>140</v>
      </c>
      <c r="AQ686" s="16" t="s">
        <v>689</v>
      </c>
      <c r="AR686" s="16">
        <v>20.7</v>
      </c>
      <c r="AS686" s="16">
        <v>78</v>
      </c>
      <c r="AT686" s="16">
        <v>1.3</v>
      </c>
      <c r="AU686" s="16" t="s">
        <v>664</v>
      </c>
      <c r="AV686" s="16">
        <f t="shared" si="302"/>
        <v>100</v>
      </c>
      <c r="AW686" s="20">
        <v>39</v>
      </c>
      <c r="AX686" s="8">
        <f t="shared" si="301"/>
        <v>0.39</v>
      </c>
      <c r="AY686" s="8" t="s">
        <v>32</v>
      </c>
      <c r="AZ686" s="16">
        <f t="shared" si="314"/>
        <v>100</v>
      </c>
      <c r="BA686" s="16" t="s">
        <v>55</v>
      </c>
      <c r="BB686" s="16">
        <v>140</v>
      </c>
      <c r="BC686" s="16" t="s">
        <v>55</v>
      </c>
      <c r="BD686" s="20">
        <v>21</v>
      </c>
      <c r="BE686" s="15">
        <f t="shared" si="287"/>
        <v>53.846153846153847</v>
      </c>
      <c r="BF686" s="15">
        <f t="shared" si="288"/>
        <v>1.73115468770742</v>
      </c>
      <c r="BG686" s="8">
        <f t="shared" si="309"/>
        <v>1.3222192947339193</v>
      </c>
      <c r="BH686" s="2" t="s">
        <v>841</v>
      </c>
      <c r="BI686" s="2"/>
      <c r="BJ686" s="2"/>
      <c r="BK686" s="2"/>
      <c r="BL686" s="2"/>
      <c r="BM686" s="20"/>
      <c r="BN686" s="20"/>
      <c r="BO686" s="2"/>
    </row>
    <row r="687" spans="1:69" s="14" customFormat="1" x14ac:dyDescent="0.3">
      <c r="A687" s="20">
        <v>702</v>
      </c>
      <c r="B687" s="2" t="s">
        <v>200</v>
      </c>
      <c r="C687" s="2">
        <v>2021</v>
      </c>
      <c r="D687" s="2" t="s">
        <v>201</v>
      </c>
      <c r="E687" s="10" t="s">
        <v>794</v>
      </c>
      <c r="F687" s="20" t="s">
        <v>29</v>
      </c>
      <c r="G687" s="2" t="s">
        <v>38</v>
      </c>
      <c r="H687" s="2" t="str">
        <f>'PFAS Properties'!$B$44</f>
        <v>PFHxS</v>
      </c>
      <c r="I687" s="2" t="str">
        <f>'PFAS Properties'!$C$44</f>
        <v>PFSA</v>
      </c>
      <c r="J687" s="2" t="str">
        <f>'PFAS Properties'!$D$44</f>
        <v>C6F13O3SH</v>
      </c>
      <c r="K687" s="25">
        <f>'PFAS Properties'!$P$44</f>
        <v>399.94379999999995</v>
      </c>
      <c r="L687" s="2">
        <f>'PFAS Properties'!$X$44</f>
        <v>0.1</v>
      </c>
      <c r="M687" s="2" t="str">
        <f>'PFAS Properties'!$Y$44</f>
        <v>-</v>
      </c>
      <c r="N687" s="33">
        <v>0</v>
      </c>
      <c r="O687" s="33">
        <v>0</v>
      </c>
      <c r="P687" s="33">
        <v>0</v>
      </c>
      <c r="Q687" s="33">
        <f t="shared" si="296"/>
        <v>0.9999974881198781</v>
      </c>
      <c r="R687" s="33">
        <v>0</v>
      </c>
      <c r="S687" s="33">
        <f t="shared" si="297"/>
        <v>2.5118801219519806E-6</v>
      </c>
      <c r="T687" s="8">
        <f t="shared" si="308"/>
        <v>1</v>
      </c>
      <c r="U687" s="33">
        <f t="shared" si="281"/>
        <v>0</v>
      </c>
      <c r="V687" s="33">
        <f t="shared" si="282"/>
        <v>-0.9999974881198781</v>
      </c>
      <c r="W687" s="33">
        <f t="shared" si="283"/>
        <v>398.94380251188011</v>
      </c>
      <c r="X687" s="33">
        <v>96485</v>
      </c>
      <c r="Y687" s="16">
        <f t="shared" si="284"/>
        <v>-241.85049882651887</v>
      </c>
      <c r="Z687" s="16">
        <v>6</v>
      </c>
      <c r="AA687" s="16">
        <v>13</v>
      </c>
      <c r="AB687" s="8">
        <f t="shared" si="285"/>
        <v>0.291497975708502</v>
      </c>
      <c r="AC687" s="16">
        <f t="shared" si="286"/>
        <v>61.758677094131734</v>
      </c>
      <c r="AD687" s="20">
        <f>'PFAS Properties'!$W$44</f>
        <v>6</v>
      </c>
      <c r="AE687" s="8">
        <f>'PFAS Properties'!$S$44</f>
        <v>3.7905666251460763</v>
      </c>
      <c r="AF687" s="15">
        <f>'PFAS Properties'!$V$44</f>
        <v>3.6</v>
      </c>
      <c r="AG687" s="24">
        <v>5.7</v>
      </c>
      <c r="AH687" s="2" t="s">
        <v>834</v>
      </c>
      <c r="AI687" s="15">
        <v>19.667999999999999</v>
      </c>
      <c r="AJ687" s="16">
        <f t="shared" si="310"/>
        <v>352.18909481600861</v>
      </c>
      <c r="AK687" s="8">
        <f t="shared" si="311"/>
        <v>1.9667999999999999</v>
      </c>
      <c r="AL687" s="15">
        <v>0.48099999999999998</v>
      </c>
      <c r="AM687" s="16">
        <f t="shared" si="312"/>
        <v>17.828020756115642</v>
      </c>
      <c r="AN687" s="8">
        <f t="shared" si="313"/>
        <v>4.8099999999999997E-2</v>
      </c>
      <c r="AO687" s="15" t="s">
        <v>31</v>
      </c>
      <c r="AP687" s="16">
        <v>114</v>
      </c>
      <c r="AQ687" s="16" t="s">
        <v>689</v>
      </c>
      <c r="AR687" s="16">
        <v>20</v>
      </c>
      <c r="AS687" s="16">
        <v>78.900000000000006</v>
      </c>
      <c r="AT687" s="16">
        <v>1.1000000000000001</v>
      </c>
      <c r="AU687" s="16" t="s">
        <v>664</v>
      </c>
      <c r="AV687" s="16">
        <f t="shared" si="302"/>
        <v>100</v>
      </c>
      <c r="AW687" s="20">
        <v>41</v>
      </c>
      <c r="AX687" s="8">
        <f t="shared" si="301"/>
        <v>0.41</v>
      </c>
      <c r="AY687" s="8" t="s">
        <v>32</v>
      </c>
      <c r="AZ687" s="16">
        <f t="shared" si="314"/>
        <v>100</v>
      </c>
      <c r="BA687" s="16" t="s">
        <v>55</v>
      </c>
      <c r="BB687" s="16">
        <v>140</v>
      </c>
      <c r="BC687" s="16" t="s">
        <v>55</v>
      </c>
      <c r="BD687" s="20">
        <v>18</v>
      </c>
      <c r="BE687" s="15">
        <f t="shared" si="287"/>
        <v>43.902439024390247</v>
      </c>
      <c r="BF687" s="15">
        <f t="shared" si="288"/>
        <v>1.6424886483835706</v>
      </c>
      <c r="BG687" s="8">
        <f t="shared" si="309"/>
        <v>1.255272505103306</v>
      </c>
      <c r="BH687" s="2" t="s">
        <v>841</v>
      </c>
      <c r="BI687" s="2"/>
      <c r="BJ687" s="2"/>
      <c r="BK687" s="2"/>
      <c r="BL687" s="2"/>
      <c r="BM687" s="20"/>
      <c r="BN687" s="20"/>
      <c r="BO687" s="2"/>
    </row>
    <row r="688" spans="1:69" s="14" customFormat="1" x14ac:dyDescent="0.3">
      <c r="A688" s="20">
        <v>703</v>
      </c>
      <c r="B688" s="2" t="s">
        <v>219</v>
      </c>
      <c r="C688" s="2">
        <v>2020</v>
      </c>
      <c r="D688" s="2" t="s">
        <v>201</v>
      </c>
      <c r="E688" s="10" t="s">
        <v>801</v>
      </c>
      <c r="F688" s="20" t="s">
        <v>63</v>
      </c>
      <c r="G688" s="2" t="s">
        <v>66</v>
      </c>
      <c r="H688" s="2" t="str">
        <f>'PFAS Properties'!$B$44</f>
        <v>PFHxS</v>
      </c>
      <c r="I688" s="2" t="str">
        <f>'PFAS Properties'!$C$44</f>
        <v>PFSA</v>
      </c>
      <c r="J688" s="2" t="str">
        <f>'PFAS Properties'!$D$44</f>
        <v>C6F13O3SH</v>
      </c>
      <c r="K688" s="25">
        <f>'PFAS Properties'!$P$44</f>
        <v>399.94379999999995</v>
      </c>
      <c r="L688" s="2">
        <f>'PFAS Properties'!$X$44</f>
        <v>0.1</v>
      </c>
      <c r="M688" s="2" t="str">
        <f>'PFAS Properties'!$Y$44</f>
        <v>-</v>
      </c>
      <c r="N688" s="33">
        <v>0</v>
      </c>
      <c r="O688" s="33">
        <v>0</v>
      </c>
      <c r="P688" s="33">
        <v>0</v>
      </c>
      <c r="Q688" s="33">
        <f t="shared" si="296"/>
        <v>0.99999988779816718</v>
      </c>
      <c r="R688" s="33">
        <v>0</v>
      </c>
      <c r="S688" s="33">
        <f t="shared" si="297"/>
        <v>1.1220183284094351E-7</v>
      </c>
      <c r="T688" s="8">
        <f t="shared" si="308"/>
        <v>1</v>
      </c>
      <c r="U688" s="33">
        <f t="shared" si="281"/>
        <v>0</v>
      </c>
      <c r="V688" s="33">
        <f t="shared" si="282"/>
        <v>-0.99999988779816718</v>
      </c>
      <c r="W688" s="33">
        <f t="shared" si="283"/>
        <v>398.94380011220176</v>
      </c>
      <c r="X688" s="33">
        <v>96485</v>
      </c>
      <c r="Y688" s="16">
        <f t="shared" si="284"/>
        <v>-241.8510806461212</v>
      </c>
      <c r="Z688" s="16">
        <v>6</v>
      </c>
      <c r="AA688" s="16">
        <v>13</v>
      </c>
      <c r="AB688" s="8">
        <f t="shared" si="285"/>
        <v>0.291497975708502</v>
      </c>
      <c r="AC688" s="16">
        <f t="shared" si="286"/>
        <v>61.758677094131734</v>
      </c>
      <c r="AD688" s="20">
        <f>'PFAS Properties'!$W$44</f>
        <v>6</v>
      </c>
      <c r="AE688" s="8">
        <f>'PFAS Properties'!$S$44</f>
        <v>3.7905666251460763</v>
      </c>
      <c r="AF688" s="15">
        <f>'PFAS Properties'!$V$44</f>
        <v>3.6</v>
      </c>
      <c r="AG688" s="24">
        <v>7.05</v>
      </c>
      <c r="AH688" s="2" t="s">
        <v>661</v>
      </c>
      <c r="AI688" s="2">
        <v>9.9</v>
      </c>
      <c r="AJ688" s="15">
        <f t="shared" si="310"/>
        <v>177.27639000805803</v>
      </c>
      <c r="AK688" s="15">
        <f t="shared" si="311"/>
        <v>0.99</v>
      </c>
      <c r="AL688" s="2">
        <v>3.3</v>
      </c>
      <c r="AM688" s="15">
        <f t="shared" si="312"/>
        <v>122.31282431430689</v>
      </c>
      <c r="AN688" s="15">
        <f t="shared" si="313"/>
        <v>0.32999999999999996</v>
      </c>
      <c r="AO688" s="2" t="s">
        <v>710</v>
      </c>
      <c r="AP688" s="71">
        <v>7.6433666666666662</v>
      </c>
      <c r="AQ688" s="70" t="s">
        <v>752</v>
      </c>
      <c r="AR688" s="2">
        <v>78</v>
      </c>
      <c r="AS688" s="2">
        <v>5</v>
      </c>
      <c r="AT688" s="2">
        <v>11</v>
      </c>
      <c r="AU688" s="2" t="s">
        <v>661</v>
      </c>
      <c r="AV688" s="16">
        <f t="shared" si="302"/>
        <v>94</v>
      </c>
      <c r="AW688" s="20">
        <v>1.6</v>
      </c>
      <c r="AX688" s="8">
        <f t="shared" si="301"/>
        <v>1.6E-2</v>
      </c>
      <c r="AY688" s="8" t="s">
        <v>67</v>
      </c>
      <c r="AZ688" s="16">
        <f t="shared" ref="AZ688:AZ706" si="315">1.5/0.075</f>
        <v>20</v>
      </c>
      <c r="BA688" s="16" t="s">
        <v>55</v>
      </c>
      <c r="BB688" s="16">
        <v>10</v>
      </c>
      <c r="BC688" s="16" t="s">
        <v>55</v>
      </c>
      <c r="BD688" s="18">
        <v>0.98</v>
      </c>
      <c r="BE688" s="15">
        <f t="shared" si="287"/>
        <v>61.25</v>
      </c>
      <c r="BF688" s="15">
        <f t="shared" si="288"/>
        <v>1.7871060930365701</v>
      </c>
      <c r="BG688" s="8">
        <f t="shared" si="309"/>
        <v>-8.7739243075051505E-3</v>
      </c>
      <c r="BH688" s="2" t="s">
        <v>841</v>
      </c>
      <c r="BI688" s="2"/>
      <c r="BJ688" s="2"/>
      <c r="BK688" s="2"/>
      <c r="BL688" s="2"/>
      <c r="BM688" s="20"/>
      <c r="BN688" s="20"/>
      <c r="BO688" s="2"/>
    </row>
    <row r="689" spans="1:67" s="14" customFormat="1" x14ac:dyDescent="0.3">
      <c r="A689" s="20">
        <v>704</v>
      </c>
      <c r="B689" s="2" t="s">
        <v>219</v>
      </c>
      <c r="C689" s="2">
        <v>2020</v>
      </c>
      <c r="D689" s="2" t="s">
        <v>201</v>
      </c>
      <c r="E689" s="10" t="s">
        <v>801</v>
      </c>
      <c r="F689" s="20" t="s">
        <v>63</v>
      </c>
      <c r="G689" s="2" t="s">
        <v>68</v>
      </c>
      <c r="H689" s="2" t="str">
        <f>'PFAS Properties'!$B$44</f>
        <v>PFHxS</v>
      </c>
      <c r="I689" s="2" t="str">
        <f>'PFAS Properties'!$C$44</f>
        <v>PFSA</v>
      </c>
      <c r="J689" s="2" t="str">
        <f>'PFAS Properties'!$D$44</f>
        <v>C6F13O3SH</v>
      </c>
      <c r="K689" s="25">
        <f>'PFAS Properties'!$P$44</f>
        <v>399.94379999999995</v>
      </c>
      <c r="L689" s="2">
        <f>'PFAS Properties'!$X$44</f>
        <v>0.1</v>
      </c>
      <c r="M689" s="2" t="str">
        <f>'PFAS Properties'!$Y$44</f>
        <v>-</v>
      </c>
      <c r="N689" s="33">
        <v>0</v>
      </c>
      <c r="O689" s="33">
        <v>0</v>
      </c>
      <c r="P689" s="33">
        <v>0</v>
      </c>
      <c r="Q689" s="33">
        <f t="shared" si="296"/>
        <v>0.99999993690426958</v>
      </c>
      <c r="R689" s="33">
        <v>0</v>
      </c>
      <c r="S689" s="33">
        <f t="shared" si="297"/>
        <v>6.3095730466947729E-8</v>
      </c>
      <c r="T689" s="8">
        <f t="shared" si="308"/>
        <v>1</v>
      </c>
      <c r="U689" s="33">
        <f t="shared" si="281"/>
        <v>0</v>
      </c>
      <c r="V689" s="33">
        <f t="shared" si="282"/>
        <v>-0.99999993690426958</v>
      </c>
      <c r="W689" s="33">
        <f t="shared" si="283"/>
        <v>398.94380006309569</v>
      </c>
      <c r="X689" s="33">
        <v>96485</v>
      </c>
      <c r="Y689" s="16">
        <f t="shared" si="284"/>
        <v>-241.85109255225598</v>
      </c>
      <c r="Z689" s="16">
        <v>6</v>
      </c>
      <c r="AA689" s="16">
        <v>13</v>
      </c>
      <c r="AB689" s="8">
        <f t="shared" si="285"/>
        <v>0.291497975708502</v>
      </c>
      <c r="AC689" s="16">
        <f t="shared" si="286"/>
        <v>61.758677094131734</v>
      </c>
      <c r="AD689" s="20">
        <f>'PFAS Properties'!$W$44</f>
        <v>6</v>
      </c>
      <c r="AE689" s="8">
        <f>'PFAS Properties'!$S$44</f>
        <v>3.7905666251460763</v>
      </c>
      <c r="AF689" s="15">
        <f>'PFAS Properties'!$V$44</f>
        <v>3.6</v>
      </c>
      <c r="AG689" s="24">
        <v>7.3</v>
      </c>
      <c r="AH689" s="2" t="s">
        <v>661</v>
      </c>
      <c r="AI689" s="2">
        <v>1.1000000000000001</v>
      </c>
      <c r="AJ689" s="15">
        <f t="shared" si="310"/>
        <v>19.697376667562004</v>
      </c>
      <c r="AK689" s="15">
        <f t="shared" si="311"/>
        <v>0.11000000000000001</v>
      </c>
      <c r="AL689" s="2">
        <v>0.54</v>
      </c>
      <c r="AM689" s="15">
        <f t="shared" si="312"/>
        <v>20.014825796886583</v>
      </c>
      <c r="AN689" s="15">
        <f t="shared" si="313"/>
        <v>5.4000000000000006E-2</v>
      </c>
      <c r="AO689" s="2" t="s">
        <v>710</v>
      </c>
      <c r="AP689" s="71">
        <v>14.54611666666667</v>
      </c>
      <c r="AQ689" s="70" t="s">
        <v>752</v>
      </c>
      <c r="AR689" s="2">
        <v>92</v>
      </c>
      <c r="AS689" s="2">
        <v>0.7</v>
      </c>
      <c r="AT689" s="2">
        <v>3.1</v>
      </c>
      <c r="AU689" s="2" t="s">
        <v>661</v>
      </c>
      <c r="AV689" s="16">
        <f t="shared" si="302"/>
        <v>95.8</v>
      </c>
      <c r="AW689" s="20">
        <v>0.5</v>
      </c>
      <c r="AX689" s="8">
        <f t="shared" si="301"/>
        <v>5.0000000000000001E-3</v>
      </c>
      <c r="AY689" s="8" t="s">
        <v>67</v>
      </c>
      <c r="AZ689" s="16">
        <f t="shared" si="315"/>
        <v>20</v>
      </c>
      <c r="BA689" s="16" t="s">
        <v>55</v>
      </c>
      <c r="BB689" s="16">
        <v>10</v>
      </c>
      <c r="BC689" s="16" t="s">
        <v>55</v>
      </c>
      <c r="BD689" s="18">
        <v>0.87</v>
      </c>
      <c r="BE689" s="15">
        <f t="shared" si="287"/>
        <v>174</v>
      </c>
      <c r="BF689" s="15">
        <f t="shared" si="288"/>
        <v>2.2405492482825999</v>
      </c>
      <c r="BG689" s="8">
        <f t="shared" si="309"/>
        <v>-6.0480747381381476E-2</v>
      </c>
      <c r="BH689" s="2" t="s">
        <v>841</v>
      </c>
      <c r="BI689" s="2"/>
      <c r="BJ689" s="2"/>
      <c r="BK689" s="2"/>
      <c r="BL689" s="2"/>
      <c r="BM689" s="20"/>
      <c r="BN689" s="20"/>
      <c r="BO689" s="2"/>
    </row>
    <row r="690" spans="1:67" s="14" customFormat="1" x14ac:dyDescent="0.3">
      <c r="A690" s="20">
        <v>705</v>
      </c>
      <c r="B690" s="2" t="s">
        <v>219</v>
      </c>
      <c r="C690" s="2">
        <v>2020</v>
      </c>
      <c r="D690" s="2" t="s">
        <v>201</v>
      </c>
      <c r="E690" s="10" t="s">
        <v>801</v>
      </c>
      <c r="F690" s="20" t="s">
        <v>63</v>
      </c>
      <c r="G690" s="2" t="s">
        <v>69</v>
      </c>
      <c r="H690" s="2" t="str">
        <f>'PFAS Properties'!$B$44</f>
        <v>PFHxS</v>
      </c>
      <c r="I690" s="2" t="str">
        <f>'PFAS Properties'!$C$44</f>
        <v>PFSA</v>
      </c>
      <c r="J690" s="2" t="str">
        <f>'PFAS Properties'!$D$44</f>
        <v>C6F13O3SH</v>
      </c>
      <c r="K690" s="25">
        <f>'PFAS Properties'!$P$44</f>
        <v>399.94379999999995</v>
      </c>
      <c r="L690" s="2">
        <f>'PFAS Properties'!$X$44</f>
        <v>0.1</v>
      </c>
      <c r="M690" s="2" t="str">
        <f>'PFAS Properties'!$Y$44</f>
        <v>-</v>
      </c>
      <c r="N690" s="33">
        <v>0</v>
      </c>
      <c r="O690" s="33">
        <v>0</v>
      </c>
      <c r="P690" s="33">
        <v>0</v>
      </c>
      <c r="Q690" s="33">
        <f t="shared" si="296"/>
        <v>0.99999991871695504</v>
      </c>
      <c r="R690" s="33">
        <v>0</v>
      </c>
      <c r="S690" s="33">
        <f t="shared" si="297"/>
        <v>8.128304500947571E-8</v>
      </c>
      <c r="T690" s="8">
        <f t="shared" si="308"/>
        <v>1</v>
      </c>
      <c r="U690" s="33">
        <f t="shared" si="281"/>
        <v>0</v>
      </c>
      <c r="V690" s="33">
        <f t="shared" si="282"/>
        <v>-0.99999991871695504</v>
      </c>
      <c r="W690" s="33">
        <f t="shared" si="283"/>
        <v>398.94380008128303</v>
      </c>
      <c r="X690" s="33">
        <v>96485</v>
      </c>
      <c r="Y690" s="16">
        <f t="shared" si="284"/>
        <v>-241.85108814260812</v>
      </c>
      <c r="Z690" s="16">
        <v>6</v>
      </c>
      <c r="AA690" s="16">
        <v>13</v>
      </c>
      <c r="AB690" s="8">
        <f t="shared" si="285"/>
        <v>0.291497975708502</v>
      </c>
      <c r="AC690" s="16">
        <f t="shared" ref="AC690:AC753" si="316">((AA690*19)/K690)*100</f>
        <v>61.758677094131734</v>
      </c>
      <c r="AD690" s="20">
        <f>'PFAS Properties'!$W$44</f>
        <v>6</v>
      </c>
      <c r="AE690" s="8">
        <f>'PFAS Properties'!$S$44</f>
        <v>3.7905666251460763</v>
      </c>
      <c r="AF690" s="15">
        <f>'PFAS Properties'!$V$44</f>
        <v>3.6</v>
      </c>
      <c r="AG690" s="24">
        <v>7.19</v>
      </c>
      <c r="AH690" s="2" t="s">
        <v>661</v>
      </c>
      <c r="AI690" s="2">
        <v>3</v>
      </c>
      <c r="AJ690" s="15">
        <f t="shared" si="310"/>
        <v>53.720118184260009</v>
      </c>
      <c r="AK690" s="15">
        <f t="shared" si="311"/>
        <v>0.3</v>
      </c>
      <c r="AL690" s="2">
        <v>1.2</v>
      </c>
      <c r="AM690" s="15">
        <f t="shared" si="312"/>
        <v>44.477390659747961</v>
      </c>
      <c r="AN690" s="15">
        <f t="shared" si="313"/>
        <v>0.12</v>
      </c>
      <c r="AO690" s="2" t="s">
        <v>710</v>
      </c>
      <c r="AP690" s="71">
        <v>5.4888166666666667</v>
      </c>
      <c r="AQ690" s="70" t="s">
        <v>752</v>
      </c>
      <c r="AR690" s="2">
        <v>83</v>
      </c>
      <c r="AS690" s="2">
        <v>1.9</v>
      </c>
      <c r="AT690" s="2">
        <v>5.3</v>
      </c>
      <c r="AU690" s="2" t="s">
        <v>661</v>
      </c>
      <c r="AV690" s="16">
        <f t="shared" si="302"/>
        <v>90.2</v>
      </c>
      <c r="AW690" s="20">
        <v>2.7</v>
      </c>
      <c r="AX690" s="8">
        <f t="shared" si="301"/>
        <v>2.7000000000000003E-2</v>
      </c>
      <c r="AY690" s="8" t="s">
        <v>67</v>
      </c>
      <c r="AZ690" s="16">
        <f t="shared" si="315"/>
        <v>20</v>
      </c>
      <c r="BA690" s="16" t="s">
        <v>55</v>
      </c>
      <c r="BB690" s="16">
        <v>10</v>
      </c>
      <c r="BC690" s="16" t="s">
        <v>55</v>
      </c>
      <c r="BD690" s="18">
        <v>2.29</v>
      </c>
      <c r="BE690" s="15">
        <f t="shared" ref="BE690:BE753" si="317">BD690/AX690</f>
        <v>84.81481481481481</v>
      </c>
      <c r="BF690" s="15">
        <f t="shared" si="288"/>
        <v>1.9284717181809006</v>
      </c>
      <c r="BG690" s="8">
        <f t="shared" si="309"/>
        <v>0.35983548233988799</v>
      </c>
      <c r="BH690" s="2" t="s">
        <v>841</v>
      </c>
      <c r="BI690" s="2"/>
      <c r="BJ690" s="2"/>
      <c r="BK690" s="2"/>
      <c r="BL690" s="2"/>
      <c r="BM690" s="20"/>
      <c r="BN690" s="20"/>
      <c r="BO690" s="2"/>
    </row>
    <row r="691" spans="1:67" s="14" customFormat="1" x14ac:dyDescent="0.3">
      <c r="A691" s="20">
        <v>706</v>
      </c>
      <c r="B691" s="2" t="s">
        <v>219</v>
      </c>
      <c r="C691" s="2">
        <v>2020</v>
      </c>
      <c r="D691" s="2" t="s">
        <v>201</v>
      </c>
      <c r="E691" s="10" t="s">
        <v>801</v>
      </c>
      <c r="F691" s="20" t="s">
        <v>63</v>
      </c>
      <c r="G691" s="2" t="s">
        <v>70</v>
      </c>
      <c r="H691" s="2" t="str">
        <f>'PFAS Properties'!$B$44</f>
        <v>PFHxS</v>
      </c>
      <c r="I691" s="2" t="str">
        <f>'PFAS Properties'!$C$44</f>
        <v>PFSA</v>
      </c>
      <c r="J691" s="2" t="str">
        <f>'PFAS Properties'!$D$44</f>
        <v>C6F13O3SH</v>
      </c>
      <c r="K691" s="25">
        <f>'PFAS Properties'!$P$44</f>
        <v>399.94379999999995</v>
      </c>
      <c r="L691" s="2">
        <f>'PFAS Properties'!$X$44</f>
        <v>0.1</v>
      </c>
      <c r="M691" s="2" t="str">
        <f>'PFAS Properties'!$Y$44</f>
        <v>-</v>
      </c>
      <c r="N691" s="33">
        <v>0</v>
      </c>
      <c r="O691" s="33">
        <v>0</v>
      </c>
      <c r="P691" s="33">
        <v>0</v>
      </c>
      <c r="Q691" s="33">
        <f t="shared" si="296"/>
        <v>0.9999999601892845</v>
      </c>
      <c r="R691" s="33">
        <v>0</v>
      </c>
      <c r="S691" s="33">
        <f t="shared" si="297"/>
        <v>3.9810715470456442E-8</v>
      </c>
      <c r="T691" s="8">
        <f t="shared" si="308"/>
        <v>1</v>
      </c>
      <c r="U691" s="33">
        <f t="shared" si="281"/>
        <v>0</v>
      </c>
      <c r="V691" s="33">
        <f t="shared" si="282"/>
        <v>-0.9999999601892845</v>
      </c>
      <c r="W691" s="33">
        <f t="shared" si="283"/>
        <v>398.94380003981064</v>
      </c>
      <c r="X691" s="33">
        <v>96485</v>
      </c>
      <c r="Y691" s="16">
        <f t="shared" si="284"/>
        <v>-241.85109819787866</v>
      </c>
      <c r="Z691" s="16">
        <v>6</v>
      </c>
      <c r="AA691" s="16">
        <v>13</v>
      </c>
      <c r="AB691" s="8">
        <f t="shared" si="285"/>
        <v>0.291497975708502</v>
      </c>
      <c r="AC691" s="16">
        <f t="shared" si="316"/>
        <v>61.758677094131734</v>
      </c>
      <c r="AD691" s="20">
        <f>'PFAS Properties'!$W$44</f>
        <v>6</v>
      </c>
      <c r="AE691" s="8">
        <f>'PFAS Properties'!$S$44</f>
        <v>3.7905666251460763</v>
      </c>
      <c r="AF691" s="15">
        <f>'PFAS Properties'!$V$44</f>
        <v>3.6</v>
      </c>
      <c r="AG691" s="24">
        <v>7.5</v>
      </c>
      <c r="AH691" s="2" t="s">
        <v>661</v>
      </c>
      <c r="AI691" s="2">
        <v>2.2000000000000002</v>
      </c>
      <c r="AJ691" s="15">
        <f t="shared" si="310"/>
        <v>39.394753335124008</v>
      </c>
      <c r="AK691" s="15">
        <f t="shared" si="311"/>
        <v>0.22000000000000003</v>
      </c>
      <c r="AL691" s="2">
        <v>8</v>
      </c>
      <c r="AM691" s="15">
        <f t="shared" si="312"/>
        <v>296.51593773165308</v>
      </c>
      <c r="AN691" s="15">
        <f t="shared" si="313"/>
        <v>0.8</v>
      </c>
      <c r="AO691" s="2" t="s">
        <v>710</v>
      </c>
      <c r="AP691" s="71">
        <v>5.670066666666667</v>
      </c>
      <c r="AQ691" s="70" t="s">
        <v>752</v>
      </c>
      <c r="AR691" s="2">
        <v>76</v>
      </c>
      <c r="AS691" s="2">
        <v>6</v>
      </c>
      <c r="AT691" s="2">
        <v>13</v>
      </c>
      <c r="AU691" s="2" t="s">
        <v>661</v>
      </c>
      <c r="AV691" s="16">
        <f t="shared" si="302"/>
        <v>95</v>
      </c>
      <c r="AW691" s="20">
        <v>1.1000000000000001</v>
      </c>
      <c r="AX691" s="8">
        <f t="shared" si="301"/>
        <v>1.1000000000000001E-2</v>
      </c>
      <c r="AY691" s="8" t="s">
        <v>67</v>
      </c>
      <c r="AZ691" s="16">
        <f t="shared" si="315"/>
        <v>20</v>
      </c>
      <c r="BA691" s="16" t="s">
        <v>55</v>
      </c>
      <c r="BB691" s="16">
        <v>10</v>
      </c>
      <c r="BC691" s="16" t="s">
        <v>55</v>
      </c>
      <c r="BD691" s="18">
        <v>1.08</v>
      </c>
      <c r="BE691" s="15">
        <f t="shared" si="317"/>
        <v>98.181818181818173</v>
      </c>
      <c r="BF691" s="15">
        <f t="shared" si="288"/>
        <v>1.9920310703287247</v>
      </c>
      <c r="BG691" s="8">
        <f t="shared" si="309"/>
        <v>3.342375548694973E-2</v>
      </c>
      <c r="BH691" s="2" t="s">
        <v>841</v>
      </c>
      <c r="BI691" s="2"/>
      <c r="BJ691" s="2"/>
      <c r="BK691" s="2"/>
      <c r="BL691" s="2"/>
      <c r="BM691" s="20"/>
      <c r="BN691" s="20"/>
      <c r="BO691" s="2"/>
    </row>
    <row r="692" spans="1:67" s="14" customFormat="1" x14ac:dyDescent="0.3">
      <c r="A692" s="20">
        <v>707</v>
      </c>
      <c r="B692" s="2" t="s">
        <v>219</v>
      </c>
      <c r="C692" s="2">
        <v>2020</v>
      </c>
      <c r="D692" s="2" t="s">
        <v>201</v>
      </c>
      <c r="E692" s="10" t="s">
        <v>801</v>
      </c>
      <c r="F692" s="20" t="s">
        <v>63</v>
      </c>
      <c r="G692" s="2" t="s">
        <v>71</v>
      </c>
      <c r="H692" s="2" t="str">
        <f>'PFAS Properties'!$B$44</f>
        <v>PFHxS</v>
      </c>
      <c r="I692" s="2" t="str">
        <f>'PFAS Properties'!$C$44</f>
        <v>PFSA</v>
      </c>
      <c r="J692" s="2" t="str">
        <f>'PFAS Properties'!$D$44</f>
        <v>C6F13O3SH</v>
      </c>
      <c r="K692" s="25">
        <f>'PFAS Properties'!$P$44</f>
        <v>399.94379999999995</v>
      </c>
      <c r="L692" s="2">
        <f>'PFAS Properties'!$X$44</f>
        <v>0.1</v>
      </c>
      <c r="M692" s="2" t="str">
        <f>'PFAS Properties'!$Y$44</f>
        <v>-</v>
      </c>
      <c r="N692" s="33">
        <v>0</v>
      </c>
      <c r="O692" s="33">
        <v>0</v>
      </c>
      <c r="P692" s="33">
        <v>0</v>
      </c>
      <c r="Q692" s="33">
        <f t="shared" si="296"/>
        <v>0.99999981379132097</v>
      </c>
      <c r="R692" s="33">
        <v>0</v>
      </c>
      <c r="S692" s="33">
        <f t="shared" si="297"/>
        <v>1.8620867899260757E-7</v>
      </c>
      <c r="T692" s="8">
        <f t="shared" si="308"/>
        <v>1</v>
      </c>
      <c r="U692" s="33">
        <f t="shared" si="281"/>
        <v>0</v>
      </c>
      <c r="V692" s="33">
        <f t="shared" si="282"/>
        <v>-0.99999981379132097</v>
      </c>
      <c r="W692" s="33">
        <f t="shared" si="283"/>
        <v>398.94380018620865</v>
      </c>
      <c r="X692" s="33">
        <v>96485</v>
      </c>
      <c r="Y692" s="16">
        <f t="shared" si="284"/>
        <v>-241.85106270261835</v>
      </c>
      <c r="Z692" s="16">
        <v>6</v>
      </c>
      <c r="AA692" s="16">
        <v>13</v>
      </c>
      <c r="AB692" s="8">
        <f t="shared" si="285"/>
        <v>0.291497975708502</v>
      </c>
      <c r="AC692" s="16">
        <f t="shared" si="316"/>
        <v>61.758677094131734</v>
      </c>
      <c r="AD692" s="20">
        <f>'PFAS Properties'!$W$44</f>
        <v>6</v>
      </c>
      <c r="AE692" s="8">
        <f>'PFAS Properties'!$S$44</f>
        <v>3.7905666251460763</v>
      </c>
      <c r="AF692" s="15">
        <f>'PFAS Properties'!$V$44</f>
        <v>3.6</v>
      </c>
      <c r="AG692" s="24">
        <v>6.83</v>
      </c>
      <c r="AH692" s="2" t="s">
        <v>661</v>
      </c>
      <c r="AI692" s="2">
        <v>47</v>
      </c>
      <c r="AJ692" s="15">
        <f t="shared" si="310"/>
        <v>841.61518488674005</v>
      </c>
      <c r="AK692" s="15">
        <f t="shared" si="311"/>
        <v>4.7</v>
      </c>
      <c r="AL692" s="2">
        <v>20</v>
      </c>
      <c r="AM692" s="15">
        <f t="shared" si="312"/>
        <v>741.28984432913273</v>
      </c>
      <c r="AN692" s="15">
        <f t="shared" si="313"/>
        <v>2</v>
      </c>
      <c r="AO692" s="2" t="s">
        <v>710</v>
      </c>
      <c r="AP692" s="71">
        <v>8.2616166666666668</v>
      </c>
      <c r="AQ692" s="70" t="s">
        <v>752</v>
      </c>
      <c r="AR692" s="2">
        <v>13</v>
      </c>
      <c r="AS692" s="2">
        <v>14</v>
      </c>
      <c r="AT692" s="2">
        <v>53</v>
      </c>
      <c r="AU692" s="2" t="s">
        <v>661</v>
      </c>
      <c r="AV692" s="16">
        <f t="shared" si="302"/>
        <v>80</v>
      </c>
      <c r="AW692" s="20">
        <v>5</v>
      </c>
      <c r="AX692" s="8">
        <f t="shared" si="301"/>
        <v>0.05</v>
      </c>
      <c r="AY692" s="8" t="s">
        <v>67</v>
      </c>
      <c r="AZ692" s="16">
        <f t="shared" si="315"/>
        <v>20</v>
      </c>
      <c r="BA692" s="16" t="s">
        <v>55</v>
      </c>
      <c r="BB692" s="16">
        <v>10</v>
      </c>
      <c r="BC692" s="16" t="s">
        <v>55</v>
      </c>
      <c r="BD692" s="18">
        <v>5.69</v>
      </c>
      <c r="BE692" s="15">
        <f t="shared" si="317"/>
        <v>113.8</v>
      </c>
      <c r="BF692" s="15">
        <f t="shared" si="288"/>
        <v>2.0561422620590522</v>
      </c>
      <c r="BG692" s="8">
        <f t="shared" si="309"/>
        <v>0.75511226639507123</v>
      </c>
      <c r="BH692" s="2" t="s">
        <v>841</v>
      </c>
      <c r="BI692" s="2"/>
      <c r="BJ692" s="2"/>
      <c r="BK692" s="2"/>
      <c r="BL692" s="2"/>
      <c r="BM692" s="20"/>
      <c r="BN692" s="20"/>
      <c r="BO692" s="2"/>
    </row>
    <row r="693" spans="1:67" s="14" customFormat="1" x14ac:dyDescent="0.3">
      <c r="A693" s="20">
        <v>708</v>
      </c>
      <c r="B693" s="2" t="s">
        <v>219</v>
      </c>
      <c r="C693" s="2">
        <v>2020</v>
      </c>
      <c r="D693" s="2" t="s">
        <v>201</v>
      </c>
      <c r="E693" s="10" t="s">
        <v>801</v>
      </c>
      <c r="F693" s="20" t="s">
        <v>63</v>
      </c>
      <c r="G693" s="2" t="s">
        <v>72</v>
      </c>
      <c r="H693" s="2" t="str">
        <f>'PFAS Properties'!$B$44</f>
        <v>PFHxS</v>
      </c>
      <c r="I693" s="2" t="str">
        <f>'PFAS Properties'!$C$44</f>
        <v>PFSA</v>
      </c>
      <c r="J693" s="2" t="str">
        <f>'PFAS Properties'!$D$44</f>
        <v>C6F13O3SH</v>
      </c>
      <c r="K693" s="25">
        <f>'PFAS Properties'!$P$44</f>
        <v>399.94379999999995</v>
      </c>
      <c r="L693" s="2">
        <f>'PFAS Properties'!$X$44</f>
        <v>0.1</v>
      </c>
      <c r="M693" s="2" t="str">
        <f>'PFAS Properties'!$Y$44</f>
        <v>-</v>
      </c>
      <c r="N693" s="33">
        <v>0</v>
      </c>
      <c r="O693" s="33">
        <v>0</v>
      </c>
      <c r="P693" s="33">
        <v>0</v>
      </c>
      <c r="Q693" s="33">
        <f t="shared" si="296"/>
        <v>0.99999979107043058</v>
      </c>
      <c r="R693" s="33">
        <v>0</v>
      </c>
      <c r="S693" s="33">
        <f t="shared" si="297"/>
        <v>2.0892956943382908E-7</v>
      </c>
      <c r="T693" s="8">
        <f t="shared" si="308"/>
        <v>1</v>
      </c>
      <c r="U693" s="33">
        <f t="shared" si="281"/>
        <v>0</v>
      </c>
      <c r="V693" s="33">
        <f t="shared" si="282"/>
        <v>-0.99999979107043058</v>
      </c>
      <c r="W693" s="33">
        <f t="shared" si="283"/>
        <v>398.94380020892953</v>
      </c>
      <c r="X693" s="33">
        <v>96485</v>
      </c>
      <c r="Y693" s="16">
        <f t="shared" si="284"/>
        <v>-241.85105719377182</v>
      </c>
      <c r="Z693" s="16">
        <v>6</v>
      </c>
      <c r="AA693" s="16">
        <v>13</v>
      </c>
      <c r="AB693" s="8">
        <f t="shared" si="285"/>
        <v>0.291497975708502</v>
      </c>
      <c r="AC693" s="16">
        <f t="shared" si="316"/>
        <v>61.758677094131734</v>
      </c>
      <c r="AD693" s="20">
        <f>'PFAS Properties'!$W$44</f>
        <v>6</v>
      </c>
      <c r="AE693" s="8">
        <f>'PFAS Properties'!$S$44</f>
        <v>3.7905666251460763</v>
      </c>
      <c r="AF693" s="15">
        <f>'PFAS Properties'!$V$44</f>
        <v>3.6</v>
      </c>
      <c r="AG693" s="24">
        <v>6.78</v>
      </c>
      <c r="AH693" s="2" t="s">
        <v>661</v>
      </c>
      <c r="AI693" s="2">
        <v>21</v>
      </c>
      <c r="AJ693" s="15">
        <f t="shared" si="310"/>
        <v>376.04082728982007</v>
      </c>
      <c r="AK693" s="15">
        <f t="shared" si="311"/>
        <v>2.1</v>
      </c>
      <c r="AL693" s="2">
        <v>1.8</v>
      </c>
      <c r="AM693" s="15">
        <f t="shared" si="312"/>
        <v>66.716085989621945</v>
      </c>
      <c r="AN693" s="15">
        <f t="shared" si="313"/>
        <v>0.18</v>
      </c>
      <c r="AO693" s="2" t="s">
        <v>710</v>
      </c>
      <c r="AP693" s="71">
        <v>5.6660666666666657</v>
      </c>
      <c r="AQ693" s="70" t="s">
        <v>752</v>
      </c>
      <c r="AR693" s="2">
        <v>88</v>
      </c>
      <c r="AS693" s="2">
        <v>2.1</v>
      </c>
      <c r="AT693" s="2">
        <v>5.7</v>
      </c>
      <c r="AU693" s="2" t="s">
        <v>661</v>
      </c>
      <c r="AV693" s="16">
        <f t="shared" si="302"/>
        <v>95.8</v>
      </c>
      <c r="AW693" s="20">
        <v>1.1000000000000001</v>
      </c>
      <c r="AX693" s="8">
        <f t="shared" si="301"/>
        <v>1.1000000000000001E-2</v>
      </c>
      <c r="AY693" s="8" t="s">
        <v>67</v>
      </c>
      <c r="AZ693" s="16">
        <f t="shared" si="315"/>
        <v>20</v>
      </c>
      <c r="BA693" s="16" t="s">
        <v>55</v>
      </c>
      <c r="BB693" s="16">
        <v>10</v>
      </c>
      <c r="BC693" s="16" t="s">
        <v>55</v>
      </c>
      <c r="BD693" s="18">
        <v>1.83</v>
      </c>
      <c r="BE693" s="15">
        <f t="shared" si="317"/>
        <v>166.36363636363635</v>
      </c>
      <c r="BF693" s="15">
        <f t="shared" si="288"/>
        <v>2.2210584045722044</v>
      </c>
      <c r="BG693" s="8">
        <f t="shared" si="309"/>
        <v>0.26245108973042947</v>
      </c>
      <c r="BH693" s="2" t="s">
        <v>841</v>
      </c>
      <c r="BI693" s="2"/>
      <c r="BJ693" s="2"/>
      <c r="BK693" s="2"/>
      <c r="BL693" s="2"/>
      <c r="BM693" s="20"/>
      <c r="BN693" s="20"/>
      <c r="BO693" s="2"/>
    </row>
    <row r="694" spans="1:67" s="14" customFormat="1" x14ac:dyDescent="0.3">
      <c r="A694" s="20">
        <v>709</v>
      </c>
      <c r="B694" s="2" t="s">
        <v>219</v>
      </c>
      <c r="C694" s="2">
        <v>2020</v>
      </c>
      <c r="D694" s="2" t="s">
        <v>201</v>
      </c>
      <c r="E694" s="22" t="s">
        <v>801</v>
      </c>
      <c r="F694" s="20" t="s">
        <v>63</v>
      </c>
      <c r="G694" s="2" t="s">
        <v>73</v>
      </c>
      <c r="H694" s="2" t="str">
        <f>'PFAS Properties'!$B$44</f>
        <v>PFHxS</v>
      </c>
      <c r="I694" s="2" t="str">
        <f>'PFAS Properties'!$C$44</f>
        <v>PFSA</v>
      </c>
      <c r="J694" s="2" t="str">
        <f>'PFAS Properties'!$D$44</f>
        <v>C6F13O3SH</v>
      </c>
      <c r="K694" s="25">
        <f>'PFAS Properties'!$P$44</f>
        <v>399.94379999999995</v>
      </c>
      <c r="L694" s="2">
        <f>'PFAS Properties'!$X$44</f>
        <v>0.1</v>
      </c>
      <c r="M694" s="2" t="str">
        <f>'PFAS Properties'!$Y$44</f>
        <v>-</v>
      </c>
      <c r="N694" s="33">
        <v>0</v>
      </c>
      <c r="O694" s="33">
        <v>0</v>
      </c>
      <c r="P694" s="33">
        <v>0</v>
      </c>
      <c r="Q694" s="33">
        <f t="shared" si="296"/>
        <v>0.99999973697327005</v>
      </c>
      <c r="R694" s="33">
        <v>0</v>
      </c>
      <c r="S694" s="33">
        <f t="shared" si="297"/>
        <v>2.6302673000645904E-7</v>
      </c>
      <c r="T694" s="8">
        <f t="shared" si="308"/>
        <v>1</v>
      </c>
      <c r="U694" s="33">
        <f t="shared" si="281"/>
        <v>0</v>
      </c>
      <c r="V694" s="33">
        <f t="shared" si="282"/>
        <v>-0.99999973697327005</v>
      </c>
      <c r="W694" s="33">
        <f t="shared" si="283"/>
        <v>398.94380026302667</v>
      </c>
      <c r="X694" s="33">
        <v>96485</v>
      </c>
      <c r="Y694" s="16">
        <f t="shared" si="284"/>
        <v>-241.8510440775184</v>
      </c>
      <c r="Z694" s="16">
        <v>6</v>
      </c>
      <c r="AA694" s="16">
        <v>13</v>
      </c>
      <c r="AB694" s="8">
        <f t="shared" si="285"/>
        <v>0.291497975708502</v>
      </c>
      <c r="AC694" s="16">
        <f t="shared" si="316"/>
        <v>61.758677094131734</v>
      </c>
      <c r="AD694" s="20">
        <f>'PFAS Properties'!$W$44</f>
        <v>6</v>
      </c>
      <c r="AE694" s="8">
        <f>'PFAS Properties'!$S$44</f>
        <v>3.7905666251460763</v>
      </c>
      <c r="AF694" s="15">
        <f>'PFAS Properties'!$V$44</f>
        <v>3.6</v>
      </c>
      <c r="AG694" s="24">
        <v>6.68</v>
      </c>
      <c r="AH694" s="2" t="s">
        <v>661</v>
      </c>
      <c r="AI694" s="2">
        <v>0.62</v>
      </c>
      <c r="AJ694" s="15">
        <f t="shared" si="310"/>
        <v>11.102157758080402</v>
      </c>
      <c r="AK694" s="15">
        <f t="shared" si="311"/>
        <v>6.2E-2</v>
      </c>
      <c r="AL694" s="2">
        <v>0.7</v>
      </c>
      <c r="AM694" s="15">
        <f t="shared" si="312"/>
        <v>25.945144551519643</v>
      </c>
      <c r="AN694" s="15">
        <f t="shared" si="313"/>
        <v>6.9999999999999993E-2</v>
      </c>
      <c r="AO694" s="2" t="s">
        <v>710</v>
      </c>
      <c r="AP694" s="71">
        <v>9.8359666666666676</v>
      </c>
      <c r="AQ694" s="70" t="s">
        <v>752</v>
      </c>
      <c r="AR694" s="2">
        <v>96</v>
      </c>
      <c r="AS694" s="2">
        <v>0</v>
      </c>
      <c r="AT694" s="2">
        <v>0.5</v>
      </c>
      <c r="AU694" s="2" t="s">
        <v>661</v>
      </c>
      <c r="AV694" s="16">
        <f t="shared" si="302"/>
        <v>96.5</v>
      </c>
      <c r="AW694" s="20">
        <v>0.3</v>
      </c>
      <c r="AX694" s="8">
        <f t="shared" si="301"/>
        <v>3.0000000000000001E-3</v>
      </c>
      <c r="AY694" s="8" t="s">
        <v>67</v>
      </c>
      <c r="AZ694" s="16">
        <f t="shared" si="315"/>
        <v>20</v>
      </c>
      <c r="BA694" s="16" t="s">
        <v>55</v>
      </c>
      <c r="BB694" s="16">
        <v>10</v>
      </c>
      <c r="BC694" s="16" t="s">
        <v>55</v>
      </c>
      <c r="BD694" s="18">
        <v>0.44</v>
      </c>
      <c r="BE694" s="15">
        <f t="shared" si="317"/>
        <v>146.66666666666666</v>
      </c>
      <c r="BF694" s="15">
        <f t="shared" si="288"/>
        <v>2.1663314217665248</v>
      </c>
      <c r="BG694" s="8">
        <f t="shared" si="309"/>
        <v>-0.35654732351381258</v>
      </c>
      <c r="BH694" s="2" t="s">
        <v>841</v>
      </c>
      <c r="BI694" s="2"/>
      <c r="BJ694" s="2"/>
      <c r="BK694" s="2"/>
      <c r="BL694" s="2"/>
      <c r="BM694" s="20"/>
      <c r="BN694" s="20"/>
      <c r="BO694" s="2"/>
    </row>
    <row r="695" spans="1:67" s="14" customFormat="1" x14ac:dyDescent="0.3">
      <c r="A695" s="20">
        <v>710</v>
      </c>
      <c r="B695" s="2" t="s">
        <v>219</v>
      </c>
      <c r="C695" s="2">
        <v>2020</v>
      </c>
      <c r="D695" s="2" t="s">
        <v>201</v>
      </c>
      <c r="E695" s="10" t="s">
        <v>801</v>
      </c>
      <c r="F695" s="20" t="s">
        <v>63</v>
      </c>
      <c r="G695" s="2" t="s">
        <v>74</v>
      </c>
      <c r="H695" s="2" t="str">
        <f>'PFAS Properties'!$B$44</f>
        <v>PFHxS</v>
      </c>
      <c r="I695" s="2" t="str">
        <f>'PFAS Properties'!$C$44</f>
        <v>PFSA</v>
      </c>
      <c r="J695" s="2" t="str">
        <f>'PFAS Properties'!$D$44</f>
        <v>C6F13O3SH</v>
      </c>
      <c r="K695" s="25">
        <f>'PFAS Properties'!$P$44</f>
        <v>399.94379999999995</v>
      </c>
      <c r="L695" s="2">
        <f>'PFAS Properties'!$X$44</f>
        <v>0.1</v>
      </c>
      <c r="M695" s="2" t="str">
        <f>'PFAS Properties'!$Y$44</f>
        <v>-</v>
      </c>
      <c r="N695" s="33">
        <v>0</v>
      </c>
      <c r="O695" s="33">
        <v>0</v>
      </c>
      <c r="P695" s="33">
        <v>0</v>
      </c>
      <c r="Q695" s="33">
        <f t="shared" si="296"/>
        <v>0.99999925869030826</v>
      </c>
      <c r="R695" s="33">
        <v>0</v>
      </c>
      <c r="S695" s="33">
        <f t="shared" si="297"/>
        <v>7.413096917604484E-7</v>
      </c>
      <c r="T695" s="8">
        <f t="shared" si="308"/>
        <v>1</v>
      </c>
      <c r="U695" s="33">
        <f t="shared" si="281"/>
        <v>0</v>
      </c>
      <c r="V695" s="33">
        <f t="shared" si="282"/>
        <v>-0.99999925869030826</v>
      </c>
      <c r="W695" s="33">
        <f t="shared" si="283"/>
        <v>398.94380074130964</v>
      </c>
      <c r="X695" s="33">
        <v>96485</v>
      </c>
      <c r="Y695" s="16">
        <f t="shared" si="284"/>
        <v>-241.85092811430573</v>
      </c>
      <c r="Z695" s="16">
        <v>6</v>
      </c>
      <c r="AA695" s="16">
        <v>13</v>
      </c>
      <c r="AB695" s="8">
        <f t="shared" si="285"/>
        <v>0.291497975708502</v>
      </c>
      <c r="AC695" s="16">
        <f t="shared" si="316"/>
        <v>61.758677094131734</v>
      </c>
      <c r="AD695" s="20">
        <f>'PFAS Properties'!$W$44</f>
        <v>6</v>
      </c>
      <c r="AE695" s="8">
        <f>'PFAS Properties'!$S$44</f>
        <v>3.7905666251460763</v>
      </c>
      <c r="AF695" s="15">
        <f>'PFAS Properties'!$V$44</f>
        <v>3.6</v>
      </c>
      <c r="AG695" s="24">
        <v>6.23</v>
      </c>
      <c r="AH695" s="2" t="s">
        <v>661</v>
      </c>
      <c r="AI695" s="2">
        <v>25</v>
      </c>
      <c r="AJ695" s="15">
        <f t="shared" si="310"/>
        <v>447.66765153550006</v>
      </c>
      <c r="AK695" s="15">
        <f t="shared" si="311"/>
        <v>2.5</v>
      </c>
      <c r="AL695" s="2">
        <v>11</v>
      </c>
      <c r="AM695" s="15">
        <f t="shared" si="312"/>
        <v>407.70941438102295</v>
      </c>
      <c r="AN695" s="15">
        <f t="shared" si="313"/>
        <v>1.1000000000000001</v>
      </c>
      <c r="AO695" s="2" t="s">
        <v>710</v>
      </c>
      <c r="AP695" s="71">
        <v>5.7400666666666664</v>
      </c>
      <c r="AQ695" s="70" t="s">
        <v>752</v>
      </c>
      <c r="AR695" s="2">
        <v>75</v>
      </c>
      <c r="AS695" s="2">
        <v>8.6</v>
      </c>
      <c r="AT695" s="2">
        <v>8.8000000000000007</v>
      </c>
      <c r="AU695" s="2" t="s">
        <v>661</v>
      </c>
      <c r="AV695" s="16">
        <f t="shared" si="302"/>
        <v>92.399999999999991</v>
      </c>
      <c r="AW695" s="20">
        <v>3.6</v>
      </c>
      <c r="AX695" s="8">
        <f t="shared" si="301"/>
        <v>3.6000000000000004E-2</v>
      </c>
      <c r="AY695" s="8" t="s">
        <v>67</v>
      </c>
      <c r="AZ695" s="16">
        <f t="shared" si="315"/>
        <v>20</v>
      </c>
      <c r="BA695" s="16" t="s">
        <v>55</v>
      </c>
      <c r="BB695" s="16">
        <v>10</v>
      </c>
      <c r="BC695" s="16" t="s">
        <v>55</v>
      </c>
      <c r="BD695" s="18">
        <v>3.19</v>
      </c>
      <c r="BE695" s="15">
        <f t="shared" si="317"/>
        <v>88.6111111111111</v>
      </c>
      <c r="BF695" s="15">
        <f t="shared" si="288"/>
        <v>1.9474881822898937</v>
      </c>
      <c r="BG695" s="8">
        <f t="shared" si="309"/>
        <v>0.50379068305718111</v>
      </c>
      <c r="BH695" s="2" t="s">
        <v>841</v>
      </c>
      <c r="BI695" s="2"/>
      <c r="BJ695" s="2"/>
      <c r="BK695" s="2"/>
      <c r="BL695" s="2"/>
      <c r="BM695" s="20"/>
      <c r="BN695" s="20"/>
      <c r="BO695" s="2"/>
    </row>
    <row r="696" spans="1:67" s="14" customFormat="1" x14ac:dyDescent="0.3">
      <c r="A696" s="20">
        <v>711</v>
      </c>
      <c r="B696" s="2" t="s">
        <v>219</v>
      </c>
      <c r="C696" s="2">
        <v>2020</v>
      </c>
      <c r="D696" s="2" t="s">
        <v>201</v>
      </c>
      <c r="E696" s="10" t="s">
        <v>801</v>
      </c>
      <c r="F696" s="20" t="s">
        <v>63</v>
      </c>
      <c r="G696" s="2" t="s">
        <v>75</v>
      </c>
      <c r="H696" s="2" t="str">
        <f>'PFAS Properties'!$B$44</f>
        <v>PFHxS</v>
      </c>
      <c r="I696" s="2" t="str">
        <f>'PFAS Properties'!$C$44</f>
        <v>PFSA</v>
      </c>
      <c r="J696" s="2" t="str">
        <f>'PFAS Properties'!$D$44</f>
        <v>C6F13O3SH</v>
      </c>
      <c r="K696" s="25">
        <f>'PFAS Properties'!$P$44</f>
        <v>399.94379999999995</v>
      </c>
      <c r="L696" s="2">
        <f>'PFAS Properties'!$X$44</f>
        <v>0.1</v>
      </c>
      <c r="M696" s="2" t="str">
        <f>'PFAS Properties'!$Y$44</f>
        <v>-</v>
      </c>
      <c r="N696" s="33">
        <v>0</v>
      </c>
      <c r="O696" s="33">
        <v>0</v>
      </c>
      <c r="P696" s="33">
        <v>0</v>
      </c>
      <c r="Q696" s="33">
        <f t="shared" si="296"/>
        <v>0.99999993543458121</v>
      </c>
      <c r="R696" s="33">
        <v>0</v>
      </c>
      <c r="S696" s="33">
        <f t="shared" si="297"/>
        <v>6.4565418734771836E-8</v>
      </c>
      <c r="T696" s="8">
        <f t="shared" si="308"/>
        <v>1</v>
      </c>
      <c r="U696" s="33">
        <f t="shared" si="281"/>
        <v>0</v>
      </c>
      <c r="V696" s="33">
        <f t="shared" si="282"/>
        <v>-0.99999993543458121</v>
      </c>
      <c r="W696" s="33">
        <f t="shared" si="283"/>
        <v>398.94380006456538</v>
      </c>
      <c r="X696" s="33">
        <v>96485</v>
      </c>
      <c r="Y696" s="16">
        <f t="shared" si="284"/>
        <v>-241.85109219591922</v>
      </c>
      <c r="Z696" s="16">
        <v>6</v>
      </c>
      <c r="AA696" s="16">
        <v>13</v>
      </c>
      <c r="AB696" s="8">
        <f t="shared" si="285"/>
        <v>0.291497975708502</v>
      </c>
      <c r="AC696" s="16">
        <f t="shared" si="316"/>
        <v>61.758677094131734</v>
      </c>
      <c r="AD696" s="20">
        <f>'PFAS Properties'!$W$44</f>
        <v>6</v>
      </c>
      <c r="AE696" s="8">
        <f>'PFAS Properties'!$S$44</f>
        <v>3.7905666251460763</v>
      </c>
      <c r="AF696" s="15">
        <f>'PFAS Properties'!$V$44</f>
        <v>3.6</v>
      </c>
      <c r="AG696" s="24">
        <v>7.29</v>
      </c>
      <c r="AH696" s="2" t="s">
        <v>661</v>
      </c>
      <c r="AI696" s="2">
        <v>5.3</v>
      </c>
      <c r="AJ696" s="15">
        <f t="shared" si="310"/>
        <v>94.905542125526011</v>
      </c>
      <c r="AK696" s="15">
        <f t="shared" si="311"/>
        <v>0.53</v>
      </c>
      <c r="AL696" s="2">
        <v>2.1</v>
      </c>
      <c r="AM696" s="15">
        <f t="shared" si="312"/>
        <v>77.835433654558926</v>
      </c>
      <c r="AN696" s="15">
        <f t="shared" si="313"/>
        <v>0.21000000000000002</v>
      </c>
      <c r="AO696" s="2" t="s">
        <v>710</v>
      </c>
      <c r="AP696" s="71">
        <v>6.4225666666666674</v>
      </c>
      <c r="AQ696" s="70" t="s">
        <v>752</v>
      </c>
      <c r="AR696" s="2">
        <v>90</v>
      </c>
      <c r="AS696" s="2">
        <v>2.2999999999999998</v>
      </c>
      <c r="AT696" s="2">
        <v>0.3</v>
      </c>
      <c r="AU696" s="2" t="s">
        <v>661</v>
      </c>
      <c r="AV696" s="16">
        <f t="shared" si="302"/>
        <v>92.6</v>
      </c>
      <c r="AW696" s="20">
        <v>0.7</v>
      </c>
      <c r="AX696" s="8">
        <f t="shared" si="301"/>
        <v>6.9999999999999993E-3</v>
      </c>
      <c r="AY696" s="8" t="s">
        <v>67</v>
      </c>
      <c r="AZ696" s="16">
        <f t="shared" si="315"/>
        <v>20</v>
      </c>
      <c r="BA696" s="16" t="s">
        <v>55</v>
      </c>
      <c r="BB696" s="16">
        <v>10</v>
      </c>
      <c r="BC696" s="16" t="s">
        <v>55</v>
      </c>
      <c r="BD696" s="18">
        <v>0.73</v>
      </c>
      <c r="BE696" s="15">
        <f t="shared" si="317"/>
        <v>104.28571428571429</v>
      </c>
      <c r="BF696" s="15">
        <f t="shared" si="288"/>
        <v>2.018224820106199</v>
      </c>
      <c r="BG696" s="8">
        <f t="shared" si="309"/>
        <v>-0.13667713987954411</v>
      </c>
      <c r="BH696" s="2" t="s">
        <v>841</v>
      </c>
      <c r="BI696" s="2"/>
      <c r="BJ696" s="2"/>
      <c r="BK696" s="2"/>
      <c r="BL696" s="2"/>
      <c r="BM696" s="20"/>
      <c r="BN696" s="20"/>
      <c r="BO696" s="2"/>
    </row>
    <row r="697" spans="1:67" s="14" customFormat="1" x14ac:dyDescent="0.3">
      <c r="A697" s="20">
        <v>712</v>
      </c>
      <c r="B697" s="2" t="s">
        <v>219</v>
      </c>
      <c r="C697" s="2">
        <v>2020</v>
      </c>
      <c r="D697" s="2" t="s">
        <v>201</v>
      </c>
      <c r="E697" s="10" t="s">
        <v>801</v>
      </c>
      <c r="F697" s="20" t="s">
        <v>63</v>
      </c>
      <c r="G697" s="2" t="s">
        <v>76</v>
      </c>
      <c r="H697" s="2" t="str">
        <f>'PFAS Properties'!$B$44</f>
        <v>PFHxS</v>
      </c>
      <c r="I697" s="2" t="str">
        <f>'PFAS Properties'!$C$44</f>
        <v>PFSA</v>
      </c>
      <c r="J697" s="2" t="str">
        <f>'PFAS Properties'!$D$44</f>
        <v>C6F13O3SH</v>
      </c>
      <c r="K697" s="25">
        <f>'PFAS Properties'!$P$44</f>
        <v>399.94379999999995</v>
      </c>
      <c r="L697" s="2">
        <f>'PFAS Properties'!$X$44</f>
        <v>0.1</v>
      </c>
      <c r="M697" s="2" t="str">
        <f>'PFAS Properties'!$Y$44</f>
        <v>-</v>
      </c>
      <c r="N697" s="33">
        <v>0</v>
      </c>
      <c r="O697" s="33">
        <v>0</v>
      </c>
      <c r="P697" s="33">
        <v>0</v>
      </c>
      <c r="Q697" s="33">
        <f t="shared" si="296"/>
        <v>0.99999992237529434</v>
      </c>
      <c r="R697" s="33">
        <v>0</v>
      </c>
      <c r="S697" s="33">
        <f t="shared" si="297"/>
        <v>7.7624705637273547E-8</v>
      </c>
      <c r="T697" s="8">
        <f t="shared" si="308"/>
        <v>1</v>
      </c>
      <c r="U697" s="33">
        <f t="shared" si="281"/>
        <v>0</v>
      </c>
      <c r="V697" s="33">
        <f t="shared" si="282"/>
        <v>-0.99999992237529434</v>
      </c>
      <c r="W697" s="33">
        <f t="shared" si="283"/>
        <v>398.94380007762464</v>
      </c>
      <c r="X697" s="33">
        <v>96485</v>
      </c>
      <c r="Y697" s="16">
        <f t="shared" si="284"/>
        <v>-241.85108902959934</v>
      </c>
      <c r="Z697" s="16">
        <v>6</v>
      </c>
      <c r="AA697" s="16">
        <v>13</v>
      </c>
      <c r="AB697" s="8">
        <f t="shared" si="285"/>
        <v>0.291497975708502</v>
      </c>
      <c r="AC697" s="16">
        <f t="shared" si="316"/>
        <v>61.758677094131734</v>
      </c>
      <c r="AD697" s="20">
        <f>'PFAS Properties'!$W$44</f>
        <v>6</v>
      </c>
      <c r="AE697" s="8">
        <f>'PFAS Properties'!$S$44</f>
        <v>3.7905666251460763</v>
      </c>
      <c r="AF697" s="15">
        <f>'PFAS Properties'!$V$44</f>
        <v>3.6</v>
      </c>
      <c r="AG697" s="24">
        <v>7.21</v>
      </c>
      <c r="AH697" s="2" t="s">
        <v>661</v>
      </c>
      <c r="AI697" s="2">
        <v>37</v>
      </c>
      <c r="AJ697" s="15">
        <f t="shared" si="310"/>
        <v>662.54812427254012</v>
      </c>
      <c r="AK697" s="15">
        <f t="shared" si="311"/>
        <v>3.7</v>
      </c>
      <c r="AL697" s="2">
        <v>4.9000000000000004</v>
      </c>
      <c r="AM697" s="15">
        <f t="shared" si="312"/>
        <v>181.61601186063751</v>
      </c>
      <c r="AN697" s="15">
        <f t="shared" si="313"/>
        <v>0.49000000000000005</v>
      </c>
      <c r="AO697" s="2" t="s">
        <v>710</v>
      </c>
      <c r="AP697" s="71">
        <v>8.0642166666666668</v>
      </c>
      <c r="AQ697" s="70" t="s">
        <v>752</v>
      </c>
      <c r="AR697" s="2">
        <v>57</v>
      </c>
      <c r="AS697" s="2">
        <v>8</v>
      </c>
      <c r="AT697" s="2">
        <v>15</v>
      </c>
      <c r="AU697" s="2" t="s">
        <v>661</v>
      </c>
      <c r="AV697" s="16">
        <f t="shared" si="302"/>
        <v>80</v>
      </c>
      <c r="AW697" s="20">
        <v>4.8</v>
      </c>
      <c r="AX697" s="8">
        <f t="shared" si="301"/>
        <v>4.8000000000000001E-2</v>
      </c>
      <c r="AY697" s="8" t="s">
        <v>67</v>
      </c>
      <c r="AZ697" s="16">
        <f t="shared" si="315"/>
        <v>20</v>
      </c>
      <c r="BA697" s="16" t="s">
        <v>55</v>
      </c>
      <c r="BB697" s="16">
        <v>10</v>
      </c>
      <c r="BC697" s="16" t="s">
        <v>55</v>
      </c>
      <c r="BD697" s="18">
        <v>2.41</v>
      </c>
      <c r="BE697" s="15">
        <f t="shared" si="317"/>
        <v>50.208333333333336</v>
      </c>
      <c r="BF697" s="15">
        <f t="shared" si="288"/>
        <v>1.7007758051992812</v>
      </c>
      <c r="BG697" s="8">
        <f t="shared" si="309"/>
        <v>0.3820170425748684</v>
      </c>
      <c r="BH697" s="2" t="s">
        <v>841</v>
      </c>
      <c r="BI697" s="2"/>
      <c r="BJ697" s="2"/>
      <c r="BK697" s="2"/>
      <c r="BL697" s="2"/>
      <c r="BM697" s="20"/>
      <c r="BN697" s="20"/>
      <c r="BO697" s="2"/>
    </row>
    <row r="698" spans="1:67" s="14" customFormat="1" x14ac:dyDescent="0.3">
      <c r="A698" s="20">
        <v>713</v>
      </c>
      <c r="B698" s="2" t="s">
        <v>219</v>
      </c>
      <c r="C698" s="2">
        <v>2020</v>
      </c>
      <c r="D698" s="2" t="s">
        <v>201</v>
      </c>
      <c r="E698" s="10" t="s">
        <v>801</v>
      </c>
      <c r="F698" s="20" t="s">
        <v>63</v>
      </c>
      <c r="G698" s="2" t="s">
        <v>60</v>
      </c>
      <c r="H698" s="2" t="str">
        <f>'PFAS Properties'!$B$44</f>
        <v>PFHxS</v>
      </c>
      <c r="I698" s="2" t="str">
        <f>'PFAS Properties'!$C$44</f>
        <v>PFSA</v>
      </c>
      <c r="J698" s="2" t="str">
        <f>'PFAS Properties'!$D$44</f>
        <v>C6F13O3SH</v>
      </c>
      <c r="K698" s="25">
        <f>'PFAS Properties'!$P$44</f>
        <v>399.94379999999995</v>
      </c>
      <c r="L698" s="2">
        <f>'PFAS Properties'!$X$44</f>
        <v>0.1</v>
      </c>
      <c r="M698" s="2" t="str">
        <f>'PFAS Properties'!$Y$44</f>
        <v>-</v>
      </c>
      <c r="N698" s="33">
        <v>0</v>
      </c>
      <c r="O698" s="33">
        <v>0</v>
      </c>
      <c r="P698" s="33">
        <v>0</v>
      </c>
      <c r="Q698" s="33">
        <f t="shared" si="296"/>
        <v>0.99999987977357097</v>
      </c>
      <c r="R698" s="33">
        <v>0</v>
      </c>
      <c r="S698" s="33">
        <f t="shared" si="297"/>
        <v>1.2022642900734515E-7</v>
      </c>
      <c r="T698" s="8">
        <f t="shared" si="308"/>
        <v>1</v>
      </c>
      <c r="U698" s="33">
        <f t="shared" si="281"/>
        <v>0</v>
      </c>
      <c r="V698" s="33">
        <f t="shared" si="282"/>
        <v>-0.99999987977357097</v>
      </c>
      <c r="W698" s="33">
        <f t="shared" si="283"/>
        <v>398.94380012022634</v>
      </c>
      <c r="X698" s="33">
        <v>96485</v>
      </c>
      <c r="Y698" s="16">
        <f t="shared" si="284"/>
        <v>-241.85107870049899</v>
      </c>
      <c r="Z698" s="16">
        <v>6</v>
      </c>
      <c r="AA698" s="16">
        <v>13</v>
      </c>
      <c r="AB698" s="8">
        <f t="shared" si="285"/>
        <v>0.291497975708502</v>
      </c>
      <c r="AC698" s="16">
        <f t="shared" si="316"/>
        <v>61.758677094131734</v>
      </c>
      <c r="AD698" s="20">
        <f>'PFAS Properties'!$W$44</f>
        <v>6</v>
      </c>
      <c r="AE698" s="8">
        <f>'PFAS Properties'!$S$44</f>
        <v>3.7905666251460763</v>
      </c>
      <c r="AF698" s="15">
        <f>'PFAS Properties'!$V$44</f>
        <v>3.6</v>
      </c>
      <c r="AG698" s="24">
        <v>7.02</v>
      </c>
      <c r="AH698" s="2" t="s">
        <v>661</v>
      </c>
      <c r="AI698" s="2">
        <v>22</v>
      </c>
      <c r="AJ698" s="15">
        <f t="shared" si="310"/>
        <v>393.94753335124005</v>
      </c>
      <c r="AK698" s="15">
        <f t="shared" si="311"/>
        <v>2.2000000000000002</v>
      </c>
      <c r="AL698" s="2">
        <v>5.9</v>
      </c>
      <c r="AM698" s="15">
        <f t="shared" si="312"/>
        <v>218.68050407709413</v>
      </c>
      <c r="AN698" s="15">
        <f t="shared" si="313"/>
        <v>0.59000000000000008</v>
      </c>
      <c r="AO698" s="2" t="s">
        <v>710</v>
      </c>
      <c r="AP698" s="71">
        <v>14.11508666666667</v>
      </c>
      <c r="AQ698" s="70" t="s">
        <v>752</v>
      </c>
      <c r="AR698" s="2">
        <v>45</v>
      </c>
      <c r="AS698" s="2">
        <v>24</v>
      </c>
      <c r="AT698" s="2">
        <v>20</v>
      </c>
      <c r="AU698" s="2" t="s">
        <v>661</v>
      </c>
      <c r="AV698" s="16">
        <f t="shared" si="302"/>
        <v>89</v>
      </c>
      <c r="AW698" s="20">
        <v>2.9</v>
      </c>
      <c r="AX698" s="8">
        <f t="shared" si="301"/>
        <v>2.8999999999999998E-2</v>
      </c>
      <c r="AY698" s="8" t="s">
        <v>67</v>
      </c>
      <c r="AZ698" s="16">
        <f t="shared" si="315"/>
        <v>20</v>
      </c>
      <c r="BA698" s="16" t="s">
        <v>55</v>
      </c>
      <c r="BB698" s="16">
        <v>10</v>
      </c>
      <c r="BC698" s="16" t="s">
        <v>55</v>
      </c>
      <c r="BD698" s="18">
        <v>3.47</v>
      </c>
      <c r="BE698" s="15">
        <f t="shared" si="317"/>
        <v>119.65517241379312</v>
      </c>
      <c r="BF698" s="15">
        <f t="shared" si="288"/>
        <v>2.0779314768919179</v>
      </c>
      <c r="BG698" s="8">
        <f t="shared" si="309"/>
        <v>0.54032947479087379</v>
      </c>
      <c r="BH698" s="2" t="s">
        <v>841</v>
      </c>
      <c r="BI698" s="2"/>
      <c r="BJ698" s="2"/>
      <c r="BK698" s="2"/>
      <c r="BL698" s="2"/>
      <c r="BM698" s="20"/>
      <c r="BN698" s="20"/>
      <c r="BO698" s="2"/>
    </row>
    <row r="699" spans="1:67" s="14" customFormat="1" x14ac:dyDescent="0.3">
      <c r="A699" s="20">
        <v>714</v>
      </c>
      <c r="B699" s="2" t="s">
        <v>219</v>
      </c>
      <c r="C699" s="2">
        <v>2020</v>
      </c>
      <c r="D699" s="2" t="s">
        <v>201</v>
      </c>
      <c r="E699" s="10" t="s">
        <v>801</v>
      </c>
      <c r="F699" s="20" t="s">
        <v>63</v>
      </c>
      <c r="G699" s="2" t="s">
        <v>77</v>
      </c>
      <c r="H699" s="2" t="str">
        <f>'PFAS Properties'!$B$44</f>
        <v>PFHxS</v>
      </c>
      <c r="I699" s="2" t="str">
        <f>'PFAS Properties'!$C$44</f>
        <v>PFSA</v>
      </c>
      <c r="J699" s="2" t="str">
        <f>'PFAS Properties'!$D$44</f>
        <v>C6F13O3SH</v>
      </c>
      <c r="K699" s="25">
        <f>'PFAS Properties'!$P$44</f>
        <v>399.94379999999995</v>
      </c>
      <c r="L699" s="2">
        <f>'PFAS Properties'!$X$44</f>
        <v>0.1</v>
      </c>
      <c r="M699" s="2" t="str">
        <f>'PFAS Properties'!$Y$44</f>
        <v>-</v>
      </c>
      <c r="N699" s="33">
        <v>0</v>
      </c>
      <c r="O699" s="33">
        <v>0</v>
      </c>
      <c r="P699" s="33">
        <v>0</v>
      </c>
      <c r="Q699" s="33">
        <f t="shared" si="296"/>
        <v>0.99999994629682321</v>
      </c>
      <c r="R699" s="33">
        <v>0</v>
      </c>
      <c r="S699" s="33">
        <f t="shared" si="297"/>
        <v>5.3703176752993845E-8</v>
      </c>
      <c r="T699" s="8">
        <f t="shared" si="308"/>
        <v>1</v>
      </c>
      <c r="U699" s="33">
        <f t="shared" si="281"/>
        <v>0</v>
      </c>
      <c r="V699" s="33">
        <f t="shared" si="282"/>
        <v>-0.99999994629682321</v>
      </c>
      <c r="W699" s="33">
        <f t="shared" si="283"/>
        <v>398.94380005370311</v>
      </c>
      <c r="X699" s="33">
        <v>96485</v>
      </c>
      <c r="Y699" s="16">
        <f t="shared" si="284"/>
        <v>-241.85109482954951</v>
      </c>
      <c r="Z699" s="16">
        <v>6</v>
      </c>
      <c r="AA699" s="16">
        <v>13</v>
      </c>
      <c r="AB699" s="8">
        <f t="shared" si="285"/>
        <v>0.291497975708502</v>
      </c>
      <c r="AC699" s="16">
        <f t="shared" si="316"/>
        <v>61.758677094131734</v>
      </c>
      <c r="AD699" s="20">
        <f>'PFAS Properties'!$W$44</f>
        <v>6</v>
      </c>
      <c r="AE699" s="8">
        <f>'PFAS Properties'!$S$44</f>
        <v>3.7905666251460763</v>
      </c>
      <c r="AF699" s="15">
        <f>'PFAS Properties'!$V$44</f>
        <v>3.6</v>
      </c>
      <c r="AG699" s="24">
        <v>7.37</v>
      </c>
      <c r="AH699" s="2" t="s">
        <v>661</v>
      </c>
      <c r="AI699" s="2">
        <v>6.9</v>
      </c>
      <c r="AJ699" s="15">
        <f t="shared" si="310"/>
        <v>123.55627182379801</v>
      </c>
      <c r="AK699" s="15">
        <f t="shared" si="311"/>
        <v>0.69000000000000006</v>
      </c>
      <c r="AL699" s="2">
        <v>3.1</v>
      </c>
      <c r="AM699" s="15">
        <f t="shared" si="312"/>
        <v>114.89992587101557</v>
      </c>
      <c r="AN699" s="15">
        <f t="shared" si="313"/>
        <v>0.31</v>
      </c>
      <c r="AO699" s="2" t="s">
        <v>710</v>
      </c>
      <c r="AP699" s="71">
        <v>15.382516666666669</v>
      </c>
      <c r="AQ699" s="70" t="s">
        <v>752</v>
      </c>
      <c r="AR699" s="2">
        <v>73</v>
      </c>
      <c r="AS699" s="2">
        <v>4</v>
      </c>
      <c r="AT699" s="2">
        <v>9</v>
      </c>
      <c r="AU699" s="2" t="s">
        <v>661</v>
      </c>
      <c r="AV699" s="16">
        <f t="shared" si="302"/>
        <v>86</v>
      </c>
      <c r="AW699" s="20">
        <v>5.7</v>
      </c>
      <c r="AX699" s="8">
        <f t="shared" si="301"/>
        <v>5.7000000000000002E-2</v>
      </c>
      <c r="AY699" s="8" t="s">
        <v>67</v>
      </c>
      <c r="AZ699" s="16">
        <f t="shared" si="315"/>
        <v>20</v>
      </c>
      <c r="BA699" s="16" t="s">
        <v>55</v>
      </c>
      <c r="BB699" s="16">
        <v>10</v>
      </c>
      <c r="BC699" s="16" t="s">
        <v>55</v>
      </c>
      <c r="BD699" s="18">
        <v>3.46</v>
      </c>
      <c r="BE699" s="15">
        <f t="shared" si="317"/>
        <v>60.701754385964911</v>
      </c>
      <c r="BF699" s="15">
        <f t="shared" si="288"/>
        <v>1.7832012431202853</v>
      </c>
      <c r="BG699" s="8">
        <f t="shared" si="309"/>
        <v>0.53907609879277663</v>
      </c>
      <c r="BH699" s="2" t="s">
        <v>841</v>
      </c>
      <c r="BI699" s="2"/>
      <c r="BJ699" s="2"/>
      <c r="BK699" s="2"/>
      <c r="BL699" s="2"/>
      <c r="BM699" s="20"/>
      <c r="BN699" s="20"/>
      <c r="BO699" s="2"/>
    </row>
    <row r="700" spans="1:67" s="14" customFormat="1" x14ac:dyDescent="0.3">
      <c r="A700" s="20">
        <v>715</v>
      </c>
      <c r="B700" s="2" t="s">
        <v>219</v>
      </c>
      <c r="C700" s="2">
        <v>2020</v>
      </c>
      <c r="D700" s="2" t="s">
        <v>201</v>
      </c>
      <c r="E700" s="10" t="s">
        <v>801</v>
      </c>
      <c r="F700" s="20" t="s">
        <v>63</v>
      </c>
      <c r="G700" s="2" t="s">
        <v>78</v>
      </c>
      <c r="H700" s="2" t="str">
        <f>'PFAS Properties'!$B$44</f>
        <v>PFHxS</v>
      </c>
      <c r="I700" s="2" t="str">
        <f>'PFAS Properties'!$C$44</f>
        <v>PFSA</v>
      </c>
      <c r="J700" s="2" t="str">
        <f>'PFAS Properties'!$D$44</f>
        <v>C6F13O3SH</v>
      </c>
      <c r="K700" s="25">
        <f>'PFAS Properties'!$P$44</f>
        <v>399.94379999999995</v>
      </c>
      <c r="L700" s="2">
        <f>'PFAS Properties'!$X$44</f>
        <v>0.1</v>
      </c>
      <c r="M700" s="2" t="str">
        <f>'PFAS Properties'!$Y$44</f>
        <v>-</v>
      </c>
      <c r="N700" s="33">
        <v>0</v>
      </c>
      <c r="O700" s="33">
        <v>0</v>
      </c>
      <c r="P700" s="33">
        <v>0</v>
      </c>
      <c r="Q700" s="33">
        <f t="shared" si="296"/>
        <v>0.99999996532631619</v>
      </c>
      <c r="R700" s="33">
        <v>0</v>
      </c>
      <c r="S700" s="33">
        <f t="shared" si="297"/>
        <v>3.467368384298878E-8</v>
      </c>
      <c r="T700" s="8">
        <f t="shared" si="308"/>
        <v>1</v>
      </c>
      <c r="U700" s="33">
        <f t="shared" si="281"/>
        <v>0</v>
      </c>
      <c r="V700" s="33">
        <f t="shared" si="282"/>
        <v>-0.99999996532631619</v>
      </c>
      <c r="W700" s="33">
        <f t="shared" si="283"/>
        <v>398.9438000346737</v>
      </c>
      <c r="X700" s="33">
        <v>96485</v>
      </c>
      <c r="Y700" s="16">
        <f t="shared" si="284"/>
        <v>-241.85109944338961</v>
      </c>
      <c r="Z700" s="16">
        <v>6</v>
      </c>
      <c r="AA700" s="16">
        <v>13</v>
      </c>
      <c r="AB700" s="8">
        <f t="shared" si="285"/>
        <v>0.291497975708502</v>
      </c>
      <c r="AC700" s="16">
        <f t="shared" si="316"/>
        <v>61.758677094131734</v>
      </c>
      <c r="AD700" s="20">
        <f>'PFAS Properties'!$W$44</f>
        <v>6</v>
      </c>
      <c r="AE700" s="8">
        <f>'PFAS Properties'!$S$44</f>
        <v>3.7905666251460763</v>
      </c>
      <c r="AF700" s="15">
        <f>'PFAS Properties'!$V$44</f>
        <v>3.6</v>
      </c>
      <c r="AG700" s="24">
        <v>7.56</v>
      </c>
      <c r="AH700" s="2" t="s">
        <v>661</v>
      </c>
      <c r="AI700" s="2">
        <v>1.5</v>
      </c>
      <c r="AJ700" s="15">
        <f t="shared" si="310"/>
        <v>26.860059092130005</v>
      </c>
      <c r="AK700" s="15">
        <f t="shared" si="311"/>
        <v>0.15</v>
      </c>
      <c r="AL700" s="2">
        <v>0.6</v>
      </c>
      <c r="AM700" s="15">
        <f t="shared" si="312"/>
        <v>22.23869532987398</v>
      </c>
      <c r="AN700" s="15">
        <f t="shared" si="313"/>
        <v>0.06</v>
      </c>
      <c r="AO700" s="2" t="s">
        <v>710</v>
      </c>
      <c r="AP700" s="71">
        <v>11.48601666666667</v>
      </c>
      <c r="AQ700" s="70" t="s">
        <v>752</v>
      </c>
      <c r="AR700" s="2">
        <v>98</v>
      </c>
      <c r="AS700" s="2">
        <v>0.1</v>
      </c>
      <c r="AT700" s="2">
        <v>0.6</v>
      </c>
      <c r="AU700" s="2" t="s">
        <v>661</v>
      </c>
      <c r="AV700" s="16">
        <f t="shared" si="302"/>
        <v>98.699999999999989</v>
      </c>
      <c r="AW700" s="20">
        <v>0.1</v>
      </c>
      <c r="AX700" s="8">
        <f t="shared" si="301"/>
        <v>1E-3</v>
      </c>
      <c r="AY700" s="8" t="s">
        <v>67</v>
      </c>
      <c r="AZ700" s="16">
        <f t="shared" si="315"/>
        <v>20</v>
      </c>
      <c r="BA700" s="16" t="s">
        <v>55</v>
      </c>
      <c r="BB700" s="16">
        <v>10</v>
      </c>
      <c r="BC700" s="16" t="s">
        <v>55</v>
      </c>
      <c r="BD700" s="18">
        <v>0.35</v>
      </c>
      <c r="BE700" s="15">
        <f t="shared" si="317"/>
        <v>349.99999999999994</v>
      </c>
      <c r="BF700" s="15">
        <f t="shared" si="288"/>
        <v>2.5440680443502757</v>
      </c>
      <c r="BG700" s="8">
        <f t="shared" si="309"/>
        <v>-0.45593195564972439</v>
      </c>
      <c r="BH700" s="2" t="s">
        <v>841</v>
      </c>
      <c r="BI700" s="2"/>
      <c r="BJ700" s="2"/>
      <c r="BK700" s="2"/>
      <c r="BL700" s="2"/>
      <c r="BM700" s="20"/>
      <c r="BN700" s="20"/>
      <c r="BO700" s="2"/>
    </row>
    <row r="701" spans="1:67" s="14" customFormat="1" x14ac:dyDescent="0.3">
      <c r="A701" s="20">
        <v>716</v>
      </c>
      <c r="B701" s="2" t="s">
        <v>219</v>
      </c>
      <c r="C701" s="2">
        <v>2020</v>
      </c>
      <c r="D701" s="2" t="s">
        <v>201</v>
      </c>
      <c r="E701" s="10" t="s">
        <v>801</v>
      </c>
      <c r="F701" s="20" t="s">
        <v>63</v>
      </c>
      <c r="G701" s="2" t="s">
        <v>79</v>
      </c>
      <c r="H701" s="2" t="str">
        <f>'PFAS Properties'!$B$44</f>
        <v>PFHxS</v>
      </c>
      <c r="I701" s="2" t="str">
        <f>'PFAS Properties'!$C$44</f>
        <v>PFSA</v>
      </c>
      <c r="J701" s="2" t="str">
        <f>'PFAS Properties'!$D$44</f>
        <v>C6F13O3SH</v>
      </c>
      <c r="K701" s="25">
        <f>'PFAS Properties'!$P$44</f>
        <v>399.94379999999995</v>
      </c>
      <c r="L701" s="2">
        <f>'PFAS Properties'!$X$44</f>
        <v>0.1</v>
      </c>
      <c r="M701" s="2" t="str">
        <f>'PFAS Properties'!$Y$44</f>
        <v>-</v>
      </c>
      <c r="N701" s="33">
        <v>0</v>
      </c>
      <c r="O701" s="33">
        <v>0</v>
      </c>
      <c r="P701" s="33">
        <v>0</v>
      </c>
      <c r="Q701" s="33">
        <f t="shared" si="296"/>
        <v>0.99999997601167134</v>
      </c>
      <c r="R701" s="33">
        <v>0</v>
      </c>
      <c r="S701" s="33">
        <f t="shared" si="297"/>
        <v>2.3988328614754938E-8</v>
      </c>
      <c r="T701" s="8">
        <f t="shared" si="308"/>
        <v>1</v>
      </c>
      <c r="U701" s="33">
        <f t="shared" si="281"/>
        <v>0</v>
      </c>
      <c r="V701" s="33">
        <f t="shared" si="282"/>
        <v>-0.99999997601167134</v>
      </c>
      <c r="W701" s="33">
        <f t="shared" si="283"/>
        <v>398.94380002398827</v>
      </c>
      <c r="X701" s="33">
        <v>96485</v>
      </c>
      <c r="Y701" s="16">
        <f t="shared" si="284"/>
        <v>-241.85110203413242</v>
      </c>
      <c r="Z701" s="16">
        <v>6</v>
      </c>
      <c r="AA701" s="16">
        <v>13</v>
      </c>
      <c r="AB701" s="8">
        <f t="shared" si="285"/>
        <v>0.291497975708502</v>
      </c>
      <c r="AC701" s="16">
        <f t="shared" si="316"/>
        <v>61.758677094131734</v>
      </c>
      <c r="AD701" s="20">
        <f>'PFAS Properties'!$W$44</f>
        <v>6</v>
      </c>
      <c r="AE701" s="8">
        <f>'PFAS Properties'!$S$44</f>
        <v>3.7905666251460763</v>
      </c>
      <c r="AF701" s="15">
        <f>'PFAS Properties'!$V$44</f>
        <v>3.6</v>
      </c>
      <c r="AG701" s="24">
        <v>7.72</v>
      </c>
      <c r="AH701" s="2" t="s">
        <v>661</v>
      </c>
      <c r="AI701" s="2">
        <v>12</v>
      </c>
      <c r="AJ701" s="15">
        <f t="shared" si="310"/>
        <v>214.88047273704004</v>
      </c>
      <c r="AK701" s="15">
        <f t="shared" si="311"/>
        <v>1.2</v>
      </c>
      <c r="AL701" s="2">
        <v>5.8</v>
      </c>
      <c r="AM701" s="15">
        <f t="shared" si="312"/>
        <v>214.97405485544849</v>
      </c>
      <c r="AN701" s="15">
        <f t="shared" si="313"/>
        <v>0.57999999999999996</v>
      </c>
      <c r="AO701" s="2" t="s">
        <v>710</v>
      </c>
      <c r="AP701" s="71">
        <v>8.416266666666667</v>
      </c>
      <c r="AQ701" s="70" t="s">
        <v>752</v>
      </c>
      <c r="AR701" s="2">
        <v>32</v>
      </c>
      <c r="AS701" s="2">
        <v>31</v>
      </c>
      <c r="AT701" s="2">
        <v>38</v>
      </c>
      <c r="AU701" s="2" t="s">
        <v>661</v>
      </c>
      <c r="AV701" s="16">
        <f t="shared" si="302"/>
        <v>101</v>
      </c>
      <c r="AW701" s="20">
        <v>11</v>
      </c>
      <c r="AX701" s="8">
        <f t="shared" si="301"/>
        <v>0.11</v>
      </c>
      <c r="AY701" s="8" t="s">
        <v>67</v>
      </c>
      <c r="AZ701" s="16">
        <f t="shared" si="315"/>
        <v>20</v>
      </c>
      <c r="BA701" s="16" t="s">
        <v>55</v>
      </c>
      <c r="BB701" s="16">
        <v>10</v>
      </c>
      <c r="BC701" s="16" t="s">
        <v>55</v>
      </c>
      <c r="BD701" s="18">
        <v>7.71</v>
      </c>
      <c r="BE701" s="15">
        <f t="shared" si="317"/>
        <v>70.090909090909093</v>
      </c>
      <c r="BF701" s="15">
        <f t="shared" si="288"/>
        <v>1.8456616928927319</v>
      </c>
      <c r="BG701" s="8">
        <f t="shared" si="309"/>
        <v>0.88705437805095699</v>
      </c>
      <c r="BH701" s="2" t="s">
        <v>841</v>
      </c>
      <c r="BI701" s="2"/>
      <c r="BJ701" s="2"/>
      <c r="BK701" s="2"/>
      <c r="BL701" s="2"/>
      <c r="BM701" s="20"/>
      <c r="BN701" s="20"/>
      <c r="BO701" s="2"/>
    </row>
    <row r="702" spans="1:67" s="14" customFormat="1" x14ac:dyDescent="0.3">
      <c r="A702" s="20">
        <v>717</v>
      </c>
      <c r="B702" s="2" t="s">
        <v>219</v>
      </c>
      <c r="C702" s="2">
        <v>2020</v>
      </c>
      <c r="D702" s="2" t="s">
        <v>201</v>
      </c>
      <c r="E702" s="10" t="s">
        <v>801</v>
      </c>
      <c r="F702" s="20" t="s">
        <v>63</v>
      </c>
      <c r="G702" s="2" t="s">
        <v>80</v>
      </c>
      <c r="H702" s="2" t="str">
        <f>'PFAS Properties'!$B$44</f>
        <v>PFHxS</v>
      </c>
      <c r="I702" s="2" t="str">
        <f>'PFAS Properties'!$C$44</f>
        <v>PFSA</v>
      </c>
      <c r="J702" s="2" t="str">
        <f>'PFAS Properties'!$D$44</f>
        <v>C6F13O3SH</v>
      </c>
      <c r="K702" s="25">
        <f>'PFAS Properties'!$P$44</f>
        <v>399.94379999999995</v>
      </c>
      <c r="L702" s="2">
        <f>'PFAS Properties'!$X$44</f>
        <v>0.1</v>
      </c>
      <c r="M702" s="2" t="str">
        <f>'PFAS Properties'!$Y$44</f>
        <v>-</v>
      </c>
      <c r="N702" s="33">
        <v>0</v>
      </c>
      <c r="O702" s="33">
        <v>0</v>
      </c>
      <c r="P702" s="33">
        <v>0</v>
      </c>
      <c r="Q702" s="33">
        <f t="shared" si="296"/>
        <v>0.99999984151070587</v>
      </c>
      <c r="R702" s="33">
        <v>0</v>
      </c>
      <c r="S702" s="33">
        <f t="shared" si="297"/>
        <v>1.584892941272506E-7</v>
      </c>
      <c r="T702" s="8">
        <f t="shared" si="308"/>
        <v>1</v>
      </c>
      <c r="U702" s="33">
        <f t="shared" si="281"/>
        <v>0</v>
      </c>
      <c r="V702" s="33">
        <f t="shared" si="282"/>
        <v>-0.99999984151070587</v>
      </c>
      <c r="W702" s="33">
        <f t="shared" si="283"/>
        <v>398.94380015848924</v>
      </c>
      <c r="X702" s="33">
        <v>96485</v>
      </c>
      <c r="Y702" s="16">
        <f t="shared" si="284"/>
        <v>-241.8510694233866</v>
      </c>
      <c r="Z702" s="16">
        <v>6</v>
      </c>
      <c r="AA702" s="16">
        <v>13</v>
      </c>
      <c r="AB702" s="8">
        <f t="shared" si="285"/>
        <v>0.291497975708502</v>
      </c>
      <c r="AC702" s="16">
        <f t="shared" si="316"/>
        <v>61.758677094131734</v>
      </c>
      <c r="AD702" s="20">
        <f>'PFAS Properties'!$W$44</f>
        <v>6</v>
      </c>
      <c r="AE702" s="8">
        <f>'PFAS Properties'!$S$44</f>
        <v>3.7905666251460763</v>
      </c>
      <c r="AF702" s="15">
        <f>'PFAS Properties'!$V$44</f>
        <v>3.6</v>
      </c>
      <c r="AG702" s="24">
        <v>6.9</v>
      </c>
      <c r="AH702" s="2" t="s">
        <v>661</v>
      </c>
      <c r="AI702" s="2">
        <v>42</v>
      </c>
      <c r="AJ702" s="15">
        <f t="shared" si="310"/>
        <v>752.08165457964014</v>
      </c>
      <c r="AK702" s="15">
        <f t="shared" si="311"/>
        <v>4.2</v>
      </c>
      <c r="AL702" s="2">
        <v>1</v>
      </c>
      <c r="AM702" s="15">
        <f t="shared" si="312"/>
        <v>37.064492216456635</v>
      </c>
      <c r="AN702" s="15">
        <f t="shared" si="313"/>
        <v>0.1</v>
      </c>
      <c r="AO702" s="2" t="s">
        <v>710</v>
      </c>
      <c r="AP702" s="71">
        <v>5.6875666666666662</v>
      </c>
      <c r="AQ702" s="70" t="s">
        <v>752</v>
      </c>
      <c r="AR702" s="2">
        <v>19</v>
      </c>
      <c r="AS702" s="2">
        <v>36</v>
      </c>
      <c r="AT702" s="2">
        <v>32</v>
      </c>
      <c r="AU702" s="2" t="s">
        <v>661</v>
      </c>
      <c r="AV702" s="16">
        <f t="shared" si="302"/>
        <v>87</v>
      </c>
      <c r="AW702" s="20">
        <v>5.9</v>
      </c>
      <c r="AX702" s="8">
        <f t="shared" si="301"/>
        <v>5.9000000000000004E-2</v>
      </c>
      <c r="AY702" s="8" t="s">
        <v>67</v>
      </c>
      <c r="AZ702" s="16">
        <f t="shared" si="315"/>
        <v>20</v>
      </c>
      <c r="BA702" s="16" t="s">
        <v>55</v>
      </c>
      <c r="BB702" s="16">
        <v>10</v>
      </c>
      <c r="BC702" s="16" t="s">
        <v>55</v>
      </c>
      <c r="BD702" s="18">
        <v>4.18</v>
      </c>
      <c r="BE702" s="15">
        <f t="shared" si="317"/>
        <v>70.847457627118629</v>
      </c>
      <c r="BF702" s="15">
        <f t="shared" si="288"/>
        <v>1.850324270132891</v>
      </c>
      <c r="BG702" s="8">
        <f t="shared" si="309"/>
        <v>0.62117628177503514</v>
      </c>
      <c r="BH702" s="2" t="s">
        <v>841</v>
      </c>
      <c r="BI702" s="2"/>
      <c r="BJ702" s="2"/>
      <c r="BK702" s="2"/>
      <c r="BL702" s="2"/>
      <c r="BM702" s="20"/>
      <c r="BN702" s="20"/>
      <c r="BO702" s="2"/>
    </row>
    <row r="703" spans="1:67" s="14" customFormat="1" x14ac:dyDescent="0.3">
      <c r="A703" s="20">
        <v>718</v>
      </c>
      <c r="B703" s="2" t="s">
        <v>219</v>
      </c>
      <c r="C703" s="2">
        <v>2020</v>
      </c>
      <c r="D703" s="2" t="s">
        <v>201</v>
      </c>
      <c r="E703" s="10" t="s">
        <v>801</v>
      </c>
      <c r="F703" s="20" t="s">
        <v>63</v>
      </c>
      <c r="G703" s="2" t="s">
        <v>81</v>
      </c>
      <c r="H703" s="2" t="str">
        <f>'PFAS Properties'!$B$44</f>
        <v>PFHxS</v>
      </c>
      <c r="I703" s="2" t="str">
        <f>'PFAS Properties'!$C$44</f>
        <v>PFSA</v>
      </c>
      <c r="J703" s="2" t="str">
        <f>'PFAS Properties'!$D$44</f>
        <v>C6F13O3SH</v>
      </c>
      <c r="K703" s="25">
        <f>'PFAS Properties'!$P$44</f>
        <v>399.94379999999995</v>
      </c>
      <c r="L703" s="2">
        <f>'PFAS Properties'!$X$44</f>
        <v>0.1</v>
      </c>
      <c r="M703" s="2" t="str">
        <f>'PFAS Properties'!$Y$44</f>
        <v>-</v>
      </c>
      <c r="N703" s="33">
        <v>0</v>
      </c>
      <c r="O703" s="33">
        <v>0</v>
      </c>
      <c r="P703" s="33">
        <v>0</v>
      </c>
      <c r="Q703" s="33">
        <f t="shared" ref="Q703:Q765" si="318">(10^(AG703-L703))/(1+(10^(AG703-L703)))</f>
        <v>0.99999979107043058</v>
      </c>
      <c r="R703" s="33">
        <v>0</v>
      </c>
      <c r="S703" s="33">
        <f t="shared" ref="S703:S765" si="319">(1/(1+(10^(AG703-L703))))</f>
        <v>2.0892956943382908E-7</v>
      </c>
      <c r="T703" s="8">
        <f t="shared" si="308"/>
        <v>1</v>
      </c>
      <c r="U703" s="33">
        <f t="shared" si="281"/>
        <v>0</v>
      </c>
      <c r="V703" s="33">
        <f t="shared" si="282"/>
        <v>-0.99999979107043058</v>
      </c>
      <c r="W703" s="33">
        <f t="shared" si="283"/>
        <v>398.94380020892953</v>
      </c>
      <c r="X703" s="33">
        <v>96485</v>
      </c>
      <c r="Y703" s="16">
        <f t="shared" si="284"/>
        <v>-241.85105719377182</v>
      </c>
      <c r="Z703" s="16">
        <v>6</v>
      </c>
      <c r="AA703" s="16">
        <v>13</v>
      </c>
      <c r="AB703" s="8">
        <f t="shared" si="285"/>
        <v>0.291497975708502</v>
      </c>
      <c r="AC703" s="16">
        <f t="shared" si="316"/>
        <v>61.758677094131734</v>
      </c>
      <c r="AD703" s="20">
        <f>'PFAS Properties'!$W$44</f>
        <v>6</v>
      </c>
      <c r="AE703" s="8">
        <f>'PFAS Properties'!$S$44</f>
        <v>3.7905666251460763</v>
      </c>
      <c r="AF703" s="15">
        <f>'PFAS Properties'!$V$44</f>
        <v>3.6</v>
      </c>
      <c r="AG703" s="24">
        <v>6.78</v>
      </c>
      <c r="AH703" s="2" t="s">
        <v>661</v>
      </c>
      <c r="AI703" s="2">
        <v>15</v>
      </c>
      <c r="AJ703" s="15">
        <f t="shared" si="310"/>
        <v>268.60059092130001</v>
      </c>
      <c r="AK703" s="15">
        <f t="shared" si="311"/>
        <v>1.5</v>
      </c>
      <c r="AL703" s="2">
        <v>4.9000000000000004</v>
      </c>
      <c r="AM703" s="15">
        <f t="shared" si="312"/>
        <v>181.61601186063751</v>
      </c>
      <c r="AN703" s="15">
        <f t="shared" si="313"/>
        <v>0.49000000000000005</v>
      </c>
      <c r="AO703" s="2" t="s">
        <v>710</v>
      </c>
      <c r="AP703" s="71">
        <v>6.7671166666666656</v>
      </c>
      <c r="AQ703" s="70" t="s">
        <v>752</v>
      </c>
      <c r="AR703" s="2">
        <v>79</v>
      </c>
      <c r="AS703" s="2">
        <v>4</v>
      </c>
      <c r="AT703" s="2">
        <v>9</v>
      </c>
      <c r="AU703" s="2" t="s">
        <v>661</v>
      </c>
      <c r="AV703" s="16">
        <f t="shared" si="302"/>
        <v>92</v>
      </c>
      <c r="AW703" s="20">
        <v>3.2</v>
      </c>
      <c r="AX703" s="8">
        <f t="shared" si="301"/>
        <v>3.2000000000000001E-2</v>
      </c>
      <c r="AY703" s="8" t="s">
        <v>67</v>
      </c>
      <c r="AZ703" s="16">
        <f t="shared" si="315"/>
        <v>20</v>
      </c>
      <c r="BA703" s="16" t="s">
        <v>55</v>
      </c>
      <c r="BB703" s="16">
        <v>10</v>
      </c>
      <c r="BC703" s="16" t="s">
        <v>55</v>
      </c>
      <c r="BD703" s="18">
        <v>2.83</v>
      </c>
      <c r="BE703" s="15">
        <f t="shared" si="317"/>
        <v>88.4375</v>
      </c>
      <c r="BF703" s="15">
        <f t="shared" si="288"/>
        <v>1.9466364572043842</v>
      </c>
      <c r="BG703" s="8">
        <f t="shared" si="309"/>
        <v>0.45178643552429026</v>
      </c>
      <c r="BH703" s="2" t="s">
        <v>841</v>
      </c>
      <c r="BI703" s="2"/>
      <c r="BJ703" s="2"/>
      <c r="BK703" s="2"/>
      <c r="BL703" s="2"/>
      <c r="BM703" s="20"/>
      <c r="BN703" s="20"/>
      <c r="BO703" s="2"/>
    </row>
    <row r="704" spans="1:67" s="14" customFormat="1" x14ac:dyDescent="0.3">
      <c r="A704" s="20">
        <v>719</v>
      </c>
      <c r="B704" s="2" t="s">
        <v>219</v>
      </c>
      <c r="C704" s="2">
        <v>2020</v>
      </c>
      <c r="D704" s="2" t="s">
        <v>201</v>
      </c>
      <c r="E704" s="10" t="s">
        <v>801</v>
      </c>
      <c r="F704" s="20" t="s">
        <v>63</v>
      </c>
      <c r="G704" s="2" t="s">
        <v>82</v>
      </c>
      <c r="H704" s="2" t="str">
        <f>'PFAS Properties'!$B$44</f>
        <v>PFHxS</v>
      </c>
      <c r="I704" s="2" t="str">
        <f>'PFAS Properties'!$C$44</f>
        <v>PFSA</v>
      </c>
      <c r="J704" s="2" t="str">
        <f>'PFAS Properties'!$D$44</f>
        <v>C6F13O3SH</v>
      </c>
      <c r="K704" s="25">
        <f>'PFAS Properties'!$P$44</f>
        <v>399.94379999999995</v>
      </c>
      <c r="L704" s="2">
        <f>'PFAS Properties'!$X$44</f>
        <v>0.1</v>
      </c>
      <c r="M704" s="2" t="str">
        <f>'PFAS Properties'!$Y$44</f>
        <v>-</v>
      </c>
      <c r="N704" s="33">
        <v>0</v>
      </c>
      <c r="O704" s="33">
        <v>0</v>
      </c>
      <c r="P704" s="33">
        <v>0</v>
      </c>
      <c r="Q704" s="33">
        <f t="shared" si="318"/>
        <v>0.99999993081690774</v>
      </c>
      <c r="R704" s="33">
        <v>0</v>
      </c>
      <c r="S704" s="33">
        <f t="shared" si="319"/>
        <v>6.9183092305592872E-8</v>
      </c>
      <c r="T704" s="8">
        <f t="shared" si="308"/>
        <v>1</v>
      </c>
      <c r="U704" s="33">
        <f t="shared" si="281"/>
        <v>0</v>
      </c>
      <c r="V704" s="33">
        <f t="shared" si="282"/>
        <v>-0.99999993081690774</v>
      </c>
      <c r="W704" s="33">
        <f t="shared" si="283"/>
        <v>398.94380006918306</v>
      </c>
      <c r="X704" s="33">
        <v>96485</v>
      </c>
      <c r="Y704" s="16">
        <f t="shared" si="284"/>
        <v>-241.85109107633042</v>
      </c>
      <c r="Z704" s="16">
        <v>6</v>
      </c>
      <c r="AA704" s="16">
        <v>13</v>
      </c>
      <c r="AB704" s="8">
        <f t="shared" si="285"/>
        <v>0.291497975708502</v>
      </c>
      <c r="AC704" s="16">
        <f t="shared" si="316"/>
        <v>61.758677094131734</v>
      </c>
      <c r="AD704" s="20">
        <f>'PFAS Properties'!$W$44</f>
        <v>6</v>
      </c>
      <c r="AE704" s="8">
        <f>'PFAS Properties'!$S$44</f>
        <v>3.7905666251460763</v>
      </c>
      <c r="AF704" s="15">
        <f>'PFAS Properties'!$V$44</f>
        <v>3.6</v>
      </c>
      <c r="AG704" s="24">
        <v>7.26</v>
      </c>
      <c r="AH704" s="2" t="s">
        <v>661</v>
      </c>
      <c r="AI704" s="2">
        <v>26</v>
      </c>
      <c r="AJ704" s="15">
        <f t="shared" si="310"/>
        <v>465.57435759692004</v>
      </c>
      <c r="AK704" s="15">
        <f t="shared" si="311"/>
        <v>2.6</v>
      </c>
      <c r="AL704" s="2">
        <v>9.1999999999999993</v>
      </c>
      <c r="AM704" s="15">
        <f t="shared" si="312"/>
        <v>340.99332839140101</v>
      </c>
      <c r="AN704" s="15">
        <f t="shared" si="313"/>
        <v>0.91999999999999993</v>
      </c>
      <c r="AO704" s="2" t="s">
        <v>710</v>
      </c>
      <c r="AP704" s="71">
        <v>12.88201666666667</v>
      </c>
      <c r="AQ704" s="70" t="s">
        <v>752</v>
      </c>
      <c r="AR704" s="2">
        <v>37</v>
      </c>
      <c r="AS704" s="2">
        <v>14</v>
      </c>
      <c r="AT704" s="2">
        <v>34</v>
      </c>
      <c r="AU704" s="2" t="s">
        <v>661</v>
      </c>
      <c r="AV704" s="16">
        <f t="shared" si="302"/>
        <v>85</v>
      </c>
      <c r="AW704" s="20">
        <v>10</v>
      </c>
      <c r="AX704" s="8">
        <f t="shared" si="301"/>
        <v>0.1</v>
      </c>
      <c r="AY704" s="8" t="s">
        <v>67</v>
      </c>
      <c r="AZ704" s="16">
        <f t="shared" si="315"/>
        <v>20</v>
      </c>
      <c r="BA704" s="16" t="s">
        <v>55</v>
      </c>
      <c r="BB704" s="16">
        <v>10</v>
      </c>
      <c r="BC704" s="16" t="s">
        <v>55</v>
      </c>
      <c r="BD704" s="18">
        <v>8.18</v>
      </c>
      <c r="BE704" s="15">
        <f t="shared" si="317"/>
        <v>81.8</v>
      </c>
      <c r="BF704" s="15">
        <f t="shared" si="288"/>
        <v>1.9127533036713229</v>
      </c>
      <c r="BG704" s="8">
        <f t="shared" si="309"/>
        <v>0.91275330367132301</v>
      </c>
      <c r="BH704" s="2" t="s">
        <v>841</v>
      </c>
      <c r="BI704" s="2"/>
      <c r="BJ704" s="2"/>
      <c r="BK704" s="2"/>
      <c r="BL704" s="2"/>
      <c r="BM704" s="20"/>
      <c r="BN704" s="20"/>
      <c r="BO704" s="2"/>
    </row>
    <row r="705" spans="1:67" s="14" customFormat="1" x14ac:dyDescent="0.3">
      <c r="A705" s="20">
        <v>720</v>
      </c>
      <c r="B705" s="2" t="s">
        <v>219</v>
      </c>
      <c r="C705" s="2">
        <v>2020</v>
      </c>
      <c r="D705" s="2" t="s">
        <v>201</v>
      </c>
      <c r="E705" s="10" t="s">
        <v>801</v>
      </c>
      <c r="F705" s="20" t="s">
        <v>63</v>
      </c>
      <c r="G705" s="2" t="s">
        <v>83</v>
      </c>
      <c r="H705" s="2" t="str">
        <f>'PFAS Properties'!$B$44</f>
        <v>PFHxS</v>
      </c>
      <c r="I705" s="2" t="str">
        <f>'PFAS Properties'!$C$44</f>
        <v>PFSA</v>
      </c>
      <c r="J705" s="2" t="str">
        <f>'PFAS Properties'!$D$44</f>
        <v>C6F13O3SH</v>
      </c>
      <c r="K705" s="25">
        <f>'PFAS Properties'!$P$44</f>
        <v>399.94379999999995</v>
      </c>
      <c r="L705" s="2">
        <f>'PFAS Properties'!$X$44</f>
        <v>0.1</v>
      </c>
      <c r="M705" s="2" t="str">
        <f>'PFAS Properties'!$Y$44</f>
        <v>-</v>
      </c>
      <c r="N705" s="33">
        <v>0</v>
      </c>
      <c r="O705" s="33">
        <v>0</v>
      </c>
      <c r="P705" s="33">
        <v>0</v>
      </c>
      <c r="Q705" s="33">
        <f t="shared" si="318"/>
        <v>0.99999991682362976</v>
      </c>
      <c r="R705" s="33">
        <v>0</v>
      </c>
      <c r="S705" s="33">
        <f t="shared" si="319"/>
        <v>8.3176370191957686E-8</v>
      </c>
      <c r="T705" s="8">
        <f t="shared" si="308"/>
        <v>1</v>
      </c>
      <c r="U705" s="33">
        <f t="shared" si="281"/>
        <v>0</v>
      </c>
      <c r="V705" s="33">
        <f t="shared" si="282"/>
        <v>-0.99999991682362976</v>
      </c>
      <c r="W705" s="33">
        <f t="shared" si="283"/>
        <v>398.94380008317631</v>
      </c>
      <c r="X705" s="33">
        <v>96485</v>
      </c>
      <c r="Y705" s="16">
        <f t="shared" si="284"/>
        <v>-241.85108768355752</v>
      </c>
      <c r="Z705" s="16">
        <v>6</v>
      </c>
      <c r="AA705" s="16">
        <v>13</v>
      </c>
      <c r="AB705" s="8">
        <f t="shared" si="285"/>
        <v>0.291497975708502</v>
      </c>
      <c r="AC705" s="16">
        <f t="shared" si="316"/>
        <v>61.758677094131734</v>
      </c>
      <c r="AD705" s="20">
        <f>'PFAS Properties'!$W$44</f>
        <v>6</v>
      </c>
      <c r="AE705" s="8">
        <f>'PFAS Properties'!$S$44</f>
        <v>3.7905666251460763</v>
      </c>
      <c r="AF705" s="15">
        <f>'PFAS Properties'!$V$44</f>
        <v>3.6</v>
      </c>
      <c r="AG705" s="24">
        <v>7.18</v>
      </c>
      <c r="AH705" s="2" t="s">
        <v>661</v>
      </c>
      <c r="AI705" s="2">
        <v>25</v>
      </c>
      <c r="AJ705" s="15">
        <f t="shared" si="310"/>
        <v>447.66765153550006</v>
      </c>
      <c r="AK705" s="15">
        <f t="shared" si="311"/>
        <v>2.5</v>
      </c>
      <c r="AL705" s="2">
        <v>8.1999999999999993</v>
      </c>
      <c r="AM705" s="15">
        <f t="shared" si="312"/>
        <v>303.92883617494442</v>
      </c>
      <c r="AN705" s="15">
        <f t="shared" si="313"/>
        <v>0.82</v>
      </c>
      <c r="AO705" s="2" t="s">
        <v>710</v>
      </c>
      <c r="AP705" s="71">
        <v>12.04371666666666</v>
      </c>
      <c r="AQ705" s="70" t="s">
        <v>752</v>
      </c>
      <c r="AR705" s="2">
        <v>44</v>
      </c>
      <c r="AS705" s="2">
        <v>14</v>
      </c>
      <c r="AT705" s="2">
        <v>24</v>
      </c>
      <c r="AU705" s="2" t="s">
        <v>661</v>
      </c>
      <c r="AV705" s="16">
        <f t="shared" si="302"/>
        <v>82</v>
      </c>
      <c r="AW705" s="20">
        <v>10.1</v>
      </c>
      <c r="AX705" s="8">
        <f t="shared" si="301"/>
        <v>0.10099999999999999</v>
      </c>
      <c r="AY705" s="8" t="s">
        <v>67</v>
      </c>
      <c r="AZ705" s="16">
        <f t="shared" si="315"/>
        <v>20</v>
      </c>
      <c r="BA705" s="16" t="s">
        <v>55</v>
      </c>
      <c r="BB705" s="16">
        <v>10</v>
      </c>
      <c r="BC705" s="16" t="s">
        <v>55</v>
      </c>
      <c r="BD705" s="18">
        <v>6.21</v>
      </c>
      <c r="BE705" s="15">
        <f t="shared" si="317"/>
        <v>61.485148514851488</v>
      </c>
      <c r="BF705" s="15">
        <f t="shared" si="288"/>
        <v>1.7887702263939376</v>
      </c>
      <c r="BG705" s="8">
        <f t="shared" si="309"/>
        <v>0.7930916001765802</v>
      </c>
      <c r="BH705" s="2" t="s">
        <v>841</v>
      </c>
      <c r="BI705" s="2"/>
      <c r="BJ705" s="2"/>
      <c r="BK705" s="2"/>
      <c r="BL705" s="2"/>
      <c r="BM705" s="20"/>
      <c r="BN705" s="20"/>
      <c r="BO705" s="2"/>
    </row>
    <row r="706" spans="1:67" s="14" customFormat="1" x14ac:dyDescent="0.3">
      <c r="A706" s="20">
        <v>721</v>
      </c>
      <c r="B706" s="2" t="s">
        <v>219</v>
      </c>
      <c r="C706" s="2">
        <v>2020</v>
      </c>
      <c r="D706" s="2" t="s">
        <v>201</v>
      </c>
      <c r="E706" s="10" t="s">
        <v>801</v>
      </c>
      <c r="F706" s="20" t="s">
        <v>63</v>
      </c>
      <c r="G706" s="2" t="s">
        <v>84</v>
      </c>
      <c r="H706" s="2" t="str">
        <f>'PFAS Properties'!$B$44</f>
        <v>PFHxS</v>
      </c>
      <c r="I706" s="2" t="str">
        <f>'PFAS Properties'!$C$44</f>
        <v>PFSA</v>
      </c>
      <c r="J706" s="2" t="str">
        <f>'PFAS Properties'!$D$44</f>
        <v>C6F13O3SH</v>
      </c>
      <c r="K706" s="25">
        <f>'PFAS Properties'!$P$44</f>
        <v>399.94379999999995</v>
      </c>
      <c r="L706" s="2">
        <f>'PFAS Properties'!$X$44</f>
        <v>0.1</v>
      </c>
      <c r="M706" s="2" t="str">
        <f>'PFAS Properties'!$Y$44</f>
        <v>-</v>
      </c>
      <c r="N706" s="33">
        <v>0</v>
      </c>
      <c r="O706" s="33">
        <v>0</v>
      </c>
      <c r="P706" s="33">
        <v>0</v>
      </c>
      <c r="Q706" s="33">
        <f t="shared" si="318"/>
        <v>0.99999989767071129</v>
      </c>
      <c r="R706" s="33">
        <v>0</v>
      </c>
      <c r="S706" s="33">
        <f t="shared" si="319"/>
        <v>1.0232928875679092E-7</v>
      </c>
      <c r="T706" s="8">
        <f t="shared" si="308"/>
        <v>1</v>
      </c>
      <c r="U706" s="33">
        <f t="shared" si="281"/>
        <v>0</v>
      </c>
      <c r="V706" s="33">
        <f t="shared" si="282"/>
        <v>-0.99999989767071129</v>
      </c>
      <c r="W706" s="33">
        <f t="shared" si="283"/>
        <v>398.94380010232925</v>
      </c>
      <c r="X706" s="33">
        <v>96485</v>
      </c>
      <c r="Y706" s="16">
        <f t="shared" si="284"/>
        <v>-241.85108303979192</v>
      </c>
      <c r="Z706" s="16">
        <v>6</v>
      </c>
      <c r="AA706" s="16">
        <v>13</v>
      </c>
      <c r="AB706" s="8">
        <f t="shared" si="285"/>
        <v>0.291497975708502</v>
      </c>
      <c r="AC706" s="16">
        <f t="shared" si="316"/>
        <v>61.758677094131734</v>
      </c>
      <c r="AD706" s="20">
        <f>'PFAS Properties'!$W$44</f>
        <v>6</v>
      </c>
      <c r="AE706" s="8">
        <f>'PFAS Properties'!$S$44</f>
        <v>3.7905666251460763</v>
      </c>
      <c r="AF706" s="15">
        <f>'PFAS Properties'!$V$44</f>
        <v>3.6</v>
      </c>
      <c r="AG706" s="24">
        <v>7.09</v>
      </c>
      <c r="AH706" s="2" t="s">
        <v>661</v>
      </c>
      <c r="AI706" s="2">
        <v>28</v>
      </c>
      <c r="AJ706" s="15">
        <f t="shared" si="310"/>
        <v>501.38776971976006</v>
      </c>
      <c r="AK706" s="15">
        <f t="shared" si="311"/>
        <v>2.8</v>
      </c>
      <c r="AL706" s="2">
        <v>10</v>
      </c>
      <c r="AM706" s="15">
        <f t="shared" si="312"/>
        <v>370.64492216456637</v>
      </c>
      <c r="AN706" s="15">
        <f t="shared" si="313"/>
        <v>1</v>
      </c>
      <c r="AO706" s="2" t="s">
        <v>710</v>
      </c>
      <c r="AP706" s="71">
        <v>15.281916666666669</v>
      </c>
      <c r="AQ706" s="70" t="s">
        <v>752</v>
      </c>
      <c r="AR706" s="2">
        <v>15</v>
      </c>
      <c r="AS706" s="2">
        <v>26</v>
      </c>
      <c r="AT706" s="2">
        <v>42</v>
      </c>
      <c r="AU706" s="2" t="s">
        <v>661</v>
      </c>
      <c r="AV706" s="16">
        <f t="shared" si="302"/>
        <v>83</v>
      </c>
      <c r="AW706" s="20">
        <v>5.6</v>
      </c>
      <c r="AX706" s="8">
        <f t="shared" si="301"/>
        <v>5.5999999999999994E-2</v>
      </c>
      <c r="AY706" s="8" t="s">
        <v>67</v>
      </c>
      <c r="AZ706" s="16">
        <f t="shared" si="315"/>
        <v>20</v>
      </c>
      <c r="BA706" s="16" t="s">
        <v>55</v>
      </c>
      <c r="BB706" s="16">
        <v>10</v>
      </c>
      <c r="BC706" s="16" t="s">
        <v>55</v>
      </c>
      <c r="BD706" s="18">
        <v>6.21</v>
      </c>
      <c r="BE706" s="15">
        <f t="shared" si="317"/>
        <v>110.89285714285715</v>
      </c>
      <c r="BF706" s="15">
        <f t="shared" si="288"/>
        <v>2.0449035731703797</v>
      </c>
      <c r="BG706" s="8">
        <f t="shared" si="309"/>
        <v>0.7930916001765802</v>
      </c>
      <c r="BH706" s="2" t="s">
        <v>841</v>
      </c>
      <c r="BI706" s="2"/>
      <c r="BJ706" s="2"/>
      <c r="BK706" s="2"/>
      <c r="BL706" s="2"/>
      <c r="BM706" s="20"/>
      <c r="BN706" s="20"/>
      <c r="BO706" s="2"/>
    </row>
    <row r="707" spans="1:67" s="14" customFormat="1" x14ac:dyDescent="0.3">
      <c r="A707" s="20">
        <v>722</v>
      </c>
      <c r="B707" s="2" t="s">
        <v>181</v>
      </c>
      <c r="C707" s="2">
        <v>2020</v>
      </c>
      <c r="D707" s="2" t="s">
        <v>203</v>
      </c>
      <c r="E707" s="10" t="s">
        <v>787</v>
      </c>
      <c r="F707" s="20" t="s">
        <v>29</v>
      </c>
      <c r="G707" s="2" t="s">
        <v>62</v>
      </c>
      <c r="H707" s="2" t="str">
        <f>'PFAS Properties'!$B$44</f>
        <v>PFHxS</v>
      </c>
      <c r="I707" s="2" t="str">
        <f>'PFAS Properties'!$C$44</f>
        <v>PFSA</v>
      </c>
      <c r="J707" s="2" t="str">
        <f>'PFAS Properties'!$D$44</f>
        <v>C6F13O3SH</v>
      </c>
      <c r="K707" s="25">
        <f>'PFAS Properties'!$P$44</f>
        <v>399.94379999999995</v>
      </c>
      <c r="L707" s="2">
        <f>'PFAS Properties'!$X$44</f>
        <v>0.1</v>
      </c>
      <c r="M707" s="2" t="str">
        <f>'PFAS Properties'!$Y$44</f>
        <v>-</v>
      </c>
      <c r="N707" s="33">
        <v>0</v>
      </c>
      <c r="O707" s="33">
        <v>0</v>
      </c>
      <c r="P707" s="33">
        <v>0</v>
      </c>
      <c r="Q707" s="33">
        <f t="shared" si="318"/>
        <v>0.9999999601892845</v>
      </c>
      <c r="R707" s="33">
        <v>0</v>
      </c>
      <c r="S707" s="33">
        <f t="shared" si="319"/>
        <v>3.9810715470456442E-8</v>
      </c>
      <c r="T707" s="8">
        <f t="shared" si="308"/>
        <v>1</v>
      </c>
      <c r="U707" s="33">
        <f t="shared" si="281"/>
        <v>0</v>
      </c>
      <c r="V707" s="33">
        <f t="shared" si="282"/>
        <v>-0.9999999601892845</v>
      </c>
      <c r="W707" s="33">
        <f t="shared" si="283"/>
        <v>398.94380003981064</v>
      </c>
      <c r="X707" s="33">
        <v>96485</v>
      </c>
      <c r="Y707" s="16">
        <f t="shared" si="284"/>
        <v>-241.85109819787866</v>
      </c>
      <c r="Z707" s="16">
        <v>6</v>
      </c>
      <c r="AA707" s="16">
        <v>13</v>
      </c>
      <c r="AB707" s="8">
        <f t="shared" si="285"/>
        <v>0.291497975708502</v>
      </c>
      <c r="AC707" s="16">
        <f t="shared" si="316"/>
        <v>61.758677094131734</v>
      </c>
      <c r="AD707" s="20">
        <f>'PFAS Properties'!$W$44</f>
        <v>6</v>
      </c>
      <c r="AE707" s="8">
        <f>'PFAS Properties'!$S$44</f>
        <v>3.7905666251460763</v>
      </c>
      <c r="AF707" s="15">
        <f>'PFAS Properties'!$V$44</f>
        <v>3.6</v>
      </c>
      <c r="AG707" s="24">
        <v>7.5</v>
      </c>
      <c r="AH707" s="2" t="s">
        <v>183</v>
      </c>
      <c r="AI707" s="2" t="s">
        <v>661</v>
      </c>
      <c r="AJ707" s="2" t="s">
        <v>661</v>
      </c>
      <c r="AK707" s="2" t="s">
        <v>661</v>
      </c>
      <c r="AL707" s="2" t="s">
        <v>661</v>
      </c>
      <c r="AM707" s="2" t="s">
        <v>661</v>
      </c>
      <c r="AN707" s="2" t="s">
        <v>661</v>
      </c>
      <c r="AO707" s="2" t="s">
        <v>661</v>
      </c>
      <c r="AP707" s="15">
        <v>41.4</v>
      </c>
      <c r="AQ707" s="2" t="s">
        <v>661</v>
      </c>
      <c r="AR707" s="16">
        <v>16.899999999999999</v>
      </c>
      <c r="AS707" s="16">
        <v>17.5</v>
      </c>
      <c r="AT707" s="16">
        <v>65.599999999999994</v>
      </c>
      <c r="AU707" s="2" t="s">
        <v>661</v>
      </c>
      <c r="AV707" s="16">
        <f t="shared" si="302"/>
        <v>100</v>
      </c>
      <c r="AW707" s="20">
        <v>0.7</v>
      </c>
      <c r="AX707" s="8">
        <v>6.9999999999999993E-3</v>
      </c>
      <c r="AY707" s="13" t="s">
        <v>184</v>
      </c>
      <c r="AZ707" s="16">
        <v>100</v>
      </c>
      <c r="BA707" s="16" t="s">
        <v>55</v>
      </c>
      <c r="BB707" s="16">
        <v>5</v>
      </c>
      <c r="BC707" s="16" t="s">
        <v>55</v>
      </c>
      <c r="BD707" s="18">
        <v>0.77</v>
      </c>
      <c r="BE707" s="15">
        <f t="shared" si="317"/>
        <v>110.00000000000001</v>
      </c>
      <c r="BF707" s="15">
        <f t="shared" si="288"/>
        <v>2.0413926851582249</v>
      </c>
      <c r="BG707" s="8">
        <f t="shared" si="309"/>
        <v>-0.11350927482751812</v>
      </c>
      <c r="BH707" s="13" t="s">
        <v>345</v>
      </c>
      <c r="BI707" s="13"/>
      <c r="BJ707" s="13"/>
      <c r="BK707" s="13"/>
      <c r="BL707" s="13"/>
      <c r="BM707" s="17"/>
      <c r="BN707" s="17"/>
      <c r="BO707" s="2"/>
    </row>
    <row r="708" spans="1:67" s="14" customFormat="1" x14ac:dyDescent="0.3">
      <c r="A708" s="20">
        <v>723</v>
      </c>
      <c r="B708" s="2" t="s">
        <v>181</v>
      </c>
      <c r="C708" s="2">
        <v>2020</v>
      </c>
      <c r="D708" s="2" t="s">
        <v>203</v>
      </c>
      <c r="E708" s="10" t="s">
        <v>787</v>
      </c>
      <c r="F708" s="20" t="s">
        <v>29</v>
      </c>
      <c r="G708" s="2" t="s">
        <v>57</v>
      </c>
      <c r="H708" s="2" t="str">
        <f>'PFAS Properties'!$B$44</f>
        <v>PFHxS</v>
      </c>
      <c r="I708" s="2" t="str">
        <f>'PFAS Properties'!$C$44</f>
        <v>PFSA</v>
      </c>
      <c r="J708" s="2" t="str">
        <f>'PFAS Properties'!$D$44</f>
        <v>C6F13O3SH</v>
      </c>
      <c r="K708" s="25">
        <f>'PFAS Properties'!$P$44</f>
        <v>399.94379999999995</v>
      </c>
      <c r="L708" s="2">
        <f>'PFAS Properties'!$X$44</f>
        <v>0.1</v>
      </c>
      <c r="M708" s="2" t="str">
        <f>'PFAS Properties'!$Y$44</f>
        <v>-</v>
      </c>
      <c r="N708" s="33">
        <v>0</v>
      </c>
      <c r="O708" s="33">
        <v>0</v>
      </c>
      <c r="P708" s="33">
        <v>0</v>
      </c>
      <c r="Q708" s="33">
        <f t="shared" si="318"/>
        <v>0.99999980047380832</v>
      </c>
      <c r="R708" s="33">
        <v>0</v>
      </c>
      <c r="S708" s="33">
        <f t="shared" si="319"/>
        <v>1.9952619168617852E-7</v>
      </c>
      <c r="T708" s="8">
        <f t="shared" si="308"/>
        <v>1</v>
      </c>
      <c r="U708" s="33">
        <f t="shared" si="281"/>
        <v>0</v>
      </c>
      <c r="V708" s="33">
        <f t="shared" si="282"/>
        <v>-0.99999980047380832</v>
      </c>
      <c r="W708" s="33">
        <f t="shared" si="283"/>
        <v>398.94380019952615</v>
      </c>
      <c r="X708" s="33">
        <v>96485</v>
      </c>
      <c r="Y708" s="16">
        <f t="shared" si="284"/>
        <v>-241.85105947368973</v>
      </c>
      <c r="Z708" s="16">
        <v>6</v>
      </c>
      <c r="AA708" s="16">
        <v>13</v>
      </c>
      <c r="AB708" s="8">
        <f t="shared" si="285"/>
        <v>0.291497975708502</v>
      </c>
      <c r="AC708" s="16">
        <f t="shared" si="316"/>
        <v>61.758677094131734</v>
      </c>
      <c r="AD708" s="20">
        <f>'PFAS Properties'!$W$44</f>
        <v>6</v>
      </c>
      <c r="AE708" s="8">
        <f>'PFAS Properties'!$S$44</f>
        <v>3.7905666251460763</v>
      </c>
      <c r="AF708" s="15">
        <f>'PFAS Properties'!$V$44</f>
        <v>3.6</v>
      </c>
      <c r="AG708" s="24">
        <v>6.8</v>
      </c>
      <c r="AH708" s="2" t="s">
        <v>183</v>
      </c>
      <c r="AI708" s="2" t="s">
        <v>661</v>
      </c>
      <c r="AJ708" s="2" t="s">
        <v>661</v>
      </c>
      <c r="AK708" s="2" t="s">
        <v>661</v>
      </c>
      <c r="AL708" s="2" t="s">
        <v>661</v>
      </c>
      <c r="AM708" s="2" t="s">
        <v>661</v>
      </c>
      <c r="AN708" s="2" t="s">
        <v>661</v>
      </c>
      <c r="AO708" s="2" t="s">
        <v>661</v>
      </c>
      <c r="AP708" s="15">
        <v>7.1</v>
      </c>
      <c r="AQ708" s="2" t="s">
        <v>661</v>
      </c>
      <c r="AR708" s="16">
        <v>48.9</v>
      </c>
      <c r="AS708" s="16">
        <v>27</v>
      </c>
      <c r="AT708" s="16">
        <v>24.2</v>
      </c>
      <c r="AU708" s="2" t="s">
        <v>661</v>
      </c>
      <c r="AV708" s="16">
        <f t="shared" si="302"/>
        <v>100.10000000000001</v>
      </c>
      <c r="AW708" s="20">
        <v>0.37</v>
      </c>
      <c r="AX708" s="8">
        <v>3.7000000000000002E-3</v>
      </c>
      <c r="AY708" s="13" t="s">
        <v>184</v>
      </c>
      <c r="AZ708" s="16">
        <v>100</v>
      </c>
      <c r="BA708" s="16" t="s">
        <v>55</v>
      </c>
      <c r="BB708" s="16">
        <v>5</v>
      </c>
      <c r="BC708" s="16" t="s">
        <v>55</v>
      </c>
      <c r="BD708" s="20">
        <v>0.69</v>
      </c>
      <c r="BE708" s="15">
        <f t="shared" si="317"/>
        <v>186.48648648648646</v>
      </c>
      <c r="BF708" s="15">
        <f t="shared" si="288"/>
        <v>2.2706473666702602</v>
      </c>
      <c r="BG708" s="8">
        <f t="shared" si="309"/>
        <v>-0.16115090926274472</v>
      </c>
      <c r="BH708" s="13" t="s">
        <v>345</v>
      </c>
      <c r="BI708" s="13"/>
      <c r="BJ708" s="13"/>
      <c r="BK708" s="13"/>
      <c r="BL708" s="13"/>
      <c r="BM708" s="17"/>
      <c r="BN708" s="17"/>
      <c r="BO708" s="2"/>
    </row>
    <row r="709" spans="1:67" s="14" customFormat="1" x14ac:dyDescent="0.3">
      <c r="A709" s="20">
        <v>724</v>
      </c>
      <c r="B709" s="2" t="s">
        <v>181</v>
      </c>
      <c r="C709" s="2">
        <v>2020</v>
      </c>
      <c r="D709" s="2" t="s">
        <v>203</v>
      </c>
      <c r="E709" s="10" t="s">
        <v>787</v>
      </c>
      <c r="F709" s="20" t="s">
        <v>29</v>
      </c>
      <c r="G709" s="2" t="s">
        <v>58</v>
      </c>
      <c r="H709" s="2" t="str">
        <f>'PFAS Properties'!$B$44</f>
        <v>PFHxS</v>
      </c>
      <c r="I709" s="2" t="str">
        <f>'PFAS Properties'!$C$44</f>
        <v>PFSA</v>
      </c>
      <c r="J709" s="2" t="str">
        <f>'PFAS Properties'!$D$44</f>
        <v>C6F13O3SH</v>
      </c>
      <c r="K709" s="25">
        <f>'PFAS Properties'!$P$44</f>
        <v>399.94379999999995</v>
      </c>
      <c r="L709" s="2">
        <f>'PFAS Properties'!$X$44</f>
        <v>0.1</v>
      </c>
      <c r="M709" s="2" t="str">
        <f>'PFAS Properties'!$Y$44</f>
        <v>-</v>
      </c>
      <c r="N709" s="33">
        <v>0</v>
      </c>
      <c r="O709" s="33">
        <v>0</v>
      </c>
      <c r="P709" s="33">
        <v>0</v>
      </c>
      <c r="Q709" s="33">
        <f t="shared" si="318"/>
        <v>0.9999992056723962</v>
      </c>
      <c r="R709" s="33">
        <v>0</v>
      </c>
      <c r="S709" s="33">
        <f t="shared" si="319"/>
        <v>7.9432760376743655E-7</v>
      </c>
      <c r="T709" s="8">
        <f t="shared" si="308"/>
        <v>1</v>
      </c>
      <c r="U709" s="33">
        <f t="shared" ref="U709:U770" si="320">((1*N709)+(1*O709)+(1*P709))</f>
        <v>0</v>
      </c>
      <c r="V709" s="33">
        <f t="shared" ref="V709:V770" si="321">-((1*O709)+(2*P709)+(1*Q709)+(2*R709))</f>
        <v>-0.9999992056723962</v>
      </c>
      <c r="W709" s="33">
        <f t="shared" ref="W709:W770" si="322">(N709*(K709+1))+(O709*K709)+(P709*(K709-1))+(Q709*(K709-1))+(R709*(K709-2))+(S709*K709)</f>
        <v>398.94380079432756</v>
      </c>
      <c r="X709" s="33">
        <v>96485</v>
      </c>
      <c r="Y709" s="16">
        <f t="shared" ref="Y709:Y770" si="323">((V709+U709)/W709)*X709</f>
        <v>-241.85091525972405</v>
      </c>
      <c r="Z709" s="16">
        <v>6</v>
      </c>
      <c r="AA709" s="16">
        <v>13</v>
      </c>
      <c r="AB709" s="8">
        <f t="shared" ref="AB709:AB770" si="324">(Z709/AA709)*(12/19)</f>
        <v>0.291497975708502</v>
      </c>
      <c r="AC709" s="16">
        <f t="shared" si="316"/>
        <v>61.758677094131734</v>
      </c>
      <c r="AD709" s="20">
        <f>'PFAS Properties'!$W$44</f>
        <v>6</v>
      </c>
      <c r="AE709" s="8">
        <f>'PFAS Properties'!$S$44</f>
        <v>3.7905666251460763</v>
      </c>
      <c r="AF709" s="15">
        <f>'PFAS Properties'!$V$44</f>
        <v>3.6</v>
      </c>
      <c r="AG709" s="24">
        <v>6.2</v>
      </c>
      <c r="AH709" s="2" t="s">
        <v>183</v>
      </c>
      <c r="AI709" s="2" t="s">
        <v>661</v>
      </c>
      <c r="AJ709" s="2" t="s">
        <v>661</v>
      </c>
      <c r="AK709" s="2" t="s">
        <v>661</v>
      </c>
      <c r="AL709" s="2" t="s">
        <v>661</v>
      </c>
      <c r="AM709" s="2" t="s">
        <v>661</v>
      </c>
      <c r="AN709" s="2" t="s">
        <v>661</v>
      </c>
      <c r="AO709" s="2" t="s">
        <v>661</v>
      </c>
      <c r="AP709" s="15">
        <v>8</v>
      </c>
      <c r="AQ709" s="2" t="s">
        <v>661</v>
      </c>
      <c r="AR709" s="16">
        <v>51.44</v>
      </c>
      <c r="AS709" s="16">
        <v>10.17</v>
      </c>
      <c r="AT709" s="16">
        <v>38.380000000000003</v>
      </c>
      <c r="AU709" s="2" t="s">
        <v>661</v>
      </c>
      <c r="AV709" s="16">
        <f t="shared" si="302"/>
        <v>99.990000000000009</v>
      </c>
      <c r="AW709" s="20">
        <v>0.08</v>
      </c>
      <c r="AX709" s="8">
        <v>8.0000000000000004E-4</v>
      </c>
      <c r="AY709" s="8" t="s">
        <v>184</v>
      </c>
      <c r="AZ709" s="16">
        <v>100</v>
      </c>
      <c r="BA709" s="16" t="s">
        <v>55</v>
      </c>
      <c r="BB709" s="16">
        <v>5</v>
      </c>
      <c r="BC709" s="16" t="s">
        <v>55</v>
      </c>
      <c r="BD709" s="20">
        <v>0.4</v>
      </c>
      <c r="BE709" s="15">
        <f t="shared" si="317"/>
        <v>500</v>
      </c>
      <c r="BF709" s="15">
        <f t="shared" ref="BF709:BF770" si="325">LOG(BE709)</f>
        <v>2.6989700043360187</v>
      </c>
      <c r="BG709" s="8">
        <f t="shared" si="309"/>
        <v>-0.3979400086720376</v>
      </c>
      <c r="BH709" s="13" t="s">
        <v>345</v>
      </c>
      <c r="BI709" s="13"/>
      <c r="BJ709" s="13"/>
      <c r="BK709" s="13"/>
      <c r="BL709" s="13"/>
      <c r="BM709" s="17"/>
      <c r="BN709" s="17"/>
      <c r="BO709" s="2"/>
    </row>
    <row r="710" spans="1:67" s="14" customFormat="1" x14ac:dyDescent="0.3">
      <c r="A710" s="20">
        <v>725</v>
      </c>
      <c r="B710" s="2" t="s">
        <v>181</v>
      </c>
      <c r="C710" s="2">
        <v>2020</v>
      </c>
      <c r="D710" s="2" t="s">
        <v>203</v>
      </c>
      <c r="E710" s="10" t="s">
        <v>787</v>
      </c>
      <c r="F710" s="20" t="s">
        <v>29</v>
      </c>
      <c r="G710" s="2" t="s">
        <v>59</v>
      </c>
      <c r="H710" s="2" t="str">
        <f>'PFAS Properties'!$B$44</f>
        <v>PFHxS</v>
      </c>
      <c r="I710" s="2" t="str">
        <f>'PFAS Properties'!$C$44</f>
        <v>PFSA</v>
      </c>
      <c r="J710" s="2" t="str">
        <f>'PFAS Properties'!$D$44</f>
        <v>C6F13O3SH</v>
      </c>
      <c r="K710" s="25">
        <f>'PFAS Properties'!$P$44</f>
        <v>399.94379999999995</v>
      </c>
      <c r="L710" s="2">
        <f>'PFAS Properties'!$X$44</f>
        <v>0.1</v>
      </c>
      <c r="M710" s="2" t="str">
        <f>'PFAS Properties'!$Y$44</f>
        <v>-</v>
      </c>
      <c r="N710" s="33">
        <v>0</v>
      </c>
      <c r="O710" s="33">
        <v>0</v>
      </c>
      <c r="P710" s="33">
        <v>0</v>
      </c>
      <c r="Q710" s="33">
        <f t="shared" si="318"/>
        <v>0.99999997488113634</v>
      </c>
      <c r="R710" s="33">
        <v>0</v>
      </c>
      <c r="S710" s="33">
        <f t="shared" si="319"/>
        <v>2.5118863684138424E-8</v>
      </c>
      <c r="T710" s="8">
        <f t="shared" si="308"/>
        <v>1</v>
      </c>
      <c r="U710" s="33">
        <f t="shared" si="320"/>
        <v>0</v>
      </c>
      <c r="V710" s="33">
        <f t="shared" si="321"/>
        <v>-0.99999997488113634</v>
      </c>
      <c r="W710" s="33">
        <f t="shared" si="322"/>
        <v>398.94380002511883</v>
      </c>
      <c r="X710" s="33">
        <v>96485</v>
      </c>
      <c r="Y710" s="16">
        <f t="shared" si="323"/>
        <v>-241.85110176002593</v>
      </c>
      <c r="Z710" s="16">
        <v>6</v>
      </c>
      <c r="AA710" s="16">
        <v>13</v>
      </c>
      <c r="AB710" s="8">
        <f t="shared" si="324"/>
        <v>0.291497975708502</v>
      </c>
      <c r="AC710" s="16">
        <f t="shared" si="316"/>
        <v>61.758677094131734</v>
      </c>
      <c r="AD710" s="20">
        <f>'PFAS Properties'!$W$44</f>
        <v>6</v>
      </c>
      <c r="AE710" s="8">
        <f>'PFAS Properties'!$S$44</f>
        <v>3.7905666251460763</v>
      </c>
      <c r="AF710" s="15">
        <f>'PFAS Properties'!$V$44</f>
        <v>3.6</v>
      </c>
      <c r="AG710" s="24">
        <v>7.7</v>
      </c>
      <c r="AH710" s="2" t="s">
        <v>183</v>
      </c>
      <c r="AI710" s="2" t="s">
        <v>661</v>
      </c>
      <c r="AJ710" s="2" t="s">
        <v>661</v>
      </c>
      <c r="AK710" s="2" t="s">
        <v>661</v>
      </c>
      <c r="AL710" s="2" t="s">
        <v>661</v>
      </c>
      <c r="AM710" s="2" t="s">
        <v>661</v>
      </c>
      <c r="AN710" s="2" t="s">
        <v>661</v>
      </c>
      <c r="AO710" s="2" t="s">
        <v>661</v>
      </c>
      <c r="AP710" s="15">
        <v>4.8</v>
      </c>
      <c r="AQ710" s="2" t="s">
        <v>661</v>
      </c>
      <c r="AR710" s="16">
        <v>46</v>
      </c>
      <c r="AS710" s="16">
        <v>37</v>
      </c>
      <c r="AT710" s="16">
        <v>17</v>
      </c>
      <c r="AU710" s="2" t="s">
        <v>661</v>
      </c>
      <c r="AV710" s="16">
        <f t="shared" si="302"/>
        <v>100</v>
      </c>
      <c r="AW710" s="20">
        <v>0.25</v>
      </c>
      <c r="AX710" s="8">
        <v>2.5000000000000001E-3</v>
      </c>
      <c r="AY710" s="13" t="s">
        <v>184</v>
      </c>
      <c r="AZ710" s="16">
        <v>100</v>
      </c>
      <c r="BA710" s="16" t="s">
        <v>55</v>
      </c>
      <c r="BB710" s="16">
        <v>5</v>
      </c>
      <c r="BC710" s="16" t="s">
        <v>55</v>
      </c>
      <c r="BD710" s="18">
        <v>0.45</v>
      </c>
      <c r="BE710" s="15">
        <f t="shared" si="317"/>
        <v>180</v>
      </c>
      <c r="BF710" s="15">
        <f t="shared" si="325"/>
        <v>2.255272505103306</v>
      </c>
      <c r="BG710" s="8">
        <f t="shared" si="309"/>
        <v>-0.34678748622465633</v>
      </c>
      <c r="BH710" s="13" t="s">
        <v>345</v>
      </c>
      <c r="BI710" s="13"/>
      <c r="BJ710" s="13"/>
      <c r="BK710" s="13"/>
      <c r="BL710" s="13"/>
      <c r="BM710" s="17"/>
      <c r="BN710" s="17"/>
      <c r="BO710" s="2"/>
    </row>
    <row r="711" spans="1:67" s="14" customFormat="1" x14ac:dyDescent="0.3">
      <c r="A711" s="20">
        <v>726</v>
      </c>
      <c r="B711" s="2" t="s">
        <v>181</v>
      </c>
      <c r="C711" s="2">
        <v>2020</v>
      </c>
      <c r="D711" s="2" t="s">
        <v>203</v>
      </c>
      <c r="E711" s="10" t="s">
        <v>787</v>
      </c>
      <c r="F711" s="20" t="s">
        <v>29</v>
      </c>
      <c r="G711" s="2" t="s">
        <v>61</v>
      </c>
      <c r="H711" s="2" t="str">
        <f>'PFAS Properties'!$B$44</f>
        <v>PFHxS</v>
      </c>
      <c r="I711" s="2" t="str">
        <f>'PFAS Properties'!$C$44</f>
        <v>PFSA</v>
      </c>
      <c r="J711" s="2" t="str">
        <f>'PFAS Properties'!$D$44</f>
        <v>C6F13O3SH</v>
      </c>
      <c r="K711" s="25">
        <f>'PFAS Properties'!$P$44</f>
        <v>399.94379999999995</v>
      </c>
      <c r="L711" s="2">
        <f>'PFAS Properties'!$X$44</f>
        <v>0.1</v>
      </c>
      <c r="M711" s="2" t="str">
        <f>'PFAS Properties'!$Y$44</f>
        <v>-</v>
      </c>
      <c r="N711" s="33">
        <v>0</v>
      </c>
      <c r="O711" s="33">
        <v>0</v>
      </c>
      <c r="P711" s="33">
        <v>0</v>
      </c>
      <c r="Q711" s="33">
        <f t="shared" si="318"/>
        <v>0.99999994988127916</v>
      </c>
      <c r="R711" s="33">
        <v>0</v>
      </c>
      <c r="S711" s="33">
        <f t="shared" si="319"/>
        <v>5.0118720850840682E-8</v>
      </c>
      <c r="T711" s="8">
        <f t="shared" si="308"/>
        <v>1</v>
      </c>
      <c r="U711" s="33">
        <f t="shared" si="320"/>
        <v>0</v>
      </c>
      <c r="V711" s="33">
        <f t="shared" si="321"/>
        <v>-0.99999994988127916</v>
      </c>
      <c r="W711" s="33">
        <f t="shared" si="322"/>
        <v>398.94380005011868</v>
      </c>
      <c r="X711" s="33">
        <v>96485</v>
      </c>
      <c r="Y711" s="16">
        <f t="shared" si="323"/>
        <v>-241.85109569862715</v>
      </c>
      <c r="Z711" s="16">
        <v>6</v>
      </c>
      <c r="AA711" s="16">
        <v>13</v>
      </c>
      <c r="AB711" s="8">
        <f t="shared" si="324"/>
        <v>0.291497975708502</v>
      </c>
      <c r="AC711" s="16">
        <f t="shared" si="316"/>
        <v>61.758677094131734</v>
      </c>
      <c r="AD711" s="20">
        <f>'PFAS Properties'!$W$44</f>
        <v>6</v>
      </c>
      <c r="AE711" s="8">
        <f>'PFAS Properties'!$S$44</f>
        <v>3.7905666251460763</v>
      </c>
      <c r="AF711" s="15">
        <f>'PFAS Properties'!$V$44</f>
        <v>3.6</v>
      </c>
      <c r="AG711" s="24">
        <v>7.4</v>
      </c>
      <c r="AH711" s="2" t="s">
        <v>183</v>
      </c>
      <c r="AI711" s="2" t="s">
        <v>661</v>
      </c>
      <c r="AJ711" s="2" t="s">
        <v>661</v>
      </c>
      <c r="AK711" s="2" t="s">
        <v>661</v>
      </c>
      <c r="AL711" s="2" t="s">
        <v>661</v>
      </c>
      <c r="AM711" s="2" t="s">
        <v>661</v>
      </c>
      <c r="AN711" s="2" t="s">
        <v>661</v>
      </c>
      <c r="AO711" s="2" t="s">
        <v>661</v>
      </c>
      <c r="AP711" s="15">
        <v>29.6</v>
      </c>
      <c r="AQ711" s="2" t="s">
        <v>661</v>
      </c>
      <c r="AR711" s="16">
        <v>39.799999999999997</v>
      </c>
      <c r="AS711" s="16">
        <v>7.7</v>
      </c>
      <c r="AT711" s="16">
        <v>52.5</v>
      </c>
      <c r="AU711" s="2" t="s">
        <v>661</v>
      </c>
      <c r="AV711" s="16">
        <f t="shared" si="302"/>
        <v>100</v>
      </c>
      <c r="AW711" s="20">
        <v>2.23</v>
      </c>
      <c r="AX711" s="8">
        <v>2.23E-2</v>
      </c>
      <c r="AY711" s="8" t="s">
        <v>184</v>
      </c>
      <c r="AZ711" s="16">
        <v>100</v>
      </c>
      <c r="BA711" s="16" t="s">
        <v>55</v>
      </c>
      <c r="BB711" s="16">
        <v>5</v>
      </c>
      <c r="BC711" s="16" t="s">
        <v>55</v>
      </c>
      <c r="BD711" s="20">
        <v>0.52</v>
      </c>
      <c r="BE711" s="15">
        <f t="shared" si="317"/>
        <v>23.318385650224215</v>
      </c>
      <c r="BF711" s="15">
        <f t="shared" si="325"/>
        <v>1.3676984805866386</v>
      </c>
      <c r="BG711" s="8">
        <f t="shared" si="309"/>
        <v>-0.28399665636520083</v>
      </c>
      <c r="BH711" s="13" t="s">
        <v>345</v>
      </c>
      <c r="BI711" s="13"/>
      <c r="BJ711" s="13"/>
      <c r="BK711" s="13"/>
      <c r="BL711" s="13"/>
      <c r="BM711" s="17"/>
      <c r="BN711" s="17"/>
      <c r="BO711" s="2"/>
    </row>
    <row r="712" spans="1:67" s="14" customFormat="1" x14ac:dyDescent="0.3">
      <c r="A712" s="20">
        <v>727</v>
      </c>
      <c r="B712" s="2" t="s">
        <v>181</v>
      </c>
      <c r="C712" s="2">
        <v>2020</v>
      </c>
      <c r="D712" s="2" t="s">
        <v>203</v>
      </c>
      <c r="E712" s="10" t="s">
        <v>787</v>
      </c>
      <c r="F712" s="20" t="s">
        <v>29</v>
      </c>
      <c r="G712" s="2" t="s">
        <v>60</v>
      </c>
      <c r="H712" s="2" t="str">
        <f>'PFAS Properties'!$B$44</f>
        <v>PFHxS</v>
      </c>
      <c r="I712" s="2" t="str">
        <f>'PFAS Properties'!$C$44</f>
        <v>PFSA</v>
      </c>
      <c r="J712" s="2" t="str">
        <f>'PFAS Properties'!$D$44</f>
        <v>C6F13O3SH</v>
      </c>
      <c r="K712" s="25">
        <f>'PFAS Properties'!$P$44</f>
        <v>399.94379999999995</v>
      </c>
      <c r="L712" s="2">
        <f>'PFAS Properties'!$X$44</f>
        <v>0.1</v>
      </c>
      <c r="M712" s="2" t="str">
        <f>'PFAS Properties'!$Y$44</f>
        <v>-</v>
      </c>
      <c r="N712" s="33">
        <v>0</v>
      </c>
      <c r="O712" s="33">
        <v>0</v>
      </c>
      <c r="P712" s="33">
        <v>0</v>
      </c>
      <c r="Q712" s="33">
        <f t="shared" si="318"/>
        <v>0.99999997488113634</v>
      </c>
      <c r="R712" s="33">
        <v>0</v>
      </c>
      <c r="S712" s="33">
        <f t="shared" si="319"/>
        <v>2.5118863684138424E-8</v>
      </c>
      <c r="T712" s="8">
        <f t="shared" si="308"/>
        <v>1</v>
      </c>
      <c r="U712" s="33">
        <f t="shared" si="320"/>
        <v>0</v>
      </c>
      <c r="V712" s="33">
        <f t="shared" si="321"/>
        <v>-0.99999997488113634</v>
      </c>
      <c r="W712" s="33">
        <f t="shared" si="322"/>
        <v>398.94380002511883</v>
      </c>
      <c r="X712" s="33">
        <v>96485</v>
      </c>
      <c r="Y712" s="16">
        <f t="shared" si="323"/>
        <v>-241.85110176002593</v>
      </c>
      <c r="Z712" s="16">
        <v>6</v>
      </c>
      <c r="AA712" s="16">
        <v>13</v>
      </c>
      <c r="AB712" s="8">
        <f t="shared" si="324"/>
        <v>0.291497975708502</v>
      </c>
      <c r="AC712" s="16">
        <f t="shared" si="316"/>
        <v>61.758677094131734</v>
      </c>
      <c r="AD712" s="20">
        <f>'PFAS Properties'!$W$44</f>
        <v>6</v>
      </c>
      <c r="AE712" s="8">
        <f>'PFAS Properties'!$S$44</f>
        <v>3.7905666251460763</v>
      </c>
      <c r="AF712" s="15">
        <f>'PFAS Properties'!$V$44</f>
        <v>3.6</v>
      </c>
      <c r="AG712" s="24">
        <v>7.7</v>
      </c>
      <c r="AH712" s="2" t="s">
        <v>183</v>
      </c>
      <c r="AI712" s="2" t="s">
        <v>661</v>
      </c>
      <c r="AJ712" s="2" t="s">
        <v>661</v>
      </c>
      <c r="AK712" s="2" t="s">
        <v>661</v>
      </c>
      <c r="AL712" s="2" t="s">
        <v>661</v>
      </c>
      <c r="AM712" s="2" t="s">
        <v>661</v>
      </c>
      <c r="AN712" s="2" t="s">
        <v>661</v>
      </c>
      <c r="AO712" s="2" t="s">
        <v>661</v>
      </c>
      <c r="AP712" s="15">
        <v>21.63</v>
      </c>
      <c r="AQ712" s="2" t="s">
        <v>661</v>
      </c>
      <c r="AR712" s="16">
        <v>70</v>
      </c>
      <c r="AS712" s="16">
        <v>11</v>
      </c>
      <c r="AT712" s="16">
        <v>19</v>
      </c>
      <c r="AU712" s="2" t="s">
        <v>661</v>
      </c>
      <c r="AV712" s="16">
        <f t="shared" si="302"/>
        <v>100</v>
      </c>
      <c r="AW712" s="20">
        <v>4.9000000000000004</v>
      </c>
      <c r="AX712" s="8">
        <v>4.9000000000000002E-2</v>
      </c>
      <c r="AY712" s="8" t="s">
        <v>184</v>
      </c>
      <c r="AZ712" s="16">
        <v>100</v>
      </c>
      <c r="BA712" s="16" t="s">
        <v>55</v>
      </c>
      <c r="BB712" s="16">
        <v>5</v>
      </c>
      <c r="BC712" s="16" t="s">
        <v>55</v>
      </c>
      <c r="BD712" s="20">
        <v>2.12</v>
      </c>
      <c r="BE712" s="15">
        <f t="shared" si="317"/>
        <v>43.265306122448983</v>
      </c>
      <c r="BF712" s="15">
        <f t="shared" si="325"/>
        <v>1.6361397809002378</v>
      </c>
      <c r="BG712" s="8">
        <f t="shared" si="309"/>
        <v>0.32633586092875144</v>
      </c>
      <c r="BH712" s="13" t="s">
        <v>345</v>
      </c>
      <c r="BI712" s="13"/>
      <c r="BJ712" s="13"/>
      <c r="BK712" s="13"/>
      <c r="BL712" s="13"/>
      <c r="BM712" s="17"/>
      <c r="BN712" s="17"/>
      <c r="BO712" s="2"/>
    </row>
    <row r="713" spans="1:67" s="14" customFormat="1" x14ac:dyDescent="0.3">
      <c r="A713" s="20">
        <v>728</v>
      </c>
      <c r="B713" s="2" t="s">
        <v>181</v>
      </c>
      <c r="C713" s="2">
        <v>2020</v>
      </c>
      <c r="D713" s="2" t="s">
        <v>203</v>
      </c>
      <c r="E713" s="10" t="s">
        <v>787</v>
      </c>
      <c r="F713" s="20" t="s">
        <v>29</v>
      </c>
      <c r="G713" s="2" t="s">
        <v>77</v>
      </c>
      <c r="H713" s="2" t="str">
        <f>'PFAS Properties'!$B$44</f>
        <v>PFHxS</v>
      </c>
      <c r="I713" s="2" t="str">
        <f>'PFAS Properties'!$C$44</f>
        <v>PFSA</v>
      </c>
      <c r="J713" s="2" t="str">
        <f>'PFAS Properties'!$D$44</f>
        <v>C6F13O3SH</v>
      </c>
      <c r="K713" s="25">
        <f>'PFAS Properties'!$P$44</f>
        <v>399.94379999999995</v>
      </c>
      <c r="L713" s="2">
        <f>'PFAS Properties'!$X$44</f>
        <v>0.1</v>
      </c>
      <c r="M713" s="2" t="str">
        <f>'PFAS Properties'!$Y$44</f>
        <v>-</v>
      </c>
      <c r="N713" s="33">
        <v>0</v>
      </c>
      <c r="O713" s="33">
        <v>0</v>
      </c>
      <c r="P713" s="33">
        <v>0</v>
      </c>
      <c r="Q713" s="33">
        <f t="shared" si="318"/>
        <v>0.99999997488113634</v>
      </c>
      <c r="R713" s="33">
        <v>0</v>
      </c>
      <c r="S713" s="33">
        <f t="shared" si="319"/>
        <v>2.5118863684138424E-8</v>
      </c>
      <c r="T713" s="8">
        <f t="shared" si="308"/>
        <v>1</v>
      </c>
      <c r="U713" s="33">
        <f t="shared" si="320"/>
        <v>0</v>
      </c>
      <c r="V713" s="33">
        <f t="shared" si="321"/>
        <v>-0.99999997488113634</v>
      </c>
      <c r="W713" s="33">
        <f t="shared" si="322"/>
        <v>398.94380002511883</v>
      </c>
      <c r="X713" s="33">
        <v>96485</v>
      </c>
      <c r="Y713" s="16">
        <f t="shared" si="323"/>
        <v>-241.85110176002593</v>
      </c>
      <c r="Z713" s="16">
        <v>6</v>
      </c>
      <c r="AA713" s="16">
        <v>13</v>
      </c>
      <c r="AB713" s="8">
        <f t="shared" si="324"/>
        <v>0.291497975708502</v>
      </c>
      <c r="AC713" s="16">
        <f t="shared" si="316"/>
        <v>61.758677094131734</v>
      </c>
      <c r="AD713" s="20">
        <f>'PFAS Properties'!$W$44</f>
        <v>6</v>
      </c>
      <c r="AE713" s="8">
        <f>'PFAS Properties'!$S$44</f>
        <v>3.7905666251460763</v>
      </c>
      <c r="AF713" s="15">
        <f>'PFAS Properties'!$V$44</f>
        <v>3.6</v>
      </c>
      <c r="AG713" s="24">
        <v>7.7</v>
      </c>
      <c r="AH713" s="2" t="s">
        <v>183</v>
      </c>
      <c r="AI713" s="2" t="s">
        <v>661</v>
      </c>
      <c r="AJ713" s="2" t="s">
        <v>661</v>
      </c>
      <c r="AK713" s="2" t="s">
        <v>661</v>
      </c>
      <c r="AL713" s="2" t="s">
        <v>661</v>
      </c>
      <c r="AM713" s="2" t="s">
        <v>661</v>
      </c>
      <c r="AN713" s="2" t="s">
        <v>661</v>
      </c>
      <c r="AO713" s="2" t="s">
        <v>661</v>
      </c>
      <c r="AP713" s="15">
        <v>7.8</v>
      </c>
      <c r="AQ713" s="2" t="s">
        <v>661</v>
      </c>
      <c r="AR713" s="16">
        <v>48.9</v>
      </c>
      <c r="AS713" s="16">
        <v>32.6</v>
      </c>
      <c r="AT713" s="16">
        <v>18.5</v>
      </c>
      <c r="AU713" s="2" t="s">
        <v>661</v>
      </c>
      <c r="AV713" s="16">
        <f t="shared" si="302"/>
        <v>100</v>
      </c>
      <c r="AW713" s="20">
        <v>0.13</v>
      </c>
      <c r="AX713" s="8">
        <v>1.2999999999999999E-3</v>
      </c>
      <c r="AY713" s="8" t="s">
        <v>184</v>
      </c>
      <c r="AZ713" s="16">
        <v>100</v>
      </c>
      <c r="BA713" s="16" t="s">
        <v>55</v>
      </c>
      <c r="BB713" s="16">
        <v>5</v>
      </c>
      <c r="BC713" s="16" t="s">
        <v>55</v>
      </c>
      <c r="BD713" s="20">
        <v>0.39</v>
      </c>
      <c r="BE713" s="15">
        <f t="shared" si="317"/>
        <v>300</v>
      </c>
      <c r="BF713" s="15">
        <f t="shared" si="325"/>
        <v>2.4771212547196626</v>
      </c>
      <c r="BG713" s="8">
        <f t="shared" si="309"/>
        <v>-0.40893539297350079</v>
      </c>
      <c r="BH713" s="13" t="s">
        <v>345</v>
      </c>
      <c r="BI713" s="13"/>
      <c r="BJ713" s="13"/>
      <c r="BK713" s="13"/>
      <c r="BL713" s="13"/>
      <c r="BM713" s="17"/>
      <c r="BN713" s="17"/>
      <c r="BO713" s="2"/>
    </row>
    <row r="714" spans="1:67" s="14" customFormat="1" x14ac:dyDescent="0.3">
      <c r="A714" s="20">
        <v>729</v>
      </c>
      <c r="B714" s="2" t="s">
        <v>181</v>
      </c>
      <c r="C714" s="2">
        <v>2020</v>
      </c>
      <c r="D714" s="2" t="s">
        <v>203</v>
      </c>
      <c r="E714" s="10" t="s">
        <v>787</v>
      </c>
      <c r="F714" s="20" t="s">
        <v>29</v>
      </c>
      <c r="G714" s="2" t="s">
        <v>182</v>
      </c>
      <c r="H714" s="2" t="str">
        <f>'PFAS Properties'!$B$44</f>
        <v>PFHxS</v>
      </c>
      <c r="I714" s="2" t="str">
        <f>'PFAS Properties'!$C$44</f>
        <v>PFSA</v>
      </c>
      <c r="J714" s="2" t="str">
        <f>'PFAS Properties'!$D$44</f>
        <v>C6F13O3SH</v>
      </c>
      <c r="K714" s="25">
        <f>'PFAS Properties'!$P$44</f>
        <v>399.94379999999995</v>
      </c>
      <c r="L714" s="2">
        <f>'PFAS Properties'!$X$44</f>
        <v>0.1</v>
      </c>
      <c r="M714" s="2" t="str">
        <f>'PFAS Properties'!$Y$44</f>
        <v>-</v>
      </c>
      <c r="N714" s="33">
        <v>0</v>
      </c>
      <c r="O714" s="33">
        <v>0</v>
      </c>
      <c r="P714" s="33">
        <v>0</v>
      </c>
      <c r="Q714" s="33">
        <f t="shared" si="318"/>
        <v>0.9999999601892845</v>
      </c>
      <c r="R714" s="33">
        <v>0</v>
      </c>
      <c r="S714" s="33">
        <f t="shared" si="319"/>
        <v>3.9810715470456442E-8</v>
      </c>
      <c r="T714" s="8">
        <f t="shared" si="308"/>
        <v>1</v>
      </c>
      <c r="U714" s="33">
        <f t="shared" si="320"/>
        <v>0</v>
      </c>
      <c r="V714" s="33">
        <f t="shared" si="321"/>
        <v>-0.9999999601892845</v>
      </c>
      <c r="W714" s="33">
        <f t="shared" si="322"/>
        <v>398.94380003981064</v>
      </c>
      <c r="X714" s="33">
        <v>96485</v>
      </c>
      <c r="Y714" s="16">
        <f t="shared" si="323"/>
        <v>-241.85109819787866</v>
      </c>
      <c r="Z714" s="16">
        <v>6</v>
      </c>
      <c r="AA714" s="16">
        <v>13</v>
      </c>
      <c r="AB714" s="8">
        <f t="shared" si="324"/>
        <v>0.291497975708502</v>
      </c>
      <c r="AC714" s="16">
        <f t="shared" si="316"/>
        <v>61.758677094131734</v>
      </c>
      <c r="AD714" s="20">
        <f>'PFAS Properties'!$W$44</f>
        <v>6</v>
      </c>
      <c r="AE714" s="8">
        <f>'PFAS Properties'!$S$44</f>
        <v>3.7905666251460763</v>
      </c>
      <c r="AF714" s="15">
        <f>'PFAS Properties'!$V$44</f>
        <v>3.6</v>
      </c>
      <c r="AG714" s="24">
        <v>7.5</v>
      </c>
      <c r="AH714" s="2" t="s">
        <v>183</v>
      </c>
      <c r="AI714" s="2" t="s">
        <v>661</v>
      </c>
      <c r="AJ714" s="2" t="s">
        <v>661</v>
      </c>
      <c r="AK714" s="2" t="s">
        <v>661</v>
      </c>
      <c r="AL714" s="2" t="s">
        <v>661</v>
      </c>
      <c r="AM714" s="2" t="s">
        <v>661</v>
      </c>
      <c r="AN714" s="2" t="s">
        <v>661</v>
      </c>
      <c r="AO714" s="2" t="s">
        <v>661</v>
      </c>
      <c r="AP714" s="15">
        <v>2.2799999999999998</v>
      </c>
      <c r="AQ714" s="2" t="s">
        <v>661</v>
      </c>
      <c r="AR714" s="16">
        <v>93</v>
      </c>
      <c r="AS714" s="16">
        <v>1</v>
      </c>
      <c r="AT714" s="16">
        <v>5</v>
      </c>
      <c r="AU714" s="2" t="s">
        <v>661</v>
      </c>
      <c r="AV714" s="16">
        <f t="shared" si="302"/>
        <v>99</v>
      </c>
      <c r="AW714" s="20">
        <v>0.4</v>
      </c>
      <c r="AX714" s="8">
        <v>4.0000000000000001E-3</v>
      </c>
      <c r="AY714" s="8" t="s">
        <v>184</v>
      </c>
      <c r="AZ714" s="16">
        <v>100</v>
      </c>
      <c r="BA714" s="16" t="s">
        <v>55</v>
      </c>
      <c r="BB714" s="16">
        <v>5</v>
      </c>
      <c r="BC714" s="16" t="s">
        <v>55</v>
      </c>
      <c r="BD714" s="20">
        <v>0.28000000000000003</v>
      </c>
      <c r="BE714" s="15">
        <f t="shared" si="317"/>
        <v>70</v>
      </c>
      <c r="BF714" s="15">
        <f t="shared" si="325"/>
        <v>1.8450980400142569</v>
      </c>
      <c r="BG714" s="8">
        <f t="shared" si="309"/>
        <v>-0.55284196865778079</v>
      </c>
      <c r="BH714" s="13" t="s">
        <v>345</v>
      </c>
      <c r="BI714" s="13"/>
      <c r="BJ714" s="13"/>
      <c r="BK714" s="13"/>
      <c r="BL714" s="13"/>
      <c r="BM714" s="17"/>
      <c r="BN714" s="17"/>
      <c r="BO714" s="2"/>
    </row>
    <row r="715" spans="1:67" s="14" customFormat="1" x14ac:dyDescent="0.3">
      <c r="A715" s="20">
        <v>730</v>
      </c>
      <c r="B715" s="2" t="s">
        <v>181</v>
      </c>
      <c r="C715" s="2">
        <v>2020</v>
      </c>
      <c r="D715" s="2" t="s">
        <v>203</v>
      </c>
      <c r="E715" s="10" t="s">
        <v>787</v>
      </c>
      <c r="F715" s="20" t="s">
        <v>29</v>
      </c>
      <c r="G715" s="2" t="s">
        <v>78</v>
      </c>
      <c r="H715" s="2" t="str">
        <f>'PFAS Properties'!$B$44</f>
        <v>PFHxS</v>
      </c>
      <c r="I715" s="2" t="str">
        <f>'PFAS Properties'!$C$44</f>
        <v>PFSA</v>
      </c>
      <c r="J715" s="2" t="str">
        <f>'PFAS Properties'!$D$44</f>
        <v>C6F13O3SH</v>
      </c>
      <c r="K715" s="25">
        <f>'PFAS Properties'!$P$44</f>
        <v>399.94379999999995</v>
      </c>
      <c r="L715" s="2">
        <f>'PFAS Properties'!$X$44</f>
        <v>0.1</v>
      </c>
      <c r="M715" s="2" t="str">
        <f>'PFAS Properties'!$Y$44</f>
        <v>-</v>
      </c>
      <c r="N715" s="33">
        <v>0</v>
      </c>
      <c r="O715" s="33">
        <v>0</v>
      </c>
      <c r="P715" s="33">
        <v>0</v>
      </c>
      <c r="Q715" s="33">
        <f t="shared" si="318"/>
        <v>0.99999990000001004</v>
      </c>
      <c r="R715" s="33">
        <v>0</v>
      </c>
      <c r="S715" s="33">
        <f t="shared" si="319"/>
        <v>9.9999990000001005E-8</v>
      </c>
      <c r="T715" s="8">
        <f t="shared" si="308"/>
        <v>1</v>
      </c>
      <c r="U715" s="33">
        <f t="shared" si="320"/>
        <v>0</v>
      </c>
      <c r="V715" s="33">
        <f t="shared" si="321"/>
        <v>-0.99999990000001004</v>
      </c>
      <c r="W715" s="33">
        <f t="shared" si="322"/>
        <v>398.94380009999992</v>
      </c>
      <c r="X715" s="33">
        <v>96485</v>
      </c>
      <c r="Y715" s="16">
        <f t="shared" si="323"/>
        <v>-241.85108360454748</v>
      </c>
      <c r="Z715" s="16">
        <v>6</v>
      </c>
      <c r="AA715" s="16">
        <v>13</v>
      </c>
      <c r="AB715" s="8">
        <f t="shared" si="324"/>
        <v>0.291497975708502</v>
      </c>
      <c r="AC715" s="16">
        <f t="shared" si="316"/>
        <v>61.758677094131734</v>
      </c>
      <c r="AD715" s="20">
        <f>'PFAS Properties'!$W$44</f>
        <v>6</v>
      </c>
      <c r="AE715" s="8">
        <f>'PFAS Properties'!$S$44</f>
        <v>3.7905666251460763</v>
      </c>
      <c r="AF715" s="15">
        <f>'PFAS Properties'!$V$44</f>
        <v>3.6</v>
      </c>
      <c r="AG715" s="24">
        <v>7.1</v>
      </c>
      <c r="AH715" s="2" t="s">
        <v>183</v>
      </c>
      <c r="AI715" s="2" t="s">
        <v>661</v>
      </c>
      <c r="AJ715" s="2" t="s">
        <v>661</v>
      </c>
      <c r="AK715" s="2" t="s">
        <v>661</v>
      </c>
      <c r="AL715" s="2" t="s">
        <v>661</v>
      </c>
      <c r="AM715" s="2" t="s">
        <v>661</v>
      </c>
      <c r="AN715" s="2" t="s">
        <v>661</v>
      </c>
      <c r="AO715" s="2" t="s">
        <v>661</v>
      </c>
      <c r="AP715" s="15">
        <v>17.420000000000002</v>
      </c>
      <c r="AQ715" s="2" t="s">
        <v>661</v>
      </c>
      <c r="AR715" s="16">
        <v>48.86</v>
      </c>
      <c r="AS715" s="16">
        <v>16.05</v>
      </c>
      <c r="AT715" s="16">
        <v>35.090000000000003</v>
      </c>
      <c r="AU715" s="2" t="s">
        <v>661</v>
      </c>
      <c r="AV715" s="16">
        <f t="shared" si="302"/>
        <v>100</v>
      </c>
      <c r="AW715" s="20">
        <v>1.19</v>
      </c>
      <c r="AX715" s="8">
        <v>1.1899999999999999E-2</v>
      </c>
      <c r="AY715" s="8" t="s">
        <v>184</v>
      </c>
      <c r="AZ715" s="16">
        <v>100</v>
      </c>
      <c r="BA715" s="16" t="s">
        <v>55</v>
      </c>
      <c r="BB715" s="16">
        <v>5</v>
      </c>
      <c r="BC715" s="16" t="s">
        <v>55</v>
      </c>
      <c r="BD715" s="20">
        <v>0.56999999999999995</v>
      </c>
      <c r="BE715" s="15">
        <f t="shared" si="317"/>
        <v>47.899159663865547</v>
      </c>
      <c r="BF715" s="15">
        <f t="shared" si="325"/>
        <v>1.6803278942799607</v>
      </c>
      <c r="BG715" s="8">
        <f t="shared" si="309"/>
        <v>-0.24412514432750865</v>
      </c>
      <c r="BH715" s="13" t="s">
        <v>345</v>
      </c>
      <c r="BI715" s="13"/>
      <c r="BJ715" s="13"/>
      <c r="BK715" s="13"/>
      <c r="BL715" s="13"/>
      <c r="BM715" s="17"/>
      <c r="BN715" s="17"/>
      <c r="BO715" s="2"/>
    </row>
    <row r="716" spans="1:67" s="14" customFormat="1" x14ac:dyDescent="0.3">
      <c r="A716" s="20">
        <v>731</v>
      </c>
      <c r="B716" s="2" t="s">
        <v>181</v>
      </c>
      <c r="C716" s="2">
        <v>2020</v>
      </c>
      <c r="D716" s="2" t="s">
        <v>203</v>
      </c>
      <c r="E716" s="10" t="s">
        <v>787</v>
      </c>
      <c r="F716" s="20" t="s">
        <v>29</v>
      </c>
      <c r="G716" s="2" t="s">
        <v>98</v>
      </c>
      <c r="H716" s="2" t="str">
        <f>'PFAS Properties'!$B$44</f>
        <v>PFHxS</v>
      </c>
      <c r="I716" s="2" t="str">
        <f>'PFAS Properties'!$C$44</f>
        <v>PFSA</v>
      </c>
      <c r="J716" s="2" t="str">
        <f>'PFAS Properties'!$D$44</f>
        <v>C6F13O3SH</v>
      </c>
      <c r="K716" s="25">
        <f>'PFAS Properties'!$P$44</f>
        <v>399.94379999999995</v>
      </c>
      <c r="L716" s="2">
        <f>'PFAS Properties'!$X$44</f>
        <v>0.1</v>
      </c>
      <c r="M716" s="2" t="str">
        <f>'PFAS Properties'!$Y$44</f>
        <v>-</v>
      </c>
      <c r="N716" s="33">
        <v>0</v>
      </c>
      <c r="O716" s="33">
        <v>0</v>
      </c>
      <c r="P716" s="33">
        <v>0</v>
      </c>
      <c r="Q716" s="33">
        <f t="shared" si="318"/>
        <v>0.99999949881301753</v>
      </c>
      <c r="R716" s="33">
        <v>0</v>
      </c>
      <c r="S716" s="33">
        <f t="shared" si="319"/>
        <v>5.0118698243875318E-7</v>
      </c>
      <c r="T716" s="8">
        <f t="shared" si="308"/>
        <v>1</v>
      </c>
      <c r="U716" s="33">
        <f t="shared" si="320"/>
        <v>0</v>
      </c>
      <c r="V716" s="33">
        <f t="shared" si="321"/>
        <v>-0.99999949881301753</v>
      </c>
      <c r="W716" s="33">
        <f t="shared" si="322"/>
        <v>398.9438005011869</v>
      </c>
      <c r="X716" s="33">
        <v>96485</v>
      </c>
      <c r="Y716" s="16">
        <f t="shared" si="323"/>
        <v>-241.85098633381807</v>
      </c>
      <c r="Z716" s="16">
        <v>6</v>
      </c>
      <c r="AA716" s="16">
        <v>13</v>
      </c>
      <c r="AB716" s="8">
        <f t="shared" si="324"/>
        <v>0.291497975708502</v>
      </c>
      <c r="AC716" s="16">
        <f t="shared" si="316"/>
        <v>61.758677094131734</v>
      </c>
      <c r="AD716" s="20">
        <f>'PFAS Properties'!$W$44</f>
        <v>6</v>
      </c>
      <c r="AE716" s="8">
        <f>'PFAS Properties'!$S$44</f>
        <v>3.7905666251460763</v>
      </c>
      <c r="AF716" s="15">
        <f>'PFAS Properties'!$V$44</f>
        <v>3.6</v>
      </c>
      <c r="AG716" s="24">
        <v>6.4</v>
      </c>
      <c r="AH716" s="2" t="s">
        <v>183</v>
      </c>
      <c r="AI716" s="2" t="s">
        <v>661</v>
      </c>
      <c r="AJ716" s="15" t="s">
        <v>661</v>
      </c>
      <c r="AK716" s="8" t="s">
        <v>661</v>
      </c>
      <c r="AL716" s="2" t="s">
        <v>661</v>
      </c>
      <c r="AM716" s="15" t="s">
        <v>661</v>
      </c>
      <c r="AN716" s="8" t="s">
        <v>661</v>
      </c>
      <c r="AO716" s="15" t="s">
        <v>661</v>
      </c>
      <c r="AP716" s="15">
        <v>16.54</v>
      </c>
      <c r="AQ716" s="13" t="s">
        <v>661</v>
      </c>
      <c r="AR716" s="16">
        <v>29.38</v>
      </c>
      <c r="AS716" s="16">
        <v>13.9</v>
      </c>
      <c r="AT716" s="16">
        <v>56.71</v>
      </c>
      <c r="AU716" s="15" t="s">
        <v>661</v>
      </c>
      <c r="AV716" s="16">
        <f t="shared" si="302"/>
        <v>99.990000000000009</v>
      </c>
      <c r="AW716" s="20">
        <v>0.17</v>
      </c>
      <c r="AX716" s="8">
        <v>1.7000000000000001E-3</v>
      </c>
      <c r="AY716" s="8" t="s">
        <v>184</v>
      </c>
      <c r="AZ716" s="16">
        <v>100</v>
      </c>
      <c r="BA716" s="16" t="s">
        <v>55</v>
      </c>
      <c r="BB716" s="16">
        <v>5</v>
      </c>
      <c r="BC716" s="16" t="s">
        <v>55</v>
      </c>
      <c r="BD716" s="20">
        <v>0.63</v>
      </c>
      <c r="BE716" s="15">
        <f t="shared" si="317"/>
        <v>370.58823529411762</v>
      </c>
      <c r="BF716" s="15">
        <f t="shared" si="325"/>
        <v>2.5688916280753076</v>
      </c>
      <c r="BG716" s="8">
        <f t="shared" si="309"/>
        <v>-0.20065945054641829</v>
      </c>
      <c r="BH716" s="13" t="s">
        <v>345</v>
      </c>
      <c r="BI716" s="13"/>
      <c r="BJ716" s="13"/>
      <c r="BK716" s="13"/>
      <c r="BL716" s="13"/>
      <c r="BM716" s="17"/>
      <c r="BN716" s="17"/>
      <c r="BO716" s="2"/>
    </row>
    <row r="717" spans="1:67" s="14" customFormat="1" x14ac:dyDescent="0.3">
      <c r="A717" s="20">
        <v>732</v>
      </c>
      <c r="B717" s="2" t="s">
        <v>214</v>
      </c>
      <c r="C717" s="2">
        <v>2022</v>
      </c>
      <c r="D717" s="2" t="s">
        <v>201</v>
      </c>
      <c r="E717" s="22" t="s">
        <v>808</v>
      </c>
      <c r="F717" s="20" t="s">
        <v>29</v>
      </c>
      <c r="G717" s="2" t="s">
        <v>215</v>
      </c>
      <c r="H717" s="2" t="str">
        <f>'PFAS Properties'!$B$44</f>
        <v>PFHxS</v>
      </c>
      <c r="I717" s="2" t="str">
        <f>'PFAS Properties'!$C$44</f>
        <v>PFSA</v>
      </c>
      <c r="J717" s="2" t="str">
        <f>'PFAS Properties'!$D$44</f>
        <v>C6F13O3SH</v>
      </c>
      <c r="K717" s="25">
        <f>'PFAS Properties'!$P$44</f>
        <v>399.94379999999995</v>
      </c>
      <c r="L717" s="2">
        <f>'PFAS Properties'!$X$44</f>
        <v>0.1</v>
      </c>
      <c r="M717" s="2" t="str">
        <f>'PFAS Properties'!$Y$44</f>
        <v>-</v>
      </c>
      <c r="N717" s="33">
        <v>0</v>
      </c>
      <c r="O717" s="33">
        <v>0</v>
      </c>
      <c r="P717" s="33">
        <v>0</v>
      </c>
      <c r="Q717" s="33">
        <f t="shared" si="318"/>
        <v>0.99998004777494953</v>
      </c>
      <c r="R717" s="33">
        <v>0</v>
      </c>
      <c r="S717" s="33">
        <f t="shared" si="319"/>
        <v>1.9952225050461341E-5</v>
      </c>
      <c r="T717" s="8">
        <f t="shared" si="308"/>
        <v>1</v>
      </c>
      <c r="U717" s="33">
        <f t="shared" si="320"/>
        <v>0</v>
      </c>
      <c r="V717" s="33">
        <f t="shared" si="321"/>
        <v>-0.99998004777494953</v>
      </c>
      <c r="W717" s="33">
        <f t="shared" si="322"/>
        <v>398.943819952225</v>
      </c>
      <c r="X717" s="33">
        <v>96485</v>
      </c>
      <c r="Y717" s="16">
        <f t="shared" si="323"/>
        <v>-241.84627028718029</v>
      </c>
      <c r="Z717" s="16">
        <v>6</v>
      </c>
      <c r="AA717" s="16">
        <v>13</v>
      </c>
      <c r="AB717" s="8">
        <f t="shared" si="324"/>
        <v>0.291497975708502</v>
      </c>
      <c r="AC717" s="16">
        <f t="shared" si="316"/>
        <v>61.758677094131734</v>
      </c>
      <c r="AD717" s="20">
        <f>'PFAS Properties'!$W$44</f>
        <v>6</v>
      </c>
      <c r="AE717" s="8">
        <f>'PFAS Properties'!$S$44</f>
        <v>3.7905666251460763</v>
      </c>
      <c r="AF717" s="15">
        <f>'PFAS Properties'!$V$44</f>
        <v>3.6</v>
      </c>
      <c r="AG717" s="24">
        <v>4.8</v>
      </c>
      <c r="AH717" s="2" t="s">
        <v>216</v>
      </c>
      <c r="AI717" s="2">
        <v>8.3000000000000007</v>
      </c>
      <c r="AJ717" s="15">
        <f t="shared" ref="AJ717:AJ744" si="326">AI717*1000/55.845</f>
        <v>148.62566030978601</v>
      </c>
      <c r="AK717" s="15">
        <f t="shared" ref="AK717:AK750" si="327">AI717/10</f>
        <v>0.83000000000000007</v>
      </c>
      <c r="AL717" s="15">
        <v>7.85</v>
      </c>
      <c r="AM717" s="15">
        <f t="shared" ref="AM717:AM744" si="328">AL717*1000/26.98</f>
        <v>290.95626389918459</v>
      </c>
      <c r="AN717" s="15">
        <f t="shared" ref="AN717:AN750" si="329">AL717/10</f>
        <v>0.78499999999999992</v>
      </c>
      <c r="AO717" s="15" t="s">
        <v>217</v>
      </c>
      <c r="AP717" s="72">
        <v>15.34083666666667</v>
      </c>
      <c r="AQ717" s="70" t="s">
        <v>752</v>
      </c>
      <c r="AR717" s="16">
        <v>32</v>
      </c>
      <c r="AS717" s="16">
        <v>40</v>
      </c>
      <c r="AT717" s="16">
        <v>28</v>
      </c>
      <c r="AU717" s="2" t="s">
        <v>661</v>
      </c>
      <c r="AV717" s="16">
        <f t="shared" si="302"/>
        <v>100</v>
      </c>
      <c r="AW717" s="20">
        <v>4.9000000000000004</v>
      </c>
      <c r="AX717" s="8">
        <f t="shared" ref="AX717:AX750" si="330">AW717/100</f>
        <v>4.9000000000000002E-2</v>
      </c>
      <c r="AY717" s="8" t="s">
        <v>218</v>
      </c>
      <c r="AZ717" s="16">
        <f>1.5/0.075</f>
        <v>20</v>
      </c>
      <c r="BA717" s="16" t="s">
        <v>55</v>
      </c>
      <c r="BB717" s="16">
        <v>10</v>
      </c>
      <c r="BC717" s="16" t="s">
        <v>55</v>
      </c>
      <c r="BD717" s="20">
        <v>1.43</v>
      </c>
      <c r="BE717" s="15">
        <f t="shared" si="317"/>
        <v>29.183673469387752</v>
      </c>
      <c r="BF717" s="15">
        <f t="shared" si="325"/>
        <v>1.465139957436548</v>
      </c>
      <c r="BG717" s="8">
        <f t="shared" si="309"/>
        <v>0.1553360374650618</v>
      </c>
      <c r="BH717" s="2" t="s">
        <v>378</v>
      </c>
      <c r="BI717" s="13"/>
      <c r="BJ717" s="13"/>
      <c r="BK717" s="13"/>
      <c r="BL717" s="13"/>
      <c r="BM717" s="17"/>
      <c r="BN717" s="17"/>
      <c r="BO717" s="2"/>
    </row>
    <row r="718" spans="1:67" s="14" customFormat="1" x14ac:dyDescent="0.3">
      <c r="A718" s="20">
        <v>733</v>
      </c>
      <c r="B718" s="2" t="s">
        <v>214</v>
      </c>
      <c r="C718" s="2">
        <v>2022</v>
      </c>
      <c r="D718" s="2" t="s">
        <v>201</v>
      </c>
      <c r="E718" s="10" t="s">
        <v>808</v>
      </c>
      <c r="F718" s="20" t="s">
        <v>29</v>
      </c>
      <c r="G718" s="2" t="s">
        <v>233</v>
      </c>
      <c r="H718" s="2" t="str">
        <f>'PFAS Properties'!$B$44</f>
        <v>PFHxS</v>
      </c>
      <c r="I718" s="2" t="str">
        <f>'PFAS Properties'!$C$44</f>
        <v>PFSA</v>
      </c>
      <c r="J718" s="2" t="str">
        <f>'PFAS Properties'!$D$44</f>
        <v>C6F13O3SH</v>
      </c>
      <c r="K718" s="25">
        <f>'PFAS Properties'!$P$44</f>
        <v>399.94379999999995</v>
      </c>
      <c r="L718" s="2">
        <f>'PFAS Properties'!$X$44</f>
        <v>0.1</v>
      </c>
      <c r="M718" s="2" t="str">
        <f>'PFAS Properties'!$Y$44</f>
        <v>-</v>
      </c>
      <c r="N718" s="33">
        <v>0</v>
      </c>
      <c r="O718" s="33">
        <v>0</v>
      </c>
      <c r="P718" s="33">
        <v>0</v>
      </c>
      <c r="Q718" s="33">
        <f t="shared" si="318"/>
        <v>0.99999841510931942</v>
      </c>
      <c r="R718" s="33">
        <v>0</v>
      </c>
      <c r="S718" s="33">
        <f t="shared" si="319"/>
        <v>1.5848906805786579E-6</v>
      </c>
      <c r="T718" s="8">
        <f t="shared" si="308"/>
        <v>1</v>
      </c>
      <c r="U718" s="33">
        <f t="shared" si="320"/>
        <v>0</v>
      </c>
      <c r="V718" s="33">
        <f t="shared" si="321"/>
        <v>-0.99999841510931942</v>
      </c>
      <c r="W718" s="33">
        <f t="shared" si="322"/>
        <v>398.94380158489065</v>
      </c>
      <c r="X718" s="33">
        <v>96485</v>
      </c>
      <c r="Y718" s="16">
        <f t="shared" si="323"/>
        <v>-241.85072358190735</v>
      </c>
      <c r="Z718" s="16">
        <v>6</v>
      </c>
      <c r="AA718" s="16">
        <v>13</v>
      </c>
      <c r="AB718" s="8">
        <f t="shared" si="324"/>
        <v>0.291497975708502</v>
      </c>
      <c r="AC718" s="16">
        <f t="shared" si="316"/>
        <v>61.758677094131734</v>
      </c>
      <c r="AD718" s="20">
        <f>'PFAS Properties'!$W$44</f>
        <v>6</v>
      </c>
      <c r="AE718" s="8">
        <f>'PFAS Properties'!$S$44</f>
        <v>3.7905666251460763</v>
      </c>
      <c r="AF718" s="15">
        <f>'PFAS Properties'!$V$44</f>
        <v>3.6</v>
      </c>
      <c r="AG718" s="24">
        <v>5.9</v>
      </c>
      <c r="AH718" s="2" t="s">
        <v>216</v>
      </c>
      <c r="AI718" s="2">
        <v>1.4</v>
      </c>
      <c r="AJ718" s="15">
        <f t="shared" si="326"/>
        <v>25.069388485988004</v>
      </c>
      <c r="AK718" s="15">
        <f t="shared" si="327"/>
        <v>0.13999999999999999</v>
      </c>
      <c r="AL718" s="15">
        <v>0.92</v>
      </c>
      <c r="AM718" s="15">
        <f t="shared" si="328"/>
        <v>34.099332839140104</v>
      </c>
      <c r="AN718" s="15">
        <f t="shared" si="329"/>
        <v>9.1999999999999998E-2</v>
      </c>
      <c r="AO718" s="15" t="s">
        <v>217</v>
      </c>
      <c r="AP718" s="72">
        <v>15.34083666666667</v>
      </c>
      <c r="AQ718" s="70" t="s">
        <v>752</v>
      </c>
      <c r="AR718" s="16">
        <v>37</v>
      </c>
      <c r="AS718" s="16">
        <v>22</v>
      </c>
      <c r="AT718" s="16">
        <v>41</v>
      </c>
      <c r="AU718" s="2" t="s">
        <v>661</v>
      </c>
      <c r="AV718" s="16">
        <f t="shared" si="302"/>
        <v>100</v>
      </c>
      <c r="AW718" s="20">
        <v>2.6</v>
      </c>
      <c r="AX718" s="8">
        <f t="shared" si="330"/>
        <v>2.6000000000000002E-2</v>
      </c>
      <c r="AY718" s="8" t="s">
        <v>218</v>
      </c>
      <c r="AZ718" s="16">
        <f>1.5/0.075</f>
        <v>20</v>
      </c>
      <c r="BA718" s="16" t="s">
        <v>55</v>
      </c>
      <c r="BB718" s="16">
        <v>10</v>
      </c>
      <c r="BC718" s="16" t="s">
        <v>55</v>
      </c>
      <c r="BD718" s="20">
        <v>0.69</v>
      </c>
      <c r="BE718" s="15">
        <f t="shared" si="317"/>
        <v>26.538461538461533</v>
      </c>
      <c r="BF718" s="15">
        <f t="shared" si="325"/>
        <v>1.4238757427664372</v>
      </c>
      <c r="BG718" s="8">
        <f t="shared" si="309"/>
        <v>-0.16115090926274472</v>
      </c>
      <c r="BH718" s="2" t="s">
        <v>378</v>
      </c>
      <c r="BI718" s="13"/>
      <c r="BJ718" s="13"/>
      <c r="BK718" s="13"/>
      <c r="BL718" s="13"/>
      <c r="BM718" s="17"/>
      <c r="BN718" s="17"/>
      <c r="BO718" s="2"/>
    </row>
    <row r="719" spans="1:67" s="14" customFormat="1" x14ac:dyDescent="0.3">
      <c r="A719" s="20">
        <v>734</v>
      </c>
      <c r="B719" s="2" t="s">
        <v>219</v>
      </c>
      <c r="C719" s="2">
        <v>2020</v>
      </c>
      <c r="D719" s="2" t="s">
        <v>205</v>
      </c>
      <c r="E719" s="22" t="s">
        <v>802</v>
      </c>
      <c r="F719" s="20" t="s">
        <v>29</v>
      </c>
      <c r="G719" s="2">
        <v>1</v>
      </c>
      <c r="H719" s="2" t="str">
        <f>'PFAS Properties'!$B$44</f>
        <v>PFHxS</v>
      </c>
      <c r="I719" s="2" t="str">
        <f>'PFAS Properties'!$C$44</f>
        <v>PFSA</v>
      </c>
      <c r="J719" s="2" t="str">
        <f>'PFAS Properties'!$D$44</f>
        <v>C6F13O3SH</v>
      </c>
      <c r="K719" s="25">
        <f>'PFAS Properties'!$P$44</f>
        <v>399.94379999999995</v>
      </c>
      <c r="L719" s="2">
        <f>'PFAS Properties'!$X$44</f>
        <v>0.1</v>
      </c>
      <c r="M719" s="2" t="str">
        <f>'PFAS Properties'!$Y$44</f>
        <v>-</v>
      </c>
      <c r="N719" s="33">
        <v>0</v>
      </c>
      <c r="O719" s="33">
        <v>0</v>
      </c>
      <c r="P719" s="33">
        <v>0</v>
      </c>
      <c r="Q719" s="33">
        <f t="shared" si="318"/>
        <v>0.99999968377233395</v>
      </c>
      <c r="R719" s="33">
        <v>0</v>
      </c>
      <c r="S719" s="33">
        <f t="shared" si="319"/>
        <v>3.1622766601686895E-7</v>
      </c>
      <c r="T719" s="8">
        <f t="shared" si="308"/>
        <v>1</v>
      </c>
      <c r="U719" s="33">
        <f t="shared" si="320"/>
        <v>0</v>
      </c>
      <c r="V719" s="33">
        <f t="shared" si="321"/>
        <v>-0.99999968377233395</v>
      </c>
      <c r="W719" s="33">
        <f t="shared" si="322"/>
        <v>398.94380031622762</v>
      </c>
      <c r="X719" s="33">
        <v>96485</v>
      </c>
      <c r="Y719" s="16">
        <f t="shared" si="323"/>
        <v>-241.85103117856113</v>
      </c>
      <c r="Z719" s="16">
        <v>6</v>
      </c>
      <c r="AA719" s="16">
        <v>13</v>
      </c>
      <c r="AB719" s="8">
        <f t="shared" si="324"/>
        <v>0.291497975708502</v>
      </c>
      <c r="AC719" s="16">
        <f t="shared" si="316"/>
        <v>61.758677094131734</v>
      </c>
      <c r="AD719" s="20">
        <f>'PFAS Properties'!$W$44</f>
        <v>6</v>
      </c>
      <c r="AE719" s="8">
        <f>'PFAS Properties'!$S$44</f>
        <v>3.7905666251460763</v>
      </c>
      <c r="AF719" s="15">
        <f>'PFAS Properties'!$V$44</f>
        <v>3.6</v>
      </c>
      <c r="AG719" s="24">
        <v>6.6</v>
      </c>
      <c r="AH719" s="2" t="s">
        <v>85</v>
      </c>
      <c r="AI719" s="2">
        <v>4.17</v>
      </c>
      <c r="AJ719" s="15">
        <f t="shared" si="326"/>
        <v>74.67096427612141</v>
      </c>
      <c r="AK719" s="8">
        <f t="shared" si="327"/>
        <v>0.41699999999999998</v>
      </c>
      <c r="AL719" s="2">
        <v>2.58</v>
      </c>
      <c r="AM719" s="15">
        <f t="shared" si="328"/>
        <v>95.626389918458116</v>
      </c>
      <c r="AN719" s="8">
        <f t="shared" si="329"/>
        <v>0.25800000000000001</v>
      </c>
      <c r="AO719" s="15" t="s">
        <v>86</v>
      </c>
      <c r="AP719" s="15">
        <v>10</v>
      </c>
      <c r="AQ719" s="15" t="s">
        <v>711</v>
      </c>
      <c r="AR719" s="16">
        <v>43</v>
      </c>
      <c r="AS719" s="2">
        <v>12</v>
      </c>
      <c r="AT719" s="2">
        <v>45</v>
      </c>
      <c r="AU719" s="15" t="s">
        <v>664</v>
      </c>
      <c r="AV719" s="16">
        <f t="shared" si="302"/>
        <v>100</v>
      </c>
      <c r="AW719" s="20">
        <v>1.8</v>
      </c>
      <c r="AX719" s="8">
        <f t="shared" si="330"/>
        <v>1.8000000000000002E-2</v>
      </c>
      <c r="AY719" s="8" t="s">
        <v>87</v>
      </c>
      <c r="AZ719" s="16">
        <v>200</v>
      </c>
      <c r="BA719" s="16" t="s">
        <v>55</v>
      </c>
      <c r="BB719" s="16" t="s">
        <v>391</v>
      </c>
      <c r="BC719" s="16" t="s">
        <v>55</v>
      </c>
      <c r="BD719" s="20">
        <v>0.08</v>
      </c>
      <c r="BE719" s="15">
        <f t="shared" si="317"/>
        <v>4.4444444444444438</v>
      </c>
      <c r="BF719" s="15">
        <f t="shared" si="325"/>
        <v>0.64781748188863741</v>
      </c>
      <c r="BG719" s="8">
        <f t="shared" si="309"/>
        <v>-1.0969100130080565</v>
      </c>
      <c r="BH719" s="13" t="s">
        <v>841</v>
      </c>
      <c r="BI719" s="13"/>
      <c r="BJ719" s="13"/>
      <c r="BK719" s="13"/>
      <c r="BL719" s="13"/>
      <c r="BM719" s="17"/>
      <c r="BN719" s="17"/>
      <c r="BO719" s="2"/>
    </row>
    <row r="720" spans="1:67" s="14" customFormat="1" x14ac:dyDescent="0.3">
      <c r="A720" s="20">
        <v>735</v>
      </c>
      <c r="B720" s="2" t="s">
        <v>219</v>
      </c>
      <c r="C720" s="2">
        <v>2020</v>
      </c>
      <c r="D720" s="2" t="s">
        <v>205</v>
      </c>
      <c r="E720" s="10" t="s">
        <v>802</v>
      </c>
      <c r="F720" s="20" t="s">
        <v>29</v>
      </c>
      <c r="G720" s="2">
        <v>2</v>
      </c>
      <c r="H720" s="2" t="str">
        <f>'PFAS Properties'!$B$44</f>
        <v>PFHxS</v>
      </c>
      <c r="I720" s="2" t="str">
        <f>'PFAS Properties'!$C$44</f>
        <v>PFSA</v>
      </c>
      <c r="J720" s="2" t="str">
        <f>'PFAS Properties'!$D$44</f>
        <v>C6F13O3SH</v>
      </c>
      <c r="K720" s="25">
        <f>'PFAS Properties'!$P$44</f>
        <v>399.94379999999995</v>
      </c>
      <c r="L720" s="2">
        <f>'PFAS Properties'!$X$44</f>
        <v>0.1</v>
      </c>
      <c r="M720" s="2" t="str">
        <f>'PFAS Properties'!$Y$44</f>
        <v>-</v>
      </c>
      <c r="N720" s="33">
        <v>0</v>
      </c>
      <c r="O720" s="33">
        <v>0</v>
      </c>
      <c r="P720" s="33">
        <v>0</v>
      </c>
      <c r="Q720" s="33">
        <f t="shared" si="318"/>
        <v>0.99999968377233395</v>
      </c>
      <c r="R720" s="33">
        <v>0</v>
      </c>
      <c r="S720" s="33">
        <f t="shared" si="319"/>
        <v>3.1622766601686895E-7</v>
      </c>
      <c r="T720" s="8">
        <f t="shared" si="308"/>
        <v>1</v>
      </c>
      <c r="U720" s="33">
        <f t="shared" si="320"/>
        <v>0</v>
      </c>
      <c r="V720" s="33">
        <f t="shared" si="321"/>
        <v>-0.99999968377233395</v>
      </c>
      <c r="W720" s="33">
        <f t="shared" si="322"/>
        <v>398.94380031622762</v>
      </c>
      <c r="X720" s="33">
        <v>96485</v>
      </c>
      <c r="Y720" s="16">
        <f t="shared" si="323"/>
        <v>-241.85103117856113</v>
      </c>
      <c r="Z720" s="16">
        <v>6</v>
      </c>
      <c r="AA720" s="16">
        <v>13</v>
      </c>
      <c r="AB720" s="8">
        <f t="shared" si="324"/>
        <v>0.291497975708502</v>
      </c>
      <c r="AC720" s="16">
        <f t="shared" si="316"/>
        <v>61.758677094131734</v>
      </c>
      <c r="AD720" s="20">
        <f>'PFAS Properties'!$W$44</f>
        <v>6</v>
      </c>
      <c r="AE720" s="8">
        <f>'PFAS Properties'!$S$44</f>
        <v>3.7905666251460763</v>
      </c>
      <c r="AF720" s="15">
        <f>'PFAS Properties'!$V$44</f>
        <v>3.6</v>
      </c>
      <c r="AG720" s="24">
        <v>6.6</v>
      </c>
      <c r="AH720" s="2" t="s">
        <v>85</v>
      </c>
      <c r="AI720" s="2">
        <v>6.06</v>
      </c>
      <c r="AJ720" s="15">
        <f t="shared" si="326"/>
        <v>108.51463873220521</v>
      </c>
      <c r="AK720" s="8">
        <f t="shared" si="327"/>
        <v>0.60599999999999998</v>
      </c>
      <c r="AL720" s="2">
        <v>3.75</v>
      </c>
      <c r="AM720" s="15">
        <f t="shared" si="328"/>
        <v>138.99184581171238</v>
      </c>
      <c r="AN720" s="8">
        <f t="shared" si="329"/>
        <v>0.375</v>
      </c>
      <c r="AO720" s="15" t="s">
        <v>86</v>
      </c>
      <c r="AP720" s="15">
        <v>9.5399999999999991</v>
      </c>
      <c r="AQ720" s="15" t="s">
        <v>711</v>
      </c>
      <c r="AR720" s="16">
        <v>36</v>
      </c>
      <c r="AS720" s="16">
        <v>23</v>
      </c>
      <c r="AT720" s="16">
        <v>41</v>
      </c>
      <c r="AU720" s="15" t="s">
        <v>664</v>
      </c>
      <c r="AV720" s="16">
        <f t="shared" si="302"/>
        <v>100</v>
      </c>
      <c r="AW720" s="20">
        <v>2.1</v>
      </c>
      <c r="AX720" s="8">
        <f t="shared" si="330"/>
        <v>2.1000000000000001E-2</v>
      </c>
      <c r="AY720" s="8" t="s">
        <v>87</v>
      </c>
      <c r="AZ720" s="16">
        <v>20</v>
      </c>
      <c r="BA720" s="16" t="s">
        <v>55</v>
      </c>
      <c r="BB720" s="16" t="s">
        <v>391</v>
      </c>
      <c r="BC720" s="16" t="s">
        <v>55</v>
      </c>
      <c r="BD720" s="20">
        <v>0.06</v>
      </c>
      <c r="BE720" s="15">
        <f t="shared" si="317"/>
        <v>2.8571428571428568</v>
      </c>
      <c r="BF720" s="15">
        <f t="shared" si="325"/>
        <v>0.45593195564972433</v>
      </c>
      <c r="BG720" s="8">
        <f t="shared" si="309"/>
        <v>-1.2218487496163564</v>
      </c>
      <c r="BH720" s="13" t="s">
        <v>841</v>
      </c>
      <c r="BI720" s="13"/>
      <c r="BJ720" s="13"/>
      <c r="BK720" s="13"/>
      <c r="BL720" s="13"/>
      <c r="BM720" s="17"/>
      <c r="BN720" s="17"/>
      <c r="BO720" s="2"/>
    </row>
    <row r="721" spans="1:67" s="14" customFormat="1" x14ac:dyDescent="0.3">
      <c r="A721" s="20">
        <v>736</v>
      </c>
      <c r="B721" s="2" t="s">
        <v>219</v>
      </c>
      <c r="C721" s="2">
        <v>2020</v>
      </c>
      <c r="D721" s="2" t="s">
        <v>205</v>
      </c>
      <c r="E721" s="10" t="s">
        <v>802</v>
      </c>
      <c r="F721" s="20" t="s">
        <v>29</v>
      </c>
      <c r="G721" s="2">
        <v>3</v>
      </c>
      <c r="H721" s="2" t="str">
        <f>'PFAS Properties'!$B$44</f>
        <v>PFHxS</v>
      </c>
      <c r="I721" s="2" t="str">
        <f>'PFAS Properties'!$C$44</f>
        <v>PFSA</v>
      </c>
      <c r="J721" s="2" t="str">
        <f>'PFAS Properties'!$D$44</f>
        <v>C6F13O3SH</v>
      </c>
      <c r="K721" s="25">
        <f>'PFAS Properties'!$P$44</f>
        <v>399.94379999999995</v>
      </c>
      <c r="L721" s="2">
        <f>'PFAS Properties'!$X$44</f>
        <v>0.1</v>
      </c>
      <c r="M721" s="2" t="str">
        <f>'PFAS Properties'!$Y$44</f>
        <v>-</v>
      </c>
      <c r="N721" s="33">
        <v>0</v>
      </c>
      <c r="O721" s="33">
        <v>0</v>
      </c>
      <c r="P721" s="33">
        <v>0</v>
      </c>
      <c r="Q721" s="33">
        <f t="shared" si="318"/>
        <v>0.99999936904305364</v>
      </c>
      <c r="R721" s="33">
        <v>0</v>
      </c>
      <c r="S721" s="33">
        <f t="shared" si="319"/>
        <v>6.309569463732732E-7</v>
      </c>
      <c r="T721" s="8">
        <f t="shared" si="308"/>
        <v>1</v>
      </c>
      <c r="U721" s="33">
        <f t="shared" si="320"/>
        <v>0</v>
      </c>
      <c r="V721" s="33">
        <f t="shared" si="321"/>
        <v>-0.99999936904305364</v>
      </c>
      <c r="W721" s="33">
        <f t="shared" si="322"/>
        <v>398.94380063095696</v>
      </c>
      <c r="X721" s="33">
        <v>96485</v>
      </c>
      <c r="Y721" s="16">
        <f t="shared" si="323"/>
        <v>-241.85095487013834</v>
      </c>
      <c r="Z721" s="16">
        <v>6</v>
      </c>
      <c r="AA721" s="16">
        <v>13</v>
      </c>
      <c r="AB721" s="8">
        <f t="shared" si="324"/>
        <v>0.291497975708502</v>
      </c>
      <c r="AC721" s="16">
        <f t="shared" si="316"/>
        <v>61.758677094131734</v>
      </c>
      <c r="AD721" s="20">
        <f>'PFAS Properties'!$W$44</f>
        <v>6</v>
      </c>
      <c r="AE721" s="8">
        <f>'PFAS Properties'!$S$44</f>
        <v>3.7905666251460763</v>
      </c>
      <c r="AF721" s="15">
        <f>'PFAS Properties'!$V$44</f>
        <v>3.6</v>
      </c>
      <c r="AG721" s="24">
        <v>6.3</v>
      </c>
      <c r="AH721" s="2" t="s">
        <v>85</v>
      </c>
      <c r="AI721" s="2">
        <v>0.46600000000000003</v>
      </c>
      <c r="AJ721" s="15">
        <f t="shared" si="326"/>
        <v>8.3445250246217206</v>
      </c>
      <c r="AK721" s="8">
        <f t="shared" si="327"/>
        <v>4.6600000000000003E-2</v>
      </c>
      <c r="AL721" s="2">
        <v>0.185</v>
      </c>
      <c r="AM721" s="15">
        <f t="shared" si="328"/>
        <v>6.8569310600444773</v>
      </c>
      <c r="AN721" s="8">
        <f t="shared" si="329"/>
        <v>1.8499999999999999E-2</v>
      </c>
      <c r="AO721" s="15" t="s">
        <v>86</v>
      </c>
      <c r="AP721" s="15">
        <v>2.83</v>
      </c>
      <c r="AQ721" s="15" t="s">
        <v>711</v>
      </c>
      <c r="AR721" s="16">
        <v>91</v>
      </c>
      <c r="AS721" s="16">
        <v>2</v>
      </c>
      <c r="AT721" s="16">
        <v>7</v>
      </c>
      <c r="AU721" s="15" t="s">
        <v>664</v>
      </c>
      <c r="AV721" s="16">
        <f t="shared" si="302"/>
        <v>100</v>
      </c>
      <c r="AW721" s="20">
        <v>0.6</v>
      </c>
      <c r="AX721" s="8">
        <f t="shared" si="330"/>
        <v>6.0000000000000001E-3</v>
      </c>
      <c r="AY721" s="8" t="s">
        <v>87</v>
      </c>
      <c r="AZ721" s="16">
        <v>20</v>
      </c>
      <c r="BA721" s="16" t="s">
        <v>55</v>
      </c>
      <c r="BB721" s="16" t="s">
        <v>391</v>
      </c>
      <c r="BC721" s="16" t="s">
        <v>55</v>
      </c>
      <c r="BD721" s="20">
        <v>3.92</v>
      </c>
      <c r="BE721" s="15">
        <f t="shared" si="317"/>
        <v>653.33333333333326</v>
      </c>
      <c r="BF721" s="15">
        <f t="shared" si="325"/>
        <v>2.8151348166368138</v>
      </c>
      <c r="BG721" s="8">
        <f t="shared" si="309"/>
        <v>0.59328606702045728</v>
      </c>
      <c r="BH721" s="13" t="s">
        <v>841</v>
      </c>
      <c r="BI721" s="13"/>
      <c r="BJ721" s="13"/>
      <c r="BK721" s="13"/>
      <c r="BL721" s="13"/>
      <c r="BM721" s="17"/>
      <c r="BN721" s="17"/>
      <c r="BO721" s="2"/>
    </row>
    <row r="722" spans="1:67" s="14" customFormat="1" x14ac:dyDescent="0.3">
      <c r="A722" s="20">
        <v>737</v>
      </c>
      <c r="B722" s="2" t="s">
        <v>219</v>
      </c>
      <c r="C722" s="2">
        <v>2020</v>
      </c>
      <c r="D722" s="2" t="s">
        <v>205</v>
      </c>
      <c r="E722" s="10" t="s">
        <v>802</v>
      </c>
      <c r="F722" s="20" t="s">
        <v>29</v>
      </c>
      <c r="G722" s="2">
        <v>4</v>
      </c>
      <c r="H722" s="2" t="str">
        <f>'PFAS Properties'!$B$44</f>
        <v>PFHxS</v>
      </c>
      <c r="I722" s="2" t="str">
        <f>'PFAS Properties'!$C$44</f>
        <v>PFSA</v>
      </c>
      <c r="J722" s="2" t="str">
        <f>'PFAS Properties'!$D$44</f>
        <v>C6F13O3SH</v>
      </c>
      <c r="K722" s="25">
        <f>'PFAS Properties'!$P$44</f>
        <v>399.94379999999995</v>
      </c>
      <c r="L722" s="2">
        <f>'PFAS Properties'!$X$44</f>
        <v>0.1</v>
      </c>
      <c r="M722" s="2" t="str">
        <f>'PFAS Properties'!$Y$44</f>
        <v>-</v>
      </c>
      <c r="N722" s="33">
        <v>0</v>
      </c>
      <c r="O722" s="33">
        <v>0</v>
      </c>
      <c r="P722" s="33">
        <v>0</v>
      </c>
      <c r="Q722" s="33">
        <f t="shared" si="318"/>
        <v>0.99999993690426958</v>
      </c>
      <c r="R722" s="33">
        <v>0</v>
      </c>
      <c r="S722" s="33">
        <f t="shared" si="319"/>
        <v>6.3095730466947729E-8</v>
      </c>
      <c r="T722" s="8">
        <f t="shared" si="308"/>
        <v>1</v>
      </c>
      <c r="U722" s="33">
        <f t="shared" si="320"/>
        <v>0</v>
      </c>
      <c r="V722" s="33">
        <f t="shared" si="321"/>
        <v>-0.99999993690426958</v>
      </c>
      <c r="W722" s="33">
        <f t="shared" si="322"/>
        <v>398.94380006309569</v>
      </c>
      <c r="X722" s="33">
        <v>96485</v>
      </c>
      <c r="Y722" s="16">
        <f t="shared" si="323"/>
        <v>-241.85109255225598</v>
      </c>
      <c r="Z722" s="16">
        <v>6</v>
      </c>
      <c r="AA722" s="16">
        <v>13</v>
      </c>
      <c r="AB722" s="8">
        <f t="shared" si="324"/>
        <v>0.291497975708502</v>
      </c>
      <c r="AC722" s="16">
        <f t="shared" si="316"/>
        <v>61.758677094131734</v>
      </c>
      <c r="AD722" s="20">
        <f>'PFAS Properties'!$W$44</f>
        <v>6</v>
      </c>
      <c r="AE722" s="8">
        <f>'PFAS Properties'!$S$44</f>
        <v>3.7905666251460763</v>
      </c>
      <c r="AF722" s="15">
        <f>'PFAS Properties'!$V$44</f>
        <v>3.6</v>
      </c>
      <c r="AG722" s="24">
        <v>7.3</v>
      </c>
      <c r="AH722" s="2" t="s">
        <v>85</v>
      </c>
      <c r="AI722" s="2">
        <v>7.87</v>
      </c>
      <c r="AJ722" s="15">
        <f t="shared" si="326"/>
        <v>140.92577670337542</v>
      </c>
      <c r="AK722" s="8">
        <f t="shared" si="327"/>
        <v>0.78700000000000003</v>
      </c>
      <c r="AL722" s="2">
        <v>2.4</v>
      </c>
      <c r="AM722" s="15">
        <f t="shared" si="328"/>
        <v>88.954781319495922</v>
      </c>
      <c r="AN722" s="8">
        <f t="shared" si="329"/>
        <v>0.24</v>
      </c>
      <c r="AO722" s="15" t="s">
        <v>86</v>
      </c>
      <c r="AP722" s="15">
        <v>27.69</v>
      </c>
      <c r="AQ722" s="15" t="s">
        <v>711</v>
      </c>
      <c r="AR722" s="16">
        <v>27</v>
      </c>
      <c r="AS722" s="16">
        <v>21</v>
      </c>
      <c r="AT722" s="16">
        <v>52</v>
      </c>
      <c r="AU722" s="15" t="s">
        <v>664</v>
      </c>
      <c r="AV722" s="16">
        <f t="shared" si="302"/>
        <v>100</v>
      </c>
      <c r="AW722" s="20">
        <v>1.8</v>
      </c>
      <c r="AX722" s="8">
        <f t="shared" si="330"/>
        <v>1.8000000000000002E-2</v>
      </c>
      <c r="AY722" s="8" t="s">
        <v>87</v>
      </c>
      <c r="AZ722" s="16">
        <v>20</v>
      </c>
      <c r="BA722" s="16" t="s">
        <v>55</v>
      </c>
      <c r="BB722" s="16" t="s">
        <v>391</v>
      </c>
      <c r="BC722" s="16" t="s">
        <v>55</v>
      </c>
      <c r="BD722" s="20">
        <v>5.63</v>
      </c>
      <c r="BE722" s="15">
        <f t="shared" si="317"/>
        <v>312.77777777777771</v>
      </c>
      <c r="BF722" s="15">
        <f t="shared" si="325"/>
        <v>2.4952358897480402</v>
      </c>
      <c r="BG722" s="8">
        <f t="shared" si="309"/>
        <v>0.75050839485134624</v>
      </c>
      <c r="BH722" s="13" t="s">
        <v>841</v>
      </c>
      <c r="BI722" s="13"/>
      <c r="BJ722" s="13"/>
      <c r="BK722" s="13"/>
      <c r="BL722" s="13"/>
      <c r="BM722" s="17"/>
      <c r="BN722" s="17"/>
      <c r="BO722" s="2"/>
    </row>
    <row r="723" spans="1:67" s="14" customFormat="1" x14ac:dyDescent="0.3">
      <c r="A723" s="20">
        <v>738</v>
      </c>
      <c r="B723" s="2" t="s">
        <v>219</v>
      </c>
      <c r="C723" s="2">
        <v>2020</v>
      </c>
      <c r="D723" s="2" t="s">
        <v>205</v>
      </c>
      <c r="E723" s="10" t="s">
        <v>802</v>
      </c>
      <c r="F723" s="20" t="s">
        <v>29</v>
      </c>
      <c r="G723" s="2">
        <v>5</v>
      </c>
      <c r="H723" s="2" t="str">
        <f>'PFAS Properties'!$B$44</f>
        <v>PFHxS</v>
      </c>
      <c r="I723" s="2" t="str">
        <f>'PFAS Properties'!$C$44</f>
        <v>PFSA</v>
      </c>
      <c r="J723" s="2" t="str">
        <f>'PFAS Properties'!$D$44</f>
        <v>C6F13O3SH</v>
      </c>
      <c r="K723" s="25">
        <f>'PFAS Properties'!$P$44</f>
        <v>399.94379999999995</v>
      </c>
      <c r="L723" s="2">
        <f>'PFAS Properties'!$X$44</f>
        <v>0.1</v>
      </c>
      <c r="M723" s="2" t="str">
        <f>'PFAS Properties'!$Y$44</f>
        <v>-</v>
      </c>
      <c r="N723" s="33">
        <v>0</v>
      </c>
      <c r="O723" s="33">
        <v>0</v>
      </c>
      <c r="P723" s="33">
        <v>0</v>
      </c>
      <c r="Q723" s="33">
        <f t="shared" si="318"/>
        <v>0.99999936904305364</v>
      </c>
      <c r="R723" s="33">
        <v>0</v>
      </c>
      <c r="S723" s="33">
        <f t="shared" si="319"/>
        <v>6.309569463732732E-7</v>
      </c>
      <c r="T723" s="8">
        <f t="shared" si="308"/>
        <v>1</v>
      </c>
      <c r="U723" s="33">
        <f t="shared" si="320"/>
        <v>0</v>
      </c>
      <c r="V723" s="33">
        <f t="shared" si="321"/>
        <v>-0.99999936904305364</v>
      </c>
      <c r="W723" s="33">
        <f t="shared" si="322"/>
        <v>398.94380063095696</v>
      </c>
      <c r="X723" s="33">
        <v>96485</v>
      </c>
      <c r="Y723" s="16">
        <f t="shared" si="323"/>
        <v>-241.85095487013834</v>
      </c>
      <c r="Z723" s="16">
        <v>6</v>
      </c>
      <c r="AA723" s="16">
        <v>13</v>
      </c>
      <c r="AB723" s="8">
        <f t="shared" si="324"/>
        <v>0.291497975708502</v>
      </c>
      <c r="AC723" s="16">
        <f t="shared" si="316"/>
        <v>61.758677094131734</v>
      </c>
      <c r="AD723" s="20">
        <f>'PFAS Properties'!$W$44</f>
        <v>6</v>
      </c>
      <c r="AE723" s="8">
        <f>'PFAS Properties'!$S$44</f>
        <v>3.7905666251460763</v>
      </c>
      <c r="AF723" s="15">
        <f>'PFAS Properties'!$V$44</f>
        <v>3.6</v>
      </c>
      <c r="AG723" s="24">
        <v>6.3</v>
      </c>
      <c r="AH723" s="2" t="s">
        <v>85</v>
      </c>
      <c r="AI723" s="2">
        <v>4.12</v>
      </c>
      <c r="AJ723" s="15">
        <f t="shared" si="326"/>
        <v>73.775628973050402</v>
      </c>
      <c r="AK723" s="8">
        <f t="shared" si="327"/>
        <v>0.41200000000000003</v>
      </c>
      <c r="AL723" s="2">
        <v>2.57</v>
      </c>
      <c r="AM723" s="15">
        <f t="shared" si="328"/>
        <v>95.255744996293544</v>
      </c>
      <c r="AN723" s="8">
        <f t="shared" si="329"/>
        <v>0.25700000000000001</v>
      </c>
      <c r="AO723" s="15" t="s">
        <v>86</v>
      </c>
      <c r="AP723" s="15">
        <v>7.18</v>
      </c>
      <c r="AQ723" s="15" t="s">
        <v>711</v>
      </c>
      <c r="AR723" s="16">
        <v>40</v>
      </c>
      <c r="AS723" s="16">
        <v>12</v>
      </c>
      <c r="AT723" s="16">
        <v>48</v>
      </c>
      <c r="AU723" s="15" t="s">
        <v>664</v>
      </c>
      <c r="AV723" s="16">
        <f t="shared" si="302"/>
        <v>100</v>
      </c>
      <c r="AW723" s="20">
        <v>1.5</v>
      </c>
      <c r="AX723" s="8">
        <f t="shared" si="330"/>
        <v>1.4999999999999999E-2</v>
      </c>
      <c r="AY723" s="8" t="s">
        <v>87</v>
      </c>
      <c r="AZ723" s="16">
        <v>20</v>
      </c>
      <c r="BA723" s="16" t="s">
        <v>55</v>
      </c>
      <c r="BB723" s="16" t="s">
        <v>391</v>
      </c>
      <c r="BC723" s="16" t="s">
        <v>55</v>
      </c>
      <c r="BD723" s="20">
        <v>3.39</v>
      </c>
      <c r="BE723" s="15">
        <f t="shared" si="317"/>
        <v>226.00000000000003</v>
      </c>
      <c r="BF723" s="15">
        <f t="shared" si="325"/>
        <v>2.3541084391474008</v>
      </c>
      <c r="BG723" s="8">
        <f t="shared" si="309"/>
        <v>0.53019969820308221</v>
      </c>
      <c r="BH723" s="13" t="s">
        <v>841</v>
      </c>
      <c r="BI723" s="13"/>
      <c r="BJ723" s="13"/>
      <c r="BK723" s="13"/>
      <c r="BL723" s="13"/>
      <c r="BM723" s="17"/>
      <c r="BN723" s="17"/>
      <c r="BO723" s="2"/>
    </row>
    <row r="724" spans="1:67" s="14" customFormat="1" x14ac:dyDescent="0.3">
      <c r="A724" s="20">
        <v>739</v>
      </c>
      <c r="B724" s="2" t="s">
        <v>219</v>
      </c>
      <c r="C724" s="2">
        <v>2020</v>
      </c>
      <c r="D724" s="2" t="s">
        <v>205</v>
      </c>
      <c r="E724" s="10" t="s">
        <v>802</v>
      </c>
      <c r="F724" s="20" t="s">
        <v>29</v>
      </c>
      <c r="G724" s="2">
        <v>6</v>
      </c>
      <c r="H724" s="2" t="str">
        <f>'PFAS Properties'!$B$44</f>
        <v>PFHxS</v>
      </c>
      <c r="I724" s="2" t="str">
        <f>'PFAS Properties'!$C$44</f>
        <v>PFSA</v>
      </c>
      <c r="J724" s="2" t="str">
        <f>'PFAS Properties'!$D$44</f>
        <v>C6F13O3SH</v>
      </c>
      <c r="K724" s="25">
        <f>'PFAS Properties'!$P$44</f>
        <v>399.94379999999995</v>
      </c>
      <c r="L724" s="2">
        <f>'PFAS Properties'!$X$44</f>
        <v>0.1</v>
      </c>
      <c r="M724" s="2" t="str">
        <f>'PFAS Properties'!$Y$44</f>
        <v>-</v>
      </c>
      <c r="N724" s="33">
        <v>0</v>
      </c>
      <c r="O724" s="33">
        <v>0</v>
      </c>
      <c r="P724" s="33">
        <v>0</v>
      </c>
      <c r="Q724" s="33">
        <f t="shared" si="318"/>
        <v>0.99999000009999905</v>
      </c>
      <c r="R724" s="33">
        <v>0</v>
      </c>
      <c r="S724" s="33">
        <f t="shared" si="319"/>
        <v>9.9999000009999908E-6</v>
      </c>
      <c r="T724" s="8">
        <f t="shared" si="308"/>
        <v>1</v>
      </c>
      <c r="U724" s="33">
        <f t="shared" si="320"/>
        <v>0</v>
      </c>
      <c r="V724" s="33">
        <f t="shared" si="321"/>
        <v>-0.99999000009999905</v>
      </c>
      <c r="W724" s="33">
        <f t="shared" si="322"/>
        <v>398.9438099999</v>
      </c>
      <c r="X724" s="33">
        <v>96485</v>
      </c>
      <c r="Y724" s="16">
        <f t="shared" si="323"/>
        <v>-241.84868330122129</v>
      </c>
      <c r="Z724" s="16">
        <v>6</v>
      </c>
      <c r="AA724" s="16">
        <v>13</v>
      </c>
      <c r="AB724" s="8">
        <f t="shared" si="324"/>
        <v>0.291497975708502</v>
      </c>
      <c r="AC724" s="16">
        <f t="shared" si="316"/>
        <v>61.758677094131734</v>
      </c>
      <c r="AD724" s="20">
        <f>'PFAS Properties'!$W$44</f>
        <v>6</v>
      </c>
      <c r="AE724" s="8">
        <f>'PFAS Properties'!$S$44</f>
        <v>3.7905666251460763</v>
      </c>
      <c r="AF724" s="15">
        <f>'PFAS Properties'!$V$44</f>
        <v>3.6</v>
      </c>
      <c r="AG724" s="24">
        <v>5.0999999999999996</v>
      </c>
      <c r="AH724" s="2" t="s">
        <v>85</v>
      </c>
      <c r="AI724" s="2">
        <v>2.35</v>
      </c>
      <c r="AJ724" s="15">
        <f t="shared" si="326"/>
        <v>42.080759244337003</v>
      </c>
      <c r="AK724" s="8">
        <f t="shared" si="327"/>
        <v>0.23500000000000001</v>
      </c>
      <c r="AL724" s="2">
        <v>0.92900000000000005</v>
      </c>
      <c r="AM724" s="15">
        <f t="shared" si="328"/>
        <v>34.43291326908821</v>
      </c>
      <c r="AN724" s="8">
        <f t="shared" si="329"/>
        <v>9.290000000000001E-2</v>
      </c>
      <c r="AO724" s="15" t="s">
        <v>86</v>
      </c>
      <c r="AP724" s="15">
        <v>3.64</v>
      </c>
      <c r="AQ724" s="15" t="s">
        <v>711</v>
      </c>
      <c r="AR724" s="16">
        <v>48</v>
      </c>
      <c r="AS724" s="16">
        <v>22</v>
      </c>
      <c r="AT724" s="16">
        <v>30</v>
      </c>
      <c r="AU724" s="15" t="s">
        <v>664</v>
      </c>
      <c r="AV724" s="16">
        <f t="shared" si="302"/>
        <v>100</v>
      </c>
      <c r="AW724" s="20">
        <v>0.9</v>
      </c>
      <c r="AX724" s="8">
        <f t="shared" si="330"/>
        <v>9.0000000000000011E-3</v>
      </c>
      <c r="AY724" s="8" t="s">
        <v>87</v>
      </c>
      <c r="AZ724" s="16">
        <v>20</v>
      </c>
      <c r="BA724" s="16" t="s">
        <v>55</v>
      </c>
      <c r="BB724" s="16" t="s">
        <v>391</v>
      </c>
      <c r="BC724" s="16" t="s">
        <v>55</v>
      </c>
      <c r="BD724" s="20">
        <v>0.32</v>
      </c>
      <c r="BE724" s="15">
        <f t="shared" si="317"/>
        <v>35.55555555555555</v>
      </c>
      <c r="BF724" s="15">
        <f t="shared" si="325"/>
        <v>1.5509074688805811</v>
      </c>
      <c r="BG724" s="8">
        <f t="shared" si="309"/>
        <v>-0.49485002168009401</v>
      </c>
      <c r="BH724" s="13" t="s">
        <v>841</v>
      </c>
      <c r="BI724" s="13"/>
      <c r="BJ724" s="13"/>
      <c r="BK724" s="13"/>
      <c r="BL724" s="13"/>
      <c r="BM724" s="17"/>
      <c r="BN724" s="17"/>
      <c r="BO724" s="2"/>
    </row>
    <row r="725" spans="1:67" s="14" customFormat="1" x14ac:dyDescent="0.3">
      <c r="A725" s="20">
        <v>740</v>
      </c>
      <c r="B725" s="2" t="s">
        <v>219</v>
      </c>
      <c r="C725" s="2">
        <v>2020</v>
      </c>
      <c r="D725" s="2" t="s">
        <v>205</v>
      </c>
      <c r="E725" s="10" t="s">
        <v>802</v>
      </c>
      <c r="F725" s="20" t="s">
        <v>29</v>
      </c>
      <c r="G725" s="2">
        <v>7</v>
      </c>
      <c r="H725" s="2" t="str">
        <f>'PFAS Properties'!$B$44</f>
        <v>PFHxS</v>
      </c>
      <c r="I725" s="2" t="str">
        <f>'PFAS Properties'!$C$44</f>
        <v>PFSA</v>
      </c>
      <c r="J725" s="2" t="str">
        <f>'PFAS Properties'!$D$44</f>
        <v>C6F13O3SH</v>
      </c>
      <c r="K725" s="25">
        <f>'PFAS Properties'!$P$44</f>
        <v>399.94379999999995</v>
      </c>
      <c r="L725" s="2">
        <f>'PFAS Properties'!$X$44</f>
        <v>0.1</v>
      </c>
      <c r="M725" s="2" t="str">
        <f>'PFAS Properties'!$Y$44</f>
        <v>-</v>
      </c>
      <c r="N725" s="33">
        <v>0</v>
      </c>
      <c r="O725" s="33">
        <v>0</v>
      </c>
      <c r="P725" s="33">
        <v>0</v>
      </c>
      <c r="Q725" s="33">
        <f t="shared" si="318"/>
        <v>0.99999949881301753</v>
      </c>
      <c r="R725" s="33">
        <v>0</v>
      </c>
      <c r="S725" s="33">
        <f t="shared" si="319"/>
        <v>5.0118698243875318E-7</v>
      </c>
      <c r="T725" s="8">
        <f t="shared" si="308"/>
        <v>1</v>
      </c>
      <c r="U725" s="33">
        <f t="shared" si="320"/>
        <v>0</v>
      </c>
      <c r="V725" s="33">
        <f t="shared" si="321"/>
        <v>-0.99999949881301753</v>
      </c>
      <c r="W725" s="33">
        <f t="shared" si="322"/>
        <v>398.9438005011869</v>
      </c>
      <c r="X725" s="33">
        <v>96485</v>
      </c>
      <c r="Y725" s="16">
        <f t="shared" si="323"/>
        <v>-241.85098633381807</v>
      </c>
      <c r="Z725" s="16">
        <v>6</v>
      </c>
      <c r="AA725" s="16">
        <v>13</v>
      </c>
      <c r="AB725" s="8">
        <f t="shared" si="324"/>
        <v>0.291497975708502</v>
      </c>
      <c r="AC725" s="16">
        <f t="shared" si="316"/>
        <v>61.758677094131734</v>
      </c>
      <c r="AD725" s="20">
        <f>'PFAS Properties'!$W$44</f>
        <v>6</v>
      </c>
      <c r="AE725" s="8">
        <f>'PFAS Properties'!$S$44</f>
        <v>3.7905666251460763</v>
      </c>
      <c r="AF725" s="15">
        <f>'PFAS Properties'!$V$44</f>
        <v>3.6</v>
      </c>
      <c r="AG725" s="24">
        <v>6.4</v>
      </c>
      <c r="AH725" s="2" t="s">
        <v>85</v>
      </c>
      <c r="AI725" s="2">
        <v>2.2599999999999998</v>
      </c>
      <c r="AJ725" s="15">
        <f t="shared" si="326"/>
        <v>40.469155698809203</v>
      </c>
      <c r="AK725" s="8">
        <f t="shared" si="327"/>
        <v>0.22599999999999998</v>
      </c>
      <c r="AL725" s="2">
        <v>2.06</v>
      </c>
      <c r="AM725" s="15">
        <f t="shared" si="328"/>
        <v>76.352853965900664</v>
      </c>
      <c r="AN725" s="8">
        <f t="shared" si="329"/>
        <v>0.20600000000000002</v>
      </c>
      <c r="AO725" s="15" t="s">
        <v>86</v>
      </c>
      <c r="AP725" s="15">
        <v>5.83</v>
      </c>
      <c r="AQ725" s="15" t="s">
        <v>711</v>
      </c>
      <c r="AR725" s="16">
        <v>66</v>
      </c>
      <c r="AS725" s="16">
        <v>12</v>
      </c>
      <c r="AT725" s="16">
        <v>22</v>
      </c>
      <c r="AU725" s="15" t="s">
        <v>664</v>
      </c>
      <c r="AV725" s="16">
        <f t="shared" si="302"/>
        <v>100</v>
      </c>
      <c r="AW725" s="20">
        <v>0.9</v>
      </c>
      <c r="AX725" s="8">
        <f t="shared" si="330"/>
        <v>9.0000000000000011E-3</v>
      </c>
      <c r="AY725" s="8" t="s">
        <v>87</v>
      </c>
      <c r="AZ725" s="16">
        <v>20</v>
      </c>
      <c r="BA725" s="16" t="s">
        <v>55</v>
      </c>
      <c r="BB725" s="16" t="s">
        <v>391</v>
      </c>
      <c r="BC725" s="16" t="s">
        <v>55</v>
      </c>
      <c r="BD725" s="20">
        <v>0.28000000000000003</v>
      </c>
      <c r="BE725" s="15">
        <f t="shared" si="317"/>
        <v>31.111111111111111</v>
      </c>
      <c r="BF725" s="15">
        <f t="shared" si="325"/>
        <v>1.4929155219028944</v>
      </c>
      <c r="BG725" s="8">
        <f t="shared" si="309"/>
        <v>-0.55284196865778079</v>
      </c>
      <c r="BH725" s="13" t="s">
        <v>841</v>
      </c>
      <c r="BI725" s="13"/>
      <c r="BJ725" s="13"/>
      <c r="BK725" s="13"/>
      <c r="BL725" s="13"/>
      <c r="BM725" s="17"/>
      <c r="BN725" s="17"/>
      <c r="BO725" s="2"/>
    </row>
    <row r="726" spans="1:67" s="14" customFormat="1" x14ac:dyDescent="0.3">
      <c r="A726" s="20">
        <v>741</v>
      </c>
      <c r="B726" s="2" t="s">
        <v>219</v>
      </c>
      <c r="C726" s="2">
        <v>2020</v>
      </c>
      <c r="D726" s="2" t="s">
        <v>205</v>
      </c>
      <c r="E726" s="10" t="s">
        <v>802</v>
      </c>
      <c r="F726" s="20" t="s">
        <v>29</v>
      </c>
      <c r="G726" s="2">
        <v>8</v>
      </c>
      <c r="H726" s="2" t="str">
        <f>'PFAS Properties'!$B$44</f>
        <v>PFHxS</v>
      </c>
      <c r="I726" s="2" t="str">
        <f>'PFAS Properties'!$C$44</f>
        <v>PFSA</v>
      </c>
      <c r="J726" s="2" t="str">
        <f>'PFAS Properties'!$D$44</f>
        <v>C6F13O3SH</v>
      </c>
      <c r="K726" s="25">
        <f>'PFAS Properties'!$P$44</f>
        <v>399.94379999999995</v>
      </c>
      <c r="L726" s="2">
        <f>'PFAS Properties'!$X$44</f>
        <v>0.1</v>
      </c>
      <c r="M726" s="2" t="str">
        <f>'PFAS Properties'!$Y$44</f>
        <v>-</v>
      </c>
      <c r="N726" s="33">
        <v>0</v>
      </c>
      <c r="O726" s="33">
        <v>0</v>
      </c>
      <c r="P726" s="33">
        <v>0</v>
      </c>
      <c r="Q726" s="33">
        <f t="shared" si="318"/>
        <v>0.99999980047380832</v>
      </c>
      <c r="R726" s="33">
        <v>0</v>
      </c>
      <c r="S726" s="33">
        <f t="shared" si="319"/>
        <v>1.9952619168617852E-7</v>
      </c>
      <c r="T726" s="8">
        <f t="shared" si="308"/>
        <v>1</v>
      </c>
      <c r="U726" s="33">
        <f t="shared" si="320"/>
        <v>0</v>
      </c>
      <c r="V726" s="33">
        <f t="shared" si="321"/>
        <v>-0.99999980047380832</v>
      </c>
      <c r="W726" s="33">
        <f t="shared" si="322"/>
        <v>398.94380019952615</v>
      </c>
      <c r="X726" s="33">
        <v>96485</v>
      </c>
      <c r="Y726" s="16">
        <f t="shared" si="323"/>
        <v>-241.85105947368973</v>
      </c>
      <c r="Z726" s="16">
        <v>6</v>
      </c>
      <c r="AA726" s="16">
        <v>13</v>
      </c>
      <c r="AB726" s="8">
        <f t="shared" si="324"/>
        <v>0.291497975708502</v>
      </c>
      <c r="AC726" s="16">
        <f t="shared" si="316"/>
        <v>61.758677094131734</v>
      </c>
      <c r="AD726" s="20">
        <f>'PFAS Properties'!$W$44</f>
        <v>6</v>
      </c>
      <c r="AE726" s="8">
        <f>'PFAS Properties'!$S$44</f>
        <v>3.7905666251460763</v>
      </c>
      <c r="AF726" s="15">
        <f>'PFAS Properties'!$V$44</f>
        <v>3.6</v>
      </c>
      <c r="AG726" s="24">
        <v>6.8</v>
      </c>
      <c r="AH726" s="2" t="s">
        <v>85</v>
      </c>
      <c r="AI726" s="2">
        <v>4.41</v>
      </c>
      <c r="AJ726" s="15">
        <f t="shared" si="326"/>
        <v>78.968573730862204</v>
      </c>
      <c r="AK726" s="8">
        <f t="shared" si="327"/>
        <v>0.441</v>
      </c>
      <c r="AL726" s="2">
        <v>1.85</v>
      </c>
      <c r="AM726" s="15">
        <f t="shared" si="328"/>
        <v>68.56931060044478</v>
      </c>
      <c r="AN726" s="8">
        <f t="shared" si="329"/>
        <v>0.185</v>
      </c>
      <c r="AO726" s="15" t="s">
        <v>86</v>
      </c>
      <c r="AP726" s="15">
        <v>10.86</v>
      </c>
      <c r="AQ726" s="15" t="s">
        <v>711</v>
      </c>
      <c r="AR726" s="16">
        <v>54</v>
      </c>
      <c r="AS726" s="16">
        <v>21</v>
      </c>
      <c r="AT726" s="16">
        <v>25</v>
      </c>
      <c r="AU726" s="15" t="s">
        <v>664</v>
      </c>
      <c r="AV726" s="16">
        <f t="shared" si="302"/>
        <v>100</v>
      </c>
      <c r="AW726" s="20">
        <v>1.1000000000000001</v>
      </c>
      <c r="AX726" s="8">
        <f t="shared" si="330"/>
        <v>1.1000000000000001E-2</v>
      </c>
      <c r="AY726" s="8" t="s">
        <v>87</v>
      </c>
      <c r="AZ726" s="16">
        <v>20</v>
      </c>
      <c r="BA726" s="16" t="s">
        <v>55</v>
      </c>
      <c r="BB726" s="16" t="s">
        <v>391</v>
      </c>
      <c r="BC726" s="16" t="s">
        <v>55</v>
      </c>
      <c r="BD726" s="20">
        <v>2.71</v>
      </c>
      <c r="BE726" s="15">
        <f t="shared" si="317"/>
        <v>246.36363636363635</v>
      </c>
      <c r="BF726" s="15">
        <f t="shared" si="325"/>
        <v>2.3915766057161805</v>
      </c>
      <c r="BG726" s="8">
        <f t="shared" si="309"/>
        <v>0.43296929087440572</v>
      </c>
      <c r="BH726" s="13" t="s">
        <v>841</v>
      </c>
      <c r="BI726" s="13"/>
      <c r="BJ726" s="13"/>
      <c r="BK726" s="13"/>
      <c r="BL726" s="13"/>
      <c r="BM726" s="17"/>
      <c r="BN726" s="17"/>
      <c r="BO726" s="2"/>
    </row>
    <row r="727" spans="1:67" s="14" customFormat="1" x14ac:dyDescent="0.3">
      <c r="A727" s="20">
        <v>742</v>
      </c>
      <c r="B727" s="2" t="s">
        <v>219</v>
      </c>
      <c r="C727" s="2">
        <v>2020</v>
      </c>
      <c r="D727" s="2" t="s">
        <v>205</v>
      </c>
      <c r="E727" s="10" t="s">
        <v>802</v>
      </c>
      <c r="F727" s="20" t="s">
        <v>29</v>
      </c>
      <c r="G727" s="2">
        <v>9</v>
      </c>
      <c r="H727" s="2" t="str">
        <f>'PFAS Properties'!$B$44</f>
        <v>PFHxS</v>
      </c>
      <c r="I727" s="2" t="str">
        <f>'PFAS Properties'!$C$44</f>
        <v>PFSA</v>
      </c>
      <c r="J727" s="2" t="str">
        <f>'PFAS Properties'!$D$44</f>
        <v>C6F13O3SH</v>
      </c>
      <c r="K727" s="25">
        <f>'PFAS Properties'!$P$44</f>
        <v>399.94379999999995</v>
      </c>
      <c r="L727" s="2">
        <f>'PFAS Properties'!$X$44</f>
        <v>0.1</v>
      </c>
      <c r="M727" s="2" t="str">
        <f>'PFAS Properties'!$Y$44</f>
        <v>-</v>
      </c>
      <c r="N727" s="33">
        <v>0</v>
      </c>
      <c r="O727" s="33">
        <v>0</v>
      </c>
      <c r="P727" s="33">
        <v>0</v>
      </c>
      <c r="Q727" s="33">
        <f t="shared" si="318"/>
        <v>0.99999990000001004</v>
      </c>
      <c r="R727" s="33">
        <v>0</v>
      </c>
      <c r="S727" s="33">
        <f t="shared" si="319"/>
        <v>9.9999990000001005E-8</v>
      </c>
      <c r="T727" s="8">
        <f t="shared" si="308"/>
        <v>1</v>
      </c>
      <c r="U727" s="33">
        <f t="shared" si="320"/>
        <v>0</v>
      </c>
      <c r="V727" s="33">
        <f t="shared" si="321"/>
        <v>-0.99999990000001004</v>
      </c>
      <c r="W727" s="33">
        <f t="shared" si="322"/>
        <v>398.94380009999992</v>
      </c>
      <c r="X727" s="33">
        <v>96485</v>
      </c>
      <c r="Y727" s="16">
        <f t="shared" si="323"/>
        <v>-241.85108360454748</v>
      </c>
      <c r="Z727" s="16">
        <v>6</v>
      </c>
      <c r="AA727" s="16">
        <v>13</v>
      </c>
      <c r="AB727" s="8">
        <f t="shared" si="324"/>
        <v>0.291497975708502</v>
      </c>
      <c r="AC727" s="16">
        <f t="shared" si="316"/>
        <v>61.758677094131734</v>
      </c>
      <c r="AD727" s="20">
        <f>'PFAS Properties'!$W$44</f>
        <v>6</v>
      </c>
      <c r="AE727" s="8">
        <f>'PFAS Properties'!$S$44</f>
        <v>3.7905666251460763</v>
      </c>
      <c r="AF727" s="15">
        <f>'PFAS Properties'!$V$44</f>
        <v>3.6</v>
      </c>
      <c r="AG727" s="24">
        <v>7.1</v>
      </c>
      <c r="AH727" s="2" t="s">
        <v>85</v>
      </c>
      <c r="AI727" s="2">
        <v>3.37</v>
      </c>
      <c r="AJ727" s="15">
        <f t="shared" si="326"/>
        <v>60.345599426985409</v>
      </c>
      <c r="AK727" s="8">
        <f t="shared" si="327"/>
        <v>0.33700000000000002</v>
      </c>
      <c r="AL727" s="2">
        <v>1.47</v>
      </c>
      <c r="AM727" s="15">
        <f t="shared" si="328"/>
        <v>54.484803558191253</v>
      </c>
      <c r="AN727" s="8">
        <f t="shared" si="329"/>
        <v>0.14699999999999999</v>
      </c>
      <c r="AO727" s="15" t="s">
        <v>86</v>
      </c>
      <c r="AP727" s="15">
        <v>15.69</v>
      </c>
      <c r="AQ727" s="15" t="s">
        <v>711</v>
      </c>
      <c r="AR727" s="16">
        <v>60</v>
      </c>
      <c r="AS727" s="16">
        <v>16</v>
      </c>
      <c r="AT727" s="16">
        <v>24</v>
      </c>
      <c r="AU727" s="15" t="s">
        <v>664</v>
      </c>
      <c r="AV727" s="16">
        <f t="shared" si="302"/>
        <v>100</v>
      </c>
      <c r="AW727" s="20">
        <v>1.6</v>
      </c>
      <c r="AX727" s="8">
        <f t="shared" si="330"/>
        <v>1.6E-2</v>
      </c>
      <c r="AY727" s="8" t="s">
        <v>87</v>
      </c>
      <c r="AZ727" s="16">
        <v>20</v>
      </c>
      <c r="BA727" s="16" t="s">
        <v>55</v>
      </c>
      <c r="BB727" s="16" t="s">
        <v>391</v>
      </c>
      <c r="BC727" s="16" t="s">
        <v>55</v>
      </c>
      <c r="BD727" s="20">
        <v>0.63</v>
      </c>
      <c r="BE727" s="15">
        <f t="shared" si="317"/>
        <v>39.375</v>
      </c>
      <c r="BF727" s="15">
        <f t="shared" si="325"/>
        <v>1.5952205667976569</v>
      </c>
      <c r="BG727" s="8">
        <f t="shared" si="309"/>
        <v>-0.20065945054641829</v>
      </c>
      <c r="BH727" s="13" t="s">
        <v>841</v>
      </c>
      <c r="BI727" s="13"/>
      <c r="BJ727" s="13"/>
      <c r="BK727" s="13"/>
      <c r="BL727" s="13"/>
      <c r="BM727" s="17"/>
      <c r="BN727" s="17"/>
      <c r="BO727" s="2"/>
    </row>
    <row r="728" spans="1:67" s="14" customFormat="1" x14ac:dyDescent="0.3">
      <c r="A728" s="20">
        <v>743</v>
      </c>
      <c r="B728" s="2" t="s">
        <v>219</v>
      </c>
      <c r="C728" s="2">
        <v>2020</v>
      </c>
      <c r="D728" s="2" t="s">
        <v>205</v>
      </c>
      <c r="E728" s="10" t="s">
        <v>802</v>
      </c>
      <c r="F728" s="20" t="s">
        <v>29</v>
      </c>
      <c r="G728" s="2">
        <v>11</v>
      </c>
      <c r="H728" s="2" t="str">
        <f>'PFAS Properties'!$B$44</f>
        <v>PFHxS</v>
      </c>
      <c r="I728" s="2" t="str">
        <f>'PFAS Properties'!$C$44</f>
        <v>PFSA</v>
      </c>
      <c r="J728" s="2" t="str">
        <f>'PFAS Properties'!$D$44</f>
        <v>C6F13O3SH</v>
      </c>
      <c r="K728" s="25">
        <f>'PFAS Properties'!$P$44</f>
        <v>399.94379999999995</v>
      </c>
      <c r="L728" s="2">
        <f>'PFAS Properties'!$X$44</f>
        <v>0.1</v>
      </c>
      <c r="M728" s="2" t="str">
        <f>'PFAS Properties'!$Y$44</f>
        <v>-</v>
      </c>
      <c r="N728" s="33">
        <v>0</v>
      </c>
      <c r="O728" s="33">
        <v>0</v>
      </c>
      <c r="P728" s="33">
        <v>0</v>
      </c>
      <c r="Q728" s="33">
        <f t="shared" si="318"/>
        <v>0.99999498815278243</v>
      </c>
      <c r="R728" s="33">
        <v>0</v>
      </c>
      <c r="S728" s="33">
        <f t="shared" si="319"/>
        <v>5.011847217534286E-6</v>
      </c>
      <c r="T728" s="8">
        <f t="shared" si="308"/>
        <v>1</v>
      </c>
      <c r="U728" s="33">
        <f t="shared" si="320"/>
        <v>0</v>
      </c>
      <c r="V728" s="33">
        <f t="shared" si="321"/>
        <v>-0.99999498815278243</v>
      </c>
      <c r="W728" s="33">
        <f t="shared" si="322"/>
        <v>398.94380501184713</v>
      </c>
      <c r="X728" s="33">
        <v>96485</v>
      </c>
      <c r="Y728" s="16">
        <f t="shared" si="323"/>
        <v>-241.8498926911673</v>
      </c>
      <c r="Z728" s="16">
        <v>6</v>
      </c>
      <c r="AA728" s="16">
        <v>13</v>
      </c>
      <c r="AB728" s="8">
        <f t="shared" si="324"/>
        <v>0.291497975708502</v>
      </c>
      <c r="AC728" s="16">
        <f t="shared" si="316"/>
        <v>61.758677094131734</v>
      </c>
      <c r="AD728" s="20">
        <f>'PFAS Properties'!$W$44</f>
        <v>6</v>
      </c>
      <c r="AE728" s="8">
        <f>'PFAS Properties'!$S$44</f>
        <v>3.7905666251460763</v>
      </c>
      <c r="AF728" s="15">
        <f>'PFAS Properties'!$V$44</f>
        <v>3.6</v>
      </c>
      <c r="AG728" s="24">
        <v>5.4</v>
      </c>
      <c r="AH728" s="2" t="s">
        <v>85</v>
      </c>
      <c r="AI728" s="2">
        <v>2.72</v>
      </c>
      <c r="AJ728" s="15">
        <f t="shared" si="326"/>
        <v>48.706240487062409</v>
      </c>
      <c r="AK728" s="8">
        <f t="shared" si="327"/>
        <v>0.27200000000000002</v>
      </c>
      <c r="AL728" s="2">
        <v>2.65</v>
      </c>
      <c r="AM728" s="15">
        <f t="shared" si="328"/>
        <v>98.220904373610082</v>
      </c>
      <c r="AN728" s="8">
        <f t="shared" si="329"/>
        <v>0.26500000000000001</v>
      </c>
      <c r="AO728" s="15" t="s">
        <v>86</v>
      </c>
      <c r="AP728" s="15">
        <v>7.61</v>
      </c>
      <c r="AQ728" s="15" t="s">
        <v>711</v>
      </c>
      <c r="AR728" s="16">
        <v>34</v>
      </c>
      <c r="AS728" s="16">
        <v>22</v>
      </c>
      <c r="AT728" s="16">
        <v>44</v>
      </c>
      <c r="AU728" s="15" t="s">
        <v>664</v>
      </c>
      <c r="AV728" s="16">
        <f t="shared" si="302"/>
        <v>100</v>
      </c>
      <c r="AW728" s="20">
        <v>1.7</v>
      </c>
      <c r="AX728" s="8">
        <f t="shared" si="330"/>
        <v>1.7000000000000001E-2</v>
      </c>
      <c r="AY728" s="8" t="s">
        <v>87</v>
      </c>
      <c r="AZ728" s="16">
        <v>20</v>
      </c>
      <c r="BA728" s="16" t="s">
        <v>55</v>
      </c>
      <c r="BB728" s="16" t="s">
        <v>391</v>
      </c>
      <c r="BC728" s="16" t="s">
        <v>55</v>
      </c>
      <c r="BD728" s="20">
        <v>0.13</v>
      </c>
      <c r="BE728" s="15">
        <f t="shared" si="317"/>
        <v>7.6470588235294112</v>
      </c>
      <c r="BF728" s="15">
        <f t="shared" si="325"/>
        <v>0.88349443092856283</v>
      </c>
      <c r="BG728" s="8">
        <f t="shared" si="309"/>
        <v>-0.88605664769316317</v>
      </c>
      <c r="BH728" s="13" t="s">
        <v>841</v>
      </c>
      <c r="BI728" s="13"/>
      <c r="BJ728" s="13"/>
      <c r="BK728" s="13"/>
      <c r="BL728" s="13"/>
      <c r="BM728" s="17"/>
      <c r="BN728" s="17"/>
      <c r="BO728" s="2"/>
    </row>
    <row r="729" spans="1:67" s="14" customFormat="1" x14ac:dyDescent="0.3">
      <c r="A729" s="20">
        <v>744</v>
      </c>
      <c r="B729" s="2" t="s">
        <v>219</v>
      </c>
      <c r="C729" s="2">
        <v>2020</v>
      </c>
      <c r="D729" s="2" t="s">
        <v>205</v>
      </c>
      <c r="E729" s="10" t="s">
        <v>802</v>
      </c>
      <c r="F729" s="20" t="s">
        <v>29</v>
      </c>
      <c r="G729" s="2">
        <v>13</v>
      </c>
      <c r="H729" s="2" t="str">
        <f>'PFAS Properties'!$B$44</f>
        <v>PFHxS</v>
      </c>
      <c r="I729" s="2" t="str">
        <f>'PFAS Properties'!$C$44</f>
        <v>PFSA</v>
      </c>
      <c r="J729" s="2" t="str">
        <f>'PFAS Properties'!$D$44</f>
        <v>C6F13O3SH</v>
      </c>
      <c r="K729" s="25">
        <f>'PFAS Properties'!$P$44</f>
        <v>399.94379999999995</v>
      </c>
      <c r="L729" s="2">
        <f>'PFAS Properties'!$X$44</f>
        <v>0.1</v>
      </c>
      <c r="M729" s="2" t="str">
        <f>'PFAS Properties'!$Y$44</f>
        <v>-</v>
      </c>
      <c r="N729" s="33">
        <v>0</v>
      </c>
      <c r="O729" s="33">
        <v>0</v>
      </c>
      <c r="P729" s="33">
        <v>0</v>
      </c>
      <c r="Q729" s="33">
        <f t="shared" si="318"/>
        <v>0.9999992056723962</v>
      </c>
      <c r="R729" s="33">
        <v>0</v>
      </c>
      <c r="S729" s="33">
        <f t="shared" si="319"/>
        <v>7.9432760376743655E-7</v>
      </c>
      <c r="T729" s="8">
        <f t="shared" si="308"/>
        <v>1</v>
      </c>
      <c r="U729" s="33">
        <f t="shared" si="320"/>
        <v>0</v>
      </c>
      <c r="V729" s="33">
        <f t="shared" si="321"/>
        <v>-0.9999992056723962</v>
      </c>
      <c r="W729" s="33">
        <f t="shared" si="322"/>
        <v>398.94380079432756</v>
      </c>
      <c r="X729" s="33">
        <v>96485</v>
      </c>
      <c r="Y729" s="16">
        <f t="shared" si="323"/>
        <v>-241.85091525972405</v>
      </c>
      <c r="Z729" s="16">
        <v>6</v>
      </c>
      <c r="AA729" s="16">
        <v>13</v>
      </c>
      <c r="AB729" s="8">
        <f t="shared" si="324"/>
        <v>0.291497975708502</v>
      </c>
      <c r="AC729" s="16">
        <f t="shared" si="316"/>
        <v>61.758677094131734</v>
      </c>
      <c r="AD729" s="20">
        <f>'PFAS Properties'!$W$44</f>
        <v>6</v>
      </c>
      <c r="AE729" s="8">
        <f>'PFAS Properties'!$S$44</f>
        <v>3.7905666251460763</v>
      </c>
      <c r="AF729" s="15">
        <f>'PFAS Properties'!$V$44</f>
        <v>3.6</v>
      </c>
      <c r="AG729" s="24">
        <v>6.2</v>
      </c>
      <c r="AH729" s="2" t="s">
        <v>85</v>
      </c>
      <c r="AI729" s="2">
        <v>2.71</v>
      </c>
      <c r="AJ729" s="15">
        <f t="shared" si="326"/>
        <v>48.527173426448208</v>
      </c>
      <c r="AK729" s="8">
        <f t="shared" si="327"/>
        <v>0.27100000000000002</v>
      </c>
      <c r="AL729" s="2">
        <v>1.63</v>
      </c>
      <c r="AM729" s="15">
        <f t="shared" si="328"/>
        <v>60.415122312824316</v>
      </c>
      <c r="AN729" s="8">
        <f t="shared" si="329"/>
        <v>0.16299999999999998</v>
      </c>
      <c r="AO729" s="15" t="s">
        <v>86</v>
      </c>
      <c r="AP729" s="15">
        <v>5.24</v>
      </c>
      <c r="AQ729" s="15" t="s">
        <v>711</v>
      </c>
      <c r="AR729" s="16">
        <v>55</v>
      </c>
      <c r="AS729" s="16">
        <v>13</v>
      </c>
      <c r="AT729" s="16">
        <v>32</v>
      </c>
      <c r="AU729" s="15" t="s">
        <v>664</v>
      </c>
      <c r="AV729" s="16">
        <f t="shared" ref="AV729:AV745" si="331">SUM(AR729:AT729)</f>
        <v>100</v>
      </c>
      <c r="AW729" s="20">
        <v>1.6</v>
      </c>
      <c r="AX729" s="8">
        <f t="shared" si="330"/>
        <v>1.6E-2</v>
      </c>
      <c r="AY729" s="8" t="s">
        <v>87</v>
      </c>
      <c r="AZ729" s="16">
        <v>20</v>
      </c>
      <c r="BA729" s="16" t="s">
        <v>55</v>
      </c>
      <c r="BB729" s="16" t="s">
        <v>391</v>
      </c>
      <c r="BC729" s="16" t="s">
        <v>55</v>
      </c>
      <c r="BD729" s="20">
        <v>0.2</v>
      </c>
      <c r="BE729" s="15">
        <f t="shared" si="317"/>
        <v>12.5</v>
      </c>
      <c r="BF729" s="15">
        <f t="shared" si="325"/>
        <v>1.0969100130080565</v>
      </c>
      <c r="BG729" s="8">
        <f t="shared" si="309"/>
        <v>-0.69897000433601875</v>
      </c>
      <c r="BH729" s="13" t="s">
        <v>841</v>
      </c>
      <c r="BI729" s="13"/>
      <c r="BJ729" s="13"/>
      <c r="BK729" s="13"/>
      <c r="BL729" s="13"/>
      <c r="BM729" s="17"/>
      <c r="BN729" s="17"/>
      <c r="BO729" s="2"/>
    </row>
    <row r="730" spans="1:67" s="14" customFormat="1" x14ac:dyDescent="0.3">
      <c r="A730" s="20">
        <v>745</v>
      </c>
      <c r="B730" s="2" t="s">
        <v>219</v>
      </c>
      <c r="C730" s="2">
        <v>2020</v>
      </c>
      <c r="D730" s="2" t="s">
        <v>205</v>
      </c>
      <c r="E730" s="10" t="s">
        <v>802</v>
      </c>
      <c r="F730" s="20" t="s">
        <v>29</v>
      </c>
      <c r="G730" s="2">
        <v>14</v>
      </c>
      <c r="H730" s="2" t="str">
        <f>'PFAS Properties'!$B$44</f>
        <v>PFHxS</v>
      </c>
      <c r="I730" s="2" t="str">
        <f>'PFAS Properties'!$C$44</f>
        <v>PFSA</v>
      </c>
      <c r="J730" s="2" t="str">
        <f>'PFAS Properties'!$D$44</f>
        <v>C6F13O3SH</v>
      </c>
      <c r="K730" s="25">
        <f>'PFAS Properties'!$P$44</f>
        <v>399.94379999999995</v>
      </c>
      <c r="L730" s="2">
        <f>'PFAS Properties'!$X$44</f>
        <v>0.1</v>
      </c>
      <c r="M730" s="2" t="str">
        <f>'PFAS Properties'!$Y$44</f>
        <v>-</v>
      </c>
      <c r="N730" s="33">
        <v>0</v>
      </c>
      <c r="O730" s="33">
        <v>0</v>
      </c>
      <c r="P730" s="33">
        <v>0</v>
      </c>
      <c r="Q730" s="33">
        <f t="shared" si="318"/>
        <v>0.99999987410747471</v>
      </c>
      <c r="R730" s="33">
        <v>0</v>
      </c>
      <c r="S730" s="33">
        <f t="shared" si="319"/>
        <v>1.2589252533048661E-7</v>
      </c>
      <c r="T730" s="8">
        <f t="shared" si="308"/>
        <v>1</v>
      </c>
      <c r="U730" s="33">
        <f t="shared" si="320"/>
        <v>0</v>
      </c>
      <c r="V730" s="33">
        <f t="shared" si="321"/>
        <v>-0.99999987410747471</v>
      </c>
      <c r="W730" s="33">
        <f t="shared" si="322"/>
        <v>398.94380012589249</v>
      </c>
      <c r="X730" s="33">
        <v>96485</v>
      </c>
      <c r="Y730" s="16">
        <f t="shared" si="323"/>
        <v>-241.85107732671233</v>
      </c>
      <c r="Z730" s="16">
        <v>6</v>
      </c>
      <c r="AA730" s="16">
        <v>13</v>
      </c>
      <c r="AB730" s="8">
        <f t="shared" si="324"/>
        <v>0.291497975708502</v>
      </c>
      <c r="AC730" s="16">
        <f t="shared" si="316"/>
        <v>61.758677094131734</v>
      </c>
      <c r="AD730" s="20">
        <f>'PFAS Properties'!$W$44</f>
        <v>6</v>
      </c>
      <c r="AE730" s="8">
        <f>'PFAS Properties'!$S$44</f>
        <v>3.7905666251460763</v>
      </c>
      <c r="AF730" s="15">
        <f>'PFAS Properties'!$V$44</f>
        <v>3.6</v>
      </c>
      <c r="AG730" s="24">
        <v>7</v>
      </c>
      <c r="AH730" s="2" t="s">
        <v>85</v>
      </c>
      <c r="AI730" s="2">
        <v>3.22</v>
      </c>
      <c r="AJ730" s="15">
        <f t="shared" si="326"/>
        <v>57.659593517772407</v>
      </c>
      <c r="AK730" s="8">
        <f t="shared" si="327"/>
        <v>0.32200000000000001</v>
      </c>
      <c r="AL730" s="2">
        <v>1.79</v>
      </c>
      <c r="AM730" s="15">
        <f t="shared" si="328"/>
        <v>66.345441067457372</v>
      </c>
      <c r="AN730" s="8">
        <f t="shared" si="329"/>
        <v>0.17899999999999999</v>
      </c>
      <c r="AO730" s="15" t="s">
        <v>86</v>
      </c>
      <c r="AP730" s="15">
        <v>17.75</v>
      </c>
      <c r="AQ730" s="15" t="s">
        <v>711</v>
      </c>
      <c r="AR730" s="16">
        <v>36</v>
      </c>
      <c r="AS730" s="16">
        <v>8</v>
      </c>
      <c r="AT730" s="16">
        <v>56</v>
      </c>
      <c r="AU730" s="15" t="s">
        <v>664</v>
      </c>
      <c r="AV730" s="16">
        <f t="shared" si="331"/>
        <v>100</v>
      </c>
      <c r="AW730" s="20">
        <v>1.2</v>
      </c>
      <c r="AX730" s="8">
        <f t="shared" si="330"/>
        <v>1.2E-2</v>
      </c>
      <c r="AY730" s="8" t="s">
        <v>87</v>
      </c>
      <c r="AZ730" s="16">
        <v>20</v>
      </c>
      <c r="BA730" s="16" t="s">
        <v>55</v>
      </c>
      <c r="BB730" s="16" t="s">
        <v>391</v>
      </c>
      <c r="BC730" s="16" t="s">
        <v>55</v>
      </c>
      <c r="BD730" s="20">
        <v>1.47</v>
      </c>
      <c r="BE730" s="15">
        <f t="shared" si="317"/>
        <v>122.5</v>
      </c>
      <c r="BF730" s="15">
        <f t="shared" si="325"/>
        <v>2.0881360887005513</v>
      </c>
      <c r="BG730" s="8">
        <f t="shared" si="309"/>
        <v>0.16731733474817609</v>
      </c>
      <c r="BH730" s="13" t="s">
        <v>841</v>
      </c>
      <c r="BI730" s="13"/>
      <c r="BJ730" s="13"/>
      <c r="BK730" s="13"/>
      <c r="BL730" s="13"/>
      <c r="BM730" s="17"/>
      <c r="BN730" s="17"/>
      <c r="BO730" s="2"/>
    </row>
    <row r="731" spans="1:67" s="14" customFormat="1" x14ac:dyDescent="0.3">
      <c r="A731" s="20">
        <v>746</v>
      </c>
      <c r="B731" s="2" t="s">
        <v>219</v>
      </c>
      <c r="C731" s="2">
        <v>2020</v>
      </c>
      <c r="D731" s="2" t="s">
        <v>205</v>
      </c>
      <c r="E731" s="10" t="s">
        <v>802</v>
      </c>
      <c r="F731" s="20" t="s">
        <v>29</v>
      </c>
      <c r="G731" s="2">
        <v>15</v>
      </c>
      <c r="H731" s="2" t="str">
        <f>'PFAS Properties'!$B$44</f>
        <v>PFHxS</v>
      </c>
      <c r="I731" s="2" t="str">
        <f>'PFAS Properties'!$C$44</f>
        <v>PFSA</v>
      </c>
      <c r="J731" s="2" t="str">
        <f>'PFAS Properties'!$D$44</f>
        <v>C6F13O3SH</v>
      </c>
      <c r="K731" s="25">
        <f>'PFAS Properties'!$P$44</f>
        <v>399.94379999999995</v>
      </c>
      <c r="L731" s="2">
        <f>'PFAS Properties'!$X$44</f>
        <v>0.1</v>
      </c>
      <c r="M731" s="2" t="str">
        <f>'PFAS Properties'!$Y$44</f>
        <v>-</v>
      </c>
      <c r="N731" s="33">
        <v>0</v>
      </c>
      <c r="O731" s="33">
        <v>0</v>
      </c>
      <c r="P731" s="33">
        <v>0</v>
      </c>
      <c r="Q731" s="33">
        <f t="shared" si="318"/>
        <v>0.99999992056718279</v>
      </c>
      <c r="R731" s="33">
        <v>0</v>
      </c>
      <c r="S731" s="33">
        <f t="shared" si="319"/>
        <v>7.9432817162854954E-8</v>
      </c>
      <c r="T731" s="8">
        <f t="shared" si="308"/>
        <v>1</v>
      </c>
      <c r="U731" s="33">
        <f t="shared" si="320"/>
        <v>0</v>
      </c>
      <c r="V731" s="33">
        <f t="shared" si="321"/>
        <v>-0.99999992056718279</v>
      </c>
      <c r="W731" s="33">
        <f t="shared" si="322"/>
        <v>398.94380007943272</v>
      </c>
      <c r="X731" s="33">
        <v>96485</v>
      </c>
      <c r="Y731" s="16">
        <f t="shared" si="323"/>
        <v>-241.85108859120945</v>
      </c>
      <c r="Z731" s="16">
        <v>6</v>
      </c>
      <c r="AA731" s="16">
        <v>13</v>
      </c>
      <c r="AB731" s="8">
        <f t="shared" si="324"/>
        <v>0.291497975708502</v>
      </c>
      <c r="AC731" s="16">
        <f t="shared" si="316"/>
        <v>61.758677094131734</v>
      </c>
      <c r="AD731" s="20">
        <f>'PFAS Properties'!$W$44</f>
        <v>6</v>
      </c>
      <c r="AE731" s="8">
        <f>'PFAS Properties'!$S$44</f>
        <v>3.7905666251460763</v>
      </c>
      <c r="AF731" s="15">
        <f>'PFAS Properties'!$V$44</f>
        <v>3.6</v>
      </c>
      <c r="AG731" s="24">
        <v>7.2</v>
      </c>
      <c r="AH731" s="2" t="s">
        <v>85</v>
      </c>
      <c r="AI731" s="2">
        <v>2.4300000000000002</v>
      </c>
      <c r="AJ731" s="15">
        <f t="shared" si="326"/>
        <v>43.513295729250608</v>
      </c>
      <c r="AK731" s="8">
        <f t="shared" si="327"/>
        <v>0.24300000000000002</v>
      </c>
      <c r="AL731" s="2">
        <v>2.08</v>
      </c>
      <c r="AM731" s="15">
        <f t="shared" si="328"/>
        <v>77.094143810229795</v>
      </c>
      <c r="AN731" s="8">
        <f t="shared" si="329"/>
        <v>0.20800000000000002</v>
      </c>
      <c r="AO731" s="15" t="s">
        <v>86</v>
      </c>
      <c r="AP731" s="15">
        <v>10.81</v>
      </c>
      <c r="AQ731" s="15" t="s">
        <v>711</v>
      </c>
      <c r="AR731" s="16">
        <v>67</v>
      </c>
      <c r="AS731" s="16">
        <v>4</v>
      </c>
      <c r="AT731" s="16">
        <v>29</v>
      </c>
      <c r="AU731" s="15" t="s">
        <v>664</v>
      </c>
      <c r="AV731" s="16">
        <f t="shared" si="331"/>
        <v>100</v>
      </c>
      <c r="AW731" s="20">
        <v>1.5</v>
      </c>
      <c r="AX731" s="8">
        <f t="shared" si="330"/>
        <v>1.4999999999999999E-2</v>
      </c>
      <c r="AY731" s="8" t="s">
        <v>87</v>
      </c>
      <c r="AZ731" s="16">
        <v>20</v>
      </c>
      <c r="BA731" s="16" t="s">
        <v>55</v>
      </c>
      <c r="BB731" s="16" t="s">
        <v>391</v>
      </c>
      <c r="BC731" s="16" t="s">
        <v>55</v>
      </c>
      <c r="BD731" s="20">
        <v>1.85</v>
      </c>
      <c r="BE731" s="15">
        <f t="shared" si="317"/>
        <v>123.33333333333334</v>
      </c>
      <c r="BF731" s="15">
        <f t="shared" si="325"/>
        <v>2.0910804693473324</v>
      </c>
      <c r="BG731" s="8">
        <f t="shared" si="309"/>
        <v>0.26717172840301384</v>
      </c>
      <c r="BH731" s="13" t="s">
        <v>841</v>
      </c>
      <c r="BI731" s="13"/>
      <c r="BJ731" s="13"/>
      <c r="BK731" s="13"/>
      <c r="BL731" s="13"/>
      <c r="BM731" s="17"/>
      <c r="BN731" s="17"/>
      <c r="BO731" s="2"/>
    </row>
    <row r="732" spans="1:67" s="14" customFormat="1" x14ac:dyDescent="0.3">
      <c r="A732" s="20">
        <v>747</v>
      </c>
      <c r="B732" s="2" t="s">
        <v>219</v>
      </c>
      <c r="C732" s="2">
        <v>2020</v>
      </c>
      <c r="D732" s="2" t="s">
        <v>205</v>
      </c>
      <c r="E732" s="10" t="s">
        <v>802</v>
      </c>
      <c r="F732" s="20" t="s">
        <v>29</v>
      </c>
      <c r="G732" s="2">
        <v>16</v>
      </c>
      <c r="H732" s="2" t="str">
        <f>'PFAS Properties'!$B$44</f>
        <v>PFHxS</v>
      </c>
      <c r="I732" s="2" t="str">
        <f>'PFAS Properties'!$C$44</f>
        <v>PFSA</v>
      </c>
      <c r="J732" s="2" t="str">
        <f>'PFAS Properties'!$D$44</f>
        <v>C6F13O3SH</v>
      </c>
      <c r="K732" s="25">
        <f>'PFAS Properties'!$P$44</f>
        <v>399.94379999999995</v>
      </c>
      <c r="L732" s="2">
        <f>'PFAS Properties'!$X$44</f>
        <v>0.1</v>
      </c>
      <c r="M732" s="2" t="str">
        <f>'PFAS Properties'!$Y$44</f>
        <v>-</v>
      </c>
      <c r="N732" s="33">
        <v>0</v>
      </c>
      <c r="O732" s="33">
        <v>0</v>
      </c>
      <c r="P732" s="33">
        <v>0</v>
      </c>
      <c r="Q732" s="33">
        <f t="shared" si="318"/>
        <v>0.99999990000001004</v>
      </c>
      <c r="R732" s="33">
        <v>0</v>
      </c>
      <c r="S732" s="33">
        <f t="shared" si="319"/>
        <v>9.9999990000001005E-8</v>
      </c>
      <c r="T732" s="8">
        <f t="shared" si="308"/>
        <v>1</v>
      </c>
      <c r="U732" s="33">
        <f t="shared" si="320"/>
        <v>0</v>
      </c>
      <c r="V732" s="33">
        <f t="shared" si="321"/>
        <v>-0.99999990000001004</v>
      </c>
      <c r="W732" s="33">
        <f t="shared" si="322"/>
        <v>398.94380009999992</v>
      </c>
      <c r="X732" s="33">
        <v>96485</v>
      </c>
      <c r="Y732" s="16">
        <f t="shared" si="323"/>
        <v>-241.85108360454748</v>
      </c>
      <c r="Z732" s="16">
        <v>6</v>
      </c>
      <c r="AA732" s="16">
        <v>13</v>
      </c>
      <c r="AB732" s="8">
        <f t="shared" si="324"/>
        <v>0.291497975708502</v>
      </c>
      <c r="AC732" s="16">
        <f t="shared" si="316"/>
        <v>61.758677094131734</v>
      </c>
      <c r="AD732" s="20">
        <f>'PFAS Properties'!$W$44</f>
        <v>6</v>
      </c>
      <c r="AE732" s="8">
        <f>'PFAS Properties'!$S$44</f>
        <v>3.7905666251460763</v>
      </c>
      <c r="AF732" s="15">
        <f>'PFAS Properties'!$V$44</f>
        <v>3.6</v>
      </c>
      <c r="AG732" s="24">
        <v>7.1</v>
      </c>
      <c r="AH732" s="2" t="s">
        <v>85</v>
      </c>
      <c r="AI732" s="2">
        <v>1.82</v>
      </c>
      <c r="AJ732" s="15">
        <f t="shared" si="326"/>
        <v>32.590205031784407</v>
      </c>
      <c r="AK732" s="8">
        <f t="shared" si="327"/>
        <v>0.182</v>
      </c>
      <c r="AL732" s="2">
        <v>1.61</v>
      </c>
      <c r="AM732" s="15">
        <f t="shared" si="328"/>
        <v>59.673832468495178</v>
      </c>
      <c r="AN732" s="8">
        <f t="shared" si="329"/>
        <v>0.161</v>
      </c>
      <c r="AO732" s="15" t="s">
        <v>86</v>
      </c>
      <c r="AP732" s="15">
        <v>14.74</v>
      </c>
      <c r="AQ732" s="15" t="s">
        <v>711</v>
      </c>
      <c r="AR732" s="16">
        <v>60</v>
      </c>
      <c r="AS732" s="16">
        <v>9</v>
      </c>
      <c r="AT732" s="16">
        <v>31</v>
      </c>
      <c r="AU732" s="15" t="s">
        <v>664</v>
      </c>
      <c r="AV732" s="16">
        <f t="shared" si="331"/>
        <v>100</v>
      </c>
      <c r="AW732" s="20">
        <v>1</v>
      </c>
      <c r="AX732" s="8">
        <f t="shared" si="330"/>
        <v>0.01</v>
      </c>
      <c r="AY732" s="8" t="s">
        <v>87</v>
      </c>
      <c r="AZ732" s="16">
        <v>20</v>
      </c>
      <c r="BA732" s="16" t="s">
        <v>55</v>
      </c>
      <c r="BB732" s="16" t="s">
        <v>391</v>
      </c>
      <c r="BC732" s="16" t="s">
        <v>55</v>
      </c>
      <c r="BD732" s="20">
        <v>1.7</v>
      </c>
      <c r="BE732" s="15">
        <f t="shared" si="317"/>
        <v>170</v>
      </c>
      <c r="BF732" s="15">
        <f t="shared" si="325"/>
        <v>2.2304489213782741</v>
      </c>
      <c r="BG732" s="8">
        <f t="shared" si="309"/>
        <v>0.23044892137827391</v>
      </c>
      <c r="BH732" s="13" t="s">
        <v>841</v>
      </c>
      <c r="BI732" s="13"/>
      <c r="BJ732" s="13"/>
      <c r="BK732" s="13"/>
      <c r="BL732" s="13"/>
      <c r="BM732" s="17"/>
      <c r="BN732" s="17"/>
      <c r="BO732" s="2"/>
    </row>
    <row r="733" spans="1:67" s="14" customFormat="1" x14ac:dyDescent="0.3">
      <c r="A733" s="20">
        <v>748</v>
      </c>
      <c r="B733" s="2" t="s">
        <v>219</v>
      </c>
      <c r="C733" s="2">
        <v>2020</v>
      </c>
      <c r="D733" s="2" t="s">
        <v>205</v>
      </c>
      <c r="E733" s="10" t="s">
        <v>802</v>
      </c>
      <c r="F733" s="20" t="s">
        <v>29</v>
      </c>
      <c r="G733" s="2">
        <v>17</v>
      </c>
      <c r="H733" s="2" t="str">
        <f>'PFAS Properties'!$B$44</f>
        <v>PFHxS</v>
      </c>
      <c r="I733" s="2" t="str">
        <f>'PFAS Properties'!$C$44</f>
        <v>PFSA</v>
      </c>
      <c r="J733" s="2" t="str">
        <f>'PFAS Properties'!$D$44</f>
        <v>C6F13O3SH</v>
      </c>
      <c r="K733" s="25">
        <f>'PFAS Properties'!$P$44</f>
        <v>399.94379999999995</v>
      </c>
      <c r="L733" s="2">
        <f>'PFAS Properties'!$X$44</f>
        <v>0.1</v>
      </c>
      <c r="M733" s="2" t="str">
        <f>'PFAS Properties'!$Y$44</f>
        <v>-</v>
      </c>
      <c r="N733" s="33">
        <v>0</v>
      </c>
      <c r="O733" s="33">
        <v>0</v>
      </c>
      <c r="P733" s="33">
        <v>0</v>
      </c>
      <c r="Q733" s="33">
        <f t="shared" si="318"/>
        <v>0.99998741090436938</v>
      </c>
      <c r="R733" s="33">
        <v>0</v>
      </c>
      <c r="S733" s="33">
        <f t="shared" si="319"/>
        <v>1.258909563061765E-5</v>
      </c>
      <c r="T733" s="8">
        <f t="shared" si="308"/>
        <v>1</v>
      </c>
      <c r="U733" s="33">
        <f t="shared" si="320"/>
        <v>0</v>
      </c>
      <c r="V733" s="33">
        <f t="shared" si="321"/>
        <v>-0.99998741090436938</v>
      </c>
      <c r="W733" s="33">
        <f t="shared" si="322"/>
        <v>398.94381258909556</v>
      </c>
      <c r="X733" s="33">
        <v>96485</v>
      </c>
      <c r="Y733" s="16">
        <f t="shared" si="323"/>
        <v>-241.84805553178114</v>
      </c>
      <c r="Z733" s="16">
        <v>6</v>
      </c>
      <c r="AA733" s="16">
        <v>13</v>
      </c>
      <c r="AB733" s="8">
        <f t="shared" si="324"/>
        <v>0.291497975708502</v>
      </c>
      <c r="AC733" s="16">
        <f t="shared" si="316"/>
        <v>61.758677094131734</v>
      </c>
      <c r="AD733" s="20">
        <f>'PFAS Properties'!$W$44</f>
        <v>6</v>
      </c>
      <c r="AE733" s="8">
        <f>'PFAS Properties'!$S$44</f>
        <v>3.7905666251460763</v>
      </c>
      <c r="AF733" s="15">
        <f>'PFAS Properties'!$V$44</f>
        <v>3.6</v>
      </c>
      <c r="AG733" s="24">
        <v>5</v>
      </c>
      <c r="AH733" s="2" t="s">
        <v>85</v>
      </c>
      <c r="AI733" s="2">
        <v>3.66</v>
      </c>
      <c r="AJ733" s="15">
        <f t="shared" si="326"/>
        <v>65.538544184797203</v>
      </c>
      <c r="AK733" s="8">
        <f t="shared" si="327"/>
        <v>0.36599999999999999</v>
      </c>
      <c r="AL733" s="2">
        <v>2.37</v>
      </c>
      <c r="AM733" s="15">
        <f t="shared" si="328"/>
        <v>87.842846553002218</v>
      </c>
      <c r="AN733" s="8">
        <f t="shared" si="329"/>
        <v>0.23700000000000002</v>
      </c>
      <c r="AO733" s="15" t="s">
        <v>86</v>
      </c>
      <c r="AP733" s="15">
        <v>5.42</v>
      </c>
      <c r="AQ733" s="15" t="s">
        <v>711</v>
      </c>
      <c r="AR733" s="16">
        <v>38</v>
      </c>
      <c r="AS733" s="16">
        <v>16</v>
      </c>
      <c r="AT733" s="16">
        <v>46</v>
      </c>
      <c r="AU733" s="15" t="s">
        <v>664</v>
      </c>
      <c r="AV733" s="16">
        <f t="shared" si="331"/>
        <v>100</v>
      </c>
      <c r="AW733" s="20">
        <v>1.6</v>
      </c>
      <c r="AX733" s="8">
        <f t="shared" si="330"/>
        <v>1.6E-2</v>
      </c>
      <c r="AY733" s="8" t="s">
        <v>87</v>
      </c>
      <c r="AZ733" s="16">
        <v>20</v>
      </c>
      <c r="BA733" s="16" t="s">
        <v>55</v>
      </c>
      <c r="BB733" s="16" t="s">
        <v>391</v>
      </c>
      <c r="BC733" s="16" t="s">
        <v>55</v>
      </c>
      <c r="BD733" s="20">
        <v>0.21</v>
      </c>
      <c r="BE733" s="15">
        <f t="shared" si="317"/>
        <v>13.125</v>
      </c>
      <c r="BF733" s="15">
        <f t="shared" si="325"/>
        <v>1.1180993120779945</v>
      </c>
      <c r="BG733" s="8">
        <f t="shared" si="309"/>
        <v>-0.6777807052660807</v>
      </c>
      <c r="BH733" s="13" t="s">
        <v>841</v>
      </c>
      <c r="BI733" s="13"/>
      <c r="BJ733" s="13"/>
      <c r="BK733" s="13"/>
      <c r="BL733" s="13"/>
      <c r="BM733" s="17"/>
      <c r="BN733" s="17"/>
      <c r="BO733" s="2"/>
    </row>
    <row r="734" spans="1:67" s="14" customFormat="1" x14ac:dyDescent="0.3">
      <c r="A734" s="20">
        <v>749</v>
      </c>
      <c r="B734" s="2" t="s">
        <v>219</v>
      </c>
      <c r="C734" s="2">
        <v>2020</v>
      </c>
      <c r="D734" s="2" t="s">
        <v>205</v>
      </c>
      <c r="E734" s="10" t="s">
        <v>802</v>
      </c>
      <c r="F734" s="20" t="s">
        <v>29</v>
      </c>
      <c r="G734" s="2">
        <v>18</v>
      </c>
      <c r="H734" s="2" t="str">
        <f>'PFAS Properties'!$B$44</f>
        <v>PFHxS</v>
      </c>
      <c r="I734" s="2" t="str">
        <f>'PFAS Properties'!$C$44</f>
        <v>PFSA</v>
      </c>
      <c r="J734" s="2" t="str">
        <f>'PFAS Properties'!$D$44</f>
        <v>C6F13O3SH</v>
      </c>
      <c r="K734" s="25">
        <f>'PFAS Properties'!$P$44</f>
        <v>399.94379999999995</v>
      </c>
      <c r="L734" s="2">
        <f>'PFAS Properties'!$X$44</f>
        <v>0.1</v>
      </c>
      <c r="M734" s="2" t="str">
        <f>'PFAS Properties'!$Y$44</f>
        <v>-</v>
      </c>
      <c r="N734" s="33">
        <v>0</v>
      </c>
      <c r="O734" s="33">
        <v>0</v>
      </c>
      <c r="P734" s="33">
        <v>0</v>
      </c>
      <c r="Q734" s="33">
        <f t="shared" si="318"/>
        <v>0.99998741090436938</v>
      </c>
      <c r="R734" s="33">
        <v>0</v>
      </c>
      <c r="S734" s="33">
        <f t="shared" si="319"/>
        <v>1.258909563061765E-5</v>
      </c>
      <c r="T734" s="8">
        <f t="shared" ref="T734:T795" si="332">SUM(N734:S734)</f>
        <v>1</v>
      </c>
      <c r="U734" s="33">
        <f t="shared" si="320"/>
        <v>0</v>
      </c>
      <c r="V734" s="33">
        <f t="shared" si="321"/>
        <v>-0.99998741090436938</v>
      </c>
      <c r="W734" s="33">
        <f t="shared" si="322"/>
        <v>398.94381258909556</v>
      </c>
      <c r="X734" s="33">
        <v>96485</v>
      </c>
      <c r="Y734" s="16">
        <f t="shared" si="323"/>
        <v>-241.84805553178114</v>
      </c>
      <c r="Z734" s="16">
        <v>6</v>
      </c>
      <c r="AA734" s="16">
        <v>13</v>
      </c>
      <c r="AB734" s="8">
        <f t="shared" si="324"/>
        <v>0.291497975708502</v>
      </c>
      <c r="AC734" s="16">
        <f t="shared" si="316"/>
        <v>61.758677094131734</v>
      </c>
      <c r="AD734" s="20">
        <f>'PFAS Properties'!$W$44</f>
        <v>6</v>
      </c>
      <c r="AE734" s="8">
        <f>'PFAS Properties'!$S$44</f>
        <v>3.7905666251460763</v>
      </c>
      <c r="AF734" s="15">
        <f>'PFAS Properties'!$V$44</f>
        <v>3.6</v>
      </c>
      <c r="AG734" s="24">
        <v>5</v>
      </c>
      <c r="AH734" s="2" t="s">
        <v>85</v>
      </c>
      <c r="AI734" s="2">
        <v>4.32</v>
      </c>
      <c r="AJ734" s="15">
        <f t="shared" si="326"/>
        <v>77.356970185334404</v>
      </c>
      <c r="AK734" s="8">
        <f t="shared" si="327"/>
        <v>0.43200000000000005</v>
      </c>
      <c r="AL734" s="2">
        <v>19.399999999999999</v>
      </c>
      <c r="AM734" s="15">
        <f t="shared" si="328"/>
        <v>719.05114899925866</v>
      </c>
      <c r="AN734" s="8">
        <f t="shared" si="329"/>
        <v>1.94</v>
      </c>
      <c r="AO734" s="15" t="s">
        <v>86</v>
      </c>
      <c r="AP734" s="15">
        <v>17.3</v>
      </c>
      <c r="AQ734" s="15" t="s">
        <v>711</v>
      </c>
      <c r="AR734" s="16">
        <v>49</v>
      </c>
      <c r="AS734" s="16">
        <v>38</v>
      </c>
      <c r="AT734" s="16">
        <v>13</v>
      </c>
      <c r="AU734" s="15" t="s">
        <v>664</v>
      </c>
      <c r="AV734" s="16">
        <f t="shared" si="331"/>
        <v>100</v>
      </c>
      <c r="AW734" s="20">
        <v>4.8</v>
      </c>
      <c r="AX734" s="8">
        <f t="shared" si="330"/>
        <v>4.8000000000000001E-2</v>
      </c>
      <c r="AY734" s="8" t="s">
        <v>87</v>
      </c>
      <c r="AZ734" s="16">
        <v>20</v>
      </c>
      <c r="BA734" s="16" t="s">
        <v>55</v>
      </c>
      <c r="BB734" s="16" t="s">
        <v>391</v>
      </c>
      <c r="BC734" s="16" t="s">
        <v>55</v>
      </c>
      <c r="BD734" s="20">
        <v>1.96</v>
      </c>
      <c r="BE734" s="15">
        <f t="shared" si="317"/>
        <v>40.833333333333329</v>
      </c>
      <c r="BF734" s="15">
        <f t="shared" si="325"/>
        <v>1.6110148339808887</v>
      </c>
      <c r="BG734" s="8">
        <f t="shared" si="309"/>
        <v>0.29225607135647602</v>
      </c>
      <c r="BH734" s="13" t="s">
        <v>841</v>
      </c>
      <c r="BI734" s="13"/>
      <c r="BJ734" s="13"/>
      <c r="BK734" s="13"/>
      <c r="BL734" s="13"/>
      <c r="BM734" s="17"/>
      <c r="BN734" s="17"/>
      <c r="BO734" s="2"/>
    </row>
    <row r="735" spans="1:67" s="14" customFormat="1" x14ac:dyDescent="0.3">
      <c r="A735" s="20">
        <v>750</v>
      </c>
      <c r="B735" s="2" t="s">
        <v>219</v>
      </c>
      <c r="C735" s="2">
        <v>2020</v>
      </c>
      <c r="D735" s="2" t="s">
        <v>205</v>
      </c>
      <c r="E735" s="10" t="s">
        <v>802</v>
      </c>
      <c r="F735" s="20" t="s">
        <v>29</v>
      </c>
      <c r="G735" s="2">
        <v>19</v>
      </c>
      <c r="H735" s="2" t="str">
        <f>'PFAS Properties'!$B$44</f>
        <v>PFHxS</v>
      </c>
      <c r="I735" s="2" t="str">
        <f>'PFAS Properties'!$C$44</f>
        <v>PFSA</v>
      </c>
      <c r="J735" s="2" t="str">
        <f>'PFAS Properties'!$D$44</f>
        <v>C6F13O3SH</v>
      </c>
      <c r="K735" s="25">
        <f>'PFAS Properties'!$P$44</f>
        <v>399.94379999999995</v>
      </c>
      <c r="L735" s="2">
        <f>'PFAS Properties'!$X$44</f>
        <v>0.1</v>
      </c>
      <c r="M735" s="2" t="str">
        <f>'PFAS Properties'!$Y$44</f>
        <v>-</v>
      </c>
      <c r="N735" s="33">
        <v>0</v>
      </c>
      <c r="O735" s="33">
        <v>0</v>
      </c>
      <c r="P735" s="33">
        <v>0</v>
      </c>
      <c r="Q735" s="33">
        <f t="shared" si="318"/>
        <v>0.99999800474166611</v>
      </c>
      <c r="R735" s="33">
        <v>0</v>
      </c>
      <c r="S735" s="33">
        <f t="shared" si="319"/>
        <v>1.9952583339051124E-6</v>
      </c>
      <c r="T735" s="8">
        <f t="shared" si="332"/>
        <v>1</v>
      </c>
      <c r="U735" s="33">
        <f t="shared" si="320"/>
        <v>0</v>
      </c>
      <c r="V735" s="33">
        <f t="shared" si="321"/>
        <v>-0.99999800474166611</v>
      </c>
      <c r="W735" s="33">
        <f t="shared" si="322"/>
        <v>398.9438019952583</v>
      </c>
      <c r="X735" s="33">
        <v>96485</v>
      </c>
      <c r="Y735" s="16">
        <f t="shared" si="323"/>
        <v>-241.85062408526008</v>
      </c>
      <c r="Z735" s="16">
        <v>6</v>
      </c>
      <c r="AA735" s="16">
        <v>13</v>
      </c>
      <c r="AB735" s="8">
        <f t="shared" si="324"/>
        <v>0.291497975708502</v>
      </c>
      <c r="AC735" s="16">
        <f t="shared" si="316"/>
        <v>61.758677094131734</v>
      </c>
      <c r="AD735" s="20">
        <f>'PFAS Properties'!$W$44</f>
        <v>6</v>
      </c>
      <c r="AE735" s="8">
        <f>'PFAS Properties'!$S$44</f>
        <v>3.7905666251460763</v>
      </c>
      <c r="AF735" s="15">
        <f>'PFAS Properties'!$V$44</f>
        <v>3.6</v>
      </c>
      <c r="AG735" s="24">
        <v>5.8</v>
      </c>
      <c r="AH735" s="2" t="s">
        <v>85</v>
      </c>
      <c r="AI735" s="2">
        <v>1.58</v>
      </c>
      <c r="AJ735" s="15">
        <f t="shared" si="326"/>
        <v>28.292595577043603</v>
      </c>
      <c r="AK735" s="8">
        <f t="shared" si="327"/>
        <v>0.158</v>
      </c>
      <c r="AL735" s="2">
        <v>0.65500000000000003</v>
      </c>
      <c r="AM735" s="15">
        <f t="shared" si="328"/>
        <v>24.277242401779095</v>
      </c>
      <c r="AN735" s="8">
        <f t="shared" si="329"/>
        <v>6.5500000000000003E-2</v>
      </c>
      <c r="AO735" s="15" t="s">
        <v>86</v>
      </c>
      <c r="AP735" s="15">
        <v>4.34</v>
      </c>
      <c r="AQ735" s="15" t="s">
        <v>711</v>
      </c>
      <c r="AR735" s="16">
        <v>74</v>
      </c>
      <c r="AS735" s="16">
        <v>5</v>
      </c>
      <c r="AT735" s="16">
        <v>21</v>
      </c>
      <c r="AU735" s="15" t="s">
        <v>664</v>
      </c>
      <c r="AV735" s="16">
        <f t="shared" si="331"/>
        <v>100</v>
      </c>
      <c r="AW735" s="20">
        <v>0.8</v>
      </c>
      <c r="AX735" s="8">
        <f t="shared" si="330"/>
        <v>8.0000000000000002E-3</v>
      </c>
      <c r="AY735" s="8" t="s">
        <v>87</v>
      </c>
      <c r="AZ735" s="16">
        <v>20</v>
      </c>
      <c r="BA735" s="16" t="s">
        <v>55</v>
      </c>
      <c r="BB735" s="16" t="s">
        <v>391</v>
      </c>
      <c r="BC735" s="16" t="s">
        <v>55</v>
      </c>
      <c r="BD735" s="20">
        <v>0.67</v>
      </c>
      <c r="BE735" s="15">
        <f t="shared" si="317"/>
        <v>83.75</v>
      </c>
      <c r="BF735" s="15">
        <f t="shared" si="325"/>
        <v>1.9229848157088829</v>
      </c>
      <c r="BG735" s="8">
        <f t="shared" si="309"/>
        <v>-0.17392519729917355</v>
      </c>
      <c r="BH735" s="13" t="s">
        <v>841</v>
      </c>
      <c r="BI735" s="13"/>
      <c r="BJ735" s="13"/>
      <c r="BK735" s="13"/>
      <c r="BL735" s="13"/>
      <c r="BM735" s="17"/>
      <c r="BN735" s="17"/>
      <c r="BO735" s="2"/>
    </row>
    <row r="736" spans="1:67" s="14" customFormat="1" x14ac:dyDescent="0.3">
      <c r="A736" s="20">
        <v>751</v>
      </c>
      <c r="B736" s="2" t="s">
        <v>219</v>
      </c>
      <c r="C736" s="2">
        <v>2020</v>
      </c>
      <c r="D736" s="2" t="s">
        <v>205</v>
      </c>
      <c r="E736" s="10" t="s">
        <v>802</v>
      </c>
      <c r="F736" s="20" t="s">
        <v>29</v>
      </c>
      <c r="G736" s="2">
        <v>20</v>
      </c>
      <c r="H736" s="2" t="str">
        <f>'PFAS Properties'!$B$44</f>
        <v>PFHxS</v>
      </c>
      <c r="I736" s="2" t="str">
        <f>'PFAS Properties'!$C$44</f>
        <v>PFSA</v>
      </c>
      <c r="J736" s="2" t="str">
        <f>'PFAS Properties'!$D$44</f>
        <v>C6F13O3SH</v>
      </c>
      <c r="K736" s="25">
        <f>'PFAS Properties'!$P$44</f>
        <v>399.94379999999995</v>
      </c>
      <c r="L736" s="2">
        <f>'PFAS Properties'!$X$44</f>
        <v>0.1</v>
      </c>
      <c r="M736" s="2" t="str">
        <f>'PFAS Properties'!$Y$44</f>
        <v>-</v>
      </c>
      <c r="N736" s="33">
        <v>0</v>
      </c>
      <c r="O736" s="33">
        <v>0</v>
      </c>
      <c r="P736" s="33">
        <v>0</v>
      </c>
      <c r="Q736" s="33">
        <f t="shared" si="318"/>
        <v>0.99999601894414336</v>
      </c>
      <c r="R736" s="33">
        <v>0</v>
      </c>
      <c r="S736" s="33">
        <f t="shared" si="319"/>
        <v>3.981055856666137E-6</v>
      </c>
      <c r="T736" s="8">
        <f t="shared" si="332"/>
        <v>1</v>
      </c>
      <c r="U736" s="33">
        <f t="shared" si="320"/>
        <v>0</v>
      </c>
      <c r="V736" s="33">
        <f t="shared" si="321"/>
        <v>-0.99999601894414336</v>
      </c>
      <c r="W736" s="33">
        <f t="shared" si="322"/>
        <v>398.94380398105585</v>
      </c>
      <c r="X736" s="33">
        <v>96485</v>
      </c>
      <c r="Y736" s="16">
        <f t="shared" si="323"/>
        <v>-241.85014261408938</v>
      </c>
      <c r="Z736" s="16">
        <v>6</v>
      </c>
      <c r="AA736" s="16">
        <v>13</v>
      </c>
      <c r="AB736" s="8">
        <f t="shared" si="324"/>
        <v>0.291497975708502</v>
      </c>
      <c r="AC736" s="16">
        <f t="shared" si="316"/>
        <v>61.758677094131734</v>
      </c>
      <c r="AD736" s="20">
        <f>'PFAS Properties'!$W$44</f>
        <v>6</v>
      </c>
      <c r="AE736" s="8">
        <f>'PFAS Properties'!$S$44</f>
        <v>3.7905666251460763</v>
      </c>
      <c r="AF736" s="15">
        <f>'PFAS Properties'!$V$44</f>
        <v>3.6</v>
      </c>
      <c r="AG736" s="24">
        <v>5.5</v>
      </c>
      <c r="AH736" s="2" t="s">
        <v>85</v>
      </c>
      <c r="AI736" s="2">
        <v>2.91</v>
      </c>
      <c r="AJ736" s="15">
        <f t="shared" si="326"/>
        <v>52.10851463873221</v>
      </c>
      <c r="AK736" s="8">
        <f t="shared" si="327"/>
        <v>0.29100000000000004</v>
      </c>
      <c r="AL736" s="2">
        <v>2.72</v>
      </c>
      <c r="AM736" s="15">
        <f t="shared" si="328"/>
        <v>100.81541882876205</v>
      </c>
      <c r="AN736" s="8">
        <f t="shared" si="329"/>
        <v>0.27200000000000002</v>
      </c>
      <c r="AO736" s="15" t="s">
        <v>86</v>
      </c>
      <c r="AP736" s="15">
        <v>16.3</v>
      </c>
      <c r="AQ736" s="15" t="s">
        <v>711</v>
      </c>
      <c r="AR736" s="16">
        <v>21</v>
      </c>
      <c r="AS736" s="16">
        <v>21</v>
      </c>
      <c r="AT736" s="16">
        <v>58</v>
      </c>
      <c r="AU736" s="15" t="s">
        <v>664</v>
      </c>
      <c r="AV736" s="16">
        <f t="shared" si="331"/>
        <v>100</v>
      </c>
      <c r="AW736" s="20">
        <v>1</v>
      </c>
      <c r="AX736" s="8">
        <f t="shared" si="330"/>
        <v>0.01</v>
      </c>
      <c r="AY736" s="8" t="s">
        <v>87</v>
      </c>
      <c r="AZ736" s="16">
        <v>20</v>
      </c>
      <c r="BA736" s="16" t="s">
        <v>55</v>
      </c>
      <c r="BB736" s="16" t="s">
        <v>391</v>
      </c>
      <c r="BC736" s="16" t="s">
        <v>55</v>
      </c>
      <c r="BD736" s="20">
        <v>2.5</v>
      </c>
      <c r="BE736" s="15">
        <f t="shared" si="317"/>
        <v>250</v>
      </c>
      <c r="BF736" s="15">
        <f t="shared" si="325"/>
        <v>2.3979400086720375</v>
      </c>
      <c r="BG736" s="8">
        <f t="shared" si="309"/>
        <v>0.3979400086720376</v>
      </c>
      <c r="BH736" s="13" t="s">
        <v>841</v>
      </c>
      <c r="BI736" s="13"/>
      <c r="BJ736" s="13"/>
      <c r="BK736" s="13"/>
      <c r="BL736" s="13"/>
      <c r="BM736" s="17"/>
      <c r="BN736" s="17"/>
      <c r="BO736" s="2"/>
    </row>
    <row r="737" spans="1:67" s="14" customFormat="1" x14ac:dyDescent="0.3">
      <c r="A737" s="20">
        <v>752</v>
      </c>
      <c r="B737" s="2" t="s">
        <v>219</v>
      </c>
      <c r="C737" s="2">
        <v>2020</v>
      </c>
      <c r="D737" s="2" t="s">
        <v>205</v>
      </c>
      <c r="E737" s="10" t="s">
        <v>802</v>
      </c>
      <c r="F737" s="20" t="s">
        <v>29</v>
      </c>
      <c r="G737" s="2">
        <v>21</v>
      </c>
      <c r="H737" s="2" t="str">
        <f>'PFAS Properties'!$B$44</f>
        <v>PFHxS</v>
      </c>
      <c r="I737" s="2" t="str">
        <f>'PFAS Properties'!$C$44</f>
        <v>PFSA</v>
      </c>
      <c r="J737" s="2" t="str">
        <f>'PFAS Properties'!$D$44</f>
        <v>C6F13O3SH</v>
      </c>
      <c r="K737" s="25">
        <f>'PFAS Properties'!$P$44</f>
        <v>399.94379999999995</v>
      </c>
      <c r="L737" s="2">
        <f>'PFAS Properties'!$X$44</f>
        <v>0.1</v>
      </c>
      <c r="M737" s="2" t="str">
        <f>'PFAS Properties'!$Y$44</f>
        <v>-</v>
      </c>
      <c r="N737" s="33">
        <v>0</v>
      </c>
      <c r="O737" s="33">
        <v>0</v>
      </c>
      <c r="P737" s="33">
        <v>0</v>
      </c>
      <c r="Q737" s="33">
        <f t="shared" si="318"/>
        <v>0.9999974881198781</v>
      </c>
      <c r="R737" s="33">
        <v>0</v>
      </c>
      <c r="S737" s="33">
        <f t="shared" si="319"/>
        <v>2.5118801219519806E-6</v>
      </c>
      <c r="T737" s="8">
        <f t="shared" si="332"/>
        <v>1</v>
      </c>
      <c r="U737" s="33">
        <f t="shared" si="320"/>
        <v>0</v>
      </c>
      <c r="V737" s="33">
        <f t="shared" si="321"/>
        <v>-0.9999974881198781</v>
      </c>
      <c r="W737" s="33">
        <f t="shared" si="322"/>
        <v>398.94380251188011</v>
      </c>
      <c r="X737" s="33">
        <v>96485</v>
      </c>
      <c r="Y737" s="16">
        <f t="shared" si="323"/>
        <v>-241.85049882651887</v>
      </c>
      <c r="Z737" s="16">
        <v>6</v>
      </c>
      <c r="AA737" s="16">
        <v>13</v>
      </c>
      <c r="AB737" s="8">
        <f t="shared" si="324"/>
        <v>0.291497975708502</v>
      </c>
      <c r="AC737" s="16">
        <f t="shared" si="316"/>
        <v>61.758677094131734</v>
      </c>
      <c r="AD737" s="20">
        <f>'PFAS Properties'!$W$44</f>
        <v>6</v>
      </c>
      <c r="AE737" s="8">
        <f>'PFAS Properties'!$S$44</f>
        <v>3.7905666251460763</v>
      </c>
      <c r="AF737" s="15">
        <f>'PFAS Properties'!$V$44</f>
        <v>3.6</v>
      </c>
      <c r="AG737" s="24">
        <v>5.7</v>
      </c>
      <c r="AH737" s="2" t="s">
        <v>85</v>
      </c>
      <c r="AI737" s="2">
        <v>2.2599999999999998</v>
      </c>
      <c r="AJ737" s="15">
        <f t="shared" si="326"/>
        <v>40.469155698809203</v>
      </c>
      <c r="AK737" s="8">
        <f t="shared" si="327"/>
        <v>0.22599999999999998</v>
      </c>
      <c r="AL737" s="2">
        <v>5.72</v>
      </c>
      <c r="AM737" s="15">
        <f t="shared" si="328"/>
        <v>212.00889547813193</v>
      </c>
      <c r="AN737" s="8">
        <f t="shared" si="329"/>
        <v>0.57199999999999995</v>
      </c>
      <c r="AO737" s="15" t="s">
        <v>86</v>
      </c>
      <c r="AP737" s="15">
        <v>9.98</v>
      </c>
      <c r="AQ737" s="15" t="s">
        <v>711</v>
      </c>
      <c r="AR737" s="16">
        <v>70</v>
      </c>
      <c r="AS737" s="16">
        <v>8</v>
      </c>
      <c r="AT737" s="16">
        <v>22</v>
      </c>
      <c r="AU737" s="15" t="s">
        <v>664</v>
      </c>
      <c r="AV737" s="16">
        <f t="shared" si="331"/>
        <v>100</v>
      </c>
      <c r="AW737" s="20">
        <v>3.5</v>
      </c>
      <c r="AX737" s="8">
        <f t="shared" si="330"/>
        <v>3.5000000000000003E-2</v>
      </c>
      <c r="AY737" s="8" t="s">
        <v>87</v>
      </c>
      <c r="AZ737" s="16">
        <v>20</v>
      </c>
      <c r="BA737" s="16" t="s">
        <v>55</v>
      </c>
      <c r="BB737" s="16" t="s">
        <v>391</v>
      </c>
      <c r="BC737" s="16" t="s">
        <v>55</v>
      </c>
      <c r="BD737" s="20">
        <v>0.52</v>
      </c>
      <c r="BE737" s="15">
        <f t="shared" si="317"/>
        <v>14.857142857142856</v>
      </c>
      <c r="BF737" s="15">
        <f t="shared" si="325"/>
        <v>1.1719352992845236</v>
      </c>
      <c r="BG737" s="8">
        <f t="shared" si="309"/>
        <v>-0.28399665636520083</v>
      </c>
      <c r="BH737" s="13" t="s">
        <v>841</v>
      </c>
      <c r="BI737" s="13"/>
      <c r="BJ737" s="13"/>
      <c r="BK737" s="13"/>
      <c r="BL737" s="13"/>
      <c r="BM737" s="17"/>
      <c r="BN737" s="17"/>
      <c r="BO737" s="2"/>
    </row>
    <row r="738" spans="1:67" s="14" customFormat="1" x14ac:dyDescent="0.3">
      <c r="A738" s="20">
        <v>753</v>
      </c>
      <c r="B738" s="2" t="s">
        <v>219</v>
      </c>
      <c r="C738" s="2">
        <v>2020</v>
      </c>
      <c r="D738" s="2" t="s">
        <v>205</v>
      </c>
      <c r="E738" s="10" t="s">
        <v>802</v>
      </c>
      <c r="F738" s="20" t="s">
        <v>29</v>
      </c>
      <c r="G738" s="2">
        <v>22</v>
      </c>
      <c r="H738" s="2" t="str">
        <f>'PFAS Properties'!$B$44</f>
        <v>PFHxS</v>
      </c>
      <c r="I738" s="2" t="str">
        <f>'PFAS Properties'!$C$44</f>
        <v>PFSA</v>
      </c>
      <c r="J738" s="2" t="str">
        <f>'PFAS Properties'!$D$44</f>
        <v>C6F13O3SH</v>
      </c>
      <c r="K738" s="25">
        <f>'PFAS Properties'!$P$44</f>
        <v>399.94379999999995</v>
      </c>
      <c r="L738" s="2">
        <f>'PFAS Properties'!$X$44</f>
        <v>0.1</v>
      </c>
      <c r="M738" s="2" t="str">
        <f>'PFAS Properties'!$Y$44</f>
        <v>-</v>
      </c>
      <c r="N738" s="33">
        <v>0</v>
      </c>
      <c r="O738" s="33">
        <v>0</v>
      </c>
      <c r="P738" s="33">
        <v>0</v>
      </c>
      <c r="Q738" s="33">
        <f t="shared" si="318"/>
        <v>0.99999987410747471</v>
      </c>
      <c r="R738" s="33">
        <v>0</v>
      </c>
      <c r="S738" s="33">
        <f t="shared" si="319"/>
        <v>1.2589252533048661E-7</v>
      </c>
      <c r="T738" s="8">
        <f t="shared" si="332"/>
        <v>1</v>
      </c>
      <c r="U738" s="33">
        <f t="shared" si="320"/>
        <v>0</v>
      </c>
      <c r="V738" s="33">
        <f t="shared" si="321"/>
        <v>-0.99999987410747471</v>
      </c>
      <c r="W738" s="33">
        <f t="shared" si="322"/>
        <v>398.94380012589249</v>
      </c>
      <c r="X738" s="33">
        <v>96485</v>
      </c>
      <c r="Y738" s="16">
        <f t="shared" si="323"/>
        <v>-241.85107732671233</v>
      </c>
      <c r="Z738" s="16">
        <v>6</v>
      </c>
      <c r="AA738" s="16">
        <v>13</v>
      </c>
      <c r="AB738" s="8">
        <f t="shared" si="324"/>
        <v>0.291497975708502</v>
      </c>
      <c r="AC738" s="16">
        <f t="shared" si="316"/>
        <v>61.758677094131734</v>
      </c>
      <c r="AD738" s="20">
        <f>'PFAS Properties'!$W$44</f>
        <v>6</v>
      </c>
      <c r="AE738" s="8">
        <f>'PFAS Properties'!$S$44</f>
        <v>3.7905666251460763</v>
      </c>
      <c r="AF738" s="15">
        <f>'PFAS Properties'!$V$44</f>
        <v>3.6</v>
      </c>
      <c r="AG738" s="24">
        <v>7</v>
      </c>
      <c r="AH738" s="2" t="s">
        <v>85</v>
      </c>
      <c r="AI738" s="2">
        <v>3.78</v>
      </c>
      <c r="AJ738" s="15">
        <f t="shared" si="326"/>
        <v>67.687348912167607</v>
      </c>
      <c r="AK738" s="8">
        <f t="shared" si="327"/>
        <v>0.378</v>
      </c>
      <c r="AL738" s="2">
        <v>2.46</v>
      </c>
      <c r="AM738" s="15">
        <f t="shared" si="328"/>
        <v>91.178650852483315</v>
      </c>
      <c r="AN738" s="8">
        <f t="shared" si="329"/>
        <v>0.246</v>
      </c>
      <c r="AO738" s="15" t="s">
        <v>86</v>
      </c>
      <c r="AP738" s="15">
        <v>19.12</v>
      </c>
      <c r="AQ738" s="15" t="s">
        <v>711</v>
      </c>
      <c r="AR738" s="16">
        <v>35</v>
      </c>
      <c r="AS738" s="16">
        <v>13</v>
      </c>
      <c r="AT738" s="16">
        <v>52</v>
      </c>
      <c r="AU738" s="15" t="s">
        <v>664</v>
      </c>
      <c r="AV738" s="16">
        <f t="shared" si="331"/>
        <v>100</v>
      </c>
      <c r="AW738" s="20">
        <v>1.1000000000000001</v>
      </c>
      <c r="AX738" s="8">
        <f t="shared" si="330"/>
        <v>1.1000000000000001E-2</v>
      </c>
      <c r="AY738" s="8" t="s">
        <v>87</v>
      </c>
      <c r="AZ738" s="16">
        <v>20</v>
      </c>
      <c r="BA738" s="16" t="s">
        <v>55</v>
      </c>
      <c r="BB738" s="16" t="s">
        <v>391</v>
      </c>
      <c r="BC738" s="16" t="s">
        <v>55</v>
      </c>
      <c r="BD738" s="20">
        <v>0.24</v>
      </c>
      <c r="BE738" s="15">
        <f t="shared" si="317"/>
        <v>21.818181818181817</v>
      </c>
      <c r="BF738" s="15">
        <f t="shared" si="325"/>
        <v>1.338818556553381</v>
      </c>
      <c r="BG738" s="8">
        <f t="shared" si="309"/>
        <v>-0.61978875828839397</v>
      </c>
      <c r="BH738" s="13" t="s">
        <v>841</v>
      </c>
      <c r="BI738" s="13"/>
      <c r="BJ738" s="13"/>
      <c r="BK738" s="13"/>
      <c r="BL738" s="13"/>
      <c r="BM738" s="17"/>
      <c r="BN738" s="17"/>
      <c r="BO738" s="2"/>
    </row>
    <row r="739" spans="1:67" s="14" customFormat="1" x14ac:dyDescent="0.3">
      <c r="A739" s="20">
        <v>754</v>
      </c>
      <c r="B739" s="2" t="s">
        <v>219</v>
      </c>
      <c r="C739" s="2">
        <v>2020</v>
      </c>
      <c r="D739" s="2" t="s">
        <v>205</v>
      </c>
      <c r="E739" s="10" t="s">
        <v>802</v>
      </c>
      <c r="F739" s="20" t="s">
        <v>29</v>
      </c>
      <c r="G739" s="2">
        <v>23</v>
      </c>
      <c r="H739" s="2" t="str">
        <f>'PFAS Properties'!$B$44</f>
        <v>PFHxS</v>
      </c>
      <c r="I739" s="2" t="str">
        <f>'PFAS Properties'!$C$44</f>
        <v>PFSA</v>
      </c>
      <c r="J739" s="2" t="str">
        <f>'PFAS Properties'!$D$44</f>
        <v>C6F13O3SH</v>
      </c>
      <c r="K739" s="25">
        <f>'PFAS Properties'!$P$44</f>
        <v>399.94379999999995</v>
      </c>
      <c r="L739" s="2">
        <f>'PFAS Properties'!$X$44</f>
        <v>0.1</v>
      </c>
      <c r="M739" s="2" t="str">
        <f>'PFAS Properties'!$Y$44</f>
        <v>-</v>
      </c>
      <c r="N739" s="33">
        <v>0</v>
      </c>
      <c r="O739" s="33">
        <v>0</v>
      </c>
      <c r="P739" s="33">
        <v>0</v>
      </c>
      <c r="Q739" s="33">
        <f t="shared" si="318"/>
        <v>0.99999960189298798</v>
      </c>
      <c r="R739" s="33">
        <v>0</v>
      </c>
      <c r="S739" s="33">
        <f t="shared" si="319"/>
        <v>3.9810701206424001E-7</v>
      </c>
      <c r="T739" s="8">
        <f t="shared" si="332"/>
        <v>1</v>
      </c>
      <c r="U739" s="33">
        <f t="shared" si="320"/>
        <v>0</v>
      </c>
      <c r="V739" s="33">
        <f t="shared" si="321"/>
        <v>-0.99999960189298798</v>
      </c>
      <c r="W739" s="33">
        <f t="shared" si="322"/>
        <v>398.94380039810699</v>
      </c>
      <c r="X739" s="33">
        <v>96485</v>
      </c>
      <c r="Y739" s="16">
        <f t="shared" si="323"/>
        <v>-241.85101132631303</v>
      </c>
      <c r="Z739" s="16">
        <v>6</v>
      </c>
      <c r="AA739" s="16">
        <v>13</v>
      </c>
      <c r="AB739" s="8">
        <f t="shared" si="324"/>
        <v>0.291497975708502</v>
      </c>
      <c r="AC739" s="16">
        <f t="shared" si="316"/>
        <v>61.758677094131734</v>
      </c>
      <c r="AD739" s="20">
        <f>'PFAS Properties'!$W$44</f>
        <v>6</v>
      </c>
      <c r="AE739" s="8">
        <f>'PFAS Properties'!$S$44</f>
        <v>3.7905666251460763</v>
      </c>
      <c r="AF739" s="15">
        <f>'PFAS Properties'!$V$44</f>
        <v>3.6</v>
      </c>
      <c r="AG739" s="24">
        <v>6.5</v>
      </c>
      <c r="AH739" s="2" t="s">
        <v>85</v>
      </c>
      <c r="AI739" s="2">
        <v>2.0299999999999998</v>
      </c>
      <c r="AJ739" s="15">
        <f t="shared" si="326"/>
        <v>36.350613304682604</v>
      </c>
      <c r="AK739" s="8">
        <f t="shared" si="327"/>
        <v>0.20299999999999999</v>
      </c>
      <c r="AL739" s="2">
        <v>1.53</v>
      </c>
      <c r="AM739" s="15">
        <f t="shared" si="328"/>
        <v>56.708673091178653</v>
      </c>
      <c r="AN739" s="8">
        <f t="shared" si="329"/>
        <v>0.153</v>
      </c>
      <c r="AO739" s="15" t="s">
        <v>86</v>
      </c>
      <c r="AP739" s="15">
        <v>7.1</v>
      </c>
      <c r="AQ739" s="15" t="s">
        <v>711</v>
      </c>
      <c r="AR739" s="16">
        <v>60</v>
      </c>
      <c r="AS739" s="16">
        <v>16</v>
      </c>
      <c r="AT739" s="16">
        <v>24</v>
      </c>
      <c r="AU739" s="15" t="s">
        <v>664</v>
      </c>
      <c r="AV739" s="16">
        <f t="shared" si="331"/>
        <v>100</v>
      </c>
      <c r="AW739" s="20">
        <v>1.3</v>
      </c>
      <c r="AX739" s="8">
        <f t="shared" si="330"/>
        <v>1.3000000000000001E-2</v>
      </c>
      <c r="AY739" s="8" t="s">
        <v>87</v>
      </c>
      <c r="AZ739" s="16">
        <v>20</v>
      </c>
      <c r="BA739" s="16" t="s">
        <v>55</v>
      </c>
      <c r="BB739" s="16" t="s">
        <v>391</v>
      </c>
      <c r="BC739" s="16" t="s">
        <v>55</v>
      </c>
      <c r="BD739" s="20">
        <v>0.05</v>
      </c>
      <c r="BE739" s="15">
        <f t="shared" si="317"/>
        <v>3.8461538461538458</v>
      </c>
      <c r="BF739" s="15">
        <f t="shared" si="325"/>
        <v>0.58502665202918203</v>
      </c>
      <c r="BG739" s="8">
        <f t="shared" si="309"/>
        <v>-1.3010299956639813</v>
      </c>
      <c r="BH739" s="13" t="s">
        <v>841</v>
      </c>
      <c r="BI739" s="13"/>
      <c r="BJ739" s="13"/>
      <c r="BK739" s="13"/>
      <c r="BL739" s="13"/>
      <c r="BM739" s="17"/>
      <c r="BN739" s="17"/>
      <c r="BO739" s="2"/>
    </row>
    <row r="740" spans="1:67" s="14" customFormat="1" x14ac:dyDescent="0.3">
      <c r="A740" s="20">
        <v>755</v>
      </c>
      <c r="B740" s="2" t="s">
        <v>219</v>
      </c>
      <c r="C740" s="2">
        <v>2020</v>
      </c>
      <c r="D740" s="2" t="s">
        <v>205</v>
      </c>
      <c r="E740" s="10" t="s">
        <v>802</v>
      </c>
      <c r="F740" s="20" t="s">
        <v>29</v>
      </c>
      <c r="G740" s="2">
        <v>24</v>
      </c>
      <c r="H740" s="2" t="str">
        <f>'PFAS Properties'!$B$44</f>
        <v>PFHxS</v>
      </c>
      <c r="I740" s="2" t="str">
        <f>'PFAS Properties'!$C$44</f>
        <v>PFSA</v>
      </c>
      <c r="J740" s="2" t="str">
        <f>'PFAS Properties'!$D$44</f>
        <v>C6F13O3SH</v>
      </c>
      <c r="K740" s="25">
        <f>'PFAS Properties'!$P$44</f>
        <v>399.94379999999995</v>
      </c>
      <c r="L740" s="2">
        <f>'PFAS Properties'!$X$44</f>
        <v>0.1</v>
      </c>
      <c r="M740" s="2" t="str">
        <f>'PFAS Properties'!$Y$44</f>
        <v>-</v>
      </c>
      <c r="N740" s="33">
        <v>0</v>
      </c>
      <c r="O740" s="33">
        <v>0</v>
      </c>
      <c r="P740" s="33">
        <v>0</v>
      </c>
      <c r="Q740" s="33">
        <f t="shared" si="318"/>
        <v>0.99999968377233395</v>
      </c>
      <c r="R740" s="33">
        <v>0</v>
      </c>
      <c r="S740" s="33">
        <f t="shared" si="319"/>
        <v>3.1622766601686895E-7</v>
      </c>
      <c r="T740" s="8">
        <f t="shared" si="332"/>
        <v>1</v>
      </c>
      <c r="U740" s="33">
        <f t="shared" si="320"/>
        <v>0</v>
      </c>
      <c r="V740" s="33">
        <f t="shared" si="321"/>
        <v>-0.99999968377233395</v>
      </c>
      <c r="W740" s="33">
        <f t="shared" si="322"/>
        <v>398.94380031622762</v>
      </c>
      <c r="X740" s="33">
        <v>96485</v>
      </c>
      <c r="Y740" s="16">
        <f t="shared" si="323"/>
        <v>-241.85103117856113</v>
      </c>
      <c r="Z740" s="16">
        <v>6</v>
      </c>
      <c r="AA740" s="16">
        <v>13</v>
      </c>
      <c r="AB740" s="8">
        <f t="shared" si="324"/>
        <v>0.291497975708502</v>
      </c>
      <c r="AC740" s="16">
        <f t="shared" si="316"/>
        <v>61.758677094131734</v>
      </c>
      <c r="AD740" s="20">
        <f>'PFAS Properties'!$W$44</f>
        <v>6</v>
      </c>
      <c r="AE740" s="8">
        <f>'PFAS Properties'!$S$44</f>
        <v>3.7905666251460763</v>
      </c>
      <c r="AF740" s="15">
        <f>'PFAS Properties'!$V$44</f>
        <v>3.6</v>
      </c>
      <c r="AG740" s="24">
        <v>6.6</v>
      </c>
      <c r="AH740" s="2" t="s">
        <v>85</v>
      </c>
      <c r="AI740" s="2">
        <v>1.82</v>
      </c>
      <c r="AJ740" s="15">
        <f t="shared" si="326"/>
        <v>32.590205031784407</v>
      </c>
      <c r="AK740" s="8">
        <f t="shared" si="327"/>
        <v>0.182</v>
      </c>
      <c r="AL740" s="2">
        <v>2.0699999999999998</v>
      </c>
      <c r="AM740" s="15">
        <f t="shared" si="328"/>
        <v>76.723498888065237</v>
      </c>
      <c r="AN740" s="8">
        <f t="shared" si="329"/>
        <v>0.20699999999999999</v>
      </c>
      <c r="AO740" s="15" t="s">
        <v>86</v>
      </c>
      <c r="AP740" s="15">
        <v>7.54</v>
      </c>
      <c r="AQ740" s="15" t="s">
        <v>711</v>
      </c>
      <c r="AR740" s="16">
        <v>67</v>
      </c>
      <c r="AS740" s="16">
        <v>11</v>
      </c>
      <c r="AT740" s="16">
        <v>22</v>
      </c>
      <c r="AU740" s="15" t="s">
        <v>664</v>
      </c>
      <c r="AV740" s="16">
        <f t="shared" si="331"/>
        <v>100</v>
      </c>
      <c r="AW740" s="20">
        <v>1.3</v>
      </c>
      <c r="AX740" s="8">
        <f t="shared" si="330"/>
        <v>1.3000000000000001E-2</v>
      </c>
      <c r="AY740" s="8" t="s">
        <v>87</v>
      </c>
      <c r="AZ740" s="16">
        <v>20</v>
      </c>
      <c r="BA740" s="16" t="s">
        <v>55</v>
      </c>
      <c r="BB740" s="16" t="s">
        <v>391</v>
      </c>
      <c r="BC740" s="16" t="s">
        <v>55</v>
      </c>
      <c r="BD740" s="20">
        <v>0.12</v>
      </c>
      <c r="BE740" s="15">
        <f t="shared" si="317"/>
        <v>9.2307692307692299</v>
      </c>
      <c r="BF740" s="15">
        <f t="shared" si="325"/>
        <v>0.96523789374078806</v>
      </c>
      <c r="BG740" s="8">
        <f t="shared" ref="BG740:BG801" si="333">LOG(BD740)</f>
        <v>-0.92081875395237522</v>
      </c>
      <c r="BH740" s="13" t="s">
        <v>841</v>
      </c>
      <c r="BI740" s="13"/>
      <c r="BJ740" s="13"/>
      <c r="BK740" s="13"/>
      <c r="BL740" s="13"/>
      <c r="BM740" s="17"/>
      <c r="BN740" s="17"/>
      <c r="BO740" s="2"/>
    </row>
    <row r="741" spans="1:67" s="14" customFormat="1" x14ac:dyDescent="0.3">
      <c r="A741" s="20">
        <v>756</v>
      </c>
      <c r="B741" s="2" t="s">
        <v>219</v>
      </c>
      <c r="C741" s="2">
        <v>2020</v>
      </c>
      <c r="D741" s="2" t="s">
        <v>205</v>
      </c>
      <c r="E741" s="10" t="s">
        <v>802</v>
      </c>
      <c r="F741" s="20" t="s">
        <v>29</v>
      </c>
      <c r="G741" s="2">
        <v>25</v>
      </c>
      <c r="H741" s="2" t="str">
        <f>'PFAS Properties'!$B$44</f>
        <v>PFHxS</v>
      </c>
      <c r="I741" s="2" t="str">
        <f>'PFAS Properties'!$C$44</f>
        <v>PFSA</v>
      </c>
      <c r="J741" s="2" t="str">
        <f>'PFAS Properties'!$D$44</f>
        <v>C6F13O3SH</v>
      </c>
      <c r="K741" s="25">
        <f>'PFAS Properties'!$P$44</f>
        <v>399.94379999999995</v>
      </c>
      <c r="L741" s="2">
        <f>'PFAS Properties'!$X$44</f>
        <v>0.1</v>
      </c>
      <c r="M741" s="2" t="str">
        <f>'PFAS Properties'!$Y$44</f>
        <v>-</v>
      </c>
      <c r="N741" s="33">
        <v>0</v>
      </c>
      <c r="O741" s="33">
        <v>0</v>
      </c>
      <c r="P741" s="33">
        <v>0</v>
      </c>
      <c r="Q741" s="33">
        <f t="shared" si="318"/>
        <v>0.99999800474166611</v>
      </c>
      <c r="R741" s="33">
        <v>0</v>
      </c>
      <c r="S741" s="33">
        <f t="shared" si="319"/>
        <v>1.9952583339051124E-6</v>
      </c>
      <c r="T741" s="8">
        <f t="shared" si="332"/>
        <v>1</v>
      </c>
      <c r="U741" s="33">
        <f t="shared" si="320"/>
        <v>0</v>
      </c>
      <c r="V741" s="33">
        <f t="shared" si="321"/>
        <v>-0.99999800474166611</v>
      </c>
      <c r="W741" s="33">
        <f t="shared" si="322"/>
        <v>398.9438019952583</v>
      </c>
      <c r="X741" s="33">
        <v>96485</v>
      </c>
      <c r="Y741" s="16">
        <f t="shared" si="323"/>
        <v>-241.85062408526008</v>
      </c>
      <c r="Z741" s="16">
        <v>6</v>
      </c>
      <c r="AA741" s="16">
        <v>13</v>
      </c>
      <c r="AB741" s="8">
        <f t="shared" si="324"/>
        <v>0.291497975708502</v>
      </c>
      <c r="AC741" s="16">
        <f t="shared" si="316"/>
        <v>61.758677094131734</v>
      </c>
      <c r="AD741" s="20">
        <f>'PFAS Properties'!$W$44</f>
        <v>6</v>
      </c>
      <c r="AE741" s="8">
        <f>'PFAS Properties'!$S$44</f>
        <v>3.7905666251460763</v>
      </c>
      <c r="AF741" s="15">
        <f>'PFAS Properties'!$V$44</f>
        <v>3.6</v>
      </c>
      <c r="AG741" s="24">
        <v>5.8</v>
      </c>
      <c r="AH741" s="2" t="s">
        <v>85</v>
      </c>
      <c r="AI741" s="2">
        <v>2.56</v>
      </c>
      <c r="AJ741" s="15">
        <f t="shared" si="326"/>
        <v>45.841167517235206</v>
      </c>
      <c r="AK741" s="8">
        <f t="shared" si="327"/>
        <v>0.25600000000000001</v>
      </c>
      <c r="AL741" s="2">
        <v>1.68</v>
      </c>
      <c r="AM741" s="15">
        <f t="shared" si="328"/>
        <v>62.268346923647144</v>
      </c>
      <c r="AN741" s="8">
        <f t="shared" si="329"/>
        <v>0.16799999999999998</v>
      </c>
      <c r="AO741" s="15" t="s">
        <v>86</v>
      </c>
      <c r="AP741" s="15">
        <v>6.17</v>
      </c>
      <c r="AQ741" s="15" t="s">
        <v>711</v>
      </c>
      <c r="AR741" s="16">
        <v>59</v>
      </c>
      <c r="AS741" s="16">
        <v>15</v>
      </c>
      <c r="AT741" s="16">
        <v>26</v>
      </c>
      <c r="AU741" s="15" t="s">
        <v>664</v>
      </c>
      <c r="AV741" s="16">
        <f t="shared" si="331"/>
        <v>100</v>
      </c>
      <c r="AW741" s="20">
        <v>0.9</v>
      </c>
      <c r="AX741" s="8">
        <f t="shared" si="330"/>
        <v>9.0000000000000011E-3</v>
      </c>
      <c r="AY741" s="8" t="s">
        <v>87</v>
      </c>
      <c r="AZ741" s="16">
        <v>20</v>
      </c>
      <c r="BA741" s="16" t="s">
        <v>55</v>
      </c>
      <c r="BB741" s="16" t="s">
        <v>391</v>
      </c>
      <c r="BC741" s="16" t="s">
        <v>55</v>
      </c>
      <c r="BD741" s="20">
        <v>0.66</v>
      </c>
      <c r="BE741" s="15">
        <f t="shared" si="317"/>
        <v>73.333333333333329</v>
      </c>
      <c r="BF741" s="15">
        <f t="shared" si="325"/>
        <v>1.8653014261025438</v>
      </c>
      <c r="BG741" s="8">
        <f t="shared" si="333"/>
        <v>-0.18045606445813131</v>
      </c>
      <c r="BH741" s="13" t="s">
        <v>841</v>
      </c>
      <c r="BI741" s="13"/>
      <c r="BJ741" s="13"/>
      <c r="BK741" s="13"/>
      <c r="BL741" s="13"/>
      <c r="BM741" s="17"/>
      <c r="BN741" s="17"/>
      <c r="BO741" s="2"/>
    </row>
    <row r="742" spans="1:67" s="14" customFormat="1" x14ac:dyDescent="0.3">
      <c r="A742" s="20">
        <v>757</v>
      </c>
      <c r="B742" s="2" t="s">
        <v>219</v>
      </c>
      <c r="C742" s="2">
        <v>2020</v>
      </c>
      <c r="D742" s="2" t="s">
        <v>205</v>
      </c>
      <c r="E742" s="10" t="s">
        <v>802</v>
      </c>
      <c r="F742" s="20" t="s">
        <v>29</v>
      </c>
      <c r="G742" s="2">
        <v>26</v>
      </c>
      <c r="H742" s="2" t="str">
        <f>'PFAS Properties'!$B$44</f>
        <v>PFHxS</v>
      </c>
      <c r="I742" s="2" t="str">
        <f>'PFAS Properties'!$C$44</f>
        <v>PFSA</v>
      </c>
      <c r="J742" s="2" t="str">
        <f>'PFAS Properties'!$D$44</f>
        <v>C6F13O3SH</v>
      </c>
      <c r="K742" s="25">
        <f>'PFAS Properties'!$P$44</f>
        <v>399.94379999999995</v>
      </c>
      <c r="L742" s="2">
        <f>'PFAS Properties'!$X$44</f>
        <v>0.1</v>
      </c>
      <c r="M742" s="2" t="str">
        <f>'PFAS Properties'!$Y$44</f>
        <v>-</v>
      </c>
      <c r="N742" s="33">
        <v>0</v>
      </c>
      <c r="O742" s="33">
        <v>0</v>
      </c>
      <c r="P742" s="33">
        <v>0</v>
      </c>
      <c r="Q742" s="33">
        <f t="shared" si="318"/>
        <v>0.99999960189298798</v>
      </c>
      <c r="R742" s="33">
        <v>0</v>
      </c>
      <c r="S742" s="33">
        <f t="shared" si="319"/>
        <v>3.9810701206424001E-7</v>
      </c>
      <c r="T742" s="8">
        <f t="shared" si="332"/>
        <v>1</v>
      </c>
      <c r="U742" s="33">
        <f t="shared" si="320"/>
        <v>0</v>
      </c>
      <c r="V742" s="33">
        <f t="shared" si="321"/>
        <v>-0.99999960189298798</v>
      </c>
      <c r="W742" s="33">
        <f t="shared" si="322"/>
        <v>398.94380039810699</v>
      </c>
      <c r="X742" s="33">
        <v>96485</v>
      </c>
      <c r="Y742" s="16">
        <f t="shared" si="323"/>
        <v>-241.85101132631303</v>
      </c>
      <c r="Z742" s="16">
        <v>6</v>
      </c>
      <c r="AA742" s="16">
        <v>13</v>
      </c>
      <c r="AB742" s="8">
        <f t="shared" si="324"/>
        <v>0.291497975708502</v>
      </c>
      <c r="AC742" s="16">
        <f t="shared" si="316"/>
        <v>61.758677094131734</v>
      </c>
      <c r="AD742" s="20">
        <f>'PFAS Properties'!$W$44</f>
        <v>6</v>
      </c>
      <c r="AE742" s="8">
        <f>'PFAS Properties'!$S$44</f>
        <v>3.7905666251460763</v>
      </c>
      <c r="AF742" s="15">
        <f>'PFAS Properties'!$V$44</f>
        <v>3.6</v>
      </c>
      <c r="AG742" s="24">
        <v>6.5</v>
      </c>
      <c r="AH742" s="2" t="s">
        <v>85</v>
      </c>
      <c r="AI742" s="2">
        <v>3.27</v>
      </c>
      <c r="AJ742" s="15">
        <f t="shared" si="326"/>
        <v>58.554928820843408</v>
      </c>
      <c r="AK742" s="8">
        <f t="shared" si="327"/>
        <v>0.32700000000000001</v>
      </c>
      <c r="AL742" s="2">
        <v>1.42</v>
      </c>
      <c r="AM742" s="15">
        <f t="shared" si="328"/>
        <v>52.631578947368418</v>
      </c>
      <c r="AN742" s="8">
        <f t="shared" si="329"/>
        <v>0.14199999999999999</v>
      </c>
      <c r="AO742" s="15" t="s">
        <v>86</v>
      </c>
      <c r="AP742" s="15">
        <v>12.67</v>
      </c>
      <c r="AQ742" s="15" t="s">
        <v>711</v>
      </c>
      <c r="AR742" s="16">
        <v>49</v>
      </c>
      <c r="AS742" s="16">
        <v>8</v>
      </c>
      <c r="AT742" s="16">
        <v>43</v>
      </c>
      <c r="AU742" s="15" t="s">
        <v>664</v>
      </c>
      <c r="AV742" s="16">
        <f t="shared" si="331"/>
        <v>100</v>
      </c>
      <c r="AW742" s="20">
        <v>1.3</v>
      </c>
      <c r="AX742" s="8">
        <f t="shared" si="330"/>
        <v>1.3000000000000001E-2</v>
      </c>
      <c r="AY742" s="8" t="s">
        <v>87</v>
      </c>
      <c r="AZ742" s="16">
        <v>20</v>
      </c>
      <c r="BA742" s="16" t="s">
        <v>55</v>
      </c>
      <c r="BB742" s="16" t="s">
        <v>391</v>
      </c>
      <c r="BC742" s="16" t="s">
        <v>55</v>
      </c>
      <c r="BD742" s="20">
        <v>0.52</v>
      </c>
      <c r="BE742" s="15">
        <f t="shared" si="317"/>
        <v>40</v>
      </c>
      <c r="BF742" s="15">
        <f t="shared" si="325"/>
        <v>1.6020599913279623</v>
      </c>
      <c r="BG742" s="8">
        <f t="shared" si="333"/>
        <v>-0.28399665636520083</v>
      </c>
      <c r="BH742" s="13" t="s">
        <v>841</v>
      </c>
      <c r="BI742" s="2"/>
      <c r="BJ742" s="2"/>
      <c r="BK742" s="2"/>
      <c r="BL742" s="2"/>
      <c r="BM742" s="2"/>
      <c r="BN742" s="2"/>
      <c r="BO742" s="2"/>
    </row>
    <row r="743" spans="1:67" s="14" customFormat="1" x14ac:dyDescent="0.3">
      <c r="A743" s="20">
        <v>758</v>
      </c>
      <c r="B743" s="2" t="s">
        <v>219</v>
      </c>
      <c r="C743" s="2">
        <v>2020</v>
      </c>
      <c r="D743" s="2" t="s">
        <v>205</v>
      </c>
      <c r="E743" s="10" t="s">
        <v>802</v>
      </c>
      <c r="F743" s="20" t="s">
        <v>29</v>
      </c>
      <c r="G743" s="2">
        <v>27</v>
      </c>
      <c r="H743" s="2" t="str">
        <f>'PFAS Properties'!$B$44</f>
        <v>PFHxS</v>
      </c>
      <c r="I743" s="2" t="str">
        <f>'PFAS Properties'!$C$44</f>
        <v>PFSA</v>
      </c>
      <c r="J743" s="2" t="str">
        <f>'PFAS Properties'!$D$44</f>
        <v>C6F13O3SH</v>
      </c>
      <c r="K743" s="25">
        <f>'PFAS Properties'!$P$44</f>
        <v>399.94379999999995</v>
      </c>
      <c r="L743" s="2">
        <f>'PFAS Properties'!$X$44</f>
        <v>0.1</v>
      </c>
      <c r="M743" s="2" t="str">
        <f>'PFAS Properties'!$Y$44</f>
        <v>-</v>
      </c>
      <c r="N743" s="33">
        <v>0</v>
      </c>
      <c r="O743" s="33">
        <v>0</v>
      </c>
      <c r="P743" s="33">
        <v>0</v>
      </c>
      <c r="Q743" s="33">
        <f t="shared" si="318"/>
        <v>0.99998741090436938</v>
      </c>
      <c r="R743" s="33">
        <v>0</v>
      </c>
      <c r="S743" s="33">
        <f t="shared" si="319"/>
        <v>1.258909563061765E-5</v>
      </c>
      <c r="T743" s="8">
        <f t="shared" si="332"/>
        <v>1</v>
      </c>
      <c r="U743" s="33">
        <f t="shared" si="320"/>
        <v>0</v>
      </c>
      <c r="V743" s="33">
        <f t="shared" si="321"/>
        <v>-0.99998741090436938</v>
      </c>
      <c r="W743" s="33">
        <f t="shared" si="322"/>
        <v>398.94381258909556</v>
      </c>
      <c r="X743" s="33">
        <v>96485</v>
      </c>
      <c r="Y743" s="16">
        <f t="shared" si="323"/>
        <v>-241.84805553178114</v>
      </c>
      <c r="Z743" s="16">
        <v>6</v>
      </c>
      <c r="AA743" s="16">
        <v>13</v>
      </c>
      <c r="AB743" s="8">
        <f t="shared" si="324"/>
        <v>0.291497975708502</v>
      </c>
      <c r="AC743" s="16">
        <f t="shared" si="316"/>
        <v>61.758677094131734</v>
      </c>
      <c r="AD743" s="20">
        <f>'PFAS Properties'!$W$44</f>
        <v>6</v>
      </c>
      <c r="AE743" s="8">
        <f>'PFAS Properties'!$S$44</f>
        <v>3.7905666251460763</v>
      </c>
      <c r="AF743" s="15">
        <f>'PFAS Properties'!$V$44</f>
        <v>3.6</v>
      </c>
      <c r="AG743" s="24">
        <v>5</v>
      </c>
      <c r="AH743" s="2" t="s">
        <v>85</v>
      </c>
      <c r="AI743" s="2">
        <v>10.4</v>
      </c>
      <c r="AJ743" s="15">
        <f t="shared" si="326"/>
        <v>186.22974303876802</v>
      </c>
      <c r="AK743" s="8">
        <f t="shared" si="327"/>
        <v>1.04</v>
      </c>
      <c r="AL743" s="2">
        <v>4.1500000000000004</v>
      </c>
      <c r="AM743" s="15">
        <f t="shared" si="328"/>
        <v>153.81764269829503</v>
      </c>
      <c r="AN743" s="8">
        <f t="shared" si="329"/>
        <v>0.41500000000000004</v>
      </c>
      <c r="AO743" s="15" t="s">
        <v>86</v>
      </c>
      <c r="AP743" s="15">
        <v>6.82</v>
      </c>
      <c r="AQ743" s="15" t="s">
        <v>711</v>
      </c>
      <c r="AR743" s="16">
        <v>24</v>
      </c>
      <c r="AS743" s="16">
        <v>29</v>
      </c>
      <c r="AT743" s="16">
        <v>47</v>
      </c>
      <c r="AU743" s="15" t="s">
        <v>664</v>
      </c>
      <c r="AV743" s="16">
        <f t="shared" si="331"/>
        <v>100</v>
      </c>
      <c r="AW743" s="20">
        <v>2</v>
      </c>
      <c r="AX743" s="8">
        <f t="shared" si="330"/>
        <v>0.02</v>
      </c>
      <c r="AY743" s="8" t="s">
        <v>87</v>
      </c>
      <c r="AZ743" s="16">
        <v>20</v>
      </c>
      <c r="BA743" s="16" t="s">
        <v>55</v>
      </c>
      <c r="BB743" s="16" t="s">
        <v>391</v>
      </c>
      <c r="BC743" s="16" t="s">
        <v>55</v>
      </c>
      <c r="BD743" s="20">
        <v>1.37</v>
      </c>
      <c r="BE743" s="15">
        <f t="shared" si="317"/>
        <v>68.5</v>
      </c>
      <c r="BF743" s="15">
        <f t="shared" si="325"/>
        <v>1.8356905714924256</v>
      </c>
      <c r="BG743" s="8">
        <f t="shared" si="333"/>
        <v>0.13672056715640679</v>
      </c>
      <c r="BH743" s="13" t="s">
        <v>841</v>
      </c>
      <c r="BI743" s="48"/>
      <c r="BJ743" s="48"/>
      <c r="BK743" s="48"/>
      <c r="BL743" s="48"/>
      <c r="BM743" s="60"/>
      <c r="BN743" s="60"/>
      <c r="BO743" s="61"/>
    </row>
    <row r="744" spans="1:67" s="14" customFormat="1" x14ac:dyDescent="0.3">
      <c r="A744" s="20">
        <v>759</v>
      </c>
      <c r="B744" s="2" t="s">
        <v>219</v>
      </c>
      <c r="C744" s="2">
        <v>2020</v>
      </c>
      <c r="D744" s="2" t="s">
        <v>205</v>
      </c>
      <c r="E744" s="10" t="s">
        <v>802</v>
      </c>
      <c r="F744" s="20" t="s">
        <v>29</v>
      </c>
      <c r="G744" s="2">
        <v>28</v>
      </c>
      <c r="H744" s="2" t="str">
        <f>'PFAS Properties'!$B$44</f>
        <v>PFHxS</v>
      </c>
      <c r="I744" s="2" t="str">
        <f>'PFAS Properties'!$C$44</f>
        <v>PFSA</v>
      </c>
      <c r="J744" s="2" t="str">
        <f>'PFAS Properties'!$D$44</f>
        <v>C6F13O3SH</v>
      </c>
      <c r="K744" s="25">
        <f>'PFAS Properties'!$P$44</f>
        <v>399.94379999999995</v>
      </c>
      <c r="L744" s="2">
        <f>'PFAS Properties'!$X$44</f>
        <v>0.1</v>
      </c>
      <c r="M744" s="2" t="str">
        <f>'PFAS Properties'!$Y$44</f>
        <v>-</v>
      </c>
      <c r="N744" s="33">
        <v>0</v>
      </c>
      <c r="O744" s="33">
        <v>0</v>
      </c>
      <c r="P744" s="33">
        <v>0</v>
      </c>
      <c r="Q744" s="33">
        <f t="shared" si="318"/>
        <v>0.99999984151070587</v>
      </c>
      <c r="R744" s="33">
        <v>0</v>
      </c>
      <c r="S744" s="33">
        <f t="shared" si="319"/>
        <v>1.584892941272506E-7</v>
      </c>
      <c r="T744" s="8">
        <f t="shared" si="332"/>
        <v>1</v>
      </c>
      <c r="U744" s="33">
        <f t="shared" si="320"/>
        <v>0</v>
      </c>
      <c r="V744" s="33">
        <f t="shared" si="321"/>
        <v>-0.99999984151070587</v>
      </c>
      <c r="W744" s="33">
        <f t="shared" si="322"/>
        <v>398.94380015848924</v>
      </c>
      <c r="X744" s="33">
        <v>96485</v>
      </c>
      <c r="Y744" s="16">
        <f t="shared" si="323"/>
        <v>-241.8510694233866</v>
      </c>
      <c r="Z744" s="16">
        <v>6</v>
      </c>
      <c r="AA744" s="16">
        <v>13</v>
      </c>
      <c r="AB744" s="8">
        <f t="shared" si="324"/>
        <v>0.291497975708502</v>
      </c>
      <c r="AC744" s="16">
        <f t="shared" si="316"/>
        <v>61.758677094131734</v>
      </c>
      <c r="AD744" s="20">
        <f>'PFAS Properties'!$W$44</f>
        <v>6</v>
      </c>
      <c r="AE744" s="8">
        <f>'PFAS Properties'!$S$44</f>
        <v>3.7905666251460763</v>
      </c>
      <c r="AF744" s="15">
        <f>'PFAS Properties'!$V$44</f>
        <v>3.6</v>
      </c>
      <c r="AG744" s="24">
        <v>6.9</v>
      </c>
      <c r="AH744" s="2" t="s">
        <v>85</v>
      </c>
      <c r="AI744" s="2">
        <v>4.2</v>
      </c>
      <c r="AJ744" s="15">
        <f t="shared" si="326"/>
        <v>75.208165457964014</v>
      </c>
      <c r="AK744" s="8">
        <f t="shared" si="327"/>
        <v>0.42000000000000004</v>
      </c>
      <c r="AL744" s="2">
        <v>1.48</v>
      </c>
      <c r="AM744" s="15">
        <f t="shared" si="328"/>
        <v>54.855448480355818</v>
      </c>
      <c r="AN744" s="8">
        <f t="shared" si="329"/>
        <v>0.14799999999999999</v>
      </c>
      <c r="AO744" s="15" t="s">
        <v>86</v>
      </c>
      <c r="AP744" s="15">
        <v>20.41</v>
      </c>
      <c r="AQ744" s="15" t="s">
        <v>711</v>
      </c>
      <c r="AR744" s="16">
        <v>42</v>
      </c>
      <c r="AS744" s="16">
        <v>6</v>
      </c>
      <c r="AT744" s="16">
        <v>52</v>
      </c>
      <c r="AU744" s="15" t="s">
        <v>664</v>
      </c>
      <c r="AV744" s="16">
        <f t="shared" si="331"/>
        <v>100</v>
      </c>
      <c r="AW744" s="20">
        <v>1.8</v>
      </c>
      <c r="AX744" s="8">
        <f t="shared" si="330"/>
        <v>1.8000000000000002E-2</v>
      </c>
      <c r="AY744" s="8" t="s">
        <v>87</v>
      </c>
      <c r="AZ744" s="16">
        <v>20</v>
      </c>
      <c r="BA744" s="16" t="s">
        <v>55</v>
      </c>
      <c r="BB744" s="16" t="s">
        <v>391</v>
      </c>
      <c r="BC744" s="16" t="s">
        <v>55</v>
      </c>
      <c r="BD744" s="20">
        <v>1.28</v>
      </c>
      <c r="BE744" s="15">
        <f t="shared" si="317"/>
        <v>71.1111111111111</v>
      </c>
      <c r="BF744" s="15">
        <f t="shared" si="325"/>
        <v>1.8519374645445623</v>
      </c>
      <c r="BG744" s="8">
        <f t="shared" si="333"/>
        <v>0.10720996964786837</v>
      </c>
      <c r="BH744" s="13" t="s">
        <v>841</v>
      </c>
      <c r="BI744" s="48"/>
      <c r="BJ744" s="48"/>
      <c r="BK744" s="48"/>
      <c r="BL744" s="48"/>
      <c r="BM744" s="60"/>
      <c r="BN744" s="60"/>
      <c r="BO744" s="61"/>
    </row>
    <row r="745" spans="1:67" s="14" customFormat="1" x14ac:dyDescent="0.3">
      <c r="A745" s="20">
        <v>760</v>
      </c>
      <c r="B745" s="2" t="s">
        <v>195</v>
      </c>
      <c r="C745" s="2">
        <v>2018</v>
      </c>
      <c r="D745" s="2" t="s">
        <v>199</v>
      </c>
      <c r="E745" s="22" t="s">
        <v>795</v>
      </c>
      <c r="F745" s="20" t="s">
        <v>29</v>
      </c>
      <c r="G745" s="2" t="s">
        <v>47</v>
      </c>
      <c r="H745" s="2" t="str">
        <f>'PFAS Properties'!$B$44</f>
        <v>PFHxS</v>
      </c>
      <c r="I745" s="2" t="str">
        <f>'PFAS Properties'!$C$44</f>
        <v>PFSA</v>
      </c>
      <c r="J745" s="2" t="str">
        <f>'PFAS Properties'!$D$44</f>
        <v>C6F13O3SH</v>
      </c>
      <c r="K745" s="25">
        <f>'PFAS Properties'!$P$44</f>
        <v>399.94379999999995</v>
      </c>
      <c r="L745" s="2">
        <f>'PFAS Properties'!$X$44</f>
        <v>0.1</v>
      </c>
      <c r="M745" s="2" t="str">
        <f>'PFAS Properties'!$Y$44</f>
        <v>-</v>
      </c>
      <c r="N745" s="33">
        <v>0</v>
      </c>
      <c r="O745" s="33">
        <v>0</v>
      </c>
      <c r="P745" s="33">
        <v>0</v>
      </c>
      <c r="Q745" s="33">
        <f t="shared" si="318"/>
        <v>0.99996019086777477</v>
      </c>
      <c r="R745" s="33">
        <v>0</v>
      </c>
      <c r="S745" s="33">
        <f t="shared" si="319"/>
        <v>3.9809132225250393E-5</v>
      </c>
      <c r="T745" s="8">
        <f t="shared" si="332"/>
        <v>1</v>
      </c>
      <c r="U745" s="33">
        <f t="shared" si="320"/>
        <v>0</v>
      </c>
      <c r="V745" s="33">
        <f t="shared" si="321"/>
        <v>-0.99996019086777477</v>
      </c>
      <c r="W745" s="33">
        <f t="shared" si="322"/>
        <v>398.94383980913216</v>
      </c>
      <c r="X745" s="33">
        <v>96485</v>
      </c>
      <c r="Y745" s="16">
        <f t="shared" si="323"/>
        <v>-241.84145583507944</v>
      </c>
      <c r="Z745" s="16">
        <v>6</v>
      </c>
      <c r="AA745" s="16">
        <v>13</v>
      </c>
      <c r="AB745" s="8">
        <f t="shared" si="324"/>
        <v>0.291497975708502</v>
      </c>
      <c r="AC745" s="16">
        <f t="shared" si="316"/>
        <v>61.758677094131734</v>
      </c>
      <c r="AD745" s="20">
        <f>'PFAS Properties'!$W$44</f>
        <v>6</v>
      </c>
      <c r="AE745" s="8">
        <f>'PFAS Properties'!$S$44</f>
        <v>3.7905666251460763</v>
      </c>
      <c r="AF745" s="15">
        <f>'PFAS Properties'!$V$44</f>
        <v>3.6</v>
      </c>
      <c r="AG745" s="24">
        <v>4.5</v>
      </c>
      <c r="AH745" s="2" t="s">
        <v>658</v>
      </c>
      <c r="AI745" s="8">
        <f>AJ745*55.845/1000</f>
        <v>5.8637250000000002E-2</v>
      </c>
      <c r="AJ745" s="16">
        <v>1.05</v>
      </c>
      <c r="AK745" s="8">
        <f t="shared" si="327"/>
        <v>5.8637250000000002E-3</v>
      </c>
      <c r="AL745" s="15">
        <f>AM745*26.98/1000</f>
        <v>0.18454320000000002</v>
      </c>
      <c r="AM745" s="16">
        <v>6.84</v>
      </c>
      <c r="AN745" s="8">
        <f t="shared" si="329"/>
        <v>1.8454320000000003E-2</v>
      </c>
      <c r="AO745" s="2" t="s">
        <v>48</v>
      </c>
      <c r="AP745" s="72">
        <v>21.496500000000001</v>
      </c>
      <c r="AQ745" s="70" t="s">
        <v>752</v>
      </c>
      <c r="AR745" s="71">
        <v>41.737499999999997</v>
      </c>
      <c r="AS745" s="71">
        <v>35.036999999999999</v>
      </c>
      <c r="AT745" s="71">
        <v>21.971</v>
      </c>
      <c r="AU745" s="70" t="s">
        <v>752</v>
      </c>
      <c r="AV745" s="16">
        <f t="shared" si="331"/>
        <v>98.745499999999993</v>
      </c>
      <c r="AW745" s="20">
        <v>45</v>
      </c>
      <c r="AX745" s="8">
        <f t="shared" si="330"/>
        <v>0.45</v>
      </c>
      <c r="AY745" s="8" t="s">
        <v>49</v>
      </c>
      <c r="AZ745" s="16">
        <f>0.45/0.04</f>
        <v>11.25</v>
      </c>
      <c r="BA745" s="16" t="s">
        <v>55</v>
      </c>
      <c r="BB745" s="8">
        <v>1.25</v>
      </c>
      <c r="BC745" s="8" t="s">
        <v>55</v>
      </c>
      <c r="BD745" s="25">
        <f>(10^(1.9)*AX745)</f>
        <v>35.744770562592691</v>
      </c>
      <c r="BE745" s="15">
        <f t="shared" si="317"/>
        <v>79.432823472428197</v>
      </c>
      <c r="BF745" s="15">
        <f t="shared" si="325"/>
        <v>1.9000000000000004</v>
      </c>
      <c r="BG745" s="8">
        <f t="shared" si="333"/>
        <v>1.5532125137753439</v>
      </c>
      <c r="BH745" s="2" t="s">
        <v>827</v>
      </c>
      <c r="BI745" s="13"/>
      <c r="BJ745" s="13"/>
      <c r="BK745" s="17"/>
      <c r="BL745" s="17"/>
      <c r="BM745" s="13"/>
      <c r="BN745" s="15"/>
      <c r="BO745" s="2"/>
    </row>
    <row r="746" spans="1:67" s="14" customFormat="1" x14ac:dyDescent="0.3">
      <c r="A746" s="20">
        <v>761</v>
      </c>
      <c r="B746" s="2" t="s">
        <v>195</v>
      </c>
      <c r="C746" s="2">
        <v>2022</v>
      </c>
      <c r="D746" s="2" t="s">
        <v>199</v>
      </c>
      <c r="E746" s="10" t="s">
        <v>798</v>
      </c>
      <c r="F746" s="20" t="s">
        <v>29</v>
      </c>
      <c r="G746" s="2" t="s">
        <v>237</v>
      </c>
      <c r="H746" s="2" t="str">
        <f>'PFAS Properties'!$B$44</f>
        <v>PFHxS</v>
      </c>
      <c r="I746" s="2" t="str">
        <f>'PFAS Properties'!$C$44</f>
        <v>PFSA</v>
      </c>
      <c r="J746" s="2" t="str">
        <f>'PFAS Properties'!$D$44</f>
        <v>C6F13O3SH</v>
      </c>
      <c r="K746" s="25">
        <f>'PFAS Properties'!$P$44</f>
        <v>399.94379999999995</v>
      </c>
      <c r="L746" s="2">
        <f>'PFAS Properties'!$X$44</f>
        <v>0.1</v>
      </c>
      <c r="M746" s="2" t="str">
        <f>'PFAS Properties'!$Y$44</f>
        <v>-</v>
      </c>
      <c r="N746" s="33">
        <v>0</v>
      </c>
      <c r="O746" s="33">
        <v>0</v>
      </c>
      <c r="P746" s="33">
        <v>0</v>
      </c>
      <c r="Q746" s="33">
        <f t="shared" si="318"/>
        <v>0.99968387220237043</v>
      </c>
      <c r="R746" s="33">
        <v>0</v>
      </c>
      <c r="S746" s="33">
        <f t="shared" si="319"/>
        <v>3.1612779762961761E-4</v>
      </c>
      <c r="T746" s="8">
        <f t="shared" si="332"/>
        <v>1</v>
      </c>
      <c r="U746" s="33">
        <f t="shared" si="320"/>
        <v>0</v>
      </c>
      <c r="V746" s="33">
        <f t="shared" si="321"/>
        <v>-0.99968387220237043</v>
      </c>
      <c r="W746" s="33">
        <f t="shared" si="322"/>
        <v>398.9441161277976</v>
      </c>
      <c r="X746" s="33">
        <v>96485</v>
      </c>
      <c r="Y746" s="16">
        <f t="shared" si="323"/>
        <v>-241.77446040725039</v>
      </c>
      <c r="Z746" s="16">
        <v>6</v>
      </c>
      <c r="AA746" s="16">
        <v>13</v>
      </c>
      <c r="AB746" s="8">
        <f t="shared" si="324"/>
        <v>0.291497975708502</v>
      </c>
      <c r="AC746" s="16">
        <f t="shared" si="316"/>
        <v>61.758677094131734</v>
      </c>
      <c r="AD746" s="20">
        <f>'PFAS Properties'!$W$44</f>
        <v>6</v>
      </c>
      <c r="AE746" s="8">
        <f>'PFAS Properties'!$S$44</f>
        <v>3.7905666251460763</v>
      </c>
      <c r="AF746" s="15">
        <f>'PFAS Properties'!$V$44</f>
        <v>3.6</v>
      </c>
      <c r="AG746" s="24">
        <v>3.6</v>
      </c>
      <c r="AH746" s="2" t="s">
        <v>832</v>
      </c>
      <c r="AI746" s="8">
        <f>(6.8*55.845)/1000</f>
        <v>0.37974599999999997</v>
      </c>
      <c r="AJ746" s="15">
        <f>AI746*1000/55.845</f>
        <v>6.8</v>
      </c>
      <c r="AK746" s="8">
        <f t="shared" si="327"/>
        <v>3.7974599999999997E-2</v>
      </c>
      <c r="AL746" s="8">
        <f>(4*26.982)/1000</f>
        <v>0.107928</v>
      </c>
      <c r="AM746" s="15">
        <f>AL746*1000/55.845</f>
        <v>1.932634971796938</v>
      </c>
      <c r="AN746" s="8">
        <f t="shared" si="329"/>
        <v>1.07928E-2</v>
      </c>
      <c r="AO746" s="2" t="s">
        <v>86</v>
      </c>
      <c r="AP746" s="72">
        <v>14.768748</v>
      </c>
      <c r="AQ746" s="70" t="s">
        <v>752</v>
      </c>
      <c r="AR746" s="71">
        <v>37.396533331999997</v>
      </c>
      <c r="AS746" s="71">
        <v>37.430266667999987</v>
      </c>
      <c r="AT746" s="71">
        <v>24.989000000000001</v>
      </c>
      <c r="AU746" s="70" t="s">
        <v>752</v>
      </c>
      <c r="AV746" s="16">
        <f t="shared" ref="AV746:AV748" si="334">SUM(AR746:AT746)</f>
        <v>99.815799999999996</v>
      </c>
      <c r="AW746" s="20">
        <v>44.9</v>
      </c>
      <c r="AX746" s="8">
        <f t="shared" si="330"/>
        <v>0.44900000000000001</v>
      </c>
      <c r="AY746" s="8" t="s">
        <v>240</v>
      </c>
      <c r="AZ746" s="16">
        <f t="shared" ref="AZ746:AZ748" si="335">0.75/0.03</f>
        <v>25</v>
      </c>
      <c r="BA746" s="16" t="s">
        <v>55</v>
      </c>
      <c r="BB746" s="16">
        <f>56*K746/1000</f>
        <v>22.396852799999998</v>
      </c>
      <c r="BC746" s="16" t="s">
        <v>55</v>
      </c>
      <c r="BD746" s="25">
        <f>(10^(1.54)*AX746)</f>
        <v>15.568484585318679</v>
      </c>
      <c r="BE746" s="15">
        <f t="shared" si="317"/>
        <v>34.67368504525318</v>
      </c>
      <c r="BF746" s="15">
        <f t="shared" si="325"/>
        <v>1.5400000000000003</v>
      </c>
      <c r="BG746" s="8">
        <f t="shared" si="333"/>
        <v>1.1922463410033235</v>
      </c>
      <c r="BH746" s="2" t="s">
        <v>828</v>
      </c>
      <c r="BI746" s="48"/>
      <c r="BJ746" s="48"/>
      <c r="BK746" s="48"/>
      <c r="BL746" s="47"/>
      <c r="BM746" s="50"/>
      <c r="BN746" s="47"/>
      <c r="BO746" s="52"/>
    </row>
    <row r="747" spans="1:67" s="14" customFormat="1" x14ac:dyDescent="0.3">
      <c r="A747" s="20">
        <v>762</v>
      </c>
      <c r="B747" s="2" t="s">
        <v>195</v>
      </c>
      <c r="C747" s="2">
        <v>2022</v>
      </c>
      <c r="D747" s="2" t="s">
        <v>199</v>
      </c>
      <c r="E747" s="10" t="s">
        <v>798</v>
      </c>
      <c r="F747" s="20" t="s">
        <v>29</v>
      </c>
      <c r="G747" s="2" t="s">
        <v>238</v>
      </c>
      <c r="H747" s="2" t="str">
        <f>'PFAS Properties'!$B$44</f>
        <v>PFHxS</v>
      </c>
      <c r="I747" s="2" t="str">
        <f>'PFAS Properties'!$C$44</f>
        <v>PFSA</v>
      </c>
      <c r="J747" s="2" t="str">
        <f>'PFAS Properties'!$D$44</f>
        <v>C6F13O3SH</v>
      </c>
      <c r="K747" s="25">
        <f>'PFAS Properties'!$P$44</f>
        <v>399.94379999999995</v>
      </c>
      <c r="L747" s="2">
        <f>'PFAS Properties'!$X$44</f>
        <v>0.1</v>
      </c>
      <c r="M747" s="2" t="str">
        <f>'PFAS Properties'!$Y$44</f>
        <v>-</v>
      </c>
      <c r="N747" s="33">
        <v>0</v>
      </c>
      <c r="O747" s="33">
        <v>0</v>
      </c>
      <c r="P747" s="33">
        <v>0</v>
      </c>
      <c r="Q747" s="33">
        <f t="shared" si="318"/>
        <v>0.99990000999900008</v>
      </c>
      <c r="R747" s="33">
        <v>0</v>
      </c>
      <c r="S747" s="33">
        <f t="shared" si="319"/>
        <v>9.9990000999900097E-5</v>
      </c>
      <c r="T747" s="8">
        <f t="shared" si="332"/>
        <v>1</v>
      </c>
      <c r="U747" s="33">
        <f t="shared" si="320"/>
        <v>0</v>
      </c>
      <c r="V747" s="33">
        <f t="shared" si="321"/>
        <v>-0.99990000999900008</v>
      </c>
      <c r="W747" s="33">
        <f t="shared" si="322"/>
        <v>398.94389999000094</v>
      </c>
      <c r="X747" s="33">
        <v>96485</v>
      </c>
      <c r="Y747" s="16">
        <f t="shared" si="323"/>
        <v>-241.82686454704927</v>
      </c>
      <c r="Z747" s="16">
        <v>6</v>
      </c>
      <c r="AA747" s="16">
        <v>13</v>
      </c>
      <c r="AB747" s="8">
        <f t="shared" si="324"/>
        <v>0.291497975708502</v>
      </c>
      <c r="AC747" s="16">
        <f t="shared" si="316"/>
        <v>61.758677094131734</v>
      </c>
      <c r="AD747" s="20">
        <f>'PFAS Properties'!$W$44</f>
        <v>6</v>
      </c>
      <c r="AE747" s="8">
        <f>'PFAS Properties'!$S$44</f>
        <v>3.7905666251460763</v>
      </c>
      <c r="AF747" s="15">
        <f>'PFAS Properties'!$V$44</f>
        <v>3.6</v>
      </c>
      <c r="AG747" s="24">
        <v>4.0999999999999996</v>
      </c>
      <c r="AH747" s="2" t="s">
        <v>832</v>
      </c>
      <c r="AI747" s="8">
        <f>(28*55.845)/1000</f>
        <v>1.5636599999999998</v>
      </c>
      <c r="AJ747" s="15">
        <f>AI747*1000/55.845</f>
        <v>27.999999999999996</v>
      </c>
      <c r="AK747" s="8">
        <f t="shared" si="327"/>
        <v>0.15636599999999998</v>
      </c>
      <c r="AL747" s="8">
        <f>(17*26.982)/1000</f>
        <v>0.45869399999999994</v>
      </c>
      <c r="AM747" s="15">
        <f>AL747*1000/55.845</f>
        <v>8.2136986301369852</v>
      </c>
      <c r="AN747" s="8">
        <f t="shared" si="329"/>
        <v>4.5869399999999991E-2</v>
      </c>
      <c r="AO747" s="2" t="s">
        <v>86</v>
      </c>
      <c r="AP747" s="72">
        <v>14.715147999999999</v>
      </c>
      <c r="AQ747" s="70" t="s">
        <v>752</v>
      </c>
      <c r="AR747" s="71">
        <v>37.490533331999998</v>
      </c>
      <c r="AS747" s="71">
        <v>37.393866668000001</v>
      </c>
      <c r="AT747" s="71">
        <v>24.9392</v>
      </c>
      <c r="AU747" s="70" t="s">
        <v>752</v>
      </c>
      <c r="AV747" s="16">
        <f t="shared" si="334"/>
        <v>99.823599999999999</v>
      </c>
      <c r="AW747" s="20">
        <v>46.6</v>
      </c>
      <c r="AX747" s="8">
        <f t="shared" si="330"/>
        <v>0.46600000000000003</v>
      </c>
      <c r="AY747" s="8" t="s">
        <v>240</v>
      </c>
      <c r="AZ747" s="16">
        <f t="shared" si="335"/>
        <v>25</v>
      </c>
      <c r="BA747" s="16" t="s">
        <v>55</v>
      </c>
      <c r="BB747" s="16">
        <f>56*K747/1000</f>
        <v>22.396852799999998</v>
      </c>
      <c r="BC747" s="16" t="s">
        <v>55</v>
      </c>
      <c r="BD747" s="25">
        <f>(10^(1.51)*AX747)</f>
        <v>15.079464412920681</v>
      </c>
      <c r="BE747" s="15">
        <f t="shared" si="317"/>
        <v>32.359365692962832</v>
      </c>
      <c r="BF747" s="15">
        <f t="shared" si="325"/>
        <v>1.51</v>
      </c>
      <c r="BG747" s="8">
        <f t="shared" si="333"/>
        <v>1.1783859166900004</v>
      </c>
      <c r="BH747" s="2" t="s">
        <v>828</v>
      </c>
      <c r="BI747" s="61"/>
      <c r="BJ747" s="61"/>
      <c r="BK747" s="61"/>
      <c r="BL747" s="61"/>
      <c r="BM747" s="62"/>
      <c r="BN747" s="62"/>
      <c r="BO747" s="61"/>
    </row>
    <row r="748" spans="1:67" s="14" customFormat="1" x14ac:dyDescent="0.3">
      <c r="A748" s="20">
        <v>763</v>
      </c>
      <c r="B748" s="2" t="s">
        <v>195</v>
      </c>
      <c r="C748" s="2">
        <v>2022</v>
      </c>
      <c r="D748" s="2" t="s">
        <v>199</v>
      </c>
      <c r="E748" s="10" t="s">
        <v>798</v>
      </c>
      <c r="F748" s="20" t="s">
        <v>29</v>
      </c>
      <c r="G748" s="2" t="s">
        <v>239</v>
      </c>
      <c r="H748" s="2" t="str">
        <f>'PFAS Properties'!$B$44</f>
        <v>PFHxS</v>
      </c>
      <c r="I748" s="2" t="str">
        <f>'PFAS Properties'!$C$44</f>
        <v>PFSA</v>
      </c>
      <c r="J748" s="2" t="str">
        <f>'PFAS Properties'!$D$44</f>
        <v>C6F13O3SH</v>
      </c>
      <c r="K748" s="25">
        <f>'PFAS Properties'!$P$44</f>
        <v>399.94379999999995</v>
      </c>
      <c r="L748" s="2">
        <f>'PFAS Properties'!$X$44</f>
        <v>0.1</v>
      </c>
      <c r="M748" s="2" t="str">
        <f>'PFAS Properties'!$Y$44</f>
        <v>-</v>
      </c>
      <c r="N748" s="33">
        <v>0</v>
      </c>
      <c r="O748" s="33">
        <v>0</v>
      </c>
      <c r="P748" s="33">
        <v>0</v>
      </c>
      <c r="Q748" s="33">
        <f t="shared" si="318"/>
        <v>0.99987412330575753</v>
      </c>
      <c r="R748" s="33">
        <v>0</v>
      </c>
      <c r="S748" s="33">
        <f t="shared" si="319"/>
        <v>1.2587669424250327E-4</v>
      </c>
      <c r="T748" s="8">
        <f t="shared" si="332"/>
        <v>1</v>
      </c>
      <c r="U748" s="33">
        <f t="shared" si="320"/>
        <v>0</v>
      </c>
      <c r="V748" s="33">
        <f t="shared" si="321"/>
        <v>-0.99987412330575753</v>
      </c>
      <c r="W748" s="33">
        <f t="shared" si="322"/>
        <v>398.94392587669421</v>
      </c>
      <c r="X748" s="33">
        <v>96485</v>
      </c>
      <c r="Y748" s="16">
        <f t="shared" si="323"/>
        <v>-241.82058813191176</v>
      </c>
      <c r="Z748" s="16">
        <v>6</v>
      </c>
      <c r="AA748" s="16">
        <v>13</v>
      </c>
      <c r="AB748" s="8">
        <f t="shared" si="324"/>
        <v>0.291497975708502</v>
      </c>
      <c r="AC748" s="16">
        <f t="shared" si="316"/>
        <v>61.758677094131734</v>
      </c>
      <c r="AD748" s="20">
        <f>'PFAS Properties'!$W$44</f>
        <v>6</v>
      </c>
      <c r="AE748" s="8">
        <f>'PFAS Properties'!$S$44</f>
        <v>3.7905666251460763</v>
      </c>
      <c r="AF748" s="15">
        <f>'PFAS Properties'!$V$44</f>
        <v>3.6</v>
      </c>
      <c r="AG748" s="24">
        <v>4</v>
      </c>
      <c r="AH748" s="2" t="s">
        <v>832</v>
      </c>
      <c r="AI748" s="8">
        <f>(5*55.845)/1000</f>
        <v>0.279225</v>
      </c>
      <c r="AJ748" s="15">
        <f>AI748*1000/55.845</f>
        <v>5.0000000000000009</v>
      </c>
      <c r="AK748" s="8">
        <f t="shared" si="327"/>
        <v>2.7922499999999999E-2</v>
      </c>
      <c r="AL748" s="8">
        <f>(15*26.982)/1000</f>
        <v>0.40473000000000003</v>
      </c>
      <c r="AM748" s="15">
        <f>AL748*1000/55.845</f>
        <v>7.2473811442385179</v>
      </c>
      <c r="AN748" s="8">
        <f t="shared" si="329"/>
        <v>4.0473000000000002E-2</v>
      </c>
      <c r="AO748" s="2" t="s">
        <v>86</v>
      </c>
      <c r="AP748" s="72">
        <v>14.763688</v>
      </c>
      <c r="AQ748" s="70" t="s">
        <v>752</v>
      </c>
      <c r="AR748" s="71">
        <v>37.414333332000012</v>
      </c>
      <c r="AS748" s="71">
        <v>37.430866668</v>
      </c>
      <c r="AT748" s="71">
        <v>24.970400000000001</v>
      </c>
      <c r="AU748" s="70" t="s">
        <v>752</v>
      </c>
      <c r="AV748" s="16">
        <f t="shared" si="334"/>
        <v>99.815600000000003</v>
      </c>
      <c r="AW748" s="20">
        <v>53.6</v>
      </c>
      <c r="AX748" s="8">
        <f t="shared" si="330"/>
        <v>0.53600000000000003</v>
      </c>
      <c r="AY748" s="8" t="s">
        <v>240</v>
      </c>
      <c r="AZ748" s="16">
        <f t="shared" si="335"/>
        <v>25</v>
      </c>
      <c r="BA748" s="16" t="s">
        <v>55</v>
      </c>
      <c r="BB748" s="16">
        <f>56*K748/1000</f>
        <v>22.396852799999998</v>
      </c>
      <c r="BC748" s="16" t="s">
        <v>55</v>
      </c>
      <c r="BD748" s="25">
        <f>(10^(1.72)*AX748)</f>
        <v>28.129679869387825</v>
      </c>
      <c r="BE748" s="15">
        <f t="shared" si="317"/>
        <v>52.480746024977286</v>
      </c>
      <c r="BF748" s="15">
        <f t="shared" si="325"/>
        <v>1.7200000000000002</v>
      </c>
      <c r="BG748" s="8">
        <f t="shared" si="333"/>
        <v>1.4491647896927702</v>
      </c>
      <c r="BH748" s="2" t="s">
        <v>828</v>
      </c>
      <c r="BI748" s="48"/>
      <c r="BJ748" s="48"/>
      <c r="BK748" s="48"/>
      <c r="BL748" s="47"/>
      <c r="BM748" s="50"/>
      <c r="BN748" s="47"/>
      <c r="BO748" s="53"/>
    </row>
    <row r="749" spans="1:67" s="14" customFormat="1" x14ac:dyDescent="0.3">
      <c r="A749" s="20">
        <v>764</v>
      </c>
      <c r="B749" s="2" t="s">
        <v>214</v>
      </c>
      <c r="C749" s="2">
        <v>2022</v>
      </c>
      <c r="D749" s="2" t="s">
        <v>201</v>
      </c>
      <c r="E749" s="10" t="s">
        <v>808</v>
      </c>
      <c r="F749" s="20" t="s">
        <v>29</v>
      </c>
      <c r="G749" s="2" t="s">
        <v>215</v>
      </c>
      <c r="H749" s="2" t="str">
        <f>'PFAS Properties'!$B$45</f>
        <v>PFHpS</v>
      </c>
      <c r="I749" s="2" t="str">
        <f>'PFAS Properties'!$C$45</f>
        <v>PFSA</v>
      </c>
      <c r="J749" s="2" t="str">
        <f>'PFAS Properties'!$D$45</f>
        <v>C7HF15O3S</v>
      </c>
      <c r="K749" s="25">
        <f>'PFAS Properties'!$P$45</f>
        <v>449.94059999999996</v>
      </c>
      <c r="L749" s="2">
        <f>'PFAS Properties'!$X$45</f>
        <v>0.1</v>
      </c>
      <c r="M749" s="2" t="str">
        <f>'PFAS Properties'!$Y$45</f>
        <v>-</v>
      </c>
      <c r="N749" s="33">
        <v>0</v>
      </c>
      <c r="O749" s="33">
        <v>0</v>
      </c>
      <c r="P749" s="33">
        <v>0</v>
      </c>
      <c r="Q749" s="33">
        <f t="shared" si="318"/>
        <v>0.99998004777494953</v>
      </c>
      <c r="R749" s="33">
        <v>0</v>
      </c>
      <c r="S749" s="33">
        <f t="shared" si="319"/>
        <v>1.9952225050461341E-5</v>
      </c>
      <c r="T749" s="8">
        <f t="shared" si="332"/>
        <v>1</v>
      </c>
      <c r="U749" s="33">
        <f t="shared" si="320"/>
        <v>0</v>
      </c>
      <c r="V749" s="33">
        <f t="shared" si="321"/>
        <v>-0.99998004777494953</v>
      </c>
      <c r="W749" s="33">
        <f t="shared" si="322"/>
        <v>448.94061995222501</v>
      </c>
      <c r="X749" s="33">
        <v>96485</v>
      </c>
      <c r="Y749" s="16">
        <f t="shared" si="323"/>
        <v>-214.91277603669158</v>
      </c>
      <c r="Z749" s="16">
        <v>7</v>
      </c>
      <c r="AA749" s="16">
        <v>15</v>
      </c>
      <c r="AB749" s="8">
        <f t="shared" si="324"/>
        <v>0.29473684210526313</v>
      </c>
      <c r="AC749" s="16">
        <f t="shared" si="316"/>
        <v>63.34169443699902</v>
      </c>
      <c r="AD749" s="20">
        <f>'PFAS Properties'!$W$45</f>
        <v>7</v>
      </c>
      <c r="AE749" s="8">
        <f>'PFAS Properties'!$S$45</f>
        <v>2.9063350418050908</v>
      </c>
      <c r="AF749" s="15">
        <f>'PFAS Properties'!$V$45</f>
        <v>4.3</v>
      </c>
      <c r="AG749" s="24">
        <v>4.8</v>
      </c>
      <c r="AH749" s="2" t="s">
        <v>216</v>
      </c>
      <c r="AI749" s="2">
        <v>8.3000000000000007</v>
      </c>
      <c r="AJ749" s="15">
        <f>AI749*1000/55.845</f>
        <v>148.62566030978601</v>
      </c>
      <c r="AK749" s="15">
        <f t="shared" si="327"/>
        <v>0.83000000000000007</v>
      </c>
      <c r="AL749" s="15">
        <v>7.85</v>
      </c>
      <c r="AM749" s="15">
        <f>AL749*1000/26.98</f>
        <v>290.95626389918459</v>
      </c>
      <c r="AN749" s="15">
        <f t="shared" si="329"/>
        <v>0.78499999999999992</v>
      </c>
      <c r="AO749" s="15" t="s">
        <v>217</v>
      </c>
      <c r="AP749" s="72">
        <v>15.34083666666667</v>
      </c>
      <c r="AQ749" s="70" t="s">
        <v>752</v>
      </c>
      <c r="AR749" s="16">
        <v>32</v>
      </c>
      <c r="AS749" s="16">
        <v>40</v>
      </c>
      <c r="AT749" s="16">
        <v>28</v>
      </c>
      <c r="AU749" s="2" t="s">
        <v>661</v>
      </c>
      <c r="AV749" s="16">
        <f t="shared" ref="AV749:AV766" si="336">SUM(AR749:AT749)</f>
        <v>100</v>
      </c>
      <c r="AW749" s="20">
        <v>4.9000000000000004</v>
      </c>
      <c r="AX749" s="8">
        <f t="shared" si="330"/>
        <v>4.9000000000000002E-2</v>
      </c>
      <c r="AY749" s="8" t="s">
        <v>218</v>
      </c>
      <c r="AZ749" s="16">
        <f>1.5/0.075</f>
        <v>20</v>
      </c>
      <c r="BA749" s="16" t="s">
        <v>55</v>
      </c>
      <c r="BB749" s="16">
        <v>10</v>
      </c>
      <c r="BC749" s="16" t="s">
        <v>55</v>
      </c>
      <c r="BD749" s="20">
        <v>11.21</v>
      </c>
      <c r="BE749" s="15">
        <f t="shared" si="317"/>
        <v>228.77551020408166</v>
      </c>
      <c r="BF749" s="15">
        <f t="shared" si="325"/>
        <v>2.3594095325664597</v>
      </c>
      <c r="BG749" s="8">
        <f t="shared" si="333"/>
        <v>1.0496056125949731</v>
      </c>
      <c r="BH749" s="2" t="s">
        <v>380</v>
      </c>
      <c r="BI749" s="2"/>
      <c r="BJ749" s="2"/>
      <c r="BK749" s="2"/>
      <c r="BL749" s="2"/>
      <c r="BM749" s="20"/>
      <c r="BN749" s="20"/>
      <c r="BO749" s="2"/>
    </row>
    <row r="750" spans="1:67" s="14" customFormat="1" x14ac:dyDescent="0.3">
      <c r="A750" s="20">
        <v>765</v>
      </c>
      <c r="B750" s="2" t="s">
        <v>214</v>
      </c>
      <c r="C750" s="2">
        <v>2022</v>
      </c>
      <c r="D750" s="2" t="s">
        <v>201</v>
      </c>
      <c r="E750" s="10" t="s">
        <v>808</v>
      </c>
      <c r="F750" s="20" t="s">
        <v>29</v>
      </c>
      <c r="G750" s="2" t="s">
        <v>233</v>
      </c>
      <c r="H750" s="2" t="str">
        <f>'PFAS Properties'!$B$45</f>
        <v>PFHpS</v>
      </c>
      <c r="I750" s="2" t="str">
        <f>'PFAS Properties'!$C$45</f>
        <v>PFSA</v>
      </c>
      <c r="J750" s="2" t="str">
        <f>'PFAS Properties'!$D$45</f>
        <v>C7HF15O3S</v>
      </c>
      <c r="K750" s="25">
        <f>'PFAS Properties'!$P$45</f>
        <v>449.94059999999996</v>
      </c>
      <c r="L750" s="2">
        <f>'PFAS Properties'!$X$45</f>
        <v>0.1</v>
      </c>
      <c r="M750" s="2" t="str">
        <f>'PFAS Properties'!$Y$45</f>
        <v>-</v>
      </c>
      <c r="N750" s="33">
        <v>0</v>
      </c>
      <c r="O750" s="33">
        <v>0</v>
      </c>
      <c r="P750" s="33">
        <v>0</v>
      </c>
      <c r="Q750" s="33">
        <f t="shared" si="318"/>
        <v>0.99999841510931942</v>
      </c>
      <c r="R750" s="33">
        <v>0</v>
      </c>
      <c r="S750" s="33">
        <f t="shared" si="319"/>
        <v>1.5848906805786579E-6</v>
      </c>
      <c r="T750" s="8">
        <f t="shared" si="332"/>
        <v>1</v>
      </c>
      <c r="U750" s="33">
        <f t="shared" si="320"/>
        <v>0</v>
      </c>
      <c r="V750" s="33">
        <f t="shared" si="321"/>
        <v>-0.99999841510931942</v>
      </c>
      <c r="W750" s="33">
        <f t="shared" si="322"/>
        <v>448.9406015848906</v>
      </c>
      <c r="X750" s="33">
        <v>96485</v>
      </c>
      <c r="Y750" s="16">
        <f t="shared" si="323"/>
        <v>-214.91673228307528</v>
      </c>
      <c r="Z750" s="16">
        <v>7</v>
      </c>
      <c r="AA750" s="16">
        <v>15</v>
      </c>
      <c r="AB750" s="8">
        <f t="shared" si="324"/>
        <v>0.29473684210526313</v>
      </c>
      <c r="AC750" s="16">
        <f t="shared" si="316"/>
        <v>63.34169443699902</v>
      </c>
      <c r="AD750" s="20">
        <f>'PFAS Properties'!$W$45</f>
        <v>7</v>
      </c>
      <c r="AE750" s="8">
        <f>'PFAS Properties'!$S$45</f>
        <v>2.9063350418050908</v>
      </c>
      <c r="AF750" s="15">
        <f>'PFAS Properties'!$V$45</f>
        <v>4.3</v>
      </c>
      <c r="AG750" s="24">
        <v>5.9</v>
      </c>
      <c r="AH750" s="2" t="s">
        <v>216</v>
      </c>
      <c r="AI750" s="2">
        <v>1.4</v>
      </c>
      <c r="AJ750" s="15">
        <f>AI750*1000/55.845</f>
        <v>25.069388485988004</v>
      </c>
      <c r="AK750" s="15">
        <f t="shared" si="327"/>
        <v>0.13999999999999999</v>
      </c>
      <c r="AL750" s="15">
        <v>0.92</v>
      </c>
      <c r="AM750" s="15">
        <f>AL750*1000/26.98</f>
        <v>34.099332839140104</v>
      </c>
      <c r="AN750" s="15">
        <f t="shared" si="329"/>
        <v>9.1999999999999998E-2</v>
      </c>
      <c r="AO750" s="15" t="s">
        <v>217</v>
      </c>
      <c r="AP750" s="72">
        <v>15.34083666666667</v>
      </c>
      <c r="AQ750" s="70" t="s">
        <v>752</v>
      </c>
      <c r="AR750" s="16">
        <v>37</v>
      </c>
      <c r="AS750" s="16">
        <v>22</v>
      </c>
      <c r="AT750" s="16">
        <v>41</v>
      </c>
      <c r="AU750" s="2" t="s">
        <v>661</v>
      </c>
      <c r="AV750" s="16">
        <f t="shared" si="336"/>
        <v>100</v>
      </c>
      <c r="AW750" s="20">
        <v>2.6</v>
      </c>
      <c r="AX750" s="8">
        <f t="shared" si="330"/>
        <v>2.6000000000000002E-2</v>
      </c>
      <c r="AY750" s="8" t="s">
        <v>218</v>
      </c>
      <c r="AZ750" s="16">
        <f>1.5/0.075</f>
        <v>20</v>
      </c>
      <c r="BA750" s="16" t="s">
        <v>55</v>
      </c>
      <c r="BB750" s="16">
        <v>10</v>
      </c>
      <c r="BC750" s="16" t="s">
        <v>55</v>
      </c>
      <c r="BD750" s="20">
        <v>8.6</v>
      </c>
      <c r="BE750" s="15">
        <f t="shared" si="317"/>
        <v>330.76923076923072</v>
      </c>
      <c r="BF750" s="15">
        <f t="shared" si="325"/>
        <v>2.5195251032727497</v>
      </c>
      <c r="BG750" s="8">
        <f t="shared" si="333"/>
        <v>0.93449845124356767</v>
      </c>
      <c r="BH750" s="2" t="s">
        <v>380</v>
      </c>
      <c r="BI750" s="2"/>
      <c r="BJ750" s="2"/>
      <c r="BK750" s="2"/>
      <c r="BL750" s="2"/>
      <c r="BM750" s="20"/>
      <c r="BN750" s="20"/>
      <c r="BO750" s="2"/>
    </row>
    <row r="751" spans="1:67" s="14" customFormat="1" x14ac:dyDescent="0.3">
      <c r="A751" s="20">
        <v>766</v>
      </c>
      <c r="B751" s="2" t="s">
        <v>234</v>
      </c>
      <c r="C751" s="2">
        <v>2022</v>
      </c>
      <c r="D751" s="2" t="s">
        <v>205</v>
      </c>
      <c r="E751" s="10" t="s">
        <v>799</v>
      </c>
      <c r="F751" s="20" t="s">
        <v>63</v>
      </c>
      <c r="G751" s="2" t="s">
        <v>63</v>
      </c>
      <c r="H751" s="2" t="str">
        <f>'PFAS Properties'!$B$45</f>
        <v>PFHpS</v>
      </c>
      <c r="I751" s="2" t="str">
        <f>'PFAS Properties'!$C$45</f>
        <v>PFSA</v>
      </c>
      <c r="J751" s="2" t="str">
        <f>'PFAS Properties'!$D$45</f>
        <v>C7HF15O3S</v>
      </c>
      <c r="K751" s="25">
        <f>'PFAS Properties'!$P$45</f>
        <v>449.94059999999996</v>
      </c>
      <c r="L751" s="2">
        <f>'PFAS Properties'!$X$45</f>
        <v>0.1</v>
      </c>
      <c r="M751" s="2" t="str">
        <f>'PFAS Properties'!$Y$45</f>
        <v>-</v>
      </c>
      <c r="N751" s="33">
        <v>0</v>
      </c>
      <c r="O751" s="33">
        <v>0</v>
      </c>
      <c r="P751" s="33">
        <v>0</v>
      </c>
      <c r="Q751" s="33">
        <f t="shared" si="318"/>
        <v>0.99999998797735579</v>
      </c>
      <c r="R751" s="33">
        <v>0</v>
      </c>
      <c r="S751" s="33">
        <f t="shared" si="319"/>
        <v>1.2022644201630123E-8</v>
      </c>
      <c r="T751" s="8">
        <f t="shared" si="332"/>
        <v>1</v>
      </c>
      <c r="U751" s="33">
        <f t="shared" si="320"/>
        <v>0</v>
      </c>
      <c r="V751" s="33">
        <f t="shared" si="321"/>
        <v>-0.99999998797735579</v>
      </c>
      <c r="W751" s="33">
        <f t="shared" si="322"/>
        <v>448.94060001202263</v>
      </c>
      <c r="X751" s="33">
        <v>96485</v>
      </c>
      <c r="Y751" s="16">
        <f t="shared" si="323"/>
        <v>-214.91707107223385</v>
      </c>
      <c r="Z751" s="16">
        <v>7</v>
      </c>
      <c r="AA751" s="16">
        <v>15</v>
      </c>
      <c r="AB751" s="8">
        <f t="shared" si="324"/>
        <v>0.29473684210526313</v>
      </c>
      <c r="AC751" s="16">
        <f t="shared" si="316"/>
        <v>63.34169443699902</v>
      </c>
      <c r="AD751" s="20">
        <f>'PFAS Properties'!$W$45</f>
        <v>7</v>
      </c>
      <c r="AE751" s="8">
        <f>'PFAS Properties'!$S$45</f>
        <v>2.9063350418050908</v>
      </c>
      <c r="AF751" s="15">
        <f>'PFAS Properties'!$V$45</f>
        <v>4.3</v>
      </c>
      <c r="AG751" s="24">
        <v>8.02</v>
      </c>
      <c r="AH751" s="2" t="s">
        <v>661</v>
      </c>
      <c r="AI751" s="2" t="s">
        <v>661</v>
      </c>
      <c r="AJ751" s="2" t="s">
        <v>661</v>
      </c>
      <c r="AK751" s="2" t="s">
        <v>661</v>
      </c>
      <c r="AL751" s="2" t="s">
        <v>661</v>
      </c>
      <c r="AM751" s="2" t="s">
        <v>661</v>
      </c>
      <c r="AN751" s="2" t="s">
        <v>661</v>
      </c>
      <c r="AO751" s="2" t="s">
        <v>661</v>
      </c>
      <c r="AP751" s="72">
        <v>11.934691666666669</v>
      </c>
      <c r="AQ751" s="70" t="s">
        <v>752</v>
      </c>
      <c r="AR751" s="16">
        <v>6.34</v>
      </c>
      <c r="AS751" s="16">
        <v>85.56</v>
      </c>
      <c r="AT751" s="16">
        <v>8.08</v>
      </c>
      <c r="AU751" s="2" t="s">
        <v>661</v>
      </c>
      <c r="AV751" s="16">
        <f t="shared" si="336"/>
        <v>99.98</v>
      </c>
      <c r="AW751" s="20">
        <v>0.37</v>
      </c>
      <c r="AX751" s="8">
        <v>3.7000000000000002E-3</v>
      </c>
      <c r="AY751" s="13" t="s">
        <v>392</v>
      </c>
      <c r="AZ751" s="16">
        <f>1/0.02</f>
        <v>50</v>
      </c>
      <c r="BA751" s="16" t="s">
        <v>55</v>
      </c>
      <c r="BB751" s="16">
        <v>10</v>
      </c>
      <c r="BC751" s="16" t="s">
        <v>55</v>
      </c>
      <c r="BD751" s="18">
        <f>BO751</f>
        <v>1.8058753075728713</v>
      </c>
      <c r="BE751" s="15">
        <f t="shared" si="317"/>
        <v>488.07440745212733</v>
      </c>
      <c r="BF751" s="15">
        <f t="shared" si="325"/>
        <v>2.6884860356964357</v>
      </c>
      <c r="BG751" s="8">
        <f t="shared" si="333"/>
        <v>0.25668775976343078</v>
      </c>
      <c r="BH751" s="13" t="s">
        <v>782</v>
      </c>
      <c r="BI751" s="13">
        <v>2.35</v>
      </c>
      <c r="BJ751" s="13" t="s">
        <v>366</v>
      </c>
      <c r="BK751" s="15">
        <v>0.94</v>
      </c>
      <c r="BL751" s="8">
        <f>BI751</f>
        <v>2.35</v>
      </c>
      <c r="BM751" s="18">
        <f>'PFAS Properties'!$U$45</f>
        <v>80.600000000000009</v>
      </c>
      <c r="BN751" s="8">
        <f>(BL751*(BM751^BK751))</f>
        <v>145.55354979037344</v>
      </c>
      <c r="BO751" s="24">
        <f>BN751/BM751</f>
        <v>1.8058753075728713</v>
      </c>
    </row>
    <row r="752" spans="1:67" s="14" customFormat="1" x14ac:dyDescent="0.3">
      <c r="A752" s="20">
        <v>767</v>
      </c>
      <c r="B752" s="2" t="s">
        <v>181</v>
      </c>
      <c r="C752" s="2">
        <v>2020</v>
      </c>
      <c r="D752" s="2" t="s">
        <v>203</v>
      </c>
      <c r="E752" s="10" t="s">
        <v>787</v>
      </c>
      <c r="F752" s="20" t="s">
        <v>29</v>
      </c>
      <c r="G752" s="2" t="s">
        <v>62</v>
      </c>
      <c r="H752" s="2" t="str">
        <f>'PFAS Properties'!$B$45</f>
        <v>PFHpS</v>
      </c>
      <c r="I752" s="2" t="str">
        <f>'PFAS Properties'!$C$45</f>
        <v>PFSA</v>
      </c>
      <c r="J752" s="2" t="str">
        <f>'PFAS Properties'!$D$45</f>
        <v>C7HF15O3S</v>
      </c>
      <c r="K752" s="25">
        <f>'PFAS Properties'!$P$45</f>
        <v>449.94059999999996</v>
      </c>
      <c r="L752" s="2">
        <f>'PFAS Properties'!$X$45</f>
        <v>0.1</v>
      </c>
      <c r="M752" s="2" t="str">
        <f>'PFAS Properties'!$Y$45</f>
        <v>-</v>
      </c>
      <c r="N752" s="33">
        <v>0</v>
      </c>
      <c r="O752" s="33">
        <v>0</v>
      </c>
      <c r="P752" s="33">
        <v>0</v>
      </c>
      <c r="Q752" s="33">
        <f t="shared" si="318"/>
        <v>0.9999999601892845</v>
      </c>
      <c r="R752" s="33">
        <v>0</v>
      </c>
      <c r="S752" s="33">
        <f t="shared" si="319"/>
        <v>3.9810715470456442E-8</v>
      </c>
      <c r="T752" s="8">
        <f t="shared" si="332"/>
        <v>1</v>
      </c>
      <c r="U752" s="33">
        <f t="shared" si="320"/>
        <v>0</v>
      </c>
      <c r="V752" s="33">
        <f t="shared" si="321"/>
        <v>-0.9999999601892845</v>
      </c>
      <c r="W752" s="33">
        <f t="shared" si="322"/>
        <v>448.9406000398107</v>
      </c>
      <c r="X752" s="33">
        <v>96485</v>
      </c>
      <c r="Y752" s="16">
        <f t="shared" si="323"/>
        <v>-214.91706508680016</v>
      </c>
      <c r="Z752" s="16">
        <v>7</v>
      </c>
      <c r="AA752" s="16">
        <v>15</v>
      </c>
      <c r="AB752" s="8">
        <f t="shared" si="324"/>
        <v>0.29473684210526313</v>
      </c>
      <c r="AC752" s="16">
        <f t="shared" si="316"/>
        <v>63.34169443699902</v>
      </c>
      <c r="AD752" s="20">
        <f>'PFAS Properties'!$W$45</f>
        <v>7</v>
      </c>
      <c r="AE752" s="8">
        <f>'PFAS Properties'!$S$45</f>
        <v>2.9063350418050908</v>
      </c>
      <c r="AF752" s="15">
        <f>'PFAS Properties'!$V$45</f>
        <v>4.3</v>
      </c>
      <c r="AG752" s="24">
        <v>7.5</v>
      </c>
      <c r="AH752" s="2" t="s">
        <v>183</v>
      </c>
      <c r="AI752" s="2" t="s">
        <v>661</v>
      </c>
      <c r="AJ752" s="2" t="s">
        <v>661</v>
      </c>
      <c r="AK752" s="2" t="s">
        <v>661</v>
      </c>
      <c r="AL752" s="2" t="s">
        <v>661</v>
      </c>
      <c r="AM752" s="2" t="s">
        <v>661</v>
      </c>
      <c r="AN752" s="2" t="s">
        <v>661</v>
      </c>
      <c r="AO752" s="2" t="s">
        <v>661</v>
      </c>
      <c r="AP752" s="15">
        <v>41.4</v>
      </c>
      <c r="AQ752" s="2" t="s">
        <v>661</v>
      </c>
      <c r="AR752" s="16">
        <v>16.899999999999999</v>
      </c>
      <c r="AS752" s="16">
        <v>17.5</v>
      </c>
      <c r="AT752" s="16">
        <v>65.599999999999994</v>
      </c>
      <c r="AU752" s="2" t="s">
        <v>661</v>
      </c>
      <c r="AV752" s="16">
        <f t="shared" si="336"/>
        <v>100</v>
      </c>
      <c r="AW752" s="20">
        <v>0.7</v>
      </c>
      <c r="AX752" s="8">
        <v>6.9999999999999993E-3</v>
      </c>
      <c r="AY752" s="13" t="s">
        <v>184</v>
      </c>
      <c r="AZ752" s="16">
        <v>100</v>
      </c>
      <c r="BA752" s="16" t="s">
        <v>55</v>
      </c>
      <c r="BB752" s="16">
        <v>5</v>
      </c>
      <c r="BC752" s="16" t="s">
        <v>55</v>
      </c>
      <c r="BD752" s="18">
        <v>2.02</v>
      </c>
      <c r="BE752" s="15">
        <f t="shared" si="317"/>
        <v>288.57142857142861</v>
      </c>
      <c r="BF752" s="15">
        <f t="shared" si="325"/>
        <v>2.460253329432367</v>
      </c>
      <c r="BG752" s="8">
        <f t="shared" si="333"/>
        <v>0.30535136944662378</v>
      </c>
      <c r="BH752" s="13" t="s">
        <v>345</v>
      </c>
      <c r="BI752" s="13"/>
      <c r="BJ752" s="13"/>
      <c r="BK752" s="13"/>
      <c r="BL752" s="13"/>
      <c r="BM752" s="17"/>
      <c r="BN752" s="17"/>
      <c r="BO752" s="2"/>
    </row>
    <row r="753" spans="1:67" s="14" customFormat="1" x14ac:dyDescent="0.3">
      <c r="A753" s="20">
        <v>768</v>
      </c>
      <c r="B753" s="2" t="s">
        <v>181</v>
      </c>
      <c r="C753" s="2">
        <v>2020</v>
      </c>
      <c r="D753" s="2" t="s">
        <v>203</v>
      </c>
      <c r="E753" s="10" t="s">
        <v>787</v>
      </c>
      <c r="F753" s="20" t="s">
        <v>29</v>
      </c>
      <c r="G753" s="2" t="s">
        <v>57</v>
      </c>
      <c r="H753" s="2" t="str">
        <f>'PFAS Properties'!$B$45</f>
        <v>PFHpS</v>
      </c>
      <c r="I753" s="2" t="str">
        <f>'PFAS Properties'!$C$45</f>
        <v>PFSA</v>
      </c>
      <c r="J753" s="2" t="str">
        <f>'PFAS Properties'!$D$45</f>
        <v>C7HF15O3S</v>
      </c>
      <c r="K753" s="25">
        <f>'PFAS Properties'!$P$45</f>
        <v>449.94059999999996</v>
      </c>
      <c r="L753" s="2">
        <f>'PFAS Properties'!$X$45</f>
        <v>0.1</v>
      </c>
      <c r="M753" s="2" t="str">
        <f>'PFAS Properties'!$Y$45</f>
        <v>-</v>
      </c>
      <c r="N753" s="33">
        <v>0</v>
      </c>
      <c r="O753" s="33">
        <v>0</v>
      </c>
      <c r="P753" s="33">
        <v>0</v>
      </c>
      <c r="Q753" s="33">
        <f t="shared" si="318"/>
        <v>0.99999980047380832</v>
      </c>
      <c r="R753" s="33">
        <v>0</v>
      </c>
      <c r="S753" s="33">
        <f t="shared" si="319"/>
        <v>1.9952619168617852E-7</v>
      </c>
      <c r="T753" s="8">
        <f t="shared" si="332"/>
        <v>1</v>
      </c>
      <c r="U753" s="33">
        <f t="shared" si="320"/>
        <v>0</v>
      </c>
      <c r="V753" s="33">
        <f t="shared" si="321"/>
        <v>-0.99999980047380832</v>
      </c>
      <c r="W753" s="33">
        <f t="shared" si="322"/>
        <v>448.94060019952616</v>
      </c>
      <c r="X753" s="33">
        <v>96485</v>
      </c>
      <c r="Y753" s="16">
        <f t="shared" si="323"/>
        <v>-214.91703068475834</v>
      </c>
      <c r="Z753" s="16">
        <v>7</v>
      </c>
      <c r="AA753" s="16">
        <v>15</v>
      </c>
      <c r="AB753" s="8">
        <f t="shared" si="324"/>
        <v>0.29473684210526313</v>
      </c>
      <c r="AC753" s="16">
        <f t="shared" si="316"/>
        <v>63.34169443699902</v>
      </c>
      <c r="AD753" s="20">
        <f>'PFAS Properties'!$W$45</f>
        <v>7</v>
      </c>
      <c r="AE753" s="8">
        <f>'PFAS Properties'!$S$45</f>
        <v>2.9063350418050908</v>
      </c>
      <c r="AF753" s="15">
        <f>'PFAS Properties'!$V$45</f>
        <v>4.3</v>
      </c>
      <c r="AG753" s="24">
        <v>6.8</v>
      </c>
      <c r="AH753" s="2" t="s">
        <v>183</v>
      </c>
      <c r="AI753" s="2" t="s">
        <v>661</v>
      </c>
      <c r="AJ753" s="2" t="s">
        <v>661</v>
      </c>
      <c r="AK753" s="2" t="s">
        <v>661</v>
      </c>
      <c r="AL753" s="2" t="s">
        <v>661</v>
      </c>
      <c r="AM753" s="2" t="s">
        <v>661</v>
      </c>
      <c r="AN753" s="2" t="s">
        <v>661</v>
      </c>
      <c r="AO753" s="2" t="s">
        <v>661</v>
      </c>
      <c r="AP753" s="15">
        <v>7.1</v>
      </c>
      <c r="AQ753" s="2" t="s">
        <v>661</v>
      </c>
      <c r="AR753" s="16">
        <v>48.9</v>
      </c>
      <c r="AS753" s="16">
        <v>27</v>
      </c>
      <c r="AT753" s="16">
        <v>24.2</v>
      </c>
      <c r="AU753" s="2" t="s">
        <v>661</v>
      </c>
      <c r="AV753" s="16">
        <f t="shared" si="336"/>
        <v>100.10000000000001</v>
      </c>
      <c r="AW753" s="20">
        <v>0.37</v>
      </c>
      <c r="AX753" s="8">
        <v>3.7000000000000002E-3</v>
      </c>
      <c r="AY753" s="13" t="s">
        <v>184</v>
      </c>
      <c r="AZ753" s="16">
        <v>100</v>
      </c>
      <c r="BA753" s="16" t="s">
        <v>55</v>
      </c>
      <c r="BB753" s="16">
        <v>5</v>
      </c>
      <c r="BC753" s="16" t="s">
        <v>55</v>
      </c>
      <c r="BD753" s="20">
        <v>1.89</v>
      </c>
      <c r="BE753" s="15">
        <f t="shared" si="317"/>
        <v>510.81081081081078</v>
      </c>
      <c r="BF753" s="15">
        <f t="shared" si="325"/>
        <v>2.7082600801062493</v>
      </c>
      <c r="BG753" s="8">
        <f t="shared" si="333"/>
        <v>0.27646180417324412</v>
      </c>
      <c r="BH753" s="13" t="s">
        <v>345</v>
      </c>
      <c r="BI753" s="13"/>
      <c r="BJ753" s="13"/>
      <c r="BK753" s="13"/>
      <c r="BL753" s="13"/>
      <c r="BM753" s="17"/>
      <c r="BN753" s="17"/>
      <c r="BO753" s="2"/>
    </row>
    <row r="754" spans="1:67" s="14" customFormat="1" x14ac:dyDescent="0.3">
      <c r="A754" s="20">
        <v>769</v>
      </c>
      <c r="B754" s="2" t="s">
        <v>181</v>
      </c>
      <c r="C754" s="2">
        <v>2020</v>
      </c>
      <c r="D754" s="2" t="s">
        <v>203</v>
      </c>
      <c r="E754" s="10" t="s">
        <v>787</v>
      </c>
      <c r="F754" s="20" t="s">
        <v>29</v>
      </c>
      <c r="G754" s="2" t="s">
        <v>58</v>
      </c>
      <c r="H754" s="2" t="str">
        <f>'PFAS Properties'!$B$45</f>
        <v>PFHpS</v>
      </c>
      <c r="I754" s="2" t="str">
        <f>'PFAS Properties'!$C$45</f>
        <v>PFSA</v>
      </c>
      <c r="J754" s="2" t="str">
        <f>'PFAS Properties'!$D$45</f>
        <v>C7HF15O3S</v>
      </c>
      <c r="K754" s="25">
        <f>'PFAS Properties'!$P$45</f>
        <v>449.94059999999996</v>
      </c>
      <c r="L754" s="2">
        <f>'PFAS Properties'!$X$45</f>
        <v>0.1</v>
      </c>
      <c r="M754" s="2" t="str">
        <f>'PFAS Properties'!$Y$45</f>
        <v>-</v>
      </c>
      <c r="N754" s="33">
        <v>0</v>
      </c>
      <c r="O754" s="33">
        <v>0</v>
      </c>
      <c r="P754" s="33">
        <v>0</v>
      </c>
      <c r="Q754" s="33">
        <f t="shared" si="318"/>
        <v>0.9999992056723962</v>
      </c>
      <c r="R754" s="33">
        <v>0</v>
      </c>
      <c r="S754" s="33">
        <f t="shared" si="319"/>
        <v>7.9432760376743655E-7</v>
      </c>
      <c r="T754" s="8">
        <f t="shared" si="332"/>
        <v>1</v>
      </c>
      <c r="U754" s="33">
        <f t="shared" si="320"/>
        <v>0</v>
      </c>
      <c r="V754" s="33">
        <f t="shared" si="321"/>
        <v>-0.9999992056723962</v>
      </c>
      <c r="W754" s="33">
        <f t="shared" si="322"/>
        <v>448.94060079432751</v>
      </c>
      <c r="X754" s="33">
        <v>96485</v>
      </c>
      <c r="Y754" s="16">
        <f t="shared" si="323"/>
        <v>-214.91690256703615</v>
      </c>
      <c r="Z754" s="16">
        <v>7</v>
      </c>
      <c r="AA754" s="16">
        <v>15</v>
      </c>
      <c r="AB754" s="8">
        <f t="shared" si="324"/>
        <v>0.29473684210526313</v>
      </c>
      <c r="AC754" s="16">
        <f t="shared" ref="AC754:AC815" si="337">((AA754*19)/K754)*100</f>
        <v>63.34169443699902</v>
      </c>
      <c r="AD754" s="20">
        <f>'PFAS Properties'!$W$45</f>
        <v>7</v>
      </c>
      <c r="AE754" s="8">
        <f>'PFAS Properties'!$S$45</f>
        <v>2.9063350418050908</v>
      </c>
      <c r="AF754" s="15">
        <f>'PFAS Properties'!$V$45</f>
        <v>4.3</v>
      </c>
      <c r="AG754" s="24">
        <v>6.2</v>
      </c>
      <c r="AH754" s="2" t="s">
        <v>183</v>
      </c>
      <c r="AI754" s="2" t="s">
        <v>661</v>
      </c>
      <c r="AJ754" s="2" t="s">
        <v>661</v>
      </c>
      <c r="AK754" s="2" t="s">
        <v>661</v>
      </c>
      <c r="AL754" s="2" t="s">
        <v>661</v>
      </c>
      <c r="AM754" s="2" t="s">
        <v>661</v>
      </c>
      <c r="AN754" s="2" t="s">
        <v>661</v>
      </c>
      <c r="AO754" s="2" t="s">
        <v>661</v>
      </c>
      <c r="AP754" s="15">
        <v>8</v>
      </c>
      <c r="AQ754" s="2" t="s">
        <v>661</v>
      </c>
      <c r="AR754" s="16">
        <v>51.44</v>
      </c>
      <c r="AS754" s="16">
        <v>10.17</v>
      </c>
      <c r="AT754" s="16">
        <v>38.380000000000003</v>
      </c>
      <c r="AU754" s="2" t="s">
        <v>661</v>
      </c>
      <c r="AV754" s="16">
        <f t="shared" si="336"/>
        <v>99.990000000000009</v>
      </c>
      <c r="AW754" s="20">
        <v>0.08</v>
      </c>
      <c r="AX754" s="8">
        <v>8.0000000000000004E-4</v>
      </c>
      <c r="AY754" s="8" t="s">
        <v>184</v>
      </c>
      <c r="AZ754" s="16">
        <v>100</v>
      </c>
      <c r="BA754" s="16" t="s">
        <v>55</v>
      </c>
      <c r="BB754" s="16">
        <v>5</v>
      </c>
      <c r="BC754" s="16" t="s">
        <v>55</v>
      </c>
      <c r="BD754" s="20">
        <v>0.84</v>
      </c>
      <c r="BE754" s="15">
        <f t="shared" ref="BE754:BE815" si="338">BD754/AX754</f>
        <v>1050</v>
      </c>
      <c r="BF754" s="15">
        <f t="shared" si="325"/>
        <v>3.0211892990699383</v>
      </c>
      <c r="BG754" s="8">
        <f t="shared" si="333"/>
        <v>-7.5720713938118356E-2</v>
      </c>
      <c r="BH754" s="13" t="s">
        <v>345</v>
      </c>
      <c r="BI754" s="13"/>
      <c r="BJ754" s="13"/>
      <c r="BK754" s="13"/>
      <c r="BL754" s="13"/>
      <c r="BM754" s="17"/>
      <c r="BN754" s="17"/>
      <c r="BO754" s="2"/>
    </row>
    <row r="755" spans="1:67" s="14" customFormat="1" x14ac:dyDescent="0.3">
      <c r="A755" s="20">
        <v>770</v>
      </c>
      <c r="B755" s="2" t="s">
        <v>181</v>
      </c>
      <c r="C755" s="2">
        <v>2020</v>
      </c>
      <c r="D755" s="2" t="s">
        <v>203</v>
      </c>
      <c r="E755" s="10" t="s">
        <v>787</v>
      </c>
      <c r="F755" s="20" t="s">
        <v>29</v>
      </c>
      <c r="G755" s="2" t="s">
        <v>59</v>
      </c>
      <c r="H755" s="2" t="str">
        <f>'PFAS Properties'!$B$45</f>
        <v>PFHpS</v>
      </c>
      <c r="I755" s="2" t="str">
        <f>'PFAS Properties'!$C$45</f>
        <v>PFSA</v>
      </c>
      <c r="J755" s="2" t="str">
        <f>'PFAS Properties'!$D$45</f>
        <v>C7HF15O3S</v>
      </c>
      <c r="K755" s="25">
        <f>'PFAS Properties'!$P$45</f>
        <v>449.94059999999996</v>
      </c>
      <c r="L755" s="2">
        <f>'PFAS Properties'!$X$45</f>
        <v>0.1</v>
      </c>
      <c r="M755" s="2" t="str">
        <f>'PFAS Properties'!$Y$45</f>
        <v>-</v>
      </c>
      <c r="N755" s="33">
        <v>0</v>
      </c>
      <c r="O755" s="33">
        <v>0</v>
      </c>
      <c r="P755" s="33">
        <v>0</v>
      </c>
      <c r="Q755" s="33">
        <f t="shared" si="318"/>
        <v>0.99999997488113634</v>
      </c>
      <c r="R755" s="33">
        <v>0</v>
      </c>
      <c r="S755" s="33">
        <f t="shared" si="319"/>
        <v>2.5118863684138424E-8</v>
      </c>
      <c r="T755" s="8">
        <f t="shared" si="332"/>
        <v>1</v>
      </c>
      <c r="U755" s="33">
        <f t="shared" si="320"/>
        <v>0</v>
      </c>
      <c r="V755" s="33">
        <f t="shared" si="321"/>
        <v>-0.99999997488113634</v>
      </c>
      <c r="W755" s="33">
        <f t="shared" si="322"/>
        <v>448.94060002511884</v>
      </c>
      <c r="X755" s="33">
        <v>96485</v>
      </c>
      <c r="Y755" s="16">
        <f t="shared" si="323"/>
        <v>-214.91706825136325</v>
      </c>
      <c r="Z755" s="16">
        <v>7</v>
      </c>
      <c r="AA755" s="16">
        <v>15</v>
      </c>
      <c r="AB755" s="8">
        <f t="shared" si="324"/>
        <v>0.29473684210526313</v>
      </c>
      <c r="AC755" s="16">
        <f t="shared" si="337"/>
        <v>63.34169443699902</v>
      </c>
      <c r="AD755" s="20">
        <f>'PFAS Properties'!$W$45</f>
        <v>7</v>
      </c>
      <c r="AE755" s="8">
        <f>'PFAS Properties'!$S$45</f>
        <v>2.9063350418050908</v>
      </c>
      <c r="AF755" s="15">
        <f>'PFAS Properties'!$V$45</f>
        <v>4.3</v>
      </c>
      <c r="AG755" s="24">
        <v>7.7</v>
      </c>
      <c r="AH755" s="2" t="s">
        <v>183</v>
      </c>
      <c r="AI755" s="2" t="s">
        <v>661</v>
      </c>
      <c r="AJ755" s="2" t="s">
        <v>661</v>
      </c>
      <c r="AK755" s="2" t="s">
        <v>661</v>
      </c>
      <c r="AL755" s="2" t="s">
        <v>661</v>
      </c>
      <c r="AM755" s="2" t="s">
        <v>661</v>
      </c>
      <c r="AN755" s="2" t="s">
        <v>661</v>
      </c>
      <c r="AO755" s="2" t="s">
        <v>661</v>
      </c>
      <c r="AP755" s="15">
        <v>4.8</v>
      </c>
      <c r="AQ755" s="2" t="s">
        <v>661</v>
      </c>
      <c r="AR755" s="16">
        <v>46</v>
      </c>
      <c r="AS755" s="16">
        <v>37</v>
      </c>
      <c r="AT755" s="16">
        <v>17</v>
      </c>
      <c r="AU755" s="2" t="s">
        <v>661</v>
      </c>
      <c r="AV755" s="16">
        <f t="shared" si="336"/>
        <v>100</v>
      </c>
      <c r="AW755" s="20">
        <v>0.25</v>
      </c>
      <c r="AX755" s="8">
        <v>2.5000000000000001E-3</v>
      </c>
      <c r="AY755" s="13" t="s">
        <v>184</v>
      </c>
      <c r="AZ755" s="16">
        <v>100</v>
      </c>
      <c r="BA755" s="16" t="s">
        <v>55</v>
      </c>
      <c r="BB755" s="16">
        <v>5</v>
      </c>
      <c r="BC755" s="16" t="s">
        <v>55</v>
      </c>
      <c r="BD755" s="18">
        <v>1.53</v>
      </c>
      <c r="BE755" s="15">
        <f t="shared" si="338"/>
        <v>612</v>
      </c>
      <c r="BF755" s="15">
        <f t="shared" si="325"/>
        <v>2.7867514221455614</v>
      </c>
      <c r="BG755" s="8">
        <f t="shared" si="333"/>
        <v>0.18469143081759881</v>
      </c>
      <c r="BH755" s="13" t="s">
        <v>345</v>
      </c>
      <c r="BI755" s="13"/>
      <c r="BJ755" s="13"/>
      <c r="BK755" s="13"/>
      <c r="BL755" s="13"/>
      <c r="BM755" s="17"/>
      <c r="BN755" s="17"/>
      <c r="BO755" s="2"/>
    </row>
    <row r="756" spans="1:67" s="14" customFormat="1" x14ac:dyDescent="0.3">
      <c r="A756" s="20">
        <v>772</v>
      </c>
      <c r="B756" s="2" t="s">
        <v>181</v>
      </c>
      <c r="C756" s="2">
        <v>2020</v>
      </c>
      <c r="D756" s="2" t="s">
        <v>203</v>
      </c>
      <c r="E756" s="10" t="s">
        <v>787</v>
      </c>
      <c r="F756" s="20" t="s">
        <v>29</v>
      </c>
      <c r="G756" s="2" t="s">
        <v>60</v>
      </c>
      <c r="H756" s="2" t="str">
        <f>'PFAS Properties'!$B$45</f>
        <v>PFHpS</v>
      </c>
      <c r="I756" s="2" t="str">
        <f>'PFAS Properties'!$C$45</f>
        <v>PFSA</v>
      </c>
      <c r="J756" s="2" t="str">
        <f>'PFAS Properties'!$D$45</f>
        <v>C7HF15O3S</v>
      </c>
      <c r="K756" s="25">
        <f>'PFAS Properties'!$P$45</f>
        <v>449.94059999999996</v>
      </c>
      <c r="L756" s="2">
        <f>'PFAS Properties'!$X$45</f>
        <v>0.1</v>
      </c>
      <c r="M756" s="2" t="str">
        <f>'PFAS Properties'!$Y$45</f>
        <v>-</v>
      </c>
      <c r="N756" s="33">
        <v>0</v>
      </c>
      <c r="O756" s="33">
        <v>0</v>
      </c>
      <c r="P756" s="33">
        <v>0</v>
      </c>
      <c r="Q756" s="33">
        <f t="shared" si="318"/>
        <v>0.99999997488113634</v>
      </c>
      <c r="R756" s="33">
        <v>0</v>
      </c>
      <c r="S756" s="33">
        <f t="shared" si="319"/>
        <v>2.5118863684138424E-8</v>
      </c>
      <c r="T756" s="8">
        <f t="shared" si="332"/>
        <v>1</v>
      </c>
      <c r="U756" s="33">
        <f t="shared" si="320"/>
        <v>0</v>
      </c>
      <c r="V756" s="33">
        <f t="shared" si="321"/>
        <v>-0.99999997488113634</v>
      </c>
      <c r="W756" s="33">
        <f t="shared" si="322"/>
        <v>448.94060002511884</v>
      </c>
      <c r="X756" s="33">
        <v>96485</v>
      </c>
      <c r="Y756" s="16">
        <f t="shared" si="323"/>
        <v>-214.91706825136325</v>
      </c>
      <c r="Z756" s="16">
        <v>7</v>
      </c>
      <c r="AA756" s="16">
        <v>15</v>
      </c>
      <c r="AB756" s="8">
        <f t="shared" si="324"/>
        <v>0.29473684210526313</v>
      </c>
      <c r="AC756" s="16">
        <f t="shared" si="337"/>
        <v>63.34169443699902</v>
      </c>
      <c r="AD756" s="20">
        <f>'PFAS Properties'!$W$45</f>
        <v>7</v>
      </c>
      <c r="AE756" s="8">
        <f>'PFAS Properties'!$S$45</f>
        <v>2.9063350418050908</v>
      </c>
      <c r="AF756" s="15">
        <f>'PFAS Properties'!$V$45</f>
        <v>4.3</v>
      </c>
      <c r="AG756" s="24">
        <v>7.7</v>
      </c>
      <c r="AH756" s="2" t="s">
        <v>183</v>
      </c>
      <c r="AI756" s="2" t="s">
        <v>661</v>
      </c>
      <c r="AJ756" s="2" t="s">
        <v>661</v>
      </c>
      <c r="AK756" s="2" t="s">
        <v>661</v>
      </c>
      <c r="AL756" s="2" t="s">
        <v>661</v>
      </c>
      <c r="AM756" s="2" t="s">
        <v>661</v>
      </c>
      <c r="AN756" s="2" t="s">
        <v>661</v>
      </c>
      <c r="AO756" s="2" t="s">
        <v>661</v>
      </c>
      <c r="AP756" s="15">
        <v>21.63</v>
      </c>
      <c r="AQ756" s="2" t="s">
        <v>661</v>
      </c>
      <c r="AR756" s="16">
        <v>70</v>
      </c>
      <c r="AS756" s="16">
        <v>11</v>
      </c>
      <c r="AT756" s="16">
        <v>19</v>
      </c>
      <c r="AU756" s="2" t="s">
        <v>661</v>
      </c>
      <c r="AV756" s="16">
        <f t="shared" si="336"/>
        <v>100</v>
      </c>
      <c r="AW756" s="20">
        <v>4.9000000000000004</v>
      </c>
      <c r="AX756" s="8">
        <v>4.9000000000000002E-2</v>
      </c>
      <c r="AY756" s="8" t="s">
        <v>184</v>
      </c>
      <c r="AZ756" s="16">
        <v>100</v>
      </c>
      <c r="BA756" s="16" t="s">
        <v>55</v>
      </c>
      <c r="BB756" s="16">
        <v>5</v>
      </c>
      <c r="BC756" s="16" t="s">
        <v>55</v>
      </c>
      <c r="BD756" s="20">
        <v>7.48</v>
      </c>
      <c r="BE756" s="15">
        <f t="shared" si="338"/>
        <v>152.65306122448979</v>
      </c>
      <c r="BF756" s="15">
        <f t="shared" si="325"/>
        <v>2.1837055178359477</v>
      </c>
      <c r="BG756" s="8">
        <f t="shared" si="333"/>
        <v>0.87390159786446142</v>
      </c>
      <c r="BH756" s="13" t="s">
        <v>345</v>
      </c>
      <c r="BI756" s="13"/>
      <c r="BJ756" s="13"/>
      <c r="BK756" s="13"/>
      <c r="BL756" s="13"/>
      <c r="BM756" s="17"/>
      <c r="BN756" s="17"/>
      <c r="BO756" s="2"/>
    </row>
    <row r="757" spans="1:67" s="14" customFormat="1" x14ac:dyDescent="0.3">
      <c r="A757" s="20">
        <v>773</v>
      </c>
      <c r="B757" s="2" t="s">
        <v>181</v>
      </c>
      <c r="C757" s="2">
        <v>2020</v>
      </c>
      <c r="D757" s="2" t="s">
        <v>203</v>
      </c>
      <c r="E757" s="10" t="s">
        <v>787</v>
      </c>
      <c r="F757" s="20" t="s">
        <v>29</v>
      </c>
      <c r="G757" s="2" t="s">
        <v>77</v>
      </c>
      <c r="H757" s="2" t="str">
        <f>'PFAS Properties'!$B$45</f>
        <v>PFHpS</v>
      </c>
      <c r="I757" s="2" t="str">
        <f>'PFAS Properties'!$C$45</f>
        <v>PFSA</v>
      </c>
      <c r="J757" s="2" t="str">
        <f>'PFAS Properties'!$D$45</f>
        <v>C7HF15O3S</v>
      </c>
      <c r="K757" s="25">
        <f>'PFAS Properties'!$P$45</f>
        <v>449.94059999999996</v>
      </c>
      <c r="L757" s="2">
        <f>'PFAS Properties'!$X$45</f>
        <v>0.1</v>
      </c>
      <c r="M757" s="2" t="str">
        <f>'PFAS Properties'!$Y$45</f>
        <v>-</v>
      </c>
      <c r="N757" s="33">
        <v>0</v>
      </c>
      <c r="O757" s="33">
        <v>0</v>
      </c>
      <c r="P757" s="33">
        <v>0</v>
      </c>
      <c r="Q757" s="33">
        <f t="shared" si="318"/>
        <v>0.99999997488113634</v>
      </c>
      <c r="R757" s="33">
        <v>0</v>
      </c>
      <c r="S757" s="33">
        <f t="shared" si="319"/>
        <v>2.5118863684138424E-8</v>
      </c>
      <c r="T757" s="8">
        <f t="shared" si="332"/>
        <v>1</v>
      </c>
      <c r="U757" s="33">
        <f t="shared" si="320"/>
        <v>0</v>
      </c>
      <c r="V757" s="33">
        <f t="shared" si="321"/>
        <v>-0.99999997488113634</v>
      </c>
      <c r="W757" s="33">
        <f t="shared" si="322"/>
        <v>448.94060002511884</v>
      </c>
      <c r="X757" s="33">
        <v>96485</v>
      </c>
      <c r="Y757" s="16">
        <f t="shared" si="323"/>
        <v>-214.91706825136325</v>
      </c>
      <c r="Z757" s="16">
        <v>7</v>
      </c>
      <c r="AA757" s="16">
        <v>15</v>
      </c>
      <c r="AB757" s="8">
        <f t="shared" si="324"/>
        <v>0.29473684210526313</v>
      </c>
      <c r="AC757" s="16">
        <f t="shared" si="337"/>
        <v>63.34169443699902</v>
      </c>
      <c r="AD757" s="20">
        <f>'PFAS Properties'!$W$45</f>
        <v>7</v>
      </c>
      <c r="AE757" s="8">
        <f>'PFAS Properties'!$S$45</f>
        <v>2.9063350418050908</v>
      </c>
      <c r="AF757" s="15">
        <f>'PFAS Properties'!$V$45</f>
        <v>4.3</v>
      </c>
      <c r="AG757" s="24">
        <v>7.7</v>
      </c>
      <c r="AH757" s="2" t="s">
        <v>183</v>
      </c>
      <c r="AI757" s="2" t="s">
        <v>661</v>
      </c>
      <c r="AJ757" s="2" t="s">
        <v>661</v>
      </c>
      <c r="AK757" s="2" t="s">
        <v>661</v>
      </c>
      <c r="AL757" s="2" t="s">
        <v>661</v>
      </c>
      <c r="AM757" s="2" t="s">
        <v>661</v>
      </c>
      <c r="AN757" s="2" t="s">
        <v>661</v>
      </c>
      <c r="AO757" s="2" t="s">
        <v>661</v>
      </c>
      <c r="AP757" s="15">
        <v>7.8</v>
      </c>
      <c r="AQ757" s="2" t="s">
        <v>661</v>
      </c>
      <c r="AR757" s="16">
        <v>48.9</v>
      </c>
      <c r="AS757" s="16">
        <v>32.6</v>
      </c>
      <c r="AT757" s="16">
        <v>18.5</v>
      </c>
      <c r="AU757" s="2" t="s">
        <v>661</v>
      </c>
      <c r="AV757" s="16">
        <f t="shared" si="336"/>
        <v>100</v>
      </c>
      <c r="AW757" s="20">
        <v>0.13</v>
      </c>
      <c r="AX757" s="8">
        <v>1.2999999999999999E-3</v>
      </c>
      <c r="AY757" s="8" t="s">
        <v>184</v>
      </c>
      <c r="AZ757" s="16">
        <v>100</v>
      </c>
      <c r="BA757" s="16" t="s">
        <v>55</v>
      </c>
      <c r="BB757" s="16">
        <v>5</v>
      </c>
      <c r="BC757" s="16" t="s">
        <v>55</v>
      </c>
      <c r="BD757" s="20">
        <v>1.1399999999999999</v>
      </c>
      <c r="BE757" s="15">
        <f t="shared" si="338"/>
        <v>876.92307692307691</v>
      </c>
      <c r="BF757" s="15">
        <f t="shared" si="325"/>
        <v>2.9429614990296358</v>
      </c>
      <c r="BG757" s="8">
        <f t="shared" si="333"/>
        <v>5.6904851336472557E-2</v>
      </c>
      <c r="BH757" s="13" t="s">
        <v>345</v>
      </c>
      <c r="BI757" s="13"/>
      <c r="BJ757" s="13"/>
      <c r="BK757" s="13"/>
      <c r="BL757" s="13"/>
      <c r="BM757" s="17"/>
      <c r="BN757" s="17"/>
      <c r="BO757" s="2"/>
    </row>
    <row r="758" spans="1:67" s="14" customFormat="1" x14ac:dyDescent="0.3">
      <c r="A758" s="20">
        <v>774</v>
      </c>
      <c r="B758" s="2" t="s">
        <v>181</v>
      </c>
      <c r="C758" s="2">
        <v>2020</v>
      </c>
      <c r="D758" s="2" t="s">
        <v>203</v>
      </c>
      <c r="E758" s="10" t="s">
        <v>787</v>
      </c>
      <c r="F758" s="20" t="s">
        <v>29</v>
      </c>
      <c r="G758" s="2" t="s">
        <v>182</v>
      </c>
      <c r="H758" s="2" t="str">
        <f>'PFAS Properties'!$B$45</f>
        <v>PFHpS</v>
      </c>
      <c r="I758" s="2" t="str">
        <f>'PFAS Properties'!$C$45</f>
        <v>PFSA</v>
      </c>
      <c r="J758" s="2" t="str">
        <f>'PFAS Properties'!$D$45</f>
        <v>C7HF15O3S</v>
      </c>
      <c r="K758" s="25">
        <f>'PFAS Properties'!$P$45</f>
        <v>449.94059999999996</v>
      </c>
      <c r="L758" s="2">
        <f>'PFAS Properties'!$X$45</f>
        <v>0.1</v>
      </c>
      <c r="M758" s="2" t="str">
        <f>'PFAS Properties'!$Y$45</f>
        <v>-</v>
      </c>
      <c r="N758" s="33">
        <v>0</v>
      </c>
      <c r="O758" s="33">
        <v>0</v>
      </c>
      <c r="P758" s="33">
        <v>0</v>
      </c>
      <c r="Q758" s="33">
        <f t="shared" si="318"/>
        <v>0.9999999601892845</v>
      </c>
      <c r="R758" s="33">
        <v>0</v>
      </c>
      <c r="S758" s="33">
        <f t="shared" si="319"/>
        <v>3.9810715470456442E-8</v>
      </c>
      <c r="T758" s="8">
        <f t="shared" si="332"/>
        <v>1</v>
      </c>
      <c r="U758" s="33">
        <f t="shared" si="320"/>
        <v>0</v>
      </c>
      <c r="V758" s="33">
        <f t="shared" si="321"/>
        <v>-0.9999999601892845</v>
      </c>
      <c r="W758" s="33">
        <f t="shared" si="322"/>
        <v>448.9406000398107</v>
      </c>
      <c r="X758" s="33">
        <v>96485</v>
      </c>
      <c r="Y758" s="16">
        <f t="shared" si="323"/>
        <v>-214.91706508680016</v>
      </c>
      <c r="Z758" s="16">
        <v>7</v>
      </c>
      <c r="AA758" s="16">
        <v>15</v>
      </c>
      <c r="AB758" s="8">
        <f t="shared" si="324"/>
        <v>0.29473684210526313</v>
      </c>
      <c r="AC758" s="16">
        <f t="shared" si="337"/>
        <v>63.34169443699902</v>
      </c>
      <c r="AD758" s="20">
        <f>'PFAS Properties'!$W$45</f>
        <v>7</v>
      </c>
      <c r="AE758" s="8">
        <f>'PFAS Properties'!$S$45</f>
        <v>2.9063350418050908</v>
      </c>
      <c r="AF758" s="15">
        <f>'PFAS Properties'!$V$45</f>
        <v>4.3</v>
      </c>
      <c r="AG758" s="24">
        <v>7.5</v>
      </c>
      <c r="AH758" s="2" t="s">
        <v>183</v>
      </c>
      <c r="AI758" s="2" t="s">
        <v>661</v>
      </c>
      <c r="AJ758" s="2" t="s">
        <v>661</v>
      </c>
      <c r="AK758" s="2" t="s">
        <v>661</v>
      </c>
      <c r="AL758" s="2" t="s">
        <v>661</v>
      </c>
      <c r="AM758" s="2" t="s">
        <v>661</v>
      </c>
      <c r="AN758" s="2" t="s">
        <v>661</v>
      </c>
      <c r="AO758" s="2" t="s">
        <v>661</v>
      </c>
      <c r="AP758" s="15">
        <v>2.2799999999999998</v>
      </c>
      <c r="AQ758" s="2" t="s">
        <v>661</v>
      </c>
      <c r="AR758" s="16">
        <v>93</v>
      </c>
      <c r="AS758" s="16">
        <v>1</v>
      </c>
      <c r="AT758" s="16">
        <v>5</v>
      </c>
      <c r="AU758" s="2" t="s">
        <v>661</v>
      </c>
      <c r="AV758" s="16">
        <f t="shared" si="336"/>
        <v>99</v>
      </c>
      <c r="AW758" s="20">
        <v>0.4</v>
      </c>
      <c r="AX758" s="8">
        <v>4.0000000000000001E-3</v>
      </c>
      <c r="AY758" s="8" t="s">
        <v>184</v>
      </c>
      <c r="AZ758" s="16">
        <v>100</v>
      </c>
      <c r="BA758" s="16" t="s">
        <v>55</v>
      </c>
      <c r="BB758" s="16">
        <v>5</v>
      </c>
      <c r="BC758" s="16" t="s">
        <v>55</v>
      </c>
      <c r="BD758" s="20">
        <v>0.95</v>
      </c>
      <c r="BE758" s="15">
        <f t="shared" si="338"/>
        <v>237.49999999999997</v>
      </c>
      <c r="BF758" s="15">
        <f t="shared" si="325"/>
        <v>2.3756636139608855</v>
      </c>
      <c r="BG758" s="8">
        <f t="shared" si="333"/>
        <v>-2.2276394711152253E-2</v>
      </c>
      <c r="BH758" s="13" t="s">
        <v>345</v>
      </c>
      <c r="BI758" s="13"/>
      <c r="BJ758" s="13"/>
      <c r="BK758" s="13"/>
      <c r="BL758" s="13"/>
      <c r="BM758" s="17"/>
      <c r="BN758" s="17"/>
      <c r="BO758" s="2"/>
    </row>
    <row r="759" spans="1:67" s="14" customFormat="1" x14ac:dyDescent="0.3">
      <c r="A759" s="20">
        <v>775</v>
      </c>
      <c r="B759" s="2" t="s">
        <v>181</v>
      </c>
      <c r="C759" s="2">
        <v>2020</v>
      </c>
      <c r="D759" s="2" t="s">
        <v>203</v>
      </c>
      <c r="E759" s="10" t="s">
        <v>787</v>
      </c>
      <c r="F759" s="20" t="s">
        <v>29</v>
      </c>
      <c r="G759" s="2" t="s">
        <v>78</v>
      </c>
      <c r="H759" s="2" t="str">
        <f>'PFAS Properties'!$B$45</f>
        <v>PFHpS</v>
      </c>
      <c r="I759" s="2" t="str">
        <f>'PFAS Properties'!$C$45</f>
        <v>PFSA</v>
      </c>
      <c r="J759" s="2" t="str">
        <f>'PFAS Properties'!$D$45</f>
        <v>C7HF15O3S</v>
      </c>
      <c r="K759" s="25">
        <f>'PFAS Properties'!$P$45</f>
        <v>449.94059999999996</v>
      </c>
      <c r="L759" s="2">
        <f>'PFAS Properties'!$X$45</f>
        <v>0.1</v>
      </c>
      <c r="M759" s="2" t="str">
        <f>'PFAS Properties'!$Y$45</f>
        <v>-</v>
      </c>
      <c r="N759" s="33">
        <v>0</v>
      </c>
      <c r="O759" s="33">
        <v>0</v>
      </c>
      <c r="P759" s="33">
        <v>0</v>
      </c>
      <c r="Q759" s="33">
        <f t="shared" si="318"/>
        <v>0.99999990000001004</v>
      </c>
      <c r="R759" s="33">
        <v>0</v>
      </c>
      <c r="S759" s="33">
        <f t="shared" si="319"/>
        <v>9.9999990000001005E-8</v>
      </c>
      <c r="T759" s="8">
        <f t="shared" si="332"/>
        <v>1</v>
      </c>
      <c r="U759" s="33">
        <f t="shared" si="320"/>
        <v>0</v>
      </c>
      <c r="V759" s="33">
        <f t="shared" si="321"/>
        <v>-0.99999990000001004</v>
      </c>
      <c r="W759" s="33">
        <f t="shared" si="322"/>
        <v>448.94060009999998</v>
      </c>
      <c r="X759" s="33">
        <v>96485</v>
      </c>
      <c r="Y759" s="16">
        <f t="shared" si="323"/>
        <v>-214.91705212228359</v>
      </c>
      <c r="Z759" s="16">
        <v>7</v>
      </c>
      <c r="AA759" s="16">
        <v>15</v>
      </c>
      <c r="AB759" s="8">
        <f t="shared" si="324"/>
        <v>0.29473684210526313</v>
      </c>
      <c r="AC759" s="16">
        <f t="shared" si="337"/>
        <v>63.34169443699902</v>
      </c>
      <c r="AD759" s="20">
        <f>'PFAS Properties'!$W$45</f>
        <v>7</v>
      </c>
      <c r="AE759" s="8">
        <f>'PFAS Properties'!$S$45</f>
        <v>2.9063350418050908</v>
      </c>
      <c r="AF759" s="15">
        <f>'PFAS Properties'!$V$45</f>
        <v>4.3</v>
      </c>
      <c r="AG759" s="24">
        <v>7.1</v>
      </c>
      <c r="AH759" s="2" t="s">
        <v>183</v>
      </c>
      <c r="AI759" s="2" t="s">
        <v>661</v>
      </c>
      <c r="AJ759" s="2" t="s">
        <v>661</v>
      </c>
      <c r="AK759" s="2" t="s">
        <v>661</v>
      </c>
      <c r="AL759" s="2" t="s">
        <v>661</v>
      </c>
      <c r="AM759" s="2" t="s">
        <v>661</v>
      </c>
      <c r="AN759" s="2" t="s">
        <v>661</v>
      </c>
      <c r="AO759" s="2" t="s">
        <v>661</v>
      </c>
      <c r="AP759" s="15">
        <v>17.420000000000002</v>
      </c>
      <c r="AQ759" s="2" t="s">
        <v>661</v>
      </c>
      <c r="AR759" s="16">
        <v>48.86</v>
      </c>
      <c r="AS759" s="16">
        <v>16.05</v>
      </c>
      <c r="AT759" s="16">
        <v>35.090000000000003</v>
      </c>
      <c r="AU759" s="2" t="s">
        <v>661</v>
      </c>
      <c r="AV759" s="16">
        <f t="shared" si="336"/>
        <v>100</v>
      </c>
      <c r="AW759" s="20">
        <v>1.19</v>
      </c>
      <c r="AX759" s="8">
        <v>1.1899999999999999E-2</v>
      </c>
      <c r="AY759" s="8" t="s">
        <v>184</v>
      </c>
      <c r="AZ759" s="16">
        <v>100</v>
      </c>
      <c r="BA759" s="16" t="s">
        <v>55</v>
      </c>
      <c r="BB759" s="16">
        <v>5</v>
      </c>
      <c r="BC759" s="16" t="s">
        <v>55</v>
      </c>
      <c r="BD759" s="20">
        <v>1.88</v>
      </c>
      <c r="BE759" s="15">
        <f t="shared" si="338"/>
        <v>157.98319327731093</v>
      </c>
      <c r="BF759" s="15">
        <f t="shared" si="325"/>
        <v>2.198610887871149</v>
      </c>
      <c r="BG759" s="8">
        <f t="shared" si="333"/>
        <v>0.27415784926367981</v>
      </c>
      <c r="BH759" s="13" t="s">
        <v>345</v>
      </c>
      <c r="BI759" s="13"/>
      <c r="BJ759" s="13"/>
      <c r="BK759" s="13"/>
      <c r="BL759" s="13"/>
      <c r="BM759" s="17"/>
      <c r="BN759" s="17"/>
      <c r="BO759" s="2"/>
    </row>
    <row r="760" spans="1:67" s="14" customFormat="1" x14ac:dyDescent="0.3">
      <c r="A760" s="20">
        <v>776</v>
      </c>
      <c r="B760" s="2" t="s">
        <v>181</v>
      </c>
      <c r="C760" s="2">
        <v>2020</v>
      </c>
      <c r="D760" s="2" t="s">
        <v>203</v>
      </c>
      <c r="E760" s="10" t="s">
        <v>787</v>
      </c>
      <c r="F760" s="20" t="s">
        <v>29</v>
      </c>
      <c r="G760" s="2" t="s">
        <v>98</v>
      </c>
      <c r="H760" s="2" t="str">
        <f>'PFAS Properties'!$B$45</f>
        <v>PFHpS</v>
      </c>
      <c r="I760" s="2" t="str">
        <f>'PFAS Properties'!$C$45</f>
        <v>PFSA</v>
      </c>
      <c r="J760" s="2" t="str">
        <f>'PFAS Properties'!$D$45</f>
        <v>C7HF15O3S</v>
      </c>
      <c r="K760" s="25">
        <f>'PFAS Properties'!$P$45</f>
        <v>449.94059999999996</v>
      </c>
      <c r="L760" s="2">
        <f>'PFAS Properties'!$X$45</f>
        <v>0.1</v>
      </c>
      <c r="M760" s="2" t="str">
        <f>'PFAS Properties'!$Y$45</f>
        <v>-</v>
      </c>
      <c r="N760" s="33">
        <v>0</v>
      </c>
      <c r="O760" s="33">
        <v>0</v>
      </c>
      <c r="P760" s="33">
        <v>0</v>
      </c>
      <c r="Q760" s="33">
        <f t="shared" si="318"/>
        <v>0.99999949881301753</v>
      </c>
      <c r="R760" s="33">
        <v>0</v>
      </c>
      <c r="S760" s="33">
        <f t="shared" si="319"/>
        <v>5.0118698243875318E-7</v>
      </c>
      <c r="T760" s="8">
        <f t="shared" si="332"/>
        <v>1</v>
      </c>
      <c r="U760" s="33">
        <f t="shared" si="320"/>
        <v>0</v>
      </c>
      <c r="V760" s="33">
        <f t="shared" si="321"/>
        <v>-0.99999949881301753</v>
      </c>
      <c r="W760" s="33">
        <f t="shared" si="322"/>
        <v>448.94060050118696</v>
      </c>
      <c r="X760" s="33">
        <v>96485</v>
      </c>
      <c r="Y760" s="16">
        <f t="shared" si="323"/>
        <v>-214.91696570829285</v>
      </c>
      <c r="Z760" s="16">
        <v>7</v>
      </c>
      <c r="AA760" s="16">
        <v>15</v>
      </c>
      <c r="AB760" s="8">
        <f t="shared" si="324"/>
        <v>0.29473684210526313</v>
      </c>
      <c r="AC760" s="16">
        <f t="shared" si="337"/>
        <v>63.34169443699902</v>
      </c>
      <c r="AD760" s="20">
        <f>'PFAS Properties'!$W$45</f>
        <v>7</v>
      </c>
      <c r="AE760" s="8">
        <f>'PFAS Properties'!$S$45</f>
        <v>2.9063350418050908</v>
      </c>
      <c r="AF760" s="15">
        <f>'PFAS Properties'!$V$45</f>
        <v>4.3</v>
      </c>
      <c r="AG760" s="24">
        <v>6.4</v>
      </c>
      <c r="AH760" s="2" t="s">
        <v>183</v>
      </c>
      <c r="AI760" s="2" t="s">
        <v>661</v>
      </c>
      <c r="AJ760" s="15" t="s">
        <v>661</v>
      </c>
      <c r="AK760" s="8" t="s">
        <v>661</v>
      </c>
      <c r="AL760" s="2" t="s">
        <v>661</v>
      </c>
      <c r="AM760" s="15" t="s">
        <v>661</v>
      </c>
      <c r="AN760" s="8" t="s">
        <v>661</v>
      </c>
      <c r="AO760" s="15" t="s">
        <v>661</v>
      </c>
      <c r="AP760" s="15">
        <v>16.54</v>
      </c>
      <c r="AQ760" s="13" t="s">
        <v>661</v>
      </c>
      <c r="AR760" s="16">
        <v>29.38</v>
      </c>
      <c r="AS760" s="16">
        <v>13.9</v>
      </c>
      <c r="AT760" s="16">
        <v>56.71</v>
      </c>
      <c r="AU760" s="15" t="s">
        <v>661</v>
      </c>
      <c r="AV760" s="16">
        <f t="shared" si="336"/>
        <v>99.990000000000009</v>
      </c>
      <c r="AW760" s="20">
        <v>0.17</v>
      </c>
      <c r="AX760" s="8">
        <v>1.7000000000000001E-3</v>
      </c>
      <c r="AY760" s="8" t="s">
        <v>184</v>
      </c>
      <c r="AZ760" s="16">
        <v>100</v>
      </c>
      <c r="BA760" s="16" t="s">
        <v>55</v>
      </c>
      <c r="BB760" s="16">
        <v>5</v>
      </c>
      <c r="BC760" s="16" t="s">
        <v>55</v>
      </c>
      <c r="BD760" s="20">
        <v>2.73</v>
      </c>
      <c r="BE760" s="15">
        <f t="shared" si="338"/>
        <v>1605.8823529411764</v>
      </c>
      <c r="BF760" s="15">
        <f t="shared" si="325"/>
        <v>3.2057137256624819</v>
      </c>
      <c r="BG760" s="8">
        <f t="shared" si="333"/>
        <v>0.43616264704075602</v>
      </c>
      <c r="BH760" s="13" t="s">
        <v>345</v>
      </c>
      <c r="BI760" s="13"/>
      <c r="BJ760" s="13"/>
      <c r="BK760" s="13"/>
      <c r="BL760" s="13"/>
      <c r="BM760" s="17"/>
      <c r="BN760" s="17"/>
      <c r="BO760" s="2"/>
    </row>
    <row r="761" spans="1:67" s="14" customFormat="1" x14ac:dyDescent="0.3">
      <c r="A761" s="20">
        <v>777</v>
      </c>
      <c r="B761" s="2" t="s">
        <v>253</v>
      </c>
      <c r="C761" s="2">
        <v>2012</v>
      </c>
      <c r="D761" s="2" t="s">
        <v>254</v>
      </c>
      <c r="E761" s="10" t="s">
        <v>812</v>
      </c>
      <c r="F761" s="20" t="s">
        <v>63</v>
      </c>
      <c r="G761" s="2" t="s">
        <v>61</v>
      </c>
      <c r="H761" s="2" t="str">
        <f>'PFAS Properties'!$B$46</f>
        <v>PFOS</v>
      </c>
      <c r="I761" s="2" t="str">
        <f>'PFAS Properties'!$C$46</f>
        <v>PFSA</v>
      </c>
      <c r="J761" s="2" t="str">
        <f>'PFAS Properties'!$D$46</f>
        <v>C8HF17O3S</v>
      </c>
      <c r="K761" s="25">
        <f>'PFAS Properties'!$P$46</f>
        <v>499.93739999999997</v>
      </c>
      <c r="L761" s="2">
        <f>'PFAS Properties'!$X$46</f>
        <v>0.1</v>
      </c>
      <c r="M761" s="2" t="str">
        <f>'PFAS Properties'!$Y$46</f>
        <v>-</v>
      </c>
      <c r="N761" s="33">
        <v>0</v>
      </c>
      <c r="O761" s="33">
        <v>0</v>
      </c>
      <c r="P761" s="33">
        <v>0</v>
      </c>
      <c r="Q761" s="33">
        <f t="shared" si="318"/>
        <v>0.99999689973616968</v>
      </c>
      <c r="R761" s="33">
        <v>0</v>
      </c>
      <c r="S761" s="33">
        <f t="shared" si="319"/>
        <v>3.1002638303325702E-6</v>
      </c>
      <c r="T761" s="8">
        <f t="shared" si="332"/>
        <v>1</v>
      </c>
      <c r="U761" s="33">
        <f t="shared" si="320"/>
        <v>0</v>
      </c>
      <c r="V761" s="33">
        <f t="shared" si="321"/>
        <v>-0.99999689973616968</v>
      </c>
      <c r="W761" s="33">
        <f t="shared" si="322"/>
        <v>498.93740310026379</v>
      </c>
      <c r="X761" s="33">
        <v>96485</v>
      </c>
      <c r="Y761" s="16">
        <f t="shared" si="323"/>
        <v>-193.38037251068803</v>
      </c>
      <c r="Z761" s="16">
        <v>8</v>
      </c>
      <c r="AA761" s="16">
        <v>17</v>
      </c>
      <c r="AB761" s="8">
        <f t="shared" si="324"/>
        <v>0.29721362229102166</v>
      </c>
      <c r="AC761" s="16">
        <f t="shared" si="337"/>
        <v>64.60808893273439</v>
      </c>
      <c r="AD761" s="20">
        <f>'PFAS Properties'!$W$46</f>
        <v>8</v>
      </c>
      <c r="AE761" s="8">
        <f>'PFAS Properties'!$S$46</f>
        <v>2.0166155475571776</v>
      </c>
      <c r="AF761" s="15">
        <f>'PFAS Properties'!$V$46</f>
        <v>5</v>
      </c>
      <c r="AG761" s="124">
        <v>5.6086</v>
      </c>
      <c r="AH761" s="70" t="s">
        <v>752</v>
      </c>
      <c r="AI761" s="2" t="s">
        <v>661</v>
      </c>
      <c r="AJ761" s="2" t="s">
        <v>661</v>
      </c>
      <c r="AK761" s="2" t="s">
        <v>661</v>
      </c>
      <c r="AL761" s="2" t="s">
        <v>661</v>
      </c>
      <c r="AM761" s="2" t="s">
        <v>661</v>
      </c>
      <c r="AN761" s="2" t="s">
        <v>661</v>
      </c>
      <c r="AO761" s="2" t="s">
        <v>661</v>
      </c>
      <c r="AP761" s="72">
        <v>11.85494166666667</v>
      </c>
      <c r="AQ761" s="70" t="s">
        <v>752</v>
      </c>
      <c r="AR761" s="16">
        <v>11</v>
      </c>
      <c r="AS761" s="16">
        <v>77.099999999999994</v>
      </c>
      <c r="AT761" s="16">
        <v>11.9</v>
      </c>
      <c r="AU761" s="2" t="s">
        <v>661</v>
      </c>
      <c r="AV761" s="16">
        <f t="shared" si="336"/>
        <v>100</v>
      </c>
      <c r="AW761" s="20">
        <v>0.42</v>
      </c>
      <c r="AX761" s="8">
        <f>AW761/100</f>
        <v>4.1999999999999997E-3</v>
      </c>
      <c r="AY761" s="8" t="s">
        <v>138</v>
      </c>
      <c r="AZ761" s="16">
        <f>0.7/0.01</f>
        <v>70</v>
      </c>
      <c r="BA761" s="16" t="s">
        <v>55</v>
      </c>
      <c r="BB761" s="16">
        <v>2</v>
      </c>
      <c r="BC761" s="16">
        <v>200</v>
      </c>
      <c r="BD761" s="24">
        <f>10^1.58</f>
        <v>38.018939632056139</v>
      </c>
      <c r="BE761" s="16">
        <f t="shared" si="338"/>
        <v>9052.1284838228912</v>
      </c>
      <c r="BF761" s="16">
        <f t="shared" si="325"/>
        <v>3.9567507096020997</v>
      </c>
      <c r="BG761" s="8">
        <f t="shared" si="333"/>
        <v>1.5800000000000003</v>
      </c>
      <c r="BH761" s="13" t="s">
        <v>782</v>
      </c>
      <c r="BI761" s="16">
        <f>10^1.62</f>
        <v>41.686938347033561</v>
      </c>
      <c r="BJ761" s="13" t="s">
        <v>377</v>
      </c>
      <c r="BK761" s="15">
        <v>0.96</v>
      </c>
      <c r="BL761" s="8">
        <f t="shared" ref="BL761:BL766" si="339">BI761</f>
        <v>41.686938347033561</v>
      </c>
      <c r="BM761" s="18">
        <f>'PFAS Properties'!$U$46</f>
        <v>10.39</v>
      </c>
      <c r="BN761" s="8">
        <f t="shared" ref="BN761:BN766" si="340">(BL761*(BM761^BK761))</f>
        <v>394.41273176428075</v>
      </c>
      <c r="BO761" s="24">
        <f t="shared" ref="BO761:BO766" si="341">BN761/BM761</f>
        <v>37.960801902240689</v>
      </c>
    </row>
    <row r="762" spans="1:67" s="14" customFormat="1" x14ac:dyDescent="0.3">
      <c r="A762" s="20">
        <v>778</v>
      </c>
      <c r="B762" s="2" t="s">
        <v>253</v>
      </c>
      <c r="C762" s="2">
        <v>2012</v>
      </c>
      <c r="D762" s="2" t="s">
        <v>254</v>
      </c>
      <c r="E762" s="10" t="s">
        <v>812</v>
      </c>
      <c r="F762" s="20" t="s">
        <v>63</v>
      </c>
      <c r="G762" s="2" t="s">
        <v>59</v>
      </c>
      <c r="H762" s="2" t="str">
        <f>'PFAS Properties'!$B$46</f>
        <v>PFOS</v>
      </c>
      <c r="I762" s="2" t="str">
        <f>'PFAS Properties'!$C$46</f>
        <v>PFSA</v>
      </c>
      <c r="J762" s="2" t="str">
        <f>'PFAS Properties'!$D$46</f>
        <v>C8HF17O3S</v>
      </c>
      <c r="K762" s="25">
        <f>'PFAS Properties'!$P$46</f>
        <v>499.93739999999997</v>
      </c>
      <c r="L762" s="2">
        <f>'PFAS Properties'!$X$46</f>
        <v>0.1</v>
      </c>
      <c r="M762" s="2" t="str">
        <f>'PFAS Properties'!$Y$46</f>
        <v>-</v>
      </c>
      <c r="N762" s="33">
        <v>0</v>
      </c>
      <c r="O762" s="33">
        <v>0</v>
      </c>
      <c r="P762" s="33">
        <v>0</v>
      </c>
      <c r="Q762" s="33">
        <f t="shared" si="318"/>
        <v>0.99999690116356077</v>
      </c>
      <c r="R762" s="33">
        <v>0</v>
      </c>
      <c r="S762" s="33">
        <f t="shared" si="319"/>
        <v>3.0988364391950209E-6</v>
      </c>
      <c r="T762" s="8">
        <f t="shared" si="332"/>
        <v>1</v>
      </c>
      <c r="U762" s="33">
        <f t="shared" si="320"/>
        <v>0</v>
      </c>
      <c r="V762" s="33">
        <f t="shared" si="321"/>
        <v>-0.99999690116356077</v>
      </c>
      <c r="W762" s="33">
        <f t="shared" si="322"/>
        <v>498.9374030988364</v>
      </c>
      <c r="X762" s="33">
        <v>96485</v>
      </c>
      <c r="Y762" s="16">
        <f t="shared" si="323"/>
        <v>-193.38037278727154</v>
      </c>
      <c r="Z762" s="16">
        <v>8</v>
      </c>
      <c r="AA762" s="16">
        <v>17</v>
      </c>
      <c r="AB762" s="8">
        <f t="shared" si="324"/>
        <v>0.29721362229102166</v>
      </c>
      <c r="AC762" s="16">
        <f t="shared" si="337"/>
        <v>64.60808893273439</v>
      </c>
      <c r="AD762" s="20">
        <f>'PFAS Properties'!$W$46</f>
        <v>8</v>
      </c>
      <c r="AE762" s="8">
        <f>'PFAS Properties'!$S$46</f>
        <v>2.0166155475571776</v>
      </c>
      <c r="AF762" s="15">
        <f>'PFAS Properties'!$V$46</f>
        <v>5</v>
      </c>
      <c r="AG762" s="124">
        <v>5.6087999999999996</v>
      </c>
      <c r="AH762" s="70" t="s">
        <v>752</v>
      </c>
      <c r="AI762" s="2" t="s">
        <v>661</v>
      </c>
      <c r="AJ762" s="2" t="s">
        <v>661</v>
      </c>
      <c r="AK762" s="2" t="s">
        <v>661</v>
      </c>
      <c r="AL762" s="2" t="s">
        <v>661</v>
      </c>
      <c r="AM762" s="2" t="s">
        <v>661</v>
      </c>
      <c r="AN762" s="2" t="s">
        <v>661</v>
      </c>
      <c r="AO762" s="2" t="s">
        <v>661</v>
      </c>
      <c r="AP762" s="72">
        <v>12.21964166666667</v>
      </c>
      <c r="AQ762" s="70" t="s">
        <v>752</v>
      </c>
      <c r="AR762" s="16">
        <v>10.4</v>
      </c>
      <c r="AS762" s="16">
        <v>73</v>
      </c>
      <c r="AT762" s="16">
        <v>16.600000000000001</v>
      </c>
      <c r="AU762" s="2" t="s">
        <v>661</v>
      </c>
      <c r="AV762" s="16">
        <f t="shared" si="336"/>
        <v>100</v>
      </c>
      <c r="AW762" s="20">
        <v>0.75</v>
      </c>
      <c r="AX762" s="8">
        <f>AW762/100</f>
        <v>7.4999999999999997E-3</v>
      </c>
      <c r="AY762" s="8" t="s">
        <v>138</v>
      </c>
      <c r="AZ762" s="16">
        <f>0.7/0.01</f>
        <v>70</v>
      </c>
      <c r="BA762" s="16" t="s">
        <v>55</v>
      </c>
      <c r="BB762" s="16">
        <v>2</v>
      </c>
      <c r="BC762" s="16">
        <v>200</v>
      </c>
      <c r="BD762" s="24">
        <f>10^1.41</f>
        <v>25.703957827688647</v>
      </c>
      <c r="BE762" s="16">
        <f t="shared" si="338"/>
        <v>3427.1943770251532</v>
      </c>
      <c r="BF762" s="16">
        <f t="shared" si="325"/>
        <v>3.5349387366083</v>
      </c>
      <c r="BG762" s="8">
        <f t="shared" si="333"/>
        <v>1.4100000000000001</v>
      </c>
      <c r="BH762" s="13" t="s">
        <v>782</v>
      </c>
      <c r="BI762" s="16">
        <f>10^1.56</f>
        <v>36.307805477010156</v>
      </c>
      <c r="BJ762" s="13" t="s">
        <v>377</v>
      </c>
      <c r="BK762" s="15">
        <v>0.85</v>
      </c>
      <c r="BL762" s="8">
        <f t="shared" si="339"/>
        <v>36.307805477010156</v>
      </c>
      <c r="BM762" s="18">
        <f>'PFAS Properties'!$U$46</f>
        <v>10.39</v>
      </c>
      <c r="BN762" s="8">
        <f t="shared" si="340"/>
        <v>265.53588175811342</v>
      </c>
      <c r="BO762" s="24">
        <f t="shared" si="341"/>
        <v>25.556870236584544</v>
      </c>
    </row>
    <row r="763" spans="1:67" s="14" customFormat="1" x14ac:dyDescent="0.3">
      <c r="A763" s="20">
        <v>779</v>
      </c>
      <c r="B763" s="2" t="s">
        <v>253</v>
      </c>
      <c r="C763" s="2">
        <v>2012</v>
      </c>
      <c r="D763" s="2" t="s">
        <v>254</v>
      </c>
      <c r="E763" s="10" t="s">
        <v>812</v>
      </c>
      <c r="F763" s="20" t="s">
        <v>63</v>
      </c>
      <c r="G763" s="2" t="s">
        <v>58</v>
      </c>
      <c r="H763" s="2" t="str">
        <f>'PFAS Properties'!$B$46</f>
        <v>PFOS</v>
      </c>
      <c r="I763" s="2" t="str">
        <f>'PFAS Properties'!$C$46</f>
        <v>PFSA</v>
      </c>
      <c r="J763" s="2" t="str">
        <f>'PFAS Properties'!$D$46</f>
        <v>C8HF17O3S</v>
      </c>
      <c r="K763" s="25">
        <f>'PFAS Properties'!$P$46</f>
        <v>499.93739999999997</v>
      </c>
      <c r="L763" s="2">
        <f>'PFAS Properties'!$X$46</f>
        <v>0.1</v>
      </c>
      <c r="M763" s="2" t="str">
        <f>'PFAS Properties'!$Y$46</f>
        <v>-</v>
      </c>
      <c r="N763" s="33">
        <v>0</v>
      </c>
      <c r="O763" s="33">
        <v>0</v>
      </c>
      <c r="P763" s="33">
        <v>0</v>
      </c>
      <c r="Q763" s="33">
        <f t="shared" si="318"/>
        <v>0.9999969021623436</v>
      </c>
      <c r="R763" s="33">
        <v>0</v>
      </c>
      <c r="S763" s="33">
        <f t="shared" si="319"/>
        <v>3.0978376564403322E-6</v>
      </c>
      <c r="T763" s="8">
        <f t="shared" si="332"/>
        <v>1</v>
      </c>
      <c r="U763" s="33">
        <f t="shared" si="320"/>
        <v>0</v>
      </c>
      <c r="V763" s="33">
        <f t="shared" si="321"/>
        <v>-0.9999969021623436</v>
      </c>
      <c r="W763" s="33">
        <f t="shared" si="322"/>
        <v>498.9374030978376</v>
      </c>
      <c r="X763" s="33">
        <v>96485</v>
      </c>
      <c r="Y763" s="16">
        <f t="shared" si="323"/>
        <v>-193.38037298080425</v>
      </c>
      <c r="Z763" s="16">
        <v>8</v>
      </c>
      <c r="AA763" s="16">
        <v>17</v>
      </c>
      <c r="AB763" s="8">
        <f t="shared" si="324"/>
        <v>0.29721362229102166</v>
      </c>
      <c r="AC763" s="16">
        <f t="shared" si="337"/>
        <v>64.60808893273439</v>
      </c>
      <c r="AD763" s="20">
        <f>'PFAS Properties'!$W$46</f>
        <v>8</v>
      </c>
      <c r="AE763" s="8">
        <f>'PFAS Properties'!$S$46</f>
        <v>2.0166155475571776</v>
      </c>
      <c r="AF763" s="15">
        <f>'PFAS Properties'!$V$46</f>
        <v>5</v>
      </c>
      <c r="AG763" s="124">
        <v>5.6089399999999996</v>
      </c>
      <c r="AH763" s="70" t="s">
        <v>752</v>
      </c>
      <c r="AI763" s="2" t="s">
        <v>661</v>
      </c>
      <c r="AJ763" s="2" t="s">
        <v>661</v>
      </c>
      <c r="AK763" s="2" t="s">
        <v>661</v>
      </c>
      <c r="AL763" s="2" t="s">
        <v>661</v>
      </c>
      <c r="AM763" s="2" t="s">
        <v>661</v>
      </c>
      <c r="AN763" s="2" t="s">
        <v>661</v>
      </c>
      <c r="AO763" s="2" t="s">
        <v>661</v>
      </c>
      <c r="AP763" s="72">
        <v>12.203891666666671</v>
      </c>
      <c r="AQ763" s="70" t="s">
        <v>752</v>
      </c>
      <c r="AR763" s="16">
        <v>12.7</v>
      </c>
      <c r="AS763" s="16">
        <v>71.5</v>
      </c>
      <c r="AT763" s="16">
        <v>15.8</v>
      </c>
      <c r="AU763" s="2" t="s">
        <v>661</v>
      </c>
      <c r="AV763" s="16">
        <f t="shared" si="336"/>
        <v>100</v>
      </c>
      <c r="AW763" s="20">
        <v>0.81</v>
      </c>
      <c r="AX763" s="8">
        <f>AW763/100</f>
        <v>8.1000000000000013E-3</v>
      </c>
      <c r="AY763" s="8" t="s">
        <v>138</v>
      </c>
      <c r="AZ763" s="16">
        <f>0.7/0.01</f>
        <v>70</v>
      </c>
      <c r="BA763" s="16" t="s">
        <v>55</v>
      </c>
      <c r="BB763" s="16">
        <v>2</v>
      </c>
      <c r="BC763" s="16">
        <v>200</v>
      </c>
      <c r="BD763" s="24">
        <f>10^1.4</f>
        <v>25.118864315095799</v>
      </c>
      <c r="BE763" s="16">
        <f t="shared" si="338"/>
        <v>3101.0943598883696</v>
      </c>
      <c r="BF763" s="16">
        <f t="shared" si="325"/>
        <v>3.4915149811213499</v>
      </c>
      <c r="BG763" s="8">
        <f t="shared" si="333"/>
        <v>1.4</v>
      </c>
      <c r="BH763" s="13" t="s">
        <v>782</v>
      </c>
      <c r="BI763" s="16">
        <f>10^1.63</f>
        <v>42.657951880159267</v>
      </c>
      <c r="BJ763" s="13" t="s">
        <v>377</v>
      </c>
      <c r="BK763" s="15">
        <v>0.77</v>
      </c>
      <c r="BL763" s="8">
        <f t="shared" si="339"/>
        <v>42.657951880159267</v>
      </c>
      <c r="BM763" s="18">
        <f>'PFAS Properties'!$U$46</f>
        <v>10.39</v>
      </c>
      <c r="BN763" s="8">
        <f t="shared" si="340"/>
        <v>258.69853636332965</v>
      </c>
      <c r="BO763" s="24">
        <f t="shared" si="341"/>
        <v>24.898800419954728</v>
      </c>
    </row>
    <row r="764" spans="1:67" s="14" customFormat="1" x14ac:dyDescent="0.3">
      <c r="A764" s="20">
        <v>780</v>
      </c>
      <c r="B764" s="2" t="s">
        <v>253</v>
      </c>
      <c r="C764" s="2">
        <v>2012</v>
      </c>
      <c r="D764" s="2" t="s">
        <v>254</v>
      </c>
      <c r="E764" s="10" t="s">
        <v>812</v>
      </c>
      <c r="F764" s="20" t="s">
        <v>63</v>
      </c>
      <c r="G764" s="2" t="s">
        <v>57</v>
      </c>
      <c r="H764" s="2" t="str">
        <f>'PFAS Properties'!$B$46</f>
        <v>PFOS</v>
      </c>
      <c r="I764" s="2" t="str">
        <f>'PFAS Properties'!$C$46</f>
        <v>PFSA</v>
      </c>
      <c r="J764" s="2" t="str">
        <f>'PFAS Properties'!$D$46</f>
        <v>C8HF17O3S</v>
      </c>
      <c r="K764" s="25">
        <f>'PFAS Properties'!$P$46</f>
        <v>499.93739999999997</v>
      </c>
      <c r="L764" s="2">
        <f>'PFAS Properties'!$X$46</f>
        <v>0.1</v>
      </c>
      <c r="M764" s="2" t="str">
        <f>'PFAS Properties'!$Y$46</f>
        <v>-</v>
      </c>
      <c r="N764" s="33">
        <v>0</v>
      </c>
      <c r="O764" s="33">
        <v>0</v>
      </c>
      <c r="P764" s="33">
        <v>0</v>
      </c>
      <c r="Q764" s="33">
        <f t="shared" si="318"/>
        <v>0.99999684950618206</v>
      </c>
      <c r="R764" s="33">
        <v>0</v>
      </c>
      <c r="S764" s="33">
        <f t="shared" si="319"/>
        <v>3.1504938179299317E-6</v>
      </c>
      <c r="T764" s="8">
        <f t="shared" si="332"/>
        <v>1</v>
      </c>
      <c r="U764" s="33">
        <f t="shared" si="320"/>
        <v>0</v>
      </c>
      <c r="V764" s="33">
        <f t="shared" si="321"/>
        <v>-0.99999684950618206</v>
      </c>
      <c r="W764" s="33">
        <f t="shared" si="322"/>
        <v>498.93740315049376</v>
      </c>
      <c r="X764" s="33">
        <v>96485</v>
      </c>
      <c r="Y764" s="16">
        <f t="shared" si="323"/>
        <v>-193.38036277769586</v>
      </c>
      <c r="Z764" s="16">
        <v>8</v>
      </c>
      <c r="AA764" s="16">
        <v>17</v>
      </c>
      <c r="AB764" s="8">
        <f t="shared" si="324"/>
        <v>0.29721362229102166</v>
      </c>
      <c r="AC764" s="16">
        <f t="shared" si="337"/>
        <v>64.60808893273439</v>
      </c>
      <c r="AD764" s="20">
        <f>'PFAS Properties'!$W$46</f>
        <v>8</v>
      </c>
      <c r="AE764" s="8">
        <f>'PFAS Properties'!$S$46</f>
        <v>2.0166155475571776</v>
      </c>
      <c r="AF764" s="15">
        <f>'PFAS Properties'!$V$46</f>
        <v>5</v>
      </c>
      <c r="AG764" s="124">
        <v>5.6016199999999996</v>
      </c>
      <c r="AH764" s="70" t="s">
        <v>752</v>
      </c>
      <c r="AI764" s="2" t="s">
        <v>661</v>
      </c>
      <c r="AJ764" s="2" t="s">
        <v>661</v>
      </c>
      <c r="AK764" s="2" t="s">
        <v>661</v>
      </c>
      <c r="AL764" s="2" t="s">
        <v>661</v>
      </c>
      <c r="AM764" s="2" t="s">
        <v>661</v>
      </c>
      <c r="AN764" s="2" t="s">
        <v>661</v>
      </c>
      <c r="AO764" s="2" t="s">
        <v>661</v>
      </c>
      <c r="AP764" s="72">
        <v>11.879191666666671</v>
      </c>
      <c r="AQ764" s="70" t="s">
        <v>752</v>
      </c>
      <c r="AR764" s="16">
        <v>5.8</v>
      </c>
      <c r="AS764" s="16">
        <v>82</v>
      </c>
      <c r="AT764" s="16">
        <v>12.2</v>
      </c>
      <c r="AU764" s="2" t="s">
        <v>661</v>
      </c>
      <c r="AV764" s="16">
        <f t="shared" si="336"/>
        <v>100</v>
      </c>
      <c r="AW764" s="20">
        <v>0.99</v>
      </c>
      <c r="AX764" s="8">
        <f>AW764/100</f>
        <v>9.8999999999999991E-3</v>
      </c>
      <c r="AY764" s="8" t="s">
        <v>138</v>
      </c>
      <c r="AZ764" s="16">
        <f>0.7/0.01</f>
        <v>70</v>
      </c>
      <c r="BA764" s="16" t="s">
        <v>55</v>
      </c>
      <c r="BB764" s="16">
        <v>2</v>
      </c>
      <c r="BC764" s="16">
        <v>200</v>
      </c>
      <c r="BD764" s="24">
        <f>10^1.3</f>
        <v>19.952623149688804</v>
      </c>
      <c r="BE764" s="16">
        <f t="shared" si="338"/>
        <v>2015.416479766546</v>
      </c>
      <c r="BF764" s="16">
        <f t="shared" si="325"/>
        <v>3.3043648054024501</v>
      </c>
      <c r="BG764" s="8">
        <f t="shared" si="333"/>
        <v>1.3000000000000003</v>
      </c>
      <c r="BH764" s="13" t="s">
        <v>782</v>
      </c>
      <c r="BI764" s="16">
        <f>10^1.45</f>
        <v>28.183829312644548</v>
      </c>
      <c r="BJ764" s="13" t="s">
        <v>377</v>
      </c>
      <c r="BK764" s="15">
        <v>0.85</v>
      </c>
      <c r="BL764" s="8">
        <f t="shared" si="339"/>
        <v>28.183829312644548</v>
      </c>
      <c r="BM764" s="18">
        <f>'PFAS Properties'!$U$46</f>
        <v>10.39</v>
      </c>
      <c r="BN764" s="8">
        <f t="shared" si="340"/>
        <v>206.1214625761927</v>
      </c>
      <c r="BO764" s="24">
        <f t="shared" si="341"/>
        <v>19.838446831202376</v>
      </c>
    </row>
    <row r="765" spans="1:67" s="14" customFormat="1" x14ac:dyDescent="0.3">
      <c r="A765" s="20">
        <v>781</v>
      </c>
      <c r="B765" s="2" t="s">
        <v>253</v>
      </c>
      <c r="C765" s="2">
        <v>2012</v>
      </c>
      <c r="D765" s="2" t="s">
        <v>254</v>
      </c>
      <c r="E765" s="10" t="s">
        <v>812</v>
      </c>
      <c r="F765" s="20" t="s">
        <v>63</v>
      </c>
      <c r="G765" s="2" t="s">
        <v>62</v>
      </c>
      <c r="H765" s="2" t="str">
        <f>'PFAS Properties'!$B$46</f>
        <v>PFOS</v>
      </c>
      <c r="I765" s="2" t="str">
        <f>'PFAS Properties'!$C$46</f>
        <v>PFSA</v>
      </c>
      <c r="J765" s="2" t="str">
        <f>'PFAS Properties'!$D$46</f>
        <v>C8HF17O3S</v>
      </c>
      <c r="K765" s="25">
        <f>'PFAS Properties'!$P$46</f>
        <v>499.93739999999997</v>
      </c>
      <c r="L765" s="2">
        <f>'PFAS Properties'!$X$46</f>
        <v>0.1</v>
      </c>
      <c r="M765" s="2" t="str">
        <f>'PFAS Properties'!$Y$46</f>
        <v>-</v>
      </c>
      <c r="N765" s="33">
        <v>0</v>
      </c>
      <c r="O765" s="33">
        <v>0</v>
      </c>
      <c r="P765" s="33">
        <v>0</v>
      </c>
      <c r="Q765" s="33">
        <f t="shared" si="318"/>
        <v>0.99999683744107171</v>
      </c>
      <c r="R765" s="33">
        <v>0</v>
      </c>
      <c r="S765" s="33">
        <f t="shared" si="319"/>
        <v>3.1625589283070445E-6</v>
      </c>
      <c r="T765" s="8">
        <f t="shared" si="332"/>
        <v>1</v>
      </c>
      <c r="U765" s="33">
        <f t="shared" si="320"/>
        <v>0</v>
      </c>
      <c r="V765" s="33">
        <f t="shared" si="321"/>
        <v>-0.99999683744107171</v>
      </c>
      <c r="W765" s="33">
        <f t="shared" si="322"/>
        <v>498.93740316255895</v>
      </c>
      <c r="X765" s="33">
        <v>96485</v>
      </c>
      <c r="Y765" s="16">
        <f t="shared" si="323"/>
        <v>-193.38036043985684</v>
      </c>
      <c r="Z765" s="16">
        <v>8</v>
      </c>
      <c r="AA765" s="16">
        <v>17</v>
      </c>
      <c r="AB765" s="8">
        <f t="shared" si="324"/>
        <v>0.29721362229102166</v>
      </c>
      <c r="AC765" s="16">
        <f t="shared" si="337"/>
        <v>64.60808893273439</v>
      </c>
      <c r="AD765" s="20">
        <f>'PFAS Properties'!$W$46</f>
        <v>8</v>
      </c>
      <c r="AE765" s="8">
        <f>'PFAS Properties'!$S$46</f>
        <v>2.0166155475571776</v>
      </c>
      <c r="AF765" s="15">
        <f>'PFAS Properties'!$V$46</f>
        <v>5</v>
      </c>
      <c r="AG765" s="124">
        <v>5.5999600000000003</v>
      </c>
      <c r="AH765" s="70" t="s">
        <v>752</v>
      </c>
      <c r="AI765" s="2" t="s">
        <v>661</v>
      </c>
      <c r="AJ765" s="15" t="s">
        <v>661</v>
      </c>
      <c r="AK765" s="8" t="s">
        <v>661</v>
      </c>
      <c r="AL765" s="2" t="s">
        <v>661</v>
      </c>
      <c r="AM765" s="15" t="s">
        <v>661</v>
      </c>
      <c r="AN765" s="8" t="s">
        <v>661</v>
      </c>
      <c r="AO765" s="15" t="s">
        <v>661</v>
      </c>
      <c r="AP765" s="72">
        <v>11.982891666666671</v>
      </c>
      <c r="AQ765" s="70" t="s">
        <v>752</v>
      </c>
      <c r="AR765" s="16">
        <v>2.7</v>
      </c>
      <c r="AS765" s="16">
        <v>84.8</v>
      </c>
      <c r="AT765" s="16">
        <v>12.5</v>
      </c>
      <c r="AU765" s="13" t="s">
        <v>661</v>
      </c>
      <c r="AV765" s="16">
        <f t="shared" si="336"/>
        <v>100</v>
      </c>
      <c r="AW765" s="20">
        <v>1.43</v>
      </c>
      <c r="AX765" s="8">
        <f>AW765/100</f>
        <v>1.43E-2</v>
      </c>
      <c r="AY765" s="8" t="s">
        <v>138</v>
      </c>
      <c r="AZ765" s="16">
        <f>0.7/0.01</f>
        <v>70</v>
      </c>
      <c r="BA765" s="16" t="s">
        <v>55</v>
      </c>
      <c r="BB765" s="16">
        <v>2</v>
      </c>
      <c r="BC765" s="16">
        <v>200</v>
      </c>
      <c r="BD765" s="24">
        <f>10^1.2</f>
        <v>15.848931924611136</v>
      </c>
      <c r="BE765" s="16">
        <f t="shared" si="338"/>
        <v>1108.3169178049745</v>
      </c>
      <c r="BF765" s="16">
        <f t="shared" si="325"/>
        <v>3.0446639625349383</v>
      </c>
      <c r="BG765" s="8">
        <f t="shared" si="333"/>
        <v>1.2</v>
      </c>
      <c r="BH765" s="13" t="s">
        <v>782</v>
      </c>
      <c r="BI765" s="16">
        <f>10^1.37</f>
        <v>23.442288153199236</v>
      </c>
      <c r="BJ765" s="13" t="s">
        <v>377</v>
      </c>
      <c r="BK765" s="15">
        <v>0.83</v>
      </c>
      <c r="BL765" s="8">
        <f t="shared" si="339"/>
        <v>23.442288153199236</v>
      </c>
      <c r="BM765" s="18">
        <f>'PFAS Properties'!$U$46</f>
        <v>10.39</v>
      </c>
      <c r="BN765" s="8">
        <f t="shared" si="340"/>
        <v>163.60286490246614</v>
      </c>
      <c r="BO765" s="24">
        <f t="shared" si="341"/>
        <v>15.746185264914931</v>
      </c>
    </row>
    <row r="766" spans="1:67" s="14" customFormat="1" x14ac:dyDescent="0.3">
      <c r="A766" s="20">
        <v>782</v>
      </c>
      <c r="B766" s="2" t="s">
        <v>234</v>
      </c>
      <c r="C766" s="2">
        <v>2022</v>
      </c>
      <c r="D766" s="2" t="s">
        <v>205</v>
      </c>
      <c r="E766" s="10" t="s">
        <v>799</v>
      </c>
      <c r="F766" s="20" t="s">
        <v>63</v>
      </c>
      <c r="G766" s="2" t="s">
        <v>63</v>
      </c>
      <c r="H766" s="2" t="str">
        <f>'PFAS Properties'!$B$46</f>
        <v>PFOS</v>
      </c>
      <c r="I766" s="2" t="str">
        <f>'PFAS Properties'!$C$46</f>
        <v>PFSA</v>
      </c>
      <c r="J766" s="2" t="str">
        <f>'PFAS Properties'!$D$46</f>
        <v>C8HF17O3S</v>
      </c>
      <c r="K766" s="25">
        <f>'PFAS Properties'!$P$46</f>
        <v>499.93739999999997</v>
      </c>
      <c r="L766" s="2">
        <f>'PFAS Properties'!$X$46</f>
        <v>0.1</v>
      </c>
      <c r="M766" s="2" t="str">
        <f>'PFAS Properties'!$Y$46</f>
        <v>-</v>
      </c>
      <c r="N766" s="33">
        <v>0</v>
      </c>
      <c r="O766" s="33">
        <v>0</v>
      </c>
      <c r="P766" s="33">
        <v>0</v>
      </c>
      <c r="Q766" s="33">
        <f t="shared" ref="Q766:Q828" si="342">(10^(AG766-L766))/(1+(10^(AG766-L766)))</f>
        <v>0.99999998797735579</v>
      </c>
      <c r="R766" s="33">
        <v>0</v>
      </c>
      <c r="S766" s="33">
        <f t="shared" ref="S766:S828" si="343">(1/(1+(10^(AG766-L766))))</f>
        <v>1.2022644201630123E-8</v>
      </c>
      <c r="T766" s="8">
        <f t="shared" si="332"/>
        <v>1</v>
      </c>
      <c r="U766" s="33">
        <f t="shared" si="320"/>
        <v>0</v>
      </c>
      <c r="V766" s="33">
        <f t="shared" si="321"/>
        <v>-0.99999998797735579</v>
      </c>
      <c r="W766" s="33">
        <f t="shared" si="322"/>
        <v>498.93740001202264</v>
      </c>
      <c r="X766" s="33">
        <v>96485</v>
      </c>
      <c r="Y766" s="16">
        <f t="shared" si="323"/>
        <v>-193.38097091472844</v>
      </c>
      <c r="Z766" s="16">
        <v>8</v>
      </c>
      <c r="AA766" s="16">
        <v>17</v>
      </c>
      <c r="AB766" s="8">
        <f t="shared" si="324"/>
        <v>0.29721362229102166</v>
      </c>
      <c r="AC766" s="16">
        <f t="shared" si="337"/>
        <v>64.60808893273439</v>
      </c>
      <c r="AD766" s="20">
        <f>'PFAS Properties'!$W$46</f>
        <v>8</v>
      </c>
      <c r="AE766" s="8">
        <f>'PFAS Properties'!$S$46</f>
        <v>2.0166155475571776</v>
      </c>
      <c r="AF766" s="15">
        <f>'PFAS Properties'!$V$46</f>
        <v>5</v>
      </c>
      <c r="AG766" s="24">
        <v>8.02</v>
      </c>
      <c r="AH766" s="2" t="s">
        <v>661</v>
      </c>
      <c r="AI766" s="2" t="s">
        <v>661</v>
      </c>
      <c r="AJ766" s="2" t="s">
        <v>661</v>
      </c>
      <c r="AK766" s="2" t="s">
        <v>661</v>
      </c>
      <c r="AL766" s="2" t="s">
        <v>661</v>
      </c>
      <c r="AM766" s="2" t="s">
        <v>661</v>
      </c>
      <c r="AN766" s="2" t="s">
        <v>661</v>
      </c>
      <c r="AO766" s="2" t="s">
        <v>661</v>
      </c>
      <c r="AP766" s="72">
        <v>11.934691666666669</v>
      </c>
      <c r="AQ766" s="70" t="s">
        <v>752</v>
      </c>
      <c r="AR766" s="16">
        <v>6.34</v>
      </c>
      <c r="AS766" s="16">
        <v>85.56</v>
      </c>
      <c r="AT766" s="16">
        <v>8.08</v>
      </c>
      <c r="AU766" s="2" t="s">
        <v>661</v>
      </c>
      <c r="AV766" s="16">
        <f t="shared" si="336"/>
        <v>99.98</v>
      </c>
      <c r="AW766" s="20">
        <v>0.37</v>
      </c>
      <c r="AX766" s="8">
        <v>3.7000000000000002E-3</v>
      </c>
      <c r="AY766" s="13" t="s">
        <v>392</v>
      </c>
      <c r="AZ766" s="16">
        <f>1/0.02</f>
        <v>50</v>
      </c>
      <c r="BA766" s="16" t="s">
        <v>55</v>
      </c>
      <c r="BB766" s="16">
        <v>10</v>
      </c>
      <c r="BC766" s="16" t="s">
        <v>55</v>
      </c>
      <c r="BD766" s="18">
        <f>BO766</f>
        <v>6.7908931729122619</v>
      </c>
      <c r="BE766" s="16">
        <f t="shared" si="338"/>
        <v>1835.3765332195301</v>
      </c>
      <c r="BF766" s="16">
        <f t="shared" si="325"/>
        <v>3.2637251745959461</v>
      </c>
      <c r="BG766" s="8">
        <f t="shared" si="333"/>
        <v>0.83192689866294123</v>
      </c>
      <c r="BH766" s="13" t="s">
        <v>782</v>
      </c>
      <c r="BI766" s="8">
        <v>8</v>
      </c>
      <c r="BJ766" s="13" t="s">
        <v>366</v>
      </c>
      <c r="BK766" s="8">
        <v>0.93</v>
      </c>
      <c r="BL766" s="8">
        <f t="shared" si="339"/>
        <v>8</v>
      </c>
      <c r="BM766" s="18">
        <f>'PFAS Properties'!$U$46</f>
        <v>10.39</v>
      </c>
      <c r="BN766" s="8">
        <f t="shared" si="340"/>
        <v>70.557380066558409</v>
      </c>
      <c r="BO766" s="24">
        <f t="shared" si="341"/>
        <v>6.7908931729122619</v>
      </c>
    </row>
    <row r="767" spans="1:67" s="14" customFormat="1" x14ac:dyDescent="0.3">
      <c r="A767" s="20">
        <v>784</v>
      </c>
      <c r="B767" s="2" t="s">
        <v>224</v>
      </c>
      <c r="C767" s="2">
        <v>2013</v>
      </c>
      <c r="D767" s="2" t="s">
        <v>223</v>
      </c>
      <c r="E767" s="10" t="s">
        <v>222</v>
      </c>
      <c r="F767" s="20" t="s">
        <v>29</v>
      </c>
      <c r="G767" s="2" t="s">
        <v>88</v>
      </c>
      <c r="H767" s="2" t="str">
        <f>'PFAS Properties'!$B$46</f>
        <v>PFOS</v>
      </c>
      <c r="I767" s="2" t="str">
        <f>'PFAS Properties'!$C$46</f>
        <v>PFSA</v>
      </c>
      <c r="J767" s="2" t="str">
        <f>'PFAS Properties'!$D$46</f>
        <v>C8HF17O3S</v>
      </c>
      <c r="K767" s="25">
        <f>'PFAS Properties'!$P$46</f>
        <v>499.93739999999997</v>
      </c>
      <c r="L767" s="2">
        <f>'PFAS Properties'!$X$46</f>
        <v>0.1</v>
      </c>
      <c r="M767" s="2" t="str">
        <f>'PFAS Properties'!$Y$46</f>
        <v>-</v>
      </c>
      <c r="N767" s="33">
        <v>0</v>
      </c>
      <c r="O767" s="33">
        <v>0</v>
      </c>
      <c r="P767" s="33">
        <v>0</v>
      </c>
      <c r="Q767" s="33">
        <f t="shared" si="342"/>
        <v>0.99999788933609435</v>
      </c>
      <c r="R767" s="33">
        <v>0</v>
      </c>
      <c r="S767" s="33">
        <f t="shared" si="343"/>
        <v>2.1106639056048072E-6</v>
      </c>
      <c r="T767" s="8">
        <f t="shared" si="332"/>
        <v>1</v>
      </c>
      <c r="U767" s="33">
        <f t="shared" si="320"/>
        <v>0</v>
      </c>
      <c r="V767" s="33">
        <f t="shared" si="321"/>
        <v>-0.99999788933609435</v>
      </c>
      <c r="W767" s="33">
        <f t="shared" si="322"/>
        <v>498.93740211066387</v>
      </c>
      <c r="X767" s="33">
        <v>96485</v>
      </c>
      <c r="Y767" s="16">
        <f t="shared" si="323"/>
        <v>-193.3805642640373</v>
      </c>
      <c r="Z767" s="16">
        <v>8</v>
      </c>
      <c r="AA767" s="16">
        <v>17</v>
      </c>
      <c r="AB767" s="8">
        <f t="shared" si="324"/>
        <v>0.29721362229102166</v>
      </c>
      <c r="AC767" s="16">
        <f t="shared" si="337"/>
        <v>64.60808893273439</v>
      </c>
      <c r="AD767" s="20">
        <f>'PFAS Properties'!$W$46</f>
        <v>8</v>
      </c>
      <c r="AE767" s="8">
        <f>'PFAS Properties'!$S$46</f>
        <v>2.0166155475571776</v>
      </c>
      <c r="AF767" s="15">
        <f>'PFAS Properties'!$V$46</f>
        <v>5</v>
      </c>
      <c r="AG767" s="124">
        <v>5.7755799999999997</v>
      </c>
      <c r="AH767" s="70" t="s">
        <v>752</v>
      </c>
      <c r="AI767" s="2" t="s">
        <v>661</v>
      </c>
      <c r="AJ767" s="2" t="s">
        <v>661</v>
      </c>
      <c r="AK767" s="2" t="s">
        <v>661</v>
      </c>
      <c r="AL767" s="2" t="s">
        <v>661</v>
      </c>
      <c r="AM767" s="2" t="s">
        <v>661</v>
      </c>
      <c r="AN767" s="2" t="s">
        <v>661</v>
      </c>
      <c r="AO767" s="2" t="s">
        <v>661</v>
      </c>
      <c r="AP767" s="16">
        <v>12.5</v>
      </c>
      <c r="AQ767" s="2" t="s">
        <v>661</v>
      </c>
      <c r="AR767" s="2">
        <v>27</v>
      </c>
      <c r="AS767" s="2">
        <v>47</v>
      </c>
      <c r="AT767" s="2">
        <v>27</v>
      </c>
      <c r="AU767" s="2" t="s">
        <v>661</v>
      </c>
      <c r="AV767" s="16">
        <f t="shared" ref="AV767:AV770" si="344">SUM(AR767:AT767)</f>
        <v>101</v>
      </c>
      <c r="AW767" s="20">
        <v>2.5</v>
      </c>
      <c r="AX767" s="8">
        <f t="shared" ref="AX767:AX829" si="345">AW767/100</f>
        <v>2.5000000000000001E-2</v>
      </c>
      <c r="AY767" s="12" t="s">
        <v>839</v>
      </c>
      <c r="AZ767" s="16">
        <f>4/0.04</f>
        <v>100</v>
      </c>
      <c r="BA767" s="16" t="s">
        <v>55</v>
      </c>
      <c r="BB767" s="16">
        <v>5</v>
      </c>
      <c r="BC767" s="16">
        <v>100</v>
      </c>
      <c r="BD767" s="18">
        <v>7.28</v>
      </c>
      <c r="BE767" s="16">
        <f t="shared" si="338"/>
        <v>291.2</v>
      </c>
      <c r="BF767" s="16">
        <f t="shared" si="325"/>
        <v>2.4641913706409997</v>
      </c>
      <c r="BG767" s="8">
        <f t="shared" si="333"/>
        <v>0.86213137931303718</v>
      </c>
      <c r="BH767" s="13" t="s">
        <v>837</v>
      </c>
      <c r="BI767" s="13"/>
      <c r="BJ767" s="13"/>
      <c r="BK767" s="13"/>
      <c r="BL767" s="13"/>
      <c r="BM767" s="17"/>
      <c r="BN767" s="17"/>
      <c r="BO767" s="2"/>
    </row>
    <row r="768" spans="1:67" s="14" customFormat="1" x14ac:dyDescent="0.3">
      <c r="A768" s="20">
        <v>785</v>
      </c>
      <c r="B768" s="2" t="s">
        <v>224</v>
      </c>
      <c r="C768" s="2">
        <v>2013</v>
      </c>
      <c r="D768" s="2" t="s">
        <v>223</v>
      </c>
      <c r="E768" s="10" t="s">
        <v>222</v>
      </c>
      <c r="F768" s="20" t="s">
        <v>29</v>
      </c>
      <c r="G768" s="2" t="s">
        <v>89</v>
      </c>
      <c r="H768" s="2" t="str">
        <f>'PFAS Properties'!$B$46</f>
        <v>PFOS</v>
      </c>
      <c r="I768" s="2" t="str">
        <f>'PFAS Properties'!$C$46</f>
        <v>PFSA</v>
      </c>
      <c r="J768" s="2" t="str">
        <f>'PFAS Properties'!$D$46</f>
        <v>C8HF17O3S</v>
      </c>
      <c r="K768" s="25">
        <f>'PFAS Properties'!$P$46</f>
        <v>499.93739999999997</v>
      </c>
      <c r="L768" s="2">
        <f>'PFAS Properties'!$X$46</f>
        <v>0.1</v>
      </c>
      <c r="M768" s="2" t="str">
        <f>'PFAS Properties'!$Y$46</f>
        <v>-</v>
      </c>
      <c r="N768" s="33">
        <v>0</v>
      </c>
      <c r="O768" s="33">
        <v>0</v>
      </c>
      <c r="P768" s="33">
        <v>0</v>
      </c>
      <c r="Q768" s="33">
        <f t="shared" si="342"/>
        <v>0.9999921133982993</v>
      </c>
      <c r="R768" s="33">
        <v>0</v>
      </c>
      <c r="S768" s="33">
        <f t="shared" si="343"/>
        <v>7.8866017006526701E-6</v>
      </c>
      <c r="T768" s="8">
        <f t="shared" si="332"/>
        <v>1</v>
      </c>
      <c r="U768" s="33">
        <f t="shared" si="320"/>
        <v>0</v>
      </c>
      <c r="V768" s="33">
        <f t="shared" si="321"/>
        <v>-0.9999921133982993</v>
      </c>
      <c r="W768" s="33">
        <f t="shared" si="322"/>
        <v>498.93740788660165</v>
      </c>
      <c r="X768" s="33">
        <v>96485</v>
      </c>
      <c r="Y768" s="16">
        <f t="shared" si="323"/>
        <v>-193.37944506891699</v>
      </c>
      <c r="Z768" s="16">
        <v>8</v>
      </c>
      <c r="AA768" s="16">
        <v>17</v>
      </c>
      <c r="AB768" s="8">
        <f t="shared" si="324"/>
        <v>0.29721362229102166</v>
      </c>
      <c r="AC768" s="16">
        <f t="shared" si="337"/>
        <v>64.60808893273439</v>
      </c>
      <c r="AD768" s="20">
        <f>'PFAS Properties'!$W$46</f>
        <v>8</v>
      </c>
      <c r="AE768" s="8">
        <f>'PFAS Properties'!$S$46</f>
        <v>2.0166155475571776</v>
      </c>
      <c r="AF768" s="15">
        <f>'PFAS Properties'!$V$46</f>
        <v>5</v>
      </c>
      <c r="AG768" s="124">
        <v>5.2031066668000001</v>
      </c>
      <c r="AH768" s="70" t="s">
        <v>752</v>
      </c>
      <c r="AI768" s="2" t="s">
        <v>661</v>
      </c>
      <c r="AJ768" s="2" t="s">
        <v>661</v>
      </c>
      <c r="AK768" s="2" t="s">
        <v>661</v>
      </c>
      <c r="AL768" s="2" t="s">
        <v>661</v>
      </c>
      <c r="AM768" s="2" t="s">
        <v>661</v>
      </c>
      <c r="AN768" s="2" t="s">
        <v>661</v>
      </c>
      <c r="AO768" s="2" t="s">
        <v>661</v>
      </c>
      <c r="AP768" s="16">
        <v>3.22</v>
      </c>
      <c r="AQ768" s="2" t="s">
        <v>661</v>
      </c>
      <c r="AR768" s="2">
        <v>45</v>
      </c>
      <c r="AS768" s="2">
        <v>34</v>
      </c>
      <c r="AT768" s="2">
        <v>21</v>
      </c>
      <c r="AU768" s="2" t="s">
        <v>661</v>
      </c>
      <c r="AV768" s="16">
        <f t="shared" si="344"/>
        <v>100</v>
      </c>
      <c r="AW768" s="20">
        <v>5.2</v>
      </c>
      <c r="AX768" s="8">
        <f t="shared" si="345"/>
        <v>5.2000000000000005E-2</v>
      </c>
      <c r="AY768" s="12" t="s">
        <v>839</v>
      </c>
      <c r="AZ768" s="16">
        <f>4/0.04</f>
        <v>100</v>
      </c>
      <c r="BA768" s="16" t="s">
        <v>55</v>
      </c>
      <c r="BB768" s="16">
        <v>5</v>
      </c>
      <c r="BC768" s="16">
        <v>100</v>
      </c>
      <c r="BD768" s="18">
        <v>14.2</v>
      </c>
      <c r="BE768" s="16">
        <f t="shared" si="338"/>
        <v>273.07692307692304</v>
      </c>
      <c r="BF768" s="16">
        <f t="shared" si="325"/>
        <v>2.4362850007482573</v>
      </c>
      <c r="BG768" s="8">
        <f t="shared" si="333"/>
        <v>1.1522883443830565</v>
      </c>
      <c r="BH768" s="13" t="s">
        <v>837</v>
      </c>
      <c r="BI768" s="13"/>
      <c r="BJ768" s="13"/>
      <c r="BK768" s="13"/>
      <c r="BL768" s="13"/>
      <c r="BM768" s="17"/>
      <c r="BN768" s="17"/>
      <c r="BO768" s="2"/>
    </row>
    <row r="769" spans="1:69" s="14" customFormat="1" x14ac:dyDescent="0.3">
      <c r="A769" s="20">
        <v>786</v>
      </c>
      <c r="B769" s="2" t="s">
        <v>224</v>
      </c>
      <c r="C769" s="2">
        <v>2013</v>
      </c>
      <c r="D769" s="2" t="s">
        <v>223</v>
      </c>
      <c r="E769" s="10" t="s">
        <v>222</v>
      </c>
      <c r="F769" s="20" t="s">
        <v>29</v>
      </c>
      <c r="G769" s="2" t="s">
        <v>91</v>
      </c>
      <c r="H769" s="2" t="str">
        <f>'PFAS Properties'!$B$46</f>
        <v>PFOS</v>
      </c>
      <c r="I769" s="2" t="str">
        <f>'PFAS Properties'!$C$46</f>
        <v>PFSA</v>
      </c>
      <c r="J769" s="2" t="str">
        <f>'PFAS Properties'!$D$46</f>
        <v>C8HF17O3S</v>
      </c>
      <c r="K769" s="25">
        <f>'PFAS Properties'!$P$46</f>
        <v>499.93739999999997</v>
      </c>
      <c r="L769" s="2">
        <f>'PFAS Properties'!$X$46</f>
        <v>0.1</v>
      </c>
      <c r="M769" s="2" t="str">
        <f>'PFAS Properties'!$Y$46</f>
        <v>-</v>
      </c>
      <c r="N769" s="33">
        <v>0</v>
      </c>
      <c r="O769" s="33">
        <v>0</v>
      </c>
      <c r="P769" s="33">
        <v>0</v>
      </c>
      <c r="Q769" s="33">
        <f t="shared" si="342"/>
        <v>0.99999657596249569</v>
      </c>
      <c r="R769" s="33">
        <v>0</v>
      </c>
      <c r="S769" s="33">
        <f t="shared" si="343"/>
        <v>3.424037504257256E-6</v>
      </c>
      <c r="T769" s="8">
        <f t="shared" si="332"/>
        <v>1</v>
      </c>
      <c r="U769" s="33">
        <f t="shared" si="320"/>
        <v>0</v>
      </c>
      <c r="V769" s="33">
        <f t="shared" si="321"/>
        <v>-0.99999657596249569</v>
      </c>
      <c r="W769" s="33">
        <f t="shared" si="322"/>
        <v>498.93740342403743</v>
      </c>
      <c r="X769" s="33">
        <v>96485</v>
      </c>
      <c r="Y769" s="16">
        <f t="shared" si="323"/>
        <v>-193.38030977353066</v>
      </c>
      <c r="Z769" s="16">
        <v>8</v>
      </c>
      <c r="AA769" s="16">
        <v>17</v>
      </c>
      <c r="AB769" s="8">
        <f t="shared" si="324"/>
        <v>0.29721362229102166</v>
      </c>
      <c r="AC769" s="16">
        <f t="shared" si="337"/>
        <v>64.60808893273439</v>
      </c>
      <c r="AD769" s="20">
        <f>'PFAS Properties'!$W$46</f>
        <v>8</v>
      </c>
      <c r="AE769" s="8">
        <f>'PFAS Properties'!$S$46</f>
        <v>2.0166155475571776</v>
      </c>
      <c r="AF769" s="15">
        <f>'PFAS Properties'!$V$46</f>
        <v>5</v>
      </c>
      <c r="AG769" s="124">
        <v>5.5654599999999999</v>
      </c>
      <c r="AH769" s="70" t="s">
        <v>752</v>
      </c>
      <c r="AI769" s="2" t="s">
        <v>661</v>
      </c>
      <c r="AJ769" s="2" t="s">
        <v>661</v>
      </c>
      <c r="AK769" s="2" t="s">
        <v>661</v>
      </c>
      <c r="AL769" s="2" t="s">
        <v>661</v>
      </c>
      <c r="AM769" s="2" t="s">
        <v>661</v>
      </c>
      <c r="AN769" s="2" t="s">
        <v>661</v>
      </c>
      <c r="AO769" s="2" t="s">
        <v>661</v>
      </c>
      <c r="AP769" s="16">
        <v>6.13</v>
      </c>
      <c r="AQ769" s="2" t="s">
        <v>661</v>
      </c>
      <c r="AR769" s="2">
        <v>41</v>
      </c>
      <c r="AS769" s="2">
        <v>36</v>
      </c>
      <c r="AT769" s="2">
        <v>24</v>
      </c>
      <c r="AU769" s="2" t="s">
        <v>661</v>
      </c>
      <c r="AV769" s="16">
        <f t="shared" si="344"/>
        <v>101</v>
      </c>
      <c r="AW769" s="20">
        <v>0.52</v>
      </c>
      <c r="AX769" s="8">
        <f t="shared" si="345"/>
        <v>5.1999999999999998E-3</v>
      </c>
      <c r="AY769" s="12" t="s">
        <v>839</v>
      </c>
      <c r="AZ769" s="16">
        <f>4/0.04</f>
        <v>100</v>
      </c>
      <c r="BA769" s="16" t="s">
        <v>55</v>
      </c>
      <c r="BB769" s="16">
        <v>5</v>
      </c>
      <c r="BC769" s="16">
        <v>100</v>
      </c>
      <c r="BD769" s="18">
        <v>40.299999999999997</v>
      </c>
      <c r="BE769" s="16">
        <f t="shared" si="338"/>
        <v>7750</v>
      </c>
      <c r="BF769" s="16">
        <f t="shared" si="325"/>
        <v>3.8893017025063101</v>
      </c>
      <c r="BG769" s="8">
        <f t="shared" si="333"/>
        <v>1.6053050461411094</v>
      </c>
      <c r="BH769" s="13" t="s">
        <v>837</v>
      </c>
      <c r="BI769" s="13"/>
      <c r="BJ769" s="13"/>
      <c r="BK769" s="13"/>
      <c r="BL769" s="13"/>
      <c r="BM769" s="17"/>
      <c r="BN769" s="17"/>
      <c r="BO769" s="2"/>
    </row>
    <row r="770" spans="1:69" s="14" customFormat="1" x14ac:dyDescent="0.3">
      <c r="A770" s="20">
        <v>787</v>
      </c>
      <c r="B770" s="2" t="s">
        <v>224</v>
      </c>
      <c r="C770" s="2">
        <v>2013</v>
      </c>
      <c r="D770" s="2" t="s">
        <v>223</v>
      </c>
      <c r="E770" s="10" t="s">
        <v>222</v>
      </c>
      <c r="F770" s="20" t="s">
        <v>29</v>
      </c>
      <c r="G770" s="2" t="s">
        <v>92</v>
      </c>
      <c r="H770" s="2" t="str">
        <f>'PFAS Properties'!$B$46</f>
        <v>PFOS</v>
      </c>
      <c r="I770" s="2" t="str">
        <f>'PFAS Properties'!$C$46</f>
        <v>PFSA</v>
      </c>
      <c r="J770" s="2" t="str">
        <f>'PFAS Properties'!$D$46</f>
        <v>C8HF17O3S</v>
      </c>
      <c r="K770" s="25">
        <f>'PFAS Properties'!$P$46</f>
        <v>499.93739999999997</v>
      </c>
      <c r="L770" s="2">
        <f>'PFAS Properties'!$X$46</f>
        <v>0.1</v>
      </c>
      <c r="M770" s="2" t="str">
        <f>'PFAS Properties'!$Y$46</f>
        <v>-</v>
      </c>
      <c r="N770" s="33">
        <v>0</v>
      </c>
      <c r="O770" s="33">
        <v>0</v>
      </c>
      <c r="P770" s="33">
        <v>0</v>
      </c>
      <c r="Q770" s="33">
        <f t="shared" si="342"/>
        <v>0.99999917756867784</v>
      </c>
      <c r="R770" s="33">
        <v>0</v>
      </c>
      <c r="S770" s="33">
        <f t="shared" si="343"/>
        <v>8.2243132220402384E-7</v>
      </c>
      <c r="T770" s="8">
        <f t="shared" si="332"/>
        <v>1</v>
      </c>
      <c r="U770" s="33">
        <f t="shared" si="320"/>
        <v>0</v>
      </c>
      <c r="V770" s="33">
        <f t="shared" si="321"/>
        <v>-0.99999917756867784</v>
      </c>
      <c r="W770" s="33">
        <f t="shared" si="322"/>
        <v>498.9374008224313</v>
      </c>
      <c r="X770" s="33">
        <v>96485</v>
      </c>
      <c r="Y770" s="16">
        <f t="shared" si="323"/>
        <v>-193.38081388300708</v>
      </c>
      <c r="Z770" s="16">
        <v>8</v>
      </c>
      <c r="AA770" s="16">
        <v>17</v>
      </c>
      <c r="AB770" s="8">
        <f t="shared" si="324"/>
        <v>0.29721362229102166</v>
      </c>
      <c r="AC770" s="16">
        <f t="shared" si="337"/>
        <v>64.60808893273439</v>
      </c>
      <c r="AD770" s="20">
        <f>'PFAS Properties'!$W$46</f>
        <v>8</v>
      </c>
      <c r="AE770" s="8">
        <f>'PFAS Properties'!$S$46</f>
        <v>2.0166155475571776</v>
      </c>
      <c r="AF770" s="15">
        <f>'PFAS Properties'!$V$46</f>
        <v>5</v>
      </c>
      <c r="AG770" s="124">
        <v>6.1849000007999999</v>
      </c>
      <c r="AH770" s="70" t="s">
        <v>752</v>
      </c>
      <c r="AI770" s="2" t="s">
        <v>661</v>
      </c>
      <c r="AJ770" s="2" t="s">
        <v>661</v>
      </c>
      <c r="AK770" s="2" t="s">
        <v>661</v>
      </c>
      <c r="AL770" s="2" t="s">
        <v>661</v>
      </c>
      <c r="AM770" s="2" t="s">
        <v>661</v>
      </c>
      <c r="AN770" s="2" t="s">
        <v>661</v>
      </c>
      <c r="AO770" s="2" t="s">
        <v>661</v>
      </c>
      <c r="AP770" s="16">
        <v>44.5</v>
      </c>
      <c r="AQ770" s="2" t="s">
        <v>661</v>
      </c>
      <c r="AR770" s="2">
        <v>35</v>
      </c>
      <c r="AS770" s="2">
        <v>33</v>
      </c>
      <c r="AT770" s="2">
        <v>31</v>
      </c>
      <c r="AU770" s="2" t="s">
        <v>661</v>
      </c>
      <c r="AV770" s="16">
        <f t="shared" si="344"/>
        <v>99</v>
      </c>
      <c r="AW770" s="20">
        <v>2.1</v>
      </c>
      <c r="AX770" s="8">
        <f t="shared" si="345"/>
        <v>2.1000000000000001E-2</v>
      </c>
      <c r="AY770" s="12" t="s">
        <v>839</v>
      </c>
      <c r="AZ770" s="16">
        <f>4/0.04</f>
        <v>100</v>
      </c>
      <c r="BA770" s="16" t="s">
        <v>55</v>
      </c>
      <c r="BB770" s="16">
        <v>5</v>
      </c>
      <c r="BC770" s="16">
        <v>100</v>
      </c>
      <c r="BD770" s="18">
        <v>115</v>
      </c>
      <c r="BE770" s="16">
        <f t="shared" si="338"/>
        <v>5476.1904761904761</v>
      </c>
      <c r="BF770" s="16">
        <f t="shared" si="325"/>
        <v>3.7384785456196923</v>
      </c>
      <c r="BG770" s="8">
        <f t="shared" si="333"/>
        <v>2.0606978403536118</v>
      </c>
      <c r="BH770" s="13" t="s">
        <v>837</v>
      </c>
      <c r="BI770" s="13"/>
      <c r="BJ770" s="13"/>
      <c r="BK770" s="13"/>
      <c r="BL770" s="13"/>
      <c r="BM770" s="17"/>
      <c r="BN770" s="17"/>
      <c r="BO770" s="2"/>
    </row>
    <row r="771" spans="1:69" s="14" customFormat="1" x14ac:dyDescent="0.3">
      <c r="A771" s="20">
        <v>788</v>
      </c>
      <c r="B771" s="2" t="s">
        <v>210</v>
      </c>
      <c r="C771" s="2">
        <v>2010</v>
      </c>
      <c r="D771" s="2" t="s">
        <v>209</v>
      </c>
      <c r="E771" s="10" t="s">
        <v>208</v>
      </c>
      <c r="F771" s="20" t="s">
        <v>29</v>
      </c>
      <c r="G771" s="2" t="s">
        <v>52</v>
      </c>
      <c r="H771" s="2" t="str">
        <f>'PFAS Properties'!$B$46</f>
        <v>PFOS</v>
      </c>
      <c r="I771" s="2" t="str">
        <f>'PFAS Properties'!$C$46</f>
        <v>PFSA</v>
      </c>
      <c r="J771" s="2" t="str">
        <f>'PFAS Properties'!$D$46</f>
        <v>C8HF17O3S</v>
      </c>
      <c r="K771" s="25">
        <f>'PFAS Properties'!$P$46</f>
        <v>499.93739999999997</v>
      </c>
      <c r="L771" s="2">
        <f>'PFAS Properties'!$X$46</f>
        <v>0.1</v>
      </c>
      <c r="M771" s="2" t="str">
        <f>'PFAS Properties'!$Y$46</f>
        <v>-</v>
      </c>
      <c r="N771" s="33">
        <v>0</v>
      </c>
      <c r="O771" s="33">
        <v>0</v>
      </c>
      <c r="P771" s="33">
        <v>0</v>
      </c>
      <c r="Q771" s="33">
        <f t="shared" si="342"/>
        <v>0.99999996837722438</v>
      </c>
      <c r="R771" s="33">
        <v>0</v>
      </c>
      <c r="S771" s="33">
        <f t="shared" si="343"/>
        <v>3.1622775601683729E-8</v>
      </c>
      <c r="T771" s="8">
        <f t="shared" si="332"/>
        <v>1</v>
      </c>
      <c r="U771" s="33">
        <f t="shared" ref="U771:U834" si="346">((1*N771)+(1*O771)+(1*P771))</f>
        <v>0</v>
      </c>
      <c r="V771" s="33">
        <f t="shared" ref="V771:V834" si="347">-((1*O771)+(2*P771)+(1*Q771)+(2*R771))</f>
        <v>-0.99999996837722438</v>
      </c>
      <c r="W771" s="33">
        <f t="shared" ref="W771:W834" si="348">(N771*(K771+1))+(O771*K771)+(P771*(K771-1))+(Q771*(K771-1))+(R771*(K771-2))+(S771*K771)</f>
        <v>498.93740003162276</v>
      </c>
      <c r="X771" s="33">
        <v>96485</v>
      </c>
      <c r="Y771" s="16">
        <f t="shared" ref="Y771:Y834" si="349">((V771+U771)/W771)*X771</f>
        <v>-193.38096711683923</v>
      </c>
      <c r="Z771" s="16">
        <v>8</v>
      </c>
      <c r="AA771" s="16">
        <v>17</v>
      </c>
      <c r="AB771" s="8">
        <f t="shared" ref="AB771:AB834" si="350">(Z771/AA771)*(12/19)</f>
        <v>0.29721362229102166</v>
      </c>
      <c r="AC771" s="16">
        <f t="shared" si="337"/>
        <v>64.60808893273439</v>
      </c>
      <c r="AD771" s="20">
        <f>'PFAS Properties'!$W$46</f>
        <v>8</v>
      </c>
      <c r="AE771" s="8">
        <f>'PFAS Properties'!$S$46</f>
        <v>2.0166155475571776</v>
      </c>
      <c r="AF771" s="15">
        <f>'PFAS Properties'!$V$46</f>
        <v>5</v>
      </c>
      <c r="AG771" s="24">
        <v>7.6</v>
      </c>
      <c r="AH771" s="2" t="s">
        <v>661</v>
      </c>
      <c r="AI771" s="2">
        <v>8.1199999999999992</v>
      </c>
      <c r="AJ771" s="15">
        <f>AI771*1000/55.845</f>
        <v>145.40245321873041</v>
      </c>
      <c r="AK771" s="8">
        <f t="shared" ref="AK771:AK779" si="351">AI771/10</f>
        <v>0.81199999999999994</v>
      </c>
      <c r="AL771" s="2">
        <v>1.294</v>
      </c>
      <c r="AM771" s="15">
        <f>AL771*1000/26.98</f>
        <v>47.961452928094886</v>
      </c>
      <c r="AN771" s="8">
        <f t="shared" ref="AN771:AN779" si="352">AL771/10</f>
        <v>0.12940000000000002</v>
      </c>
      <c r="AO771" s="15" t="s">
        <v>41</v>
      </c>
      <c r="AP771" s="72">
        <v>5.6985666666666646</v>
      </c>
      <c r="AQ771" s="70" t="s">
        <v>752</v>
      </c>
      <c r="AR771" s="2">
        <v>41</v>
      </c>
      <c r="AS771" s="2">
        <v>22</v>
      </c>
      <c r="AT771" s="2">
        <v>37</v>
      </c>
      <c r="AU771" s="16" t="s">
        <v>661</v>
      </c>
      <c r="AV771" s="16">
        <f t="shared" ref="AV771:AV779" si="353">SUM(AR771:AT771)</f>
        <v>100</v>
      </c>
      <c r="AW771" s="20">
        <v>0.42</v>
      </c>
      <c r="AX771" s="8">
        <f t="shared" si="345"/>
        <v>4.1999999999999997E-3</v>
      </c>
      <c r="AY771" s="13" t="s">
        <v>53</v>
      </c>
      <c r="AZ771" s="16">
        <f>12/0.025</f>
        <v>480</v>
      </c>
      <c r="BA771" s="16" t="s">
        <v>55</v>
      </c>
      <c r="BB771" s="8">
        <v>0.02</v>
      </c>
      <c r="BC771" s="8">
        <v>1</v>
      </c>
      <c r="BD771" s="18">
        <v>15</v>
      </c>
      <c r="BE771" s="16">
        <f t="shared" si="338"/>
        <v>3571.4285714285716</v>
      </c>
      <c r="BF771" s="16">
        <f t="shared" ref="BF771:BF834" si="354">LOG(BE771)</f>
        <v>3.552841968657781</v>
      </c>
      <c r="BG771" s="8">
        <f t="shared" si="333"/>
        <v>1.1760912590556813</v>
      </c>
      <c r="BH771" s="13" t="s">
        <v>837</v>
      </c>
      <c r="BI771" s="13"/>
      <c r="BJ771" s="13"/>
      <c r="BK771" s="13"/>
      <c r="BL771" s="13"/>
      <c r="BM771" s="17"/>
      <c r="BN771" s="17"/>
      <c r="BO771" s="2"/>
    </row>
    <row r="772" spans="1:69" s="14" customFormat="1" x14ac:dyDescent="0.3">
      <c r="A772" s="20">
        <v>789</v>
      </c>
      <c r="B772" s="2" t="s">
        <v>210</v>
      </c>
      <c r="C772" s="2">
        <v>2010</v>
      </c>
      <c r="D772" s="2" t="s">
        <v>209</v>
      </c>
      <c r="E772" s="10" t="s">
        <v>208</v>
      </c>
      <c r="F772" s="20" t="s">
        <v>29</v>
      </c>
      <c r="G772" s="2" t="s">
        <v>54</v>
      </c>
      <c r="H772" s="2" t="str">
        <f>'PFAS Properties'!$B$46</f>
        <v>PFOS</v>
      </c>
      <c r="I772" s="2" t="str">
        <f>'PFAS Properties'!$C$46</f>
        <v>PFSA</v>
      </c>
      <c r="J772" s="2" t="str">
        <f>'PFAS Properties'!$D$46</f>
        <v>C8HF17O3S</v>
      </c>
      <c r="K772" s="25">
        <f>'PFAS Properties'!$P$46</f>
        <v>499.93739999999997</v>
      </c>
      <c r="L772" s="2">
        <f>'PFAS Properties'!$X$46</f>
        <v>0.1</v>
      </c>
      <c r="M772" s="2" t="str">
        <f>'PFAS Properties'!$Y$46</f>
        <v>-</v>
      </c>
      <c r="N772" s="33">
        <v>0</v>
      </c>
      <c r="O772" s="33">
        <v>0</v>
      </c>
      <c r="P772" s="33">
        <v>0</v>
      </c>
      <c r="Q772" s="33">
        <f t="shared" si="342"/>
        <v>0.99999900000099995</v>
      </c>
      <c r="R772" s="33">
        <v>0</v>
      </c>
      <c r="S772" s="33">
        <f t="shared" si="343"/>
        <v>9.9999900000100006E-7</v>
      </c>
      <c r="T772" s="8">
        <f t="shared" si="332"/>
        <v>1</v>
      </c>
      <c r="U772" s="33">
        <f t="shared" si="346"/>
        <v>0</v>
      </c>
      <c r="V772" s="33">
        <f t="shared" si="347"/>
        <v>-0.99999900000099995</v>
      </c>
      <c r="W772" s="33">
        <f t="shared" si="348"/>
        <v>498.93740099999894</v>
      </c>
      <c r="X772" s="33">
        <v>96485</v>
      </c>
      <c r="Y772" s="16">
        <f t="shared" si="349"/>
        <v>-193.38077947597415</v>
      </c>
      <c r="Z772" s="16">
        <v>8</v>
      </c>
      <c r="AA772" s="16">
        <v>17</v>
      </c>
      <c r="AB772" s="8">
        <f t="shared" si="350"/>
        <v>0.29721362229102166</v>
      </c>
      <c r="AC772" s="16">
        <f t="shared" si="337"/>
        <v>64.60808893273439</v>
      </c>
      <c r="AD772" s="20">
        <f>'PFAS Properties'!$W$46</f>
        <v>8</v>
      </c>
      <c r="AE772" s="8">
        <f>'PFAS Properties'!$S$46</f>
        <v>2.0166155475571776</v>
      </c>
      <c r="AF772" s="15">
        <f>'PFAS Properties'!$V$46</f>
        <v>5</v>
      </c>
      <c r="AG772" s="24">
        <v>6.1</v>
      </c>
      <c r="AH772" s="2" t="s">
        <v>661</v>
      </c>
      <c r="AI772" s="2">
        <v>2.73</v>
      </c>
      <c r="AJ772" s="15">
        <f>AI772*1000/55.845</f>
        <v>48.885307547676604</v>
      </c>
      <c r="AK772" s="8">
        <f t="shared" si="351"/>
        <v>0.27300000000000002</v>
      </c>
      <c r="AL772" s="2">
        <v>2.6320000000000001</v>
      </c>
      <c r="AM772" s="15">
        <f>AL772*1000/26.98</f>
        <v>97.553743513713854</v>
      </c>
      <c r="AN772" s="8">
        <f t="shared" si="352"/>
        <v>0.26319999999999999</v>
      </c>
      <c r="AO772" s="15" t="s">
        <v>41</v>
      </c>
      <c r="AP772" s="72">
        <v>12.81991666666667</v>
      </c>
      <c r="AQ772" s="70" t="s">
        <v>752</v>
      </c>
      <c r="AR772" s="2">
        <v>94</v>
      </c>
      <c r="AS772" s="2">
        <v>1</v>
      </c>
      <c r="AT772" s="2">
        <v>5</v>
      </c>
      <c r="AU772" s="16" t="s">
        <v>661</v>
      </c>
      <c r="AV772" s="16">
        <f t="shared" si="353"/>
        <v>100</v>
      </c>
      <c r="AW772" s="20">
        <v>1</v>
      </c>
      <c r="AX772" s="8">
        <f t="shared" si="345"/>
        <v>0.01</v>
      </c>
      <c r="AY772" s="13" t="s">
        <v>53</v>
      </c>
      <c r="AZ772" s="16">
        <f>12/0.025</f>
        <v>480</v>
      </c>
      <c r="BA772" s="16" t="s">
        <v>55</v>
      </c>
      <c r="BB772" s="8">
        <v>0.02</v>
      </c>
      <c r="BC772" s="8">
        <v>1</v>
      </c>
      <c r="BD772" s="18">
        <v>17</v>
      </c>
      <c r="BE772" s="16">
        <f t="shared" si="338"/>
        <v>1700</v>
      </c>
      <c r="BF772" s="16">
        <f t="shared" si="354"/>
        <v>3.2304489213782741</v>
      </c>
      <c r="BG772" s="8">
        <f t="shared" si="333"/>
        <v>1.2304489213782739</v>
      </c>
      <c r="BH772" s="13" t="s">
        <v>837</v>
      </c>
      <c r="BI772" s="2"/>
      <c r="BJ772" s="2"/>
      <c r="BK772" s="2"/>
      <c r="BL772" s="2"/>
      <c r="BM772" s="2"/>
      <c r="BN772" s="2"/>
      <c r="BO772" s="2"/>
    </row>
    <row r="773" spans="1:69" s="14" customFormat="1" x14ac:dyDescent="0.3">
      <c r="A773" s="20">
        <v>790</v>
      </c>
      <c r="B773" s="2" t="s">
        <v>204</v>
      </c>
      <c r="C773" s="2">
        <v>2013</v>
      </c>
      <c r="D773" s="2" t="s">
        <v>203</v>
      </c>
      <c r="E773" s="10" t="s">
        <v>792</v>
      </c>
      <c r="F773" s="20" t="s">
        <v>29</v>
      </c>
      <c r="G773" s="2" t="s">
        <v>46</v>
      </c>
      <c r="H773" s="2" t="str">
        <f>'PFAS Properties'!$B$46</f>
        <v>PFOS</v>
      </c>
      <c r="I773" s="2" t="str">
        <f>'PFAS Properties'!$C$46</f>
        <v>PFSA</v>
      </c>
      <c r="J773" s="2" t="str">
        <f>'PFAS Properties'!$D$46</f>
        <v>C8HF17O3S</v>
      </c>
      <c r="K773" s="25">
        <f>'PFAS Properties'!$P$46</f>
        <v>499.93739999999997</v>
      </c>
      <c r="L773" s="2">
        <f>'PFAS Properties'!$X$46</f>
        <v>0.1</v>
      </c>
      <c r="M773" s="2" t="str">
        <f>'PFAS Properties'!$Y$46</f>
        <v>-</v>
      </c>
      <c r="N773" s="33">
        <v>0</v>
      </c>
      <c r="O773" s="33">
        <v>0</v>
      </c>
      <c r="P773" s="33">
        <v>0</v>
      </c>
      <c r="Q773" s="33">
        <f t="shared" si="342"/>
        <v>0.99999900000099995</v>
      </c>
      <c r="R773" s="33">
        <v>0</v>
      </c>
      <c r="S773" s="33">
        <f t="shared" si="343"/>
        <v>9.9999900000100006E-7</v>
      </c>
      <c r="T773" s="8">
        <f t="shared" si="332"/>
        <v>1</v>
      </c>
      <c r="U773" s="33">
        <f t="shared" si="346"/>
        <v>0</v>
      </c>
      <c r="V773" s="33">
        <f t="shared" si="347"/>
        <v>-0.99999900000099995</v>
      </c>
      <c r="W773" s="33">
        <f t="shared" si="348"/>
        <v>498.93740099999894</v>
      </c>
      <c r="X773" s="33">
        <v>96485</v>
      </c>
      <c r="Y773" s="16">
        <f t="shared" si="349"/>
        <v>-193.38077947597415</v>
      </c>
      <c r="Z773" s="16">
        <v>8</v>
      </c>
      <c r="AA773" s="16">
        <v>17</v>
      </c>
      <c r="AB773" s="8">
        <f t="shared" si="350"/>
        <v>0.29721362229102166</v>
      </c>
      <c r="AC773" s="16">
        <f t="shared" si="337"/>
        <v>64.60808893273439</v>
      </c>
      <c r="AD773" s="20">
        <f>'PFAS Properties'!$W$46</f>
        <v>8</v>
      </c>
      <c r="AE773" s="8">
        <f>'PFAS Properties'!$S$46</f>
        <v>2.0166155475571776</v>
      </c>
      <c r="AF773" s="15">
        <f>'PFAS Properties'!$V$46</f>
        <v>5</v>
      </c>
      <c r="AG773" s="24">
        <v>6.1</v>
      </c>
      <c r="AH773" s="2" t="s">
        <v>661</v>
      </c>
      <c r="AI773" s="15">
        <v>2.21</v>
      </c>
      <c r="AJ773" s="16">
        <f>AI773*1000/55.845</f>
        <v>39.573820395738203</v>
      </c>
      <c r="AK773" s="8">
        <f>AI773/10</f>
        <v>0.221</v>
      </c>
      <c r="AL773" s="15">
        <v>0.93</v>
      </c>
      <c r="AM773" s="16">
        <f>AL773*1000/26.98</f>
        <v>34.469977761304669</v>
      </c>
      <c r="AN773" s="8">
        <f>AL773/10</f>
        <v>9.2999999999999999E-2</v>
      </c>
      <c r="AO773" s="15" t="s">
        <v>41</v>
      </c>
      <c r="AP773" s="72">
        <v>14.27683666666667</v>
      </c>
      <c r="AQ773" s="2" t="s">
        <v>752</v>
      </c>
      <c r="AR773" s="16">
        <v>81</v>
      </c>
      <c r="AS773" s="16">
        <v>1</v>
      </c>
      <c r="AT773" s="16">
        <v>9</v>
      </c>
      <c r="AU773" s="16" t="s">
        <v>661</v>
      </c>
      <c r="AV773" s="16">
        <f t="shared" ref="AV773:AV775" si="355">SUM(AR773:AT773)</f>
        <v>91</v>
      </c>
      <c r="AW773" s="18">
        <v>1.7</v>
      </c>
      <c r="AX773" s="13">
        <f t="shared" si="345"/>
        <v>1.7000000000000001E-2</v>
      </c>
      <c r="AY773" s="13" t="s">
        <v>42</v>
      </c>
      <c r="AZ773" s="16">
        <f>15/0.04</f>
        <v>375</v>
      </c>
      <c r="BA773" s="16" t="s">
        <v>55</v>
      </c>
      <c r="BB773" s="15">
        <v>0.5</v>
      </c>
      <c r="BC773" s="16">
        <v>1000</v>
      </c>
      <c r="BD773" s="18">
        <v>4.6500000000000004</v>
      </c>
      <c r="BE773" s="16">
        <f t="shared" si="338"/>
        <v>273.52941176470586</v>
      </c>
      <c r="BF773" s="16">
        <f t="shared" si="354"/>
        <v>2.4370040315116799</v>
      </c>
      <c r="BG773" s="8">
        <f t="shared" si="333"/>
        <v>0.66745295288995399</v>
      </c>
      <c r="BH773" s="13" t="s">
        <v>844</v>
      </c>
      <c r="BI773" s="13"/>
      <c r="BJ773" s="13"/>
      <c r="BK773" s="8"/>
      <c r="BL773" s="8"/>
      <c r="BM773" s="18"/>
      <c r="BN773" s="8"/>
      <c r="BO773" s="24"/>
    </row>
    <row r="774" spans="1:69" s="14" customFormat="1" x14ac:dyDescent="0.3">
      <c r="A774" s="20">
        <v>791</v>
      </c>
      <c r="B774" s="2" t="s">
        <v>204</v>
      </c>
      <c r="C774" s="2">
        <v>2013</v>
      </c>
      <c r="D774" s="2" t="s">
        <v>203</v>
      </c>
      <c r="E774" s="10" t="s">
        <v>792</v>
      </c>
      <c r="F774" s="20" t="s">
        <v>29</v>
      </c>
      <c r="G774" s="2" t="s">
        <v>50</v>
      </c>
      <c r="H774" s="2" t="str">
        <f>'PFAS Properties'!$B$46</f>
        <v>PFOS</v>
      </c>
      <c r="I774" s="2" t="str">
        <f>'PFAS Properties'!$C$46</f>
        <v>PFSA</v>
      </c>
      <c r="J774" s="2" t="str">
        <f>'PFAS Properties'!$D$46</f>
        <v>C8HF17O3S</v>
      </c>
      <c r="K774" s="25">
        <f>'PFAS Properties'!$P$46</f>
        <v>499.93739999999997</v>
      </c>
      <c r="L774" s="2">
        <f>'PFAS Properties'!$X$46</f>
        <v>0.1</v>
      </c>
      <c r="M774" s="2" t="str">
        <f>'PFAS Properties'!$Y$46</f>
        <v>-</v>
      </c>
      <c r="N774" s="33">
        <v>0</v>
      </c>
      <c r="O774" s="33">
        <v>0</v>
      </c>
      <c r="P774" s="33">
        <v>0</v>
      </c>
      <c r="Q774" s="33">
        <f t="shared" si="342"/>
        <v>0.99999998004737722</v>
      </c>
      <c r="R774" s="33">
        <v>0</v>
      </c>
      <c r="S774" s="33">
        <f t="shared" si="343"/>
        <v>1.995262275158161E-8</v>
      </c>
      <c r="T774" s="8">
        <f t="shared" si="332"/>
        <v>1</v>
      </c>
      <c r="U774" s="33">
        <f t="shared" si="346"/>
        <v>0</v>
      </c>
      <c r="V774" s="33">
        <f t="shared" si="347"/>
        <v>-0.99999998004737722</v>
      </c>
      <c r="W774" s="33">
        <f t="shared" si="348"/>
        <v>498.93740001995263</v>
      </c>
      <c r="X774" s="33">
        <v>96485</v>
      </c>
      <c r="Y774" s="16">
        <f t="shared" si="349"/>
        <v>-193.38096937814788</v>
      </c>
      <c r="Z774" s="16">
        <v>8</v>
      </c>
      <c r="AA774" s="16">
        <v>17</v>
      </c>
      <c r="AB774" s="8">
        <f t="shared" si="350"/>
        <v>0.29721362229102166</v>
      </c>
      <c r="AC774" s="16">
        <f t="shared" si="337"/>
        <v>64.60808893273439</v>
      </c>
      <c r="AD774" s="20">
        <f>'PFAS Properties'!$W$46</f>
        <v>8</v>
      </c>
      <c r="AE774" s="8">
        <f>'PFAS Properties'!$S$46</f>
        <v>2.0166155475571776</v>
      </c>
      <c r="AF774" s="15">
        <f>'PFAS Properties'!$V$46</f>
        <v>5</v>
      </c>
      <c r="AG774" s="24">
        <v>7.8</v>
      </c>
      <c r="AH774" s="2" t="s">
        <v>661</v>
      </c>
      <c r="AI774" s="15">
        <v>6.14</v>
      </c>
      <c r="AJ774" s="16">
        <f>AI774/10</f>
        <v>0.61399999999999999</v>
      </c>
      <c r="AK774" s="8">
        <f>AI774/10</f>
        <v>0.61399999999999999</v>
      </c>
      <c r="AL774" s="15">
        <v>1.67</v>
      </c>
      <c r="AM774" s="15">
        <f>AL774/10</f>
        <v>0.16699999999999998</v>
      </c>
      <c r="AN774" s="8">
        <f>AL774/10</f>
        <v>0.16699999999999998</v>
      </c>
      <c r="AO774" s="15" t="s">
        <v>41</v>
      </c>
      <c r="AP774" s="72">
        <v>6.4956666666666676</v>
      </c>
      <c r="AQ774" s="2" t="s">
        <v>752</v>
      </c>
      <c r="AR774" s="16">
        <v>33</v>
      </c>
      <c r="AS774" s="16">
        <v>42</v>
      </c>
      <c r="AT774" s="16">
        <v>25</v>
      </c>
      <c r="AU774" s="16" t="s">
        <v>661</v>
      </c>
      <c r="AV774" s="16">
        <f t="shared" si="355"/>
        <v>100</v>
      </c>
      <c r="AW774" s="18">
        <v>4.5</v>
      </c>
      <c r="AX774" s="13">
        <f t="shared" si="345"/>
        <v>4.4999999999999998E-2</v>
      </c>
      <c r="AY774" s="13" t="s">
        <v>42</v>
      </c>
      <c r="AZ774" s="16">
        <f>15/0.04</f>
        <v>375</v>
      </c>
      <c r="BA774" s="16" t="s">
        <v>55</v>
      </c>
      <c r="BB774" s="15">
        <v>0.5</v>
      </c>
      <c r="BC774" s="16">
        <v>1000</v>
      </c>
      <c r="BD774" s="18">
        <v>36.630000000000003</v>
      </c>
      <c r="BE774" s="16">
        <f t="shared" si="338"/>
        <v>814.00000000000011</v>
      </c>
      <c r="BF774" s="16">
        <f t="shared" si="354"/>
        <v>2.9106244048892012</v>
      </c>
      <c r="BG774" s="8">
        <f t="shared" si="333"/>
        <v>1.5638369186645449</v>
      </c>
      <c r="BH774" s="13" t="s">
        <v>844</v>
      </c>
      <c r="BI774" s="13"/>
      <c r="BJ774" s="13"/>
      <c r="BK774" s="8"/>
      <c r="BL774" s="8"/>
      <c r="BM774" s="18"/>
      <c r="BN774" s="8"/>
      <c r="BO774" s="24"/>
    </row>
    <row r="775" spans="1:69" s="14" customFormat="1" x14ac:dyDescent="0.3">
      <c r="A775" s="20">
        <v>792</v>
      </c>
      <c r="B775" s="2" t="s">
        <v>204</v>
      </c>
      <c r="C775" s="2">
        <v>2013</v>
      </c>
      <c r="D775" s="2" t="s">
        <v>203</v>
      </c>
      <c r="E775" s="10" t="s">
        <v>792</v>
      </c>
      <c r="F775" s="20" t="s">
        <v>29</v>
      </c>
      <c r="G775" s="2" t="s">
        <v>40</v>
      </c>
      <c r="H775" s="2" t="str">
        <f>'PFAS Properties'!$B$46</f>
        <v>PFOS</v>
      </c>
      <c r="I775" s="2" t="str">
        <f>'PFAS Properties'!$C$46</f>
        <v>PFSA</v>
      </c>
      <c r="J775" s="2" t="str">
        <f>'PFAS Properties'!$D$46</f>
        <v>C8HF17O3S</v>
      </c>
      <c r="K775" s="25">
        <f>'PFAS Properties'!$P$46</f>
        <v>499.93739999999997</v>
      </c>
      <c r="L775" s="2">
        <f>'PFAS Properties'!$X$46</f>
        <v>0.1</v>
      </c>
      <c r="M775" s="2" t="str">
        <f>'PFAS Properties'!$Y$46</f>
        <v>-</v>
      </c>
      <c r="N775" s="33">
        <v>0</v>
      </c>
      <c r="O775" s="33">
        <v>0</v>
      </c>
      <c r="P775" s="33">
        <v>0</v>
      </c>
      <c r="Q775" s="33">
        <f t="shared" si="342"/>
        <v>0.99999205678074798</v>
      </c>
      <c r="R775" s="33">
        <v>0</v>
      </c>
      <c r="S775" s="33">
        <f t="shared" si="343"/>
        <v>7.9432192520095278E-6</v>
      </c>
      <c r="T775" s="8">
        <f t="shared" si="332"/>
        <v>1</v>
      </c>
      <c r="U775" s="33">
        <f t="shared" si="346"/>
        <v>0</v>
      </c>
      <c r="V775" s="33">
        <f t="shared" si="347"/>
        <v>-0.99999205678074798</v>
      </c>
      <c r="W775" s="33">
        <f t="shared" si="348"/>
        <v>498.93740794321923</v>
      </c>
      <c r="X775" s="33">
        <v>96485</v>
      </c>
      <c r="Y775" s="16">
        <f t="shared" si="349"/>
        <v>-193.37943409821597</v>
      </c>
      <c r="Z775" s="16">
        <v>8</v>
      </c>
      <c r="AA775" s="16">
        <v>17</v>
      </c>
      <c r="AB775" s="8">
        <f t="shared" si="350"/>
        <v>0.29721362229102166</v>
      </c>
      <c r="AC775" s="16">
        <f t="shared" si="337"/>
        <v>64.60808893273439</v>
      </c>
      <c r="AD775" s="20">
        <f>'PFAS Properties'!$W$46</f>
        <v>8</v>
      </c>
      <c r="AE775" s="8">
        <f>'PFAS Properties'!$S$46</f>
        <v>2.0166155475571776</v>
      </c>
      <c r="AF775" s="15">
        <f>'PFAS Properties'!$V$46</f>
        <v>5</v>
      </c>
      <c r="AG775" s="24">
        <v>5.2</v>
      </c>
      <c r="AH775" s="2" t="s">
        <v>661</v>
      </c>
      <c r="AI775" s="15">
        <v>24.17</v>
      </c>
      <c r="AJ775" s="16">
        <f>AI775*1000/55.845</f>
        <v>432.80508550452146</v>
      </c>
      <c r="AK775" s="8">
        <f>AI775/10</f>
        <v>2.4170000000000003</v>
      </c>
      <c r="AL775" s="15">
        <v>3.99</v>
      </c>
      <c r="AM775" s="16">
        <f>AL775*1000/26.98</f>
        <v>147.88732394366198</v>
      </c>
      <c r="AN775" s="8">
        <f>AL775/10</f>
        <v>0.39900000000000002</v>
      </c>
      <c r="AO775" s="15" t="s">
        <v>41</v>
      </c>
      <c r="AP775" s="72">
        <v>12.009766666666669</v>
      </c>
      <c r="AQ775" s="2" t="s">
        <v>752</v>
      </c>
      <c r="AR775" s="16">
        <v>47</v>
      </c>
      <c r="AS775" s="16">
        <v>20</v>
      </c>
      <c r="AT775" s="16">
        <v>33</v>
      </c>
      <c r="AU775" s="16" t="s">
        <v>661</v>
      </c>
      <c r="AV775" s="16">
        <f t="shared" si="355"/>
        <v>100</v>
      </c>
      <c r="AW775" s="18">
        <v>0.8</v>
      </c>
      <c r="AX775" s="13">
        <f t="shared" si="345"/>
        <v>8.0000000000000002E-3</v>
      </c>
      <c r="AY775" s="13" t="s">
        <v>42</v>
      </c>
      <c r="AZ775" s="16">
        <f>15/0.04</f>
        <v>375</v>
      </c>
      <c r="BA775" s="16" t="s">
        <v>55</v>
      </c>
      <c r="BB775" s="15">
        <v>0.5</v>
      </c>
      <c r="BC775" s="16">
        <v>1000</v>
      </c>
      <c r="BD775" s="18">
        <v>5.1100000000000003</v>
      </c>
      <c r="BE775" s="16">
        <f t="shared" si="338"/>
        <v>638.75</v>
      </c>
      <c r="BF775" s="16">
        <f t="shared" si="354"/>
        <v>2.8053309131427691</v>
      </c>
      <c r="BG775" s="8">
        <f t="shared" si="333"/>
        <v>0.70842090013471271</v>
      </c>
      <c r="BH775" s="13" t="s">
        <v>844</v>
      </c>
      <c r="BI775" s="13"/>
      <c r="BJ775" s="13"/>
      <c r="BK775" s="8"/>
      <c r="BL775" s="8"/>
      <c r="BM775" s="18"/>
      <c r="BN775" s="8"/>
      <c r="BO775" s="24"/>
    </row>
    <row r="776" spans="1:69" x14ac:dyDescent="0.3">
      <c r="A776" s="20">
        <v>793</v>
      </c>
      <c r="B776" s="1" t="s">
        <v>873</v>
      </c>
      <c r="C776" s="1">
        <v>2007</v>
      </c>
      <c r="D776" s="1" t="s">
        <v>203</v>
      </c>
      <c r="E776" s="10" t="s">
        <v>225</v>
      </c>
      <c r="F776" s="7" t="s">
        <v>63</v>
      </c>
      <c r="G776" s="4">
        <v>1</v>
      </c>
      <c r="H776" s="2" t="str">
        <f>'PFAS Properties'!$B$46</f>
        <v>PFOS</v>
      </c>
      <c r="I776" s="2" t="str">
        <f>'PFAS Properties'!$C$46</f>
        <v>PFSA</v>
      </c>
      <c r="J776" s="2" t="str">
        <f>'PFAS Properties'!$D$46</f>
        <v>C8HF17O3S</v>
      </c>
      <c r="K776" s="25">
        <f>'PFAS Properties'!$P$46</f>
        <v>499.93739999999997</v>
      </c>
      <c r="L776" s="2">
        <f>'PFAS Properties'!$X$46</f>
        <v>0.1</v>
      </c>
      <c r="M776" s="2" t="str">
        <f>'PFAS Properties'!$Y$46</f>
        <v>-</v>
      </c>
      <c r="N776" s="33">
        <v>0</v>
      </c>
      <c r="O776" s="33">
        <v>0</v>
      </c>
      <c r="P776" s="33">
        <v>0</v>
      </c>
      <c r="Q776" s="33">
        <f t="shared" si="342"/>
        <v>0.99999987410747471</v>
      </c>
      <c r="R776" s="33">
        <v>0</v>
      </c>
      <c r="S776" s="33">
        <f t="shared" si="343"/>
        <v>1.2589252533048661E-7</v>
      </c>
      <c r="T776" s="8">
        <f t="shared" si="332"/>
        <v>1</v>
      </c>
      <c r="U776" s="33">
        <f t="shared" si="346"/>
        <v>0</v>
      </c>
      <c r="V776" s="33">
        <f t="shared" si="347"/>
        <v>-0.99999987410747471</v>
      </c>
      <c r="W776" s="33">
        <f t="shared" si="348"/>
        <v>498.93740012589251</v>
      </c>
      <c r="X776" s="33">
        <v>96485</v>
      </c>
      <c r="Y776" s="16">
        <f t="shared" si="349"/>
        <v>-193.38094885032569</v>
      </c>
      <c r="Z776" s="16">
        <v>8</v>
      </c>
      <c r="AA776" s="16">
        <v>17</v>
      </c>
      <c r="AB776" s="8">
        <f t="shared" si="350"/>
        <v>0.29721362229102166</v>
      </c>
      <c r="AC776" s="16">
        <f t="shared" si="337"/>
        <v>64.60808893273439</v>
      </c>
      <c r="AD776" s="20">
        <f>'PFAS Properties'!$W$46</f>
        <v>8</v>
      </c>
      <c r="AE776" s="8">
        <f>'PFAS Properties'!$S$46</f>
        <v>2.0166155475571776</v>
      </c>
      <c r="AF776" s="15">
        <f>'PFAS Properties'!$V$46</f>
        <v>5</v>
      </c>
      <c r="AG776" s="26">
        <v>7</v>
      </c>
      <c r="AH776" s="1" t="s">
        <v>363</v>
      </c>
      <c r="AI776" s="6">
        <f>334*55.85/1000</f>
        <v>18.6539</v>
      </c>
      <c r="AJ776" s="3">
        <f t="shared" ref="AJ776:AJ779" si="356">AI776*1000/55.845</f>
        <v>334.0299041991226</v>
      </c>
      <c r="AK776" s="8">
        <f t="shared" si="351"/>
        <v>1.8653900000000001</v>
      </c>
      <c r="AL776" s="6">
        <f>41*26.98/1000</f>
        <v>1.1061800000000002</v>
      </c>
      <c r="AM776" s="3">
        <f t="shared" ref="AM776:AM779" si="357">AL776*1000/26.98</f>
        <v>41</v>
      </c>
      <c r="AN776" s="8">
        <f t="shared" si="352"/>
        <v>0.11061800000000002</v>
      </c>
      <c r="AO776" s="3" t="s">
        <v>93</v>
      </c>
      <c r="AP776" s="15">
        <v>38.6</v>
      </c>
      <c r="AQ776" s="1" t="s">
        <v>363</v>
      </c>
      <c r="AR776" s="4">
        <v>11</v>
      </c>
      <c r="AS776" s="4">
        <v>36</v>
      </c>
      <c r="AT776" s="4">
        <v>53</v>
      </c>
      <c r="AU776" s="1" t="s">
        <v>363</v>
      </c>
      <c r="AV776" s="16">
        <f t="shared" si="353"/>
        <v>100</v>
      </c>
      <c r="AW776" s="7">
        <v>2.48</v>
      </c>
      <c r="AX776" s="31">
        <f t="shared" si="345"/>
        <v>2.4799999999999999E-2</v>
      </c>
      <c r="AY776" s="5" t="s">
        <v>87</v>
      </c>
      <c r="AZ776" s="39">
        <f>5/0.05</f>
        <v>100</v>
      </c>
      <c r="BA776" s="30" t="s">
        <v>55</v>
      </c>
      <c r="BB776" s="15">
        <f>1*K776/1000</f>
        <v>0.49993739999999998</v>
      </c>
      <c r="BC776" s="16">
        <f>200*K776/1000</f>
        <v>99.987479999999991</v>
      </c>
      <c r="BD776" s="26">
        <v>17.16</v>
      </c>
      <c r="BE776" s="16">
        <f t="shared" si="338"/>
        <v>691.9354838709678</v>
      </c>
      <c r="BF776" s="16">
        <f t="shared" si="354"/>
        <v>2.8400656026864706</v>
      </c>
      <c r="BG776" s="8">
        <f t="shared" si="333"/>
        <v>1.2345172835126867</v>
      </c>
      <c r="BH776" s="13" t="s">
        <v>844</v>
      </c>
      <c r="BI776" s="13"/>
      <c r="BJ776" s="13"/>
      <c r="BK776" s="8"/>
      <c r="BL776" s="8"/>
      <c r="BM776" s="18"/>
      <c r="BN776" s="8"/>
      <c r="BO776" s="24"/>
      <c r="BP776" s="11"/>
      <c r="BQ776" s="11"/>
    </row>
    <row r="777" spans="1:69" x14ac:dyDescent="0.3">
      <c r="A777" s="20">
        <v>794</v>
      </c>
      <c r="B777" s="1" t="s">
        <v>873</v>
      </c>
      <c r="C777" s="1">
        <v>2007</v>
      </c>
      <c r="D777" s="1" t="s">
        <v>203</v>
      </c>
      <c r="E777" s="10" t="s">
        <v>225</v>
      </c>
      <c r="F777" s="7" t="s">
        <v>63</v>
      </c>
      <c r="G777" s="4">
        <v>2</v>
      </c>
      <c r="H777" s="2" t="str">
        <f>'PFAS Properties'!$B$46</f>
        <v>PFOS</v>
      </c>
      <c r="I777" s="2" t="str">
        <f>'PFAS Properties'!$C$46</f>
        <v>PFSA</v>
      </c>
      <c r="J777" s="2" t="str">
        <f>'PFAS Properties'!$D$46</f>
        <v>C8HF17O3S</v>
      </c>
      <c r="K777" s="25">
        <f>'PFAS Properties'!$P$46</f>
        <v>499.93739999999997</v>
      </c>
      <c r="L777" s="2">
        <f>'PFAS Properties'!$X$46</f>
        <v>0.1</v>
      </c>
      <c r="M777" s="2" t="str">
        <f>'PFAS Properties'!$Y$46</f>
        <v>-</v>
      </c>
      <c r="N777" s="33">
        <v>0</v>
      </c>
      <c r="O777" s="33">
        <v>0</v>
      </c>
      <c r="P777" s="33">
        <v>0</v>
      </c>
      <c r="Q777" s="33">
        <f t="shared" si="342"/>
        <v>0.9999999601892845</v>
      </c>
      <c r="R777" s="33">
        <v>0</v>
      </c>
      <c r="S777" s="33">
        <f t="shared" si="343"/>
        <v>3.9810715470456442E-8</v>
      </c>
      <c r="T777" s="8">
        <f t="shared" si="332"/>
        <v>1</v>
      </c>
      <c r="U777" s="33">
        <f t="shared" si="346"/>
        <v>0</v>
      </c>
      <c r="V777" s="33">
        <f t="shared" si="347"/>
        <v>-0.9999999601892845</v>
      </c>
      <c r="W777" s="33">
        <f t="shared" si="348"/>
        <v>498.93740003981065</v>
      </c>
      <c r="X777" s="33">
        <v>96485</v>
      </c>
      <c r="Y777" s="16">
        <f t="shared" si="349"/>
        <v>-193.38096553027393</v>
      </c>
      <c r="Z777" s="16">
        <v>8</v>
      </c>
      <c r="AA777" s="16">
        <v>17</v>
      </c>
      <c r="AB777" s="8">
        <f t="shared" si="350"/>
        <v>0.29721362229102166</v>
      </c>
      <c r="AC777" s="16">
        <f t="shared" si="337"/>
        <v>64.60808893273439</v>
      </c>
      <c r="AD777" s="20">
        <f>'PFAS Properties'!$W$46</f>
        <v>8</v>
      </c>
      <c r="AE777" s="8">
        <f>'PFAS Properties'!$S$46</f>
        <v>2.0166155475571776</v>
      </c>
      <c r="AF777" s="15">
        <f>'PFAS Properties'!$V$46</f>
        <v>5</v>
      </c>
      <c r="AG777" s="26">
        <v>7.5</v>
      </c>
      <c r="AH777" s="1" t="s">
        <v>363</v>
      </c>
      <c r="AI777" s="6">
        <f>116*55.845/1000</f>
        <v>6.4780199999999999</v>
      </c>
      <c r="AJ777" s="3">
        <f t="shared" si="356"/>
        <v>116</v>
      </c>
      <c r="AK777" s="8">
        <f t="shared" si="351"/>
        <v>0.64780199999999999</v>
      </c>
      <c r="AL777" s="6">
        <f>7*26.98/1000</f>
        <v>0.18886</v>
      </c>
      <c r="AM777" s="3">
        <f t="shared" si="357"/>
        <v>7</v>
      </c>
      <c r="AN777" s="8">
        <f t="shared" si="352"/>
        <v>1.8886E-2</v>
      </c>
      <c r="AO777" s="3" t="s">
        <v>93</v>
      </c>
      <c r="AP777" s="15">
        <v>30</v>
      </c>
      <c r="AQ777" s="1" t="s">
        <v>363</v>
      </c>
      <c r="AR777" s="4">
        <v>49</v>
      </c>
      <c r="AS777" s="4">
        <v>25</v>
      </c>
      <c r="AT777" s="4">
        <v>26</v>
      </c>
      <c r="AU777" s="1" t="s">
        <v>363</v>
      </c>
      <c r="AV777" s="16">
        <f t="shared" si="353"/>
        <v>100</v>
      </c>
      <c r="AW777" s="7">
        <v>1.02</v>
      </c>
      <c r="AX777" s="6">
        <f t="shared" si="345"/>
        <v>1.0200000000000001E-2</v>
      </c>
      <c r="AY777" s="5" t="s">
        <v>87</v>
      </c>
      <c r="AZ777" s="39">
        <f>5/0.05</f>
        <v>100</v>
      </c>
      <c r="BA777" s="30" t="s">
        <v>55</v>
      </c>
      <c r="BB777" s="15">
        <f>1*K777/1000</f>
        <v>0.49993739999999998</v>
      </c>
      <c r="BC777" s="16">
        <f>200*K777/1000</f>
        <v>99.987479999999991</v>
      </c>
      <c r="BD777" s="26">
        <v>1.82</v>
      </c>
      <c r="BE777" s="16">
        <f t="shared" si="338"/>
        <v>178.43137254901961</v>
      </c>
      <c r="BF777" s="16">
        <f t="shared" si="354"/>
        <v>2.2514712162231572</v>
      </c>
      <c r="BG777" s="8">
        <f t="shared" si="333"/>
        <v>0.26007138798507479</v>
      </c>
      <c r="BH777" s="13" t="s">
        <v>844</v>
      </c>
      <c r="BI777" s="13"/>
      <c r="BJ777" s="13"/>
      <c r="BK777" s="8"/>
      <c r="BL777" s="8"/>
      <c r="BM777" s="18"/>
      <c r="BN777" s="8"/>
      <c r="BO777" s="24"/>
      <c r="BP777" s="11"/>
      <c r="BQ777" s="11"/>
    </row>
    <row r="778" spans="1:69" x14ac:dyDescent="0.3">
      <c r="A778" s="20">
        <v>795</v>
      </c>
      <c r="B778" s="1" t="s">
        <v>873</v>
      </c>
      <c r="C778" s="1">
        <v>2007</v>
      </c>
      <c r="D778" s="1" t="s">
        <v>203</v>
      </c>
      <c r="E778" s="10" t="s">
        <v>225</v>
      </c>
      <c r="F778" s="7" t="s">
        <v>63</v>
      </c>
      <c r="G778" s="4">
        <v>3</v>
      </c>
      <c r="H778" s="2" t="str">
        <f>'PFAS Properties'!$B$46</f>
        <v>PFOS</v>
      </c>
      <c r="I778" s="2" t="str">
        <f>'PFAS Properties'!$C$46</f>
        <v>PFSA</v>
      </c>
      <c r="J778" s="2" t="str">
        <f>'PFAS Properties'!$D$46</f>
        <v>C8HF17O3S</v>
      </c>
      <c r="K778" s="25">
        <f>'PFAS Properties'!$P$46</f>
        <v>499.93739999999997</v>
      </c>
      <c r="L778" s="2">
        <f>'PFAS Properties'!$X$46</f>
        <v>0.1</v>
      </c>
      <c r="M778" s="2" t="str">
        <f>'PFAS Properties'!$Y$46</f>
        <v>-</v>
      </c>
      <c r="N778" s="33">
        <v>0</v>
      </c>
      <c r="O778" s="33">
        <v>0</v>
      </c>
      <c r="P778" s="33">
        <v>0</v>
      </c>
      <c r="Q778" s="33">
        <f t="shared" si="342"/>
        <v>0.99999996837722438</v>
      </c>
      <c r="R778" s="33">
        <v>0</v>
      </c>
      <c r="S778" s="33">
        <f t="shared" si="343"/>
        <v>3.1622775601683729E-8</v>
      </c>
      <c r="T778" s="8">
        <f t="shared" si="332"/>
        <v>1</v>
      </c>
      <c r="U778" s="33">
        <f t="shared" si="346"/>
        <v>0</v>
      </c>
      <c r="V778" s="33">
        <f t="shared" si="347"/>
        <v>-0.99999996837722438</v>
      </c>
      <c r="W778" s="33">
        <f t="shared" si="348"/>
        <v>498.93740003162276</v>
      </c>
      <c r="X778" s="33">
        <v>96485</v>
      </c>
      <c r="Y778" s="16">
        <f t="shared" si="349"/>
        <v>-193.38096711683923</v>
      </c>
      <c r="Z778" s="16">
        <v>8</v>
      </c>
      <c r="AA778" s="16">
        <v>17</v>
      </c>
      <c r="AB778" s="8">
        <f t="shared" si="350"/>
        <v>0.29721362229102166</v>
      </c>
      <c r="AC778" s="16">
        <f t="shared" si="337"/>
        <v>64.60808893273439</v>
      </c>
      <c r="AD778" s="20">
        <f>'PFAS Properties'!$W$46</f>
        <v>8</v>
      </c>
      <c r="AE778" s="8">
        <f>'PFAS Properties'!$S$46</f>
        <v>2.0166155475571776</v>
      </c>
      <c r="AF778" s="15">
        <f>'PFAS Properties'!$V$46</f>
        <v>5</v>
      </c>
      <c r="AG778" s="26">
        <v>7.6</v>
      </c>
      <c r="AH778" s="1" t="s">
        <v>363</v>
      </c>
      <c r="AI778" s="6">
        <f>121*55.85/1000</f>
        <v>6.7578500000000004</v>
      </c>
      <c r="AJ778" s="3">
        <f t="shared" si="356"/>
        <v>121.01083355716717</v>
      </c>
      <c r="AK778" s="8">
        <f t="shared" si="351"/>
        <v>0.67578500000000008</v>
      </c>
      <c r="AL778" s="6">
        <f>14*26.98/1000</f>
        <v>0.37772</v>
      </c>
      <c r="AM778" s="3">
        <f t="shared" si="357"/>
        <v>14</v>
      </c>
      <c r="AN778" s="8">
        <f t="shared" si="352"/>
        <v>3.7772E-2</v>
      </c>
      <c r="AO778" s="3" t="s">
        <v>93</v>
      </c>
      <c r="AP778" s="15">
        <v>32.1</v>
      </c>
      <c r="AQ778" s="1" t="s">
        <v>363</v>
      </c>
      <c r="AR778" s="4">
        <v>31</v>
      </c>
      <c r="AS778" s="4">
        <v>38</v>
      </c>
      <c r="AT778" s="4">
        <v>31</v>
      </c>
      <c r="AU778" s="1" t="s">
        <v>363</v>
      </c>
      <c r="AV778" s="16">
        <f t="shared" si="353"/>
        <v>100</v>
      </c>
      <c r="AW778" s="7">
        <v>4.34</v>
      </c>
      <c r="AX778" s="6">
        <f t="shared" si="345"/>
        <v>4.3400000000000001E-2</v>
      </c>
      <c r="AY778" s="5" t="s">
        <v>87</v>
      </c>
      <c r="AZ778" s="39">
        <f>5/0.05</f>
        <v>100</v>
      </c>
      <c r="BA778" s="30" t="s">
        <v>55</v>
      </c>
      <c r="BB778" s="15">
        <f>1*K778/1000</f>
        <v>0.49993739999999998</v>
      </c>
      <c r="BC778" s="16">
        <f>200*K778/1000</f>
        <v>99.987479999999991</v>
      </c>
      <c r="BD778" s="26">
        <v>14.24</v>
      </c>
      <c r="BE778" s="16">
        <f t="shared" si="338"/>
        <v>328.11059907834101</v>
      </c>
      <c r="BF778" s="16">
        <f t="shared" si="354"/>
        <v>2.516020259788327</v>
      </c>
      <c r="BG778" s="8">
        <f t="shared" si="333"/>
        <v>1.1535099893008376</v>
      </c>
      <c r="BH778" s="13" t="s">
        <v>844</v>
      </c>
      <c r="BI778" s="13"/>
      <c r="BJ778" s="13"/>
      <c r="BK778" s="8"/>
      <c r="BL778" s="8"/>
      <c r="BM778" s="18"/>
      <c r="BN778" s="8"/>
      <c r="BO778" s="24"/>
      <c r="BP778" s="11"/>
      <c r="BQ778" s="11"/>
    </row>
    <row r="779" spans="1:69" x14ac:dyDescent="0.3">
      <c r="A779" s="20">
        <v>796</v>
      </c>
      <c r="B779" s="1" t="s">
        <v>873</v>
      </c>
      <c r="C779" s="1">
        <v>2007</v>
      </c>
      <c r="D779" s="1" t="s">
        <v>203</v>
      </c>
      <c r="E779" s="10" t="s">
        <v>225</v>
      </c>
      <c r="F779" s="7" t="s">
        <v>63</v>
      </c>
      <c r="G779" s="4">
        <v>5</v>
      </c>
      <c r="H779" s="2" t="str">
        <f>'PFAS Properties'!$B$46</f>
        <v>PFOS</v>
      </c>
      <c r="I779" s="2" t="str">
        <f>'PFAS Properties'!$C$46</f>
        <v>PFSA</v>
      </c>
      <c r="J779" s="2" t="str">
        <f>'PFAS Properties'!$D$46</f>
        <v>C8HF17O3S</v>
      </c>
      <c r="K779" s="25">
        <f>'PFAS Properties'!$P$46</f>
        <v>499.93739999999997</v>
      </c>
      <c r="L779" s="2">
        <f>'PFAS Properties'!$X$46</f>
        <v>0.1</v>
      </c>
      <c r="M779" s="2" t="str">
        <f>'PFAS Properties'!$Y$46</f>
        <v>-</v>
      </c>
      <c r="N779" s="33">
        <v>0</v>
      </c>
      <c r="O779" s="33">
        <v>0</v>
      </c>
      <c r="P779" s="33">
        <v>0</v>
      </c>
      <c r="Q779" s="33">
        <f t="shared" si="342"/>
        <v>0.9999974881198781</v>
      </c>
      <c r="R779" s="33">
        <v>0</v>
      </c>
      <c r="S779" s="33">
        <f t="shared" si="343"/>
        <v>2.5118801219519806E-6</v>
      </c>
      <c r="T779" s="8">
        <f t="shared" si="332"/>
        <v>1</v>
      </c>
      <c r="U779" s="33">
        <f t="shared" si="346"/>
        <v>0</v>
      </c>
      <c r="V779" s="33">
        <f t="shared" si="347"/>
        <v>-0.9999974881198781</v>
      </c>
      <c r="W779" s="33">
        <f t="shared" si="348"/>
        <v>498.93740251188012</v>
      </c>
      <c r="X779" s="33">
        <v>96485</v>
      </c>
      <c r="Y779" s="16">
        <f t="shared" si="349"/>
        <v>-193.38048652094997</v>
      </c>
      <c r="Z779" s="16">
        <v>8</v>
      </c>
      <c r="AA779" s="16">
        <v>17</v>
      </c>
      <c r="AB779" s="8">
        <f t="shared" si="350"/>
        <v>0.29721362229102166</v>
      </c>
      <c r="AC779" s="16">
        <f t="shared" si="337"/>
        <v>64.60808893273439</v>
      </c>
      <c r="AD779" s="20">
        <f>'PFAS Properties'!$W$46</f>
        <v>8</v>
      </c>
      <c r="AE779" s="8">
        <f>'PFAS Properties'!$S$46</f>
        <v>2.0166155475571776</v>
      </c>
      <c r="AF779" s="15">
        <f>'PFAS Properties'!$V$46</f>
        <v>5</v>
      </c>
      <c r="AG779" s="26">
        <v>5.7</v>
      </c>
      <c r="AH779" s="1" t="s">
        <v>363</v>
      </c>
      <c r="AI779" s="6">
        <f>268*55.85/1000</f>
        <v>14.9678</v>
      </c>
      <c r="AJ779" s="3">
        <f t="shared" si="356"/>
        <v>268.02399498612232</v>
      </c>
      <c r="AK779" s="8">
        <f t="shared" si="351"/>
        <v>1.49678</v>
      </c>
      <c r="AL779" s="6">
        <f>90*26.98/1000</f>
        <v>2.4281999999999999</v>
      </c>
      <c r="AM779" s="3">
        <f t="shared" si="357"/>
        <v>89.999999999999986</v>
      </c>
      <c r="AN779" s="8">
        <f t="shared" si="352"/>
        <v>0.24281999999999998</v>
      </c>
      <c r="AO779" s="3" t="s">
        <v>93</v>
      </c>
      <c r="AP779" s="15">
        <v>22</v>
      </c>
      <c r="AQ779" s="1" t="s">
        <v>363</v>
      </c>
      <c r="AR779" s="4">
        <v>80</v>
      </c>
      <c r="AS779" s="4">
        <v>15</v>
      </c>
      <c r="AT779" s="4">
        <v>5</v>
      </c>
      <c r="AU779" s="1" t="s">
        <v>363</v>
      </c>
      <c r="AV779" s="16">
        <f t="shared" si="353"/>
        <v>100</v>
      </c>
      <c r="AW779" s="7">
        <v>9.66</v>
      </c>
      <c r="AX779" s="6">
        <f t="shared" si="345"/>
        <v>9.6600000000000005E-2</v>
      </c>
      <c r="AY779" s="5" t="s">
        <v>87</v>
      </c>
      <c r="AZ779" s="39">
        <f>5/0.05</f>
        <v>100</v>
      </c>
      <c r="BA779" s="30" t="s">
        <v>55</v>
      </c>
      <c r="BB779" s="15">
        <f>1*K779/1000</f>
        <v>0.49993739999999998</v>
      </c>
      <c r="BC779" s="16">
        <f>200*K779/1000</f>
        <v>99.987479999999991</v>
      </c>
      <c r="BD779" s="26">
        <v>45.83</v>
      </c>
      <c r="BE779" s="16">
        <f t="shared" si="338"/>
        <v>474.43064182194615</v>
      </c>
      <c r="BF779" s="16">
        <f t="shared" si="354"/>
        <v>2.6761727308292933</v>
      </c>
      <c r="BG779" s="8">
        <f t="shared" si="333"/>
        <v>1.6611498572447867</v>
      </c>
      <c r="BH779" s="13" t="s">
        <v>844</v>
      </c>
      <c r="BI779" s="13"/>
      <c r="BJ779" s="13"/>
      <c r="BK779" s="8"/>
      <c r="BL779" s="8"/>
      <c r="BM779" s="18"/>
      <c r="BN779" s="8"/>
      <c r="BO779" s="24"/>
      <c r="BP779" s="11"/>
      <c r="BQ779" s="11"/>
    </row>
    <row r="780" spans="1:69" s="14" customFormat="1" x14ac:dyDescent="0.3">
      <c r="A780" s="20">
        <v>797</v>
      </c>
      <c r="B780" s="2" t="s">
        <v>220</v>
      </c>
      <c r="C780" s="2">
        <v>2011</v>
      </c>
      <c r="D780" s="2" t="s">
        <v>227</v>
      </c>
      <c r="E780" s="10" t="s">
        <v>226</v>
      </c>
      <c r="F780" s="20" t="s">
        <v>63</v>
      </c>
      <c r="G780" s="2" t="s">
        <v>94</v>
      </c>
      <c r="H780" s="2" t="str">
        <f>'PFAS Properties'!$B$46</f>
        <v>PFOS</v>
      </c>
      <c r="I780" s="2" t="str">
        <f>'PFAS Properties'!$C$46</f>
        <v>PFSA</v>
      </c>
      <c r="J780" s="2" t="str">
        <f>'PFAS Properties'!$D$46</f>
        <v>C8HF17O3S</v>
      </c>
      <c r="K780" s="25">
        <f>'PFAS Properties'!$P$46</f>
        <v>499.93739999999997</v>
      </c>
      <c r="L780" s="2">
        <f>'PFAS Properties'!$X$46</f>
        <v>0.1</v>
      </c>
      <c r="M780" s="2" t="str">
        <f>'PFAS Properties'!$Y$46</f>
        <v>-</v>
      </c>
      <c r="N780" s="33">
        <v>0</v>
      </c>
      <c r="O780" s="33">
        <v>0</v>
      </c>
      <c r="P780" s="33">
        <v>0</v>
      </c>
      <c r="Q780" s="33">
        <f t="shared" si="342"/>
        <v>0.99999973016400467</v>
      </c>
      <c r="R780" s="33">
        <v>0</v>
      </c>
      <c r="S780" s="33">
        <f t="shared" si="343"/>
        <v>2.6983599533114543E-7</v>
      </c>
      <c r="T780" s="8">
        <f t="shared" si="332"/>
        <v>1</v>
      </c>
      <c r="U780" s="33">
        <f t="shared" si="346"/>
        <v>0</v>
      </c>
      <c r="V780" s="33">
        <f t="shared" si="347"/>
        <v>-0.99999973016400467</v>
      </c>
      <c r="W780" s="33">
        <f t="shared" si="348"/>
        <v>498.93740026983596</v>
      </c>
      <c r="X780" s="33">
        <v>96485</v>
      </c>
      <c r="Y780" s="16">
        <f t="shared" si="349"/>
        <v>-193.38092095860696</v>
      </c>
      <c r="Z780" s="16">
        <v>8</v>
      </c>
      <c r="AA780" s="16">
        <v>17</v>
      </c>
      <c r="AB780" s="8">
        <f t="shared" si="350"/>
        <v>0.29721362229102166</v>
      </c>
      <c r="AC780" s="16">
        <f t="shared" si="337"/>
        <v>64.60808893273439</v>
      </c>
      <c r="AD780" s="20">
        <f>'PFAS Properties'!$W$46</f>
        <v>8</v>
      </c>
      <c r="AE780" s="8">
        <f>'PFAS Properties'!$S$46</f>
        <v>2.0166155475571776</v>
      </c>
      <c r="AF780" s="15">
        <f>'PFAS Properties'!$V$46</f>
        <v>5</v>
      </c>
      <c r="AG780" s="124">
        <v>6.6688999999999998</v>
      </c>
      <c r="AH780" s="70" t="s">
        <v>752</v>
      </c>
      <c r="AI780" s="2" t="s">
        <v>661</v>
      </c>
      <c r="AJ780" s="15" t="s">
        <v>661</v>
      </c>
      <c r="AK780" s="8" t="s">
        <v>661</v>
      </c>
      <c r="AL780" s="2" t="s">
        <v>661</v>
      </c>
      <c r="AM780" s="15" t="s">
        <v>661</v>
      </c>
      <c r="AN780" s="8" t="s">
        <v>661</v>
      </c>
      <c r="AO780" s="15" t="s">
        <v>661</v>
      </c>
      <c r="AP780" s="72">
        <v>11.78125</v>
      </c>
      <c r="AQ780" s="70" t="s">
        <v>752</v>
      </c>
      <c r="AR780" s="71">
        <v>30.648</v>
      </c>
      <c r="AS780" s="71">
        <v>36.685000000000002</v>
      </c>
      <c r="AT780" s="71">
        <v>33.302500000000002</v>
      </c>
      <c r="AU780" s="70" t="s">
        <v>752</v>
      </c>
      <c r="AV780" s="16">
        <f t="shared" ref="AV780:AV783" si="358">SUM(AR780:AT780)</f>
        <v>100.63550000000001</v>
      </c>
      <c r="AW780" s="20">
        <v>0.21</v>
      </c>
      <c r="AX780" s="8">
        <f t="shared" si="345"/>
        <v>2.0999999999999999E-3</v>
      </c>
      <c r="AY780" s="13" t="s">
        <v>95</v>
      </c>
      <c r="AZ780" s="16">
        <f>1/0.005</f>
        <v>200</v>
      </c>
      <c r="BA780" s="30" t="s">
        <v>55</v>
      </c>
      <c r="BB780" s="16">
        <v>100</v>
      </c>
      <c r="BC780" s="12" t="s">
        <v>55</v>
      </c>
      <c r="BD780" s="24">
        <v>2.6</v>
      </c>
      <c r="BE780" s="16">
        <f t="shared" si="338"/>
        <v>1238.0952380952383</v>
      </c>
      <c r="BF780" s="16">
        <f t="shared" si="354"/>
        <v>3.0927540532368987</v>
      </c>
      <c r="BG780" s="8">
        <f t="shared" si="333"/>
        <v>0.41497334797081797</v>
      </c>
      <c r="BH780" s="13" t="s">
        <v>860</v>
      </c>
      <c r="BI780" s="13"/>
      <c r="BJ780" s="13"/>
      <c r="BK780" s="13"/>
      <c r="BL780" s="13"/>
      <c r="BM780" s="17"/>
      <c r="BN780" s="17"/>
      <c r="BO780" s="2"/>
    </row>
    <row r="781" spans="1:69" s="14" customFormat="1" x14ac:dyDescent="0.3">
      <c r="A781" s="20">
        <v>798</v>
      </c>
      <c r="B781" s="2" t="s">
        <v>220</v>
      </c>
      <c r="C781" s="2">
        <v>2011</v>
      </c>
      <c r="D781" s="2" t="s">
        <v>227</v>
      </c>
      <c r="E781" s="10" t="s">
        <v>226</v>
      </c>
      <c r="F781" s="20" t="s">
        <v>63</v>
      </c>
      <c r="G781" s="2" t="s">
        <v>96</v>
      </c>
      <c r="H781" s="2" t="str">
        <f>'PFAS Properties'!$B$46</f>
        <v>PFOS</v>
      </c>
      <c r="I781" s="2" t="str">
        <f>'PFAS Properties'!$C$46</f>
        <v>PFSA</v>
      </c>
      <c r="J781" s="2" t="str">
        <f>'PFAS Properties'!$D$46</f>
        <v>C8HF17O3S</v>
      </c>
      <c r="K781" s="25">
        <f>'PFAS Properties'!$P$46</f>
        <v>499.93739999999997</v>
      </c>
      <c r="L781" s="2">
        <f>'PFAS Properties'!$X$46</f>
        <v>0.1</v>
      </c>
      <c r="M781" s="2" t="str">
        <f>'PFAS Properties'!$Y$46</f>
        <v>-</v>
      </c>
      <c r="N781" s="33">
        <v>0</v>
      </c>
      <c r="O781" s="33">
        <v>0</v>
      </c>
      <c r="P781" s="33">
        <v>0</v>
      </c>
      <c r="Q781" s="33">
        <f t="shared" si="342"/>
        <v>0.99999986185030199</v>
      </c>
      <c r="R781" s="33">
        <v>0</v>
      </c>
      <c r="S781" s="33">
        <f t="shared" si="343"/>
        <v>1.381496980418233E-7</v>
      </c>
      <c r="T781" s="8">
        <f t="shared" si="332"/>
        <v>1</v>
      </c>
      <c r="U781" s="33">
        <f t="shared" si="346"/>
        <v>0</v>
      </c>
      <c r="V781" s="33">
        <f t="shared" si="347"/>
        <v>-0.99999986185030199</v>
      </c>
      <c r="W781" s="33">
        <f t="shared" si="348"/>
        <v>498.93740013814971</v>
      </c>
      <c r="X781" s="33">
        <v>96485</v>
      </c>
      <c r="Y781" s="16">
        <f t="shared" si="349"/>
        <v>-193.38094647527097</v>
      </c>
      <c r="Z781" s="16">
        <v>8</v>
      </c>
      <c r="AA781" s="16">
        <v>17</v>
      </c>
      <c r="AB781" s="8">
        <f t="shared" si="350"/>
        <v>0.29721362229102166</v>
      </c>
      <c r="AC781" s="16">
        <f t="shared" si="337"/>
        <v>64.60808893273439</v>
      </c>
      <c r="AD781" s="20">
        <f>'PFAS Properties'!$W$46</f>
        <v>8</v>
      </c>
      <c r="AE781" s="8">
        <f>'PFAS Properties'!$S$46</f>
        <v>2.0166155475571776</v>
      </c>
      <c r="AF781" s="15">
        <f>'PFAS Properties'!$V$46</f>
        <v>5</v>
      </c>
      <c r="AG781" s="124">
        <v>6.959649999999999</v>
      </c>
      <c r="AH781" s="70" t="s">
        <v>752</v>
      </c>
      <c r="AI781" s="2" t="s">
        <v>661</v>
      </c>
      <c r="AJ781" s="15" t="s">
        <v>661</v>
      </c>
      <c r="AK781" s="8" t="s">
        <v>661</v>
      </c>
      <c r="AL781" s="2" t="s">
        <v>661</v>
      </c>
      <c r="AM781" s="15" t="s">
        <v>661</v>
      </c>
      <c r="AN781" s="8" t="s">
        <v>661</v>
      </c>
      <c r="AO781" s="15" t="s">
        <v>661</v>
      </c>
      <c r="AP781" s="72">
        <v>10.6485</v>
      </c>
      <c r="AQ781" s="70" t="s">
        <v>752</v>
      </c>
      <c r="AR781" s="71">
        <v>38.113900000000001</v>
      </c>
      <c r="AS781" s="71">
        <v>32.762700000000002</v>
      </c>
      <c r="AT781" s="71">
        <v>28.4998</v>
      </c>
      <c r="AU781" s="70" t="s">
        <v>752</v>
      </c>
      <c r="AV781" s="16">
        <f t="shared" si="358"/>
        <v>99.37639999999999</v>
      </c>
      <c r="AW781" s="20">
        <v>0.43</v>
      </c>
      <c r="AX781" s="8">
        <f t="shared" si="345"/>
        <v>4.3E-3</v>
      </c>
      <c r="AY781" s="13" t="s">
        <v>95</v>
      </c>
      <c r="AZ781" s="16">
        <f>1/0.005</f>
        <v>200</v>
      </c>
      <c r="BA781" s="30" t="s">
        <v>55</v>
      </c>
      <c r="BB781" s="16">
        <v>100</v>
      </c>
      <c r="BC781" s="12" t="s">
        <v>55</v>
      </c>
      <c r="BD781" s="24">
        <v>2.6</v>
      </c>
      <c r="BE781" s="16">
        <f t="shared" si="338"/>
        <v>604.65116279069764</v>
      </c>
      <c r="BF781" s="16">
        <f t="shared" si="354"/>
        <v>2.7815048923912316</v>
      </c>
      <c r="BG781" s="8">
        <f t="shared" si="333"/>
        <v>0.41497334797081797</v>
      </c>
      <c r="BH781" s="13" t="s">
        <v>860</v>
      </c>
      <c r="BI781" s="13"/>
      <c r="BJ781" s="13"/>
      <c r="BK781" s="13"/>
      <c r="BL781" s="13"/>
      <c r="BM781" s="17"/>
      <c r="BN781" s="17"/>
      <c r="BO781" s="2"/>
    </row>
    <row r="782" spans="1:69" s="14" customFormat="1" x14ac:dyDescent="0.3">
      <c r="A782" s="20">
        <v>799</v>
      </c>
      <c r="B782" s="2" t="s">
        <v>220</v>
      </c>
      <c r="C782" s="2">
        <v>2011</v>
      </c>
      <c r="D782" s="2" t="s">
        <v>227</v>
      </c>
      <c r="E782" s="10" t="s">
        <v>226</v>
      </c>
      <c r="F782" s="20" t="s">
        <v>63</v>
      </c>
      <c r="G782" s="2" t="s">
        <v>97</v>
      </c>
      <c r="H782" s="2" t="str">
        <f>'PFAS Properties'!$B$46</f>
        <v>PFOS</v>
      </c>
      <c r="I782" s="2" t="str">
        <f>'PFAS Properties'!$C$46</f>
        <v>PFSA</v>
      </c>
      <c r="J782" s="2" t="str">
        <f>'PFAS Properties'!$D$46</f>
        <v>C8HF17O3S</v>
      </c>
      <c r="K782" s="25">
        <f>'PFAS Properties'!$P$46</f>
        <v>499.93739999999997</v>
      </c>
      <c r="L782" s="2">
        <f>'PFAS Properties'!$X$46</f>
        <v>0.1</v>
      </c>
      <c r="M782" s="2" t="str">
        <f>'PFAS Properties'!$Y$46</f>
        <v>-</v>
      </c>
      <c r="N782" s="33">
        <v>0</v>
      </c>
      <c r="O782" s="33">
        <v>0</v>
      </c>
      <c r="P782" s="33">
        <v>0</v>
      </c>
      <c r="Q782" s="33">
        <f t="shared" si="342"/>
        <v>0.99999984834737432</v>
      </c>
      <c r="R782" s="33">
        <v>0</v>
      </c>
      <c r="S782" s="33">
        <f t="shared" si="343"/>
        <v>1.5165262573159975E-7</v>
      </c>
      <c r="T782" s="8">
        <f t="shared" si="332"/>
        <v>1</v>
      </c>
      <c r="U782" s="33">
        <f t="shared" si="346"/>
        <v>0</v>
      </c>
      <c r="V782" s="33">
        <f t="shared" si="347"/>
        <v>-0.99999984834737432</v>
      </c>
      <c r="W782" s="33">
        <f t="shared" si="348"/>
        <v>498.93740015165258</v>
      </c>
      <c r="X782" s="33">
        <v>96485</v>
      </c>
      <c r="Y782" s="16">
        <f t="shared" si="349"/>
        <v>-193.38094385882818</v>
      </c>
      <c r="Z782" s="16">
        <v>8</v>
      </c>
      <c r="AA782" s="16">
        <v>17</v>
      </c>
      <c r="AB782" s="8">
        <f t="shared" si="350"/>
        <v>0.29721362229102166</v>
      </c>
      <c r="AC782" s="16">
        <f t="shared" si="337"/>
        <v>64.60808893273439</v>
      </c>
      <c r="AD782" s="20">
        <f>'PFAS Properties'!$W$46</f>
        <v>8</v>
      </c>
      <c r="AE782" s="8">
        <f>'PFAS Properties'!$S$46</f>
        <v>2.0166155475571776</v>
      </c>
      <c r="AF782" s="15">
        <f>'PFAS Properties'!$V$46</f>
        <v>5</v>
      </c>
      <c r="AG782" s="124">
        <v>6.919150000000001</v>
      </c>
      <c r="AH782" s="70" t="s">
        <v>752</v>
      </c>
      <c r="AI782" s="2" t="s">
        <v>661</v>
      </c>
      <c r="AJ782" s="15" t="s">
        <v>661</v>
      </c>
      <c r="AK782" s="8" t="s">
        <v>661</v>
      </c>
      <c r="AL782" s="2" t="s">
        <v>661</v>
      </c>
      <c r="AM782" s="15" t="s">
        <v>661</v>
      </c>
      <c r="AN782" s="8" t="s">
        <v>661</v>
      </c>
      <c r="AO782" s="15" t="s">
        <v>661</v>
      </c>
      <c r="AP782" s="72">
        <v>12.094250000000001</v>
      </c>
      <c r="AQ782" s="70" t="s">
        <v>752</v>
      </c>
      <c r="AR782" s="71">
        <v>38.112499999999997</v>
      </c>
      <c r="AS782" s="71">
        <v>31.469200000000001</v>
      </c>
      <c r="AT782" s="71">
        <v>29.446650000000002</v>
      </c>
      <c r="AU782" s="70" t="s">
        <v>752</v>
      </c>
      <c r="AV782" s="16">
        <f t="shared" si="358"/>
        <v>99.028350000000003</v>
      </c>
      <c r="AW782" s="20">
        <v>0.54999999999999993</v>
      </c>
      <c r="AX782" s="8">
        <f t="shared" si="345"/>
        <v>5.4999999999999997E-3</v>
      </c>
      <c r="AY782" s="13" t="s">
        <v>95</v>
      </c>
      <c r="AZ782" s="16">
        <f>1/0.005</f>
        <v>200</v>
      </c>
      <c r="BA782" s="30" t="s">
        <v>55</v>
      </c>
      <c r="BB782" s="16">
        <v>100</v>
      </c>
      <c r="BC782" s="12" t="s">
        <v>55</v>
      </c>
      <c r="BD782" s="24">
        <v>3</v>
      </c>
      <c r="BE782" s="16">
        <f t="shared" si="338"/>
        <v>545.4545454545455</v>
      </c>
      <c r="BF782" s="16">
        <f t="shared" si="354"/>
        <v>2.7367585652254185</v>
      </c>
      <c r="BG782" s="8">
        <f t="shared" si="333"/>
        <v>0.47712125471966244</v>
      </c>
      <c r="BH782" s="13" t="s">
        <v>860</v>
      </c>
      <c r="BI782" s="13"/>
      <c r="BJ782" s="13"/>
      <c r="BK782" s="13"/>
      <c r="BL782" s="13"/>
      <c r="BM782" s="17"/>
      <c r="BN782" s="17"/>
      <c r="BO782" s="2"/>
    </row>
    <row r="783" spans="1:69" s="14" customFormat="1" x14ac:dyDescent="0.3">
      <c r="A783" s="20">
        <v>800</v>
      </c>
      <c r="B783" s="2" t="s">
        <v>257</v>
      </c>
      <c r="C783" s="2">
        <v>2007</v>
      </c>
      <c r="D783" s="2" t="s">
        <v>255</v>
      </c>
      <c r="E783" s="10" t="s">
        <v>256</v>
      </c>
      <c r="F783" s="20" t="s">
        <v>63</v>
      </c>
      <c r="G783" s="2" t="s">
        <v>139</v>
      </c>
      <c r="H783" s="2" t="str">
        <f>'PFAS Properties'!$B$46</f>
        <v>PFOS</v>
      </c>
      <c r="I783" s="2" t="str">
        <f>'PFAS Properties'!$C$46</f>
        <v>PFSA</v>
      </c>
      <c r="J783" s="2" t="str">
        <f>'PFAS Properties'!$D$46</f>
        <v>C8HF17O3S</v>
      </c>
      <c r="K783" s="25">
        <f>'PFAS Properties'!$P$46</f>
        <v>499.93739999999997</v>
      </c>
      <c r="L783" s="2">
        <f>'PFAS Properties'!$X$46</f>
        <v>0.1</v>
      </c>
      <c r="M783" s="2" t="str">
        <f>'PFAS Properties'!$Y$46</f>
        <v>-</v>
      </c>
      <c r="N783" s="33">
        <v>0</v>
      </c>
      <c r="O783" s="33">
        <v>0</v>
      </c>
      <c r="P783" s="33">
        <v>0</v>
      </c>
      <c r="Q783" s="33">
        <f t="shared" si="342"/>
        <v>0.99999667086131472</v>
      </c>
      <c r="R783" s="33">
        <v>0</v>
      </c>
      <c r="S783" s="33">
        <f t="shared" si="343"/>
        <v>3.3291386852439612E-6</v>
      </c>
      <c r="T783" s="8">
        <f t="shared" si="332"/>
        <v>1</v>
      </c>
      <c r="U783" s="33">
        <f t="shared" si="346"/>
        <v>0</v>
      </c>
      <c r="V783" s="33">
        <f t="shared" si="347"/>
        <v>-0.99999667086131472</v>
      </c>
      <c r="W783" s="33">
        <f t="shared" si="348"/>
        <v>498.93740332913865</v>
      </c>
      <c r="X783" s="33">
        <v>96485</v>
      </c>
      <c r="Y783" s="16">
        <f t="shared" si="349"/>
        <v>-193.3803281619378</v>
      </c>
      <c r="Z783" s="16">
        <v>8</v>
      </c>
      <c r="AA783" s="16">
        <v>17</v>
      </c>
      <c r="AB783" s="8">
        <f t="shared" si="350"/>
        <v>0.29721362229102166</v>
      </c>
      <c r="AC783" s="16">
        <f t="shared" si="337"/>
        <v>64.60808893273439</v>
      </c>
      <c r="AD783" s="20">
        <f>'PFAS Properties'!$W$46</f>
        <v>8</v>
      </c>
      <c r="AE783" s="8">
        <f>'PFAS Properties'!$S$46</f>
        <v>2.0166155475571776</v>
      </c>
      <c r="AF783" s="15">
        <f>'PFAS Properties'!$V$46</f>
        <v>5</v>
      </c>
      <c r="AG783" s="124">
        <v>5.5776666667999999</v>
      </c>
      <c r="AH783" s="70" t="s">
        <v>752</v>
      </c>
      <c r="AI783" s="2" t="s">
        <v>661</v>
      </c>
      <c r="AJ783" s="15" t="s">
        <v>661</v>
      </c>
      <c r="AK783" s="8" t="s">
        <v>661</v>
      </c>
      <c r="AL783" s="2" t="s">
        <v>661</v>
      </c>
      <c r="AM783" s="15" t="s">
        <v>661</v>
      </c>
      <c r="AN783" s="8" t="s">
        <v>661</v>
      </c>
      <c r="AO783" s="15" t="s">
        <v>661</v>
      </c>
      <c r="AP783" s="72">
        <v>12.69249466666666</v>
      </c>
      <c r="AQ783" s="70" t="s">
        <v>752</v>
      </c>
      <c r="AR783" s="71">
        <v>35.851753331999987</v>
      </c>
      <c r="AS783" s="71">
        <v>38.789946668000013</v>
      </c>
      <c r="AT783" s="71">
        <v>25.304600000000001</v>
      </c>
      <c r="AU783" s="70" t="s">
        <v>752</v>
      </c>
      <c r="AV783" s="16">
        <f t="shared" si="358"/>
        <v>99.946300000000008</v>
      </c>
      <c r="AW783" s="20">
        <v>2.5</v>
      </c>
      <c r="AX783" s="8">
        <f t="shared" si="345"/>
        <v>2.5000000000000001E-2</v>
      </c>
      <c r="AY783" s="13" t="s">
        <v>140</v>
      </c>
      <c r="AZ783" s="16">
        <f>0.01/0.015</f>
        <v>0.66666666666666674</v>
      </c>
      <c r="BA783" s="16">
        <f>0.08/0.015</f>
        <v>5.3333333333333339</v>
      </c>
      <c r="BB783" s="16">
        <v>120</v>
      </c>
      <c r="BC783" s="16">
        <v>8000</v>
      </c>
      <c r="BD783" s="24">
        <v>7.52</v>
      </c>
      <c r="BE783" s="16">
        <f t="shared" si="338"/>
        <v>300.79999999999995</v>
      </c>
      <c r="BF783" s="16">
        <f t="shared" si="354"/>
        <v>2.4782778319196046</v>
      </c>
      <c r="BG783" s="8">
        <f t="shared" si="333"/>
        <v>0.87621784059164221</v>
      </c>
      <c r="BH783" s="13" t="s">
        <v>394</v>
      </c>
      <c r="BI783" s="13"/>
      <c r="BJ783" s="13"/>
      <c r="BK783" s="13"/>
      <c r="BL783" s="13"/>
      <c r="BM783" s="17"/>
      <c r="BN783" s="17"/>
      <c r="BO783" s="2"/>
    </row>
    <row r="784" spans="1:69" s="14" customFormat="1" x14ac:dyDescent="0.3">
      <c r="A784" s="20">
        <v>801</v>
      </c>
      <c r="B784" s="2" t="s">
        <v>207</v>
      </c>
      <c r="C784" s="2">
        <v>2015</v>
      </c>
      <c r="D784" s="2" t="s">
        <v>201</v>
      </c>
      <c r="E784" s="10" t="s">
        <v>810</v>
      </c>
      <c r="F784" s="20" t="s">
        <v>29</v>
      </c>
      <c r="G784" s="2" t="s">
        <v>51</v>
      </c>
      <c r="H784" s="2" t="str">
        <f>'PFAS Properties'!$B$46</f>
        <v>PFOS</v>
      </c>
      <c r="I784" s="2" t="str">
        <f>'PFAS Properties'!$C$46</f>
        <v>PFSA</v>
      </c>
      <c r="J784" s="2" t="str">
        <f>'PFAS Properties'!$D$46</f>
        <v>C8HF17O3S</v>
      </c>
      <c r="K784" s="25">
        <f>'PFAS Properties'!$P$46</f>
        <v>499.93739999999997</v>
      </c>
      <c r="L784" s="2">
        <f>'PFAS Properties'!$X$46</f>
        <v>0.1</v>
      </c>
      <c r="M784" s="2" t="str">
        <f>'PFAS Properties'!$Y$46</f>
        <v>-</v>
      </c>
      <c r="N784" s="33">
        <v>0</v>
      </c>
      <c r="O784" s="33">
        <v>0</v>
      </c>
      <c r="P784" s="33">
        <v>0</v>
      </c>
      <c r="Q784" s="33">
        <f t="shared" si="342"/>
        <v>0.99999999498812764</v>
      </c>
      <c r="R784" s="33">
        <v>0</v>
      </c>
      <c r="S784" s="33">
        <f t="shared" si="343"/>
        <v>5.0118723111538468E-9</v>
      </c>
      <c r="T784" s="8">
        <f t="shared" si="332"/>
        <v>1</v>
      </c>
      <c r="U784" s="33">
        <f t="shared" si="346"/>
        <v>0</v>
      </c>
      <c r="V784" s="33">
        <f t="shared" si="347"/>
        <v>-0.99999999498812764</v>
      </c>
      <c r="W784" s="33">
        <f t="shared" si="348"/>
        <v>498.93740000501185</v>
      </c>
      <c r="X784" s="33">
        <v>96485</v>
      </c>
      <c r="Y784" s="16">
        <f t="shared" si="349"/>
        <v>-193.38097227319562</v>
      </c>
      <c r="Z784" s="16">
        <v>8</v>
      </c>
      <c r="AA784" s="16">
        <v>17</v>
      </c>
      <c r="AB784" s="8">
        <f t="shared" si="350"/>
        <v>0.29721362229102166</v>
      </c>
      <c r="AC784" s="16">
        <f t="shared" si="337"/>
        <v>64.60808893273439</v>
      </c>
      <c r="AD784" s="20">
        <f>'PFAS Properties'!$W$46</f>
        <v>8</v>
      </c>
      <c r="AE784" s="8">
        <f>'PFAS Properties'!$S$46</f>
        <v>2.0166155475571776</v>
      </c>
      <c r="AF784" s="15">
        <f>'PFAS Properties'!$V$46</f>
        <v>5</v>
      </c>
      <c r="AG784" s="24">
        <v>8.4</v>
      </c>
      <c r="AH784" s="2" t="s">
        <v>834</v>
      </c>
      <c r="AI784" s="2">
        <v>0.40699999999999997</v>
      </c>
      <c r="AJ784" s="15">
        <f t="shared" ref="AJ784:AJ796" si="359">AI784*1000/55.845</f>
        <v>7.2880293669979412</v>
      </c>
      <c r="AK784" s="8">
        <f t="shared" ref="AK784:AK796" si="360">AI784/10</f>
        <v>4.07E-2</v>
      </c>
      <c r="AL784" s="2">
        <v>0.504</v>
      </c>
      <c r="AM784" s="15">
        <f t="shared" ref="AM784:AM796" si="361">AL784*1000/26.98</f>
        <v>18.680504077094145</v>
      </c>
      <c r="AN784" s="8">
        <f t="shared" ref="AN784:AN796" si="362">AL784/10</f>
        <v>5.04E-2</v>
      </c>
      <c r="AO784" s="15" t="s">
        <v>31</v>
      </c>
      <c r="AP784" s="16">
        <v>42.8</v>
      </c>
      <c r="AQ784" s="16" t="s">
        <v>689</v>
      </c>
      <c r="AR784" s="2">
        <v>18.5</v>
      </c>
      <c r="AS784" s="2">
        <v>64.599999999999994</v>
      </c>
      <c r="AT784" s="2">
        <v>16.899999999999999</v>
      </c>
      <c r="AU784" s="16" t="s">
        <v>664</v>
      </c>
      <c r="AV784" s="16">
        <f t="shared" ref="AV784:AV815" si="363">SUM(AR784:AT784)</f>
        <v>100</v>
      </c>
      <c r="AW784" s="20">
        <v>0.2</v>
      </c>
      <c r="AX784" s="8">
        <f t="shared" si="345"/>
        <v>2E-3</v>
      </c>
      <c r="AY784" s="8" t="s">
        <v>32</v>
      </c>
      <c r="AZ784" s="16">
        <f t="shared" ref="AZ784:AZ796" si="364">3/0.03</f>
        <v>100</v>
      </c>
      <c r="BA784" s="16" t="s">
        <v>55</v>
      </c>
      <c r="BB784" s="16">
        <v>5</v>
      </c>
      <c r="BC784" s="16">
        <v>1000</v>
      </c>
      <c r="BD784" s="25">
        <v>19</v>
      </c>
      <c r="BE784" s="16">
        <f t="shared" si="338"/>
        <v>9500</v>
      </c>
      <c r="BF784" s="16">
        <f t="shared" si="354"/>
        <v>3.9777236052888476</v>
      </c>
      <c r="BG784" s="8">
        <f t="shared" si="333"/>
        <v>1.2787536009528289</v>
      </c>
      <c r="BH784" s="2" t="s">
        <v>837</v>
      </c>
      <c r="BI784" s="2"/>
      <c r="BJ784" s="2"/>
      <c r="BK784" s="2"/>
      <c r="BL784" s="2"/>
      <c r="BM784" s="20"/>
      <c r="BN784" s="20"/>
      <c r="BO784" s="2"/>
    </row>
    <row r="785" spans="1:67" s="14" customFormat="1" x14ac:dyDescent="0.3">
      <c r="A785" s="20">
        <v>802</v>
      </c>
      <c r="B785" s="2" t="s">
        <v>207</v>
      </c>
      <c r="C785" s="2">
        <v>2015</v>
      </c>
      <c r="D785" s="2" t="s">
        <v>201</v>
      </c>
      <c r="E785" s="10" t="s">
        <v>810</v>
      </c>
      <c r="F785" s="20" t="s">
        <v>29</v>
      </c>
      <c r="G785" s="2" t="s">
        <v>30</v>
      </c>
      <c r="H785" s="2" t="str">
        <f>'PFAS Properties'!$B$46</f>
        <v>PFOS</v>
      </c>
      <c r="I785" s="2" t="str">
        <f>'PFAS Properties'!$C$46</f>
        <v>PFSA</v>
      </c>
      <c r="J785" s="2" t="str">
        <f>'PFAS Properties'!$D$46</f>
        <v>C8HF17O3S</v>
      </c>
      <c r="K785" s="25">
        <f>'PFAS Properties'!$P$46</f>
        <v>499.93739999999997</v>
      </c>
      <c r="L785" s="2">
        <f>'PFAS Properties'!$X$46</f>
        <v>0.1</v>
      </c>
      <c r="M785" s="2" t="str">
        <f>'PFAS Properties'!$Y$46</f>
        <v>-</v>
      </c>
      <c r="N785" s="33">
        <v>0</v>
      </c>
      <c r="O785" s="33">
        <v>0</v>
      </c>
      <c r="P785" s="33">
        <v>0</v>
      </c>
      <c r="Q785" s="33">
        <f t="shared" si="342"/>
        <v>0.99999601894414336</v>
      </c>
      <c r="R785" s="33">
        <v>0</v>
      </c>
      <c r="S785" s="33">
        <f t="shared" si="343"/>
        <v>3.981055856666137E-6</v>
      </c>
      <c r="T785" s="8">
        <f t="shared" si="332"/>
        <v>1</v>
      </c>
      <c r="U785" s="33">
        <f t="shared" si="346"/>
        <v>0</v>
      </c>
      <c r="V785" s="33">
        <f t="shared" si="347"/>
        <v>-0.99999601894414336</v>
      </c>
      <c r="W785" s="33">
        <f t="shared" si="348"/>
        <v>498.93740398105581</v>
      </c>
      <c r="X785" s="33">
        <v>96485</v>
      </c>
      <c r="Y785" s="16">
        <f t="shared" si="349"/>
        <v>-193.38020184088887</v>
      </c>
      <c r="Z785" s="16">
        <v>8</v>
      </c>
      <c r="AA785" s="16">
        <v>17</v>
      </c>
      <c r="AB785" s="8">
        <f t="shared" si="350"/>
        <v>0.29721362229102166</v>
      </c>
      <c r="AC785" s="16">
        <f t="shared" si="337"/>
        <v>64.60808893273439</v>
      </c>
      <c r="AD785" s="20">
        <f>'PFAS Properties'!$W$46</f>
        <v>8</v>
      </c>
      <c r="AE785" s="8">
        <f>'PFAS Properties'!$S$46</f>
        <v>2.0166155475571776</v>
      </c>
      <c r="AF785" s="15">
        <f>'PFAS Properties'!$V$46</f>
        <v>5</v>
      </c>
      <c r="AG785" s="24">
        <v>5.5</v>
      </c>
      <c r="AH785" s="2" t="s">
        <v>834</v>
      </c>
      <c r="AI785" s="15">
        <v>1.0129999999999999</v>
      </c>
      <c r="AJ785" s="15">
        <f t="shared" si="359"/>
        <v>18.13949324021846</v>
      </c>
      <c r="AK785" s="15">
        <f t="shared" si="360"/>
        <v>0.10129999999999999</v>
      </c>
      <c r="AL785" s="15">
        <v>0.40400000000000003</v>
      </c>
      <c r="AM785" s="15">
        <f t="shared" si="361"/>
        <v>14.974054855448481</v>
      </c>
      <c r="AN785" s="15">
        <f t="shared" si="362"/>
        <v>4.0400000000000005E-2</v>
      </c>
      <c r="AO785" s="2" t="s">
        <v>31</v>
      </c>
      <c r="AP785" s="16">
        <v>23.4</v>
      </c>
      <c r="AQ785" s="16" t="s">
        <v>689</v>
      </c>
      <c r="AR785" s="2">
        <v>54.4</v>
      </c>
      <c r="AS785" s="2">
        <v>35</v>
      </c>
      <c r="AT785" s="2">
        <v>10.6</v>
      </c>
      <c r="AU785" s="16" t="s">
        <v>664</v>
      </c>
      <c r="AV785" s="16">
        <f t="shared" si="363"/>
        <v>100</v>
      </c>
      <c r="AW785" s="20">
        <v>1.6</v>
      </c>
      <c r="AX785" s="8">
        <f t="shared" si="345"/>
        <v>1.6E-2</v>
      </c>
      <c r="AY785" s="8" t="s">
        <v>32</v>
      </c>
      <c r="AZ785" s="16">
        <f t="shared" si="364"/>
        <v>100</v>
      </c>
      <c r="BA785" s="16" t="s">
        <v>55</v>
      </c>
      <c r="BB785" s="16">
        <v>5</v>
      </c>
      <c r="BC785" s="16">
        <v>1000</v>
      </c>
      <c r="BD785" s="25">
        <v>32</v>
      </c>
      <c r="BE785" s="16">
        <f t="shared" si="338"/>
        <v>2000</v>
      </c>
      <c r="BF785" s="16">
        <f t="shared" si="354"/>
        <v>3.3010299956639813</v>
      </c>
      <c r="BG785" s="8">
        <f t="shared" si="333"/>
        <v>1.505149978319906</v>
      </c>
      <c r="BH785" s="2" t="s">
        <v>837</v>
      </c>
      <c r="BI785" s="2"/>
      <c r="BJ785" s="2"/>
      <c r="BK785" s="2"/>
      <c r="BL785" s="2"/>
      <c r="BM785" s="20"/>
      <c r="BN785" s="20"/>
      <c r="BO785" s="2"/>
    </row>
    <row r="786" spans="1:67" s="14" customFormat="1" x14ac:dyDescent="0.3">
      <c r="A786" s="20">
        <v>803</v>
      </c>
      <c r="B786" s="2" t="s">
        <v>207</v>
      </c>
      <c r="C786" s="2">
        <v>2015</v>
      </c>
      <c r="D786" s="2" t="s">
        <v>201</v>
      </c>
      <c r="E786" s="10" t="s">
        <v>810</v>
      </c>
      <c r="F786" s="20" t="s">
        <v>29</v>
      </c>
      <c r="G786" s="2" t="s">
        <v>56</v>
      </c>
      <c r="H786" s="2" t="str">
        <f>'PFAS Properties'!$B$46</f>
        <v>PFOS</v>
      </c>
      <c r="I786" s="2" t="str">
        <f>'PFAS Properties'!$C$46</f>
        <v>PFSA</v>
      </c>
      <c r="J786" s="2" t="str">
        <f>'PFAS Properties'!$D$46</f>
        <v>C8HF17O3S</v>
      </c>
      <c r="K786" s="25">
        <f>'PFAS Properties'!$P$46</f>
        <v>499.93739999999997</v>
      </c>
      <c r="L786" s="2">
        <f>'PFAS Properties'!$X$46</f>
        <v>0.1</v>
      </c>
      <c r="M786" s="2" t="str">
        <f>'PFAS Properties'!$Y$46</f>
        <v>-</v>
      </c>
      <c r="N786" s="33">
        <v>0</v>
      </c>
      <c r="O786" s="33">
        <v>0</v>
      </c>
      <c r="P786" s="33">
        <v>0</v>
      </c>
      <c r="Q786" s="33">
        <f t="shared" si="342"/>
        <v>0.99999841510931942</v>
      </c>
      <c r="R786" s="33">
        <v>0</v>
      </c>
      <c r="S786" s="33">
        <f t="shared" si="343"/>
        <v>1.5848906805786579E-6</v>
      </c>
      <c r="T786" s="8">
        <f t="shared" si="332"/>
        <v>1</v>
      </c>
      <c r="U786" s="33">
        <f t="shared" si="346"/>
        <v>0</v>
      </c>
      <c r="V786" s="33">
        <f t="shared" si="347"/>
        <v>-0.99999841510931942</v>
      </c>
      <c r="W786" s="33">
        <f t="shared" si="348"/>
        <v>498.93740158489061</v>
      </c>
      <c r="X786" s="33">
        <v>96485</v>
      </c>
      <c r="Y786" s="16">
        <f t="shared" si="349"/>
        <v>-193.38066614235672</v>
      </c>
      <c r="Z786" s="16">
        <v>8</v>
      </c>
      <c r="AA786" s="16">
        <v>17</v>
      </c>
      <c r="AB786" s="8">
        <f t="shared" si="350"/>
        <v>0.29721362229102166</v>
      </c>
      <c r="AC786" s="16">
        <f t="shared" si="337"/>
        <v>64.60808893273439</v>
      </c>
      <c r="AD786" s="20">
        <f>'PFAS Properties'!$W$46</f>
        <v>8</v>
      </c>
      <c r="AE786" s="8">
        <f>'PFAS Properties'!$S$46</f>
        <v>2.0166155475571776</v>
      </c>
      <c r="AF786" s="15">
        <f>'PFAS Properties'!$V$46</f>
        <v>5</v>
      </c>
      <c r="AG786" s="24">
        <v>5.9</v>
      </c>
      <c r="AH786" s="2" t="s">
        <v>834</v>
      </c>
      <c r="AI786" s="2">
        <v>0.13800000000000001</v>
      </c>
      <c r="AJ786" s="15">
        <f t="shared" si="359"/>
        <v>2.4711254364759605</v>
      </c>
      <c r="AK786" s="8">
        <f t="shared" si="360"/>
        <v>1.3800000000000002E-2</v>
      </c>
      <c r="AL786" s="2">
        <v>0.32500000000000001</v>
      </c>
      <c r="AM786" s="15">
        <f t="shared" si="361"/>
        <v>12.045959970348406</v>
      </c>
      <c r="AN786" s="8">
        <f t="shared" si="362"/>
        <v>3.2500000000000001E-2</v>
      </c>
      <c r="AO786" s="15" t="s">
        <v>31</v>
      </c>
      <c r="AP786" s="16">
        <v>72.400000000000006</v>
      </c>
      <c r="AQ786" s="16" t="s">
        <v>689</v>
      </c>
      <c r="AR786" s="2">
        <v>73.400000000000006</v>
      </c>
      <c r="AS786" s="2">
        <v>16.8</v>
      </c>
      <c r="AT786" s="2">
        <v>9.8000000000000007</v>
      </c>
      <c r="AU786" s="16" t="s">
        <v>664</v>
      </c>
      <c r="AV786" s="16">
        <f t="shared" si="363"/>
        <v>100</v>
      </c>
      <c r="AW786" s="20">
        <v>3.9</v>
      </c>
      <c r="AX786" s="8">
        <f t="shared" si="345"/>
        <v>3.9E-2</v>
      </c>
      <c r="AY786" s="8" t="s">
        <v>32</v>
      </c>
      <c r="AZ786" s="16">
        <f t="shared" si="364"/>
        <v>100</v>
      </c>
      <c r="BA786" s="16" t="s">
        <v>55</v>
      </c>
      <c r="BB786" s="16">
        <v>5</v>
      </c>
      <c r="BC786" s="16">
        <v>1000</v>
      </c>
      <c r="BD786" s="25">
        <v>38</v>
      </c>
      <c r="BE786" s="16">
        <f t="shared" si="338"/>
        <v>974.35897435897436</v>
      </c>
      <c r="BF786" s="16">
        <f t="shared" si="354"/>
        <v>2.988718989590311</v>
      </c>
      <c r="BG786" s="8">
        <f t="shared" si="333"/>
        <v>1.5797835966168101</v>
      </c>
      <c r="BH786" s="2" t="s">
        <v>837</v>
      </c>
      <c r="BI786" s="2"/>
      <c r="BJ786" s="2"/>
      <c r="BK786" s="2"/>
      <c r="BL786" s="2"/>
      <c r="BM786" s="20"/>
      <c r="BN786" s="20"/>
      <c r="BO786" s="2"/>
    </row>
    <row r="787" spans="1:67" s="14" customFormat="1" x14ac:dyDescent="0.3">
      <c r="A787" s="20">
        <v>804</v>
      </c>
      <c r="B787" s="2" t="s">
        <v>207</v>
      </c>
      <c r="C787" s="2">
        <v>2015</v>
      </c>
      <c r="D787" s="2" t="s">
        <v>201</v>
      </c>
      <c r="E787" s="10" t="s">
        <v>810</v>
      </c>
      <c r="F787" s="20" t="s">
        <v>29</v>
      </c>
      <c r="G787" s="2" t="s">
        <v>33</v>
      </c>
      <c r="H787" s="2" t="str">
        <f>'PFAS Properties'!$B$46</f>
        <v>PFOS</v>
      </c>
      <c r="I787" s="2" t="str">
        <f>'PFAS Properties'!$C$46</f>
        <v>PFSA</v>
      </c>
      <c r="J787" s="2" t="str">
        <f>'PFAS Properties'!$D$46</f>
        <v>C8HF17O3S</v>
      </c>
      <c r="K787" s="25">
        <f>'PFAS Properties'!$P$46</f>
        <v>499.93739999999997</v>
      </c>
      <c r="L787" s="2">
        <f>'PFAS Properties'!$X$46</f>
        <v>0.1</v>
      </c>
      <c r="M787" s="2" t="str">
        <f>'PFAS Properties'!$Y$46</f>
        <v>-</v>
      </c>
      <c r="N787" s="33">
        <v>0</v>
      </c>
      <c r="O787" s="33">
        <v>0</v>
      </c>
      <c r="P787" s="33">
        <v>0</v>
      </c>
      <c r="Q787" s="33">
        <f t="shared" si="342"/>
        <v>0.99999998741074603</v>
      </c>
      <c r="R787" s="33">
        <v>0</v>
      </c>
      <c r="S787" s="33">
        <f t="shared" si="343"/>
        <v>1.258925395945232E-8</v>
      </c>
      <c r="T787" s="8">
        <f t="shared" si="332"/>
        <v>1</v>
      </c>
      <c r="U787" s="33">
        <f t="shared" si="346"/>
        <v>0</v>
      </c>
      <c r="V787" s="33">
        <f t="shared" si="347"/>
        <v>-0.99999998741074603</v>
      </c>
      <c r="W787" s="33">
        <f t="shared" si="348"/>
        <v>498.93740001258925</v>
      </c>
      <c r="X787" s="33">
        <v>96485</v>
      </c>
      <c r="Y787" s="16">
        <f t="shared" si="349"/>
        <v>-193.38097080493725</v>
      </c>
      <c r="Z787" s="16">
        <v>8</v>
      </c>
      <c r="AA787" s="16">
        <v>17</v>
      </c>
      <c r="AB787" s="8">
        <f t="shared" si="350"/>
        <v>0.29721362229102166</v>
      </c>
      <c r="AC787" s="16">
        <f t="shared" si="337"/>
        <v>64.60808893273439</v>
      </c>
      <c r="AD787" s="20">
        <f>'PFAS Properties'!$W$46</f>
        <v>8</v>
      </c>
      <c r="AE787" s="8">
        <f>'PFAS Properties'!$S$46</f>
        <v>2.0166155475571776</v>
      </c>
      <c r="AF787" s="15">
        <f>'PFAS Properties'!$V$46</f>
        <v>5</v>
      </c>
      <c r="AG787" s="24">
        <v>8</v>
      </c>
      <c r="AH787" s="2" t="s">
        <v>834</v>
      </c>
      <c r="AI787" s="15">
        <v>2.9660000000000002</v>
      </c>
      <c r="AJ787" s="15">
        <f t="shared" si="359"/>
        <v>53.111290178171728</v>
      </c>
      <c r="AK787" s="15">
        <f t="shared" si="360"/>
        <v>0.29660000000000003</v>
      </c>
      <c r="AL787" s="15">
        <v>0.23</v>
      </c>
      <c r="AM787" s="15">
        <f t="shared" si="361"/>
        <v>8.5248332097850259</v>
      </c>
      <c r="AN787" s="15">
        <f t="shared" si="362"/>
        <v>2.3E-2</v>
      </c>
      <c r="AO787" s="2" t="s">
        <v>31</v>
      </c>
      <c r="AP787" s="16">
        <v>89.3</v>
      </c>
      <c r="AQ787" s="16" t="s">
        <v>689</v>
      </c>
      <c r="AR787" s="2">
        <v>12.2</v>
      </c>
      <c r="AS787" s="2">
        <v>54.3</v>
      </c>
      <c r="AT787" s="2">
        <v>33.5</v>
      </c>
      <c r="AU787" s="16" t="s">
        <v>664</v>
      </c>
      <c r="AV787" s="16">
        <f t="shared" si="363"/>
        <v>100</v>
      </c>
      <c r="AW787" s="20">
        <v>7.7</v>
      </c>
      <c r="AX787" s="8">
        <f t="shared" si="345"/>
        <v>7.6999999999999999E-2</v>
      </c>
      <c r="AY787" s="8" t="s">
        <v>32</v>
      </c>
      <c r="AZ787" s="16">
        <f t="shared" si="364"/>
        <v>100</v>
      </c>
      <c r="BA787" s="16" t="s">
        <v>55</v>
      </c>
      <c r="BB787" s="16">
        <v>5</v>
      </c>
      <c r="BC787" s="16">
        <v>1000</v>
      </c>
      <c r="BD787" s="25">
        <v>76</v>
      </c>
      <c r="BE787" s="16">
        <f t="shared" si="338"/>
        <v>987.01298701298708</v>
      </c>
      <c r="BF787" s="16">
        <f t="shared" si="354"/>
        <v>2.9943228671083095</v>
      </c>
      <c r="BG787" s="8">
        <f t="shared" si="333"/>
        <v>1.8808135922807914</v>
      </c>
      <c r="BH787" s="2" t="s">
        <v>837</v>
      </c>
      <c r="BI787" s="2"/>
      <c r="BJ787" s="2"/>
      <c r="BK787" s="2"/>
      <c r="BL787" s="2"/>
      <c r="BM787" s="20"/>
      <c r="BN787" s="20"/>
      <c r="BO787" s="2"/>
    </row>
    <row r="788" spans="1:67" s="14" customFormat="1" x14ac:dyDescent="0.3">
      <c r="A788" s="20">
        <v>805</v>
      </c>
      <c r="B788" s="2" t="s">
        <v>207</v>
      </c>
      <c r="C788" s="2">
        <v>2015</v>
      </c>
      <c r="D788" s="2" t="s">
        <v>201</v>
      </c>
      <c r="E788" s="10" t="s">
        <v>810</v>
      </c>
      <c r="F788" s="20" t="s">
        <v>29</v>
      </c>
      <c r="G788" s="2" t="s">
        <v>34</v>
      </c>
      <c r="H788" s="2" t="str">
        <f>'PFAS Properties'!$B$46</f>
        <v>PFOS</v>
      </c>
      <c r="I788" s="2" t="str">
        <f>'PFAS Properties'!$C$46</f>
        <v>PFSA</v>
      </c>
      <c r="J788" s="2" t="str">
        <f>'PFAS Properties'!$D$46</f>
        <v>C8HF17O3S</v>
      </c>
      <c r="K788" s="25">
        <f>'PFAS Properties'!$P$46</f>
        <v>499.93739999999997</v>
      </c>
      <c r="L788" s="2">
        <f>'PFAS Properties'!$X$46</f>
        <v>0.1</v>
      </c>
      <c r="M788" s="2" t="str">
        <f>'PFAS Properties'!$Y$46</f>
        <v>-</v>
      </c>
      <c r="N788" s="33">
        <v>0</v>
      </c>
      <c r="O788" s="33">
        <v>0</v>
      </c>
      <c r="P788" s="33">
        <v>0</v>
      </c>
      <c r="Q788" s="33">
        <f t="shared" si="342"/>
        <v>0.99999205678074798</v>
      </c>
      <c r="R788" s="33">
        <v>0</v>
      </c>
      <c r="S788" s="33">
        <f t="shared" si="343"/>
        <v>7.9432192520095278E-6</v>
      </c>
      <c r="T788" s="8">
        <f t="shared" si="332"/>
        <v>1</v>
      </c>
      <c r="U788" s="33">
        <f t="shared" si="346"/>
        <v>0</v>
      </c>
      <c r="V788" s="33">
        <f t="shared" si="347"/>
        <v>-0.99999205678074798</v>
      </c>
      <c r="W788" s="33">
        <f t="shared" si="348"/>
        <v>498.93740794321923</v>
      </c>
      <c r="X788" s="33">
        <v>96485</v>
      </c>
      <c r="Y788" s="16">
        <f t="shared" si="349"/>
        <v>-193.37943409821597</v>
      </c>
      <c r="Z788" s="16">
        <v>8</v>
      </c>
      <c r="AA788" s="16">
        <v>17</v>
      </c>
      <c r="AB788" s="8">
        <f t="shared" si="350"/>
        <v>0.29721362229102166</v>
      </c>
      <c r="AC788" s="16">
        <f t="shared" si="337"/>
        <v>64.60808893273439</v>
      </c>
      <c r="AD788" s="20">
        <f>'PFAS Properties'!$W$46</f>
        <v>8</v>
      </c>
      <c r="AE788" s="8">
        <f>'PFAS Properties'!$S$46</f>
        <v>2.0166155475571776</v>
      </c>
      <c r="AF788" s="15">
        <f>'PFAS Properties'!$V$46</f>
        <v>5</v>
      </c>
      <c r="AG788" s="24">
        <v>5.2</v>
      </c>
      <c r="AH788" s="2" t="s">
        <v>834</v>
      </c>
      <c r="AI788" s="15">
        <v>4.5149999999999997</v>
      </c>
      <c r="AJ788" s="15">
        <f t="shared" si="359"/>
        <v>80.848777867311313</v>
      </c>
      <c r="AK788" s="15">
        <f t="shared" si="360"/>
        <v>0.45149999999999996</v>
      </c>
      <c r="AL788" s="15">
        <v>0.377</v>
      </c>
      <c r="AM788" s="15">
        <f t="shared" si="361"/>
        <v>13.973313565604151</v>
      </c>
      <c r="AN788" s="15">
        <f t="shared" si="362"/>
        <v>3.7699999999999997E-2</v>
      </c>
      <c r="AO788" s="2" t="s">
        <v>31</v>
      </c>
      <c r="AP788" s="16">
        <v>46.3</v>
      </c>
      <c r="AQ788" s="16" t="s">
        <v>689</v>
      </c>
      <c r="AR788" s="2">
        <v>41.3</v>
      </c>
      <c r="AS788" s="2">
        <v>39.799999999999997</v>
      </c>
      <c r="AT788" s="2">
        <v>18.899999999999999</v>
      </c>
      <c r="AU788" s="16" t="s">
        <v>664</v>
      </c>
      <c r="AV788" s="16">
        <f t="shared" si="363"/>
        <v>100</v>
      </c>
      <c r="AW788" s="20">
        <v>9.4</v>
      </c>
      <c r="AX788" s="8">
        <f t="shared" si="345"/>
        <v>9.4E-2</v>
      </c>
      <c r="AY788" s="8" t="s">
        <v>32</v>
      </c>
      <c r="AZ788" s="16">
        <f t="shared" si="364"/>
        <v>100</v>
      </c>
      <c r="BA788" s="16" t="s">
        <v>55</v>
      </c>
      <c r="BB788" s="16">
        <v>5</v>
      </c>
      <c r="BC788" s="16">
        <v>1000</v>
      </c>
      <c r="BD788" s="25">
        <v>110</v>
      </c>
      <c r="BE788" s="16">
        <f t="shared" si="338"/>
        <v>1170.2127659574469</v>
      </c>
      <c r="BF788" s="16">
        <f t="shared" si="354"/>
        <v>3.0682648315585266</v>
      </c>
      <c r="BG788" s="8">
        <f t="shared" si="333"/>
        <v>2.0413926851582249</v>
      </c>
      <c r="BH788" s="2" t="s">
        <v>837</v>
      </c>
      <c r="BI788" s="2"/>
      <c r="BJ788" s="2"/>
      <c r="BK788" s="2"/>
      <c r="BL788" s="2"/>
      <c r="BM788" s="20"/>
      <c r="BN788" s="20"/>
      <c r="BO788" s="2"/>
    </row>
    <row r="789" spans="1:67" s="14" customFormat="1" x14ac:dyDescent="0.3">
      <c r="A789" s="20">
        <v>806</v>
      </c>
      <c r="B789" s="2" t="s">
        <v>207</v>
      </c>
      <c r="C789" s="2">
        <v>2015</v>
      </c>
      <c r="D789" s="2" t="s">
        <v>201</v>
      </c>
      <c r="E789" s="10" t="s">
        <v>810</v>
      </c>
      <c r="F789" s="20" t="s">
        <v>29</v>
      </c>
      <c r="G789" s="2" t="s">
        <v>37</v>
      </c>
      <c r="H789" s="2" t="str">
        <f>'PFAS Properties'!$B$46</f>
        <v>PFOS</v>
      </c>
      <c r="I789" s="2" t="str">
        <f>'PFAS Properties'!$C$46</f>
        <v>PFSA</v>
      </c>
      <c r="J789" s="2" t="str">
        <f>'PFAS Properties'!$D$46</f>
        <v>C8HF17O3S</v>
      </c>
      <c r="K789" s="25">
        <f>'PFAS Properties'!$P$46</f>
        <v>499.93739999999997</v>
      </c>
      <c r="L789" s="2">
        <f>'PFAS Properties'!$X$46</f>
        <v>0.1</v>
      </c>
      <c r="M789" s="2" t="str">
        <f>'PFAS Properties'!$Y$46</f>
        <v>-</v>
      </c>
      <c r="N789" s="33">
        <v>0</v>
      </c>
      <c r="O789" s="33">
        <v>0</v>
      </c>
      <c r="P789" s="33">
        <v>0</v>
      </c>
      <c r="Q789" s="33">
        <f t="shared" si="342"/>
        <v>0.9999974881198781</v>
      </c>
      <c r="R789" s="33">
        <v>0</v>
      </c>
      <c r="S789" s="33">
        <f t="shared" si="343"/>
        <v>2.5118801219519806E-6</v>
      </c>
      <c r="T789" s="8">
        <f t="shared" si="332"/>
        <v>1</v>
      </c>
      <c r="U789" s="33">
        <f t="shared" si="346"/>
        <v>0</v>
      </c>
      <c r="V789" s="33">
        <f t="shared" si="347"/>
        <v>-0.9999974881198781</v>
      </c>
      <c r="W789" s="33">
        <f t="shared" si="348"/>
        <v>498.93740251188012</v>
      </c>
      <c r="X789" s="33">
        <v>96485</v>
      </c>
      <c r="Y789" s="16">
        <f t="shared" si="349"/>
        <v>-193.38048652094997</v>
      </c>
      <c r="Z789" s="16">
        <v>8</v>
      </c>
      <c r="AA789" s="16">
        <v>17</v>
      </c>
      <c r="AB789" s="8">
        <f t="shared" si="350"/>
        <v>0.29721362229102166</v>
      </c>
      <c r="AC789" s="16">
        <f t="shared" si="337"/>
        <v>64.60808893273439</v>
      </c>
      <c r="AD789" s="20">
        <f>'PFAS Properties'!$W$46</f>
        <v>8</v>
      </c>
      <c r="AE789" s="8">
        <f>'PFAS Properties'!$S$46</f>
        <v>2.0166155475571776</v>
      </c>
      <c r="AF789" s="15">
        <f>'PFAS Properties'!$V$46</f>
        <v>5</v>
      </c>
      <c r="AG789" s="24">
        <v>5.7</v>
      </c>
      <c r="AH789" s="2" t="s">
        <v>834</v>
      </c>
      <c r="AI789" s="15">
        <v>10.64</v>
      </c>
      <c r="AJ789" s="15">
        <f t="shared" si="359"/>
        <v>190.52735249350883</v>
      </c>
      <c r="AK789" s="15">
        <f t="shared" si="360"/>
        <v>1.0640000000000001</v>
      </c>
      <c r="AL789" s="15">
        <v>0.16700000000000001</v>
      </c>
      <c r="AM789" s="15">
        <f t="shared" si="361"/>
        <v>6.1897702001482582</v>
      </c>
      <c r="AN789" s="15">
        <f t="shared" si="362"/>
        <v>1.67E-2</v>
      </c>
      <c r="AO789" s="2" t="s">
        <v>31</v>
      </c>
      <c r="AP789" s="16">
        <v>130</v>
      </c>
      <c r="AQ789" s="16" t="s">
        <v>689</v>
      </c>
      <c r="AR789" s="2">
        <v>20.7</v>
      </c>
      <c r="AS789" s="2">
        <v>78</v>
      </c>
      <c r="AT789" s="2">
        <v>1.3</v>
      </c>
      <c r="AU789" s="16" t="s">
        <v>664</v>
      </c>
      <c r="AV789" s="16">
        <f t="shared" si="363"/>
        <v>100</v>
      </c>
      <c r="AW789" s="20">
        <v>39</v>
      </c>
      <c r="AX789" s="8">
        <f t="shared" si="345"/>
        <v>0.39</v>
      </c>
      <c r="AY789" s="8" t="s">
        <v>32</v>
      </c>
      <c r="AZ789" s="16">
        <f t="shared" si="364"/>
        <v>100</v>
      </c>
      <c r="BA789" s="16" t="s">
        <v>55</v>
      </c>
      <c r="BB789" s="16">
        <v>5</v>
      </c>
      <c r="BC789" s="16">
        <v>1000</v>
      </c>
      <c r="BD789" s="25">
        <v>295</v>
      </c>
      <c r="BE789" s="16">
        <f t="shared" si="338"/>
        <v>756.41025641025635</v>
      </c>
      <c r="BF789" s="16">
        <f t="shared" si="354"/>
        <v>2.8787574089516639</v>
      </c>
      <c r="BG789" s="8">
        <f t="shared" si="333"/>
        <v>2.469822015978163</v>
      </c>
      <c r="BH789" s="2" t="s">
        <v>837</v>
      </c>
      <c r="BI789" s="2"/>
      <c r="BJ789" s="2"/>
      <c r="BK789" s="2"/>
      <c r="BL789" s="2"/>
      <c r="BM789" s="20"/>
      <c r="BN789" s="20"/>
      <c r="BO789" s="2"/>
    </row>
    <row r="790" spans="1:67" s="14" customFormat="1" x14ac:dyDescent="0.3">
      <c r="A790" s="20">
        <v>807</v>
      </c>
      <c r="B790" s="2" t="s">
        <v>200</v>
      </c>
      <c r="C790" s="2">
        <v>2021</v>
      </c>
      <c r="D790" s="2" t="s">
        <v>201</v>
      </c>
      <c r="E790" s="10" t="s">
        <v>794</v>
      </c>
      <c r="F790" s="20" t="s">
        <v>29</v>
      </c>
      <c r="G790" s="2" t="s">
        <v>30</v>
      </c>
      <c r="H790" s="2" t="str">
        <f>'PFAS Properties'!$B$46</f>
        <v>PFOS</v>
      </c>
      <c r="I790" s="2" t="str">
        <f>'PFAS Properties'!$C$46</f>
        <v>PFSA</v>
      </c>
      <c r="J790" s="2" t="str">
        <f>'PFAS Properties'!$D$46</f>
        <v>C8HF17O3S</v>
      </c>
      <c r="K790" s="25">
        <f>'PFAS Properties'!$P$46</f>
        <v>499.93739999999997</v>
      </c>
      <c r="L790" s="2">
        <f>'PFAS Properties'!$X$46</f>
        <v>0.1</v>
      </c>
      <c r="M790" s="2" t="str">
        <f>'PFAS Properties'!$Y$46</f>
        <v>-</v>
      </c>
      <c r="N790" s="33">
        <v>0</v>
      </c>
      <c r="O790" s="33">
        <v>0</v>
      </c>
      <c r="P790" s="33">
        <v>0</v>
      </c>
      <c r="Q790" s="33">
        <f t="shared" si="342"/>
        <v>0.99999601894414336</v>
      </c>
      <c r="R790" s="33">
        <v>0</v>
      </c>
      <c r="S790" s="33">
        <f t="shared" si="343"/>
        <v>3.981055856666137E-6</v>
      </c>
      <c r="T790" s="8">
        <f t="shared" si="332"/>
        <v>1</v>
      </c>
      <c r="U790" s="33">
        <f t="shared" si="346"/>
        <v>0</v>
      </c>
      <c r="V790" s="33">
        <f t="shared" si="347"/>
        <v>-0.99999601894414336</v>
      </c>
      <c r="W790" s="33">
        <f t="shared" si="348"/>
        <v>498.93740398105581</v>
      </c>
      <c r="X790" s="33">
        <v>96485</v>
      </c>
      <c r="Y790" s="16">
        <f t="shared" si="349"/>
        <v>-193.38020184088887</v>
      </c>
      <c r="Z790" s="16">
        <v>8</v>
      </c>
      <c r="AA790" s="16">
        <v>17</v>
      </c>
      <c r="AB790" s="8">
        <f t="shared" si="350"/>
        <v>0.29721362229102166</v>
      </c>
      <c r="AC790" s="16">
        <f t="shared" si="337"/>
        <v>64.60808893273439</v>
      </c>
      <c r="AD790" s="20">
        <f>'PFAS Properties'!$W$46</f>
        <v>8</v>
      </c>
      <c r="AE790" s="8">
        <f>'PFAS Properties'!$S$46</f>
        <v>2.0166155475571776</v>
      </c>
      <c r="AF790" s="15">
        <f>'PFAS Properties'!$V$46</f>
        <v>5</v>
      </c>
      <c r="AG790" s="24">
        <v>5.5</v>
      </c>
      <c r="AH790" s="2" t="s">
        <v>834</v>
      </c>
      <c r="AI790" s="15">
        <v>1.0129999999999999</v>
      </c>
      <c r="AJ790" s="16">
        <f t="shared" si="359"/>
        <v>18.13949324021846</v>
      </c>
      <c r="AK790" s="8">
        <f t="shared" si="360"/>
        <v>0.10129999999999999</v>
      </c>
      <c r="AL790" s="15">
        <v>0.40400000000000003</v>
      </c>
      <c r="AM790" s="16">
        <f t="shared" si="361"/>
        <v>14.974054855448481</v>
      </c>
      <c r="AN790" s="8">
        <f t="shared" si="362"/>
        <v>4.0400000000000005E-2</v>
      </c>
      <c r="AO790" s="15" t="s">
        <v>31</v>
      </c>
      <c r="AP790" s="16">
        <v>23.4</v>
      </c>
      <c r="AQ790" s="16" t="s">
        <v>689</v>
      </c>
      <c r="AR790" s="16">
        <v>54.4</v>
      </c>
      <c r="AS790" s="16">
        <v>35</v>
      </c>
      <c r="AT790" s="16">
        <v>10.6</v>
      </c>
      <c r="AU790" s="16" t="s">
        <v>664</v>
      </c>
      <c r="AV790" s="16">
        <f t="shared" si="363"/>
        <v>100</v>
      </c>
      <c r="AW790" s="20">
        <v>1.6</v>
      </c>
      <c r="AX790" s="8">
        <f t="shared" si="345"/>
        <v>1.6E-2</v>
      </c>
      <c r="AY790" s="8" t="s">
        <v>32</v>
      </c>
      <c r="AZ790" s="16">
        <f t="shared" si="364"/>
        <v>100</v>
      </c>
      <c r="BA790" s="16" t="s">
        <v>55</v>
      </c>
      <c r="BB790" s="16">
        <v>170</v>
      </c>
      <c r="BC790" s="16" t="s">
        <v>55</v>
      </c>
      <c r="BD790" s="25">
        <v>32</v>
      </c>
      <c r="BE790" s="16">
        <f t="shared" si="338"/>
        <v>2000</v>
      </c>
      <c r="BF790" s="16">
        <f t="shared" si="354"/>
        <v>3.3010299956639813</v>
      </c>
      <c r="BG790" s="8">
        <f t="shared" si="333"/>
        <v>1.505149978319906</v>
      </c>
      <c r="BH790" s="2" t="s">
        <v>841</v>
      </c>
      <c r="BI790" s="2"/>
      <c r="BJ790" s="2"/>
      <c r="BK790" s="2"/>
      <c r="BL790" s="2"/>
      <c r="BM790" s="20"/>
      <c r="BN790" s="20"/>
      <c r="BO790" s="2"/>
    </row>
    <row r="791" spans="1:67" s="14" customFormat="1" x14ac:dyDescent="0.3">
      <c r="A791" s="20">
        <v>808</v>
      </c>
      <c r="B791" s="2" t="s">
        <v>200</v>
      </c>
      <c r="C791" s="2">
        <v>2021</v>
      </c>
      <c r="D791" s="2" t="s">
        <v>201</v>
      </c>
      <c r="E791" s="10" t="s">
        <v>794</v>
      </c>
      <c r="F791" s="20" t="s">
        <v>29</v>
      </c>
      <c r="G791" s="2" t="s">
        <v>33</v>
      </c>
      <c r="H791" s="2" t="str">
        <f>'PFAS Properties'!$B$46</f>
        <v>PFOS</v>
      </c>
      <c r="I791" s="2" t="str">
        <f>'PFAS Properties'!$C$46</f>
        <v>PFSA</v>
      </c>
      <c r="J791" s="2" t="str">
        <f>'PFAS Properties'!$D$46</f>
        <v>C8HF17O3S</v>
      </c>
      <c r="K791" s="25">
        <f>'PFAS Properties'!$P$46</f>
        <v>499.93739999999997</v>
      </c>
      <c r="L791" s="2">
        <f>'PFAS Properties'!$X$46</f>
        <v>0.1</v>
      </c>
      <c r="M791" s="2" t="str">
        <f>'PFAS Properties'!$Y$46</f>
        <v>-</v>
      </c>
      <c r="N791" s="33">
        <v>0</v>
      </c>
      <c r="O791" s="33">
        <v>0</v>
      </c>
      <c r="P791" s="33">
        <v>0</v>
      </c>
      <c r="Q791" s="33">
        <f t="shared" si="342"/>
        <v>0.99999998741074603</v>
      </c>
      <c r="R791" s="33">
        <v>0</v>
      </c>
      <c r="S791" s="33">
        <f t="shared" si="343"/>
        <v>1.258925395945232E-8</v>
      </c>
      <c r="T791" s="8">
        <f t="shared" si="332"/>
        <v>1</v>
      </c>
      <c r="U791" s="33">
        <f t="shared" si="346"/>
        <v>0</v>
      </c>
      <c r="V791" s="33">
        <f t="shared" si="347"/>
        <v>-0.99999998741074603</v>
      </c>
      <c r="W791" s="33">
        <f t="shared" si="348"/>
        <v>498.93740001258925</v>
      </c>
      <c r="X791" s="33">
        <v>96485</v>
      </c>
      <c r="Y791" s="16">
        <f t="shared" si="349"/>
        <v>-193.38097080493725</v>
      </c>
      <c r="Z791" s="16">
        <v>8</v>
      </c>
      <c r="AA791" s="16">
        <v>17</v>
      </c>
      <c r="AB791" s="8">
        <f t="shared" si="350"/>
        <v>0.29721362229102166</v>
      </c>
      <c r="AC791" s="16">
        <f t="shared" si="337"/>
        <v>64.60808893273439</v>
      </c>
      <c r="AD791" s="20">
        <f>'PFAS Properties'!$W$46</f>
        <v>8</v>
      </c>
      <c r="AE791" s="8">
        <f>'PFAS Properties'!$S$46</f>
        <v>2.0166155475571776</v>
      </c>
      <c r="AF791" s="15">
        <f>'PFAS Properties'!$V$46</f>
        <v>5</v>
      </c>
      <c r="AG791" s="24">
        <v>8</v>
      </c>
      <c r="AH791" s="2" t="s">
        <v>834</v>
      </c>
      <c r="AI791" s="15">
        <v>2.9660000000000002</v>
      </c>
      <c r="AJ791" s="16">
        <f t="shared" si="359"/>
        <v>53.111290178171728</v>
      </c>
      <c r="AK791" s="8">
        <f t="shared" si="360"/>
        <v>0.29660000000000003</v>
      </c>
      <c r="AL791" s="15">
        <v>0.23</v>
      </c>
      <c r="AM791" s="16">
        <f t="shared" si="361"/>
        <v>8.5248332097850259</v>
      </c>
      <c r="AN791" s="8">
        <f t="shared" si="362"/>
        <v>2.3E-2</v>
      </c>
      <c r="AO791" s="15" t="s">
        <v>31</v>
      </c>
      <c r="AP791" s="16">
        <v>87.3</v>
      </c>
      <c r="AQ791" s="16" t="s">
        <v>689</v>
      </c>
      <c r="AR791" s="16">
        <v>12.2</v>
      </c>
      <c r="AS791" s="16">
        <v>54.3</v>
      </c>
      <c r="AT791" s="16">
        <v>33.5</v>
      </c>
      <c r="AU791" s="16" t="s">
        <v>664</v>
      </c>
      <c r="AV791" s="16">
        <f t="shared" si="363"/>
        <v>100</v>
      </c>
      <c r="AW791" s="20">
        <v>7.7</v>
      </c>
      <c r="AX791" s="8">
        <f t="shared" si="345"/>
        <v>7.6999999999999999E-2</v>
      </c>
      <c r="AY791" s="8" t="s">
        <v>32</v>
      </c>
      <c r="AZ791" s="16">
        <f t="shared" si="364"/>
        <v>100</v>
      </c>
      <c r="BA791" s="16" t="s">
        <v>55</v>
      </c>
      <c r="BB791" s="16">
        <v>170</v>
      </c>
      <c r="BC791" s="16" t="s">
        <v>55</v>
      </c>
      <c r="BD791" s="25">
        <v>76</v>
      </c>
      <c r="BE791" s="16">
        <f t="shared" si="338"/>
        <v>987.01298701298708</v>
      </c>
      <c r="BF791" s="16">
        <f t="shared" si="354"/>
        <v>2.9943228671083095</v>
      </c>
      <c r="BG791" s="8">
        <f t="shared" si="333"/>
        <v>1.8808135922807914</v>
      </c>
      <c r="BH791" s="2" t="s">
        <v>841</v>
      </c>
      <c r="BI791" s="2"/>
      <c r="BJ791" s="2"/>
      <c r="BK791" s="2"/>
      <c r="BL791" s="2"/>
      <c r="BM791" s="20"/>
      <c r="BN791" s="20"/>
      <c r="BO791" s="2"/>
    </row>
    <row r="792" spans="1:67" s="14" customFormat="1" x14ac:dyDescent="0.3">
      <c r="A792" s="20">
        <v>809</v>
      </c>
      <c r="B792" s="2" t="s">
        <v>200</v>
      </c>
      <c r="C792" s="2">
        <v>2021</v>
      </c>
      <c r="D792" s="2" t="s">
        <v>201</v>
      </c>
      <c r="E792" s="10" t="s">
        <v>794</v>
      </c>
      <c r="F792" s="20" t="s">
        <v>29</v>
      </c>
      <c r="G792" s="2" t="s">
        <v>34</v>
      </c>
      <c r="H792" s="2" t="str">
        <f>'PFAS Properties'!$B$46</f>
        <v>PFOS</v>
      </c>
      <c r="I792" s="2" t="str">
        <f>'PFAS Properties'!$C$46</f>
        <v>PFSA</v>
      </c>
      <c r="J792" s="2" t="str">
        <f>'PFAS Properties'!$D$46</f>
        <v>C8HF17O3S</v>
      </c>
      <c r="K792" s="25">
        <f>'PFAS Properties'!$P$46</f>
        <v>499.93739999999997</v>
      </c>
      <c r="L792" s="2">
        <f>'PFAS Properties'!$X$46</f>
        <v>0.1</v>
      </c>
      <c r="M792" s="2" t="str">
        <f>'PFAS Properties'!$Y$46</f>
        <v>-</v>
      </c>
      <c r="N792" s="33">
        <v>0</v>
      </c>
      <c r="O792" s="33">
        <v>0</v>
      </c>
      <c r="P792" s="33">
        <v>0</v>
      </c>
      <c r="Q792" s="33">
        <f t="shared" si="342"/>
        <v>0.99999205678074798</v>
      </c>
      <c r="R792" s="33">
        <v>0</v>
      </c>
      <c r="S792" s="33">
        <f t="shared" si="343"/>
        <v>7.9432192520095278E-6</v>
      </c>
      <c r="T792" s="8">
        <f t="shared" si="332"/>
        <v>1</v>
      </c>
      <c r="U792" s="33">
        <f t="shared" si="346"/>
        <v>0</v>
      </c>
      <c r="V792" s="33">
        <f t="shared" si="347"/>
        <v>-0.99999205678074798</v>
      </c>
      <c r="W792" s="33">
        <f t="shared" si="348"/>
        <v>498.93740794321923</v>
      </c>
      <c r="X792" s="33">
        <v>96485</v>
      </c>
      <c r="Y792" s="16">
        <f t="shared" si="349"/>
        <v>-193.37943409821597</v>
      </c>
      <c r="Z792" s="16">
        <v>8</v>
      </c>
      <c r="AA792" s="16">
        <v>17</v>
      </c>
      <c r="AB792" s="8">
        <f t="shared" si="350"/>
        <v>0.29721362229102166</v>
      </c>
      <c r="AC792" s="16">
        <f t="shared" si="337"/>
        <v>64.60808893273439</v>
      </c>
      <c r="AD792" s="20">
        <f>'PFAS Properties'!$W$46</f>
        <v>8</v>
      </c>
      <c r="AE792" s="8">
        <f>'PFAS Properties'!$S$46</f>
        <v>2.0166155475571776</v>
      </c>
      <c r="AF792" s="15">
        <f>'PFAS Properties'!$V$46</f>
        <v>5</v>
      </c>
      <c r="AG792" s="24">
        <v>5.2</v>
      </c>
      <c r="AH792" s="2" t="s">
        <v>834</v>
      </c>
      <c r="AI792" s="15">
        <v>4.5149999999999997</v>
      </c>
      <c r="AJ792" s="16">
        <f t="shared" si="359"/>
        <v>80.848777867311313</v>
      </c>
      <c r="AK792" s="8">
        <f t="shared" si="360"/>
        <v>0.45149999999999996</v>
      </c>
      <c r="AL792" s="15">
        <v>0.377</v>
      </c>
      <c r="AM792" s="16">
        <f t="shared" si="361"/>
        <v>13.973313565604151</v>
      </c>
      <c r="AN792" s="8">
        <f t="shared" si="362"/>
        <v>3.7699999999999997E-2</v>
      </c>
      <c r="AO792" s="15" t="s">
        <v>31</v>
      </c>
      <c r="AP792" s="16">
        <v>44.3</v>
      </c>
      <c r="AQ792" s="16" t="s">
        <v>689</v>
      </c>
      <c r="AR792" s="16">
        <v>41.3</v>
      </c>
      <c r="AS792" s="16">
        <v>39.799999999999997</v>
      </c>
      <c r="AT792" s="16">
        <v>18.899999999999999</v>
      </c>
      <c r="AU792" s="16" t="s">
        <v>664</v>
      </c>
      <c r="AV792" s="16">
        <f t="shared" si="363"/>
        <v>100</v>
      </c>
      <c r="AW792" s="20">
        <v>9.4</v>
      </c>
      <c r="AX792" s="8">
        <f t="shared" si="345"/>
        <v>9.4E-2</v>
      </c>
      <c r="AY792" s="8" t="s">
        <v>32</v>
      </c>
      <c r="AZ792" s="16">
        <f t="shared" si="364"/>
        <v>100</v>
      </c>
      <c r="BA792" s="16" t="s">
        <v>55</v>
      </c>
      <c r="BB792" s="16">
        <v>170</v>
      </c>
      <c r="BC792" s="16" t="s">
        <v>55</v>
      </c>
      <c r="BD792" s="25">
        <v>110</v>
      </c>
      <c r="BE792" s="16">
        <f t="shared" si="338"/>
        <v>1170.2127659574469</v>
      </c>
      <c r="BF792" s="16">
        <f t="shared" si="354"/>
        <v>3.0682648315585266</v>
      </c>
      <c r="BG792" s="8">
        <f t="shared" si="333"/>
        <v>2.0413926851582249</v>
      </c>
      <c r="BH792" s="2" t="s">
        <v>841</v>
      </c>
      <c r="BI792" s="2"/>
      <c r="BJ792" s="2"/>
      <c r="BK792" s="2"/>
      <c r="BL792" s="2"/>
      <c r="BM792" s="20"/>
      <c r="BN792" s="20"/>
      <c r="BO792" s="2"/>
    </row>
    <row r="793" spans="1:67" s="14" customFormat="1" x14ac:dyDescent="0.3">
      <c r="A793" s="20">
        <v>810</v>
      </c>
      <c r="B793" s="2" t="s">
        <v>200</v>
      </c>
      <c r="C793" s="2">
        <v>2021</v>
      </c>
      <c r="D793" s="2" t="s">
        <v>201</v>
      </c>
      <c r="E793" s="10" t="s">
        <v>794</v>
      </c>
      <c r="F793" s="20" t="s">
        <v>29</v>
      </c>
      <c r="G793" s="2" t="s">
        <v>37</v>
      </c>
      <c r="H793" s="2" t="str">
        <f>'PFAS Properties'!$B$46</f>
        <v>PFOS</v>
      </c>
      <c r="I793" s="2" t="str">
        <f>'PFAS Properties'!$C$46</f>
        <v>PFSA</v>
      </c>
      <c r="J793" s="2" t="str">
        <f>'PFAS Properties'!$D$46</f>
        <v>C8HF17O3S</v>
      </c>
      <c r="K793" s="25">
        <f>'PFAS Properties'!$P$46</f>
        <v>499.93739999999997</v>
      </c>
      <c r="L793" s="2">
        <f>'PFAS Properties'!$X$46</f>
        <v>0.1</v>
      </c>
      <c r="M793" s="2" t="str">
        <f>'PFAS Properties'!$Y$46</f>
        <v>-</v>
      </c>
      <c r="N793" s="33">
        <v>0</v>
      </c>
      <c r="O793" s="33">
        <v>0</v>
      </c>
      <c r="P793" s="33">
        <v>0</v>
      </c>
      <c r="Q793" s="33">
        <f t="shared" si="342"/>
        <v>0.99999800474166611</v>
      </c>
      <c r="R793" s="33">
        <v>0</v>
      </c>
      <c r="S793" s="33">
        <f t="shared" si="343"/>
        <v>1.9952583339051124E-6</v>
      </c>
      <c r="T793" s="8">
        <f t="shared" si="332"/>
        <v>1</v>
      </c>
      <c r="U793" s="33">
        <f t="shared" si="346"/>
        <v>0</v>
      </c>
      <c r="V793" s="33">
        <f t="shared" si="347"/>
        <v>-0.99999800474166611</v>
      </c>
      <c r="W793" s="33">
        <f t="shared" si="348"/>
        <v>498.93740199525831</v>
      </c>
      <c r="X793" s="33">
        <v>96485</v>
      </c>
      <c r="Y793" s="16">
        <f t="shared" si="349"/>
        <v>-193.38058662600847</v>
      </c>
      <c r="Z793" s="16">
        <v>8</v>
      </c>
      <c r="AA793" s="16">
        <v>17</v>
      </c>
      <c r="AB793" s="8">
        <f t="shared" si="350"/>
        <v>0.29721362229102166</v>
      </c>
      <c r="AC793" s="16">
        <f t="shared" si="337"/>
        <v>64.60808893273439</v>
      </c>
      <c r="AD793" s="20">
        <f>'PFAS Properties'!$W$46</f>
        <v>8</v>
      </c>
      <c r="AE793" s="8">
        <f>'PFAS Properties'!$S$46</f>
        <v>2.0166155475571776</v>
      </c>
      <c r="AF793" s="15">
        <f>'PFAS Properties'!$V$46</f>
        <v>5</v>
      </c>
      <c r="AG793" s="24">
        <v>5.8</v>
      </c>
      <c r="AH793" s="2" t="s">
        <v>834</v>
      </c>
      <c r="AI793" s="15">
        <v>6.5019999999999998</v>
      </c>
      <c r="AJ793" s="16">
        <f t="shared" si="359"/>
        <v>116.42940281135286</v>
      </c>
      <c r="AK793" s="8">
        <f t="shared" si="360"/>
        <v>0.6502</v>
      </c>
      <c r="AL793" s="15">
        <v>1.732</v>
      </c>
      <c r="AM793" s="16">
        <f t="shared" si="361"/>
        <v>64.195700518902896</v>
      </c>
      <c r="AN793" s="8">
        <f t="shared" si="362"/>
        <v>0.17319999999999999</v>
      </c>
      <c r="AO793" s="15" t="s">
        <v>31</v>
      </c>
      <c r="AP793" s="16">
        <v>90</v>
      </c>
      <c r="AQ793" s="16" t="s">
        <v>689</v>
      </c>
      <c r="AR793" s="16">
        <v>46</v>
      </c>
      <c r="AS793" s="16">
        <v>51</v>
      </c>
      <c r="AT793" s="16">
        <v>3</v>
      </c>
      <c r="AU793" s="16" t="s">
        <v>664</v>
      </c>
      <c r="AV793" s="16">
        <f t="shared" si="363"/>
        <v>100</v>
      </c>
      <c r="AW793" s="20">
        <v>27</v>
      </c>
      <c r="AX793" s="8">
        <f t="shared" si="345"/>
        <v>0.27</v>
      </c>
      <c r="AY793" s="8" t="s">
        <v>32</v>
      </c>
      <c r="AZ793" s="16">
        <f t="shared" si="364"/>
        <v>100</v>
      </c>
      <c r="BA793" s="16" t="s">
        <v>55</v>
      </c>
      <c r="BB793" s="16">
        <v>670</v>
      </c>
      <c r="BC793" s="16" t="s">
        <v>55</v>
      </c>
      <c r="BD793" s="25">
        <v>144</v>
      </c>
      <c r="BE793" s="16">
        <f t="shared" si="338"/>
        <v>533.33333333333326</v>
      </c>
      <c r="BF793" s="16">
        <f t="shared" si="354"/>
        <v>2.7269987279362624</v>
      </c>
      <c r="BG793" s="8">
        <f t="shared" si="333"/>
        <v>2.1583624920952498</v>
      </c>
      <c r="BH793" s="2" t="s">
        <v>841</v>
      </c>
      <c r="BI793" s="2"/>
      <c r="BJ793" s="2"/>
      <c r="BK793" s="2"/>
      <c r="BL793" s="2"/>
      <c r="BM793" s="20"/>
      <c r="BN793" s="20"/>
      <c r="BO793" s="2"/>
    </row>
    <row r="794" spans="1:67" s="14" customFormat="1" x14ac:dyDescent="0.3">
      <c r="A794" s="20">
        <v>811</v>
      </c>
      <c r="B794" s="2" t="s">
        <v>200</v>
      </c>
      <c r="C794" s="2">
        <v>2021</v>
      </c>
      <c r="D794" s="2" t="s">
        <v>201</v>
      </c>
      <c r="E794" s="10" t="s">
        <v>794</v>
      </c>
      <c r="F794" s="20" t="s">
        <v>29</v>
      </c>
      <c r="G794" s="2" t="s">
        <v>35</v>
      </c>
      <c r="H794" s="2" t="str">
        <f>'PFAS Properties'!$B$46</f>
        <v>PFOS</v>
      </c>
      <c r="I794" s="2" t="str">
        <f>'PFAS Properties'!$C$46</f>
        <v>PFSA</v>
      </c>
      <c r="J794" s="2" t="str">
        <f>'PFAS Properties'!$D$46</f>
        <v>C8HF17O3S</v>
      </c>
      <c r="K794" s="25">
        <f>'PFAS Properties'!$P$46</f>
        <v>499.93739999999997</v>
      </c>
      <c r="L794" s="2">
        <f>'PFAS Properties'!$X$46</f>
        <v>0.1</v>
      </c>
      <c r="M794" s="2" t="str">
        <f>'PFAS Properties'!$Y$46</f>
        <v>-</v>
      </c>
      <c r="N794" s="33">
        <v>0</v>
      </c>
      <c r="O794" s="33">
        <v>0</v>
      </c>
      <c r="P794" s="33">
        <v>0</v>
      </c>
      <c r="Q794" s="33">
        <f t="shared" si="342"/>
        <v>0.9999974881198781</v>
      </c>
      <c r="R794" s="33">
        <v>0</v>
      </c>
      <c r="S794" s="33">
        <f t="shared" si="343"/>
        <v>2.5118801219519806E-6</v>
      </c>
      <c r="T794" s="8">
        <f t="shared" si="332"/>
        <v>1</v>
      </c>
      <c r="U794" s="33">
        <f t="shared" si="346"/>
        <v>0</v>
      </c>
      <c r="V794" s="33">
        <f t="shared" si="347"/>
        <v>-0.9999974881198781</v>
      </c>
      <c r="W794" s="33">
        <f t="shared" si="348"/>
        <v>498.93740251188012</v>
      </c>
      <c r="X794" s="33">
        <v>96485</v>
      </c>
      <c r="Y794" s="16">
        <f t="shared" si="349"/>
        <v>-193.38048652094997</v>
      </c>
      <c r="Z794" s="16">
        <v>8</v>
      </c>
      <c r="AA794" s="16">
        <v>17</v>
      </c>
      <c r="AB794" s="8">
        <f t="shared" si="350"/>
        <v>0.29721362229102166</v>
      </c>
      <c r="AC794" s="16">
        <f t="shared" si="337"/>
        <v>64.60808893273439</v>
      </c>
      <c r="AD794" s="20">
        <f>'PFAS Properties'!$W$46</f>
        <v>8</v>
      </c>
      <c r="AE794" s="8">
        <f>'PFAS Properties'!$S$46</f>
        <v>2.0166155475571776</v>
      </c>
      <c r="AF794" s="15">
        <f>'PFAS Properties'!$V$46</f>
        <v>5</v>
      </c>
      <c r="AG794" s="24">
        <v>5.7</v>
      </c>
      <c r="AH794" s="2" t="s">
        <v>834</v>
      </c>
      <c r="AI794" s="15">
        <v>12.358000000000001</v>
      </c>
      <c r="AJ794" s="16">
        <f t="shared" si="359"/>
        <v>221.29107350702839</v>
      </c>
      <c r="AK794" s="8">
        <f t="shared" si="360"/>
        <v>1.2358</v>
      </c>
      <c r="AL794" s="15">
        <v>1.0269999999999999</v>
      </c>
      <c r="AM794" s="16">
        <f t="shared" si="361"/>
        <v>38.065233506300963</v>
      </c>
      <c r="AN794" s="8">
        <f t="shared" si="362"/>
        <v>0.10269999999999999</v>
      </c>
      <c r="AO794" s="15" t="s">
        <v>31</v>
      </c>
      <c r="AP794" s="16">
        <v>103</v>
      </c>
      <c r="AQ794" s="16" t="s">
        <v>689</v>
      </c>
      <c r="AR794" s="16">
        <v>35</v>
      </c>
      <c r="AS794" s="16">
        <v>63</v>
      </c>
      <c r="AT794" s="16">
        <v>2</v>
      </c>
      <c r="AU794" s="16" t="s">
        <v>664</v>
      </c>
      <c r="AV794" s="16">
        <f t="shared" si="363"/>
        <v>100</v>
      </c>
      <c r="AW794" s="20">
        <v>32</v>
      </c>
      <c r="AX794" s="8">
        <f t="shared" si="345"/>
        <v>0.32</v>
      </c>
      <c r="AY794" s="8" t="s">
        <v>32</v>
      </c>
      <c r="AZ794" s="16">
        <f t="shared" si="364"/>
        <v>100</v>
      </c>
      <c r="BA794" s="16" t="s">
        <v>55</v>
      </c>
      <c r="BB794" s="16">
        <v>670</v>
      </c>
      <c r="BC794" s="16" t="s">
        <v>55</v>
      </c>
      <c r="BD794" s="25">
        <v>171</v>
      </c>
      <c r="BE794" s="16">
        <f t="shared" si="338"/>
        <v>534.375</v>
      </c>
      <c r="BF794" s="16">
        <f t="shared" si="354"/>
        <v>2.7278461320722478</v>
      </c>
      <c r="BG794" s="8">
        <f t="shared" si="333"/>
        <v>2.2329961103921536</v>
      </c>
      <c r="BH794" s="2" t="s">
        <v>841</v>
      </c>
      <c r="BI794" s="2"/>
      <c r="BJ794" s="2"/>
      <c r="BK794" s="2"/>
      <c r="BL794" s="2"/>
      <c r="BM794" s="20"/>
      <c r="BN794" s="20"/>
      <c r="BO794" s="2"/>
    </row>
    <row r="795" spans="1:67" s="14" customFormat="1" x14ac:dyDescent="0.3">
      <c r="A795" s="20">
        <v>812</v>
      </c>
      <c r="B795" s="2" t="s">
        <v>200</v>
      </c>
      <c r="C795" s="2">
        <v>2021</v>
      </c>
      <c r="D795" s="2" t="s">
        <v>201</v>
      </c>
      <c r="E795" s="10" t="s">
        <v>794</v>
      </c>
      <c r="F795" s="20" t="s">
        <v>29</v>
      </c>
      <c r="G795" s="2" t="s">
        <v>36</v>
      </c>
      <c r="H795" s="2" t="str">
        <f>'PFAS Properties'!$B$46</f>
        <v>PFOS</v>
      </c>
      <c r="I795" s="2" t="str">
        <f>'PFAS Properties'!$C$46</f>
        <v>PFSA</v>
      </c>
      <c r="J795" s="2" t="str">
        <f>'PFAS Properties'!$D$46</f>
        <v>C8HF17O3S</v>
      </c>
      <c r="K795" s="25">
        <f>'PFAS Properties'!$P$46</f>
        <v>499.93739999999997</v>
      </c>
      <c r="L795" s="2">
        <f>'PFAS Properties'!$X$46</f>
        <v>0.1</v>
      </c>
      <c r="M795" s="2" t="str">
        <f>'PFAS Properties'!$Y$46</f>
        <v>-</v>
      </c>
      <c r="N795" s="33">
        <v>0</v>
      </c>
      <c r="O795" s="33">
        <v>0</v>
      </c>
      <c r="P795" s="33">
        <v>0</v>
      </c>
      <c r="Q795" s="33">
        <f t="shared" si="342"/>
        <v>0.9999974881198781</v>
      </c>
      <c r="R795" s="33">
        <v>0</v>
      </c>
      <c r="S795" s="33">
        <f t="shared" si="343"/>
        <v>2.5118801219519806E-6</v>
      </c>
      <c r="T795" s="8">
        <f t="shared" si="332"/>
        <v>1</v>
      </c>
      <c r="U795" s="33">
        <f t="shared" si="346"/>
        <v>0</v>
      </c>
      <c r="V795" s="33">
        <f t="shared" si="347"/>
        <v>-0.9999974881198781</v>
      </c>
      <c r="W795" s="33">
        <f t="shared" si="348"/>
        <v>498.93740251188012</v>
      </c>
      <c r="X795" s="33">
        <v>96485</v>
      </c>
      <c r="Y795" s="16">
        <f t="shared" si="349"/>
        <v>-193.38048652094997</v>
      </c>
      <c r="Z795" s="16">
        <v>8</v>
      </c>
      <c r="AA795" s="16">
        <v>17</v>
      </c>
      <c r="AB795" s="8">
        <f t="shared" si="350"/>
        <v>0.29721362229102166</v>
      </c>
      <c r="AC795" s="16">
        <f t="shared" si="337"/>
        <v>64.60808893273439</v>
      </c>
      <c r="AD795" s="20">
        <f>'PFAS Properties'!$W$46</f>
        <v>8</v>
      </c>
      <c r="AE795" s="8">
        <f>'PFAS Properties'!$S$46</f>
        <v>2.0166155475571776</v>
      </c>
      <c r="AF795" s="15">
        <f>'PFAS Properties'!$V$46</f>
        <v>5</v>
      </c>
      <c r="AG795" s="24">
        <v>5.7</v>
      </c>
      <c r="AH795" s="2" t="s">
        <v>834</v>
      </c>
      <c r="AI795" s="15">
        <v>10.64</v>
      </c>
      <c r="AJ795" s="16">
        <f t="shared" si="359"/>
        <v>190.52735249350883</v>
      </c>
      <c r="AK795" s="8">
        <f t="shared" si="360"/>
        <v>1.0640000000000001</v>
      </c>
      <c r="AL795" s="15">
        <v>0.16700000000000001</v>
      </c>
      <c r="AM795" s="16">
        <f t="shared" si="361"/>
        <v>6.1897702001482582</v>
      </c>
      <c r="AN795" s="8">
        <f t="shared" si="362"/>
        <v>1.67E-2</v>
      </c>
      <c r="AO795" s="15" t="s">
        <v>31</v>
      </c>
      <c r="AP795" s="16">
        <v>140</v>
      </c>
      <c r="AQ795" s="16" t="s">
        <v>689</v>
      </c>
      <c r="AR795" s="16">
        <v>20.7</v>
      </c>
      <c r="AS795" s="16">
        <v>78</v>
      </c>
      <c r="AT795" s="16">
        <v>1.3</v>
      </c>
      <c r="AU795" s="16" t="s">
        <v>664</v>
      </c>
      <c r="AV795" s="16">
        <f t="shared" si="363"/>
        <v>100</v>
      </c>
      <c r="AW795" s="20">
        <v>39</v>
      </c>
      <c r="AX795" s="8">
        <f t="shared" si="345"/>
        <v>0.39</v>
      </c>
      <c r="AY795" s="8" t="s">
        <v>32</v>
      </c>
      <c r="AZ795" s="16">
        <f t="shared" si="364"/>
        <v>100</v>
      </c>
      <c r="BA795" s="16" t="s">
        <v>55</v>
      </c>
      <c r="BB795" s="16">
        <v>670</v>
      </c>
      <c r="BC795" s="16" t="s">
        <v>55</v>
      </c>
      <c r="BD795" s="25">
        <v>295</v>
      </c>
      <c r="BE795" s="16">
        <f t="shared" si="338"/>
        <v>756.41025641025635</v>
      </c>
      <c r="BF795" s="16">
        <f t="shared" si="354"/>
        <v>2.8787574089516639</v>
      </c>
      <c r="BG795" s="8">
        <f t="shared" si="333"/>
        <v>2.469822015978163</v>
      </c>
      <c r="BH795" s="2" t="s">
        <v>841</v>
      </c>
      <c r="BI795" s="2"/>
      <c r="BJ795" s="2"/>
      <c r="BK795" s="2"/>
      <c r="BL795" s="2"/>
      <c r="BM795" s="20"/>
      <c r="BN795" s="20"/>
      <c r="BO795" s="2"/>
    </row>
    <row r="796" spans="1:67" s="14" customFormat="1" x14ac:dyDescent="0.3">
      <c r="A796" s="20">
        <v>813</v>
      </c>
      <c r="B796" s="2" t="s">
        <v>200</v>
      </c>
      <c r="C796" s="2">
        <v>2021</v>
      </c>
      <c r="D796" s="2" t="s">
        <v>201</v>
      </c>
      <c r="E796" s="10" t="s">
        <v>794</v>
      </c>
      <c r="F796" s="20" t="s">
        <v>29</v>
      </c>
      <c r="G796" s="2" t="s">
        <v>38</v>
      </c>
      <c r="H796" s="2" t="str">
        <f>'PFAS Properties'!$B$46</f>
        <v>PFOS</v>
      </c>
      <c r="I796" s="2" t="str">
        <f>'PFAS Properties'!$C$46</f>
        <v>PFSA</v>
      </c>
      <c r="J796" s="2" t="str">
        <f>'PFAS Properties'!$D$46</f>
        <v>C8HF17O3S</v>
      </c>
      <c r="K796" s="25">
        <f>'PFAS Properties'!$P$46</f>
        <v>499.93739999999997</v>
      </c>
      <c r="L796" s="2">
        <f>'PFAS Properties'!$X$46</f>
        <v>0.1</v>
      </c>
      <c r="M796" s="2" t="str">
        <f>'PFAS Properties'!$Y$46</f>
        <v>-</v>
      </c>
      <c r="N796" s="33">
        <v>0</v>
      </c>
      <c r="O796" s="33">
        <v>0</v>
      </c>
      <c r="P796" s="33">
        <v>0</v>
      </c>
      <c r="Q796" s="33">
        <f t="shared" si="342"/>
        <v>0.9999974881198781</v>
      </c>
      <c r="R796" s="33">
        <v>0</v>
      </c>
      <c r="S796" s="33">
        <f t="shared" si="343"/>
        <v>2.5118801219519806E-6</v>
      </c>
      <c r="T796" s="8">
        <f t="shared" ref="T796:T859" si="365">SUM(N796:S796)</f>
        <v>1</v>
      </c>
      <c r="U796" s="33">
        <f t="shared" si="346"/>
        <v>0</v>
      </c>
      <c r="V796" s="33">
        <f t="shared" si="347"/>
        <v>-0.9999974881198781</v>
      </c>
      <c r="W796" s="33">
        <f t="shared" si="348"/>
        <v>498.93740251188012</v>
      </c>
      <c r="X796" s="33">
        <v>96485</v>
      </c>
      <c r="Y796" s="16">
        <f t="shared" si="349"/>
        <v>-193.38048652094997</v>
      </c>
      <c r="Z796" s="16">
        <v>8</v>
      </c>
      <c r="AA796" s="16">
        <v>17</v>
      </c>
      <c r="AB796" s="8">
        <f t="shared" si="350"/>
        <v>0.29721362229102166</v>
      </c>
      <c r="AC796" s="16">
        <f t="shared" si="337"/>
        <v>64.60808893273439</v>
      </c>
      <c r="AD796" s="20">
        <f>'PFAS Properties'!$W$46</f>
        <v>8</v>
      </c>
      <c r="AE796" s="8">
        <f>'PFAS Properties'!$S$46</f>
        <v>2.0166155475571776</v>
      </c>
      <c r="AF796" s="15">
        <f>'PFAS Properties'!$V$46</f>
        <v>5</v>
      </c>
      <c r="AG796" s="24">
        <v>5.7</v>
      </c>
      <c r="AH796" s="2" t="s">
        <v>834</v>
      </c>
      <c r="AI796" s="15">
        <v>19.667999999999999</v>
      </c>
      <c r="AJ796" s="16">
        <f t="shared" si="359"/>
        <v>352.18909481600861</v>
      </c>
      <c r="AK796" s="8">
        <f t="shared" si="360"/>
        <v>1.9667999999999999</v>
      </c>
      <c r="AL796" s="15">
        <v>0.48099999999999998</v>
      </c>
      <c r="AM796" s="16">
        <f t="shared" si="361"/>
        <v>17.828020756115642</v>
      </c>
      <c r="AN796" s="8">
        <f t="shared" si="362"/>
        <v>4.8099999999999997E-2</v>
      </c>
      <c r="AO796" s="15" t="s">
        <v>31</v>
      </c>
      <c r="AP796" s="16">
        <v>114</v>
      </c>
      <c r="AQ796" s="16" t="s">
        <v>689</v>
      </c>
      <c r="AR796" s="16">
        <v>20</v>
      </c>
      <c r="AS796" s="16">
        <v>78.900000000000006</v>
      </c>
      <c r="AT796" s="16">
        <v>1.1000000000000001</v>
      </c>
      <c r="AU796" s="16" t="s">
        <v>664</v>
      </c>
      <c r="AV796" s="16">
        <f t="shared" si="363"/>
        <v>100</v>
      </c>
      <c r="AW796" s="20">
        <v>41</v>
      </c>
      <c r="AX796" s="8">
        <f t="shared" si="345"/>
        <v>0.41</v>
      </c>
      <c r="AY796" s="8" t="s">
        <v>32</v>
      </c>
      <c r="AZ796" s="16">
        <f t="shared" si="364"/>
        <v>100</v>
      </c>
      <c r="BA796" s="16" t="s">
        <v>55</v>
      </c>
      <c r="BB796" s="16">
        <v>670</v>
      </c>
      <c r="BC796" s="16" t="s">
        <v>55</v>
      </c>
      <c r="BD796" s="25">
        <v>207</v>
      </c>
      <c r="BE796" s="16">
        <f t="shared" si="338"/>
        <v>504.87804878048786</v>
      </c>
      <c r="BF796" s="16">
        <f t="shared" si="354"/>
        <v>2.7031864887371824</v>
      </c>
      <c r="BG796" s="8">
        <f t="shared" si="333"/>
        <v>2.3159703454569178</v>
      </c>
      <c r="BH796" s="2" t="s">
        <v>841</v>
      </c>
      <c r="BI796" s="2"/>
      <c r="BJ796" s="2"/>
      <c r="BK796" s="2"/>
      <c r="BL796" s="2"/>
      <c r="BM796" s="20"/>
      <c r="BN796" s="20"/>
      <c r="BO796" s="2"/>
    </row>
    <row r="797" spans="1:67" s="14" customFormat="1" x14ac:dyDescent="0.3">
      <c r="A797" s="20">
        <v>814</v>
      </c>
      <c r="B797" s="2" t="s">
        <v>258</v>
      </c>
      <c r="C797" s="2">
        <v>2010</v>
      </c>
      <c r="D797" s="2" t="s">
        <v>205</v>
      </c>
      <c r="E797" s="10" t="s">
        <v>259</v>
      </c>
      <c r="F797" s="20" t="s">
        <v>63</v>
      </c>
      <c r="G797" s="2" t="s">
        <v>156</v>
      </c>
      <c r="H797" s="2" t="str">
        <f>'PFAS Properties'!$B$46</f>
        <v>PFOS</v>
      </c>
      <c r="I797" s="2" t="str">
        <f>'PFAS Properties'!$C$46</f>
        <v>PFSA</v>
      </c>
      <c r="J797" s="2" t="str">
        <f>'PFAS Properties'!$D$46</f>
        <v>C8HF17O3S</v>
      </c>
      <c r="K797" s="25">
        <f>'PFAS Properties'!$P$46</f>
        <v>499.93739999999997</v>
      </c>
      <c r="L797" s="2">
        <f>'PFAS Properties'!$X$46</f>
        <v>0.1</v>
      </c>
      <c r="M797" s="2" t="str">
        <f>'PFAS Properties'!$Y$46</f>
        <v>-</v>
      </c>
      <c r="N797" s="33">
        <v>0</v>
      </c>
      <c r="O797" s="33">
        <v>0</v>
      </c>
      <c r="P797" s="33">
        <v>0</v>
      </c>
      <c r="Q797" s="33">
        <f t="shared" si="342"/>
        <v>0.99999630734787115</v>
      </c>
      <c r="R797" s="33">
        <v>0</v>
      </c>
      <c r="S797" s="33">
        <f t="shared" si="343"/>
        <v>3.6926521288789129E-6</v>
      </c>
      <c r="T797" s="8">
        <f t="shared" si="365"/>
        <v>1</v>
      </c>
      <c r="U797" s="33">
        <f t="shared" si="346"/>
        <v>0</v>
      </c>
      <c r="V797" s="33">
        <f t="shared" si="347"/>
        <v>-0.99999630734787115</v>
      </c>
      <c r="W797" s="33">
        <f t="shared" si="348"/>
        <v>498.93740369265208</v>
      </c>
      <c r="X797" s="33">
        <v>96485</v>
      </c>
      <c r="Y797" s="16">
        <f t="shared" si="349"/>
        <v>-193.38025772446272</v>
      </c>
      <c r="Z797" s="16">
        <v>8</v>
      </c>
      <c r="AA797" s="16">
        <v>17</v>
      </c>
      <c r="AB797" s="8">
        <f t="shared" si="350"/>
        <v>0.29721362229102166</v>
      </c>
      <c r="AC797" s="16">
        <f t="shared" si="337"/>
        <v>64.60808893273439</v>
      </c>
      <c r="AD797" s="20">
        <f>'PFAS Properties'!$W$46</f>
        <v>8</v>
      </c>
      <c r="AE797" s="8">
        <f>'PFAS Properties'!$S$46</f>
        <v>2.0166155475571776</v>
      </c>
      <c r="AF797" s="15">
        <f>'PFAS Properties'!$V$46</f>
        <v>5</v>
      </c>
      <c r="AG797" s="124">
        <v>5.5326599999999999</v>
      </c>
      <c r="AH797" s="70" t="s">
        <v>752</v>
      </c>
      <c r="AI797" s="2" t="s">
        <v>661</v>
      </c>
      <c r="AJ797" s="15" t="s">
        <v>661</v>
      </c>
      <c r="AK797" s="8" t="s">
        <v>661</v>
      </c>
      <c r="AL797" s="2" t="s">
        <v>661</v>
      </c>
      <c r="AM797" s="15" t="s">
        <v>661</v>
      </c>
      <c r="AN797" s="8" t="s">
        <v>661</v>
      </c>
      <c r="AO797" s="15" t="s">
        <v>661</v>
      </c>
      <c r="AP797" s="16">
        <v>7.55</v>
      </c>
      <c r="AQ797" s="13" t="s">
        <v>661</v>
      </c>
      <c r="AR797" s="16">
        <v>12.9</v>
      </c>
      <c r="AS797" s="16">
        <f>3.86+15.1+65.2</f>
        <v>84.16</v>
      </c>
      <c r="AT797" s="16">
        <v>2.95</v>
      </c>
      <c r="AU797" s="13" t="s">
        <v>661</v>
      </c>
      <c r="AV797" s="16">
        <f t="shared" si="363"/>
        <v>100.01</v>
      </c>
      <c r="AW797" s="20">
        <v>1.49</v>
      </c>
      <c r="AX797" s="8">
        <f t="shared" si="345"/>
        <v>1.49E-2</v>
      </c>
      <c r="AY797" s="8" t="s">
        <v>142</v>
      </c>
      <c r="AZ797" s="16">
        <f t="shared" ref="AZ797:AZ811" si="366">5/0.04</f>
        <v>125</v>
      </c>
      <c r="BA797" s="16" t="s">
        <v>55</v>
      </c>
      <c r="BB797" s="15">
        <v>0.5</v>
      </c>
      <c r="BC797" s="16">
        <v>100</v>
      </c>
      <c r="BD797" s="24">
        <v>23.5</v>
      </c>
      <c r="BE797" s="16">
        <f t="shared" si="338"/>
        <v>1577.1812080536913</v>
      </c>
      <c r="BF797" s="16">
        <f t="shared" si="354"/>
        <v>3.1978815938594622</v>
      </c>
      <c r="BG797" s="8">
        <f t="shared" si="333"/>
        <v>1.3710678622717363</v>
      </c>
      <c r="BH797" s="13" t="s">
        <v>837</v>
      </c>
      <c r="BI797" s="13"/>
      <c r="BJ797" s="13"/>
      <c r="BK797" s="13"/>
      <c r="BL797" s="13"/>
      <c r="BM797" s="17"/>
      <c r="BN797" s="17"/>
      <c r="BO797" s="2"/>
    </row>
    <row r="798" spans="1:67" s="14" customFormat="1" x14ac:dyDescent="0.3">
      <c r="A798" s="20">
        <v>815</v>
      </c>
      <c r="B798" s="2" t="s">
        <v>258</v>
      </c>
      <c r="C798" s="2">
        <v>2010</v>
      </c>
      <c r="D798" s="2" t="s">
        <v>205</v>
      </c>
      <c r="E798" s="10" t="s">
        <v>259</v>
      </c>
      <c r="F798" s="20" t="s">
        <v>63</v>
      </c>
      <c r="G798" s="2" t="s">
        <v>147</v>
      </c>
      <c r="H798" s="2" t="str">
        <f>'PFAS Properties'!$B$46</f>
        <v>PFOS</v>
      </c>
      <c r="I798" s="2" t="str">
        <f>'PFAS Properties'!$C$46</f>
        <v>PFSA</v>
      </c>
      <c r="J798" s="2" t="str">
        <f>'PFAS Properties'!$D$46</f>
        <v>C8HF17O3S</v>
      </c>
      <c r="K798" s="25">
        <f>'PFAS Properties'!$P$46</f>
        <v>499.93739999999997</v>
      </c>
      <c r="L798" s="2">
        <f>'PFAS Properties'!$X$46</f>
        <v>0.1</v>
      </c>
      <c r="M798" s="2" t="str">
        <f>'PFAS Properties'!$Y$46</f>
        <v>-</v>
      </c>
      <c r="N798" s="33">
        <v>0</v>
      </c>
      <c r="O798" s="33">
        <v>0</v>
      </c>
      <c r="P798" s="33">
        <v>0</v>
      </c>
      <c r="Q798" s="33">
        <f t="shared" si="342"/>
        <v>0.99999457760715693</v>
      </c>
      <c r="R798" s="33">
        <v>0</v>
      </c>
      <c r="S798" s="33">
        <f t="shared" si="343"/>
        <v>5.4223928431076608E-6</v>
      </c>
      <c r="T798" s="8">
        <f t="shared" si="365"/>
        <v>1</v>
      </c>
      <c r="U798" s="33">
        <f t="shared" si="346"/>
        <v>0</v>
      </c>
      <c r="V798" s="33">
        <f t="shared" si="347"/>
        <v>-0.99999457760715693</v>
      </c>
      <c r="W798" s="33">
        <f t="shared" si="348"/>
        <v>498.93740542239283</v>
      </c>
      <c r="X798" s="33">
        <v>96485</v>
      </c>
      <c r="Y798" s="16">
        <f t="shared" si="349"/>
        <v>-193.37992255510338</v>
      </c>
      <c r="Z798" s="16">
        <v>8</v>
      </c>
      <c r="AA798" s="16">
        <v>17</v>
      </c>
      <c r="AB798" s="8">
        <f t="shared" si="350"/>
        <v>0.29721362229102166</v>
      </c>
      <c r="AC798" s="16">
        <f t="shared" si="337"/>
        <v>64.60808893273439</v>
      </c>
      <c r="AD798" s="20">
        <f>'PFAS Properties'!$W$46</f>
        <v>8</v>
      </c>
      <c r="AE798" s="8">
        <f>'PFAS Properties'!$S$46</f>
        <v>2.0166155475571776</v>
      </c>
      <c r="AF798" s="15">
        <f>'PFAS Properties'!$V$46</f>
        <v>5</v>
      </c>
      <c r="AG798" s="124">
        <v>5.3658066668000002</v>
      </c>
      <c r="AH798" s="70" t="s">
        <v>752</v>
      </c>
      <c r="AI798" s="2" t="s">
        <v>661</v>
      </c>
      <c r="AJ798" s="15" t="s">
        <v>661</v>
      </c>
      <c r="AK798" s="8" t="s">
        <v>661</v>
      </c>
      <c r="AL798" s="2" t="s">
        <v>661</v>
      </c>
      <c r="AM798" s="15" t="s">
        <v>661</v>
      </c>
      <c r="AN798" s="8" t="s">
        <v>661</v>
      </c>
      <c r="AO798" s="15" t="s">
        <v>661</v>
      </c>
      <c r="AP798" s="16">
        <v>5.12</v>
      </c>
      <c r="AQ798" s="13" t="s">
        <v>661</v>
      </c>
      <c r="AR798" s="16">
        <v>60.5</v>
      </c>
      <c r="AS798" s="16">
        <f>0.93+3.58+34.1</f>
        <v>38.61</v>
      </c>
      <c r="AT798" s="16">
        <v>0.94</v>
      </c>
      <c r="AU798" s="13" t="s">
        <v>661</v>
      </c>
      <c r="AV798" s="16">
        <f t="shared" si="363"/>
        <v>100.05</v>
      </c>
      <c r="AW798" s="20">
        <v>0.67</v>
      </c>
      <c r="AX798" s="8">
        <f t="shared" si="345"/>
        <v>6.7000000000000002E-3</v>
      </c>
      <c r="AY798" s="8" t="s">
        <v>142</v>
      </c>
      <c r="AZ798" s="16">
        <f t="shared" si="366"/>
        <v>125</v>
      </c>
      <c r="BA798" s="16" t="s">
        <v>55</v>
      </c>
      <c r="BB798" s="15">
        <v>0.5</v>
      </c>
      <c r="BC798" s="16">
        <v>100</v>
      </c>
      <c r="BD798" s="24">
        <v>10</v>
      </c>
      <c r="BE798" s="16">
        <f t="shared" si="338"/>
        <v>1492.5373134328358</v>
      </c>
      <c r="BF798" s="16">
        <f t="shared" si="354"/>
        <v>3.1739251972991736</v>
      </c>
      <c r="BG798" s="8">
        <f t="shared" si="333"/>
        <v>1</v>
      </c>
      <c r="BH798" s="13" t="s">
        <v>837</v>
      </c>
      <c r="BI798" s="13"/>
      <c r="BJ798" s="13"/>
      <c r="BK798" s="13"/>
      <c r="BL798" s="13"/>
      <c r="BM798" s="17"/>
      <c r="BN798" s="17"/>
      <c r="BO798" s="2"/>
    </row>
    <row r="799" spans="1:67" s="14" customFormat="1" x14ac:dyDescent="0.3">
      <c r="A799" s="20">
        <v>816</v>
      </c>
      <c r="B799" s="2" t="s">
        <v>258</v>
      </c>
      <c r="C799" s="2">
        <v>2010</v>
      </c>
      <c r="D799" s="2" t="s">
        <v>205</v>
      </c>
      <c r="E799" s="10" t="s">
        <v>259</v>
      </c>
      <c r="F799" s="20" t="s">
        <v>63</v>
      </c>
      <c r="G799" s="2" t="s">
        <v>148</v>
      </c>
      <c r="H799" s="2" t="str">
        <f>'PFAS Properties'!$B$46</f>
        <v>PFOS</v>
      </c>
      <c r="I799" s="2" t="str">
        <f>'PFAS Properties'!$C$46</f>
        <v>PFSA</v>
      </c>
      <c r="J799" s="2" t="str">
        <f>'PFAS Properties'!$D$46</f>
        <v>C8HF17O3S</v>
      </c>
      <c r="K799" s="25">
        <f>'PFAS Properties'!$P$46</f>
        <v>499.93739999999997</v>
      </c>
      <c r="L799" s="2">
        <f>'PFAS Properties'!$X$46</f>
        <v>0.1</v>
      </c>
      <c r="M799" s="2" t="str">
        <f>'PFAS Properties'!$Y$46</f>
        <v>-</v>
      </c>
      <c r="N799" s="33">
        <v>0</v>
      </c>
      <c r="O799" s="33">
        <v>0</v>
      </c>
      <c r="P799" s="33">
        <v>0</v>
      </c>
      <c r="Q799" s="33">
        <f t="shared" si="342"/>
        <v>0.99999451784952031</v>
      </c>
      <c r="R799" s="33">
        <v>0</v>
      </c>
      <c r="S799" s="33">
        <f t="shared" si="343"/>
        <v>5.4821504796677426E-6</v>
      </c>
      <c r="T799" s="8">
        <f t="shared" si="365"/>
        <v>1</v>
      </c>
      <c r="U799" s="33">
        <f t="shared" si="346"/>
        <v>0</v>
      </c>
      <c r="V799" s="33">
        <f t="shared" si="347"/>
        <v>-0.99999451784952031</v>
      </c>
      <c r="W799" s="33">
        <f t="shared" si="348"/>
        <v>498.93740548215044</v>
      </c>
      <c r="X799" s="33">
        <v>96485</v>
      </c>
      <c r="Y799" s="16">
        <f t="shared" si="349"/>
        <v>-193.3799109759525</v>
      </c>
      <c r="Z799" s="16">
        <v>8</v>
      </c>
      <c r="AA799" s="16">
        <v>17</v>
      </c>
      <c r="AB799" s="8">
        <f t="shared" si="350"/>
        <v>0.29721362229102166</v>
      </c>
      <c r="AC799" s="16">
        <f t="shared" si="337"/>
        <v>64.60808893273439</v>
      </c>
      <c r="AD799" s="20">
        <f>'PFAS Properties'!$W$46</f>
        <v>8</v>
      </c>
      <c r="AE799" s="8">
        <f>'PFAS Properties'!$S$46</f>
        <v>2.0166155475571776</v>
      </c>
      <c r="AF799" s="15">
        <f>'PFAS Properties'!$V$46</f>
        <v>5</v>
      </c>
      <c r="AG799" s="124">
        <v>5.3610466668000001</v>
      </c>
      <c r="AH799" s="70" t="s">
        <v>752</v>
      </c>
      <c r="AI799" s="2" t="s">
        <v>661</v>
      </c>
      <c r="AJ799" s="15" t="s">
        <v>661</v>
      </c>
      <c r="AK799" s="8" t="s">
        <v>661</v>
      </c>
      <c r="AL799" s="2" t="s">
        <v>661</v>
      </c>
      <c r="AM799" s="15" t="s">
        <v>661</v>
      </c>
      <c r="AN799" s="8" t="s">
        <v>661</v>
      </c>
      <c r="AO799" s="15" t="s">
        <v>661</v>
      </c>
      <c r="AP799" s="16">
        <v>6.87</v>
      </c>
      <c r="AQ799" s="13" t="s">
        <v>661</v>
      </c>
      <c r="AR799" s="16">
        <v>46.2</v>
      </c>
      <c r="AS799" s="16">
        <f>4.17+11.8+35.3</f>
        <v>51.269999999999996</v>
      </c>
      <c r="AT799" s="16">
        <v>2.61</v>
      </c>
      <c r="AU799" s="13" t="s">
        <v>661</v>
      </c>
      <c r="AV799" s="16">
        <f t="shared" si="363"/>
        <v>100.08</v>
      </c>
      <c r="AW799" s="20">
        <v>0.75</v>
      </c>
      <c r="AX799" s="8">
        <f t="shared" si="345"/>
        <v>7.4999999999999997E-3</v>
      </c>
      <c r="AY799" s="8" t="s">
        <v>142</v>
      </c>
      <c r="AZ799" s="16">
        <f t="shared" si="366"/>
        <v>125</v>
      </c>
      <c r="BA799" s="16" t="s">
        <v>55</v>
      </c>
      <c r="BB799" s="15">
        <v>0.5</v>
      </c>
      <c r="BC799" s="16">
        <v>100</v>
      </c>
      <c r="BD799" s="24">
        <v>6.93</v>
      </c>
      <c r="BE799" s="16">
        <f t="shared" si="338"/>
        <v>924</v>
      </c>
      <c r="BF799" s="16">
        <f t="shared" si="354"/>
        <v>2.9656719712201065</v>
      </c>
      <c r="BG799" s="8">
        <f t="shared" si="333"/>
        <v>0.84073323461180671</v>
      </c>
      <c r="BH799" s="13" t="s">
        <v>837</v>
      </c>
      <c r="BI799" s="13"/>
      <c r="BJ799" s="13"/>
      <c r="BK799" s="13"/>
      <c r="BL799" s="13"/>
      <c r="BM799" s="17"/>
      <c r="BN799" s="17"/>
      <c r="BO799" s="2"/>
    </row>
    <row r="800" spans="1:67" s="14" customFormat="1" x14ac:dyDescent="0.3">
      <c r="A800" s="20">
        <v>817</v>
      </c>
      <c r="B800" s="2" t="s">
        <v>258</v>
      </c>
      <c r="C800" s="2">
        <v>2010</v>
      </c>
      <c r="D800" s="2" t="s">
        <v>205</v>
      </c>
      <c r="E800" s="10" t="s">
        <v>259</v>
      </c>
      <c r="F800" s="20" t="s">
        <v>63</v>
      </c>
      <c r="G800" s="2" t="s">
        <v>149</v>
      </c>
      <c r="H800" s="2" t="str">
        <f>'PFAS Properties'!$B$46</f>
        <v>PFOS</v>
      </c>
      <c r="I800" s="2" t="str">
        <f>'PFAS Properties'!$C$46</f>
        <v>PFSA</v>
      </c>
      <c r="J800" s="2" t="str">
        <f>'PFAS Properties'!$D$46</f>
        <v>C8HF17O3S</v>
      </c>
      <c r="K800" s="25">
        <f>'PFAS Properties'!$P$46</f>
        <v>499.93739999999997</v>
      </c>
      <c r="L800" s="2">
        <f>'PFAS Properties'!$X$46</f>
        <v>0.1</v>
      </c>
      <c r="M800" s="2" t="str">
        <f>'PFAS Properties'!$Y$46</f>
        <v>-</v>
      </c>
      <c r="N800" s="33">
        <v>0</v>
      </c>
      <c r="O800" s="33">
        <v>0</v>
      </c>
      <c r="P800" s="33">
        <v>0</v>
      </c>
      <c r="Q800" s="33">
        <f t="shared" si="342"/>
        <v>0.99999489434910782</v>
      </c>
      <c r="R800" s="33">
        <v>0</v>
      </c>
      <c r="S800" s="33">
        <f t="shared" si="343"/>
        <v>5.1056508921866872E-6</v>
      </c>
      <c r="T800" s="8">
        <f t="shared" si="365"/>
        <v>1</v>
      </c>
      <c r="U800" s="33">
        <f t="shared" si="346"/>
        <v>0</v>
      </c>
      <c r="V800" s="33">
        <f t="shared" si="347"/>
        <v>-0.99999489434910782</v>
      </c>
      <c r="W800" s="33">
        <f t="shared" si="348"/>
        <v>498.93740510565084</v>
      </c>
      <c r="X800" s="33">
        <v>96485</v>
      </c>
      <c r="Y800" s="16">
        <f t="shared" si="349"/>
        <v>-193.37998392973347</v>
      </c>
      <c r="Z800" s="16">
        <v>8</v>
      </c>
      <c r="AA800" s="16">
        <v>17</v>
      </c>
      <c r="AB800" s="8">
        <f t="shared" si="350"/>
        <v>0.29721362229102166</v>
      </c>
      <c r="AC800" s="16">
        <f t="shared" si="337"/>
        <v>64.60808893273439</v>
      </c>
      <c r="AD800" s="20">
        <f>'PFAS Properties'!$W$46</f>
        <v>8</v>
      </c>
      <c r="AE800" s="8">
        <f>'PFAS Properties'!$S$46</f>
        <v>2.0166155475571776</v>
      </c>
      <c r="AF800" s="15">
        <f>'PFAS Properties'!$V$46</f>
        <v>5</v>
      </c>
      <c r="AG800" s="124">
        <v>5.3919466668000009</v>
      </c>
      <c r="AH800" s="70" t="s">
        <v>752</v>
      </c>
      <c r="AI800" s="2" t="s">
        <v>661</v>
      </c>
      <c r="AJ800" s="15" t="s">
        <v>661</v>
      </c>
      <c r="AK800" s="8" t="s">
        <v>661</v>
      </c>
      <c r="AL800" s="2" t="s">
        <v>661</v>
      </c>
      <c r="AM800" s="15" t="s">
        <v>661</v>
      </c>
      <c r="AN800" s="8" t="s">
        <v>661</v>
      </c>
      <c r="AO800" s="15" t="s">
        <v>661</v>
      </c>
      <c r="AP800" s="16">
        <v>6.35</v>
      </c>
      <c r="AQ800" s="13" t="s">
        <v>661</v>
      </c>
      <c r="AR800" s="16">
        <v>37.299999999999997</v>
      </c>
      <c r="AS800" s="16">
        <f>2.84+10.6+47.2</f>
        <v>60.64</v>
      </c>
      <c r="AT800" s="16">
        <v>2.15</v>
      </c>
      <c r="AU800" s="13" t="s">
        <v>661</v>
      </c>
      <c r="AV800" s="16">
        <f t="shared" si="363"/>
        <v>100.09</v>
      </c>
      <c r="AW800" s="20">
        <v>0.85</v>
      </c>
      <c r="AX800" s="8">
        <f t="shared" si="345"/>
        <v>8.5000000000000006E-3</v>
      </c>
      <c r="AY800" s="8" t="s">
        <v>142</v>
      </c>
      <c r="AZ800" s="16">
        <f t="shared" si="366"/>
        <v>125</v>
      </c>
      <c r="BA800" s="16" t="s">
        <v>55</v>
      </c>
      <c r="BB800" s="15">
        <v>0.5</v>
      </c>
      <c r="BC800" s="16">
        <v>100</v>
      </c>
      <c r="BD800" s="24">
        <v>10.5</v>
      </c>
      <c r="BE800" s="16">
        <f t="shared" si="338"/>
        <v>1235.2941176470588</v>
      </c>
      <c r="BF800" s="16">
        <f t="shared" si="354"/>
        <v>3.0917703733556454</v>
      </c>
      <c r="BG800" s="8">
        <f t="shared" si="333"/>
        <v>1.0211892990699381</v>
      </c>
      <c r="BH800" s="13" t="s">
        <v>837</v>
      </c>
      <c r="BI800" s="13"/>
      <c r="BJ800" s="13"/>
      <c r="BK800" s="13"/>
      <c r="BL800" s="13"/>
      <c r="BM800" s="17"/>
      <c r="BN800" s="17"/>
      <c r="BO800" s="2"/>
    </row>
    <row r="801" spans="1:67" s="14" customFormat="1" x14ac:dyDescent="0.3">
      <c r="A801" s="20">
        <v>818</v>
      </c>
      <c r="B801" s="2" t="s">
        <v>258</v>
      </c>
      <c r="C801" s="2">
        <v>2010</v>
      </c>
      <c r="D801" s="2" t="s">
        <v>205</v>
      </c>
      <c r="E801" s="10" t="s">
        <v>259</v>
      </c>
      <c r="F801" s="20" t="s">
        <v>63</v>
      </c>
      <c r="G801" s="2" t="s">
        <v>146</v>
      </c>
      <c r="H801" s="2" t="str">
        <f>'PFAS Properties'!$B$46</f>
        <v>PFOS</v>
      </c>
      <c r="I801" s="2" t="str">
        <f>'PFAS Properties'!$C$46</f>
        <v>PFSA</v>
      </c>
      <c r="J801" s="2" t="str">
        <f>'PFAS Properties'!$D$46</f>
        <v>C8HF17O3S</v>
      </c>
      <c r="K801" s="25">
        <f>'PFAS Properties'!$P$46</f>
        <v>499.93739999999997</v>
      </c>
      <c r="L801" s="2">
        <f>'PFAS Properties'!$X$46</f>
        <v>0.1</v>
      </c>
      <c r="M801" s="2" t="str">
        <f>'PFAS Properties'!$Y$46</f>
        <v>-</v>
      </c>
      <c r="N801" s="33">
        <v>0</v>
      </c>
      <c r="O801" s="33">
        <v>0</v>
      </c>
      <c r="P801" s="33">
        <v>0</v>
      </c>
      <c r="Q801" s="33">
        <f t="shared" si="342"/>
        <v>0.99999437851712725</v>
      </c>
      <c r="R801" s="33">
        <v>0</v>
      </c>
      <c r="S801" s="33">
        <f t="shared" si="343"/>
        <v>5.6214828727314409E-6</v>
      </c>
      <c r="T801" s="8">
        <f t="shared" si="365"/>
        <v>1</v>
      </c>
      <c r="U801" s="33">
        <f t="shared" si="346"/>
        <v>0</v>
      </c>
      <c r="V801" s="33">
        <f t="shared" si="347"/>
        <v>-0.99999437851712725</v>
      </c>
      <c r="W801" s="33">
        <f t="shared" si="348"/>
        <v>498.93740562148281</v>
      </c>
      <c r="X801" s="33">
        <v>96485</v>
      </c>
      <c r="Y801" s="16">
        <f t="shared" si="349"/>
        <v>-193.3798839777161</v>
      </c>
      <c r="Z801" s="16">
        <v>8</v>
      </c>
      <c r="AA801" s="16">
        <v>17</v>
      </c>
      <c r="AB801" s="8">
        <f t="shared" si="350"/>
        <v>0.29721362229102166</v>
      </c>
      <c r="AC801" s="16">
        <f t="shared" si="337"/>
        <v>64.60808893273439</v>
      </c>
      <c r="AD801" s="20">
        <f>'PFAS Properties'!$W$46</f>
        <v>8</v>
      </c>
      <c r="AE801" s="8">
        <f>'PFAS Properties'!$S$46</f>
        <v>2.0166155475571776</v>
      </c>
      <c r="AF801" s="15">
        <f>'PFAS Properties'!$V$46</f>
        <v>5</v>
      </c>
      <c r="AG801" s="124">
        <v>5.3501466668000006</v>
      </c>
      <c r="AH801" s="70" t="s">
        <v>752</v>
      </c>
      <c r="AI801" s="2" t="s">
        <v>661</v>
      </c>
      <c r="AJ801" s="15" t="s">
        <v>661</v>
      </c>
      <c r="AK801" s="8" t="s">
        <v>661</v>
      </c>
      <c r="AL801" s="2" t="s">
        <v>661</v>
      </c>
      <c r="AM801" s="15" t="s">
        <v>661</v>
      </c>
      <c r="AN801" s="8" t="s">
        <v>661</v>
      </c>
      <c r="AO801" s="15" t="s">
        <v>661</v>
      </c>
      <c r="AP801" s="16">
        <v>6.96</v>
      </c>
      <c r="AQ801" s="13" t="s">
        <v>661</v>
      </c>
      <c r="AR801" s="16">
        <v>41.5</v>
      </c>
      <c r="AS801" s="16">
        <f>2.74+10.6+43.2</f>
        <v>56.540000000000006</v>
      </c>
      <c r="AT801" s="16">
        <v>2</v>
      </c>
      <c r="AU801" s="13" t="s">
        <v>661</v>
      </c>
      <c r="AV801" s="16">
        <f t="shared" si="363"/>
        <v>100.04</v>
      </c>
      <c r="AW801" s="20">
        <v>0.63</v>
      </c>
      <c r="AX801" s="8">
        <f t="shared" si="345"/>
        <v>6.3E-3</v>
      </c>
      <c r="AY801" s="8" t="s">
        <v>142</v>
      </c>
      <c r="AZ801" s="16">
        <f t="shared" si="366"/>
        <v>125</v>
      </c>
      <c r="BA801" s="16" t="s">
        <v>55</v>
      </c>
      <c r="BB801" s="15">
        <v>0.5</v>
      </c>
      <c r="BC801" s="16">
        <v>100</v>
      </c>
      <c r="BD801" s="24">
        <v>8.23</v>
      </c>
      <c r="BE801" s="16">
        <f t="shared" si="338"/>
        <v>1306.3492063492065</v>
      </c>
      <c r="BF801" s="16">
        <f t="shared" si="354"/>
        <v>3.1160592857586882</v>
      </c>
      <c r="BG801" s="8">
        <f t="shared" si="333"/>
        <v>0.91539983521226986</v>
      </c>
      <c r="BH801" s="13" t="s">
        <v>837</v>
      </c>
      <c r="BI801" s="13"/>
      <c r="BJ801" s="13"/>
      <c r="BK801" s="13"/>
      <c r="BL801" s="13"/>
      <c r="BM801" s="17"/>
      <c r="BN801" s="17"/>
      <c r="BO801" s="2"/>
    </row>
    <row r="802" spans="1:67" s="14" customFormat="1" x14ac:dyDescent="0.3">
      <c r="A802" s="20">
        <v>819</v>
      </c>
      <c r="B802" s="2" t="s">
        <v>258</v>
      </c>
      <c r="C802" s="2">
        <v>2010</v>
      </c>
      <c r="D802" s="2" t="s">
        <v>205</v>
      </c>
      <c r="E802" s="10" t="s">
        <v>259</v>
      </c>
      <c r="F802" s="20" t="s">
        <v>63</v>
      </c>
      <c r="G802" s="2" t="s">
        <v>154</v>
      </c>
      <c r="H802" s="2" t="str">
        <f>'PFAS Properties'!$B$46</f>
        <v>PFOS</v>
      </c>
      <c r="I802" s="2" t="str">
        <f>'PFAS Properties'!$C$46</f>
        <v>PFSA</v>
      </c>
      <c r="J802" s="2" t="str">
        <f>'PFAS Properties'!$D$46</f>
        <v>C8HF17O3S</v>
      </c>
      <c r="K802" s="25">
        <f>'PFAS Properties'!$P$46</f>
        <v>499.93739999999997</v>
      </c>
      <c r="L802" s="2">
        <f>'PFAS Properties'!$X$46</f>
        <v>0.1</v>
      </c>
      <c r="M802" s="2" t="str">
        <f>'PFAS Properties'!$Y$46</f>
        <v>-</v>
      </c>
      <c r="N802" s="33">
        <v>0</v>
      </c>
      <c r="O802" s="33">
        <v>0</v>
      </c>
      <c r="P802" s="33">
        <v>0</v>
      </c>
      <c r="Q802" s="33">
        <f t="shared" si="342"/>
        <v>0.9999953532285204</v>
      </c>
      <c r="R802" s="33">
        <v>0</v>
      </c>
      <c r="S802" s="33">
        <f t="shared" si="343"/>
        <v>4.6467714795539728E-6</v>
      </c>
      <c r="T802" s="8">
        <f t="shared" si="365"/>
        <v>1</v>
      </c>
      <c r="U802" s="33">
        <f t="shared" si="346"/>
        <v>0</v>
      </c>
      <c r="V802" s="33">
        <f t="shared" si="347"/>
        <v>-0.9999953532285204</v>
      </c>
      <c r="W802" s="33">
        <f t="shared" si="348"/>
        <v>498.93740464677143</v>
      </c>
      <c r="X802" s="33">
        <v>96485</v>
      </c>
      <c r="Y802" s="16">
        <f t="shared" si="349"/>
        <v>-193.3800728461342</v>
      </c>
      <c r="Z802" s="16">
        <v>8</v>
      </c>
      <c r="AA802" s="16">
        <v>17</v>
      </c>
      <c r="AB802" s="8">
        <f t="shared" si="350"/>
        <v>0.29721362229102166</v>
      </c>
      <c r="AC802" s="16">
        <f t="shared" si="337"/>
        <v>64.60808893273439</v>
      </c>
      <c r="AD802" s="20">
        <f>'PFAS Properties'!$W$46</f>
        <v>8</v>
      </c>
      <c r="AE802" s="8">
        <f>'PFAS Properties'!$S$46</f>
        <v>2.0166155475571776</v>
      </c>
      <c r="AF802" s="15">
        <f>'PFAS Properties'!$V$46</f>
        <v>5</v>
      </c>
      <c r="AG802" s="124">
        <v>5.4328466667999997</v>
      </c>
      <c r="AH802" s="70" t="s">
        <v>752</v>
      </c>
      <c r="AI802" s="2" t="s">
        <v>661</v>
      </c>
      <c r="AJ802" s="15" t="s">
        <v>661</v>
      </c>
      <c r="AK802" s="8" t="s">
        <v>661</v>
      </c>
      <c r="AL802" s="2" t="s">
        <v>661</v>
      </c>
      <c r="AM802" s="15" t="s">
        <v>661</v>
      </c>
      <c r="AN802" s="8" t="s">
        <v>661</v>
      </c>
      <c r="AO802" s="15" t="s">
        <v>661</v>
      </c>
      <c r="AP802" s="16">
        <v>9.52</v>
      </c>
      <c r="AQ802" s="13" t="s">
        <v>661</v>
      </c>
      <c r="AR802" s="16">
        <v>30.1</v>
      </c>
      <c r="AS802" s="16">
        <f>8.43+25.3+31.8</f>
        <v>65.53</v>
      </c>
      <c r="AT802" s="16">
        <v>4.37</v>
      </c>
      <c r="AU802" s="13" t="s">
        <v>661</v>
      </c>
      <c r="AV802" s="16">
        <f t="shared" si="363"/>
        <v>100</v>
      </c>
      <c r="AW802" s="20">
        <v>1.27</v>
      </c>
      <c r="AX802" s="8">
        <f t="shared" si="345"/>
        <v>1.2699999999999999E-2</v>
      </c>
      <c r="AY802" s="8" t="s">
        <v>142</v>
      </c>
      <c r="AZ802" s="16">
        <f t="shared" si="366"/>
        <v>125</v>
      </c>
      <c r="BA802" s="16" t="s">
        <v>55</v>
      </c>
      <c r="BB802" s="15">
        <v>0.5</v>
      </c>
      <c r="BC802" s="16">
        <v>100</v>
      </c>
      <c r="BD802" s="24">
        <v>15.4</v>
      </c>
      <c r="BE802" s="16">
        <f t="shared" si="338"/>
        <v>1212.5984251968505</v>
      </c>
      <c r="BF802" s="16">
        <f t="shared" si="354"/>
        <v>3.0837169998805063</v>
      </c>
      <c r="BG802" s="8">
        <f t="shared" ref="BG802:BG848" si="367">LOG(BD802)</f>
        <v>1.1875207208364631</v>
      </c>
      <c r="BH802" s="13" t="s">
        <v>837</v>
      </c>
      <c r="BI802" s="13"/>
      <c r="BJ802" s="13"/>
      <c r="BK802" s="13"/>
      <c r="BL802" s="13"/>
      <c r="BM802" s="17"/>
      <c r="BN802" s="17"/>
      <c r="BO802" s="2"/>
    </row>
    <row r="803" spans="1:67" s="14" customFormat="1" x14ac:dyDescent="0.3">
      <c r="A803" s="20">
        <v>820</v>
      </c>
      <c r="B803" s="2" t="s">
        <v>258</v>
      </c>
      <c r="C803" s="2">
        <v>2010</v>
      </c>
      <c r="D803" s="2" t="s">
        <v>205</v>
      </c>
      <c r="E803" s="10" t="s">
        <v>259</v>
      </c>
      <c r="F803" s="20" t="s">
        <v>63</v>
      </c>
      <c r="G803" s="2" t="s">
        <v>155</v>
      </c>
      <c r="H803" s="2" t="str">
        <f>'PFAS Properties'!$B$46</f>
        <v>PFOS</v>
      </c>
      <c r="I803" s="2" t="str">
        <f>'PFAS Properties'!$C$46</f>
        <v>PFSA</v>
      </c>
      <c r="J803" s="2" t="str">
        <f>'PFAS Properties'!$D$46</f>
        <v>C8HF17O3S</v>
      </c>
      <c r="K803" s="25">
        <f>'PFAS Properties'!$P$46</f>
        <v>499.93739999999997</v>
      </c>
      <c r="L803" s="2">
        <f>'PFAS Properties'!$X$46</f>
        <v>0.1</v>
      </c>
      <c r="M803" s="2" t="str">
        <f>'PFAS Properties'!$Y$46</f>
        <v>-</v>
      </c>
      <c r="N803" s="33">
        <v>0</v>
      </c>
      <c r="O803" s="33">
        <v>0</v>
      </c>
      <c r="P803" s="33">
        <v>0</v>
      </c>
      <c r="Q803" s="33">
        <f t="shared" si="342"/>
        <v>0.99999602724660142</v>
      </c>
      <c r="R803" s="33">
        <v>0</v>
      </c>
      <c r="S803" s="33">
        <f t="shared" si="343"/>
        <v>3.9727533985561331E-6</v>
      </c>
      <c r="T803" s="8">
        <f t="shared" si="365"/>
        <v>1</v>
      </c>
      <c r="U803" s="33">
        <f t="shared" si="346"/>
        <v>0</v>
      </c>
      <c r="V803" s="33">
        <f t="shared" si="347"/>
        <v>-0.99999602724660142</v>
      </c>
      <c r="W803" s="33">
        <f t="shared" si="348"/>
        <v>498.93740397275332</v>
      </c>
      <c r="X803" s="33">
        <v>96485</v>
      </c>
      <c r="Y803" s="16">
        <f t="shared" si="349"/>
        <v>-193.38020344964417</v>
      </c>
      <c r="Z803" s="16">
        <v>8</v>
      </c>
      <c r="AA803" s="16">
        <v>17</v>
      </c>
      <c r="AB803" s="8">
        <f t="shared" si="350"/>
        <v>0.29721362229102166</v>
      </c>
      <c r="AC803" s="16">
        <f t="shared" si="337"/>
        <v>64.60808893273439</v>
      </c>
      <c r="AD803" s="20">
        <f>'PFAS Properties'!$W$46</f>
        <v>8</v>
      </c>
      <c r="AE803" s="8">
        <f>'PFAS Properties'!$S$46</f>
        <v>2.0166155475571776</v>
      </c>
      <c r="AF803" s="15">
        <f>'PFAS Properties'!$V$46</f>
        <v>5</v>
      </c>
      <c r="AG803" s="124">
        <v>5.5009066667999997</v>
      </c>
      <c r="AH803" s="70" t="s">
        <v>752</v>
      </c>
      <c r="AI803" s="2" t="s">
        <v>661</v>
      </c>
      <c r="AJ803" s="15" t="s">
        <v>661</v>
      </c>
      <c r="AK803" s="8" t="s">
        <v>661</v>
      </c>
      <c r="AL803" s="2" t="s">
        <v>661</v>
      </c>
      <c r="AM803" s="15" t="s">
        <v>661</v>
      </c>
      <c r="AN803" s="8" t="s">
        <v>661</v>
      </c>
      <c r="AO803" s="15" t="s">
        <v>661</v>
      </c>
      <c r="AP803" s="16">
        <v>9.82</v>
      </c>
      <c r="AQ803" s="13" t="s">
        <v>661</v>
      </c>
      <c r="AR803" s="16">
        <v>24.1</v>
      </c>
      <c r="AS803" s="16">
        <f>9.3+27.3+34.1</f>
        <v>70.7</v>
      </c>
      <c r="AT803" s="16">
        <v>4.82</v>
      </c>
      <c r="AU803" s="13" t="s">
        <v>661</v>
      </c>
      <c r="AV803" s="16">
        <f t="shared" si="363"/>
        <v>99.62</v>
      </c>
      <c r="AW803" s="20">
        <v>1.31</v>
      </c>
      <c r="AX803" s="8">
        <f t="shared" si="345"/>
        <v>1.3100000000000001E-2</v>
      </c>
      <c r="AY803" s="8" t="s">
        <v>142</v>
      </c>
      <c r="AZ803" s="16">
        <f t="shared" si="366"/>
        <v>125</v>
      </c>
      <c r="BA803" s="16" t="s">
        <v>55</v>
      </c>
      <c r="BB803" s="15">
        <v>0.5</v>
      </c>
      <c r="BC803" s="16">
        <v>100</v>
      </c>
      <c r="BD803" s="24">
        <v>19.8</v>
      </c>
      <c r="BE803" s="16">
        <f t="shared" si="338"/>
        <v>1511.4503816793892</v>
      </c>
      <c r="BF803" s="16">
        <f t="shared" si="354"/>
        <v>3.1793938946057669</v>
      </c>
      <c r="BG803" s="8">
        <f t="shared" si="367"/>
        <v>1.2966651902615312</v>
      </c>
      <c r="BH803" s="13" t="s">
        <v>837</v>
      </c>
      <c r="BI803" s="13"/>
      <c r="BJ803" s="13"/>
      <c r="BK803" s="13"/>
      <c r="BL803" s="13"/>
      <c r="BM803" s="17"/>
      <c r="BN803" s="17"/>
      <c r="BO803" s="2"/>
    </row>
    <row r="804" spans="1:67" s="14" customFormat="1" x14ac:dyDescent="0.3">
      <c r="A804" s="20">
        <v>821</v>
      </c>
      <c r="B804" s="2" t="s">
        <v>258</v>
      </c>
      <c r="C804" s="2">
        <v>2010</v>
      </c>
      <c r="D804" s="2" t="s">
        <v>205</v>
      </c>
      <c r="E804" s="10" t="s">
        <v>259</v>
      </c>
      <c r="F804" s="20" t="s">
        <v>63</v>
      </c>
      <c r="G804" s="2" t="s">
        <v>153</v>
      </c>
      <c r="H804" s="2" t="str">
        <f>'PFAS Properties'!$B$46</f>
        <v>PFOS</v>
      </c>
      <c r="I804" s="2" t="str">
        <f>'PFAS Properties'!$C$46</f>
        <v>PFSA</v>
      </c>
      <c r="J804" s="2" t="str">
        <f>'PFAS Properties'!$D$46</f>
        <v>C8HF17O3S</v>
      </c>
      <c r="K804" s="25">
        <f>'PFAS Properties'!$P$46</f>
        <v>499.93739999999997</v>
      </c>
      <c r="L804" s="2">
        <f>'PFAS Properties'!$X$46</f>
        <v>0.1</v>
      </c>
      <c r="M804" s="2" t="str">
        <f>'PFAS Properties'!$Y$46</f>
        <v>-</v>
      </c>
      <c r="N804" s="33">
        <v>0</v>
      </c>
      <c r="O804" s="33">
        <v>0</v>
      </c>
      <c r="P804" s="33">
        <v>0</v>
      </c>
      <c r="Q804" s="33">
        <f t="shared" si="342"/>
        <v>0.99999482904108139</v>
      </c>
      <c r="R804" s="33">
        <v>0</v>
      </c>
      <c r="S804" s="33">
        <f t="shared" si="343"/>
        <v>5.1709589186263423E-6</v>
      </c>
      <c r="T804" s="8">
        <f t="shared" si="365"/>
        <v>1</v>
      </c>
      <c r="U804" s="33">
        <f t="shared" si="346"/>
        <v>0</v>
      </c>
      <c r="V804" s="33">
        <f t="shared" si="347"/>
        <v>-0.99999482904108139</v>
      </c>
      <c r="W804" s="33">
        <f t="shared" si="348"/>
        <v>498.93740517095893</v>
      </c>
      <c r="X804" s="33">
        <v>96485</v>
      </c>
      <c r="Y804" s="16">
        <f t="shared" si="349"/>
        <v>-193.37997127509152</v>
      </c>
      <c r="Z804" s="16">
        <v>8</v>
      </c>
      <c r="AA804" s="16">
        <v>17</v>
      </c>
      <c r="AB804" s="8">
        <f t="shared" si="350"/>
        <v>0.29721362229102166</v>
      </c>
      <c r="AC804" s="16">
        <f t="shared" si="337"/>
        <v>64.60808893273439</v>
      </c>
      <c r="AD804" s="20">
        <f>'PFAS Properties'!$W$46</f>
        <v>8</v>
      </c>
      <c r="AE804" s="8">
        <f>'PFAS Properties'!$S$46</f>
        <v>2.0166155475571776</v>
      </c>
      <c r="AF804" s="15">
        <f>'PFAS Properties'!$V$46</f>
        <v>5</v>
      </c>
      <c r="AG804" s="124">
        <v>5.3864266668000003</v>
      </c>
      <c r="AH804" s="70" t="s">
        <v>752</v>
      </c>
      <c r="AI804" s="2" t="s">
        <v>661</v>
      </c>
      <c r="AJ804" s="15" t="s">
        <v>661</v>
      </c>
      <c r="AK804" s="8" t="s">
        <v>661</v>
      </c>
      <c r="AL804" s="2" t="s">
        <v>661</v>
      </c>
      <c r="AM804" s="15" t="s">
        <v>661</v>
      </c>
      <c r="AN804" s="8" t="s">
        <v>661</v>
      </c>
      <c r="AO804" s="15" t="s">
        <v>661</v>
      </c>
      <c r="AP804" s="16">
        <v>9.69</v>
      </c>
      <c r="AQ804" s="13" t="s">
        <v>661</v>
      </c>
      <c r="AR804" s="16">
        <v>37</v>
      </c>
      <c r="AS804" s="16">
        <f>8.29+23.8+26.9</f>
        <v>58.99</v>
      </c>
      <c r="AT804" s="16">
        <v>4.09</v>
      </c>
      <c r="AU804" s="13" t="s">
        <v>661</v>
      </c>
      <c r="AV804" s="16">
        <f t="shared" si="363"/>
        <v>100.08000000000001</v>
      </c>
      <c r="AW804" s="20">
        <v>1.25</v>
      </c>
      <c r="AX804" s="8">
        <f t="shared" si="345"/>
        <v>1.2500000000000001E-2</v>
      </c>
      <c r="AY804" s="8" t="s">
        <v>142</v>
      </c>
      <c r="AZ804" s="16">
        <f t="shared" si="366"/>
        <v>125</v>
      </c>
      <c r="BA804" s="16" t="s">
        <v>55</v>
      </c>
      <c r="BB804" s="15">
        <v>0.5</v>
      </c>
      <c r="BC804" s="16">
        <v>100</v>
      </c>
      <c r="BD804" s="24">
        <v>15.9</v>
      </c>
      <c r="BE804" s="16">
        <f t="shared" si="338"/>
        <v>1272</v>
      </c>
      <c r="BF804" s="16">
        <f t="shared" si="354"/>
        <v>3.1044871113123951</v>
      </c>
      <c r="BG804" s="8">
        <f t="shared" si="367"/>
        <v>1.2013971243204515</v>
      </c>
      <c r="BH804" s="13" t="s">
        <v>837</v>
      </c>
      <c r="BI804" s="13"/>
      <c r="BJ804" s="13"/>
      <c r="BK804" s="13"/>
      <c r="BL804" s="13"/>
      <c r="BM804" s="17"/>
      <c r="BN804" s="17"/>
      <c r="BO804" s="2"/>
    </row>
    <row r="805" spans="1:67" s="14" customFormat="1" x14ac:dyDescent="0.3">
      <c r="A805" s="20">
        <v>822</v>
      </c>
      <c r="B805" s="2" t="s">
        <v>258</v>
      </c>
      <c r="C805" s="2">
        <v>2010</v>
      </c>
      <c r="D805" s="2" t="s">
        <v>205</v>
      </c>
      <c r="E805" s="10" t="s">
        <v>259</v>
      </c>
      <c r="F805" s="20" t="s">
        <v>63</v>
      </c>
      <c r="G805" s="2" t="s">
        <v>152</v>
      </c>
      <c r="H805" s="2" t="str">
        <f>'PFAS Properties'!$B$46</f>
        <v>PFOS</v>
      </c>
      <c r="I805" s="2" t="str">
        <f>'PFAS Properties'!$C$46</f>
        <v>PFSA</v>
      </c>
      <c r="J805" s="2" t="str">
        <f>'PFAS Properties'!$D$46</f>
        <v>C8HF17O3S</v>
      </c>
      <c r="K805" s="25">
        <f>'PFAS Properties'!$P$46</f>
        <v>499.93739999999997</v>
      </c>
      <c r="L805" s="2">
        <f>'PFAS Properties'!$X$46</f>
        <v>0.1</v>
      </c>
      <c r="M805" s="2" t="str">
        <f>'PFAS Properties'!$Y$46</f>
        <v>-</v>
      </c>
      <c r="N805" s="33">
        <v>0</v>
      </c>
      <c r="O805" s="33">
        <v>0</v>
      </c>
      <c r="P805" s="33">
        <v>0</v>
      </c>
      <c r="Q805" s="33">
        <f t="shared" si="342"/>
        <v>0.99999455684164429</v>
      </c>
      <c r="R805" s="33">
        <v>0</v>
      </c>
      <c r="S805" s="33">
        <f t="shared" si="343"/>
        <v>5.443158355671601E-6</v>
      </c>
      <c r="T805" s="8">
        <f t="shared" si="365"/>
        <v>1</v>
      </c>
      <c r="U805" s="33">
        <f t="shared" si="346"/>
        <v>0</v>
      </c>
      <c r="V805" s="33">
        <f t="shared" si="347"/>
        <v>-0.99999455684164429</v>
      </c>
      <c r="W805" s="33">
        <f t="shared" si="348"/>
        <v>498.9374054431583</v>
      </c>
      <c r="X805" s="33">
        <v>96485</v>
      </c>
      <c r="Y805" s="16">
        <f t="shared" si="349"/>
        <v>-193.37991853140002</v>
      </c>
      <c r="Z805" s="16">
        <v>8</v>
      </c>
      <c r="AA805" s="16">
        <v>17</v>
      </c>
      <c r="AB805" s="8">
        <f t="shared" si="350"/>
        <v>0.29721362229102166</v>
      </c>
      <c r="AC805" s="16">
        <f t="shared" si="337"/>
        <v>64.60808893273439</v>
      </c>
      <c r="AD805" s="20">
        <f>'PFAS Properties'!$W$46</f>
        <v>8</v>
      </c>
      <c r="AE805" s="8">
        <f>'PFAS Properties'!$S$46</f>
        <v>2.0166155475571776</v>
      </c>
      <c r="AF805" s="15">
        <f>'PFAS Properties'!$V$46</f>
        <v>5</v>
      </c>
      <c r="AG805" s="124">
        <v>5.3641466668</v>
      </c>
      <c r="AH805" s="70" t="s">
        <v>752</v>
      </c>
      <c r="AI805" s="2" t="s">
        <v>661</v>
      </c>
      <c r="AJ805" s="15" t="s">
        <v>661</v>
      </c>
      <c r="AK805" s="8" t="s">
        <v>661</v>
      </c>
      <c r="AL805" s="2" t="s">
        <v>661</v>
      </c>
      <c r="AM805" s="15" t="s">
        <v>661</v>
      </c>
      <c r="AN805" s="8" t="s">
        <v>661</v>
      </c>
      <c r="AO805" s="15" t="s">
        <v>661</v>
      </c>
      <c r="AP805" s="16">
        <v>9</v>
      </c>
      <c r="AQ805" s="13" t="s">
        <v>661</v>
      </c>
      <c r="AR805" s="16">
        <v>58.3</v>
      </c>
      <c r="AS805" s="16">
        <f>4.91+15.2+19.2</f>
        <v>39.31</v>
      </c>
      <c r="AT805" s="16">
        <v>2.38</v>
      </c>
      <c r="AU805" s="13" t="s">
        <v>661</v>
      </c>
      <c r="AV805" s="16">
        <f t="shared" si="363"/>
        <v>99.99</v>
      </c>
      <c r="AW805" s="20">
        <v>1.21</v>
      </c>
      <c r="AX805" s="8">
        <f t="shared" si="345"/>
        <v>1.21E-2</v>
      </c>
      <c r="AY805" s="8" t="s">
        <v>142</v>
      </c>
      <c r="AZ805" s="16">
        <f t="shared" si="366"/>
        <v>125</v>
      </c>
      <c r="BA805" s="16" t="s">
        <v>55</v>
      </c>
      <c r="BB805" s="15">
        <v>0.5</v>
      </c>
      <c r="BC805" s="16">
        <v>100</v>
      </c>
      <c r="BD805" s="24">
        <v>13.5</v>
      </c>
      <c r="BE805" s="16">
        <f t="shared" si="338"/>
        <v>1115.702479338843</v>
      </c>
      <c r="BF805" s="16">
        <f t="shared" si="354"/>
        <v>3.0475483981785558</v>
      </c>
      <c r="BG805" s="8">
        <f t="shared" si="367"/>
        <v>1.1303337684950061</v>
      </c>
      <c r="BH805" s="13" t="s">
        <v>837</v>
      </c>
      <c r="BI805" s="13"/>
      <c r="BJ805" s="13"/>
      <c r="BK805" s="13"/>
      <c r="BL805" s="13"/>
      <c r="BM805" s="17"/>
      <c r="BN805" s="17"/>
      <c r="BO805" s="2"/>
    </row>
    <row r="806" spans="1:67" s="14" customFormat="1" x14ac:dyDescent="0.3">
      <c r="A806" s="20">
        <v>823</v>
      </c>
      <c r="B806" s="2" t="s">
        <v>258</v>
      </c>
      <c r="C806" s="2">
        <v>2010</v>
      </c>
      <c r="D806" s="2" t="s">
        <v>205</v>
      </c>
      <c r="E806" s="10" t="s">
        <v>259</v>
      </c>
      <c r="F806" s="20" t="s">
        <v>63</v>
      </c>
      <c r="G806" s="2" t="s">
        <v>151</v>
      </c>
      <c r="H806" s="2" t="str">
        <f>'PFAS Properties'!$B$46</f>
        <v>PFOS</v>
      </c>
      <c r="I806" s="2" t="str">
        <f>'PFAS Properties'!$C$46</f>
        <v>PFSA</v>
      </c>
      <c r="J806" s="2" t="str">
        <f>'PFAS Properties'!$D$46</f>
        <v>C8HF17O3S</v>
      </c>
      <c r="K806" s="25">
        <f>'PFAS Properties'!$P$46</f>
        <v>499.93739999999997</v>
      </c>
      <c r="L806" s="2">
        <f>'PFAS Properties'!$X$46</f>
        <v>0.1</v>
      </c>
      <c r="M806" s="2" t="str">
        <f>'PFAS Properties'!$Y$46</f>
        <v>-</v>
      </c>
      <c r="N806" s="33">
        <v>0</v>
      </c>
      <c r="O806" s="33">
        <v>0</v>
      </c>
      <c r="P806" s="33">
        <v>0</v>
      </c>
      <c r="Q806" s="33">
        <f t="shared" si="342"/>
        <v>0.99999596269481228</v>
      </c>
      <c r="R806" s="33">
        <v>0</v>
      </c>
      <c r="S806" s="33">
        <f t="shared" si="343"/>
        <v>4.0373051877639565E-6</v>
      </c>
      <c r="T806" s="8">
        <f t="shared" si="365"/>
        <v>1</v>
      </c>
      <c r="U806" s="33">
        <f t="shared" si="346"/>
        <v>0</v>
      </c>
      <c r="V806" s="33">
        <f t="shared" si="347"/>
        <v>-0.99999596269481228</v>
      </c>
      <c r="W806" s="33">
        <f t="shared" si="348"/>
        <v>498.93740403730516</v>
      </c>
      <c r="X806" s="33">
        <v>96485</v>
      </c>
      <c r="Y806" s="16">
        <f t="shared" si="349"/>
        <v>-193.38019094153719</v>
      </c>
      <c r="Z806" s="16">
        <v>8</v>
      </c>
      <c r="AA806" s="16">
        <v>17</v>
      </c>
      <c r="AB806" s="8">
        <f t="shared" si="350"/>
        <v>0.29721362229102166</v>
      </c>
      <c r="AC806" s="16">
        <f t="shared" si="337"/>
        <v>64.60808893273439</v>
      </c>
      <c r="AD806" s="20">
        <f>'PFAS Properties'!$W$46</f>
        <v>8</v>
      </c>
      <c r="AE806" s="8">
        <f>'PFAS Properties'!$S$46</f>
        <v>2.0166155475571776</v>
      </c>
      <c r="AF806" s="15">
        <f>'PFAS Properties'!$V$46</f>
        <v>5</v>
      </c>
      <c r="AG806" s="124">
        <v>5.4939066667999992</v>
      </c>
      <c r="AH806" s="70" t="s">
        <v>752</v>
      </c>
      <c r="AI806" s="2" t="s">
        <v>661</v>
      </c>
      <c r="AJ806" s="15" t="s">
        <v>661</v>
      </c>
      <c r="AK806" s="8" t="s">
        <v>661</v>
      </c>
      <c r="AL806" s="2" t="s">
        <v>661</v>
      </c>
      <c r="AM806" s="15" t="s">
        <v>661</v>
      </c>
      <c r="AN806" s="8" t="s">
        <v>661</v>
      </c>
      <c r="AO806" s="15" t="s">
        <v>661</v>
      </c>
      <c r="AP806" s="16">
        <v>8.9</v>
      </c>
      <c r="AQ806" s="13" t="s">
        <v>661</v>
      </c>
      <c r="AR806" s="16">
        <v>24.1</v>
      </c>
      <c r="AS806" s="16">
        <f>9.41+26.7+34.9</f>
        <v>71.009999999999991</v>
      </c>
      <c r="AT806" s="16">
        <v>4.91</v>
      </c>
      <c r="AU806" s="13" t="s">
        <v>661</v>
      </c>
      <c r="AV806" s="16">
        <f t="shared" si="363"/>
        <v>100.01999999999998</v>
      </c>
      <c r="AW806" s="20">
        <v>1.1399999999999999</v>
      </c>
      <c r="AX806" s="8">
        <f t="shared" si="345"/>
        <v>1.1399999999999999E-2</v>
      </c>
      <c r="AY806" s="8" t="s">
        <v>142</v>
      </c>
      <c r="AZ806" s="16">
        <f t="shared" si="366"/>
        <v>125</v>
      </c>
      <c r="BA806" s="16" t="s">
        <v>55</v>
      </c>
      <c r="BB806" s="15">
        <v>0.5</v>
      </c>
      <c r="BC806" s="16">
        <v>100</v>
      </c>
      <c r="BD806" s="24">
        <v>14.1</v>
      </c>
      <c r="BE806" s="16">
        <f t="shared" si="338"/>
        <v>1236.8421052631579</v>
      </c>
      <c r="BF806" s="16">
        <f t="shared" si="354"/>
        <v>3.0923142613189074</v>
      </c>
      <c r="BG806" s="8">
        <f t="shared" si="367"/>
        <v>1.1492191126553799</v>
      </c>
      <c r="BH806" s="13" t="s">
        <v>837</v>
      </c>
      <c r="BI806" s="13"/>
      <c r="BJ806" s="13"/>
      <c r="BK806" s="13"/>
      <c r="BL806" s="13"/>
      <c r="BM806" s="17"/>
      <c r="BN806" s="17"/>
      <c r="BO806" s="2"/>
    </row>
    <row r="807" spans="1:67" s="14" customFormat="1" x14ac:dyDescent="0.3">
      <c r="A807" s="20">
        <v>824</v>
      </c>
      <c r="B807" s="2" t="s">
        <v>258</v>
      </c>
      <c r="C807" s="2">
        <v>2010</v>
      </c>
      <c r="D807" s="2" t="s">
        <v>205</v>
      </c>
      <c r="E807" s="10" t="s">
        <v>259</v>
      </c>
      <c r="F807" s="20" t="s">
        <v>63</v>
      </c>
      <c r="G807" s="2" t="s">
        <v>150</v>
      </c>
      <c r="H807" s="2" t="str">
        <f>'PFAS Properties'!$B$46</f>
        <v>PFOS</v>
      </c>
      <c r="I807" s="2" t="str">
        <f>'PFAS Properties'!$C$46</f>
        <v>PFSA</v>
      </c>
      <c r="J807" s="2" t="str">
        <f>'PFAS Properties'!$D$46</f>
        <v>C8HF17O3S</v>
      </c>
      <c r="K807" s="25">
        <f>'PFAS Properties'!$P$46</f>
        <v>499.93739999999997</v>
      </c>
      <c r="L807" s="2">
        <f>'PFAS Properties'!$X$46</f>
        <v>0.1</v>
      </c>
      <c r="M807" s="2" t="str">
        <f>'PFAS Properties'!$Y$46</f>
        <v>-</v>
      </c>
      <c r="N807" s="33">
        <v>0</v>
      </c>
      <c r="O807" s="33">
        <v>0</v>
      </c>
      <c r="P807" s="33">
        <v>0</v>
      </c>
      <c r="Q807" s="33">
        <f t="shared" si="342"/>
        <v>0.999996249075082</v>
      </c>
      <c r="R807" s="33">
        <v>0</v>
      </c>
      <c r="S807" s="33">
        <f t="shared" si="343"/>
        <v>3.7509249179593157E-6</v>
      </c>
      <c r="T807" s="8">
        <f t="shared" si="365"/>
        <v>1</v>
      </c>
      <c r="U807" s="33">
        <f t="shared" si="346"/>
        <v>0</v>
      </c>
      <c r="V807" s="33">
        <f t="shared" si="347"/>
        <v>-0.999996249075082</v>
      </c>
      <c r="W807" s="33">
        <f t="shared" si="348"/>
        <v>498.93740375092483</v>
      </c>
      <c r="X807" s="33">
        <v>96485</v>
      </c>
      <c r="Y807" s="16">
        <f t="shared" si="349"/>
        <v>-193.3802464330285</v>
      </c>
      <c r="Z807" s="16">
        <v>8</v>
      </c>
      <c r="AA807" s="16">
        <v>17</v>
      </c>
      <c r="AB807" s="8">
        <f t="shared" si="350"/>
        <v>0.29721362229102166</v>
      </c>
      <c r="AC807" s="16">
        <f t="shared" si="337"/>
        <v>64.60808893273439</v>
      </c>
      <c r="AD807" s="20">
        <f>'PFAS Properties'!$W$46</f>
        <v>8</v>
      </c>
      <c r="AE807" s="8">
        <f>'PFAS Properties'!$S$46</f>
        <v>2.0166155475571776</v>
      </c>
      <c r="AF807" s="15">
        <f>'PFAS Properties'!$V$46</f>
        <v>5</v>
      </c>
      <c r="AG807" s="124">
        <v>5.5258600000000007</v>
      </c>
      <c r="AH807" s="70" t="s">
        <v>752</v>
      </c>
      <c r="AI807" s="2" t="s">
        <v>661</v>
      </c>
      <c r="AJ807" s="15" t="s">
        <v>661</v>
      </c>
      <c r="AK807" s="8" t="s">
        <v>661</v>
      </c>
      <c r="AL807" s="2" t="s">
        <v>661</v>
      </c>
      <c r="AM807" s="15" t="s">
        <v>661</v>
      </c>
      <c r="AN807" s="8" t="s">
        <v>661</v>
      </c>
      <c r="AO807" s="15" t="s">
        <v>661</v>
      </c>
      <c r="AP807" s="16">
        <v>7.72</v>
      </c>
      <c r="AQ807" s="13" t="s">
        <v>661</v>
      </c>
      <c r="AR807" s="16">
        <v>11.1</v>
      </c>
      <c r="AS807" s="16">
        <f>15+34.8+31.8</f>
        <v>81.599999999999994</v>
      </c>
      <c r="AT807" s="16">
        <v>7.38</v>
      </c>
      <c r="AU807" s="13" t="s">
        <v>661</v>
      </c>
      <c r="AV807" s="16">
        <f t="shared" si="363"/>
        <v>100.07999999999998</v>
      </c>
      <c r="AW807" s="20">
        <v>0.93</v>
      </c>
      <c r="AX807" s="8">
        <f t="shared" si="345"/>
        <v>9.300000000000001E-3</v>
      </c>
      <c r="AY807" s="8" t="s">
        <v>142</v>
      </c>
      <c r="AZ807" s="16">
        <f t="shared" si="366"/>
        <v>125</v>
      </c>
      <c r="BA807" s="16" t="s">
        <v>55</v>
      </c>
      <c r="BB807" s="15">
        <v>0.5</v>
      </c>
      <c r="BC807" s="16">
        <v>100</v>
      </c>
      <c r="BD807" s="24">
        <v>10.199999999999999</v>
      </c>
      <c r="BE807" s="16">
        <f t="shared" si="338"/>
        <v>1096.7741935483868</v>
      </c>
      <c r="BF807" s="16">
        <f t="shared" si="354"/>
        <v>3.0401172232079823</v>
      </c>
      <c r="BG807" s="8">
        <f t="shared" si="367"/>
        <v>1.0086001717619175</v>
      </c>
      <c r="BH807" s="13" t="s">
        <v>837</v>
      </c>
      <c r="BI807" s="13"/>
      <c r="BJ807" s="13"/>
      <c r="BK807" s="13"/>
      <c r="BL807" s="13"/>
      <c r="BM807" s="17"/>
      <c r="BN807" s="17"/>
      <c r="BO807" s="2"/>
    </row>
    <row r="808" spans="1:67" s="14" customFormat="1" x14ac:dyDescent="0.3">
      <c r="A808" s="20">
        <v>825</v>
      </c>
      <c r="B808" s="2" t="s">
        <v>258</v>
      </c>
      <c r="C808" s="2">
        <v>2010</v>
      </c>
      <c r="D808" s="2" t="s">
        <v>205</v>
      </c>
      <c r="E808" s="10" t="s">
        <v>259</v>
      </c>
      <c r="F808" s="20" t="s">
        <v>63</v>
      </c>
      <c r="G808" s="2" t="s">
        <v>145</v>
      </c>
      <c r="H808" s="2" t="str">
        <f>'PFAS Properties'!$B$46</f>
        <v>PFOS</v>
      </c>
      <c r="I808" s="2" t="str">
        <f>'PFAS Properties'!$C$46</f>
        <v>PFSA</v>
      </c>
      <c r="J808" s="2" t="str">
        <f>'PFAS Properties'!$D$46</f>
        <v>C8HF17O3S</v>
      </c>
      <c r="K808" s="25">
        <f>'PFAS Properties'!$P$46</f>
        <v>499.93739999999997</v>
      </c>
      <c r="L808" s="2">
        <f>'PFAS Properties'!$X$46</f>
        <v>0.1</v>
      </c>
      <c r="M808" s="2" t="str">
        <f>'PFAS Properties'!$Y$46</f>
        <v>-</v>
      </c>
      <c r="N808" s="33">
        <v>0</v>
      </c>
      <c r="O808" s="33">
        <v>0</v>
      </c>
      <c r="P808" s="33">
        <v>0</v>
      </c>
      <c r="Q808" s="33">
        <f t="shared" si="342"/>
        <v>0.99999638541509817</v>
      </c>
      <c r="R808" s="33">
        <v>0</v>
      </c>
      <c r="S808" s="33">
        <f t="shared" si="343"/>
        <v>3.6145849017946273E-6</v>
      </c>
      <c r="T808" s="8">
        <f t="shared" si="365"/>
        <v>1</v>
      </c>
      <c r="U808" s="33">
        <f t="shared" si="346"/>
        <v>0</v>
      </c>
      <c r="V808" s="33">
        <f t="shared" si="347"/>
        <v>-0.99999638541509817</v>
      </c>
      <c r="W808" s="33">
        <f t="shared" si="348"/>
        <v>498.93740361458487</v>
      </c>
      <c r="X808" s="33">
        <v>96485</v>
      </c>
      <c r="Y808" s="16">
        <f t="shared" si="349"/>
        <v>-193.38027285143653</v>
      </c>
      <c r="Z808" s="16">
        <v>8</v>
      </c>
      <c r="AA808" s="16">
        <v>17</v>
      </c>
      <c r="AB808" s="8">
        <f t="shared" si="350"/>
        <v>0.29721362229102166</v>
      </c>
      <c r="AC808" s="16">
        <f t="shared" si="337"/>
        <v>64.60808893273439</v>
      </c>
      <c r="AD808" s="20">
        <f>'PFAS Properties'!$W$46</f>
        <v>8</v>
      </c>
      <c r="AE808" s="8">
        <f>'PFAS Properties'!$S$46</f>
        <v>2.0166155475571776</v>
      </c>
      <c r="AF808" s="15">
        <f>'PFAS Properties'!$V$46</f>
        <v>5</v>
      </c>
      <c r="AG808" s="124">
        <v>5.5419400000000003</v>
      </c>
      <c r="AH808" s="70" t="s">
        <v>752</v>
      </c>
      <c r="AI808" s="2" t="s">
        <v>661</v>
      </c>
      <c r="AJ808" s="15" t="s">
        <v>661</v>
      </c>
      <c r="AK808" s="8" t="s">
        <v>661</v>
      </c>
      <c r="AL808" s="2" t="s">
        <v>661</v>
      </c>
      <c r="AM808" s="15" t="s">
        <v>661</v>
      </c>
      <c r="AN808" s="8" t="s">
        <v>661</v>
      </c>
      <c r="AO808" s="15" t="s">
        <v>661</v>
      </c>
      <c r="AP808" s="16">
        <v>9.33</v>
      </c>
      <c r="AQ808" s="13" t="s">
        <v>661</v>
      </c>
      <c r="AR808" s="16">
        <v>13.6</v>
      </c>
      <c r="AS808" s="16">
        <f>12.1+28.7+39.4</f>
        <v>80.199999999999989</v>
      </c>
      <c r="AT808" s="16">
        <v>6.23</v>
      </c>
      <c r="AU808" s="13" t="s">
        <v>661</v>
      </c>
      <c r="AV808" s="16">
        <f t="shared" si="363"/>
        <v>100.02999999999999</v>
      </c>
      <c r="AW808" s="20">
        <v>0.55000000000000004</v>
      </c>
      <c r="AX808" s="8">
        <f t="shared" si="345"/>
        <v>5.5000000000000005E-3</v>
      </c>
      <c r="AY808" s="8" t="s">
        <v>142</v>
      </c>
      <c r="AZ808" s="16">
        <f t="shared" si="366"/>
        <v>125</v>
      </c>
      <c r="BA808" s="16" t="s">
        <v>55</v>
      </c>
      <c r="BB808" s="15">
        <v>0.5</v>
      </c>
      <c r="BC808" s="16">
        <v>100</v>
      </c>
      <c r="BD808" s="24">
        <v>7.54</v>
      </c>
      <c r="BE808" s="16">
        <f t="shared" si="338"/>
        <v>1370.9090909090908</v>
      </c>
      <c r="BF808" s="16">
        <f t="shared" si="354"/>
        <v>3.1370086563755302</v>
      </c>
      <c r="BG808" s="8">
        <f t="shared" si="367"/>
        <v>0.87737134586977406</v>
      </c>
      <c r="BH808" s="13" t="s">
        <v>837</v>
      </c>
      <c r="BI808" s="13"/>
      <c r="BJ808" s="13"/>
      <c r="BK808" s="13"/>
      <c r="BL808" s="13"/>
      <c r="BM808" s="17"/>
      <c r="BN808" s="17"/>
      <c r="BO808" s="2"/>
    </row>
    <row r="809" spans="1:67" s="14" customFormat="1" x14ac:dyDescent="0.3">
      <c r="A809" s="20">
        <v>826</v>
      </c>
      <c r="B809" s="2" t="s">
        <v>258</v>
      </c>
      <c r="C809" s="2">
        <v>2010</v>
      </c>
      <c r="D809" s="2" t="s">
        <v>205</v>
      </c>
      <c r="E809" s="10" t="s">
        <v>259</v>
      </c>
      <c r="F809" s="20" t="s">
        <v>63</v>
      </c>
      <c r="G809" s="2" t="s">
        <v>144</v>
      </c>
      <c r="H809" s="2" t="str">
        <f>'PFAS Properties'!$B$46</f>
        <v>PFOS</v>
      </c>
      <c r="I809" s="2" t="str">
        <f>'PFAS Properties'!$C$46</f>
        <v>PFSA</v>
      </c>
      <c r="J809" s="2" t="str">
        <f>'PFAS Properties'!$D$46</f>
        <v>C8HF17O3S</v>
      </c>
      <c r="K809" s="25">
        <f>'PFAS Properties'!$P$46</f>
        <v>499.93739999999997</v>
      </c>
      <c r="L809" s="2">
        <f>'PFAS Properties'!$X$46</f>
        <v>0.1</v>
      </c>
      <c r="M809" s="2" t="str">
        <f>'PFAS Properties'!$Y$46</f>
        <v>-</v>
      </c>
      <c r="N809" s="33">
        <v>0</v>
      </c>
      <c r="O809" s="33">
        <v>0</v>
      </c>
      <c r="P809" s="33">
        <v>0</v>
      </c>
      <c r="Q809" s="33">
        <f t="shared" si="342"/>
        <v>0.99999622620451056</v>
      </c>
      <c r="R809" s="33">
        <v>0</v>
      </c>
      <c r="S809" s="33">
        <f t="shared" si="343"/>
        <v>3.7737954894173753E-6</v>
      </c>
      <c r="T809" s="8">
        <f t="shared" si="365"/>
        <v>1</v>
      </c>
      <c r="U809" s="33">
        <f t="shared" si="346"/>
        <v>0</v>
      </c>
      <c r="V809" s="33">
        <f t="shared" si="347"/>
        <v>-0.99999622620451056</v>
      </c>
      <c r="W809" s="33">
        <f t="shared" si="348"/>
        <v>498.93740377379544</v>
      </c>
      <c r="X809" s="33">
        <v>96485</v>
      </c>
      <c r="Y809" s="16">
        <f t="shared" si="349"/>
        <v>-193.38024200143087</v>
      </c>
      <c r="Z809" s="16">
        <v>8</v>
      </c>
      <c r="AA809" s="16">
        <v>17</v>
      </c>
      <c r="AB809" s="8">
        <f t="shared" si="350"/>
        <v>0.29721362229102166</v>
      </c>
      <c r="AC809" s="16">
        <f t="shared" si="337"/>
        <v>64.60808893273439</v>
      </c>
      <c r="AD809" s="20">
        <f>'PFAS Properties'!$W$46</f>
        <v>8</v>
      </c>
      <c r="AE809" s="8">
        <f>'PFAS Properties'!$S$46</f>
        <v>2.0166155475571776</v>
      </c>
      <c r="AF809" s="15">
        <f>'PFAS Properties'!$V$46</f>
        <v>5</v>
      </c>
      <c r="AG809" s="124">
        <v>5.5232199999999994</v>
      </c>
      <c r="AH809" s="70" t="s">
        <v>752</v>
      </c>
      <c r="AI809" s="2" t="s">
        <v>661</v>
      </c>
      <c r="AJ809" s="15" t="s">
        <v>661</v>
      </c>
      <c r="AK809" s="8" t="s">
        <v>661</v>
      </c>
      <c r="AL809" s="2" t="s">
        <v>661</v>
      </c>
      <c r="AM809" s="15" t="s">
        <v>661</v>
      </c>
      <c r="AN809" s="8" t="s">
        <v>661</v>
      </c>
      <c r="AO809" s="15" t="s">
        <v>661</v>
      </c>
      <c r="AP809" s="16">
        <v>9.66</v>
      </c>
      <c r="AQ809" s="13" t="s">
        <v>661</v>
      </c>
      <c r="AR809" s="16">
        <v>18.899999999999999</v>
      </c>
      <c r="AS809" s="16">
        <f>13+26.5+36</f>
        <v>75.5</v>
      </c>
      <c r="AT809" s="16">
        <v>5.59</v>
      </c>
      <c r="AU809" s="13" t="s">
        <v>661</v>
      </c>
      <c r="AV809" s="16">
        <f t="shared" si="363"/>
        <v>99.990000000000009</v>
      </c>
      <c r="AW809" s="20">
        <v>0.18</v>
      </c>
      <c r="AX809" s="8">
        <f t="shared" si="345"/>
        <v>1.8E-3</v>
      </c>
      <c r="AY809" s="8" t="s">
        <v>142</v>
      </c>
      <c r="AZ809" s="16">
        <f t="shared" si="366"/>
        <v>125</v>
      </c>
      <c r="BA809" s="16" t="s">
        <v>55</v>
      </c>
      <c r="BB809" s="15">
        <v>0.5</v>
      </c>
      <c r="BC809" s="16">
        <v>100</v>
      </c>
      <c r="BD809" s="24">
        <v>2.0099999999999998</v>
      </c>
      <c r="BE809" s="16">
        <f t="shared" si="338"/>
        <v>1116.6666666666665</v>
      </c>
      <c r="BF809" s="16">
        <f t="shared" si="354"/>
        <v>3.0479235523171826</v>
      </c>
      <c r="BG809" s="8">
        <f t="shared" si="367"/>
        <v>0.30319605742048883</v>
      </c>
      <c r="BH809" s="13" t="s">
        <v>837</v>
      </c>
      <c r="BI809" s="13"/>
      <c r="BJ809" s="13"/>
      <c r="BK809" s="13"/>
      <c r="BL809" s="13"/>
      <c r="BM809" s="17"/>
      <c r="BN809" s="17"/>
      <c r="BO809" s="2"/>
    </row>
    <row r="810" spans="1:67" s="14" customFormat="1" x14ac:dyDescent="0.3">
      <c r="A810" s="20">
        <v>827</v>
      </c>
      <c r="B810" s="2" t="s">
        <v>258</v>
      </c>
      <c r="C810" s="2">
        <v>2010</v>
      </c>
      <c r="D810" s="2" t="s">
        <v>205</v>
      </c>
      <c r="E810" s="10" t="s">
        <v>259</v>
      </c>
      <c r="F810" s="20" t="s">
        <v>63</v>
      </c>
      <c r="G810" s="2" t="s">
        <v>141</v>
      </c>
      <c r="H810" s="2" t="str">
        <f>'PFAS Properties'!$B$46</f>
        <v>PFOS</v>
      </c>
      <c r="I810" s="2" t="str">
        <f>'PFAS Properties'!$C$46</f>
        <v>PFSA</v>
      </c>
      <c r="J810" s="2" t="str">
        <f>'PFAS Properties'!$D$46</f>
        <v>C8HF17O3S</v>
      </c>
      <c r="K810" s="25">
        <f>'PFAS Properties'!$P$46</f>
        <v>499.93739999999997</v>
      </c>
      <c r="L810" s="2">
        <f>'PFAS Properties'!$X$46</f>
        <v>0.1</v>
      </c>
      <c r="M810" s="2" t="str">
        <f>'PFAS Properties'!$Y$46</f>
        <v>-</v>
      </c>
      <c r="N810" s="33">
        <v>0</v>
      </c>
      <c r="O810" s="33">
        <v>0</v>
      </c>
      <c r="P810" s="33">
        <v>0</v>
      </c>
      <c r="Q810" s="33">
        <f t="shared" si="342"/>
        <v>0.99999632499102564</v>
      </c>
      <c r="R810" s="33">
        <v>0</v>
      </c>
      <c r="S810" s="33">
        <f t="shared" si="343"/>
        <v>3.6750089743068768E-6</v>
      </c>
      <c r="T810" s="8">
        <f t="shared" si="365"/>
        <v>1</v>
      </c>
      <c r="U810" s="33">
        <f t="shared" si="346"/>
        <v>0</v>
      </c>
      <c r="V810" s="33">
        <f t="shared" si="347"/>
        <v>-0.99999632499102564</v>
      </c>
      <c r="W810" s="33">
        <f t="shared" si="348"/>
        <v>498.93740367500891</v>
      </c>
      <c r="X810" s="33">
        <v>96485</v>
      </c>
      <c r="Y810" s="16">
        <f t="shared" si="349"/>
        <v>-193.38026114315127</v>
      </c>
      <c r="Z810" s="16">
        <v>8</v>
      </c>
      <c r="AA810" s="16">
        <v>17</v>
      </c>
      <c r="AB810" s="8">
        <f t="shared" si="350"/>
        <v>0.29721362229102166</v>
      </c>
      <c r="AC810" s="16">
        <f t="shared" si="337"/>
        <v>64.60808893273439</v>
      </c>
      <c r="AD810" s="20">
        <f>'PFAS Properties'!$W$46</f>
        <v>8</v>
      </c>
      <c r="AE810" s="8">
        <f>'PFAS Properties'!$S$46</f>
        <v>2.0166155475571776</v>
      </c>
      <c r="AF810" s="15">
        <f>'PFAS Properties'!$V$46</f>
        <v>5</v>
      </c>
      <c r="AG810" s="124">
        <v>5.5347400000000002</v>
      </c>
      <c r="AH810" s="70" t="s">
        <v>752</v>
      </c>
      <c r="AI810" s="2" t="s">
        <v>661</v>
      </c>
      <c r="AJ810" s="15" t="s">
        <v>661</v>
      </c>
      <c r="AK810" s="8" t="s">
        <v>661</v>
      </c>
      <c r="AL810" s="2" t="s">
        <v>661</v>
      </c>
      <c r="AM810" s="15" t="s">
        <v>661</v>
      </c>
      <c r="AN810" s="8" t="s">
        <v>661</v>
      </c>
      <c r="AO810" s="15" t="s">
        <v>661</v>
      </c>
      <c r="AP810" s="16">
        <v>10.1</v>
      </c>
      <c r="AQ810" s="13" t="s">
        <v>661</v>
      </c>
      <c r="AR810" s="16">
        <v>14.9</v>
      </c>
      <c r="AS810" s="16">
        <f>15.5+28.3+34.3</f>
        <v>78.099999999999994</v>
      </c>
      <c r="AT810" s="16">
        <v>7.16</v>
      </c>
      <c r="AU810" s="13" t="s">
        <v>661</v>
      </c>
      <c r="AV810" s="16">
        <f t="shared" si="363"/>
        <v>100.16</v>
      </c>
      <c r="AW810" s="20">
        <v>0.16</v>
      </c>
      <c r="AX810" s="8">
        <f t="shared" si="345"/>
        <v>1.6000000000000001E-3</v>
      </c>
      <c r="AY810" s="8" t="s">
        <v>142</v>
      </c>
      <c r="AZ810" s="16">
        <f t="shared" si="366"/>
        <v>125</v>
      </c>
      <c r="BA810" s="16" t="s">
        <v>55</v>
      </c>
      <c r="BB810" s="15">
        <v>0.5</v>
      </c>
      <c r="BC810" s="16">
        <v>100</v>
      </c>
      <c r="BD810" s="24">
        <v>1.85</v>
      </c>
      <c r="BE810" s="16">
        <f t="shared" si="338"/>
        <v>1156.25</v>
      </c>
      <c r="BF810" s="16">
        <f t="shared" si="354"/>
        <v>3.0630517457470892</v>
      </c>
      <c r="BG810" s="8">
        <f t="shared" si="367"/>
        <v>0.26717172840301384</v>
      </c>
      <c r="BH810" s="13" t="s">
        <v>837</v>
      </c>
      <c r="BI810" s="13"/>
      <c r="BJ810" s="13"/>
      <c r="BK810" s="13"/>
      <c r="BL810" s="13"/>
      <c r="BM810" s="17"/>
      <c r="BN810" s="17"/>
      <c r="BO810" s="2"/>
    </row>
    <row r="811" spans="1:67" s="14" customFormat="1" x14ac:dyDescent="0.3">
      <c r="A811" s="20">
        <v>828</v>
      </c>
      <c r="B811" s="2" t="s">
        <v>258</v>
      </c>
      <c r="C811" s="2">
        <v>2010</v>
      </c>
      <c r="D811" s="2" t="s">
        <v>205</v>
      </c>
      <c r="E811" s="10" t="s">
        <v>259</v>
      </c>
      <c r="F811" s="20" t="s">
        <v>63</v>
      </c>
      <c r="G811" s="2" t="s">
        <v>143</v>
      </c>
      <c r="H811" s="2" t="str">
        <f>'PFAS Properties'!$B$46</f>
        <v>PFOS</v>
      </c>
      <c r="I811" s="2" t="str">
        <f>'PFAS Properties'!$C$46</f>
        <v>PFSA</v>
      </c>
      <c r="J811" s="2" t="str">
        <f>'PFAS Properties'!$D$46</f>
        <v>C8HF17O3S</v>
      </c>
      <c r="K811" s="25">
        <f>'PFAS Properties'!$P$46</f>
        <v>499.93739999999997</v>
      </c>
      <c r="L811" s="2">
        <f>'PFAS Properties'!$X$46</f>
        <v>0.1</v>
      </c>
      <c r="M811" s="2" t="str">
        <f>'PFAS Properties'!$Y$46</f>
        <v>-</v>
      </c>
      <c r="N811" s="33">
        <v>0</v>
      </c>
      <c r="O811" s="33">
        <v>0</v>
      </c>
      <c r="P811" s="33">
        <v>0</v>
      </c>
      <c r="Q811" s="33">
        <f t="shared" si="342"/>
        <v>0.99999634187609643</v>
      </c>
      <c r="R811" s="33">
        <v>0</v>
      </c>
      <c r="S811" s="33">
        <f t="shared" si="343"/>
        <v>3.6581239036084515E-6</v>
      </c>
      <c r="T811" s="8">
        <f t="shared" si="365"/>
        <v>1</v>
      </c>
      <c r="U811" s="33">
        <f t="shared" si="346"/>
        <v>0</v>
      </c>
      <c r="V811" s="33">
        <f t="shared" si="347"/>
        <v>-0.99999634187609643</v>
      </c>
      <c r="W811" s="33">
        <f t="shared" si="348"/>
        <v>498.93740365812391</v>
      </c>
      <c r="X811" s="33">
        <v>96485</v>
      </c>
      <c r="Y811" s="16">
        <f t="shared" si="349"/>
        <v>-193.38026441494705</v>
      </c>
      <c r="Z811" s="16">
        <v>8</v>
      </c>
      <c r="AA811" s="16">
        <v>17</v>
      </c>
      <c r="AB811" s="8">
        <f t="shared" si="350"/>
        <v>0.29721362229102166</v>
      </c>
      <c r="AC811" s="16">
        <f t="shared" si="337"/>
        <v>64.60808893273439</v>
      </c>
      <c r="AD811" s="20">
        <f>'PFAS Properties'!$W$46</f>
        <v>8</v>
      </c>
      <c r="AE811" s="8">
        <f>'PFAS Properties'!$S$46</f>
        <v>2.0166155475571776</v>
      </c>
      <c r="AF811" s="15">
        <f>'PFAS Properties'!$V$46</f>
        <v>5</v>
      </c>
      <c r="AG811" s="124">
        <v>5.53674</v>
      </c>
      <c r="AH811" s="70" t="s">
        <v>752</v>
      </c>
      <c r="AI811" s="2" t="s">
        <v>661</v>
      </c>
      <c r="AJ811" s="15" t="s">
        <v>661</v>
      </c>
      <c r="AK811" s="8" t="s">
        <v>661</v>
      </c>
      <c r="AL811" s="2" t="s">
        <v>661</v>
      </c>
      <c r="AM811" s="15" t="s">
        <v>661</v>
      </c>
      <c r="AN811" s="8" t="s">
        <v>661</v>
      </c>
      <c r="AO811" s="15" t="s">
        <v>661</v>
      </c>
      <c r="AP811" s="16">
        <v>10.3</v>
      </c>
      <c r="AQ811" s="13" t="s">
        <v>661</v>
      </c>
      <c r="AR811" s="16">
        <v>14.9</v>
      </c>
      <c r="AS811" s="16">
        <f>13.8+27.9+36.9</f>
        <v>78.599999999999994</v>
      </c>
      <c r="AT811" s="16">
        <v>6.61</v>
      </c>
      <c r="AU811" s="13" t="s">
        <v>661</v>
      </c>
      <c r="AV811" s="16">
        <f t="shared" si="363"/>
        <v>100.11</v>
      </c>
      <c r="AW811" s="20">
        <v>0.16</v>
      </c>
      <c r="AX811" s="8">
        <f t="shared" si="345"/>
        <v>1.6000000000000001E-3</v>
      </c>
      <c r="AY811" s="8" t="s">
        <v>142</v>
      </c>
      <c r="AZ811" s="16">
        <f t="shared" si="366"/>
        <v>125</v>
      </c>
      <c r="BA811" s="16" t="s">
        <v>55</v>
      </c>
      <c r="BB811" s="15">
        <v>0.5</v>
      </c>
      <c r="BC811" s="16">
        <v>100</v>
      </c>
      <c r="BD811" s="24">
        <v>2.23</v>
      </c>
      <c r="BE811" s="16">
        <f t="shared" si="338"/>
        <v>1393.75</v>
      </c>
      <c r="BF811" s="16">
        <f t="shared" si="354"/>
        <v>3.1441848803922361</v>
      </c>
      <c r="BG811" s="8">
        <f t="shared" si="367"/>
        <v>0.34830486304816066</v>
      </c>
      <c r="BH811" s="13" t="s">
        <v>837</v>
      </c>
      <c r="BI811" s="13"/>
      <c r="BJ811" s="13"/>
      <c r="BK811" s="13"/>
      <c r="BL811" s="13"/>
      <c r="BM811" s="17"/>
      <c r="BN811" s="17"/>
      <c r="BO811" s="2"/>
    </row>
    <row r="812" spans="1:67" s="14" customFormat="1" x14ac:dyDescent="0.3">
      <c r="A812" s="20">
        <v>829</v>
      </c>
      <c r="B812" s="2" t="s">
        <v>261</v>
      </c>
      <c r="C812" s="2">
        <v>2017</v>
      </c>
      <c r="D812" s="2" t="s">
        <v>229</v>
      </c>
      <c r="E812" s="10" t="s">
        <v>813</v>
      </c>
      <c r="F812" s="20" t="s">
        <v>29</v>
      </c>
      <c r="G812" s="2" t="s">
        <v>158</v>
      </c>
      <c r="H812" s="2" t="str">
        <f>'PFAS Properties'!$B$46</f>
        <v>PFOS</v>
      </c>
      <c r="I812" s="2" t="str">
        <f>'PFAS Properties'!$C$46</f>
        <v>PFSA</v>
      </c>
      <c r="J812" s="2" t="str">
        <f>'PFAS Properties'!$D$46</f>
        <v>C8HF17O3S</v>
      </c>
      <c r="K812" s="25">
        <f>'PFAS Properties'!$P$46</f>
        <v>499.93739999999997</v>
      </c>
      <c r="L812" s="2">
        <f>'PFAS Properties'!$X$46</f>
        <v>0.1</v>
      </c>
      <c r="M812" s="2" t="str">
        <f>'PFAS Properties'!$Y$46</f>
        <v>-</v>
      </c>
      <c r="N812" s="33">
        <v>0</v>
      </c>
      <c r="O812" s="33">
        <v>0</v>
      </c>
      <c r="P812" s="33">
        <v>0</v>
      </c>
      <c r="Q812" s="33">
        <f t="shared" si="342"/>
        <v>0.99999998415106828</v>
      </c>
      <c r="R812" s="33">
        <v>0</v>
      </c>
      <c r="S812" s="33">
        <f t="shared" si="343"/>
        <v>1.5848931673422437E-8</v>
      </c>
      <c r="T812" s="8">
        <f t="shared" si="365"/>
        <v>1</v>
      </c>
      <c r="U812" s="33">
        <f t="shared" si="346"/>
        <v>0</v>
      </c>
      <c r="V812" s="33">
        <f t="shared" si="347"/>
        <v>-0.99999998415106828</v>
      </c>
      <c r="W812" s="33">
        <f t="shared" si="348"/>
        <v>498.93740001584888</v>
      </c>
      <c r="X812" s="33">
        <v>96485</v>
      </c>
      <c r="Y812" s="16">
        <f t="shared" si="349"/>
        <v>-193.38097017331424</v>
      </c>
      <c r="Z812" s="16">
        <v>8</v>
      </c>
      <c r="AA812" s="16">
        <v>17</v>
      </c>
      <c r="AB812" s="8">
        <f t="shared" si="350"/>
        <v>0.29721362229102166</v>
      </c>
      <c r="AC812" s="16">
        <f t="shared" si="337"/>
        <v>64.60808893273439</v>
      </c>
      <c r="AD812" s="20">
        <f>'PFAS Properties'!$W$46</f>
        <v>8</v>
      </c>
      <c r="AE812" s="8">
        <f>'PFAS Properties'!$S$46</f>
        <v>2.0166155475571776</v>
      </c>
      <c r="AF812" s="15">
        <f>'PFAS Properties'!$V$46</f>
        <v>5</v>
      </c>
      <c r="AG812" s="24">
        <v>7.9</v>
      </c>
      <c r="AH812" s="2" t="s">
        <v>833</v>
      </c>
      <c r="AI812" s="15">
        <f>9.57*2*55.85/159.69</f>
        <v>6.6940259252301342</v>
      </c>
      <c r="AJ812" s="15">
        <f t="shared" ref="AJ812:AJ817" si="368">AI812*1000/55.845</f>
        <v>119.86795461062108</v>
      </c>
      <c r="AK812" s="8">
        <f t="shared" ref="AK812:AK817" si="369">AI812/10</f>
        <v>0.66940259252301337</v>
      </c>
      <c r="AL812" s="8">
        <f>0.75*2*26.98/101.96</f>
        <v>0.39692036092585331</v>
      </c>
      <c r="AM812" s="15">
        <f t="shared" ref="AM812:AM817" si="370">AL812*1000/26.98</f>
        <v>14.711651628089447</v>
      </c>
      <c r="AN812" s="8">
        <f t="shared" ref="AN812:AN817" si="371">AL812/10</f>
        <v>3.9692036092585328E-2</v>
      </c>
      <c r="AO812" s="15" t="s">
        <v>93</v>
      </c>
      <c r="AP812" s="16">
        <v>8</v>
      </c>
      <c r="AQ812" s="13" t="s">
        <v>661</v>
      </c>
      <c r="AR812" s="2">
        <v>46</v>
      </c>
      <c r="AS812" s="2">
        <v>48</v>
      </c>
      <c r="AT812" s="2">
        <v>6</v>
      </c>
      <c r="AU812" s="13" t="s">
        <v>661</v>
      </c>
      <c r="AV812" s="16">
        <f t="shared" si="363"/>
        <v>100</v>
      </c>
      <c r="AW812" s="20">
        <v>0.87</v>
      </c>
      <c r="AX812" s="8">
        <f t="shared" si="345"/>
        <v>8.6999999999999994E-3</v>
      </c>
      <c r="AY812" s="12" t="s">
        <v>127</v>
      </c>
      <c r="AZ812" s="16">
        <f t="shared" ref="AZ812:AZ817" si="372">0.2/0.02</f>
        <v>10</v>
      </c>
      <c r="BA812" s="16" t="s">
        <v>55</v>
      </c>
      <c r="BB812" s="16">
        <v>10</v>
      </c>
      <c r="BC812" s="16">
        <v>1000</v>
      </c>
      <c r="BD812" s="24">
        <v>18</v>
      </c>
      <c r="BE812" s="16">
        <f t="shared" si="338"/>
        <v>2068.9655172413795</v>
      </c>
      <c r="BF812" s="16">
        <f t="shared" si="354"/>
        <v>3.3157532524846878</v>
      </c>
      <c r="BG812" s="8">
        <f t="shared" si="367"/>
        <v>1.255272505103306</v>
      </c>
      <c r="BH812" s="13" t="s">
        <v>861</v>
      </c>
      <c r="BI812" s="12"/>
      <c r="BJ812" s="13"/>
      <c r="BK812" s="15"/>
      <c r="BL812" s="8"/>
      <c r="BM812" s="18"/>
      <c r="BN812" s="8"/>
      <c r="BO812" s="24"/>
    </row>
    <row r="813" spans="1:67" s="14" customFormat="1" x14ac:dyDescent="0.3">
      <c r="A813" s="20">
        <v>830</v>
      </c>
      <c r="B813" s="2" t="s">
        <v>261</v>
      </c>
      <c r="C813" s="2">
        <v>2017</v>
      </c>
      <c r="D813" s="2" t="s">
        <v>229</v>
      </c>
      <c r="E813" s="10" t="s">
        <v>813</v>
      </c>
      <c r="F813" s="20" t="s">
        <v>29</v>
      </c>
      <c r="G813" s="2" t="s">
        <v>133</v>
      </c>
      <c r="H813" s="2" t="str">
        <f>'PFAS Properties'!$B$46</f>
        <v>PFOS</v>
      </c>
      <c r="I813" s="2" t="str">
        <f>'PFAS Properties'!$C$46</f>
        <v>PFSA</v>
      </c>
      <c r="J813" s="2" t="str">
        <f>'PFAS Properties'!$D$46</f>
        <v>C8HF17O3S</v>
      </c>
      <c r="K813" s="25">
        <f>'PFAS Properties'!$P$46</f>
        <v>499.93739999999997</v>
      </c>
      <c r="L813" s="2">
        <f>'PFAS Properties'!$X$46</f>
        <v>0.1</v>
      </c>
      <c r="M813" s="2" t="str">
        <f>'PFAS Properties'!$Y$46</f>
        <v>-</v>
      </c>
      <c r="N813" s="33">
        <v>0</v>
      </c>
      <c r="O813" s="33">
        <v>0</v>
      </c>
      <c r="P813" s="33">
        <v>0</v>
      </c>
      <c r="Q813" s="33">
        <f t="shared" si="342"/>
        <v>0.99998711767043957</v>
      </c>
      <c r="R813" s="33">
        <v>0</v>
      </c>
      <c r="S813" s="33">
        <f t="shared" si="343"/>
        <v>1.2882329560378492E-5</v>
      </c>
      <c r="T813" s="8">
        <f t="shared" si="365"/>
        <v>1</v>
      </c>
      <c r="U813" s="33">
        <f t="shared" si="346"/>
        <v>0</v>
      </c>
      <c r="V813" s="33">
        <f t="shared" si="347"/>
        <v>-0.99998711767043957</v>
      </c>
      <c r="W813" s="33">
        <f t="shared" si="348"/>
        <v>498.93741288232951</v>
      </c>
      <c r="X813" s="33">
        <v>96485</v>
      </c>
      <c r="Y813" s="16">
        <f t="shared" si="349"/>
        <v>-193.37847705396931</v>
      </c>
      <c r="Z813" s="16">
        <v>8</v>
      </c>
      <c r="AA813" s="16">
        <v>17</v>
      </c>
      <c r="AB813" s="8">
        <f t="shared" si="350"/>
        <v>0.29721362229102166</v>
      </c>
      <c r="AC813" s="16">
        <f t="shared" si="337"/>
        <v>64.60808893273439</v>
      </c>
      <c r="AD813" s="20">
        <f>'PFAS Properties'!$W$46</f>
        <v>8</v>
      </c>
      <c r="AE813" s="8">
        <f>'PFAS Properties'!$S$46</f>
        <v>2.0166155475571776</v>
      </c>
      <c r="AF813" s="15">
        <f>'PFAS Properties'!$V$46</f>
        <v>5</v>
      </c>
      <c r="AG813" s="24">
        <v>4.99</v>
      </c>
      <c r="AH813" s="2" t="s">
        <v>833</v>
      </c>
      <c r="AI813" s="15">
        <f>18.35*2*55.85/159.69</f>
        <v>12.835462458513371</v>
      </c>
      <c r="AJ813" s="15">
        <f t="shared" si="368"/>
        <v>229.84085340699028</v>
      </c>
      <c r="AK813" s="8">
        <f t="shared" si="369"/>
        <v>1.2835462458513371</v>
      </c>
      <c r="AL813" s="8">
        <f>0.69*2*26.98/101.96</f>
        <v>0.36516673205178501</v>
      </c>
      <c r="AM813" s="15">
        <f t="shared" si="370"/>
        <v>13.534719497842291</v>
      </c>
      <c r="AN813" s="8">
        <f t="shared" si="371"/>
        <v>3.6516673205178499E-2</v>
      </c>
      <c r="AO813" s="15" t="s">
        <v>93</v>
      </c>
      <c r="AP813" s="16">
        <v>33.299999999999997</v>
      </c>
      <c r="AQ813" s="13" t="s">
        <v>661</v>
      </c>
      <c r="AR813" s="2">
        <v>51</v>
      </c>
      <c r="AS813" s="2">
        <v>29</v>
      </c>
      <c r="AT813" s="2">
        <v>20</v>
      </c>
      <c r="AU813" s="13" t="s">
        <v>661</v>
      </c>
      <c r="AV813" s="16">
        <f t="shared" si="363"/>
        <v>100</v>
      </c>
      <c r="AW813" s="20">
        <v>0.99</v>
      </c>
      <c r="AX813" s="8">
        <f t="shared" si="345"/>
        <v>9.8999999999999991E-3</v>
      </c>
      <c r="AY813" s="12" t="s">
        <v>127</v>
      </c>
      <c r="AZ813" s="16">
        <f t="shared" si="372"/>
        <v>10</v>
      </c>
      <c r="BA813" s="16" t="s">
        <v>55</v>
      </c>
      <c r="BB813" s="16">
        <v>10</v>
      </c>
      <c r="BC813" s="16">
        <v>1000</v>
      </c>
      <c r="BD813" s="24">
        <v>29</v>
      </c>
      <c r="BE813" s="16">
        <f t="shared" si="338"/>
        <v>2929.2929292929298</v>
      </c>
      <c r="BF813" s="16">
        <f t="shared" si="354"/>
        <v>3.4667628033014064</v>
      </c>
      <c r="BG813" s="8">
        <f t="shared" si="367"/>
        <v>1.4623979978989561</v>
      </c>
      <c r="BH813" s="13" t="s">
        <v>861</v>
      </c>
      <c r="BI813" s="12"/>
      <c r="BJ813" s="13"/>
      <c r="BK813" s="15"/>
      <c r="BL813" s="8"/>
      <c r="BM813" s="18"/>
      <c r="BN813" s="8"/>
      <c r="BO813" s="24"/>
    </row>
    <row r="814" spans="1:67" s="14" customFormat="1" x14ac:dyDescent="0.3">
      <c r="A814" s="20">
        <v>831</v>
      </c>
      <c r="B814" s="2" t="s">
        <v>261</v>
      </c>
      <c r="C814" s="2">
        <v>2017</v>
      </c>
      <c r="D814" s="2" t="s">
        <v>229</v>
      </c>
      <c r="E814" s="22" t="s">
        <v>813</v>
      </c>
      <c r="F814" s="20" t="s">
        <v>29</v>
      </c>
      <c r="G814" s="2" t="s">
        <v>159</v>
      </c>
      <c r="H814" s="2" t="str">
        <f>'PFAS Properties'!$B$46</f>
        <v>PFOS</v>
      </c>
      <c r="I814" s="2" t="str">
        <f>'PFAS Properties'!$C$46</f>
        <v>PFSA</v>
      </c>
      <c r="J814" s="2" t="str">
        <f>'PFAS Properties'!$D$46</f>
        <v>C8HF17O3S</v>
      </c>
      <c r="K814" s="25">
        <f>'PFAS Properties'!$P$46</f>
        <v>499.93739999999997</v>
      </c>
      <c r="L814" s="2">
        <f>'PFAS Properties'!$X$46</f>
        <v>0.1</v>
      </c>
      <c r="M814" s="2" t="str">
        <f>'PFAS Properties'!$Y$46</f>
        <v>-</v>
      </c>
      <c r="N814" s="33">
        <v>0</v>
      </c>
      <c r="O814" s="33">
        <v>0</v>
      </c>
      <c r="P814" s="33">
        <v>0</v>
      </c>
      <c r="Q814" s="33">
        <f t="shared" si="342"/>
        <v>0.99999563486073217</v>
      </c>
      <c r="R814" s="33">
        <v>0</v>
      </c>
      <c r="S814" s="33">
        <f t="shared" si="343"/>
        <v>4.3651392678776466E-6</v>
      </c>
      <c r="T814" s="8">
        <f t="shared" si="365"/>
        <v>1</v>
      </c>
      <c r="U814" s="33">
        <f t="shared" si="346"/>
        <v>0</v>
      </c>
      <c r="V814" s="33">
        <f t="shared" si="347"/>
        <v>-0.99999563486073217</v>
      </c>
      <c r="W814" s="33">
        <f t="shared" si="348"/>
        <v>498.93740436513929</v>
      </c>
      <c r="X814" s="33">
        <v>96485</v>
      </c>
      <c r="Y814" s="16">
        <f t="shared" si="349"/>
        <v>-193.38012741760102</v>
      </c>
      <c r="Z814" s="16">
        <v>8</v>
      </c>
      <c r="AA814" s="16">
        <v>17</v>
      </c>
      <c r="AB814" s="8">
        <f t="shared" si="350"/>
        <v>0.29721362229102166</v>
      </c>
      <c r="AC814" s="16">
        <f t="shared" si="337"/>
        <v>64.60808893273439</v>
      </c>
      <c r="AD814" s="20">
        <f>'PFAS Properties'!$W$46</f>
        <v>8</v>
      </c>
      <c r="AE814" s="8">
        <f>'PFAS Properties'!$S$46</f>
        <v>2.0166155475571776</v>
      </c>
      <c r="AF814" s="15">
        <f>'PFAS Properties'!$V$46</f>
        <v>5</v>
      </c>
      <c r="AG814" s="24">
        <v>5.46</v>
      </c>
      <c r="AH814" s="2" t="s">
        <v>833</v>
      </c>
      <c r="AI814" s="15">
        <f>49.58*2*55.85/159.69</f>
        <v>34.680230446490079</v>
      </c>
      <c r="AJ814" s="15">
        <f t="shared" si="368"/>
        <v>621.00869274760646</v>
      </c>
      <c r="AK814" s="8">
        <f t="shared" si="369"/>
        <v>3.4680230446490077</v>
      </c>
      <c r="AL814" s="8">
        <f>6.26*2*26.98/101.96</f>
        <v>3.3129619458611224</v>
      </c>
      <c r="AM814" s="15">
        <f t="shared" si="370"/>
        <v>122.7932522557866</v>
      </c>
      <c r="AN814" s="8">
        <f t="shared" si="371"/>
        <v>0.33129619458611226</v>
      </c>
      <c r="AO814" s="15" t="s">
        <v>93</v>
      </c>
      <c r="AP814" s="16">
        <v>5.58</v>
      </c>
      <c r="AQ814" s="13" t="s">
        <v>661</v>
      </c>
      <c r="AR814" s="2">
        <v>14</v>
      </c>
      <c r="AS814" s="2">
        <v>76</v>
      </c>
      <c r="AT814" s="2">
        <v>10</v>
      </c>
      <c r="AU814" s="13" t="s">
        <v>661</v>
      </c>
      <c r="AV814" s="16">
        <f t="shared" si="363"/>
        <v>100</v>
      </c>
      <c r="AW814" s="20">
        <v>1.27</v>
      </c>
      <c r="AX814" s="8">
        <f t="shared" si="345"/>
        <v>1.2699999999999999E-2</v>
      </c>
      <c r="AY814" s="12" t="s">
        <v>127</v>
      </c>
      <c r="AZ814" s="16">
        <f t="shared" si="372"/>
        <v>10</v>
      </c>
      <c r="BA814" s="16" t="s">
        <v>55</v>
      </c>
      <c r="BB814" s="16">
        <v>10</v>
      </c>
      <c r="BC814" s="16">
        <v>1000</v>
      </c>
      <c r="BD814" s="24">
        <v>48</v>
      </c>
      <c r="BE814" s="16">
        <f t="shared" si="338"/>
        <v>3779.5275590551182</v>
      </c>
      <c r="BF814" s="16">
        <f t="shared" si="354"/>
        <v>3.5774375164196304</v>
      </c>
      <c r="BG814" s="8">
        <f t="shared" si="367"/>
        <v>1.6812412373755872</v>
      </c>
      <c r="BH814" s="13" t="s">
        <v>861</v>
      </c>
      <c r="BI814" s="12"/>
      <c r="BJ814" s="13"/>
      <c r="BK814" s="15"/>
      <c r="BL814" s="8"/>
      <c r="BM814" s="18"/>
      <c r="BN814" s="8"/>
      <c r="BO814" s="24"/>
    </row>
    <row r="815" spans="1:67" s="14" customFormat="1" x14ac:dyDescent="0.3">
      <c r="A815" s="20">
        <v>832</v>
      </c>
      <c r="B815" s="2" t="s">
        <v>261</v>
      </c>
      <c r="C815" s="2">
        <v>2017</v>
      </c>
      <c r="D815" s="2" t="s">
        <v>229</v>
      </c>
      <c r="E815" s="10" t="s">
        <v>813</v>
      </c>
      <c r="F815" s="20" t="s">
        <v>29</v>
      </c>
      <c r="G815" s="2" t="s">
        <v>160</v>
      </c>
      <c r="H815" s="2" t="str">
        <f>'PFAS Properties'!$B$46</f>
        <v>PFOS</v>
      </c>
      <c r="I815" s="2" t="str">
        <f>'PFAS Properties'!$C$46</f>
        <v>PFSA</v>
      </c>
      <c r="J815" s="2" t="str">
        <f>'PFAS Properties'!$D$46</f>
        <v>C8HF17O3S</v>
      </c>
      <c r="K815" s="25">
        <f>'PFAS Properties'!$P$46</f>
        <v>499.93739999999997</v>
      </c>
      <c r="L815" s="2">
        <f>'PFAS Properties'!$X$46</f>
        <v>0.1</v>
      </c>
      <c r="M815" s="2" t="str">
        <f>'PFAS Properties'!$Y$46</f>
        <v>-</v>
      </c>
      <c r="N815" s="33">
        <v>0</v>
      </c>
      <c r="O815" s="33">
        <v>0</v>
      </c>
      <c r="P815" s="33">
        <v>0</v>
      </c>
      <c r="Q815" s="33">
        <f t="shared" si="342"/>
        <v>0.99998050193418442</v>
      </c>
      <c r="R815" s="33">
        <v>0</v>
      </c>
      <c r="S815" s="33">
        <f t="shared" si="343"/>
        <v>1.9498065815597068E-5</v>
      </c>
      <c r="T815" s="8">
        <f t="shared" si="365"/>
        <v>1</v>
      </c>
      <c r="U815" s="33">
        <f t="shared" si="346"/>
        <v>0</v>
      </c>
      <c r="V815" s="33">
        <f t="shared" si="347"/>
        <v>-0.99998050193418442</v>
      </c>
      <c r="W815" s="33">
        <f t="shared" si="348"/>
        <v>498.93741949806582</v>
      </c>
      <c r="X815" s="33">
        <v>96485</v>
      </c>
      <c r="Y815" s="16">
        <f t="shared" si="349"/>
        <v>-193.37719513237235</v>
      </c>
      <c r="Z815" s="16">
        <v>8</v>
      </c>
      <c r="AA815" s="16">
        <v>17</v>
      </c>
      <c r="AB815" s="8">
        <f t="shared" si="350"/>
        <v>0.29721362229102166</v>
      </c>
      <c r="AC815" s="16">
        <f t="shared" si="337"/>
        <v>64.60808893273439</v>
      </c>
      <c r="AD815" s="20">
        <f>'PFAS Properties'!$W$46</f>
        <v>8</v>
      </c>
      <c r="AE815" s="8">
        <f>'PFAS Properties'!$S$46</f>
        <v>2.0166155475571776</v>
      </c>
      <c r="AF815" s="15">
        <f>'PFAS Properties'!$V$46</f>
        <v>5</v>
      </c>
      <c r="AG815" s="24">
        <v>4.8099999999999996</v>
      </c>
      <c r="AH815" s="2" t="s">
        <v>833</v>
      </c>
      <c r="AI815" s="15">
        <f>62.6*2*55.85/159.69</f>
        <v>43.787463209969317</v>
      </c>
      <c r="AJ815" s="15">
        <f t="shared" si="368"/>
        <v>784.0892328761629</v>
      </c>
      <c r="AK815" s="8">
        <f t="shared" si="369"/>
        <v>4.3787463209969317</v>
      </c>
      <c r="AL815" s="8">
        <f>3.78*2*26.98/101.96</f>
        <v>2.0004786190663006</v>
      </c>
      <c r="AM815" s="15">
        <f t="shared" si="370"/>
        <v>74.146724205570806</v>
      </c>
      <c r="AN815" s="8">
        <f t="shared" si="371"/>
        <v>0.20004786190663007</v>
      </c>
      <c r="AO815" s="15" t="s">
        <v>93</v>
      </c>
      <c r="AP815" s="16">
        <v>16.899999999999999</v>
      </c>
      <c r="AQ815" s="13" t="s">
        <v>661</v>
      </c>
      <c r="AR815" s="2">
        <v>47</v>
      </c>
      <c r="AS815" s="2">
        <v>16</v>
      </c>
      <c r="AT815" s="2">
        <v>37</v>
      </c>
      <c r="AU815" s="13" t="s">
        <v>661</v>
      </c>
      <c r="AV815" s="16">
        <f t="shared" si="363"/>
        <v>100</v>
      </c>
      <c r="AW815" s="20">
        <v>1.46</v>
      </c>
      <c r="AX815" s="8">
        <f t="shared" si="345"/>
        <v>1.46E-2</v>
      </c>
      <c r="AY815" s="12" t="s">
        <v>127</v>
      </c>
      <c r="AZ815" s="16">
        <f t="shared" si="372"/>
        <v>10</v>
      </c>
      <c r="BA815" s="16" t="s">
        <v>55</v>
      </c>
      <c r="BB815" s="16">
        <v>10</v>
      </c>
      <c r="BC815" s="16">
        <v>1000</v>
      </c>
      <c r="BD815" s="24">
        <v>14</v>
      </c>
      <c r="BE815" s="16">
        <f t="shared" si="338"/>
        <v>958.90410958904113</v>
      </c>
      <c r="BF815" s="16">
        <f t="shared" si="354"/>
        <v>2.981775179893801</v>
      </c>
      <c r="BG815" s="8">
        <f t="shared" si="367"/>
        <v>1.146128035678238</v>
      </c>
      <c r="BH815" s="13" t="s">
        <v>861</v>
      </c>
      <c r="BI815" s="12"/>
      <c r="BJ815" s="13"/>
      <c r="BK815" s="15"/>
      <c r="BL815" s="8"/>
      <c r="BM815" s="18"/>
      <c r="BN815" s="8"/>
      <c r="BO815" s="24"/>
    </row>
    <row r="816" spans="1:67" s="14" customFormat="1" x14ac:dyDescent="0.3">
      <c r="A816" s="20">
        <v>833</v>
      </c>
      <c r="B816" s="2" t="s">
        <v>261</v>
      </c>
      <c r="C816" s="2">
        <v>2017</v>
      </c>
      <c r="D816" s="2" t="s">
        <v>229</v>
      </c>
      <c r="E816" s="10" t="s">
        <v>813</v>
      </c>
      <c r="F816" s="20" t="s">
        <v>29</v>
      </c>
      <c r="G816" s="2" t="s">
        <v>161</v>
      </c>
      <c r="H816" s="2" t="str">
        <f>'PFAS Properties'!$B$46</f>
        <v>PFOS</v>
      </c>
      <c r="I816" s="2" t="str">
        <f>'PFAS Properties'!$C$46</f>
        <v>PFSA</v>
      </c>
      <c r="J816" s="2" t="str">
        <f>'PFAS Properties'!$D$46</f>
        <v>C8HF17O3S</v>
      </c>
      <c r="K816" s="25">
        <f>'PFAS Properties'!$P$46</f>
        <v>499.93739999999997</v>
      </c>
      <c r="L816" s="2">
        <f>'PFAS Properties'!$X$46</f>
        <v>0.1</v>
      </c>
      <c r="M816" s="2" t="str">
        <f>'PFAS Properties'!$Y$46</f>
        <v>-</v>
      </c>
      <c r="N816" s="33">
        <v>0</v>
      </c>
      <c r="O816" s="33">
        <v>0</v>
      </c>
      <c r="P816" s="33">
        <v>0</v>
      </c>
      <c r="Q816" s="33">
        <f t="shared" si="342"/>
        <v>0.99999998415106828</v>
      </c>
      <c r="R816" s="33">
        <v>0</v>
      </c>
      <c r="S816" s="33">
        <f t="shared" si="343"/>
        <v>1.5848931673422437E-8</v>
      </c>
      <c r="T816" s="8">
        <f t="shared" si="365"/>
        <v>1</v>
      </c>
      <c r="U816" s="33">
        <f t="shared" si="346"/>
        <v>0</v>
      </c>
      <c r="V816" s="33">
        <f t="shared" si="347"/>
        <v>-0.99999998415106828</v>
      </c>
      <c r="W816" s="33">
        <f t="shared" si="348"/>
        <v>498.93740001584888</v>
      </c>
      <c r="X816" s="33">
        <v>96485</v>
      </c>
      <c r="Y816" s="16">
        <f t="shared" si="349"/>
        <v>-193.38097017331424</v>
      </c>
      <c r="Z816" s="16">
        <v>8</v>
      </c>
      <c r="AA816" s="16">
        <v>17</v>
      </c>
      <c r="AB816" s="8">
        <f t="shared" si="350"/>
        <v>0.29721362229102166</v>
      </c>
      <c r="AC816" s="16">
        <f t="shared" ref="AC816:AC878" si="373">((AA816*19)/K816)*100</f>
        <v>64.60808893273439</v>
      </c>
      <c r="AD816" s="20">
        <f>'PFAS Properties'!$W$46</f>
        <v>8</v>
      </c>
      <c r="AE816" s="8">
        <f>'PFAS Properties'!$S$46</f>
        <v>2.0166155475571776</v>
      </c>
      <c r="AF816" s="15">
        <f>'PFAS Properties'!$V$46</f>
        <v>5</v>
      </c>
      <c r="AG816" s="24">
        <v>7.9</v>
      </c>
      <c r="AH816" s="2" t="s">
        <v>833</v>
      </c>
      <c r="AI816" s="15">
        <f>8.44*2*55.85/159.69</f>
        <v>5.9036132506731791</v>
      </c>
      <c r="AJ816" s="15">
        <f t="shared" si="368"/>
        <v>105.71426718010886</v>
      </c>
      <c r="AK816" s="8">
        <f t="shared" si="369"/>
        <v>0.59036132506731787</v>
      </c>
      <c r="AL816" s="8">
        <f>2.19*2*26.98/101.96</f>
        <v>1.1590074539034916</v>
      </c>
      <c r="AM816" s="15">
        <f t="shared" si="370"/>
        <v>42.958022754021179</v>
      </c>
      <c r="AN816" s="8">
        <f t="shared" si="371"/>
        <v>0.11590074539034916</v>
      </c>
      <c r="AO816" s="15" t="s">
        <v>93</v>
      </c>
      <c r="AP816" s="16">
        <v>10.7</v>
      </c>
      <c r="AQ816" s="13" t="s">
        <v>661</v>
      </c>
      <c r="AR816" s="2">
        <v>16</v>
      </c>
      <c r="AS816" s="2">
        <v>50</v>
      </c>
      <c r="AT816" s="2">
        <v>34</v>
      </c>
      <c r="AU816" s="13" t="s">
        <v>661</v>
      </c>
      <c r="AV816" s="16">
        <f t="shared" ref="AV816:AV847" si="374">SUM(AR816:AT816)</f>
        <v>100</v>
      </c>
      <c r="AW816" s="20">
        <v>2.25</v>
      </c>
      <c r="AX816" s="8">
        <f t="shared" si="345"/>
        <v>2.2499999999999999E-2</v>
      </c>
      <c r="AY816" s="12" t="s">
        <v>127</v>
      </c>
      <c r="AZ816" s="16">
        <f t="shared" si="372"/>
        <v>10</v>
      </c>
      <c r="BA816" s="16" t="s">
        <v>55</v>
      </c>
      <c r="BB816" s="16">
        <v>10</v>
      </c>
      <c r="BC816" s="16">
        <v>1000</v>
      </c>
      <c r="BD816" s="24">
        <v>66</v>
      </c>
      <c r="BE816" s="16">
        <f t="shared" ref="BE816:BE878" si="375">BD816/AX816</f>
        <v>2933.3333333333335</v>
      </c>
      <c r="BF816" s="16">
        <f t="shared" si="354"/>
        <v>3.4673614174305061</v>
      </c>
      <c r="BG816" s="8">
        <f t="shared" si="367"/>
        <v>1.8195439355418688</v>
      </c>
      <c r="BH816" s="13" t="s">
        <v>861</v>
      </c>
      <c r="BI816" s="12"/>
      <c r="BJ816" s="13"/>
      <c r="BK816" s="15"/>
      <c r="BL816" s="8"/>
      <c r="BM816" s="18"/>
      <c r="BN816" s="8"/>
      <c r="BO816" s="24"/>
    </row>
    <row r="817" spans="1:67" s="14" customFormat="1" x14ac:dyDescent="0.3">
      <c r="A817" s="20">
        <v>834</v>
      </c>
      <c r="B817" s="2" t="s">
        <v>261</v>
      </c>
      <c r="C817" s="2">
        <v>2017</v>
      </c>
      <c r="D817" s="2" t="s">
        <v>229</v>
      </c>
      <c r="E817" s="10" t="s">
        <v>813</v>
      </c>
      <c r="F817" s="20" t="s">
        <v>29</v>
      </c>
      <c r="G817" s="2" t="s">
        <v>162</v>
      </c>
      <c r="H817" s="2" t="str">
        <f>'PFAS Properties'!$B$46</f>
        <v>PFOS</v>
      </c>
      <c r="I817" s="2" t="str">
        <f>'PFAS Properties'!$C$46</f>
        <v>PFSA</v>
      </c>
      <c r="J817" s="2" t="str">
        <f>'PFAS Properties'!$D$46</f>
        <v>C8HF17O3S</v>
      </c>
      <c r="K817" s="25">
        <f>'PFAS Properties'!$P$46</f>
        <v>499.93739999999997</v>
      </c>
      <c r="L817" s="2">
        <f>'PFAS Properties'!$X$46</f>
        <v>0.1</v>
      </c>
      <c r="M817" s="2" t="str">
        <f>'PFAS Properties'!$Y$46</f>
        <v>-</v>
      </c>
      <c r="N817" s="33">
        <v>0</v>
      </c>
      <c r="O817" s="33">
        <v>0</v>
      </c>
      <c r="P817" s="33">
        <v>0</v>
      </c>
      <c r="Q817" s="33">
        <f t="shared" si="342"/>
        <v>0.99993834430147344</v>
      </c>
      <c r="R817" s="33">
        <v>0</v>
      </c>
      <c r="S817" s="33">
        <f t="shared" si="343"/>
        <v>6.1655698526593398E-5</v>
      </c>
      <c r="T817" s="8">
        <f t="shared" si="365"/>
        <v>1</v>
      </c>
      <c r="U817" s="33">
        <f t="shared" si="346"/>
        <v>0</v>
      </c>
      <c r="V817" s="33">
        <f t="shared" si="347"/>
        <v>-0.99993834430147344</v>
      </c>
      <c r="W817" s="33">
        <f t="shared" si="348"/>
        <v>498.93746165569854</v>
      </c>
      <c r="X817" s="33">
        <v>96485</v>
      </c>
      <c r="Y817" s="16">
        <f t="shared" si="349"/>
        <v>-193.36902630996445</v>
      </c>
      <c r="Z817" s="16">
        <v>8</v>
      </c>
      <c r="AA817" s="16">
        <v>17</v>
      </c>
      <c r="AB817" s="8">
        <f t="shared" si="350"/>
        <v>0.29721362229102166</v>
      </c>
      <c r="AC817" s="16">
        <f t="shared" si="373"/>
        <v>64.60808893273439</v>
      </c>
      <c r="AD817" s="20">
        <f>'PFAS Properties'!$W$46</f>
        <v>8</v>
      </c>
      <c r="AE817" s="8">
        <f>'PFAS Properties'!$S$46</f>
        <v>2.0166155475571776</v>
      </c>
      <c r="AF817" s="15">
        <f>'PFAS Properties'!$V$46</f>
        <v>5</v>
      </c>
      <c r="AG817" s="24">
        <v>4.3099999999999996</v>
      </c>
      <c r="AH817" s="2" t="s">
        <v>833</v>
      </c>
      <c r="AI817" s="15">
        <f>80.66*2*55.85/159.69</f>
        <v>56.420076398021166</v>
      </c>
      <c r="AJ817" s="15">
        <f t="shared" si="368"/>
        <v>1010.2977240222251</v>
      </c>
      <c r="AK817" s="8">
        <f t="shared" si="369"/>
        <v>5.6420076398021166</v>
      </c>
      <c r="AL817" s="8">
        <f>17.75*2*26.98/101.96</f>
        <v>9.3937818752451943</v>
      </c>
      <c r="AM817" s="15">
        <f t="shared" si="370"/>
        <v>348.17575519811692</v>
      </c>
      <c r="AN817" s="8">
        <f t="shared" si="371"/>
        <v>0.9393781875245194</v>
      </c>
      <c r="AO817" s="15" t="s">
        <v>93</v>
      </c>
      <c r="AP817" s="16">
        <v>7.63</v>
      </c>
      <c r="AQ817" s="16" t="s">
        <v>661</v>
      </c>
      <c r="AR817" s="2">
        <v>36</v>
      </c>
      <c r="AS817" s="2">
        <v>33</v>
      </c>
      <c r="AT817" s="2">
        <v>31</v>
      </c>
      <c r="AU817" s="16" t="s">
        <v>661</v>
      </c>
      <c r="AV817" s="16">
        <f t="shared" si="374"/>
        <v>100</v>
      </c>
      <c r="AW817" s="20">
        <v>2.71</v>
      </c>
      <c r="AX817" s="8">
        <f t="shared" si="345"/>
        <v>2.7099999999999999E-2</v>
      </c>
      <c r="AY817" s="12" t="s">
        <v>127</v>
      </c>
      <c r="AZ817" s="16">
        <f t="shared" si="372"/>
        <v>10</v>
      </c>
      <c r="BA817" s="16" t="s">
        <v>55</v>
      </c>
      <c r="BB817" s="16">
        <v>10</v>
      </c>
      <c r="BC817" s="16">
        <v>1000</v>
      </c>
      <c r="BD817" s="24">
        <v>63</v>
      </c>
      <c r="BE817" s="16">
        <f t="shared" si="375"/>
        <v>2324.7232472324722</v>
      </c>
      <c r="BF817" s="16">
        <f t="shared" si="354"/>
        <v>3.3663712585791759</v>
      </c>
      <c r="BG817" s="8">
        <f t="shared" si="367"/>
        <v>1.7993405494535817</v>
      </c>
      <c r="BH817" s="13" t="s">
        <v>861</v>
      </c>
      <c r="BI817" s="12"/>
      <c r="BJ817" s="13"/>
      <c r="BK817" s="15"/>
      <c r="BL817" s="8"/>
      <c r="BM817" s="18"/>
      <c r="BN817" s="8"/>
      <c r="BO817" s="24"/>
    </row>
    <row r="818" spans="1:67" s="14" customFormat="1" x14ac:dyDescent="0.3">
      <c r="A818" s="20">
        <v>835</v>
      </c>
      <c r="B818" s="2" t="s">
        <v>260</v>
      </c>
      <c r="C818" s="2">
        <v>2013</v>
      </c>
      <c r="D818" s="2" t="s">
        <v>199</v>
      </c>
      <c r="E818" s="10" t="s">
        <v>814</v>
      </c>
      <c r="F818" s="20" t="s">
        <v>63</v>
      </c>
      <c r="G818" s="2" t="s">
        <v>55</v>
      </c>
      <c r="H818" s="2" t="str">
        <f>'PFAS Properties'!$B$46</f>
        <v>PFOS</v>
      </c>
      <c r="I818" s="2" t="str">
        <f>'PFAS Properties'!$C$46</f>
        <v>PFSA</v>
      </c>
      <c r="J818" s="2" t="str">
        <f>'PFAS Properties'!$D$46</f>
        <v>C8HF17O3S</v>
      </c>
      <c r="K818" s="25">
        <f>'PFAS Properties'!$P$46</f>
        <v>499.93739999999997</v>
      </c>
      <c r="L818" s="2">
        <f>'PFAS Properties'!$X$46</f>
        <v>0.1</v>
      </c>
      <c r="M818" s="2" t="str">
        <f>'PFAS Properties'!$Y$46</f>
        <v>-</v>
      </c>
      <c r="N818" s="33">
        <v>0</v>
      </c>
      <c r="O818" s="33">
        <v>0</v>
      </c>
      <c r="P818" s="33">
        <v>0</v>
      </c>
      <c r="Q818" s="33">
        <f t="shared" si="342"/>
        <v>0.99999874107617315</v>
      </c>
      <c r="R818" s="33">
        <v>0</v>
      </c>
      <c r="S818" s="33">
        <f t="shared" si="343"/>
        <v>1.2589238269029671E-6</v>
      </c>
      <c r="T818" s="8">
        <f t="shared" si="365"/>
        <v>1</v>
      </c>
      <c r="U818" s="33">
        <f t="shared" si="346"/>
        <v>0</v>
      </c>
      <c r="V818" s="33">
        <f t="shared" si="347"/>
        <v>-0.99999874107617315</v>
      </c>
      <c r="W818" s="33">
        <f t="shared" si="348"/>
        <v>498.93740125892379</v>
      </c>
      <c r="X818" s="33">
        <v>96485</v>
      </c>
      <c r="Y818" s="16">
        <f t="shared" si="349"/>
        <v>-193.38072930448382</v>
      </c>
      <c r="Z818" s="16">
        <v>8</v>
      </c>
      <c r="AA818" s="16">
        <v>17</v>
      </c>
      <c r="AB818" s="8">
        <f t="shared" si="350"/>
        <v>0.29721362229102166</v>
      </c>
      <c r="AC818" s="16">
        <f t="shared" si="373"/>
        <v>64.60808893273439</v>
      </c>
      <c r="AD818" s="20">
        <f>'PFAS Properties'!$W$46</f>
        <v>8</v>
      </c>
      <c r="AE818" s="8">
        <f>'PFAS Properties'!$S$46</f>
        <v>2.0166155475571776</v>
      </c>
      <c r="AF818" s="15">
        <f>'PFAS Properties'!$V$46</f>
        <v>5</v>
      </c>
      <c r="AG818" s="24">
        <v>6</v>
      </c>
      <c r="AH818" s="1" t="s">
        <v>363</v>
      </c>
      <c r="AI818" s="1" t="s">
        <v>363</v>
      </c>
      <c r="AJ818" s="1" t="s">
        <v>363</v>
      </c>
      <c r="AK818" s="1" t="s">
        <v>363</v>
      </c>
      <c r="AL818" s="1" t="s">
        <v>363</v>
      </c>
      <c r="AM818" s="1" t="s">
        <v>363</v>
      </c>
      <c r="AN818" s="1" t="s">
        <v>363</v>
      </c>
      <c r="AO818" s="1" t="s">
        <v>363</v>
      </c>
      <c r="AP818" s="72">
        <v>14.3477</v>
      </c>
      <c r="AQ818" s="70" t="s">
        <v>752</v>
      </c>
      <c r="AR818" s="81">
        <v>31.301833330000001</v>
      </c>
      <c r="AS818" s="81">
        <v>42.52566667</v>
      </c>
      <c r="AT818" s="81">
        <v>26.328499999999998</v>
      </c>
      <c r="AU818" s="70" t="s">
        <v>752</v>
      </c>
      <c r="AV818" s="16">
        <f t="shared" si="374"/>
        <v>100.15600000000001</v>
      </c>
      <c r="AW818" s="20">
        <f>((0.052)*100)/2</f>
        <v>2.6</v>
      </c>
      <c r="AX818" s="8">
        <f t="shared" si="345"/>
        <v>2.6000000000000002E-2</v>
      </c>
      <c r="AY818" s="8" t="s">
        <v>157</v>
      </c>
      <c r="AZ818" s="16">
        <f>1/0.02</f>
        <v>50</v>
      </c>
      <c r="BA818" s="16" t="s">
        <v>55</v>
      </c>
      <c r="BB818" s="16">
        <v>50</v>
      </c>
      <c r="BC818" s="16">
        <v>5000</v>
      </c>
      <c r="BD818" s="24">
        <f>10^1.2</f>
        <v>15.848931924611136</v>
      </c>
      <c r="BE818" s="16">
        <f t="shared" si="375"/>
        <v>609.57430479273592</v>
      </c>
      <c r="BF818" s="16">
        <f t="shared" si="354"/>
        <v>2.785026652029182</v>
      </c>
      <c r="BG818" s="8">
        <f t="shared" si="367"/>
        <v>1.2</v>
      </c>
      <c r="BH818" s="13" t="s">
        <v>862</v>
      </c>
      <c r="BI818" s="13"/>
      <c r="BJ818" s="13"/>
      <c r="BK818" s="13"/>
      <c r="BL818" s="13"/>
      <c r="BM818" s="13"/>
      <c r="BN818" s="13"/>
      <c r="BO818" s="13"/>
    </row>
    <row r="819" spans="1:67" s="14" customFormat="1" x14ac:dyDescent="0.3">
      <c r="A819" s="20">
        <v>836</v>
      </c>
      <c r="B819" s="2" t="s">
        <v>262</v>
      </c>
      <c r="C819" s="2">
        <v>2009</v>
      </c>
      <c r="D819" s="2" t="s">
        <v>205</v>
      </c>
      <c r="E819" s="10" t="s">
        <v>263</v>
      </c>
      <c r="F819" s="20" t="s">
        <v>63</v>
      </c>
      <c r="G819" s="2" t="s">
        <v>55</v>
      </c>
      <c r="H819" s="2" t="str">
        <f>'PFAS Properties'!$B$46</f>
        <v>PFOS</v>
      </c>
      <c r="I819" s="2" t="str">
        <f>'PFAS Properties'!$C$46</f>
        <v>PFSA</v>
      </c>
      <c r="J819" s="2" t="str">
        <f>'PFAS Properties'!$D$46</f>
        <v>C8HF17O3S</v>
      </c>
      <c r="K819" s="25">
        <f>'PFAS Properties'!$P$46</f>
        <v>499.93739999999997</v>
      </c>
      <c r="L819" s="2">
        <f>'PFAS Properties'!$X$46</f>
        <v>0.1</v>
      </c>
      <c r="M819" s="2" t="str">
        <f>'PFAS Properties'!$Y$46</f>
        <v>-</v>
      </c>
      <c r="N819" s="33">
        <v>0</v>
      </c>
      <c r="O819" s="33">
        <v>0</v>
      </c>
      <c r="P819" s="33">
        <v>0</v>
      </c>
      <c r="Q819" s="33">
        <f t="shared" si="342"/>
        <v>0.99999991682362976</v>
      </c>
      <c r="R819" s="33">
        <v>0</v>
      </c>
      <c r="S819" s="33">
        <f t="shared" si="343"/>
        <v>8.3176370191957686E-8</v>
      </c>
      <c r="T819" s="8">
        <f t="shared" si="365"/>
        <v>1</v>
      </c>
      <c r="U819" s="33">
        <f t="shared" si="346"/>
        <v>0</v>
      </c>
      <c r="V819" s="33">
        <f t="shared" si="347"/>
        <v>-0.99999991682362976</v>
      </c>
      <c r="W819" s="33">
        <f t="shared" si="348"/>
        <v>498.93740008317633</v>
      </c>
      <c r="X819" s="33">
        <v>96485</v>
      </c>
      <c r="Y819" s="16">
        <f t="shared" si="349"/>
        <v>-193.38095712737351</v>
      </c>
      <c r="Z819" s="16">
        <v>8</v>
      </c>
      <c r="AA819" s="16">
        <v>17</v>
      </c>
      <c r="AB819" s="8">
        <f t="shared" si="350"/>
        <v>0.29721362229102166</v>
      </c>
      <c r="AC819" s="16">
        <f t="shared" si="373"/>
        <v>64.60808893273439</v>
      </c>
      <c r="AD819" s="20">
        <f>'PFAS Properties'!$W$46</f>
        <v>8</v>
      </c>
      <c r="AE819" s="8">
        <f>'PFAS Properties'!$S$46</f>
        <v>2.0166155475571776</v>
      </c>
      <c r="AF819" s="15">
        <f>'PFAS Properties'!$V$46</f>
        <v>5</v>
      </c>
      <c r="AG819" s="24">
        <v>7.18</v>
      </c>
      <c r="AH819" s="2" t="s">
        <v>163</v>
      </c>
      <c r="AI819" s="1" t="s">
        <v>363</v>
      </c>
      <c r="AJ819" s="1" t="s">
        <v>363</v>
      </c>
      <c r="AK819" s="1" t="s">
        <v>363</v>
      </c>
      <c r="AL819" s="1" t="s">
        <v>363</v>
      </c>
      <c r="AM819" s="1" t="s">
        <v>363</v>
      </c>
      <c r="AN819" s="1" t="s">
        <v>363</v>
      </c>
      <c r="AO819" s="1" t="s">
        <v>363</v>
      </c>
      <c r="AP819" s="15">
        <v>6.87</v>
      </c>
      <c r="AQ819" s="16" t="s">
        <v>661</v>
      </c>
      <c r="AR819" s="81">
        <v>41.137099999999997</v>
      </c>
      <c r="AS819" s="81">
        <v>37.024599999999992</v>
      </c>
      <c r="AT819" s="81">
        <v>21.452400000000001</v>
      </c>
      <c r="AU819" s="70" t="s">
        <v>752</v>
      </c>
      <c r="AV819" s="16">
        <f t="shared" si="374"/>
        <v>99.614099999999993</v>
      </c>
      <c r="AW819" s="20">
        <v>0.75</v>
      </c>
      <c r="AX819" s="8">
        <f t="shared" si="345"/>
        <v>7.4999999999999997E-3</v>
      </c>
      <c r="AY819" s="12" t="s">
        <v>87</v>
      </c>
      <c r="AZ819" s="16">
        <f>3/0.045</f>
        <v>66.666666666666671</v>
      </c>
      <c r="BA819" s="16" t="s">
        <v>55</v>
      </c>
      <c r="BB819" s="16">
        <v>100</v>
      </c>
      <c r="BC819" s="16">
        <v>1000</v>
      </c>
      <c r="BD819" s="24">
        <v>17.98</v>
      </c>
      <c r="BE819" s="16">
        <f t="shared" si="375"/>
        <v>2397.3333333333335</v>
      </c>
      <c r="BF819" s="16">
        <f t="shared" si="354"/>
        <v>3.3797284240055099</v>
      </c>
      <c r="BG819" s="8">
        <f t="shared" si="367"/>
        <v>1.25478968739721</v>
      </c>
      <c r="BH819" s="13" t="s">
        <v>863</v>
      </c>
      <c r="BI819" s="13"/>
      <c r="BJ819" s="13"/>
      <c r="BK819" s="8"/>
      <c r="BL819" s="8"/>
      <c r="BM819" s="18"/>
      <c r="BN819" s="8"/>
      <c r="BO819" s="24"/>
    </row>
    <row r="820" spans="1:67" s="14" customFormat="1" x14ac:dyDescent="0.3">
      <c r="A820" s="20">
        <v>837</v>
      </c>
      <c r="B820" s="2" t="s">
        <v>264</v>
      </c>
      <c r="C820" s="2">
        <v>2019</v>
      </c>
      <c r="D820" s="2" t="s">
        <v>203</v>
      </c>
      <c r="E820" s="10" t="s">
        <v>265</v>
      </c>
      <c r="F820" s="20" t="s">
        <v>29</v>
      </c>
      <c r="G820" s="2" t="s">
        <v>164</v>
      </c>
      <c r="H820" s="2" t="str">
        <f>'PFAS Properties'!$B$46</f>
        <v>PFOS</v>
      </c>
      <c r="I820" s="2" t="str">
        <f>'PFAS Properties'!$C$46</f>
        <v>PFSA</v>
      </c>
      <c r="J820" s="2" t="str">
        <f>'PFAS Properties'!$D$46</f>
        <v>C8HF17O3S</v>
      </c>
      <c r="K820" s="25">
        <f>'PFAS Properties'!$P$46</f>
        <v>499.93739999999997</v>
      </c>
      <c r="L820" s="2">
        <f>'PFAS Properties'!$X$46</f>
        <v>0.1</v>
      </c>
      <c r="M820" s="2" t="str">
        <f>'PFAS Properties'!$Y$46</f>
        <v>-</v>
      </c>
      <c r="N820" s="33">
        <v>0</v>
      </c>
      <c r="O820" s="33">
        <v>0</v>
      </c>
      <c r="P820" s="33">
        <v>0</v>
      </c>
      <c r="Q820" s="33">
        <f t="shared" si="342"/>
        <v>0.99999997488113634</v>
      </c>
      <c r="R820" s="33">
        <v>0</v>
      </c>
      <c r="S820" s="33">
        <f t="shared" si="343"/>
        <v>2.5118863684138424E-8</v>
      </c>
      <c r="T820" s="8">
        <f t="shared" si="365"/>
        <v>1</v>
      </c>
      <c r="U820" s="33">
        <f t="shared" si="346"/>
        <v>0</v>
      </c>
      <c r="V820" s="33">
        <f t="shared" si="347"/>
        <v>-0.99999997488113634</v>
      </c>
      <c r="W820" s="33">
        <f t="shared" si="348"/>
        <v>498.93740002511885</v>
      </c>
      <c r="X820" s="33">
        <v>96485</v>
      </c>
      <c r="Y820" s="16">
        <f t="shared" si="349"/>
        <v>-193.38096837709284</v>
      </c>
      <c r="Z820" s="16">
        <v>8</v>
      </c>
      <c r="AA820" s="16">
        <v>17</v>
      </c>
      <c r="AB820" s="8">
        <f t="shared" si="350"/>
        <v>0.29721362229102166</v>
      </c>
      <c r="AC820" s="16">
        <f t="shared" si="373"/>
        <v>64.60808893273439</v>
      </c>
      <c r="AD820" s="20">
        <f>'PFAS Properties'!$W$46</f>
        <v>8</v>
      </c>
      <c r="AE820" s="8">
        <f>'PFAS Properties'!$S$46</f>
        <v>2.0166155475571776</v>
      </c>
      <c r="AF820" s="15">
        <f>'PFAS Properties'!$V$46</f>
        <v>5</v>
      </c>
      <c r="AG820" s="24">
        <v>7.7</v>
      </c>
      <c r="AH820" s="8" t="s">
        <v>363</v>
      </c>
      <c r="AI820" s="2">
        <v>1.7</v>
      </c>
      <c r="AJ820" s="15">
        <f>AI820*1000/55.845</f>
        <v>30.441400304414003</v>
      </c>
      <c r="AK820" s="8">
        <f>AI820/10</f>
        <v>0.16999999999999998</v>
      </c>
      <c r="AL820" s="2">
        <v>1.4</v>
      </c>
      <c r="AM820" s="15">
        <f>AL820*1000/26.98</f>
        <v>51.890289103039287</v>
      </c>
      <c r="AN820" s="8">
        <f>AL820/10</f>
        <v>0.13999999999999999</v>
      </c>
      <c r="AO820" s="15" t="s">
        <v>165</v>
      </c>
      <c r="AP820" s="72">
        <v>5.7535666666666669</v>
      </c>
      <c r="AQ820" s="70" t="s">
        <v>752</v>
      </c>
      <c r="AR820" s="2">
        <v>96</v>
      </c>
      <c r="AS820" s="2">
        <v>1.5</v>
      </c>
      <c r="AT820" s="2">
        <v>3</v>
      </c>
      <c r="AU820" s="13" t="s">
        <v>661</v>
      </c>
      <c r="AV820" s="16">
        <f t="shared" si="374"/>
        <v>100.5</v>
      </c>
      <c r="AW820" s="18">
        <v>0.1</v>
      </c>
      <c r="AX820" s="8">
        <f t="shared" si="345"/>
        <v>1E-3</v>
      </c>
      <c r="AY820" s="12" t="s">
        <v>166</v>
      </c>
      <c r="AZ820" s="16">
        <f>7.5/0.015</f>
        <v>500</v>
      </c>
      <c r="BA820" s="12" t="s">
        <v>55</v>
      </c>
      <c r="BB820" s="16">
        <v>10</v>
      </c>
      <c r="BC820" s="16">
        <v>10000</v>
      </c>
      <c r="BD820" s="24">
        <f>BO820</f>
        <v>2.5885627679954286</v>
      </c>
      <c r="BE820" s="16">
        <f t="shared" si="375"/>
        <v>2588.5627679954287</v>
      </c>
      <c r="BF820" s="16">
        <f t="shared" si="354"/>
        <v>3.4130587003063049</v>
      </c>
      <c r="BG820" s="8">
        <f t="shared" si="367"/>
        <v>0.41305870030630498</v>
      </c>
      <c r="BH820" s="13" t="s">
        <v>782</v>
      </c>
      <c r="BI820" s="13">
        <v>1.24</v>
      </c>
      <c r="BJ820" s="13" t="s">
        <v>329</v>
      </c>
      <c r="BK820" s="8">
        <v>0.81</v>
      </c>
      <c r="BL820" s="8">
        <f>BI820*(K820/1000)/((K820^BK820)/1000)</f>
        <v>4.0384587789488693</v>
      </c>
      <c r="BM820" s="18">
        <f>'PFAS Properties'!$U$46</f>
        <v>10.39</v>
      </c>
      <c r="BN820" s="8">
        <f>(BL820*(BM820^BK820))</f>
        <v>26.895167159472507</v>
      </c>
      <c r="BO820" s="24">
        <f>BN820/BM820</f>
        <v>2.5885627679954286</v>
      </c>
    </row>
    <row r="821" spans="1:67" s="14" customFormat="1" x14ac:dyDescent="0.3">
      <c r="A821" s="20">
        <v>838</v>
      </c>
      <c r="B821" s="2" t="s">
        <v>264</v>
      </c>
      <c r="C821" s="2">
        <v>2019</v>
      </c>
      <c r="D821" s="2" t="s">
        <v>203</v>
      </c>
      <c r="E821" s="10" t="s">
        <v>265</v>
      </c>
      <c r="F821" s="20" t="s">
        <v>29</v>
      </c>
      <c r="G821" s="2" t="s">
        <v>167</v>
      </c>
      <c r="H821" s="2" t="str">
        <f>'PFAS Properties'!$B$46</f>
        <v>PFOS</v>
      </c>
      <c r="I821" s="2" t="str">
        <f>'PFAS Properties'!$C$46</f>
        <v>PFSA</v>
      </c>
      <c r="J821" s="2" t="str">
        <f>'PFAS Properties'!$D$46</f>
        <v>C8HF17O3S</v>
      </c>
      <c r="K821" s="25">
        <f>'PFAS Properties'!$P$46</f>
        <v>499.93739999999997</v>
      </c>
      <c r="L821" s="2">
        <f>'PFAS Properties'!$X$46</f>
        <v>0.1</v>
      </c>
      <c r="M821" s="2" t="str">
        <f>'PFAS Properties'!$Y$46</f>
        <v>-</v>
      </c>
      <c r="N821" s="33">
        <v>0</v>
      </c>
      <c r="O821" s="33">
        <v>0</v>
      </c>
      <c r="P821" s="33">
        <v>0</v>
      </c>
      <c r="Q821" s="33">
        <f t="shared" si="342"/>
        <v>0.99999997488113634</v>
      </c>
      <c r="R821" s="33">
        <v>0</v>
      </c>
      <c r="S821" s="33">
        <f t="shared" si="343"/>
        <v>2.5118863684138424E-8</v>
      </c>
      <c r="T821" s="8">
        <f t="shared" si="365"/>
        <v>1</v>
      </c>
      <c r="U821" s="33">
        <f t="shared" si="346"/>
        <v>0</v>
      </c>
      <c r="V821" s="33">
        <f t="shared" si="347"/>
        <v>-0.99999997488113634</v>
      </c>
      <c r="W821" s="33">
        <f t="shared" si="348"/>
        <v>498.93740002511885</v>
      </c>
      <c r="X821" s="33">
        <v>96485</v>
      </c>
      <c r="Y821" s="16">
        <f t="shared" si="349"/>
        <v>-193.38096837709284</v>
      </c>
      <c r="Z821" s="16">
        <v>8</v>
      </c>
      <c r="AA821" s="16">
        <v>17</v>
      </c>
      <c r="AB821" s="8">
        <f t="shared" si="350"/>
        <v>0.29721362229102166</v>
      </c>
      <c r="AC821" s="16">
        <f t="shared" si="373"/>
        <v>64.60808893273439</v>
      </c>
      <c r="AD821" s="20">
        <f>'PFAS Properties'!$W$46</f>
        <v>8</v>
      </c>
      <c r="AE821" s="8">
        <f>'PFAS Properties'!$S$46</f>
        <v>2.0166155475571776</v>
      </c>
      <c r="AF821" s="15">
        <f>'PFAS Properties'!$V$46</f>
        <v>5</v>
      </c>
      <c r="AG821" s="24">
        <v>7.7</v>
      </c>
      <c r="AH821" s="8" t="s">
        <v>363</v>
      </c>
      <c r="AI821" s="2">
        <v>0.31</v>
      </c>
      <c r="AJ821" s="15">
        <f>AI821*1000/55.845</f>
        <v>5.551078879040201</v>
      </c>
      <c r="AK821" s="8">
        <f>AI821/10</f>
        <v>3.1E-2</v>
      </c>
      <c r="AL821" s="2">
        <v>0.69</v>
      </c>
      <c r="AM821" s="15">
        <f>AL821*1000/26.98</f>
        <v>25.574499629355078</v>
      </c>
      <c r="AN821" s="8">
        <f>AL821/10</f>
        <v>6.8999999999999992E-2</v>
      </c>
      <c r="AO821" s="15" t="s">
        <v>165</v>
      </c>
      <c r="AP821" s="72">
        <v>5.7073166666666673</v>
      </c>
      <c r="AQ821" s="70" t="s">
        <v>752</v>
      </c>
      <c r="AR821" s="2">
        <v>95</v>
      </c>
      <c r="AS821" s="2">
        <v>0.6</v>
      </c>
      <c r="AT821" s="2">
        <v>4.4000000000000004</v>
      </c>
      <c r="AU821" s="16" t="s">
        <v>661</v>
      </c>
      <c r="AV821" s="16">
        <f t="shared" si="374"/>
        <v>100</v>
      </c>
      <c r="AW821" s="20">
        <v>0.38</v>
      </c>
      <c r="AX821" s="8">
        <f t="shared" si="345"/>
        <v>3.8E-3</v>
      </c>
      <c r="AY821" s="12" t="s">
        <v>166</v>
      </c>
      <c r="AZ821" s="16">
        <f>7.5/0.015</f>
        <v>500</v>
      </c>
      <c r="BA821" s="12" t="s">
        <v>55</v>
      </c>
      <c r="BB821" s="16">
        <v>10</v>
      </c>
      <c r="BC821" s="16">
        <v>10000</v>
      </c>
      <c r="BD821" s="24">
        <f>BO821</f>
        <v>2.6324054048362351</v>
      </c>
      <c r="BE821" s="16">
        <f t="shared" si="375"/>
        <v>692.73826443058817</v>
      </c>
      <c r="BF821" s="16">
        <f t="shared" si="354"/>
        <v>2.8405691772024348</v>
      </c>
      <c r="BG821" s="8">
        <f t="shared" si="367"/>
        <v>0.42035277381924485</v>
      </c>
      <c r="BH821" s="13" t="s">
        <v>782</v>
      </c>
      <c r="BI821" s="13">
        <v>1.08</v>
      </c>
      <c r="BJ821" s="13" t="s">
        <v>329</v>
      </c>
      <c r="BK821" s="8">
        <v>0.77</v>
      </c>
      <c r="BL821" s="8">
        <f>BI821*(K821/1000)/((K821^BK821)/1000)</f>
        <v>4.5099772356334045</v>
      </c>
      <c r="BM821" s="18">
        <f>'PFAS Properties'!$U$46</f>
        <v>10.39</v>
      </c>
      <c r="BN821" s="8">
        <f>(BL821*(BM821^BK821))</f>
        <v>27.350692156248485</v>
      </c>
      <c r="BO821" s="24">
        <f>BN821/BM821</f>
        <v>2.6324054048362351</v>
      </c>
    </row>
    <row r="822" spans="1:67" s="14" customFormat="1" x14ac:dyDescent="0.3">
      <c r="A822" s="20">
        <v>839</v>
      </c>
      <c r="B822" s="2" t="s">
        <v>221</v>
      </c>
      <c r="C822" s="2">
        <v>2016</v>
      </c>
      <c r="D822" s="2" t="s">
        <v>199</v>
      </c>
      <c r="E822" s="22" t="s">
        <v>811</v>
      </c>
      <c r="F822" s="20" t="s">
        <v>63</v>
      </c>
      <c r="G822" s="2" t="s">
        <v>64</v>
      </c>
      <c r="H822" s="2" t="str">
        <f>'PFAS Properties'!$B$46</f>
        <v>PFOS</v>
      </c>
      <c r="I822" s="2" t="str">
        <f>'PFAS Properties'!$C$46</f>
        <v>PFSA</v>
      </c>
      <c r="J822" s="2" t="str">
        <f>'PFAS Properties'!$D$46</f>
        <v>C8HF17O3S</v>
      </c>
      <c r="K822" s="25">
        <f>'PFAS Properties'!$P$46</f>
        <v>499.93739999999997</v>
      </c>
      <c r="L822" s="2">
        <f>'PFAS Properties'!$X$46</f>
        <v>0.1</v>
      </c>
      <c r="M822" s="2" t="str">
        <f>'PFAS Properties'!$Y$46</f>
        <v>-</v>
      </c>
      <c r="N822" s="33">
        <v>0</v>
      </c>
      <c r="O822" s="33">
        <v>0</v>
      </c>
      <c r="P822" s="33">
        <v>0</v>
      </c>
      <c r="Q822" s="33">
        <f t="shared" si="342"/>
        <v>0.99999996837722438</v>
      </c>
      <c r="R822" s="33">
        <v>0</v>
      </c>
      <c r="S822" s="33">
        <f t="shared" si="343"/>
        <v>3.1622775601683729E-8</v>
      </c>
      <c r="T822" s="8">
        <f t="shared" si="365"/>
        <v>1</v>
      </c>
      <c r="U822" s="33">
        <f t="shared" si="346"/>
        <v>0</v>
      </c>
      <c r="V822" s="33">
        <f t="shared" si="347"/>
        <v>-0.99999996837722438</v>
      </c>
      <c r="W822" s="33">
        <f t="shared" si="348"/>
        <v>498.93740003162276</v>
      </c>
      <c r="X822" s="33">
        <v>96485</v>
      </c>
      <c r="Y822" s="16">
        <f t="shared" si="349"/>
        <v>-193.38096711683923</v>
      </c>
      <c r="Z822" s="16">
        <v>8</v>
      </c>
      <c r="AA822" s="16">
        <v>17</v>
      </c>
      <c r="AB822" s="8">
        <f t="shared" si="350"/>
        <v>0.29721362229102166</v>
      </c>
      <c r="AC822" s="16">
        <f t="shared" si="373"/>
        <v>64.60808893273439</v>
      </c>
      <c r="AD822" s="20">
        <f>'PFAS Properties'!$W$46</f>
        <v>8</v>
      </c>
      <c r="AE822" s="8">
        <f>'PFAS Properties'!$S$46</f>
        <v>2.0166155475571776</v>
      </c>
      <c r="AF822" s="15">
        <f>'PFAS Properties'!$V$46</f>
        <v>5</v>
      </c>
      <c r="AG822" s="24">
        <v>7.6</v>
      </c>
      <c r="AH822" s="2" t="s">
        <v>661</v>
      </c>
      <c r="AI822" s="2">
        <v>2.8492E-2</v>
      </c>
      <c r="AJ822" s="15">
        <f>AI822*1000/55.845</f>
        <v>0.51019786910197873</v>
      </c>
      <c r="AK822" s="8">
        <f>AI822/10</f>
        <v>2.8492000000000001E-3</v>
      </c>
      <c r="AL822" s="12">
        <v>1.2054E-2</v>
      </c>
      <c r="AM822" s="15">
        <f>AL822*1000/26.98</f>
        <v>0.4467753891771683</v>
      </c>
      <c r="AN822" s="8">
        <f>AL822/10</f>
        <v>1.2054000000000001E-3</v>
      </c>
      <c r="AO822" s="2" t="s">
        <v>661</v>
      </c>
      <c r="AP822" s="72">
        <v>15.90036666666667</v>
      </c>
      <c r="AQ822" s="70" t="s">
        <v>752</v>
      </c>
      <c r="AR822" s="2">
        <v>4</v>
      </c>
      <c r="AS822" s="2">
        <v>61</v>
      </c>
      <c r="AT822" s="2">
        <v>35</v>
      </c>
      <c r="AU822" s="2" t="s">
        <v>661</v>
      </c>
      <c r="AV822" s="16">
        <f t="shared" si="374"/>
        <v>100</v>
      </c>
      <c r="AW822" s="20">
        <v>2.52</v>
      </c>
      <c r="AX822" s="8">
        <f t="shared" si="345"/>
        <v>2.52E-2</v>
      </c>
      <c r="AY822" s="13" t="s">
        <v>65</v>
      </c>
      <c r="AZ822" s="16">
        <f>5/0.04</f>
        <v>125</v>
      </c>
      <c r="BA822" s="16" t="s">
        <v>55</v>
      </c>
      <c r="BB822" s="15">
        <v>0.5</v>
      </c>
      <c r="BC822" s="16">
        <v>100</v>
      </c>
      <c r="BD822" s="18">
        <f>10^0.45</f>
        <v>2.8183829312644542</v>
      </c>
      <c r="BE822" s="16">
        <f t="shared" si="375"/>
        <v>111.84059251049422</v>
      </c>
      <c r="BF822" s="16">
        <f t="shared" si="354"/>
        <v>2.048599459218456</v>
      </c>
      <c r="BG822" s="8">
        <f t="shared" si="367"/>
        <v>0.45000000000000007</v>
      </c>
      <c r="BH822" s="13" t="s">
        <v>390</v>
      </c>
      <c r="BI822" s="13"/>
      <c r="BJ822" s="13"/>
      <c r="BK822" s="15"/>
      <c r="BL822" s="8"/>
      <c r="BM822" s="18"/>
      <c r="BN822" s="8"/>
      <c r="BO822" s="24"/>
    </row>
    <row r="823" spans="1:67" s="14" customFormat="1" x14ac:dyDescent="0.3">
      <c r="A823" s="20">
        <v>840</v>
      </c>
      <c r="B823" s="2" t="s">
        <v>202</v>
      </c>
      <c r="C823" s="2">
        <v>2019</v>
      </c>
      <c r="D823" s="2" t="s">
        <v>199</v>
      </c>
      <c r="E823" s="10" t="s">
        <v>791</v>
      </c>
      <c r="F823" s="20" t="s">
        <v>29</v>
      </c>
      <c r="G823" s="2" t="s">
        <v>39</v>
      </c>
      <c r="H823" s="2" t="str">
        <f>'PFAS Properties'!$B$46</f>
        <v>PFOS</v>
      </c>
      <c r="I823" s="2" t="str">
        <f>'PFAS Properties'!$C$46</f>
        <v>PFSA</v>
      </c>
      <c r="J823" s="2" t="str">
        <f>'PFAS Properties'!$D$46</f>
        <v>C8HF17O3S</v>
      </c>
      <c r="K823" s="25">
        <f>'PFAS Properties'!$P$46</f>
        <v>499.93739999999997</v>
      </c>
      <c r="L823" s="2">
        <f>'PFAS Properties'!$X$46</f>
        <v>0.1</v>
      </c>
      <c r="M823" s="2" t="str">
        <f>'PFAS Properties'!$Y$46</f>
        <v>-</v>
      </c>
      <c r="N823" s="33">
        <v>0</v>
      </c>
      <c r="O823" s="33">
        <v>0</v>
      </c>
      <c r="P823" s="33">
        <v>0</v>
      </c>
      <c r="Q823" s="33">
        <f t="shared" si="342"/>
        <v>0.99999292059227451</v>
      </c>
      <c r="R823" s="33">
        <v>0</v>
      </c>
      <c r="S823" s="33">
        <f t="shared" si="343"/>
        <v>7.0794077254728099E-6</v>
      </c>
      <c r="T823" s="8">
        <f t="shared" si="365"/>
        <v>1</v>
      </c>
      <c r="U823" s="33">
        <f t="shared" si="346"/>
        <v>0</v>
      </c>
      <c r="V823" s="33">
        <f t="shared" si="347"/>
        <v>-0.99999292059227451</v>
      </c>
      <c r="W823" s="33">
        <f t="shared" si="348"/>
        <v>498.93740707940771</v>
      </c>
      <c r="X823" s="33">
        <v>96485</v>
      </c>
      <c r="Y823" s="16">
        <f t="shared" si="349"/>
        <v>-193.3796014777256</v>
      </c>
      <c r="Z823" s="16">
        <v>8</v>
      </c>
      <c r="AA823" s="16">
        <v>17</v>
      </c>
      <c r="AB823" s="8">
        <f t="shared" si="350"/>
        <v>0.29721362229102166</v>
      </c>
      <c r="AC823" s="16">
        <f t="shared" si="373"/>
        <v>64.60808893273439</v>
      </c>
      <c r="AD823" s="20">
        <f>'PFAS Properties'!$W$46</f>
        <v>8</v>
      </c>
      <c r="AE823" s="8">
        <f>'PFAS Properties'!$S$46</f>
        <v>2.0166155475571776</v>
      </c>
      <c r="AF823" s="15">
        <f>'PFAS Properties'!$V$46</f>
        <v>5</v>
      </c>
      <c r="AG823" s="24">
        <v>5.25</v>
      </c>
      <c r="AH823" s="2" t="s">
        <v>661</v>
      </c>
      <c r="AI823" s="2" t="s">
        <v>661</v>
      </c>
      <c r="AJ823" s="2" t="s">
        <v>661</v>
      </c>
      <c r="AK823" s="2" t="s">
        <v>661</v>
      </c>
      <c r="AL823" s="2" t="s">
        <v>661</v>
      </c>
      <c r="AM823" s="2" t="s">
        <v>661</v>
      </c>
      <c r="AN823" s="2" t="s">
        <v>661</v>
      </c>
      <c r="AO823" s="2" t="s">
        <v>661</v>
      </c>
      <c r="AP823" s="72">
        <v>5.7023166666666656</v>
      </c>
      <c r="AQ823" s="70" t="s">
        <v>752</v>
      </c>
      <c r="AR823" s="16">
        <v>100</v>
      </c>
      <c r="AS823" s="16">
        <v>0</v>
      </c>
      <c r="AT823" s="16">
        <v>0</v>
      </c>
      <c r="AU823" s="2" t="s">
        <v>661</v>
      </c>
      <c r="AV823" s="16">
        <f t="shared" si="374"/>
        <v>100</v>
      </c>
      <c r="AW823" s="20">
        <v>0.4</v>
      </c>
      <c r="AX823" s="8">
        <f t="shared" si="345"/>
        <v>4.0000000000000001E-3</v>
      </c>
      <c r="AY823" s="13" t="s">
        <v>658</v>
      </c>
      <c r="AZ823" s="16">
        <f>2/0.01</f>
        <v>200</v>
      </c>
      <c r="BA823" s="16" t="s">
        <v>55</v>
      </c>
      <c r="BB823" s="16">
        <v>1</v>
      </c>
      <c r="BC823" s="16">
        <v>1000</v>
      </c>
      <c r="BD823" s="18">
        <v>12.6</v>
      </c>
      <c r="BE823" s="16">
        <f t="shared" si="375"/>
        <v>3150</v>
      </c>
      <c r="BF823" s="16">
        <f t="shared" si="354"/>
        <v>3.4983105537896004</v>
      </c>
      <c r="BG823" s="8">
        <f t="shared" si="367"/>
        <v>1.1003705451175629</v>
      </c>
      <c r="BH823" s="13" t="s">
        <v>272</v>
      </c>
      <c r="BI823" s="13"/>
      <c r="BJ823" s="13"/>
      <c r="BK823" s="13"/>
      <c r="BL823" s="13"/>
      <c r="BM823" s="17"/>
      <c r="BN823" s="17"/>
      <c r="BO823" s="2"/>
    </row>
    <row r="824" spans="1:67" s="14" customFormat="1" x14ac:dyDescent="0.3">
      <c r="A824" s="20">
        <v>841</v>
      </c>
      <c r="B824" s="2" t="s">
        <v>202</v>
      </c>
      <c r="C824" s="2">
        <v>2019</v>
      </c>
      <c r="D824" s="2" t="s">
        <v>199</v>
      </c>
      <c r="E824" s="10" t="s">
        <v>791</v>
      </c>
      <c r="F824" s="20" t="s">
        <v>29</v>
      </c>
      <c r="G824" s="2" t="s">
        <v>43</v>
      </c>
      <c r="H824" s="2" t="str">
        <f>'PFAS Properties'!$B$46</f>
        <v>PFOS</v>
      </c>
      <c r="I824" s="2" t="str">
        <f>'PFAS Properties'!$C$46</f>
        <v>PFSA</v>
      </c>
      <c r="J824" s="2" t="str">
        <f>'PFAS Properties'!$D$46</f>
        <v>C8HF17O3S</v>
      </c>
      <c r="K824" s="25">
        <f>'PFAS Properties'!$P$46</f>
        <v>499.93739999999997</v>
      </c>
      <c r="L824" s="2">
        <f>'PFAS Properties'!$X$46</f>
        <v>0.1</v>
      </c>
      <c r="M824" s="2" t="str">
        <f>'PFAS Properties'!$Y$46</f>
        <v>-</v>
      </c>
      <c r="N824" s="33">
        <v>0</v>
      </c>
      <c r="O824" s="33">
        <v>0</v>
      </c>
      <c r="P824" s="33">
        <v>0</v>
      </c>
      <c r="Q824" s="33">
        <f t="shared" si="342"/>
        <v>0.99999730847244039</v>
      </c>
      <c r="R824" s="33">
        <v>0</v>
      </c>
      <c r="S824" s="33">
        <f t="shared" si="343"/>
        <v>2.6915275595868084E-6</v>
      </c>
      <c r="T824" s="8">
        <f t="shared" si="365"/>
        <v>1</v>
      </c>
      <c r="U824" s="33">
        <f t="shared" si="346"/>
        <v>0</v>
      </c>
      <c r="V824" s="33">
        <f t="shared" si="347"/>
        <v>-0.99999730847244039</v>
      </c>
      <c r="W824" s="33">
        <f t="shared" si="348"/>
        <v>498.9374026915275</v>
      </c>
      <c r="X824" s="33">
        <v>96485</v>
      </c>
      <c r="Y824" s="16">
        <f t="shared" si="349"/>
        <v>-193.38045171092526</v>
      </c>
      <c r="Z824" s="16">
        <v>8</v>
      </c>
      <c r="AA824" s="16">
        <v>17</v>
      </c>
      <c r="AB824" s="8">
        <f t="shared" si="350"/>
        <v>0.29721362229102166</v>
      </c>
      <c r="AC824" s="16">
        <f t="shared" si="373"/>
        <v>64.60808893273439</v>
      </c>
      <c r="AD824" s="20">
        <f>'PFAS Properties'!$W$46</f>
        <v>8</v>
      </c>
      <c r="AE824" s="8">
        <f>'PFAS Properties'!$S$46</f>
        <v>2.0166155475571776</v>
      </c>
      <c r="AF824" s="15">
        <f>'PFAS Properties'!$V$46</f>
        <v>5</v>
      </c>
      <c r="AG824" s="24">
        <v>5.67</v>
      </c>
      <c r="AH824" s="2" t="s">
        <v>661</v>
      </c>
      <c r="AI824" s="15" t="s">
        <v>661</v>
      </c>
      <c r="AJ824" s="16" t="s">
        <v>661</v>
      </c>
      <c r="AK824" s="2" t="s">
        <v>661</v>
      </c>
      <c r="AL824" s="15" t="s">
        <v>661</v>
      </c>
      <c r="AM824" s="16" t="s">
        <v>661</v>
      </c>
      <c r="AN824" s="2" t="s">
        <v>661</v>
      </c>
      <c r="AO824" s="2" t="s">
        <v>661</v>
      </c>
      <c r="AP824" s="72">
        <v>9.2037666666666649</v>
      </c>
      <c r="AQ824" s="70" t="s">
        <v>752</v>
      </c>
      <c r="AR824" s="16">
        <v>71</v>
      </c>
      <c r="AS824" s="16">
        <v>24</v>
      </c>
      <c r="AT824" s="16">
        <v>5</v>
      </c>
      <c r="AU824" s="2" t="s">
        <v>661</v>
      </c>
      <c r="AV824" s="16">
        <f t="shared" si="374"/>
        <v>100</v>
      </c>
      <c r="AW824" s="20">
        <v>0.93</v>
      </c>
      <c r="AX824" s="8">
        <f t="shared" si="345"/>
        <v>9.300000000000001E-3</v>
      </c>
      <c r="AY824" s="13" t="s">
        <v>658</v>
      </c>
      <c r="AZ824" s="16">
        <f>2/0.01</f>
        <v>200</v>
      </c>
      <c r="BA824" s="16" t="s">
        <v>55</v>
      </c>
      <c r="BB824" s="16">
        <v>1</v>
      </c>
      <c r="BC824" s="16">
        <v>1000</v>
      </c>
      <c r="BD824" s="18">
        <v>3.6</v>
      </c>
      <c r="BE824" s="16">
        <f t="shared" si="375"/>
        <v>387.09677419354836</v>
      </c>
      <c r="BF824" s="16">
        <f t="shared" si="354"/>
        <v>2.587819552213352</v>
      </c>
      <c r="BG824" s="8">
        <f t="shared" si="367"/>
        <v>0.55630250076728727</v>
      </c>
      <c r="BH824" s="13" t="s">
        <v>272</v>
      </c>
      <c r="BI824" s="13"/>
      <c r="BJ824" s="13"/>
      <c r="BK824" s="13"/>
      <c r="BL824" s="13"/>
      <c r="BM824" s="17"/>
      <c r="BN824" s="17"/>
      <c r="BO824" s="2"/>
    </row>
    <row r="825" spans="1:67" s="14" customFormat="1" x14ac:dyDescent="0.3">
      <c r="A825" s="20">
        <v>842</v>
      </c>
      <c r="B825" s="2" t="s">
        <v>211</v>
      </c>
      <c r="C825" s="2">
        <v>2019</v>
      </c>
      <c r="D825" s="2" t="s">
        <v>212</v>
      </c>
      <c r="E825" s="10" t="s">
        <v>213</v>
      </c>
      <c r="F825" s="20" t="s">
        <v>29</v>
      </c>
      <c r="G825" s="2" t="s">
        <v>55</v>
      </c>
      <c r="H825" s="2" t="str">
        <f>'PFAS Properties'!$B$46</f>
        <v>PFOS</v>
      </c>
      <c r="I825" s="2" t="str">
        <f>'PFAS Properties'!$C$46</f>
        <v>PFSA</v>
      </c>
      <c r="J825" s="2" t="str">
        <f>'PFAS Properties'!$D$46</f>
        <v>C8HF17O3S</v>
      </c>
      <c r="K825" s="25">
        <f>'PFAS Properties'!$P$46</f>
        <v>499.93739999999997</v>
      </c>
      <c r="L825" s="2">
        <f>'PFAS Properties'!$X$46</f>
        <v>0.1</v>
      </c>
      <c r="M825" s="2" t="str">
        <f>'PFAS Properties'!$Y$46</f>
        <v>-</v>
      </c>
      <c r="N825" s="33">
        <v>0</v>
      </c>
      <c r="O825" s="33">
        <v>0</v>
      </c>
      <c r="P825" s="33">
        <v>0</v>
      </c>
      <c r="Q825" s="33">
        <f t="shared" si="342"/>
        <v>0.99999987410747471</v>
      </c>
      <c r="R825" s="33">
        <v>0</v>
      </c>
      <c r="S825" s="33">
        <f t="shared" si="343"/>
        <v>1.2589252533048661E-7</v>
      </c>
      <c r="T825" s="8">
        <f t="shared" si="365"/>
        <v>1</v>
      </c>
      <c r="U825" s="33">
        <f t="shared" si="346"/>
        <v>0</v>
      </c>
      <c r="V825" s="33">
        <f t="shared" si="347"/>
        <v>-0.99999987410747471</v>
      </c>
      <c r="W825" s="33">
        <f t="shared" si="348"/>
        <v>498.93740012589251</v>
      </c>
      <c r="X825" s="33">
        <v>96485</v>
      </c>
      <c r="Y825" s="16">
        <f t="shared" si="349"/>
        <v>-193.38094885032569</v>
      </c>
      <c r="Z825" s="16">
        <v>8</v>
      </c>
      <c r="AA825" s="16">
        <v>17</v>
      </c>
      <c r="AB825" s="8">
        <f t="shared" si="350"/>
        <v>0.29721362229102166</v>
      </c>
      <c r="AC825" s="16">
        <f t="shared" si="373"/>
        <v>64.60808893273439</v>
      </c>
      <c r="AD825" s="20">
        <f>'PFAS Properties'!$W$46</f>
        <v>8</v>
      </c>
      <c r="AE825" s="8">
        <f>'PFAS Properties'!$S$46</f>
        <v>2.0166155475571776</v>
      </c>
      <c r="AF825" s="15">
        <f>'PFAS Properties'!$V$46</f>
        <v>5</v>
      </c>
      <c r="AG825" s="24">
        <v>7</v>
      </c>
      <c r="AH825" s="2" t="s">
        <v>661</v>
      </c>
      <c r="AI825" s="2" t="s">
        <v>661</v>
      </c>
      <c r="AJ825" s="2" t="s">
        <v>661</v>
      </c>
      <c r="AK825" s="2" t="s">
        <v>661</v>
      </c>
      <c r="AL825" s="2" t="s">
        <v>661</v>
      </c>
      <c r="AM825" s="2" t="s">
        <v>661</v>
      </c>
      <c r="AN825" s="2" t="s">
        <v>661</v>
      </c>
      <c r="AO825" s="2" t="s">
        <v>661</v>
      </c>
      <c r="AP825" s="37">
        <f>(26.31+26.59+27.81)/3</f>
        <v>26.903333333333332</v>
      </c>
      <c r="AQ825" s="16" t="s">
        <v>661</v>
      </c>
      <c r="AR825" s="71">
        <v>31.549399999999999</v>
      </c>
      <c r="AS825" s="71">
        <v>38.265099999999997</v>
      </c>
      <c r="AT825" s="71">
        <v>30.404799999999991</v>
      </c>
      <c r="AU825" s="70" t="s">
        <v>752</v>
      </c>
      <c r="AV825" s="16">
        <f t="shared" si="374"/>
        <v>100.21929999999999</v>
      </c>
      <c r="AW825" s="18">
        <f>(1.55+1.44+1.34)/3</f>
        <v>1.4433333333333334</v>
      </c>
      <c r="AX825" s="8">
        <f t="shared" si="345"/>
        <v>1.4433333333333333E-2</v>
      </c>
      <c r="AY825" s="8" t="s">
        <v>829</v>
      </c>
      <c r="AZ825" s="16">
        <f>5/0.01</f>
        <v>500</v>
      </c>
      <c r="BA825" s="16" t="s">
        <v>55</v>
      </c>
      <c r="BB825" s="16">
        <v>10</v>
      </c>
      <c r="BC825" s="16">
        <v>100</v>
      </c>
      <c r="BD825" s="20">
        <v>1.4</v>
      </c>
      <c r="BE825" s="16">
        <f t="shared" si="375"/>
        <v>96.997690531177824</v>
      </c>
      <c r="BF825" s="16">
        <f t="shared" si="354"/>
        <v>1.986761394044535</v>
      </c>
      <c r="BG825" s="8">
        <f t="shared" si="367"/>
        <v>0.14612803567823801</v>
      </c>
      <c r="BH825" s="2" t="s">
        <v>837</v>
      </c>
      <c r="BI825" s="13"/>
      <c r="BJ825" s="13"/>
      <c r="BK825" s="13"/>
      <c r="BL825" s="13"/>
      <c r="BM825" s="17"/>
      <c r="BN825" s="17"/>
      <c r="BO825" s="2"/>
    </row>
    <row r="826" spans="1:67" s="14" customFormat="1" x14ac:dyDescent="0.3">
      <c r="A826" s="20">
        <v>843</v>
      </c>
      <c r="B826" s="2" t="s">
        <v>219</v>
      </c>
      <c r="C826" s="2">
        <v>2020</v>
      </c>
      <c r="D826" s="2" t="s">
        <v>201</v>
      </c>
      <c r="E826" s="10" t="s">
        <v>801</v>
      </c>
      <c r="F826" s="20" t="s">
        <v>29</v>
      </c>
      <c r="G826" s="2" t="s">
        <v>66</v>
      </c>
      <c r="H826" s="2" t="str">
        <f>'PFAS Properties'!$B$46</f>
        <v>PFOS</v>
      </c>
      <c r="I826" s="2" t="str">
        <f>'PFAS Properties'!$C$46</f>
        <v>PFSA</v>
      </c>
      <c r="J826" s="2" t="str">
        <f>'PFAS Properties'!$D$46</f>
        <v>C8HF17O3S</v>
      </c>
      <c r="K826" s="25">
        <f>'PFAS Properties'!$P$46</f>
        <v>499.93739999999997</v>
      </c>
      <c r="L826" s="2">
        <f>'PFAS Properties'!$X$46</f>
        <v>0.1</v>
      </c>
      <c r="M826" s="2" t="str">
        <f>'PFAS Properties'!$Y$46</f>
        <v>-</v>
      </c>
      <c r="N826" s="33">
        <v>0</v>
      </c>
      <c r="O826" s="33">
        <v>0</v>
      </c>
      <c r="P826" s="33">
        <v>0</v>
      </c>
      <c r="Q826" s="33">
        <f t="shared" si="342"/>
        <v>0.99999988779816718</v>
      </c>
      <c r="R826" s="33">
        <v>0</v>
      </c>
      <c r="S826" s="33">
        <f t="shared" si="343"/>
        <v>1.1220183284094351E-7</v>
      </c>
      <c r="T826" s="8">
        <f t="shared" si="365"/>
        <v>1</v>
      </c>
      <c r="U826" s="33">
        <f t="shared" si="346"/>
        <v>0</v>
      </c>
      <c r="V826" s="33">
        <f t="shared" si="347"/>
        <v>-0.99999988779816718</v>
      </c>
      <c r="W826" s="33">
        <f t="shared" si="348"/>
        <v>498.93740011220177</v>
      </c>
      <c r="X826" s="33">
        <v>96485</v>
      </c>
      <c r="Y826" s="16">
        <f t="shared" si="349"/>
        <v>-193.38095150315146</v>
      </c>
      <c r="Z826" s="16">
        <v>8</v>
      </c>
      <c r="AA826" s="16">
        <v>17</v>
      </c>
      <c r="AB826" s="8">
        <f t="shared" si="350"/>
        <v>0.29721362229102166</v>
      </c>
      <c r="AC826" s="16">
        <f t="shared" si="373"/>
        <v>64.60808893273439</v>
      </c>
      <c r="AD826" s="20">
        <f>'PFAS Properties'!$W$46</f>
        <v>8</v>
      </c>
      <c r="AE826" s="8">
        <f>'PFAS Properties'!$S$46</f>
        <v>2.0166155475571776</v>
      </c>
      <c r="AF826" s="15">
        <f>'PFAS Properties'!$V$46</f>
        <v>5</v>
      </c>
      <c r="AG826" s="24">
        <v>7.05</v>
      </c>
      <c r="AH826" s="2" t="s">
        <v>661</v>
      </c>
      <c r="AI826" s="2">
        <v>9.9</v>
      </c>
      <c r="AJ826" s="15">
        <f t="shared" ref="AJ826:AJ844" si="376">AI826*1000/55.845</f>
        <v>177.27639000805803</v>
      </c>
      <c r="AK826" s="15">
        <f t="shared" ref="AK826:AK844" si="377">AI826/10</f>
        <v>0.99</v>
      </c>
      <c r="AL826" s="2">
        <v>3.3</v>
      </c>
      <c r="AM826" s="15">
        <f t="shared" ref="AM826:AM844" si="378">AL826*1000/26.98</f>
        <v>122.31282431430689</v>
      </c>
      <c r="AN826" s="15">
        <f t="shared" ref="AN826:AN844" si="379">AL826/10</f>
        <v>0.32999999999999996</v>
      </c>
      <c r="AO826" s="2" t="s">
        <v>710</v>
      </c>
      <c r="AP826" s="71">
        <v>7.6433666666666662</v>
      </c>
      <c r="AQ826" s="70" t="s">
        <v>752</v>
      </c>
      <c r="AR826" s="2">
        <v>78</v>
      </c>
      <c r="AS826" s="2">
        <v>5</v>
      </c>
      <c r="AT826" s="2">
        <v>11</v>
      </c>
      <c r="AU826" s="2" t="s">
        <v>661</v>
      </c>
      <c r="AV826" s="16">
        <f t="shared" si="374"/>
        <v>94</v>
      </c>
      <c r="AW826" s="20">
        <v>1.6</v>
      </c>
      <c r="AX826" s="8">
        <f t="shared" si="345"/>
        <v>1.6E-2</v>
      </c>
      <c r="AY826" s="8" t="s">
        <v>67</v>
      </c>
      <c r="AZ826" s="16">
        <f t="shared" ref="AZ826:AZ844" si="380">1.5/0.075</f>
        <v>20</v>
      </c>
      <c r="BA826" s="16" t="s">
        <v>55</v>
      </c>
      <c r="BB826" s="16">
        <v>10</v>
      </c>
      <c r="BC826" s="16" t="s">
        <v>55</v>
      </c>
      <c r="BD826" s="18">
        <v>14.41</v>
      </c>
      <c r="BE826" s="16">
        <f t="shared" si="375"/>
        <v>900.625</v>
      </c>
      <c r="BF826" s="16">
        <f t="shared" si="354"/>
        <v>2.9545439981580643</v>
      </c>
      <c r="BG826" s="8">
        <f t="shared" si="367"/>
        <v>1.1586639808139894</v>
      </c>
      <c r="BH826" s="13" t="s">
        <v>841</v>
      </c>
      <c r="BI826" s="13"/>
      <c r="BJ826" s="13"/>
      <c r="BK826" s="8"/>
      <c r="BL826" s="8"/>
      <c r="BM826" s="18"/>
      <c r="BN826" s="8"/>
      <c r="BO826" s="24"/>
    </row>
    <row r="827" spans="1:67" s="14" customFormat="1" x14ac:dyDescent="0.3">
      <c r="A827" s="20">
        <v>844</v>
      </c>
      <c r="B827" s="2" t="s">
        <v>219</v>
      </c>
      <c r="C827" s="2">
        <v>2020</v>
      </c>
      <c r="D827" s="2" t="s">
        <v>201</v>
      </c>
      <c r="E827" s="10" t="s">
        <v>801</v>
      </c>
      <c r="F827" s="20" t="s">
        <v>29</v>
      </c>
      <c r="G827" s="2" t="s">
        <v>68</v>
      </c>
      <c r="H827" s="2" t="str">
        <f>'PFAS Properties'!$B$46</f>
        <v>PFOS</v>
      </c>
      <c r="I827" s="2" t="str">
        <f>'PFAS Properties'!$C$46</f>
        <v>PFSA</v>
      </c>
      <c r="J827" s="2" t="str">
        <f>'PFAS Properties'!$D$46</f>
        <v>C8HF17O3S</v>
      </c>
      <c r="K827" s="25">
        <f>'PFAS Properties'!$P$46</f>
        <v>499.93739999999997</v>
      </c>
      <c r="L827" s="2">
        <f>'PFAS Properties'!$X$46</f>
        <v>0.1</v>
      </c>
      <c r="M827" s="2" t="str">
        <f>'PFAS Properties'!$Y$46</f>
        <v>-</v>
      </c>
      <c r="N827" s="33">
        <v>0</v>
      </c>
      <c r="O827" s="33">
        <v>0</v>
      </c>
      <c r="P827" s="33">
        <v>0</v>
      </c>
      <c r="Q827" s="33">
        <f t="shared" si="342"/>
        <v>0.99999993690426958</v>
      </c>
      <c r="R827" s="33">
        <v>0</v>
      </c>
      <c r="S827" s="33">
        <f t="shared" si="343"/>
        <v>6.3095730466947729E-8</v>
      </c>
      <c r="T827" s="8">
        <f t="shared" si="365"/>
        <v>1</v>
      </c>
      <c r="U827" s="33">
        <f t="shared" si="346"/>
        <v>0</v>
      </c>
      <c r="V827" s="33">
        <f t="shared" si="347"/>
        <v>-0.99999993690426958</v>
      </c>
      <c r="W827" s="33">
        <f t="shared" si="348"/>
        <v>498.93740006309571</v>
      </c>
      <c r="X827" s="33">
        <v>96485</v>
      </c>
      <c r="Y827" s="16">
        <f t="shared" si="349"/>
        <v>-193.38096101837013</v>
      </c>
      <c r="Z827" s="16">
        <v>8</v>
      </c>
      <c r="AA827" s="16">
        <v>17</v>
      </c>
      <c r="AB827" s="8">
        <f t="shared" si="350"/>
        <v>0.29721362229102166</v>
      </c>
      <c r="AC827" s="16">
        <f t="shared" si="373"/>
        <v>64.60808893273439</v>
      </c>
      <c r="AD827" s="20">
        <f>'PFAS Properties'!$W$46</f>
        <v>8</v>
      </c>
      <c r="AE827" s="8">
        <f>'PFAS Properties'!$S$46</f>
        <v>2.0166155475571776</v>
      </c>
      <c r="AF827" s="15">
        <f>'PFAS Properties'!$V$46</f>
        <v>5</v>
      </c>
      <c r="AG827" s="24">
        <v>7.3</v>
      </c>
      <c r="AH827" s="2" t="s">
        <v>661</v>
      </c>
      <c r="AI827" s="2">
        <v>1.1000000000000001</v>
      </c>
      <c r="AJ827" s="15">
        <f t="shared" si="376"/>
        <v>19.697376667562004</v>
      </c>
      <c r="AK827" s="15">
        <f t="shared" si="377"/>
        <v>0.11000000000000001</v>
      </c>
      <c r="AL827" s="2">
        <v>0.54</v>
      </c>
      <c r="AM827" s="15">
        <f t="shared" si="378"/>
        <v>20.014825796886583</v>
      </c>
      <c r="AN827" s="15">
        <f t="shared" si="379"/>
        <v>5.4000000000000006E-2</v>
      </c>
      <c r="AO827" s="2" t="s">
        <v>710</v>
      </c>
      <c r="AP827" s="71">
        <v>14.54611666666667</v>
      </c>
      <c r="AQ827" s="70" t="s">
        <v>752</v>
      </c>
      <c r="AR827" s="2">
        <v>92</v>
      </c>
      <c r="AS827" s="2">
        <v>0.7</v>
      </c>
      <c r="AT827" s="2">
        <v>3.1</v>
      </c>
      <c r="AU827" s="2" t="s">
        <v>661</v>
      </c>
      <c r="AV827" s="16">
        <f t="shared" si="374"/>
        <v>95.8</v>
      </c>
      <c r="AW827" s="20">
        <v>0.5</v>
      </c>
      <c r="AX827" s="8">
        <f t="shared" si="345"/>
        <v>5.0000000000000001E-3</v>
      </c>
      <c r="AY827" s="8" t="s">
        <v>67</v>
      </c>
      <c r="AZ827" s="16">
        <f t="shared" si="380"/>
        <v>20</v>
      </c>
      <c r="BA827" s="16" t="s">
        <v>55</v>
      </c>
      <c r="BB827" s="16">
        <v>10</v>
      </c>
      <c r="BC827" s="16" t="s">
        <v>55</v>
      </c>
      <c r="BD827" s="18">
        <v>10.69</v>
      </c>
      <c r="BE827" s="16">
        <f t="shared" si="375"/>
        <v>2138</v>
      </c>
      <c r="BF827" s="16">
        <f t="shared" si="354"/>
        <v>3.3300077008727591</v>
      </c>
      <c r="BG827" s="8">
        <f t="shared" si="367"/>
        <v>1.0289777052087781</v>
      </c>
      <c r="BH827" s="13" t="s">
        <v>841</v>
      </c>
      <c r="BI827" s="13"/>
      <c r="BJ827" s="13"/>
      <c r="BK827" s="8"/>
      <c r="BL827" s="8"/>
      <c r="BM827" s="18"/>
      <c r="BN827" s="8"/>
      <c r="BO827" s="24"/>
    </row>
    <row r="828" spans="1:67" s="14" customFormat="1" x14ac:dyDescent="0.3">
      <c r="A828" s="20">
        <v>845</v>
      </c>
      <c r="B828" s="2" t="s">
        <v>219</v>
      </c>
      <c r="C828" s="2">
        <v>2020</v>
      </c>
      <c r="D828" s="2" t="s">
        <v>201</v>
      </c>
      <c r="E828" s="10" t="s">
        <v>801</v>
      </c>
      <c r="F828" s="20" t="s">
        <v>29</v>
      </c>
      <c r="G828" s="2" t="s">
        <v>69</v>
      </c>
      <c r="H828" s="2" t="str">
        <f>'PFAS Properties'!$B$46</f>
        <v>PFOS</v>
      </c>
      <c r="I828" s="2" t="str">
        <f>'PFAS Properties'!$C$46</f>
        <v>PFSA</v>
      </c>
      <c r="J828" s="2" t="str">
        <f>'PFAS Properties'!$D$46</f>
        <v>C8HF17O3S</v>
      </c>
      <c r="K828" s="25">
        <f>'PFAS Properties'!$P$46</f>
        <v>499.93739999999997</v>
      </c>
      <c r="L828" s="2">
        <f>'PFAS Properties'!$X$46</f>
        <v>0.1</v>
      </c>
      <c r="M828" s="2" t="str">
        <f>'PFAS Properties'!$Y$46</f>
        <v>-</v>
      </c>
      <c r="N828" s="33">
        <v>0</v>
      </c>
      <c r="O828" s="33">
        <v>0</v>
      </c>
      <c r="P828" s="33">
        <v>0</v>
      </c>
      <c r="Q828" s="33">
        <f t="shared" si="342"/>
        <v>0.99999991871695504</v>
      </c>
      <c r="R828" s="33">
        <v>0</v>
      </c>
      <c r="S828" s="33">
        <f t="shared" si="343"/>
        <v>8.128304500947571E-8</v>
      </c>
      <c r="T828" s="8">
        <f t="shared" si="365"/>
        <v>1</v>
      </c>
      <c r="U828" s="33">
        <f t="shared" si="346"/>
        <v>0</v>
      </c>
      <c r="V828" s="33">
        <f t="shared" si="347"/>
        <v>-0.99999991871695504</v>
      </c>
      <c r="W828" s="33">
        <f t="shared" si="348"/>
        <v>498.93740008128299</v>
      </c>
      <c r="X828" s="33">
        <v>96485</v>
      </c>
      <c r="Y828" s="16">
        <f t="shared" si="349"/>
        <v>-193.38095749424042</v>
      </c>
      <c r="Z828" s="16">
        <v>8</v>
      </c>
      <c r="AA828" s="16">
        <v>17</v>
      </c>
      <c r="AB828" s="8">
        <f t="shared" si="350"/>
        <v>0.29721362229102166</v>
      </c>
      <c r="AC828" s="16">
        <f t="shared" si="373"/>
        <v>64.60808893273439</v>
      </c>
      <c r="AD828" s="20">
        <f>'PFAS Properties'!$W$46</f>
        <v>8</v>
      </c>
      <c r="AE828" s="8">
        <f>'PFAS Properties'!$S$46</f>
        <v>2.0166155475571776</v>
      </c>
      <c r="AF828" s="15">
        <f>'PFAS Properties'!$V$46</f>
        <v>5</v>
      </c>
      <c r="AG828" s="24">
        <v>7.19</v>
      </c>
      <c r="AH828" s="2" t="s">
        <v>661</v>
      </c>
      <c r="AI828" s="2">
        <v>3</v>
      </c>
      <c r="AJ828" s="15">
        <f t="shared" si="376"/>
        <v>53.720118184260009</v>
      </c>
      <c r="AK828" s="15">
        <f t="shared" si="377"/>
        <v>0.3</v>
      </c>
      <c r="AL828" s="2">
        <v>1.2</v>
      </c>
      <c r="AM828" s="15">
        <f t="shared" si="378"/>
        <v>44.477390659747961</v>
      </c>
      <c r="AN828" s="15">
        <f t="shared" si="379"/>
        <v>0.12</v>
      </c>
      <c r="AO828" s="2" t="s">
        <v>710</v>
      </c>
      <c r="AP828" s="71">
        <v>5.4888166666666667</v>
      </c>
      <c r="AQ828" s="70" t="s">
        <v>752</v>
      </c>
      <c r="AR828" s="2">
        <v>83</v>
      </c>
      <c r="AS828" s="2">
        <v>1.9</v>
      </c>
      <c r="AT828" s="2">
        <v>5.3</v>
      </c>
      <c r="AU828" s="2" t="s">
        <v>661</v>
      </c>
      <c r="AV828" s="16">
        <f t="shared" si="374"/>
        <v>90.2</v>
      </c>
      <c r="AW828" s="20">
        <v>2.7</v>
      </c>
      <c r="AX828" s="8">
        <f t="shared" si="345"/>
        <v>2.7000000000000003E-2</v>
      </c>
      <c r="AY828" s="8" t="s">
        <v>67</v>
      </c>
      <c r="AZ828" s="16">
        <f t="shared" si="380"/>
        <v>20</v>
      </c>
      <c r="BA828" s="16" t="s">
        <v>55</v>
      </c>
      <c r="BB828" s="16">
        <v>10</v>
      </c>
      <c r="BC828" s="16" t="s">
        <v>55</v>
      </c>
      <c r="BD828" s="18">
        <v>24.69</v>
      </c>
      <c r="BE828" s="16">
        <f t="shared" si="375"/>
        <v>914.44444444444434</v>
      </c>
      <c r="BF828" s="16">
        <f t="shared" si="354"/>
        <v>2.9611573257729451</v>
      </c>
      <c r="BG828" s="8">
        <f t="shared" si="367"/>
        <v>1.3925210899319322</v>
      </c>
      <c r="BH828" s="13" t="s">
        <v>841</v>
      </c>
      <c r="BI828" s="13"/>
      <c r="BJ828" s="13"/>
      <c r="BK828" s="8"/>
      <c r="BL828" s="8"/>
      <c r="BM828" s="18"/>
      <c r="BN828" s="8"/>
      <c r="BO828" s="24"/>
    </row>
    <row r="829" spans="1:67" s="14" customFormat="1" x14ac:dyDescent="0.3">
      <c r="A829" s="20">
        <v>846</v>
      </c>
      <c r="B829" s="2" t="s">
        <v>219</v>
      </c>
      <c r="C829" s="2">
        <v>2020</v>
      </c>
      <c r="D829" s="2" t="s">
        <v>201</v>
      </c>
      <c r="E829" s="10" t="s">
        <v>801</v>
      </c>
      <c r="F829" s="20" t="s">
        <v>29</v>
      </c>
      <c r="G829" s="2" t="s">
        <v>70</v>
      </c>
      <c r="H829" s="2" t="str">
        <f>'PFAS Properties'!$B$46</f>
        <v>PFOS</v>
      </c>
      <c r="I829" s="2" t="str">
        <f>'PFAS Properties'!$C$46</f>
        <v>PFSA</v>
      </c>
      <c r="J829" s="2" t="str">
        <f>'PFAS Properties'!$D$46</f>
        <v>C8HF17O3S</v>
      </c>
      <c r="K829" s="25">
        <f>'PFAS Properties'!$P$46</f>
        <v>499.93739999999997</v>
      </c>
      <c r="L829" s="2">
        <f>'PFAS Properties'!$X$46</f>
        <v>0.1</v>
      </c>
      <c r="M829" s="2" t="str">
        <f>'PFAS Properties'!$Y$46</f>
        <v>-</v>
      </c>
      <c r="N829" s="33">
        <v>0</v>
      </c>
      <c r="O829" s="33">
        <v>0</v>
      </c>
      <c r="P829" s="33">
        <v>0</v>
      </c>
      <c r="Q829" s="33">
        <f t="shared" ref="Q829:Q891" si="381">(10^(AG829-L829))/(1+(10^(AG829-L829)))</f>
        <v>0.9999999601892845</v>
      </c>
      <c r="R829" s="33">
        <v>0</v>
      </c>
      <c r="S829" s="33">
        <f t="shared" ref="S829:S891" si="382">(1/(1+(10^(AG829-L829))))</f>
        <v>3.9810715470456442E-8</v>
      </c>
      <c r="T829" s="8">
        <f t="shared" si="365"/>
        <v>1</v>
      </c>
      <c r="U829" s="33">
        <f t="shared" si="346"/>
        <v>0</v>
      </c>
      <c r="V829" s="33">
        <f t="shared" si="347"/>
        <v>-0.9999999601892845</v>
      </c>
      <c r="W829" s="33">
        <f t="shared" si="348"/>
        <v>498.93740003981065</v>
      </c>
      <c r="X829" s="33">
        <v>96485</v>
      </c>
      <c r="Y829" s="16">
        <f t="shared" si="349"/>
        <v>-193.38096553027393</v>
      </c>
      <c r="Z829" s="16">
        <v>8</v>
      </c>
      <c r="AA829" s="16">
        <v>17</v>
      </c>
      <c r="AB829" s="8">
        <f t="shared" si="350"/>
        <v>0.29721362229102166</v>
      </c>
      <c r="AC829" s="16">
        <f t="shared" si="373"/>
        <v>64.60808893273439</v>
      </c>
      <c r="AD829" s="20">
        <f>'PFAS Properties'!$W$46</f>
        <v>8</v>
      </c>
      <c r="AE829" s="8">
        <f>'PFAS Properties'!$S$46</f>
        <v>2.0166155475571776</v>
      </c>
      <c r="AF829" s="15">
        <f>'PFAS Properties'!$V$46</f>
        <v>5</v>
      </c>
      <c r="AG829" s="24">
        <v>7.5</v>
      </c>
      <c r="AH829" s="2" t="s">
        <v>661</v>
      </c>
      <c r="AI829" s="2">
        <v>2.2000000000000002</v>
      </c>
      <c r="AJ829" s="15">
        <f t="shared" si="376"/>
        <v>39.394753335124008</v>
      </c>
      <c r="AK829" s="15">
        <f t="shared" si="377"/>
        <v>0.22000000000000003</v>
      </c>
      <c r="AL829" s="2">
        <v>8</v>
      </c>
      <c r="AM829" s="15">
        <f t="shared" si="378"/>
        <v>296.51593773165308</v>
      </c>
      <c r="AN829" s="15">
        <f t="shared" si="379"/>
        <v>0.8</v>
      </c>
      <c r="AO829" s="2" t="s">
        <v>710</v>
      </c>
      <c r="AP829" s="71">
        <v>5.670066666666667</v>
      </c>
      <c r="AQ829" s="70" t="s">
        <v>752</v>
      </c>
      <c r="AR829" s="2">
        <v>76</v>
      </c>
      <c r="AS829" s="2">
        <v>6</v>
      </c>
      <c r="AT829" s="2">
        <v>13</v>
      </c>
      <c r="AU829" s="2" t="s">
        <v>661</v>
      </c>
      <c r="AV829" s="16">
        <f t="shared" si="374"/>
        <v>95</v>
      </c>
      <c r="AW829" s="20">
        <v>1.1000000000000001</v>
      </c>
      <c r="AX829" s="8">
        <f t="shared" si="345"/>
        <v>1.1000000000000001E-2</v>
      </c>
      <c r="AY829" s="8" t="s">
        <v>67</v>
      </c>
      <c r="AZ829" s="16">
        <f t="shared" si="380"/>
        <v>20</v>
      </c>
      <c r="BA829" s="16" t="s">
        <v>55</v>
      </c>
      <c r="BB829" s="16">
        <v>10</v>
      </c>
      <c r="BC829" s="16" t="s">
        <v>55</v>
      </c>
      <c r="BD829" s="18">
        <v>9.76</v>
      </c>
      <c r="BE829" s="16">
        <f t="shared" si="375"/>
        <v>887.27272727272714</v>
      </c>
      <c r="BF829" s="16">
        <f t="shared" si="354"/>
        <v>2.9480571325084668</v>
      </c>
      <c r="BG829" s="8">
        <f t="shared" si="367"/>
        <v>0.98944981766669182</v>
      </c>
      <c r="BH829" s="13" t="s">
        <v>841</v>
      </c>
      <c r="BI829" s="13"/>
      <c r="BJ829" s="13"/>
      <c r="BK829" s="8"/>
      <c r="BL829" s="8"/>
      <c r="BM829" s="18"/>
      <c r="BN829" s="8"/>
      <c r="BO829" s="24"/>
    </row>
    <row r="830" spans="1:67" s="14" customFormat="1" x14ac:dyDescent="0.3">
      <c r="A830" s="20">
        <v>847</v>
      </c>
      <c r="B830" s="2" t="s">
        <v>219</v>
      </c>
      <c r="C830" s="2">
        <v>2020</v>
      </c>
      <c r="D830" s="2" t="s">
        <v>201</v>
      </c>
      <c r="E830" s="10" t="s">
        <v>801</v>
      </c>
      <c r="F830" s="20" t="s">
        <v>29</v>
      </c>
      <c r="G830" s="2" t="s">
        <v>71</v>
      </c>
      <c r="H830" s="2" t="str">
        <f>'PFAS Properties'!$B$46</f>
        <v>PFOS</v>
      </c>
      <c r="I830" s="2" t="str">
        <f>'PFAS Properties'!$C$46</f>
        <v>PFSA</v>
      </c>
      <c r="J830" s="2" t="str">
        <f>'PFAS Properties'!$D$46</f>
        <v>C8HF17O3S</v>
      </c>
      <c r="K830" s="25">
        <f>'PFAS Properties'!$P$46</f>
        <v>499.93739999999997</v>
      </c>
      <c r="L830" s="2">
        <f>'PFAS Properties'!$X$46</f>
        <v>0.1</v>
      </c>
      <c r="M830" s="2" t="str">
        <f>'PFAS Properties'!$Y$46</f>
        <v>-</v>
      </c>
      <c r="N830" s="33">
        <v>0</v>
      </c>
      <c r="O830" s="33">
        <v>0</v>
      </c>
      <c r="P830" s="33">
        <v>0</v>
      </c>
      <c r="Q830" s="33">
        <f t="shared" si="381"/>
        <v>0.99999981379132097</v>
      </c>
      <c r="R830" s="33">
        <v>0</v>
      </c>
      <c r="S830" s="33">
        <f t="shared" si="382"/>
        <v>1.8620867899260757E-7</v>
      </c>
      <c r="T830" s="8">
        <f t="shared" si="365"/>
        <v>1</v>
      </c>
      <c r="U830" s="33">
        <f t="shared" si="346"/>
        <v>0</v>
      </c>
      <c r="V830" s="33">
        <f t="shared" si="347"/>
        <v>-0.99999981379132097</v>
      </c>
      <c r="W830" s="33">
        <f t="shared" si="348"/>
        <v>498.93740018620866</v>
      </c>
      <c r="X830" s="33">
        <v>96485</v>
      </c>
      <c r="Y830" s="16">
        <f t="shared" si="349"/>
        <v>-193.38093716295151</v>
      </c>
      <c r="Z830" s="16">
        <v>8</v>
      </c>
      <c r="AA830" s="16">
        <v>17</v>
      </c>
      <c r="AB830" s="8">
        <f t="shared" si="350"/>
        <v>0.29721362229102166</v>
      </c>
      <c r="AC830" s="16">
        <f t="shared" si="373"/>
        <v>64.60808893273439</v>
      </c>
      <c r="AD830" s="20">
        <f>'PFAS Properties'!$W$46</f>
        <v>8</v>
      </c>
      <c r="AE830" s="8">
        <f>'PFAS Properties'!$S$46</f>
        <v>2.0166155475571776</v>
      </c>
      <c r="AF830" s="15">
        <f>'PFAS Properties'!$V$46</f>
        <v>5</v>
      </c>
      <c r="AG830" s="24">
        <v>6.83</v>
      </c>
      <c r="AH830" s="2" t="s">
        <v>661</v>
      </c>
      <c r="AI830" s="2">
        <v>47</v>
      </c>
      <c r="AJ830" s="15">
        <f t="shared" si="376"/>
        <v>841.61518488674005</v>
      </c>
      <c r="AK830" s="15">
        <f t="shared" si="377"/>
        <v>4.7</v>
      </c>
      <c r="AL830" s="2">
        <v>20</v>
      </c>
      <c r="AM830" s="15">
        <f t="shared" si="378"/>
        <v>741.28984432913273</v>
      </c>
      <c r="AN830" s="15">
        <f t="shared" si="379"/>
        <v>2</v>
      </c>
      <c r="AO830" s="2" t="s">
        <v>710</v>
      </c>
      <c r="AP830" s="71">
        <v>8.2616166666666668</v>
      </c>
      <c r="AQ830" s="70" t="s">
        <v>752</v>
      </c>
      <c r="AR830" s="2">
        <v>13</v>
      </c>
      <c r="AS830" s="2">
        <v>14</v>
      </c>
      <c r="AT830" s="2">
        <v>53</v>
      </c>
      <c r="AU830" s="2" t="s">
        <v>661</v>
      </c>
      <c r="AV830" s="16">
        <f t="shared" si="374"/>
        <v>80</v>
      </c>
      <c r="AW830" s="20">
        <v>5</v>
      </c>
      <c r="AX830" s="8">
        <f t="shared" ref="AX830:AX877" si="383">AW830/100</f>
        <v>0.05</v>
      </c>
      <c r="AY830" s="8" t="s">
        <v>67</v>
      </c>
      <c r="AZ830" s="16">
        <f t="shared" si="380"/>
        <v>20</v>
      </c>
      <c r="BA830" s="16" t="s">
        <v>55</v>
      </c>
      <c r="BB830" s="16">
        <v>10</v>
      </c>
      <c r="BC830" s="16" t="s">
        <v>55</v>
      </c>
      <c r="BD830" s="18">
        <v>35.04</v>
      </c>
      <c r="BE830" s="16">
        <f t="shared" si="375"/>
        <v>700.8</v>
      </c>
      <c r="BF830" s="16">
        <f t="shared" si="354"/>
        <v>2.8455940931600243</v>
      </c>
      <c r="BG830" s="8">
        <f t="shared" si="367"/>
        <v>1.5445640974960431</v>
      </c>
      <c r="BH830" s="13" t="s">
        <v>841</v>
      </c>
      <c r="BI830" s="13"/>
      <c r="BJ830" s="13"/>
      <c r="BK830" s="8"/>
      <c r="BL830" s="8"/>
      <c r="BM830" s="18"/>
      <c r="BN830" s="8"/>
      <c r="BO830" s="24"/>
    </row>
    <row r="831" spans="1:67" s="14" customFormat="1" x14ac:dyDescent="0.3">
      <c r="A831" s="20">
        <v>848</v>
      </c>
      <c r="B831" s="2" t="s">
        <v>219</v>
      </c>
      <c r="C831" s="2">
        <v>2020</v>
      </c>
      <c r="D831" s="2" t="s">
        <v>201</v>
      </c>
      <c r="E831" s="10" t="s">
        <v>801</v>
      </c>
      <c r="F831" s="20" t="s">
        <v>29</v>
      </c>
      <c r="G831" s="2" t="s">
        <v>72</v>
      </c>
      <c r="H831" s="2" t="str">
        <f>'PFAS Properties'!$B$46</f>
        <v>PFOS</v>
      </c>
      <c r="I831" s="2" t="str">
        <f>'PFAS Properties'!$C$46</f>
        <v>PFSA</v>
      </c>
      <c r="J831" s="2" t="str">
        <f>'PFAS Properties'!$D$46</f>
        <v>C8HF17O3S</v>
      </c>
      <c r="K831" s="25">
        <f>'PFAS Properties'!$P$46</f>
        <v>499.93739999999997</v>
      </c>
      <c r="L831" s="2">
        <f>'PFAS Properties'!$X$46</f>
        <v>0.1</v>
      </c>
      <c r="M831" s="2" t="str">
        <f>'PFAS Properties'!$Y$46</f>
        <v>-</v>
      </c>
      <c r="N831" s="33">
        <v>0</v>
      </c>
      <c r="O831" s="33">
        <v>0</v>
      </c>
      <c r="P831" s="33">
        <v>0</v>
      </c>
      <c r="Q831" s="33">
        <f t="shared" si="381"/>
        <v>0.99999979107043058</v>
      </c>
      <c r="R831" s="33">
        <v>0</v>
      </c>
      <c r="S831" s="33">
        <f t="shared" si="382"/>
        <v>2.0892956943382908E-7</v>
      </c>
      <c r="T831" s="8">
        <f t="shared" si="365"/>
        <v>1</v>
      </c>
      <c r="U831" s="33">
        <f t="shared" si="346"/>
        <v>0</v>
      </c>
      <c r="V831" s="33">
        <f t="shared" si="347"/>
        <v>-0.99999979107043058</v>
      </c>
      <c r="W831" s="33">
        <f t="shared" si="348"/>
        <v>498.93740020892955</v>
      </c>
      <c r="X831" s="33">
        <v>96485</v>
      </c>
      <c r="Y831" s="16">
        <f t="shared" si="349"/>
        <v>-193.3809327603573</v>
      </c>
      <c r="Z831" s="16">
        <v>8</v>
      </c>
      <c r="AA831" s="16">
        <v>17</v>
      </c>
      <c r="AB831" s="8">
        <f t="shared" si="350"/>
        <v>0.29721362229102166</v>
      </c>
      <c r="AC831" s="16">
        <f t="shared" si="373"/>
        <v>64.60808893273439</v>
      </c>
      <c r="AD831" s="20">
        <f>'PFAS Properties'!$W$46</f>
        <v>8</v>
      </c>
      <c r="AE831" s="8">
        <f>'PFAS Properties'!$S$46</f>
        <v>2.0166155475571776</v>
      </c>
      <c r="AF831" s="15">
        <f>'PFAS Properties'!$V$46</f>
        <v>5</v>
      </c>
      <c r="AG831" s="24">
        <v>6.78</v>
      </c>
      <c r="AH831" s="2" t="s">
        <v>661</v>
      </c>
      <c r="AI831" s="2">
        <v>21</v>
      </c>
      <c r="AJ831" s="15">
        <f t="shared" si="376"/>
        <v>376.04082728982007</v>
      </c>
      <c r="AK831" s="15">
        <f t="shared" si="377"/>
        <v>2.1</v>
      </c>
      <c r="AL831" s="2">
        <v>1.8</v>
      </c>
      <c r="AM831" s="15">
        <f t="shared" si="378"/>
        <v>66.716085989621945</v>
      </c>
      <c r="AN831" s="15">
        <f t="shared" si="379"/>
        <v>0.18</v>
      </c>
      <c r="AO831" s="2" t="s">
        <v>710</v>
      </c>
      <c r="AP831" s="71">
        <v>5.6660666666666657</v>
      </c>
      <c r="AQ831" s="70" t="s">
        <v>752</v>
      </c>
      <c r="AR831" s="2">
        <v>88</v>
      </c>
      <c r="AS831" s="2">
        <v>2.1</v>
      </c>
      <c r="AT831" s="2">
        <v>5.7</v>
      </c>
      <c r="AU831" s="2" t="s">
        <v>661</v>
      </c>
      <c r="AV831" s="16">
        <f t="shared" si="374"/>
        <v>95.8</v>
      </c>
      <c r="AW831" s="20">
        <v>1.1000000000000001</v>
      </c>
      <c r="AX831" s="8">
        <f t="shared" si="383"/>
        <v>1.1000000000000001E-2</v>
      </c>
      <c r="AY831" s="8" t="s">
        <v>67</v>
      </c>
      <c r="AZ831" s="16">
        <f t="shared" si="380"/>
        <v>20</v>
      </c>
      <c r="BA831" s="16" t="s">
        <v>55</v>
      </c>
      <c r="BB831" s="16">
        <v>10</v>
      </c>
      <c r="BC831" s="16" t="s">
        <v>55</v>
      </c>
      <c r="BD831" s="18">
        <v>17.25</v>
      </c>
      <c r="BE831" s="16">
        <f t="shared" si="375"/>
        <v>1568.181818181818</v>
      </c>
      <c r="BF831" s="16">
        <f t="shared" si="354"/>
        <v>3.1953964142510678</v>
      </c>
      <c r="BG831" s="8">
        <f t="shared" si="367"/>
        <v>1.2367890994092929</v>
      </c>
      <c r="BH831" s="13" t="s">
        <v>841</v>
      </c>
      <c r="BI831" s="13"/>
      <c r="BJ831" s="13"/>
      <c r="BK831" s="8"/>
      <c r="BL831" s="8"/>
      <c r="BM831" s="18"/>
      <c r="BN831" s="8"/>
      <c r="BO831" s="24"/>
    </row>
    <row r="832" spans="1:67" s="14" customFormat="1" x14ac:dyDescent="0.3">
      <c r="A832" s="20">
        <v>849</v>
      </c>
      <c r="B832" s="2" t="s">
        <v>219</v>
      </c>
      <c r="C832" s="2">
        <v>2020</v>
      </c>
      <c r="D832" s="2" t="s">
        <v>201</v>
      </c>
      <c r="E832" s="10" t="s">
        <v>801</v>
      </c>
      <c r="F832" s="20" t="s">
        <v>29</v>
      </c>
      <c r="G832" s="2" t="s">
        <v>73</v>
      </c>
      <c r="H832" s="2" t="str">
        <f>'PFAS Properties'!$B$46</f>
        <v>PFOS</v>
      </c>
      <c r="I832" s="2" t="str">
        <f>'PFAS Properties'!$C$46</f>
        <v>PFSA</v>
      </c>
      <c r="J832" s="2" t="str">
        <f>'PFAS Properties'!$D$46</f>
        <v>C8HF17O3S</v>
      </c>
      <c r="K832" s="25">
        <f>'PFAS Properties'!$P$46</f>
        <v>499.93739999999997</v>
      </c>
      <c r="L832" s="2">
        <f>'PFAS Properties'!$X$46</f>
        <v>0.1</v>
      </c>
      <c r="M832" s="2" t="str">
        <f>'PFAS Properties'!$Y$46</f>
        <v>-</v>
      </c>
      <c r="N832" s="33">
        <v>0</v>
      </c>
      <c r="O832" s="33">
        <v>0</v>
      </c>
      <c r="P832" s="33">
        <v>0</v>
      </c>
      <c r="Q832" s="33">
        <f t="shared" si="381"/>
        <v>0.99999973697327005</v>
      </c>
      <c r="R832" s="33">
        <v>0</v>
      </c>
      <c r="S832" s="33">
        <f t="shared" si="382"/>
        <v>2.6302673000645904E-7</v>
      </c>
      <c r="T832" s="8">
        <f t="shared" si="365"/>
        <v>1</v>
      </c>
      <c r="U832" s="33">
        <f t="shared" si="346"/>
        <v>0</v>
      </c>
      <c r="V832" s="33">
        <f t="shared" si="347"/>
        <v>-0.99999973697327005</v>
      </c>
      <c r="W832" s="33">
        <f t="shared" si="348"/>
        <v>498.93740026302675</v>
      </c>
      <c r="X832" s="33">
        <v>96485</v>
      </c>
      <c r="Y832" s="16">
        <f t="shared" si="349"/>
        <v>-193.38092227802846</v>
      </c>
      <c r="Z832" s="16">
        <v>8</v>
      </c>
      <c r="AA832" s="16">
        <v>17</v>
      </c>
      <c r="AB832" s="8">
        <f t="shared" si="350"/>
        <v>0.29721362229102166</v>
      </c>
      <c r="AC832" s="16">
        <f t="shared" si="373"/>
        <v>64.60808893273439</v>
      </c>
      <c r="AD832" s="20">
        <f>'PFAS Properties'!$W$46</f>
        <v>8</v>
      </c>
      <c r="AE832" s="8">
        <f>'PFAS Properties'!$S$46</f>
        <v>2.0166155475571776</v>
      </c>
      <c r="AF832" s="15">
        <f>'PFAS Properties'!$V$46</f>
        <v>5</v>
      </c>
      <c r="AG832" s="24">
        <v>6.68</v>
      </c>
      <c r="AH832" s="2" t="s">
        <v>661</v>
      </c>
      <c r="AI832" s="2">
        <v>0.62</v>
      </c>
      <c r="AJ832" s="15">
        <f t="shared" si="376"/>
        <v>11.102157758080402</v>
      </c>
      <c r="AK832" s="15">
        <f t="shared" si="377"/>
        <v>6.2E-2</v>
      </c>
      <c r="AL832" s="2">
        <v>0.7</v>
      </c>
      <c r="AM832" s="15">
        <f t="shared" si="378"/>
        <v>25.945144551519643</v>
      </c>
      <c r="AN832" s="15">
        <f t="shared" si="379"/>
        <v>6.9999999999999993E-2</v>
      </c>
      <c r="AO832" s="2" t="s">
        <v>710</v>
      </c>
      <c r="AP832" s="71">
        <v>9.8359666666666676</v>
      </c>
      <c r="AQ832" s="70" t="s">
        <v>752</v>
      </c>
      <c r="AR832" s="2">
        <v>96</v>
      </c>
      <c r="AS832" s="2">
        <v>0</v>
      </c>
      <c r="AT832" s="2">
        <v>0.5</v>
      </c>
      <c r="AU832" s="2" t="s">
        <v>661</v>
      </c>
      <c r="AV832" s="16">
        <f t="shared" si="374"/>
        <v>96.5</v>
      </c>
      <c r="AW832" s="20">
        <v>0.3</v>
      </c>
      <c r="AX832" s="8">
        <f t="shared" si="383"/>
        <v>3.0000000000000001E-3</v>
      </c>
      <c r="AY832" s="8" t="s">
        <v>67</v>
      </c>
      <c r="AZ832" s="16">
        <f t="shared" si="380"/>
        <v>20</v>
      </c>
      <c r="BA832" s="16" t="s">
        <v>55</v>
      </c>
      <c r="BB832" s="16">
        <v>10</v>
      </c>
      <c r="BC832" s="16" t="s">
        <v>55</v>
      </c>
      <c r="BD832" s="18">
        <v>4.6100000000000003</v>
      </c>
      <c r="BE832" s="16">
        <f t="shared" si="375"/>
        <v>1536.6666666666667</v>
      </c>
      <c r="BF832" s="16">
        <f t="shared" si="354"/>
        <v>3.1865796706699858</v>
      </c>
      <c r="BG832" s="8">
        <f t="shared" si="367"/>
        <v>0.6637009253896482</v>
      </c>
      <c r="BH832" s="13" t="s">
        <v>841</v>
      </c>
      <c r="BI832" s="13"/>
      <c r="BJ832" s="13"/>
      <c r="BK832" s="8"/>
      <c r="BL832" s="8"/>
      <c r="BM832" s="18"/>
      <c r="BN832" s="8"/>
      <c r="BO832" s="24"/>
    </row>
    <row r="833" spans="1:67" s="14" customFormat="1" x14ac:dyDescent="0.3">
      <c r="A833" s="20">
        <v>850</v>
      </c>
      <c r="B833" s="2" t="s">
        <v>219</v>
      </c>
      <c r="C833" s="2">
        <v>2020</v>
      </c>
      <c r="D833" s="2" t="s">
        <v>201</v>
      </c>
      <c r="E833" s="10" t="s">
        <v>801</v>
      </c>
      <c r="F833" s="20" t="s">
        <v>29</v>
      </c>
      <c r="G833" s="2" t="s">
        <v>74</v>
      </c>
      <c r="H833" s="2" t="str">
        <f>'PFAS Properties'!$B$46</f>
        <v>PFOS</v>
      </c>
      <c r="I833" s="2" t="str">
        <f>'PFAS Properties'!$C$46</f>
        <v>PFSA</v>
      </c>
      <c r="J833" s="2" t="str">
        <f>'PFAS Properties'!$D$46</f>
        <v>C8HF17O3S</v>
      </c>
      <c r="K833" s="25">
        <f>'PFAS Properties'!$P$46</f>
        <v>499.93739999999997</v>
      </c>
      <c r="L833" s="2">
        <f>'PFAS Properties'!$X$46</f>
        <v>0.1</v>
      </c>
      <c r="M833" s="2" t="str">
        <f>'PFAS Properties'!$Y$46</f>
        <v>-</v>
      </c>
      <c r="N833" s="33">
        <v>0</v>
      </c>
      <c r="O833" s="33">
        <v>0</v>
      </c>
      <c r="P833" s="33">
        <v>0</v>
      </c>
      <c r="Q833" s="33">
        <f t="shared" si="381"/>
        <v>0.99999925869030826</v>
      </c>
      <c r="R833" s="33">
        <v>0</v>
      </c>
      <c r="S833" s="33">
        <f t="shared" si="382"/>
        <v>7.413096917604484E-7</v>
      </c>
      <c r="T833" s="8">
        <f t="shared" si="365"/>
        <v>1</v>
      </c>
      <c r="U833" s="33">
        <f t="shared" si="346"/>
        <v>0</v>
      </c>
      <c r="V833" s="33">
        <f t="shared" si="347"/>
        <v>-0.99999925869030826</v>
      </c>
      <c r="W833" s="33">
        <f t="shared" si="348"/>
        <v>498.93740074130966</v>
      </c>
      <c r="X833" s="33">
        <v>96485</v>
      </c>
      <c r="Y833" s="16">
        <f t="shared" si="349"/>
        <v>-193.38082960182842</v>
      </c>
      <c r="Z833" s="16">
        <v>8</v>
      </c>
      <c r="AA833" s="16">
        <v>17</v>
      </c>
      <c r="AB833" s="8">
        <f t="shared" si="350"/>
        <v>0.29721362229102166</v>
      </c>
      <c r="AC833" s="16">
        <f t="shared" si="373"/>
        <v>64.60808893273439</v>
      </c>
      <c r="AD833" s="20">
        <f>'PFAS Properties'!$W$46</f>
        <v>8</v>
      </c>
      <c r="AE833" s="8">
        <f>'PFAS Properties'!$S$46</f>
        <v>2.0166155475571776</v>
      </c>
      <c r="AF833" s="15">
        <f>'PFAS Properties'!$V$46</f>
        <v>5</v>
      </c>
      <c r="AG833" s="24">
        <v>6.23</v>
      </c>
      <c r="AH833" s="2" t="s">
        <v>661</v>
      </c>
      <c r="AI833" s="2">
        <v>25</v>
      </c>
      <c r="AJ833" s="15">
        <f t="shared" si="376"/>
        <v>447.66765153550006</v>
      </c>
      <c r="AK833" s="15">
        <f t="shared" si="377"/>
        <v>2.5</v>
      </c>
      <c r="AL833" s="2">
        <v>11</v>
      </c>
      <c r="AM833" s="15">
        <f t="shared" si="378"/>
        <v>407.70941438102295</v>
      </c>
      <c r="AN833" s="15">
        <f t="shared" si="379"/>
        <v>1.1000000000000001</v>
      </c>
      <c r="AO833" s="2" t="s">
        <v>710</v>
      </c>
      <c r="AP833" s="71">
        <v>5.7400666666666664</v>
      </c>
      <c r="AQ833" s="70" t="s">
        <v>752</v>
      </c>
      <c r="AR833" s="2">
        <v>75</v>
      </c>
      <c r="AS833" s="2">
        <v>8.6</v>
      </c>
      <c r="AT833" s="2">
        <v>8.8000000000000007</v>
      </c>
      <c r="AU833" s="2" t="s">
        <v>661</v>
      </c>
      <c r="AV833" s="16">
        <f t="shared" si="374"/>
        <v>92.399999999999991</v>
      </c>
      <c r="AW833" s="20">
        <v>3.6</v>
      </c>
      <c r="AX833" s="8">
        <f t="shared" si="383"/>
        <v>3.6000000000000004E-2</v>
      </c>
      <c r="AY833" s="8" t="s">
        <v>67</v>
      </c>
      <c r="AZ833" s="16">
        <f t="shared" si="380"/>
        <v>20</v>
      </c>
      <c r="BA833" s="16" t="s">
        <v>55</v>
      </c>
      <c r="BB833" s="16">
        <v>10</v>
      </c>
      <c r="BC833" s="16" t="s">
        <v>55</v>
      </c>
      <c r="BD833" s="18">
        <v>30.37</v>
      </c>
      <c r="BE833" s="16">
        <f t="shared" si="375"/>
        <v>843.61111111111109</v>
      </c>
      <c r="BF833" s="16">
        <f t="shared" si="354"/>
        <v>2.926142291150978</v>
      </c>
      <c r="BG833" s="8">
        <f t="shared" si="367"/>
        <v>1.4824447919182653</v>
      </c>
      <c r="BH833" s="13" t="s">
        <v>841</v>
      </c>
      <c r="BI833" s="13"/>
      <c r="BJ833" s="13"/>
      <c r="BK833" s="8"/>
      <c r="BL833" s="8"/>
      <c r="BM833" s="18"/>
      <c r="BN833" s="8"/>
      <c r="BO833" s="24"/>
    </row>
    <row r="834" spans="1:67" s="14" customFormat="1" x14ac:dyDescent="0.3">
      <c r="A834" s="20">
        <v>851</v>
      </c>
      <c r="B834" s="2" t="s">
        <v>219</v>
      </c>
      <c r="C834" s="2">
        <v>2020</v>
      </c>
      <c r="D834" s="2" t="s">
        <v>201</v>
      </c>
      <c r="E834" s="10" t="s">
        <v>801</v>
      </c>
      <c r="F834" s="20" t="s">
        <v>29</v>
      </c>
      <c r="G834" s="2" t="s">
        <v>75</v>
      </c>
      <c r="H834" s="2" t="str">
        <f>'PFAS Properties'!$B$46</f>
        <v>PFOS</v>
      </c>
      <c r="I834" s="2" t="str">
        <f>'PFAS Properties'!$C$46</f>
        <v>PFSA</v>
      </c>
      <c r="J834" s="2" t="str">
        <f>'PFAS Properties'!$D$46</f>
        <v>C8HF17O3S</v>
      </c>
      <c r="K834" s="25">
        <f>'PFAS Properties'!$P$46</f>
        <v>499.93739999999997</v>
      </c>
      <c r="L834" s="2">
        <f>'PFAS Properties'!$X$46</f>
        <v>0.1</v>
      </c>
      <c r="M834" s="2" t="str">
        <f>'PFAS Properties'!$Y$46</f>
        <v>-</v>
      </c>
      <c r="N834" s="33">
        <v>0</v>
      </c>
      <c r="O834" s="33">
        <v>0</v>
      </c>
      <c r="P834" s="33">
        <v>0</v>
      </c>
      <c r="Q834" s="33">
        <f t="shared" si="381"/>
        <v>0.99999993543458121</v>
      </c>
      <c r="R834" s="33">
        <v>0</v>
      </c>
      <c r="S834" s="33">
        <f t="shared" si="382"/>
        <v>6.4565418734771836E-8</v>
      </c>
      <c r="T834" s="8">
        <f t="shared" si="365"/>
        <v>1</v>
      </c>
      <c r="U834" s="33">
        <f t="shared" si="346"/>
        <v>0</v>
      </c>
      <c r="V834" s="33">
        <f t="shared" si="347"/>
        <v>-0.99999993543458121</v>
      </c>
      <c r="W834" s="33">
        <f t="shared" si="348"/>
        <v>498.93740006456534</v>
      </c>
      <c r="X834" s="33">
        <v>96485</v>
      </c>
      <c r="Y834" s="16">
        <f t="shared" si="349"/>
        <v>-193.38096073359074</v>
      </c>
      <c r="Z834" s="16">
        <v>8</v>
      </c>
      <c r="AA834" s="16">
        <v>17</v>
      </c>
      <c r="AB834" s="8">
        <f t="shared" si="350"/>
        <v>0.29721362229102166</v>
      </c>
      <c r="AC834" s="16">
        <f t="shared" si="373"/>
        <v>64.60808893273439</v>
      </c>
      <c r="AD834" s="20">
        <f>'PFAS Properties'!$W$46</f>
        <v>8</v>
      </c>
      <c r="AE834" s="8">
        <f>'PFAS Properties'!$S$46</f>
        <v>2.0166155475571776</v>
      </c>
      <c r="AF834" s="15">
        <f>'PFAS Properties'!$V$46</f>
        <v>5</v>
      </c>
      <c r="AG834" s="24">
        <v>7.29</v>
      </c>
      <c r="AH834" s="2" t="s">
        <v>661</v>
      </c>
      <c r="AI834" s="2">
        <v>5.3</v>
      </c>
      <c r="AJ834" s="15">
        <f t="shared" si="376"/>
        <v>94.905542125526011</v>
      </c>
      <c r="AK834" s="15">
        <f t="shared" si="377"/>
        <v>0.53</v>
      </c>
      <c r="AL834" s="2">
        <v>2.1</v>
      </c>
      <c r="AM834" s="15">
        <f t="shared" si="378"/>
        <v>77.835433654558926</v>
      </c>
      <c r="AN834" s="15">
        <f t="shared" si="379"/>
        <v>0.21000000000000002</v>
      </c>
      <c r="AO834" s="2" t="s">
        <v>710</v>
      </c>
      <c r="AP834" s="71">
        <v>6.4225666666666674</v>
      </c>
      <c r="AQ834" s="70" t="s">
        <v>752</v>
      </c>
      <c r="AR834" s="2">
        <v>90</v>
      </c>
      <c r="AS834" s="2">
        <v>2.2999999999999998</v>
      </c>
      <c r="AT834" s="2">
        <v>0.3</v>
      </c>
      <c r="AU834" s="2" t="s">
        <v>661</v>
      </c>
      <c r="AV834" s="16">
        <f t="shared" si="374"/>
        <v>92.6</v>
      </c>
      <c r="AW834" s="20">
        <v>0.7</v>
      </c>
      <c r="AX834" s="8">
        <f t="shared" si="383"/>
        <v>6.9999999999999993E-3</v>
      </c>
      <c r="AY834" s="8" t="s">
        <v>67</v>
      </c>
      <c r="AZ834" s="16">
        <f t="shared" si="380"/>
        <v>20</v>
      </c>
      <c r="BA834" s="16" t="s">
        <v>55</v>
      </c>
      <c r="BB834" s="16">
        <v>10</v>
      </c>
      <c r="BC834" s="16" t="s">
        <v>55</v>
      </c>
      <c r="BD834" s="18">
        <v>9.52</v>
      </c>
      <c r="BE834" s="16">
        <f t="shared" si="375"/>
        <v>1360</v>
      </c>
      <c r="BF834" s="16">
        <f t="shared" si="354"/>
        <v>3.1335389083702174</v>
      </c>
      <c r="BG834" s="8">
        <f t="shared" si="367"/>
        <v>0.97863694838447435</v>
      </c>
      <c r="BH834" s="13" t="s">
        <v>841</v>
      </c>
      <c r="BI834" s="13"/>
      <c r="BJ834" s="13"/>
      <c r="BK834" s="8"/>
      <c r="BL834" s="8"/>
      <c r="BM834" s="18"/>
      <c r="BN834" s="8"/>
      <c r="BO834" s="24"/>
    </row>
    <row r="835" spans="1:67" s="14" customFormat="1" x14ac:dyDescent="0.3">
      <c r="A835" s="20">
        <v>852</v>
      </c>
      <c r="B835" s="2" t="s">
        <v>219</v>
      </c>
      <c r="C835" s="2">
        <v>2020</v>
      </c>
      <c r="D835" s="2" t="s">
        <v>201</v>
      </c>
      <c r="E835" s="10" t="s">
        <v>801</v>
      </c>
      <c r="F835" s="20" t="s">
        <v>29</v>
      </c>
      <c r="G835" s="2" t="s">
        <v>121</v>
      </c>
      <c r="H835" s="2" t="str">
        <f>'PFAS Properties'!$B$46</f>
        <v>PFOS</v>
      </c>
      <c r="I835" s="2" t="str">
        <f>'PFAS Properties'!$C$46</f>
        <v>PFSA</v>
      </c>
      <c r="J835" s="2" t="str">
        <f>'PFAS Properties'!$D$46</f>
        <v>C8HF17O3S</v>
      </c>
      <c r="K835" s="25">
        <f>'PFAS Properties'!$P$46</f>
        <v>499.93739999999997</v>
      </c>
      <c r="L835" s="2">
        <f>'PFAS Properties'!$X$46</f>
        <v>0.1</v>
      </c>
      <c r="M835" s="2" t="str">
        <f>'PFAS Properties'!$Y$46</f>
        <v>-</v>
      </c>
      <c r="N835" s="33">
        <v>0</v>
      </c>
      <c r="O835" s="33">
        <v>0</v>
      </c>
      <c r="P835" s="33">
        <v>0</v>
      </c>
      <c r="Q835" s="33">
        <f t="shared" si="381"/>
        <v>0.99999992237529434</v>
      </c>
      <c r="R835" s="33">
        <v>0</v>
      </c>
      <c r="S835" s="33">
        <f t="shared" si="382"/>
        <v>7.7624705637273547E-8</v>
      </c>
      <c r="T835" s="8">
        <f t="shared" si="365"/>
        <v>1</v>
      </c>
      <c r="U835" s="33">
        <f t="shared" ref="U835:U897" si="384">((1*N835)+(1*O835)+(1*P835))</f>
        <v>0</v>
      </c>
      <c r="V835" s="33">
        <f t="shared" ref="V835:V897" si="385">-((1*O835)+(2*P835)+(1*Q835)+(2*R835))</f>
        <v>-0.99999992237529434</v>
      </c>
      <c r="W835" s="33">
        <f t="shared" ref="W835:W897" si="386">(N835*(K835+1))+(O835*K835)+(P835*(K835-1))+(Q835*(K835-1))+(R835*(K835-2))+(S835*K835)</f>
        <v>498.93740007762466</v>
      </c>
      <c r="X835" s="33">
        <v>96485</v>
      </c>
      <c r="Y835" s="16">
        <f t="shared" ref="Y835:Y897" si="387">((V835+U835)/W835)*X835</f>
        <v>-193.38095820311156</v>
      </c>
      <c r="Z835" s="16">
        <v>8</v>
      </c>
      <c r="AA835" s="16">
        <v>17</v>
      </c>
      <c r="AB835" s="8">
        <f t="shared" ref="AB835:AB897" si="388">(Z835/AA835)*(12/19)</f>
        <v>0.29721362229102166</v>
      </c>
      <c r="AC835" s="16">
        <f t="shared" si="373"/>
        <v>64.60808893273439</v>
      </c>
      <c r="AD835" s="20">
        <f>'PFAS Properties'!$W$46</f>
        <v>8</v>
      </c>
      <c r="AE835" s="8">
        <f>'PFAS Properties'!$S$46</f>
        <v>2.0166155475571776</v>
      </c>
      <c r="AF835" s="15">
        <f>'PFAS Properties'!$V$46</f>
        <v>5</v>
      </c>
      <c r="AG835" s="24">
        <v>7.21</v>
      </c>
      <c r="AH835" s="2" t="s">
        <v>661</v>
      </c>
      <c r="AI835" s="2">
        <v>37</v>
      </c>
      <c r="AJ835" s="15">
        <f t="shared" si="376"/>
        <v>662.54812427254012</v>
      </c>
      <c r="AK835" s="15">
        <f t="shared" si="377"/>
        <v>3.7</v>
      </c>
      <c r="AL835" s="2">
        <v>4.9000000000000004</v>
      </c>
      <c r="AM835" s="15">
        <f t="shared" si="378"/>
        <v>181.61601186063751</v>
      </c>
      <c r="AN835" s="15">
        <f t="shared" si="379"/>
        <v>0.49000000000000005</v>
      </c>
      <c r="AO835" s="2" t="s">
        <v>710</v>
      </c>
      <c r="AP835" s="71">
        <v>8.0642166666666668</v>
      </c>
      <c r="AQ835" s="70" t="s">
        <v>752</v>
      </c>
      <c r="AR835" s="2">
        <v>57</v>
      </c>
      <c r="AS835" s="2">
        <v>8</v>
      </c>
      <c r="AT835" s="2">
        <v>15</v>
      </c>
      <c r="AU835" s="2" t="s">
        <v>661</v>
      </c>
      <c r="AV835" s="16">
        <f t="shared" si="374"/>
        <v>80</v>
      </c>
      <c r="AW835" s="20">
        <v>4.8</v>
      </c>
      <c r="AX835" s="8">
        <f t="shared" si="383"/>
        <v>4.8000000000000001E-2</v>
      </c>
      <c r="AY835" s="8" t="s">
        <v>67</v>
      </c>
      <c r="AZ835" s="16">
        <f t="shared" si="380"/>
        <v>20</v>
      </c>
      <c r="BA835" s="16" t="s">
        <v>55</v>
      </c>
      <c r="BB835" s="16">
        <v>10</v>
      </c>
      <c r="BC835" s="16" t="s">
        <v>55</v>
      </c>
      <c r="BD835" s="18">
        <v>18.05</v>
      </c>
      <c r="BE835" s="16">
        <f t="shared" si="375"/>
        <v>376.04166666666669</v>
      </c>
      <c r="BF835" s="16">
        <f t="shared" ref="BF835:BF897" si="389">LOG(BE835)</f>
        <v>2.5752359688660897</v>
      </c>
      <c r="BG835" s="8">
        <f t="shared" si="367"/>
        <v>1.2564772062416767</v>
      </c>
      <c r="BH835" s="13" t="s">
        <v>841</v>
      </c>
      <c r="BI835" s="13"/>
      <c r="BJ835" s="13"/>
      <c r="BK835" s="8"/>
      <c r="BL835" s="8"/>
      <c r="BM835" s="18"/>
      <c r="BN835" s="8"/>
      <c r="BO835" s="24"/>
    </row>
    <row r="836" spans="1:67" s="14" customFormat="1" x14ac:dyDescent="0.3">
      <c r="A836" s="20">
        <v>853</v>
      </c>
      <c r="B836" s="2" t="s">
        <v>219</v>
      </c>
      <c r="C836" s="2">
        <v>2020</v>
      </c>
      <c r="D836" s="2" t="s">
        <v>201</v>
      </c>
      <c r="E836" s="10" t="s">
        <v>801</v>
      </c>
      <c r="F836" s="20" t="s">
        <v>29</v>
      </c>
      <c r="G836" s="2" t="s">
        <v>60</v>
      </c>
      <c r="H836" s="2" t="str">
        <f>'PFAS Properties'!$B$46</f>
        <v>PFOS</v>
      </c>
      <c r="I836" s="2" t="str">
        <f>'PFAS Properties'!$C$46</f>
        <v>PFSA</v>
      </c>
      <c r="J836" s="2" t="str">
        <f>'PFAS Properties'!$D$46</f>
        <v>C8HF17O3S</v>
      </c>
      <c r="K836" s="25">
        <f>'PFAS Properties'!$P$46</f>
        <v>499.93739999999997</v>
      </c>
      <c r="L836" s="2">
        <f>'PFAS Properties'!$X$46</f>
        <v>0.1</v>
      </c>
      <c r="M836" s="2" t="str">
        <f>'PFAS Properties'!$Y$46</f>
        <v>-</v>
      </c>
      <c r="N836" s="33">
        <v>0</v>
      </c>
      <c r="O836" s="33">
        <v>0</v>
      </c>
      <c r="P836" s="33">
        <v>0</v>
      </c>
      <c r="Q836" s="33">
        <f t="shared" si="381"/>
        <v>0.99999987977357097</v>
      </c>
      <c r="R836" s="33">
        <v>0</v>
      </c>
      <c r="S836" s="33">
        <f t="shared" si="382"/>
        <v>1.2022642900734515E-7</v>
      </c>
      <c r="T836" s="8">
        <f t="shared" si="365"/>
        <v>1</v>
      </c>
      <c r="U836" s="33">
        <f t="shared" si="384"/>
        <v>0</v>
      </c>
      <c r="V836" s="33">
        <f t="shared" si="385"/>
        <v>-0.99999987977357097</v>
      </c>
      <c r="W836" s="33">
        <f t="shared" si="386"/>
        <v>498.93740012022636</v>
      </c>
      <c r="X836" s="33">
        <v>96485</v>
      </c>
      <c r="Y836" s="16">
        <f t="shared" si="387"/>
        <v>-193.38094994823703</v>
      </c>
      <c r="Z836" s="16">
        <v>8</v>
      </c>
      <c r="AA836" s="16">
        <v>17</v>
      </c>
      <c r="AB836" s="8">
        <f t="shared" si="388"/>
        <v>0.29721362229102166</v>
      </c>
      <c r="AC836" s="16">
        <f t="shared" si="373"/>
        <v>64.60808893273439</v>
      </c>
      <c r="AD836" s="20">
        <f>'PFAS Properties'!$W$46</f>
        <v>8</v>
      </c>
      <c r="AE836" s="8">
        <f>'PFAS Properties'!$S$46</f>
        <v>2.0166155475571776</v>
      </c>
      <c r="AF836" s="15">
        <f>'PFAS Properties'!$V$46</f>
        <v>5</v>
      </c>
      <c r="AG836" s="24">
        <v>7.02</v>
      </c>
      <c r="AH836" s="2" t="s">
        <v>661</v>
      </c>
      <c r="AI836" s="2">
        <v>22</v>
      </c>
      <c r="AJ836" s="15">
        <f t="shared" si="376"/>
        <v>393.94753335124005</v>
      </c>
      <c r="AK836" s="15">
        <f t="shared" si="377"/>
        <v>2.2000000000000002</v>
      </c>
      <c r="AL836" s="2">
        <v>5.9</v>
      </c>
      <c r="AM836" s="15">
        <f t="shared" si="378"/>
        <v>218.68050407709413</v>
      </c>
      <c r="AN836" s="15">
        <f t="shared" si="379"/>
        <v>0.59000000000000008</v>
      </c>
      <c r="AO836" s="2" t="s">
        <v>710</v>
      </c>
      <c r="AP836" s="71">
        <v>14.11508666666667</v>
      </c>
      <c r="AQ836" s="70" t="s">
        <v>752</v>
      </c>
      <c r="AR836" s="2">
        <v>45</v>
      </c>
      <c r="AS836" s="2">
        <v>24</v>
      </c>
      <c r="AT836" s="2">
        <v>20</v>
      </c>
      <c r="AU836" s="2" t="s">
        <v>661</v>
      </c>
      <c r="AV836" s="16">
        <f t="shared" si="374"/>
        <v>89</v>
      </c>
      <c r="AW836" s="20">
        <v>2.9</v>
      </c>
      <c r="AX836" s="8">
        <f t="shared" si="383"/>
        <v>2.8999999999999998E-2</v>
      </c>
      <c r="AY836" s="8" t="s">
        <v>67</v>
      </c>
      <c r="AZ836" s="16">
        <f t="shared" si="380"/>
        <v>20</v>
      </c>
      <c r="BA836" s="16" t="s">
        <v>55</v>
      </c>
      <c r="BB836" s="16">
        <v>10</v>
      </c>
      <c r="BC836" s="16" t="s">
        <v>55</v>
      </c>
      <c r="BD836" s="18">
        <v>34.72</v>
      </c>
      <c r="BE836" s="16">
        <f t="shared" si="375"/>
        <v>1197.2413793103449</v>
      </c>
      <c r="BF836" s="16">
        <f t="shared" si="389"/>
        <v>3.0781817186054981</v>
      </c>
      <c r="BG836" s="8">
        <f t="shared" si="367"/>
        <v>1.5405797165044544</v>
      </c>
      <c r="BH836" s="13" t="s">
        <v>841</v>
      </c>
      <c r="BI836" s="13"/>
      <c r="BJ836" s="13"/>
      <c r="BK836" s="8"/>
      <c r="BL836" s="8"/>
      <c r="BM836" s="18"/>
      <c r="BN836" s="8"/>
      <c r="BO836" s="24"/>
    </row>
    <row r="837" spans="1:67" s="14" customFormat="1" x14ac:dyDescent="0.3">
      <c r="A837" s="20">
        <v>854</v>
      </c>
      <c r="B837" s="2" t="s">
        <v>219</v>
      </c>
      <c r="C837" s="2">
        <v>2020</v>
      </c>
      <c r="D837" s="2" t="s">
        <v>201</v>
      </c>
      <c r="E837" s="10" t="s">
        <v>801</v>
      </c>
      <c r="F837" s="20" t="s">
        <v>29</v>
      </c>
      <c r="G837" s="2" t="s">
        <v>77</v>
      </c>
      <c r="H837" s="2" t="str">
        <f>'PFAS Properties'!$B$46</f>
        <v>PFOS</v>
      </c>
      <c r="I837" s="2" t="str">
        <f>'PFAS Properties'!$C$46</f>
        <v>PFSA</v>
      </c>
      <c r="J837" s="2" t="str">
        <f>'PFAS Properties'!$D$46</f>
        <v>C8HF17O3S</v>
      </c>
      <c r="K837" s="25">
        <f>'PFAS Properties'!$P$46</f>
        <v>499.93739999999997</v>
      </c>
      <c r="L837" s="2">
        <f>'PFAS Properties'!$X$46</f>
        <v>0.1</v>
      </c>
      <c r="M837" s="2" t="str">
        <f>'PFAS Properties'!$Y$46</f>
        <v>-</v>
      </c>
      <c r="N837" s="33">
        <v>0</v>
      </c>
      <c r="O837" s="33">
        <v>0</v>
      </c>
      <c r="P837" s="33">
        <v>0</v>
      </c>
      <c r="Q837" s="33">
        <f t="shared" si="381"/>
        <v>0.99999994629682321</v>
      </c>
      <c r="R837" s="33">
        <v>0</v>
      </c>
      <c r="S837" s="33">
        <f t="shared" si="382"/>
        <v>5.3703176752993845E-8</v>
      </c>
      <c r="T837" s="8">
        <f t="shared" si="365"/>
        <v>1</v>
      </c>
      <c r="U837" s="33">
        <f t="shared" si="384"/>
        <v>0</v>
      </c>
      <c r="V837" s="33">
        <f t="shared" si="385"/>
        <v>-0.99999994629682321</v>
      </c>
      <c r="W837" s="33">
        <f t="shared" si="386"/>
        <v>498.93740005370313</v>
      </c>
      <c r="X837" s="33">
        <v>96485</v>
      </c>
      <c r="Y837" s="16">
        <f t="shared" si="387"/>
        <v>-193.38096283835171</v>
      </c>
      <c r="Z837" s="16">
        <v>8</v>
      </c>
      <c r="AA837" s="16">
        <v>17</v>
      </c>
      <c r="AB837" s="8">
        <f t="shared" si="388"/>
        <v>0.29721362229102166</v>
      </c>
      <c r="AC837" s="16">
        <f t="shared" si="373"/>
        <v>64.60808893273439</v>
      </c>
      <c r="AD837" s="20">
        <f>'PFAS Properties'!$W$46</f>
        <v>8</v>
      </c>
      <c r="AE837" s="8">
        <f>'PFAS Properties'!$S$46</f>
        <v>2.0166155475571776</v>
      </c>
      <c r="AF837" s="15">
        <f>'PFAS Properties'!$V$46</f>
        <v>5</v>
      </c>
      <c r="AG837" s="24">
        <v>7.37</v>
      </c>
      <c r="AH837" s="2" t="s">
        <v>661</v>
      </c>
      <c r="AI837" s="2">
        <v>6.9</v>
      </c>
      <c r="AJ837" s="15">
        <f t="shared" si="376"/>
        <v>123.55627182379801</v>
      </c>
      <c r="AK837" s="15">
        <f t="shared" si="377"/>
        <v>0.69000000000000006</v>
      </c>
      <c r="AL837" s="2">
        <v>3.1</v>
      </c>
      <c r="AM837" s="15">
        <f t="shared" si="378"/>
        <v>114.89992587101557</v>
      </c>
      <c r="AN837" s="15">
        <f t="shared" si="379"/>
        <v>0.31</v>
      </c>
      <c r="AO837" s="2" t="s">
        <v>710</v>
      </c>
      <c r="AP837" s="71">
        <v>15.382516666666669</v>
      </c>
      <c r="AQ837" s="70" t="s">
        <v>752</v>
      </c>
      <c r="AR837" s="2">
        <v>73</v>
      </c>
      <c r="AS837" s="2">
        <v>4</v>
      </c>
      <c r="AT837" s="2">
        <v>9</v>
      </c>
      <c r="AU837" s="2" t="s">
        <v>661</v>
      </c>
      <c r="AV837" s="16">
        <f t="shared" si="374"/>
        <v>86</v>
      </c>
      <c r="AW837" s="20">
        <v>5.7</v>
      </c>
      <c r="AX837" s="8">
        <f t="shared" si="383"/>
        <v>5.7000000000000002E-2</v>
      </c>
      <c r="AY837" s="8" t="s">
        <v>67</v>
      </c>
      <c r="AZ837" s="16">
        <f t="shared" si="380"/>
        <v>20</v>
      </c>
      <c r="BA837" s="16" t="s">
        <v>55</v>
      </c>
      <c r="BB837" s="16">
        <v>10</v>
      </c>
      <c r="BC837" s="16" t="s">
        <v>55</v>
      </c>
      <c r="BD837" s="18">
        <v>37.200000000000003</v>
      </c>
      <c r="BE837" s="16">
        <f t="shared" si="375"/>
        <v>652.63157894736844</v>
      </c>
      <c r="BF837" s="16">
        <f t="shared" si="389"/>
        <v>2.8146680842094063</v>
      </c>
      <c r="BG837" s="8">
        <f t="shared" si="367"/>
        <v>1.5705429398818975</v>
      </c>
      <c r="BH837" s="13" t="s">
        <v>841</v>
      </c>
      <c r="BI837" s="13"/>
      <c r="BJ837" s="13"/>
      <c r="BK837" s="8"/>
      <c r="BL837" s="8"/>
      <c r="BM837" s="18"/>
      <c r="BN837" s="8"/>
      <c r="BO837" s="24"/>
    </row>
    <row r="838" spans="1:67" s="14" customFormat="1" x14ac:dyDescent="0.3">
      <c r="A838" s="20">
        <v>855</v>
      </c>
      <c r="B838" s="2" t="s">
        <v>219</v>
      </c>
      <c r="C838" s="2">
        <v>2020</v>
      </c>
      <c r="D838" s="2" t="s">
        <v>201</v>
      </c>
      <c r="E838" s="10" t="s">
        <v>801</v>
      </c>
      <c r="F838" s="20" t="s">
        <v>29</v>
      </c>
      <c r="G838" s="2" t="s">
        <v>78</v>
      </c>
      <c r="H838" s="2" t="str">
        <f>'PFAS Properties'!$B$46</f>
        <v>PFOS</v>
      </c>
      <c r="I838" s="2" t="str">
        <f>'PFAS Properties'!$C$46</f>
        <v>PFSA</v>
      </c>
      <c r="J838" s="2" t="str">
        <f>'PFAS Properties'!$D$46</f>
        <v>C8HF17O3S</v>
      </c>
      <c r="K838" s="25">
        <f>'PFAS Properties'!$P$46</f>
        <v>499.93739999999997</v>
      </c>
      <c r="L838" s="2">
        <f>'PFAS Properties'!$X$46</f>
        <v>0.1</v>
      </c>
      <c r="M838" s="2" t="str">
        <f>'PFAS Properties'!$Y$46</f>
        <v>-</v>
      </c>
      <c r="N838" s="33">
        <v>0</v>
      </c>
      <c r="O838" s="33">
        <v>0</v>
      </c>
      <c r="P838" s="33">
        <v>0</v>
      </c>
      <c r="Q838" s="33">
        <f t="shared" si="381"/>
        <v>0.99999996532631619</v>
      </c>
      <c r="R838" s="33">
        <v>0</v>
      </c>
      <c r="S838" s="33">
        <f t="shared" si="382"/>
        <v>3.467368384298878E-8</v>
      </c>
      <c r="T838" s="8">
        <f t="shared" si="365"/>
        <v>1</v>
      </c>
      <c r="U838" s="33">
        <f t="shared" si="384"/>
        <v>0</v>
      </c>
      <c r="V838" s="33">
        <f t="shared" si="385"/>
        <v>-0.99999996532631619</v>
      </c>
      <c r="W838" s="33">
        <f t="shared" si="386"/>
        <v>498.93740003467366</v>
      </c>
      <c r="X838" s="33">
        <v>96485</v>
      </c>
      <c r="Y838" s="16">
        <f t="shared" si="387"/>
        <v>-193.38096652566915</v>
      </c>
      <c r="Z838" s="16">
        <v>8</v>
      </c>
      <c r="AA838" s="16">
        <v>17</v>
      </c>
      <c r="AB838" s="8">
        <f t="shared" si="388"/>
        <v>0.29721362229102166</v>
      </c>
      <c r="AC838" s="16">
        <f t="shared" si="373"/>
        <v>64.60808893273439</v>
      </c>
      <c r="AD838" s="20">
        <f>'PFAS Properties'!$W$46</f>
        <v>8</v>
      </c>
      <c r="AE838" s="8">
        <f>'PFAS Properties'!$S$46</f>
        <v>2.0166155475571776</v>
      </c>
      <c r="AF838" s="15">
        <f>'PFAS Properties'!$V$46</f>
        <v>5</v>
      </c>
      <c r="AG838" s="24">
        <v>7.56</v>
      </c>
      <c r="AH838" s="2" t="s">
        <v>661</v>
      </c>
      <c r="AI838" s="2">
        <v>1.5</v>
      </c>
      <c r="AJ838" s="15">
        <f t="shared" si="376"/>
        <v>26.860059092130005</v>
      </c>
      <c r="AK838" s="15">
        <f t="shared" si="377"/>
        <v>0.15</v>
      </c>
      <c r="AL838" s="2">
        <v>0.6</v>
      </c>
      <c r="AM838" s="15">
        <f t="shared" si="378"/>
        <v>22.23869532987398</v>
      </c>
      <c r="AN838" s="15">
        <f t="shared" si="379"/>
        <v>0.06</v>
      </c>
      <c r="AO838" s="2" t="s">
        <v>710</v>
      </c>
      <c r="AP838" s="71">
        <v>11.48601666666667</v>
      </c>
      <c r="AQ838" s="70" t="s">
        <v>752</v>
      </c>
      <c r="AR838" s="2">
        <v>98</v>
      </c>
      <c r="AS838" s="2">
        <v>0.1</v>
      </c>
      <c r="AT838" s="2">
        <v>0.6</v>
      </c>
      <c r="AU838" s="2" t="s">
        <v>661</v>
      </c>
      <c r="AV838" s="16">
        <f t="shared" si="374"/>
        <v>98.699999999999989</v>
      </c>
      <c r="AW838" s="20">
        <v>0.1</v>
      </c>
      <c r="AX838" s="8">
        <f t="shared" si="383"/>
        <v>1E-3</v>
      </c>
      <c r="AY838" s="8" t="s">
        <v>67</v>
      </c>
      <c r="AZ838" s="16">
        <f t="shared" si="380"/>
        <v>20</v>
      </c>
      <c r="BA838" s="16" t="s">
        <v>55</v>
      </c>
      <c r="BB838" s="16">
        <v>10</v>
      </c>
      <c r="BC838" s="16" t="s">
        <v>55</v>
      </c>
      <c r="BD838" s="18">
        <v>3.8</v>
      </c>
      <c r="BE838" s="16">
        <f t="shared" si="375"/>
        <v>3799.9999999999995</v>
      </c>
      <c r="BF838" s="16">
        <f t="shared" si="389"/>
        <v>3.5797835966168101</v>
      </c>
      <c r="BG838" s="8">
        <f t="shared" si="367"/>
        <v>0.57978359661681012</v>
      </c>
      <c r="BH838" s="13" t="s">
        <v>841</v>
      </c>
      <c r="BI838" s="13"/>
      <c r="BJ838" s="13"/>
      <c r="BK838" s="8"/>
      <c r="BL838" s="8"/>
      <c r="BM838" s="18"/>
      <c r="BN838" s="8"/>
      <c r="BO838" s="24"/>
    </row>
    <row r="839" spans="1:67" s="14" customFormat="1" x14ac:dyDescent="0.3">
      <c r="A839" s="20">
        <v>856</v>
      </c>
      <c r="B839" s="2" t="s">
        <v>219</v>
      </c>
      <c r="C839" s="2">
        <v>2020</v>
      </c>
      <c r="D839" s="2" t="s">
        <v>201</v>
      </c>
      <c r="E839" s="10" t="s">
        <v>801</v>
      </c>
      <c r="F839" s="20" t="s">
        <v>29</v>
      </c>
      <c r="G839" s="2" t="s">
        <v>79</v>
      </c>
      <c r="H839" s="2" t="str">
        <f>'PFAS Properties'!$B$46</f>
        <v>PFOS</v>
      </c>
      <c r="I839" s="2" t="str">
        <f>'PFAS Properties'!$C$46</f>
        <v>PFSA</v>
      </c>
      <c r="J839" s="2" t="str">
        <f>'PFAS Properties'!$D$46</f>
        <v>C8HF17O3S</v>
      </c>
      <c r="K839" s="25">
        <f>'PFAS Properties'!$P$46</f>
        <v>499.93739999999997</v>
      </c>
      <c r="L839" s="2">
        <f>'PFAS Properties'!$X$46</f>
        <v>0.1</v>
      </c>
      <c r="M839" s="2" t="str">
        <f>'PFAS Properties'!$Y$46</f>
        <v>-</v>
      </c>
      <c r="N839" s="33">
        <v>0</v>
      </c>
      <c r="O839" s="33">
        <v>0</v>
      </c>
      <c r="P839" s="33">
        <v>0</v>
      </c>
      <c r="Q839" s="33">
        <f t="shared" si="381"/>
        <v>0.99999997601167134</v>
      </c>
      <c r="R839" s="33">
        <v>0</v>
      </c>
      <c r="S839" s="33">
        <f t="shared" si="382"/>
        <v>2.3988328614754938E-8</v>
      </c>
      <c r="T839" s="8">
        <f t="shared" si="365"/>
        <v>1</v>
      </c>
      <c r="U839" s="33">
        <f t="shared" si="384"/>
        <v>0</v>
      </c>
      <c r="V839" s="33">
        <f t="shared" si="385"/>
        <v>-0.99999997601167134</v>
      </c>
      <c r="W839" s="33">
        <f t="shared" si="386"/>
        <v>498.93740002398823</v>
      </c>
      <c r="X839" s="33">
        <v>96485</v>
      </c>
      <c r="Y839" s="16">
        <f t="shared" si="387"/>
        <v>-193.38096859615501</v>
      </c>
      <c r="Z839" s="16">
        <v>8</v>
      </c>
      <c r="AA839" s="16">
        <v>17</v>
      </c>
      <c r="AB839" s="8">
        <f t="shared" si="388"/>
        <v>0.29721362229102166</v>
      </c>
      <c r="AC839" s="16">
        <f t="shared" si="373"/>
        <v>64.60808893273439</v>
      </c>
      <c r="AD839" s="20">
        <f>'PFAS Properties'!$W$46</f>
        <v>8</v>
      </c>
      <c r="AE839" s="8">
        <f>'PFAS Properties'!$S$46</f>
        <v>2.0166155475571776</v>
      </c>
      <c r="AF839" s="15">
        <f>'PFAS Properties'!$V$46</f>
        <v>5</v>
      </c>
      <c r="AG839" s="24">
        <v>7.72</v>
      </c>
      <c r="AH839" s="2" t="s">
        <v>661</v>
      </c>
      <c r="AI839" s="2">
        <v>12</v>
      </c>
      <c r="AJ839" s="15">
        <f t="shared" si="376"/>
        <v>214.88047273704004</v>
      </c>
      <c r="AK839" s="15">
        <f t="shared" si="377"/>
        <v>1.2</v>
      </c>
      <c r="AL839" s="2">
        <v>5.8</v>
      </c>
      <c r="AM839" s="15">
        <f t="shared" si="378"/>
        <v>214.97405485544849</v>
      </c>
      <c r="AN839" s="15">
        <f t="shared" si="379"/>
        <v>0.57999999999999996</v>
      </c>
      <c r="AO839" s="2" t="s">
        <v>710</v>
      </c>
      <c r="AP839" s="71">
        <v>8.416266666666667</v>
      </c>
      <c r="AQ839" s="70" t="s">
        <v>752</v>
      </c>
      <c r="AR839" s="2">
        <v>32</v>
      </c>
      <c r="AS839" s="2">
        <v>31</v>
      </c>
      <c r="AT839" s="2">
        <v>38</v>
      </c>
      <c r="AU839" s="2" t="s">
        <v>661</v>
      </c>
      <c r="AV839" s="16">
        <f t="shared" si="374"/>
        <v>101</v>
      </c>
      <c r="AW839" s="20">
        <v>11</v>
      </c>
      <c r="AX839" s="8">
        <f t="shared" si="383"/>
        <v>0.11</v>
      </c>
      <c r="AY839" s="8" t="s">
        <v>67</v>
      </c>
      <c r="AZ839" s="16">
        <f t="shared" si="380"/>
        <v>20</v>
      </c>
      <c r="BA839" s="16" t="s">
        <v>55</v>
      </c>
      <c r="BB839" s="16">
        <v>10</v>
      </c>
      <c r="BC839" s="16" t="s">
        <v>55</v>
      </c>
      <c r="BD839" s="18">
        <v>102.56</v>
      </c>
      <c r="BE839" s="16">
        <f t="shared" si="375"/>
        <v>932.36363636363637</v>
      </c>
      <c r="BF839" s="16">
        <f t="shared" si="389"/>
        <v>2.9695853270165173</v>
      </c>
      <c r="BG839" s="8">
        <f t="shared" si="367"/>
        <v>2.0109780121747423</v>
      </c>
      <c r="BH839" s="13" t="s">
        <v>841</v>
      </c>
      <c r="BI839" s="13"/>
      <c r="BJ839" s="13"/>
      <c r="BK839" s="8"/>
      <c r="BL839" s="8"/>
      <c r="BM839" s="18"/>
      <c r="BN839" s="8"/>
      <c r="BO839" s="24"/>
    </row>
    <row r="840" spans="1:67" s="14" customFormat="1" x14ac:dyDescent="0.3">
      <c r="A840" s="20">
        <v>857</v>
      </c>
      <c r="B840" s="2" t="s">
        <v>219</v>
      </c>
      <c r="C840" s="2">
        <v>2020</v>
      </c>
      <c r="D840" s="2" t="s">
        <v>201</v>
      </c>
      <c r="E840" s="10" t="s">
        <v>801</v>
      </c>
      <c r="F840" s="20" t="s">
        <v>29</v>
      </c>
      <c r="G840" s="2" t="s">
        <v>80</v>
      </c>
      <c r="H840" s="2" t="str">
        <f>'PFAS Properties'!$B$46</f>
        <v>PFOS</v>
      </c>
      <c r="I840" s="2" t="str">
        <f>'PFAS Properties'!$C$46</f>
        <v>PFSA</v>
      </c>
      <c r="J840" s="2" t="str">
        <f>'PFAS Properties'!$D$46</f>
        <v>C8HF17O3S</v>
      </c>
      <c r="K840" s="25">
        <f>'PFAS Properties'!$P$46</f>
        <v>499.93739999999997</v>
      </c>
      <c r="L840" s="2">
        <f>'PFAS Properties'!$X$46</f>
        <v>0.1</v>
      </c>
      <c r="M840" s="2" t="str">
        <f>'PFAS Properties'!$Y$46</f>
        <v>-</v>
      </c>
      <c r="N840" s="33">
        <v>0</v>
      </c>
      <c r="O840" s="33">
        <v>0</v>
      </c>
      <c r="P840" s="33">
        <v>0</v>
      </c>
      <c r="Q840" s="33">
        <f t="shared" si="381"/>
        <v>0.99999984151070587</v>
      </c>
      <c r="R840" s="33">
        <v>0</v>
      </c>
      <c r="S840" s="33">
        <f t="shared" si="382"/>
        <v>1.584892941272506E-7</v>
      </c>
      <c r="T840" s="8">
        <f t="shared" si="365"/>
        <v>1</v>
      </c>
      <c r="U840" s="33">
        <f t="shared" si="384"/>
        <v>0</v>
      </c>
      <c r="V840" s="33">
        <f t="shared" si="385"/>
        <v>-0.99999984151070587</v>
      </c>
      <c r="W840" s="33">
        <f t="shared" si="386"/>
        <v>498.93740015848931</v>
      </c>
      <c r="X840" s="33">
        <v>96485</v>
      </c>
      <c r="Y840" s="16">
        <f t="shared" si="387"/>
        <v>-193.38094253409676</v>
      </c>
      <c r="Z840" s="16">
        <v>8</v>
      </c>
      <c r="AA840" s="16">
        <v>17</v>
      </c>
      <c r="AB840" s="8">
        <f t="shared" si="388"/>
        <v>0.29721362229102166</v>
      </c>
      <c r="AC840" s="16">
        <f t="shared" si="373"/>
        <v>64.60808893273439</v>
      </c>
      <c r="AD840" s="20">
        <f>'PFAS Properties'!$W$46</f>
        <v>8</v>
      </c>
      <c r="AE840" s="8">
        <f>'PFAS Properties'!$S$46</f>
        <v>2.0166155475571776</v>
      </c>
      <c r="AF840" s="15">
        <f>'PFAS Properties'!$V$46</f>
        <v>5</v>
      </c>
      <c r="AG840" s="24">
        <v>6.9</v>
      </c>
      <c r="AH840" s="2" t="s">
        <v>661</v>
      </c>
      <c r="AI840" s="2">
        <v>42</v>
      </c>
      <c r="AJ840" s="15">
        <f t="shared" si="376"/>
        <v>752.08165457964014</v>
      </c>
      <c r="AK840" s="15">
        <f t="shared" si="377"/>
        <v>4.2</v>
      </c>
      <c r="AL840" s="2">
        <v>1</v>
      </c>
      <c r="AM840" s="15">
        <f t="shared" si="378"/>
        <v>37.064492216456635</v>
      </c>
      <c r="AN840" s="15">
        <f t="shared" si="379"/>
        <v>0.1</v>
      </c>
      <c r="AO840" s="2" t="s">
        <v>710</v>
      </c>
      <c r="AP840" s="71">
        <v>5.6875666666666662</v>
      </c>
      <c r="AQ840" s="70" t="s">
        <v>752</v>
      </c>
      <c r="AR840" s="2">
        <v>19</v>
      </c>
      <c r="AS840" s="2">
        <v>36</v>
      </c>
      <c r="AT840" s="2">
        <v>32</v>
      </c>
      <c r="AU840" s="2" t="s">
        <v>661</v>
      </c>
      <c r="AV840" s="16">
        <f t="shared" si="374"/>
        <v>87</v>
      </c>
      <c r="AW840" s="20">
        <v>5.9</v>
      </c>
      <c r="AX840" s="8">
        <f t="shared" si="383"/>
        <v>5.9000000000000004E-2</v>
      </c>
      <c r="AY840" s="8" t="s">
        <v>67</v>
      </c>
      <c r="AZ840" s="16">
        <f t="shared" si="380"/>
        <v>20</v>
      </c>
      <c r="BA840" s="16" t="s">
        <v>55</v>
      </c>
      <c r="BB840" s="16">
        <v>10</v>
      </c>
      <c r="BC840" s="16" t="s">
        <v>55</v>
      </c>
      <c r="BD840" s="18">
        <v>44.9</v>
      </c>
      <c r="BE840" s="16">
        <f t="shared" si="375"/>
        <v>761.01694915254234</v>
      </c>
      <c r="BF840" s="16">
        <f t="shared" si="389"/>
        <v>2.881394329361179</v>
      </c>
      <c r="BG840" s="8">
        <f t="shared" si="367"/>
        <v>1.6522463410033232</v>
      </c>
      <c r="BH840" s="13" t="s">
        <v>841</v>
      </c>
      <c r="BI840" s="13"/>
      <c r="BJ840" s="13"/>
      <c r="BK840" s="8"/>
      <c r="BL840" s="8"/>
      <c r="BM840" s="18"/>
      <c r="BN840" s="8"/>
      <c r="BO840" s="24"/>
    </row>
    <row r="841" spans="1:67" s="14" customFormat="1" x14ac:dyDescent="0.3">
      <c r="A841" s="20">
        <v>858</v>
      </c>
      <c r="B841" s="2" t="s">
        <v>219</v>
      </c>
      <c r="C841" s="2">
        <v>2020</v>
      </c>
      <c r="D841" s="2" t="s">
        <v>201</v>
      </c>
      <c r="E841" s="10" t="s">
        <v>801</v>
      </c>
      <c r="F841" s="20" t="s">
        <v>29</v>
      </c>
      <c r="G841" s="2" t="s">
        <v>81</v>
      </c>
      <c r="H841" s="2" t="str">
        <f>'PFAS Properties'!$B$46</f>
        <v>PFOS</v>
      </c>
      <c r="I841" s="2" t="str">
        <f>'PFAS Properties'!$C$46</f>
        <v>PFSA</v>
      </c>
      <c r="J841" s="2" t="str">
        <f>'PFAS Properties'!$D$46</f>
        <v>C8HF17O3S</v>
      </c>
      <c r="K841" s="25">
        <f>'PFAS Properties'!$P$46</f>
        <v>499.93739999999997</v>
      </c>
      <c r="L841" s="2">
        <f>'PFAS Properties'!$X$46</f>
        <v>0.1</v>
      </c>
      <c r="M841" s="2" t="str">
        <f>'PFAS Properties'!$Y$46</f>
        <v>-</v>
      </c>
      <c r="N841" s="33">
        <v>0</v>
      </c>
      <c r="O841" s="33">
        <v>0</v>
      </c>
      <c r="P841" s="33">
        <v>0</v>
      </c>
      <c r="Q841" s="33">
        <f t="shared" si="381"/>
        <v>0.99999979107043058</v>
      </c>
      <c r="R841" s="33">
        <v>0</v>
      </c>
      <c r="S841" s="33">
        <f t="shared" si="382"/>
        <v>2.0892956943382908E-7</v>
      </c>
      <c r="T841" s="8">
        <f t="shared" si="365"/>
        <v>1</v>
      </c>
      <c r="U841" s="33">
        <f t="shared" si="384"/>
        <v>0</v>
      </c>
      <c r="V841" s="33">
        <f t="shared" si="385"/>
        <v>-0.99999979107043058</v>
      </c>
      <c r="W841" s="33">
        <f t="shared" si="386"/>
        <v>498.93740020892955</v>
      </c>
      <c r="X841" s="33">
        <v>96485</v>
      </c>
      <c r="Y841" s="16">
        <f t="shared" si="387"/>
        <v>-193.3809327603573</v>
      </c>
      <c r="Z841" s="16">
        <v>8</v>
      </c>
      <c r="AA841" s="16">
        <v>17</v>
      </c>
      <c r="AB841" s="8">
        <f t="shared" si="388"/>
        <v>0.29721362229102166</v>
      </c>
      <c r="AC841" s="16">
        <f t="shared" si="373"/>
        <v>64.60808893273439</v>
      </c>
      <c r="AD841" s="20">
        <f>'PFAS Properties'!$W$46</f>
        <v>8</v>
      </c>
      <c r="AE841" s="8">
        <f>'PFAS Properties'!$S$46</f>
        <v>2.0166155475571776</v>
      </c>
      <c r="AF841" s="15">
        <f>'PFAS Properties'!$V$46</f>
        <v>5</v>
      </c>
      <c r="AG841" s="24">
        <v>6.78</v>
      </c>
      <c r="AH841" s="2" t="s">
        <v>661</v>
      </c>
      <c r="AI841" s="2">
        <v>15</v>
      </c>
      <c r="AJ841" s="15">
        <f t="shared" si="376"/>
        <v>268.60059092130001</v>
      </c>
      <c r="AK841" s="15">
        <f t="shared" si="377"/>
        <v>1.5</v>
      </c>
      <c r="AL841" s="2">
        <v>4.9000000000000004</v>
      </c>
      <c r="AM841" s="15">
        <f t="shared" si="378"/>
        <v>181.61601186063751</v>
      </c>
      <c r="AN841" s="15">
        <f t="shared" si="379"/>
        <v>0.49000000000000005</v>
      </c>
      <c r="AO841" s="2" t="s">
        <v>710</v>
      </c>
      <c r="AP841" s="71">
        <v>6.7671166666666656</v>
      </c>
      <c r="AQ841" s="70" t="s">
        <v>752</v>
      </c>
      <c r="AR841" s="2">
        <v>79</v>
      </c>
      <c r="AS841" s="2">
        <v>4</v>
      </c>
      <c r="AT841" s="2">
        <v>9</v>
      </c>
      <c r="AU841" s="2" t="s">
        <v>661</v>
      </c>
      <c r="AV841" s="16">
        <f t="shared" si="374"/>
        <v>92</v>
      </c>
      <c r="AW841" s="20">
        <v>3.2</v>
      </c>
      <c r="AX841" s="8">
        <f t="shared" si="383"/>
        <v>3.2000000000000001E-2</v>
      </c>
      <c r="AY841" s="8" t="s">
        <v>67</v>
      </c>
      <c r="AZ841" s="16">
        <f t="shared" si="380"/>
        <v>20</v>
      </c>
      <c r="BA841" s="16" t="s">
        <v>55</v>
      </c>
      <c r="BB841" s="16">
        <v>10</v>
      </c>
      <c r="BC841" s="16" t="s">
        <v>55</v>
      </c>
      <c r="BD841" s="18">
        <v>35.1</v>
      </c>
      <c r="BE841" s="16">
        <f t="shared" si="375"/>
        <v>1096.875</v>
      </c>
      <c r="BF841" s="16">
        <f t="shared" si="389"/>
        <v>3.040157138145918</v>
      </c>
      <c r="BG841" s="8">
        <f t="shared" si="367"/>
        <v>1.5453071164658241</v>
      </c>
      <c r="BH841" s="13" t="s">
        <v>841</v>
      </c>
      <c r="BI841" s="13"/>
      <c r="BJ841" s="13"/>
      <c r="BK841" s="8"/>
      <c r="BL841" s="8"/>
      <c r="BM841" s="18"/>
      <c r="BN841" s="8"/>
      <c r="BO841" s="24"/>
    </row>
    <row r="842" spans="1:67" s="14" customFormat="1" x14ac:dyDescent="0.3">
      <c r="A842" s="20">
        <v>859</v>
      </c>
      <c r="B842" s="2" t="s">
        <v>219</v>
      </c>
      <c r="C842" s="2">
        <v>2020</v>
      </c>
      <c r="D842" s="2" t="s">
        <v>201</v>
      </c>
      <c r="E842" s="10" t="s">
        <v>801</v>
      </c>
      <c r="F842" s="20" t="s">
        <v>29</v>
      </c>
      <c r="G842" s="2" t="s">
        <v>82</v>
      </c>
      <c r="H842" s="2" t="str">
        <f>'PFAS Properties'!$B$46</f>
        <v>PFOS</v>
      </c>
      <c r="I842" s="2" t="str">
        <f>'PFAS Properties'!$C$46</f>
        <v>PFSA</v>
      </c>
      <c r="J842" s="2" t="str">
        <f>'PFAS Properties'!$D$46</f>
        <v>C8HF17O3S</v>
      </c>
      <c r="K842" s="25">
        <f>'PFAS Properties'!$P$46</f>
        <v>499.93739999999997</v>
      </c>
      <c r="L842" s="2">
        <f>'PFAS Properties'!$X$46</f>
        <v>0.1</v>
      </c>
      <c r="M842" s="2" t="str">
        <f>'PFAS Properties'!$Y$46</f>
        <v>-</v>
      </c>
      <c r="N842" s="33">
        <v>0</v>
      </c>
      <c r="O842" s="33">
        <v>0</v>
      </c>
      <c r="P842" s="33">
        <v>0</v>
      </c>
      <c r="Q842" s="33">
        <f t="shared" si="381"/>
        <v>0.99999993081690774</v>
      </c>
      <c r="R842" s="33">
        <v>0</v>
      </c>
      <c r="S842" s="33">
        <f t="shared" si="382"/>
        <v>6.9183092305592872E-8</v>
      </c>
      <c r="T842" s="8">
        <f t="shared" si="365"/>
        <v>1</v>
      </c>
      <c r="U842" s="33">
        <f t="shared" si="384"/>
        <v>0</v>
      </c>
      <c r="V842" s="33">
        <f t="shared" si="385"/>
        <v>-0.99999993081690774</v>
      </c>
      <c r="W842" s="33">
        <f t="shared" si="386"/>
        <v>498.93740006918307</v>
      </c>
      <c r="X842" s="33">
        <v>96485</v>
      </c>
      <c r="Y842" s="16">
        <f t="shared" si="387"/>
        <v>-193.38095983883079</v>
      </c>
      <c r="Z842" s="16">
        <v>8</v>
      </c>
      <c r="AA842" s="16">
        <v>17</v>
      </c>
      <c r="AB842" s="8">
        <f t="shared" si="388"/>
        <v>0.29721362229102166</v>
      </c>
      <c r="AC842" s="16">
        <f t="shared" si="373"/>
        <v>64.60808893273439</v>
      </c>
      <c r="AD842" s="20">
        <f>'PFAS Properties'!$W$46</f>
        <v>8</v>
      </c>
      <c r="AE842" s="8">
        <f>'PFAS Properties'!$S$46</f>
        <v>2.0166155475571776</v>
      </c>
      <c r="AF842" s="15">
        <f>'PFAS Properties'!$V$46</f>
        <v>5</v>
      </c>
      <c r="AG842" s="24">
        <v>7.26</v>
      </c>
      <c r="AH842" s="2" t="s">
        <v>661</v>
      </c>
      <c r="AI842" s="2">
        <v>26</v>
      </c>
      <c r="AJ842" s="15">
        <f t="shared" si="376"/>
        <v>465.57435759692004</v>
      </c>
      <c r="AK842" s="15">
        <f t="shared" si="377"/>
        <v>2.6</v>
      </c>
      <c r="AL842" s="2">
        <v>9.1999999999999993</v>
      </c>
      <c r="AM842" s="15">
        <f t="shared" si="378"/>
        <v>340.99332839140101</v>
      </c>
      <c r="AN842" s="15">
        <f t="shared" si="379"/>
        <v>0.91999999999999993</v>
      </c>
      <c r="AO842" s="2" t="s">
        <v>710</v>
      </c>
      <c r="AP842" s="71">
        <v>12.88201666666667</v>
      </c>
      <c r="AQ842" s="70" t="s">
        <v>752</v>
      </c>
      <c r="AR842" s="2">
        <v>37</v>
      </c>
      <c r="AS842" s="2">
        <v>14</v>
      </c>
      <c r="AT842" s="2">
        <v>34</v>
      </c>
      <c r="AU842" s="2" t="s">
        <v>661</v>
      </c>
      <c r="AV842" s="16">
        <f t="shared" si="374"/>
        <v>85</v>
      </c>
      <c r="AW842" s="20">
        <v>10</v>
      </c>
      <c r="AX842" s="8">
        <f t="shared" si="383"/>
        <v>0.1</v>
      </c>
      <c r="AY842" s="8" t="s">
        <v>67</v>
      </c>
      <c r="AZ842" s="16">
        <f t="shared" si="380"/>
        <v>20</v>
      </c>
      <c r="BA842" s="16" t="s">
        <v>55</v>
      </c>
      <c r="BB842" s="16">
        <v>10</v>
      </c>
      <c r="BC842" s="16" t="s">
        <v>55</v>
      </c>
      <c r="BD842" s="18">
        <v>86.75</v>
      </c>
      <c r="BE842" s="16">
        <f t="shared" si="375"/>
        <v>867.5</v>
      </c>
      <c r="BF842" s="16">
        <f t="shared" si="389"/>
        <v>2.9382694834629115</v>
      </c>
      <c r="BG842" s="8">
        <f t="shared" si="367"/>
        <v>1.9382694834629113</v>
      </c>
      <c r="BH842" s="13" t="s">
        <v>841</v>
      </c>
      <c r="BI842" s="13"/>
      <c r="BJ842" s="13"/>
      <c r="BK842" s="8"/>
      <c r="BL842" s="8"/>
      <c r="BM842" s="18"/>
      <c r="BN842" s="8"/>
      <c r="BO842" s="24"/>
    </row>
    <row r="843" spans="1:67" s="14" customFormat="1" x14ac:dyDescent="0.3">
      <c r="A843" s="20">
        <v>860</v>
      </c>
      <c r="B843" s="2" t="s">
        <v>219</v>
      </c>
      <c r="C843" s="2">
        <v>2020</v>
      </c>
      <c r="D843" s="2" t="s">
        <v>201</v>
      </c>
      <c r="E843" s="10" t="s">
        <v>801</v>
      </c>
      <c r="F843" s="20" t="s">
        <v>29</v>
      </c>
      <c r="G843" s="2" t="s">
        <v>83</v>
      </c>
      <c r="H843" s="2" t="str">
        <f>'PFAS Properties'!$B$46</f>
        <v>PFOS</v>
      </c>
      <c r="I843" s="2" t="str">
        <f>'PFAS Properties'!$C$46</f>
        <v>PFSA</v>
      </c>
      <c r="J843" s="2" t="str">
        <f>'PFAS Properties'!$D$46</f>
        <v>C8HF17O3S</v>
      </c>
      <c r="K843" s="25">
        <f>'PFAS Properties'!$P$46</f>
        <v>499.93739999999997</v>
      </c>
      <c r="L843" s="2">
        <f>'PFAS Properties'!$X$46</f>
        <v>0.1</v>
      </c>
      <c r="M843" s="2" t="str">
        <f>'PFAS Properties'!$Y$46</f>
        <v>-</v>
      </c>
      <c r="N843" s="33">
        <v>0</v>
      </c>
      <c r="O843" s="33">
        <v>0</v>
      </c>
      <c r="P843" s="33">
        <v>0</v>
      </c>
      <c r="Q843" s="33">
        <f t="shared" si="381"/>
        <v>0.99999991682362976</v>
      </c>
      <c r="R843" s="33">
        <v>0</v>
      </c>
      <c r="S843" s="33">
        <f t="shared" si="382"/>
        <v>8.3176370191957686E-8</v>
      </c>
      <c r="T843" s="8">
        <f t="shared" si="365"/>
        <v>1</v>
      </c>
      <c r="U843" s="33">
        <f t="shared" si="384"/>
        <v>0</v>
      </c>
      <c r="V843" s="33">
        <f t="shared" si="385"/>
        <v>-0.99999991682362976</v>
      </c>
      <c r="W843" s="33">
        <f t="shared" si="386"/>
        <v>498.93740008317633</v>
      </c>
      <c r="X843" s="33">
        <v>96485</v>
      </c>
      <c r="Y843" s="16">
        <f t="shared" si="387"/>
        <v>-193.38095712737351</v>
      </c>
      <c r="Z843" s="16">
        <v>8</v>
      </c>
      <c r="AA843" s="16">
        <v>17</v>
      </c>
      <c r="AB843" s="8">
        <f t="shared" si="388"/>
        <v>0.29721362229102166</v>
      </c>
      <c r="AC843" s="16">
        <f t="shared" si="373"/>
        <v>64.60808893273439</v>
      </c>
      <c r="AD843" s="20">
        <f>'PFAS Properties'!$W$46</f>
        <v>8</v>
      </c>
      <c r="AE843" s="8">
        <f>'PFAS Properties'!$S$46</f>
        <v>2.0166155475571776</v>
      </c>
      <c r="AF843" s="15">
        <f>'PFAS Properties'!$V$46</f>
        <v>5</v>
      </c>
      <c r="AG843" s="24">
        <v>7.18</v>
      </c>
      <c r="AH843" s="2" t="s">
        <v>661</v>
      </c>
      <c r="AI843" s="2">
        <v>25</v>
      </c>
      <c r="AJ843" s="15">
        <f t="shared" si="376"/>
        <v>447.66765153550006</v>
      </c>
      <c r="AK843" s="15">
        <f t="shared" si="377"/>
        <v>2.5</v>
      </c>
      <c r="AL843" s="2">
        <v>8.1999999999999993</v>
      </c>
      <c r="AM843" s="15">
        <f t="shared" si="378"/>
        <v>303.92883617494442</v>
      </c>
      <c r="AN843" s="15">
        <f t="shared" si="379"/>
        <v>0.82</v>
      </c>
      <c r="AO843" s="2" t="s">
        <v>710</v>
      </c>
      <c r="AP843" s="71">
        <v>12.04371666666666</v>
      </c>
      <c r="AQ843" s="70" t="s">
        <v>752</v>
      </c>
      <c r="AR843" s="2">
        <v>44</v>
      </c>
      <c r="AS843" s="2">
        <v>14</v>
      </c>
      <c r="AT843" s="2">
        <v>24</v>
      </c>
      <c r="AU843" s="2" t="s">
        <v>661</v>
      </c>
      <c r="AV843" s="16">
        <f t="shared" si="374"/>
        <v>82</v>
      </c>
      <c r="AW843" s="20">
        <v>10.1</v>
      </c>
      <c r="AX843" s="8">
        <f t="shared" si="383"/>
        <v>0.10099999999999999</v>
      </c>
      <c r="AY843" s="8" t="s">
        <v>67</v>
      </c>
      <c r="AZ843" s="16">
        <f t="shared" si="380"/>
        <v>20</v>
      </c>
      <c r="BA843" s="16" t="s">
        <v>55</v>
      </c>
      <c r="BB843" s="16">
        <v>10</v>
      </c>
      <c r="BC843" s="16" t="s">
        <v>55</v>
      </c>
      <c r="BD843" s="18">
        <v>71.08</v>
      </c>
      <c r="BE843" s="16">
        <f t="shared" si="375"/>
        <v>703.76237623762381</v>
      </c>
      <c r="BF843" s="16">
        <f t="shared" si="389"/>
        <v>2.8474260453506215</v>
      </c>
      <c r="BG843" s="8">
        <f t="shared" si="367"/>
        <v>1.8517474191332639</v>
      </c>
      <c r="BH843" s="13" t="s">
        <v>841</v>
      </c>
      <c r="BI843" s="13"/>
      <c r="BJ843" s="13"/>
      <c r="BK843" s="8"/>
      <c r="BL843" s="8"/>
      <c r="BM843" s="18"/>
      <c r="BN843" s="8"/>
      <c r="BO843" s="24"/>
    </row>
    <row r="844" spans="1:67" s="14" customFormat="1" x14ac:dyDescent="0.3">
      <c r="A844" s="20">
        <v>861</v>
      </c>
      <c r="B844" s="2" t="s">
        <v>219</v>
      </c>
      <c r="C844" s="2">
        <v>2020</v>
      </c>
      <c r="D844" s="2" t="s">
        <v>201</v>
      </c>
      <c r="E844" s="10" t="s">
        <v>801</v>
      </c>
      <c r="F844" s="20" t="s">
        <v>29</v>
      </c>
      <c r="G844" s="2" t="s">
        <v>84</v>
      </c>
      <c r="H844" s="2" t="str">
        <f>'PFAS Properties'!$B$46</f>
        <v>PFOS</v>
      </c>
      <c r="I844" s="2" t="str">
        <f>'PFAS Properties'!$C$46</f>
        <v>PFSA</v>
      </c>
      <c r="J844" s="2" t="str">
        <f>'PFAS Properties'!$D$46</f>
        <v>C8HF17O3S</v>
      </c>
      <c r="K844" s="25">
        <f>'PFAS Properties'!$P$46</f>
        <v>499.93739999999997</v>
      </c>
      <c r="L844" s="2">
        <f>'PFAS Properties'!$X$46</f>
        <v>0.1</v>
      </c>
      <c r="M844" s="2" t="str">
        <f>'PFAS Properties'!$Y$46</f>
        <v>-</v>
      </c>
      <c r="N844" s="33">
        <v>0</v>
      </c>
      <c r="O844" s="33">
        <v>0</v>
      </c>
      <c r="P844" s="33">
        <v>0</v>
      </c>
      <c r="Q844" s="33">
        <f t="shared" si="381"/>
        <v>0.99999989767071129</v>
      </c>
      <c r="R844" s="33">
        <v>0</v>
      </c>
      <c r="S844" s="33">
        <f t="shared" si="382"/>
        <v>1.0232928875679092E-7</v>
      </c>
      <c r="T844" s="8">
        <f t="shared" si="365"/>
        <v>1</v>
      </c>
      <c r="U844" s="33">
        <f t="shared" si="384"/>
        <v>0</v>
      </c>
      <c r="V844" s="33">
        <f t="shared" si="385"/>
        <v>-0.99999989767071129</v>
      </c>
      <c r="W844" s="33">
        <f t="shared" si="386"/>
        <v>498.93740010232932</v>
      </c>
      <c r="X844" s="33">
        <v>96485</v>
      </c>
      <c r="Y844" s="16">
        <f t="shared" si="387"/>
        <v>-193.38095341614004</v>
      </c>
      <c r="Z844" s="16">
        <v>8</v>
      </c>
      <c r="AA844" s="16">
        <v>17</v>
      </c>
      <c r="AB844" s="8">
        <f t="shared" si="388"/>
        <v>0.29721362229102166</v>
      </c>
      <c r="AC844" s="16">
        <f t="shared" si="373"/>
        <v>64.60808893273439</v>
      </c>
      <c r="AD844" s="20">
        <f>'PFAS Properties'!$W$46</f>
        <v>8</v>
      </c>
      <c r="AE844" s="8">
        <f>'PFAS Properties'!$S$46</f>
        <v>2.0166155475571776</v>
      </c>
      <c r="AF844" s="15">
        <f>'PFAS Properties'!$V$46</f>
        <v>5</v>
      </c>
      <c r="AG844" s="24">
        <v>7.09</v>
      </c>
      <c r="AH844" s="2" t="s">
        <v>661</v>
      </c>
      <c r="AI844" s="2">
        <v>28</v>
      </c>
      <c r="AJ844" s="15">
        <f t="shared" si="376"/>
        <v>501.38776971976006</v>
      </c>
      <c r="AK844" s="15">
        <f t="shared" si="377"/>
        <v>2.8</v>
      </c>
      <c r="AL844" s="2">
        <v>10</v>
      </c>
      <c r="AM844" s="15">
        <f t="shared" si="378"/>
        <v>370.64492216456637</v>
      </c>
      <c r="AN844" s="15">
        <f t="shared" si="379"/>
        <v>1</v>
      </c>
      <c r="AO844" s="2" t="s">
        <v>710</v>
      </c>
      <c r="AP844" s="71">
        <v>15.281916666666669</v>
      </c>
      <c r="AQ844" s="70" t="s">
        <v>752</v>
      </c>
      <c r="AR844" s="2">
        <v>15</v>
      </c>
      <c r="AS844" s="2">
        <v>26</v>
      </c>
      <c r="AT844" s="2">
        <v>42</v>
      </c>
      <c r="AU844" s="2" t="s">
        <v>661</v>
      </c>
      <c r="AV844" s="16">
        <f t="shared" si="374"/>
        <v>83</v>
      </c>
      <c r="AW844" s="20">
        <v>5.6</v>
      </c>
      <c r="AX844" s="8">
        <f t="shared" si="383"/>
        <v>5.5999999999999994E-2</v>
      </c>
      <c r="AY844" s="8" t="s">
        <v>67</v>
      </c>
      <c r="AZ844" s="16">
        <f t="shared" si="380"/>
        <v>20</v>
      </c>
      <c r="BA844" s="16" t="s">
        <v>55</v>
      </c>
      <c r="BB844" s="16">
        <v>10</v>
      </c>
      <c r="BC844" s="16" t="s">
        <v>55</v>
      </c>
      <c r="BD844" s="18">
        <v>51.79</v>
      </c>
      <c r="BE844" s="16">
        <f t="shared" si="375"/>
        <v>924.82142857142867</v>
      </c>
      <c r="BF844" s="16">
        <f t="shared" si="389"/>
        <v>2.9660578840116938</v>
      </c>
      <c r="BG844" s="8">
        <f t="shared" si="367"/>
        <v>1.714245911017894</v>
      </c>
      <c r="BH844" s="13" t="s">
        <v>841</v>
      </c>
      <c r="BI844" s="13"/>
      <c r="BJ844" s="13"/>
      <c r="BK844" s="8"/>
      <c r="BL844" s="8"/>
      <c r="BM844" s="18"/>
      <c r="BN844" s="8"/>
      <c r="BO844" s="24"/>
    </row>
    <row r="845" spans="1:67" s="14" customFormat="1" x14ac:dyDescent="0.3">
      <c r="A845" s="20">
        <v>862</v>
      </c>
      <c r="B845" s="2" t="s">
        <v>253</v>
      </c>
      <c r="C845" s="2">
        <v>2009</v>
      </c>
      <c r="D845" s="2" t="s">
        <v>199</v>
      </c>
      <c r="E845" s="10" t="s">
        <v>266</v>
      </c>
      <c r="F845" s="20" t="s">
        <v>29</v>
      </c>
      <c r="G845" s="2" t="s">
        <v>168</v>
      </c>
      <c r="H845" s="2" t="str">
        <f>'PFAS Properties'!$B$46</f>
        <v>PFOS</v>
      </c>
      <c r="I845" s="2" t="str">
        <f>'PFAS Properties'!$C$46</f>
        <v>PFSA</v>
      </c>
      <c r="J845" s="2" t="str">
        <f>'PFAS Properties'!$D$46</f>
        <v>C8HF17O3S</v>
      </c>
      <c r="K845" s="25">
        <f>'PFAS Properties'!$P$46</f>
        <v>499.93739999999997</v>
      </c>
      <c r="L845" s="2">
        <f>'PFAS Properties'!$X$46</f>
        <v>0.1</v>
      </c>
      <c r="M845" s="2" t="str">
        <f>'PFAS Properties'!$Y$46</f>
        <v>-</v>
      </c>
      <c r="N845" s="33">
        <v>0</v>
      </c>
      <c r="O845" s="33">
        <v>0</v>
      </c>
      <c r="P845" s="33">
        <v>0</v>
      </c>
      <c r="Q845" s="33">
        <f t="shared" si="381"/>
        <v>0.99999990000001004</v>
      </c>
      <c r="R845" s="33">
        <v>0</v>
      </c>
      <c r="S845" s="33">
        <f t="shared" si="382"/>
        <v>9.9999990000001005E-8</v>
      </c>
      <c r="T845" s="8">
        <f t="shared" si="365"/>
        <v>1</v>
      </c>
      <c r="U845" s="33">
        <f t="shared" si="384"/>
        <v>0</v>
      </c>
      <c r="V845" s="33">
        <f t="shared" si="385"/>
        <v>-0.99999990000001004</v>
      </c>
      <c r="W845" s="33">
        <f t="shared" si="386"/>
        <v>498.93740009999999</v>
      </c>
      <c r="X845" s="33">
        <v>96485</v>
      </c>
      <c r="Y845" s="16">
        <f t="shared" si="387"/>
        <v>-193.38095386748492</v>
      </c>
      <c r="Z845" s="16">
        <v>8</v>
      </c>
      <c r="AA845" s="16">
        <v>17</v>
      </c>
      <c r="AB845" s="8">
        <f t="shared" si="388"/>
        <v>0.29721362229102166</v>
      </c>
      <c r="AC845" s="16">
        <f t="shared" si="373"/>
        <v>64.60808893273439</v>
      </c>
      <c r="AD845" s="20">
        <f>'PFAS Properties'!$W$46</f>
        <v>8</v>
      </c>
      <c r="AE845" s="8">
        <f>'PFAS Properties'!$S$46</f>
        <v>2.0166155475571776</v>
      </c>
      <c r="AF845" s="15">
        <f>'PFAS Properties'!$V$46</f>
        <v>5</v>
      </c>
      <c r="AG845" s="24">
        <v>7.1</v>
      </c>
      <c r="AH845" s="2" t="s">
        <v>661</v>
      </c>
      <c r="AI845" s="2" t="s">
        <v>661</v>
      </c>
      <c r="AJ845" s="2" t="s">
        <v>661</v>
      </c>
      <c r="AK845" s="2" t="s">
        <v>661</v>
      </c>
      <c r="AL845" s="2" t="s">
        <v>661</v>
      </c>
      <c r="AM845" s="2" t="s">
        <v>661</v>
      </c>
      <c r="AN845" s="2" t="s">
        <v>661</v>
      </c>
      <c r="AO845" s="2" t="s">
        <v>661</v>
      </c>
      <c r="AP845" s="71">
        <v>15.66131666666667</v>
      </c>
      <c r="AQ845" s="70" t="s">
        <v>752</v>
      </c>
      <c r="AR845" s="71">
        <v>40.420299999999997</v>
      </c>
      <c r="AS845" s="71">
        <v>34.065649999999998</v>
      </c>
      <c r="AT845" s="71">
        <v>25.3141</v>
      </c>
      <c r="AU845" s="70" t="s">
        <v>752</v>
      </c>
      <c r="AV845" s="16">
        <f t="shared" si="374"/>
        <v>99.800049999999999</v>
      </c>
      <c r="AW845" s="20">
        <v>0.91</v>
      </c>
      <c r="AX845" s="8">
        <f t="shared" si="383"/>
        <v>9.1000000000000004E-3</v>
      </c>
      <c r="AY845" s="8" t="s">
        <v>87</v>
      </c>
      <c r="AZ845" s="16" t="s">
        <v>55</v>
      </c>
      <c r="BA845" s="16" t="s">
        <v>55</v>
      </c>
      <c r="BB845" s="16">
        <v>2</v>
      </c>
      <c r="BC845" s="16">
        <v>200</v>
      </c>
      <c r="BD845" s="18">
        <f>(10^3.13)*AX845</f>
        <v>12.275562231584052</v>
      </c>
      <c r="BE845" s="16">
        <f t="shared" si="375"/>
        <v>1348.9628825916541</v>
      </c>
      <c r="BF845" s="16">
        <f t="shared" si="389"/>
        <v>3.1300000000000003</v>
      </c>
      <c r="BG845" s="8">
        <f t="shared" si="367"/>
        <v>1.0890413923210938</v>
      </c>
      <c r="BH845" s="13" t="s">
        <v>864</v>
      </c>
      <c r="BI845" s="13"/>
      <c r="BJ845" s="13"/>
      <c r="BK845" s="15"/>
      <c r="BL845" s="8"/>
      <c r="BM845" s="18"/>
      <c r="BN845" s="8"/>
      <c r="BO845" s="24"/>
    </row>
    <row r="846" spans="1:67" s="14" customFormat="1" x14ac:dyDescent="0.3">
      <c r="A846" s="20">
        <v>863</v>
      </c>
      <c r="B846" s="2" t="s">
        <v>247</v>
      </c>
      <c r="C846" s="2">
        <v>2011</v>
      </c>
      <c r="D846" s="2" t="s">
        <v>199</v>
      </c>
      <c r="E846" s="10" t="s">
        <v>246</v>
      </c>
      <c r="F846" s="20" t="s">
        <v>63</v>
      </c>
      <c r="G846" s="2" t="s">
        <v>126</v>
      </c>
      <c r="H846" s="2" t="str">
        <f>'PFAS Properties'!$B$46</f>
        <v>PFOS</v>
      </c>
      <c r="I846" s="2" t="str">
        <f>'PFAS Properties'!$C$46</f>
        <v>PFSA</v>
      </c>
      <c r="J846" s="2" t="str">
        <f>'PFAS Properties'!$D$46</f>
        <v>C8HF17O3S</v>
      </c>
      <c r="K846" s="25">
        <f>'PFAS Properties'!$P$46</f>
        <v>499.93739999999997</v>
      </c>
      <c r="L846" s="2">
        <f>'PFAS Properties'!$X$46</f>
        <v>0.1</v>
      </c>
      <c r="M846" s="2" t="str">
        <f>'PFAS Properties'!$Y$46</f>
        <v>-</v>
      </c>
      <c r="N846" s="33">
        <v>0</v>
      </c>
      <c r="O846" s="33">
        <v>0</v>
      </c>
      <c r="P846" s="33">
        <v>0</v>
      </c>
      <c r="Q846" s="33">
        <f t="shared" si="381"/>
        <v>0.99999972546363392</v>
      </c>
      <c r="R846" s="33">
        <v>0</v>
      </c>
      <c r="S846" s="33">
        <f t="shared" si="382"/>
        <v>2.7453636605210314E-7</v>
      </c>
      <c r="T846" s="8">
        <f t="shared" si="365"/>
        <v>1</v>
      </c>
      <c r="U846" s="33">
        <f t="shared" si="384"/>
        <v>0</v>
      </c>
      <c r="V846" s="33">
        <f t="shared" si="385"/>
        <v>-0.99999972546363392</v>
      </c>
      <c r="W846" s="33">
        <f t="shared" si="386"/>
        <v>498.93740027453634</v>
      </c>
      <c r="X846" s="33">
        <v>96485</v>
      </c>
      <c r="Y846" s="16">
        <f t="shared" si="387"/>
        <v>-193.38092004782288</v>
      </c>
      <c r="Z846" s="16">
        <v>8</v>
      </c>
      <c r="AA846" s="16">
        <v>17</v>
      </c>
      <c r="AB846" s="8">
        <f t="shared" si="388"/>
        <v>0.29721362229102166</v>
      </c>
      <c r="AC846" s="16">
        <f t="shared" si="373"/>
        <v>64.60808893273439</v>
      </c>
      <c r="AD846" s="20">
        <f>'PFAS Properties'!$W$46</f>
        <v>8</v>
      </c>
      <c r="AE846" s="8">
        <f>'PFAS Properties'!$S$46</f>
        <v>2.0166155475571776</v>
      </c>
      <c r="AF846" s="15">
        <f>'PFAS Properties'!$V$46</f>
        <v>5</v>
      </c>
      <c r="AG846" s="124">
        <v>6.6614000000000004</v>
      </c>
      <c r="AH846" s="70" t="s">
        <v>752</v>
      </c>
      <c r="AI846" s="2" t="s">
        <v>661</v>
      </c>
      <c r="AJ846" s="15" t="s">
        <v>661</v>
      </c>
      <c r="AK846" s="8" t="s">
        <v>661</v>
      </c>
      <c r="AL846" s="2" t="s">
        <v>661</v>
      </c>
      <c r="AM846" s="15" t="s">
        <v>661</v>
      </c>
      <c r="AN846" s="8" t="s">
        <v>661</v>
      </c>
      <c r="AO846" s="15" t="s">
        <v>661</v>
      </c>
      <c r="AP846" s="71">
        <v>5.6683166666666667</v>
      </c>
      <c r="AQ846" s="70" t="s">
        <v>752</v>
      </c>
      <c r="AR846" s="16">
        <v>100</v>
      </c>
      <c r="AS846" s="16">
        <v>0</v>
      </c>
      <c r="AT846" s="16">
        <v>0</v>
      </c>
      <c r="AU846" s="2" t="s">
        <v>661</v>
      </c>
      <c r="AV846" s="16">
        <f t="shared" si="374"/>
        <v>100</v>
      </c>
      <c r="AW846" s="20">
        <v>0.03</v>
      </c>
      <c r="AX846" s="8">
        <f t="shared" si="383"/>
        <v>2.9999999999999997E-4</v>
      </c>
      <c r="AY846" s="13" t="s">
        <v>127</v>
      </c>
      <c r="AZ846" s="16">
        <v>20</v>
      </c>
      <c r="BA846" s="16" t="s">
        <v>55</v>
      </c>
      <c r="BB846" s="16">
        <v>1.4</v>
      </c>
      <c r="BC846" s="16">
        <v>143</v>
      </c>
      <c r="BD846" s="25">
        <v>12.4</v>
      </c>
      <c r="BE846" s="16">
        <f t="shared" si="375"/>
        <v>41333.333333333336</v>
      </c>
      <c r="BF846" s="16">
        <f t="shared" si="389"/>
        <v>4.616300430442573</v>
      </c>
      <c r="BG846" s="8">
        <f t="shared" si="367"/>
        <v>1.0934216851622351</v>
      </c>
      <c r="BH846" s="13" t="s">
        <v>865</v>
      </c>
      <c r="BI846" s="13"/>
      <c r="BJ846" s="13"/>
      <c r="BK846" s="13"/>
      <c r="BL846" s="13"/>
      <c r="BM846" s="17"/>
      <c r="BN846" s="17"/>
      <c r="BO846" s="2"/>
    </row>
    <row r="847" spans="1:67" s="14" customFormat="1" x14ac:dyDescent="0.3">
      <c r="A847" s="20">
        <v>864</v>
      </c>
      <c r="B847" s="2" t="s">
        <v>247</v>
      </c>
      <c r="C847" s="2">
        <v>2011</v>
      </c>
      <c r="D847" s="2" t="s">
        <v>199</v>
      </c>
      <c r="E847" s="10" t="s">
        <v>246</v>
      </c>
      <c r="F847" s="20" t="s">
        <v>63</v>
      </c>
      <c r="G847" s="2" t="s">
        <v>128</v>
      </c>
      <c r="H847" s="2" t="str">
        <f>'PFAS Properties'!$B$46</f>
        <v>PFOS</v>
      </c>
      <c r="I847" s="2" t="str">
        <f>'PFAS Properties'!$C$46</f>
        <v>PFSA</v>
      </c>
      <c r="J847" s="2" t="str">
        <f>'PFAS Properties'!$D$46</f>
        <v>C8HF17O3S</v>
      </c>
      <c r="K847" s="25">
        <f>'PFAS Properties'!$P$46</f>
        <v>499.93739999999997</v>
      </c>
      <c r="L847" s="2">
        <f>'PFAS Properties'!$X$46</f>
        <v>0.1</v>
      </c>
      <c r="M847" s="2" t="str">
        <f>'PFAS Properties'!$Y$46</f>
        <v>-</v>
      </c>
      <c r="N847" s="33">
        <v>0</v>
      </c>
      <c r="O847" s="33">
        <v>0</v>
      </c>
      <c r="P847" s="33">
        <v>0</v>
      </c>
      <c r="Q847" s="33">
        <f t="shared" si="381"/>
        <v>0.9999999421371295</v>
      </c>
      <c r="R847" s="33">
        <v>0</v>
      </c>
      <c r="S847" s="33">
        <f t="shared" si="382"/>
        <v>5.786287053368302E-8</v>
      </c>
      <c r="T847" s="8">
        <f t="shared" si="365"/>
        <v>1</v>
      </c>
      <c r="U847" s="33">
        <f t="shared" si="384"/>
        <v>0</v>
      </c>
      <c r="V847" s="33">
        <f t="shared" si="385"/>
        <v>-0.9999999421371295</v>
      </c>
      <c r="W847" s="33">
        <f t="shared" si="386"/>
        <v>498.93740005786287</v>
      </c>
      <c r="X847" s="33">
        <v>96485</v>
      </c>
      <c r="Y847" s="16">
        <f t="shared" si="387"/>
        <v>-193.38096203233383</v>
      </c>
      <c r="Z847" s="16">
        <v>8</v>
      </c>
      <c r="AA847" s="16">
        <v>17</v>
      </c>
      <c r="AB847" s="8">
        <f t="shared" si="388"/>
        <v>0.29721362229102166</v>
      </c>
      <c r="AC847" s="16">
        <f t="shared" si="373"/>
        <v>64.60808893273439</v>
      </c>
      <c r="AD847" s="20">
        <f>'PFAS Properties'!$W$46</f>
        <v>8</v>
      </c>
      <c r="AE847" s="8">
        <f>'PFAS Properties'!$S$46</f>
        <v>2.0166155475571776</v>
      </c>
      <c r="AF847" s="15">
        <f>'PFAS Properties'!$V$46</f>
        <v>5</v>
      </c>
      <c r="AG847" s="124">
        <v>7.3376000000000001</v>
      </c>
      <c r="AH847" s="70" t="s">
        <v>752</v>
      </c>
      <c r="AI847" s="2" t="s">
        <v>661</v>
      </c>
      <c r="AJ847" s="15" t="s">
        <v>661</v>
      </c>
      <c r="AK847" s="8" t="s">
        <v>661</v>
      </c>
      <c r="AL847" s="2" t="s">
        <v>661</v>
      </c>
      <c r="AM847" s="15" t="s">
        <v>661</v>
      </c>
      <c r="AN847" s="8" t="s">
        <v>661</v>
      </c>
      <c r="AO847" s="15" t="s">
        <v>661</v>
      </c>
      <c r="AP847" s="71">
        <v>11.99159166666667</v>
      </c>
      <c r="AQ847" s="70" t="s">
        <v>752</v>
      </c>
      <c r="AR847" s="16">
        <v>0</v>
      </c>
      <c r="AS847" s="16">
        <v>100</v>
      </c>
      <c r="AT847" s="16">
        <v>0</v>
      </c>
      <c r="AU847" s="2" t="s">
        <v>661</v>
      </c>
      <c r="AV847" s="16">
        <f t="shared" si="374"/>
        <v>100</v>
      </c>
      <c r="AW847" s="20">
        <v>1.6</v>
      </c>
      <c r="AX847" s="8">
        <f t="shared" si="383"/>
        <v>1.6E-2</v>
      </c>
      <c r="AY847" s="13" t="s">
        <v>127</v>
      </c>
      <c r="AZ847" s="16">
        <v>20</v>
      </c>
      <c r="BA847" s="16" t="s">
        <v>55</v>
      </c>
      <c r="BB847" s="16">
        <v>1.4</v>
      </c>
      <c r="BC847" s="16">
        <v>143</v>
      </c>
      <c r="BD847" s="20">
        <v>13.25</v>
      </c>
      <c r="BE847" s="16">
        <f t="shared" si="375"/>
        <v>828.125</v>
      </c>
      <c r="BF847" s="16">
        <f t="shared" si="389"/>
        <v>2.9180958956169021</v>
      </c>
      <c r="BG847" s="8">
        <f t="shared" si="367"/>
        <v>1.1222158782728267</v>
      </c>
      <c r="BH847" s="13" t="s">
        <v>866</v>
      </c>
      <c r="BI847" s="13"/>
      <c r="BJ847" s="13"/>
      <c r="BK847" s="13"/>
      <c r="BL847" s="13"/>
      <c r="BM847" s="17"/>
      <c r="BN847" s="17"/>
      <c r="BO847" s="2"/>
    </row>
    <row r="848" spans="1:67" s="14" customFormat="1" x14ac:dyDescent="0.3">
      <c r="A848" s="20">
        <v>865</v>
      </c>
      <c r="B848" s="2" t="s">
        <v>247</v>
      </c>
      <c r="C848" s="2">
        <v>2011</v>
      </c>
      <c r="D848" s="2" t="s">
        <v>199</v>
      </c>
      <c r="E848" s="10" t="s">
        <v>246</v>
      </c>
      <c r="F848" s="20" t="s">
        <v>63</v>
      </c>
      <c r="G848" s="2" t="s">
        <v>130</v>
      </c>
      <c r="H848" s="2" t="str">
        <f>'PFAS Properties'!$B$46</f>
        <v>PFOS</v>
      </c>
      <c r="I848" s="2" t="str">
        <f>'PFAS Properties'!$C$46</f>
        <v>PFSA</v>
      </c>
      <c r="J848" s="2" t="str">
        <f>'PFAS Properties'!$D$46</f>
        <v>C8HF17O3S</v>
      </c>
      <c r="K848" s="25">
        <f>'PFAS Properties'!$P$46</f>
        <v>499.93739999999997</v>
      </c>
      <c r="L848" s="2">
        <f>'PFAS Properties'!$X$46</f>
        <v>0.1</v>
      </c>
      <c r="M848" s="2" t="str">
        <f>'PFAS Properties'!$Y$46</f>
        <v>-</v>
      </c>
      <c r="N848" s="33">
        <v>0</v>
      </c>
      <c r="O848" s="33">
        <v>0</v>
      </c>
      <c r="P848" s="33">
        <v>0</v>
      </c>
      <c r="Q848" s="33">
        <f t="shared" si="381"/>
        <v>0.9999999421371295</v>
      </c>
      <c r="R848" s="33">
        <v>0</v>
      </c>
      <c r="S848" s="33">
        <f t="shared" si="382"/>
        <v>5.786287053368302E-8</v>
      </c>
      <c r="T848" s="8">
        <f t="shared" si="365"/>
        <v>1</v>
      </c>
      <c r="U848" s="33">
        <f t="shared" si="384"/>
        <v>0</v>
      </c>
      <c r="V848" s="33">
        <f t="shared" si="385"/>
        <v>-0.9999999421371295</v>
      </c>
      <c r="W848" s="33">
        <f t="shared" si="386"/>
        <v>498.93740005786287</v>
      </c>
      <c r="X848" s="33">
        <v>96485</v>
      </c>
      <c r="Y848" s="16">
        <f t="shared" si="387"/>
        <v>-193.38096203233383</v>
      </c>
      <c r="Z848" s="16">
        <v>8</v>
      </c>
      <c r="AA848" s="16">
        <v>17</v>
      </c>
      <c r="AB848" s="8">
        <f t="shared" si="388"/>
        <v>0.29721362229102166</v>
      </c>
      <c r="AC848" s="16">
        <f t="shared" si="373"/>
        <v>64.60808893273439</v>
      </c>
      <c r="AD848" s="20">
        <f>'PFAS Properties'!$W$46</f>
        <v>8</v>
      </c>
      <c r="AE848" s="8">
        <f>'PFAS Properties'!$S$46</f>
        <v>2.0166155475571776</v>
      </c>
      <c r="AF848" s="15">
        <f>'PFAS Properties'!$V$46</f>
        <v>5</v>
      </c>
      <c r="AG848" s="124">
        <v>7.3376000000000001</v>
      </c>
      <c r="AH848" s="70" t="s">
        <v>752</v>
      </c>
      <c r="AI848" s="2" t="s">
        <v>661</v>
      </c>
      <c r="AJ848" s="15" t="s">
        <v>661</v>
      </c>
      <c r="AK848" s="8" t="s">
        <v>661</v>
      </c>
      <c r="AL848" s="2" t="s">
        <v>661</v>
      </c>
      <c r="AM848" s="15" t="s">
        <v>661</v>
      </c>
      <c r="AN848" s="8" t="s">
        <v>661</v>
      </c>
      <c r="AO848" s="15" t="s">
        <v>661</v>
      </c>
      <c r="AP848" s="71">
        <v>11.99159166666667</v>
      </c>
      <c r="AQ848" s="70" t="s">
        <v>752</v>
      </c>
      <c r="AR848" s="16">
        <v>0</v>
      </c>
      <c r="AS848" s="16">
        <v>100</v>
      </c>
      <c r="AT848" s="16">
        <v>0</v>
      </c>
      <c r="AU848" s="2" t="s">
        <v>661</v>
      </c>
      <c r="AV848" s="16">
        <f t="shared" ref="AV848:AV865" si="390">SUM(AR848:AT848)</f>
        <v>100</v>
      </c>
      <c r="AW848" s="20">
        <v>1.1000000000000001</v>
      </c>
      <c r="AX848" s="8">
        <f t="shared" si="383"/>
        <v>1.1000000000000001E-2</v>
      </c>
      <c r="AY848" s="13" t="s">
        <v>127</v>
      </c>
      <c r="AZ848" s="16">
        <v>20</v>
      </c>
      <c r="BA848" s="16" t="s">
        <v>55</v>
      </c>
      <c r="BB848" s="16">
        <v>1.4</v>
      </c>
      <c r="BC848" s="16">
        <v>143</v>
      </c>
      <c r="BD848" s="25">
        <v>55.09</v>
      </c>
      <c r="BE848" s="16">
        <f t="shared" si="375"/>
        <v>5008.181818181818</v>
      </c>
      <c r="BF848" s="16">
        <f t="shared" si="389"/>
        <v>3.6996800872150963</v>
      </c>
      <c r="BG848" s="8">
        <f t="shared" si="367"/>
        <v>1.7410727723733215</v>
      </c>
      <c r="BH848" s="13" t="s">
        <v>867</v>
      </c>
      <c r="BI848" s="13"/>
      <c r="BJ848" s="13"/>
      <c r="BK848" s="13"/>
      <c r="BL848" s="13"/>
      <c r="BM848" s="17"/>
      <c r="BN848" s="17"/>
      <c r="BO848" s="2"/>
    </row>
    <row r="849" spans="1:69" s="14" customFormat="1" x14ac:dyDescent="0.3">
      <c r="A849" s="20">
        <v>866</v>
      </c>
      <c r="B849" s="2" t="s">
        <v>690</v>
      </c>
      <c r="C849" s="2">
        <v>2023</v>
      </c>
      <c r="D849" s="2" t="s">
        <v>199</v>
      </c>
      <c r="E849" s="10" t="s">
        <v>803</v>
      </c>
      <c r="F849" s="20" t="s">
        <v>29</v>
      </c>
      <c r="G849" s="2" t="s">
        <v>691</v>
      </c>
      <c r="H849" s="2" t="str">
        <f>'PFAS Properties'!$B$46</f>
        <v>PFOS</v>
      </c>
      <c r="I849" s="2" t="str">
        <f>'PFAS Properties'!$C$46</f>
        <v>PFSA</v>
      </c>
      <c r="J849" s="2" t="str">
        <f>'PFAS Properties'!$D$46</f>
        <v>C8HF17O3S</v>
      </c>
      <c r="K849" s="25">
        <f>'PFAS Properties'!$P$46</f>
        <v>499.93739999999997</v>
      </c>
      <c r="L849" s="2">
        <f>'PFAS Properties'!$X$46</f>
        <v>0.1</v>
      </c>
      <c r="M849" s="2" t="str">
        <f>'PFAS Properties'!$Y$46</f>
        <v>-</v>
      </c>
      <c r="N849" s="33">
        <v>0</v>
      </c>
      <c r="O849" s="33">
        <v>0</v>
      </c>
      <c r="P849" s="33">
        <v>0</v>
      </c>
      <c r="Q849" s="33">
        <f t="shared" si="381"/>
        <v>0.99999841510931942</v>
      </c>
      <c r="R849" s="33">
        <v>0</v>
      </c>
      <c r="S849" s="33">
        <f t="shared" si="382"/>
        <v>1.5848906805786579E-6</v>
      </c>
      <c r="T849" s="8">
        <f t="shared" si="365"/>
        <v>1</v>
      </c>
      <c r="U849" s="33">
        <f t="shared" si="384"/>
        <v>0</v>
      </c>
      <c r="V849" s="33">
        <f t="shared" si="385"/>
        <v>-0.99999841510931942</v>
      </c>
      <c r="W849" s="33">
        <f t="shared" si="386"/>
        <v>498.93740158489061</v>
      </c>
      <c r="X849" s="33">
        <v>96485</v>
      </c>
      <c r="Y849" s="16">
        <f t="shared" si="387"/>
        <v>-193.38066614235672</v>
      </c>
      <c r="Z849" s="16">
        <v>8</v>
      </c>
      <c r="AA849" s="16">
        <v>17</v>
      </c>
      <c r="AB849" s="8">
        <f t="shared" si="388"/>
        <v>0.29721362229102166</v>
      </c>
      <c r="AC849" s="16">
        <f t="shared" si="373"/>
        <v>64.60808893273439</v>
      </c>
      <c r="AD849" s="20">
        <f>'PFAS Properties'!$W$46</f>
        <v>8</v>
      </c>
      <c r="AE849" s="8">
        <f>'PFAS Properties'!$S$46</f>
        <v>2.0166155475571776</v>
      </c>
      <c r="AF849" s="15">
        <f>'PFAS Properties'!$V$46</f>
        <v>5</v>
      </c>
      <c r="AG849" s="24">
        <v>5.9</v>
      </c>
      <c r="AH849" s="2" t="s">
        <v>701</v>
      </c>
      <c r="AI849" s="15">
        <f t="shared" ref="AI849:AI859" si="391">AJ849*55.845/1000</f>
        <v>10.052100000000001</v>
      </c>
      <c r="AJ849" s="16">
        <v>180</v>
      </c>
      <c r="AK849" s="8">
        <f t="shared" ref="AK849:AK859" si="392">AI849/10</f>
        <v>1.0052100000000002</v>
      </c>
      <c r="AL849" s="15">
        <f t="shared" ref="AL849:AL859" si="393">AM849*26.982/1000</f>
        <v>1.3491</v>
      </c>
      <c r="AM849" s="16">
        <v>50</v>
      </c>
      <c r="AN849" s="8">
        <f t="shared" ref="AN849:AN859" si="394">AL849/10</f>
        <v>0.13491</v>
      </c>
      <c r="AO849" s="15" t="s">
        <v>705</v>
      </c>
      <c r="AP849" s="15">
        <v>20</v>
      </c>
      <c r="AQ849" s="15" t="s">
        <v>702</v>
      </c>
      <c r="AR849" s="2">
        <v>4.2</v>
      </c>
      <c r="AS849" s="2">
        <v>53</v>
      </c>
      <c r="AT849" s="2">
        <v>43</v>
      </c>
      <c r="AU849" s="2" t="s">
        <v>703</v>
      </c>
      <c r="AV849" s="16">
        <f t="shared" si="390"/>
        <v>100.2</v>
      </c>
      <c r="AW849" s="20">
        <v>3.1</v>
      </c>
      <c r="AX849" s="8">
        <f t="shared" si="383"/>
        <v>3.1E-2</v>
      </c>
      <c r="AY849" s="8" t="s">
        <v>704</v>
      </c>
      <c r="AZ849" s="16">
        <v>10</v>
      </c>
      <c r="BA849" s="16" t="s">
        <v>55</v>
      </c>
      <c r="BB849" s="16" t="s">
        <v>55</v>
      </c>
      <c r="BC849" s="16" t="s">
        <v>55</v>
      </c>
      <c r="BD849" s="24">
        <f t="shared" ref="BD849:BD859" si="395">10^BG849</f>
        <v>26.302679918953825</v>
      </c>
      <c r="BE849" s="16">
        <f t="shared" si="375"/>
        <v>848.47354577270403</v>
      </c>
      <c r="BF849" s="16">
        <f t="shared" si="389"/>
        <v>2.9286383061657273</v>
      </c>
      <c r="BG849" s="8">
        <v>1.42</v>
      </c>
      <c r="BH849" s="15" t="s">
        <v>846</v>
      </c>
      <c r="BI849" s="8"/>
      <c r="BJ849" s="13"/>
      <c r="BK849" s="16"/>
      <c r="BL849" s="16"/>
      <c r="BM849" s="16"/>
      <c r="BN849" s="16"/>
      <c r="BO849" s="2"/>
    </row>
    <row r="850" spans="1:69" x14ac:dyDescent="0.3">
      <c r="A850" s="20">
        <v>867</v>
      </c>
      <c r="B850" s="2" t="s">
        <v>690</v>
      </c>
      <c r="C850" s="2">
        <v>2023</v>
      </c>
      <c r="D850" s="2" t="s">
        <v>199</v>
      </c>
      <c r="E850" s="10" t="s">
        <v>803</v>
      </c>
      <c r="F850" s="20" t="s">
        <v>29</v>
      </c>
      <c r="G850" s="2" t="s">
        <v>692</v>
      </c>
      <c r="H850" s="2" t="str">
        <f>'PFAS Properties'!$B$46</f>
        <v>PFOS</v>
      </c>
      <c r="I850" s="2" t="str">
        <f>'PFAS Properties'!$C$46</f>
        <v>PFSA</v>
      </c>
      <c r="J850" s="2" t="str">
        <f>'PFAS Properties'!$D$46</f>
        <v>C8HF17O3S</v>
      </c>
      <c r="K850" s="25">
        <f>'PFAS Properties'!$P$46</f>
        <v>499.93739999999997</v>
      </c>
      <c r="L850" s="2">
        <f>'PFAS Properties'!$X$46</f>
        <v>0.1</v>
      </c>
      <c r="M850" s="2" t="str">
        <f>'PFAS Properties'!$Y$46</f>
        <v>-</v>
      </c>
      <c r="N850" s="33">
        <v>0</v>
      </c>
      <c r="O850" s="33">
        <v>0</v>
      </c>
      <c r="P850" s="33">
        <v>0</v>
      </c>
      <c r="Q850" s="33">
        <f t="shared" si="381"/>
        <v>0.99999601894414336</v>
      </c>
      <c r="R850" s="33">
        <v>0</v>
      </c>
      <c r="S850" s="33">
        <f t="shared" si="382"/>
        <v>3.981055856666137E-6</v>
      </c>
      <c r="T850" s="8">
        <f t="shared" si="365"/>
        <v>1</v>
      </c>
      <c r="U850" s="33">
        <f t="shared" si="384"/>
        <v>0</v>
      </c>
      <c r="V850" s="33">
        <f t="shared" si="385"/>
        <v>-0.99999601894414336</v>
      </c>
      <c r="W850" s="33">
        <f t="shared" si="386"/>
        <v>498.93740398105581</v>
      </c>
      <c r="X850" s="33">
        <v>96485</v>
      </c>
      <c r="Y850" s="16">
        <f t="shared" si="387"/>
        <v>-193.38020184088887</v>
      </c>
      <c r="Z850" s="16">
        <v>8</v>
      </c>
      <c r="AA850" s="16">
        <v>17</v>
      </c>
      <c r="AB850" s="8">
        <f t="shared" si="388"/>
        <v>0.29721362229102166</v>
      </c>
      <c r="AC850" s="16">
        <f t="shared" si="373"/>
        <v>64.60808893273439</v>
      </c>
      <c r="AD850" s="20">
        <f>'PFAS Properties'!$W$46</f>
        <v>8</v>
      </c>
      <c r="AE850" s="8">
        <f>'PFAS Properties'!$S$46</f>
        <v>2.0166155475571776</v>
      </c>
      <c r="AF850" s="15">
        <f>'PFAS Properties'!$V$46</f>
        <v>5</v>
      </c>
      <c r="AG850" s="26">
        <v>5.5</v>
      </c>
      <c r="AH850" s="2" t="s">
        <v>701</v>
      </c>
      <c r="AI850" s="15">
        <f t="shared" si="391"/>
        <v>7.2598499999999992</v>
      </c>
      <c r="AJ850" s="16">
        <v>130</v>
      </c>
      <c r="AK850" s="8">
        <f t="shared" si="392"/>
        <v>0.72598499999999988</v>
      </c>
      <c r="AL850" s="15">
        <f t="shared" si="393"/>
        <v>13.491</v>
      </c>
      <c r="AM850" s="16">
        <v>500</v>
      </c>
      <c r="AN850" s="8">
        <f t="shared" si="394"/>
        <v>1.3491</v>
      </c>
      <c r="AO850" s="15" t="s">
        <v>705</v>
      </c>
      <c r="AP850" s="2">
        <v>1</v>
      </c>
      <c r="AQ850" s="15" t="s">
        <v>702</v>
      </c>
      <c r="AR850" s="4">
        <v>54</v>
      </c>
      <c r="AS850" s="4">
        <v>42</v>
      </c>
      <c r="AT850" s="4">
        <v>4</v>
      </c>
      <c r="AU850" s="2" t="s">
        <v>703</v>
      </c>
      <c r="AV850" s="16">
        <f t="shared" si="390"/>
        <v>100</v>
      </c>
      <c r="AW850" s="7">
        <v>2.2000000000000002</v>
      </c>
      <c r="AX850" s="8">
        <f t="shared" si="383"/>
        <v>2.2000000000000002E-2</v>
      </c>
      <c r="AY850" s="8" t="s">
        <v>704</v>
      </c>
      <c r="AZ850" s="16">
        <v>10</v>
      </c>
      <c r="BA850" s="16" t="s">
        <v>55</v>
      </c>
      <c r="BB850" s="16" t="s">
        <v>55</v>
      </c>
      <c r="BC850" s="16" t="s">
        <v>55</v>
      </c>
      <c r="BD850" s="24">
        <f t="shared" si="395"/>
        <v>58.210321777087195</v>
      </c>
      <c r="BE850" s="16">
        <f t="shared" si="375"/>
        <v>2645.923717140327</v>
      </c>
      <c r="BF850" s="16">
        <f t="shared" si="389"/>
        <v>3.422577319177794</v>
      </c>
      <c r="BG850" s="8">
        <f>(1.83+1.7)/2</f>
        <v>1.7650000000000001</v>
      </c>
      <c r="BH850" s="15" t="s">
        <v>847</v>
      </c>
      <c r="BI850" s="1"/>
      <c r="BJ850" s="2"/>
      <c r="BK850" s="1"/>
      <c r="BL850" s="1"/>
      <c r="BM850" s="7"/>
      <c r="BN850" s="7"/>
      <c r="BO850" s="1"/>
      <c r="BP850" s="11"/>
      <c r="BQ850" s="11"/>
    </row>
    <row r="851" spans="1:69" x14ac:dyDescent="0.3">
      <c r="A851" s="20">
        <v>868</v>
      </c>
      <c r="B851" s="2" t="s">
        <v>690</v>
      </c>
      <c r="C851" s="2">
        <v>2023</v>
      </c>
      <c r="D851" s="2" t="s">
        <v>199</v>
      </c>
      <c r="E851" s="10" t="s">
        <v>803</v>
      </c>
      <c r="F851" s="20" t="s">
        <v>29</v>
      </c>
      <c r="G851" s="2" t="s">
        <v>693</v>
      </c>
      <c r="H851" s="2" t="str">
        <f>'PFAS Properties'!$B$46</f>
        <v>PFOS</v>
      </c>
      <c r="I851" s="2" t="str">
        <f>'PFAS Properties'!$C$46</f>
        <v>PFSA</v>
      </c>
      <c r="J851" s="2" t="str">
        <f>'PFAS Properties'!$D$46</f>
        <v>C8HF17O3S</v>
      </c>
      <c r="K851" s="25">
        <f>'PFAS Properties'!$P$46</f>
        <v>499.93739999999997</v>
      </c>
      <c r="L851" s="2">
        <f>'PFAS Properties'!$X$46</f>
        <v>0.1</v>
      </c>
      <c r="M851" s="2" t="str">
        <f>'PFAS Properties'!$Y$46</f>
        <v>-</v>
      </c>
      <c r="N851" s="33">
        <v>0</v>
      </c>
      <c r="O851" s="33">
        <v>0</v>
      </c>
      <c r="P851" s="33">
        <v>0</v>
      </c>
      <c r="Q851" s="33">
        <f t="shared" si="381"/>
        <v>0.99999984151070587</v>
      </c>
      <c r="R851" s="33">
        <v>0</v>
      </c>
      <c r="S851" s="33">
        <f t="shared" si="382"/>
        <v>1.584892941272506E-7</v>
      </c>
      <c r="T851" s="8">
        <f t="shared" si="365"/>
        <v>1</v>
      </c>
      <c r="U851" s="33">
        <f t="shared" si="384"/>
        <v>0</v>
      </c>
      <c r="V851" s="33">
        <f t="shared" si="385"/>
        <v>-0.99999984151070587</v>
      </c>
      <c r="W851" s="33">
        <f t="shared" si="386"/>
        <v>498.93740015848931</v>
      </c>
      <c r="X851" s="33">
        <v>96485</v>
      </c>
      <c r="Y851" s="16">
        <f t="shared" si="387"/>
        <v>-193.38094253409676</v>
      </c>
      <c r="Z851" s="16">
        <v>8</v>
      </c>
      <c r="AA851" s="16">
        <v>17</v>
      </c>
      <c r="AB851" s="8">
        <f t="shared" si="388"/>
        <v>0.29721362229102166</v>
      </c>
      <c r="AC851" s="16">
        <f t="shared" si="373"/>
        <v>64.60808893273439</v>
      </c>
      <c r="AD851" s="20">
        <f>'PFAS Properties'!$W$46</f>
        <v>8</v>
      </c>
      <c r="AE851" s="8">
        <f>'PFAS Properties'!$S$46</f>
        <v>2.0166155475571776</v>
      </c>
      <c r="AF851" s="15">
        <f>'PFAS Properties'!$V$46</f>
        <v>5</v>
      </c>
      <c r="AG851" s="26">
        <v>6.9</v>
      </c>
      <c r="AH851" s="2" t="s">
        <v>701</v>
      </c>
      <c r="AI851" s="15">
        <f t="shared" si="391"/>
        <v>7.2598499999999992</v>
      </c>
      <c r="AJ851" s="16">
        <v>130</v>
      </c>
      <c r="AK851" s="8">
        <f t="shared" si="392"/>
        <v>0.72598499999999988</v>
      </c>
      <c r="AL851" s="15">
        <f t="shared" si="393"/>
        <v>1.1332439999999999</v>
      </c>
      <c r="AM851" s="16">
        <v>42</v>
      </c>
      <c r="AN851" s="8">
        <f t="shared" si="394"/>
        <v>0.11332439999999999</v>
      </c>
      <c r="AO851" s="15" t="s">
        <v>705</v>
      </c>
      <c r="AP851" s="2">
        <v>13</v>
      </c>
      <c r="AQ851" s="15" t="s">
        <v>702</v>
      </c>
      <c r="AR851" s="4">
        <v>24</v>
      </c>
      <c r="AS851" s="4">
        <v>26</v>
      </c>
      <c r="AT851" s="4">
        <v>50</v>
      </c>
      <c r="AU851" s="2" t="s">
        <v>703</v>
      </c>
      <c r="AV851" s="16">
        <f t="shared" si="390"/>
        <v>100</v>
      </c>
      <c r="AW851" s="7">
        <v>1.7</v>
      </c>
      <c r="AX851" s="8">
        <f t="shared" si="383"/>
        <v>1.7000000000000001E-2</v>
      </c>
      <c r="AY851" s="8" t="s">
        <v>704</v>
      </c>
      <c r="AZ851" s="16">
        <v>10</v>
      </c>
      <c r="BA851" s="16" t="s">
        <v>55</v>
      </c>
      <c r="BB851" s="16" t="s">
        <v>55</v>
      </c>
      <c r="BC851" s="16" t="s">
        <v>55</v>
      </c>
      <c r="BD851" s="24">
        <f t="shared" si="395"/>
        <v>12.302687708123818</v>
      </c>
      <c r="BE851" s="16">
        <f t="shared" si="375"/>
        <v>723.68751224257744</v>
      </c>
      <c r="BF851" s="16">
        <f t="shared" si="389"/>
        <v>2.8595510786217262</v>
      </c>
      <c r="BG851" s="8">
        <v>1.0900000000000001</v>
      </c>
      <c r="BH851" s="15" t="s">
        <v>854</v>
      </c>
      <c r="BI851" s="1"/>
      <c r="BJ851" s="2"/>
      <c r="BK851" s="1"/>
      <c r="BL851" s="1"/>
      <c r="BM851" s="7"/>
      <c r="BN851" s="7"/>
      <c r="BO851" s="1"/>
      <c r="BP851" s="11"/>
      <c r="BQ851" s="11"/>
    </row>
    <row r="852" spans="1:69" x14ac:dyDescent="0.3">
      <c r="A852" s="20">
        <v>869</v>
      </c>
      <c r="B852" s="2" t="s">
        <v>690</v>
      </c>
      <c r="C852" s="2">
        <v>2023</v>
      </c>
      <c r="D852" s="2" t="s">
        <v>199</v>
      </c>
      <c r="E852" s="10" t="s">
        <v>803</v>
      </c>
      <c r="F852" s="20" t="s">
        <v>29</v>
      </c>
      <c r="G852" s="2" t="s">
        <v>694</v>
      </c>
      <c r="H852" s="2" t="str">
        <f>'PFAS Properties'!$B$46</f>
        <v>PFOS</v>
      </c>
      <c r="I852" s="2" t="str">
        <f>'PFAS Properties'!$C$46</f>
        <v>PFSA</v>
      </c>
      <c r="J852" s="2" t="str">
        <f>'PFAS Properties'!$D$46</f>
        <v>C8HF17O3S</v>
      </c>
      <c r="K852" s="25">
        <f>'PFAS Properties'!$P$46</f>
        <v>499.93739999999997</v>
      </c>
      <c r="L852" s="2">
        <f>'PFAS Properties'!$X$46</f>
        <v>0.1</v>
      </c>
      <c r="M852" s="2" t="str">
        <f>'PFAS Properties'!$Y$46</f>
        <v>-</v>
      </c>
      <c r="N852" s="33">
        <v>0</v>
      </c>
      <c r="O852" s="33">
        <v>0</v>
      </c>
      <c r="P852" s="33">
        <v>0</v>
      </c>
      <c r="Q852" s="33">
        <f t="shared" si="381"/>
        <v>0.99999999205671775</v>
      </c>
      <c r="R852" s="33">
        <v>0</v>
      </c>
      <c r="S852" s="33">
        <f t="shared" si="382"/>
        <v>7.9432822841470747E-9</v>
      </c>
      <c r="T852" s="8">
        <f t="shared" si="365"/>
        <v>1</v>
      </c>
      <c r="U852" s="33">
        <f t="shared" si="384"/>
        <v>0</v>
      </c>
      <c r="V852" s="33">
        <f t="shared" si="385"/>
        <v>-0.99999999205671775</v>
      </c>
      <c r="W852" s="33">
        <f t="shared" si="386"/>
        <v>498.93740000794327</v>
      </c>
      <c r="X852" s="33">
        <v>96485</v>
      </c>
      <c r="Y852" s="16">
        <f t="shared" si="387"/>
        <v>-193.38097170518049</v>
      </c>
      <c r="Z852" s="16">
        <v>8</v>
      </c>
      <c r="AA852" s="16">
        <v>17</v>
      </c>
      <c r="AB852" s="8">
        <f t="shared" si="388"/>
        <v>0.29721362229102166</v>
      </c>
      <c r="AC852" s="16">
        <f t="shared" si="373"/>
        <v>64.60808893273439</v>
      </c>
      <c r="AD852" s="20">
        <f>'PFAS Properties'!$W$46</f>
        <v>8</v>
      </c>
      <c r="AE852" s="8">
        <f>'PFAS Properties'!$S$46</f>
        <v>2.0166155475571776</v>
      </c>
      <c r="AF852" s="15">
        <f>'PFAS Properties'!$V$46</f>
        <v>5</v>
      </c>
      <c r="AG852" s="26">
        <v>8.1999999999999993</v>
      </c>
      <c r="AH852" s="2" t="s">
        <v>701</v>
      </c>
      <c r="AI852" s="15">
        <f t="shared" si="391"/>
        <v>1.89873</v>
      </c>
      <c r="AJ852" s="16">
        <v>34</v>
      </c>
      <c r="AK852" s="8">
        <f t="shared" si="392"/>
        <v>0.18987300000000001</v>
      </c>
      <c r="AL852" s="15">
        <f t="shared" si="393"/>
        <v>0.75549599999999995</v>
      </c>
      <c r="AM852" s="16">
        <v>28</v>
      </c>
      <c r="AN852" s="8">
        <f t="shared" si="394"/>
        <v>7.5549599999999995E-2</v>
      </c>
      <c r="AO852" s="15" t="s">
        <v>705</v>
      </c>
      <c r="AP852" s="2">
        <v>15</v>
      </c>
      <c r="AQ852" s="15" t="s">
        <v>702</v>
      </c>
      <c r="AR852" s="4">
        <v>27</v>
      </c>
      <c r="AS852" s="4">
        <v>56</v>
      </c>
      <c r="AT852" s="4">
        <v>16</v>
      </c>
      <c r="AU852" s="2" t="s">
        <v>703</v>
      </c>
      <c r="AV852" s="16">
        <f t="shared" si="390"/>
        <v>99</v>
      </c>
      <c r="AW852" s="7">
        <v>1.6</v>
      </c>
      <c r="AX852" s="8">
        <f t="shared" si="383"/>
        <v>1.6E-2</v>
      </c>
      <c r="AY852" s="8" t="s">
        <v>704</v>
      </c>
      <c r="AZ852" s="16">
        <v>10</v>
      </c>
      <c r="BA852" s="16" t="s">
        <v>55</v>
      </c>
      <c r="BB852" s="16" t="s">
        <v>55</v>
      </c>
      <c r="BC852" s="16" t="s">
        <v>55</v>
      </c>
      <c r="BD852" s="24">
        <f t="shared" si="395"/>
        <v>6.4565422903465572</v>
      </c>
      <c r="BE852" s="16">
        <f t="shared" si="375"/>
        <v>403.53389314665981</v>
      </c>
      <c r="BF852" s="16">
        <f t="shared" si="389"/>
        <v>2.6058800173440755</v>
      </c>
      <c r="BG852" s="8">
        <v>0.81</v>
      </c>
      <c r="BH852" s="15" t="s">
        <v>848</v>
      </c>
      <c r="BI852" s="1"/>
      <c r="BJ852" s="2"/>
      <c r="BK852" s="1"/>
      <c r="BL852" s="1"/>
      <c r="BM852" s="7"/>
      <c r="BN852" s="7"/>
      <c r="BO852" s="1"/>
      <c r="BP852" s="11"/>
      <c r="BQ852" s="11"/>
    </row>
    <row r="853" spans="1:69" x14ac:dyDescent="0.3">
      <c r="A853" s="20">
        <v>870</v>
      </c>
      <c r="B853" s="2" t="s">
        <v>690</v>
      </c>
      <c r="C853" s="2">
        <v>2023</v>
      </c>
      <c r="D853" s="2" t="s">
        <v>199</v>
      </c>
      <c r="E853" s="10" t="s">
        <v>803</v>
      </c>
      <c r="F853" s="20" t="s">
        <v>29</v>
      </c>
      <c r="G853" s="2" t="s">
        <v>693</v>
      </c>
      <c r="H853" s="2" t="str">
        <f>'PFAS Properties'!$B$46</f>
        <v>PFOS</v>
      </c>
      <c r="I853" s="2" t="str">
        <f>'PFAS Properties'!$C$46</f>
        <v>PFSA</v>
      </c>
      <c r="J853" s="2" t="str">
        <f>'PFAS Properties'!$D$46</f>
        <v>C8HF17O3S</v>
      </c>
      <c r="K853" s="25">
        <f>'PFAS Properties'!$P$46</f>
        <v>499.93739999999997</v>
      </c>
      <c r="L853" s="2">
        <f>'PFAS Properties'!$X$46</f>
        <v>0.1</v>
      </c>
      <c r="M853" s="2" t="str">
        <f>'PFAS Properties'!$Y$46</f>
        <v>-</v>
      </c>
      <c r="N853" s="33">
        <v>0</v>
      </c>
      <c r="O853" s="33">
        <v>0</v>
      </c>
      <c r="P853" s="33">
        <v>0</v>
      </c>
      <c r="Q853" s="33">
        <f t="shared" si="381"/>
        <v>0.99999601894414336</v>
      </c>
      <c r="R853" s="33">
        <v>0</v>
      </c>
      <c r="S853" s="33">
        <f t="shared" si="382"/>
        <v>3.981055856666137E-6</v>
      </c>
      <c r="T853" s="8">
        <f t="shared" si="365"/>
        <v>1</v>
      </c>
      <c r="U853" s="33">
        <f t="shared" si="384"/>
        <v>0</v>
      </c>
      <c r="V853" s="33">
        <f t="shared" si="385"/>
        <v>-0.99999601894414336</v>
      </c>
      <c r="W853" s="33">
        <f t="shared" si="386"/>
        <v>498.93740398105581</v>
      </c>
      <c r="X853" s="33">
        <v>96485</v>
      </c>
      <c r="Y853" s="16">
        <f t="shared" si="387"/>
        <v>-193.38020184088887</v>
      </c>
      <c r="Z853" s="16">
        <v>8</v>
      </c>
      <c r="AA853" s="16">
        <v>17</v>
      </c>
      <c r="AB853" s="8">
        <f t="shared" si="388"/>
        <v>0.29721362229102166</v>
      </c>
      <c r="AC853" s="16">
        <f t="shared" si="373"/>
        <v>64.60808893273439</v>
      </c>
      <c r="AD853" s="20">
        <f>'PFAS Properties'!$W$46</f>
        <v>8</v>
      </c>
      <c r="AE853" s="8">
        <f>'PFAS Properties'!$S$46</f>
        <v>2.0166155475571776</v>
      </c>
      <c r="AF853" s="15">
        <f>'PFAS Properties'!$V$46</f>
        <v>5</v>
      </c>
      <c r="AG853" s="26">
        <v>5.5</v>
      </c>
      <c r="AH853" s="2" t="s">
        <v>701</v>
      </c>
      <c r="AI853" s="15">
        <f t="shared" si="391"/>
        <v>6.1429499999999999</v>
      </c>
      <c r="AJ853" s="16">
        <v>110</v>
      </c>
      <c r="AK853" s="8">
        <f t="shared" si="392"/>
        <v>0.61429500000000004</v>
      </c>
      <c r="AL853" s="15">
        <f t="shared" si="393"/>
        <v>0.83644200000000002</v>
      </c>
      <c r="AM853" s="16">
        <v>31</v>
      </c>
      <c r="AN853" s="8">
        <f t="shared" si="394"/>
        <v>8.3644200000000002E-2</v>
      </c>
      <c r="AO853" s="15" t="s">
        <v>705</v>
      </c>
      <c r="AP853" s="2">
        <v>8.6</v>
      </c>
      <c r="AQ853" s="15" t="s">
        <v>702</v>
      </c>
      <c r="AR853" s="4">
        <v>27</v>
      </c>
      <c r="AS853" s="4">
        <v>44</v>
      </c>
      <c r="AT853" s="4">
        <v>29</v>
      </c>
      <c r="AU853" s="2" t="s">
        <v>703</v>
      </c>
      <c r="AV853" s="16">
        <f t="shared" si="390"/>
        <v>100</v>
      </c>
      <c r="AW853" s="7">
        <v>1.3</v>
      </c>
      <c r="AX853" s="8">
        <f t="shared" si="383"/>
        <v>1.3000000000000001E-2</v>
      </c>
      <c r="AY853" s="8" t="s">
        <v>704</v>
      </c>
      <c r="AZ853" s="16">
        <v>10</v>
      </c>
      <c r="BA853" s="16" t="s">
        <v>55</v>
      </c>
      <c r="BB853" s="16" t="s">
        <v>55</v>
      </c>
      <c r="BC853" s="16" t="s">
        <v>55</v>
      </c>
      <c r="BD853" s="24">
        <f t="shared" si="395"/>
        <v>13.645831365889249</v>
      </c>
      <c r="BE853" s="16">
        <f t="shared" si="375"/>
        <v>1049.6793358376344</v>
      </c>
      <c r="BF853" s="16">
        <f t="shared" si="389"/>
        <v>3.0210566476931633</v>
      </c>
      <c r="BG853" s="8">
        <f>(1.09+1.18)/2</f>
        <v>1.135</v>
      </c>
      <c r="BH853" s="15" t="s">
        <v>849</v>
      </c>
      <c r="BI853" s="1"/>
      <c r="BJ853" s="2"/>
      <c r="BK853" s="1"/>
      <c r="BL853" s="1"/>
      <c r="BM853" s="7"/>
      <c r="BN853" s="7"/>
      <c r="BO853" s="1"/>
      <c r="BP853" s="11"/>
      <c r="BQ853" s="11"/>
    </row>
    <row r="854" spans="1:69" x14ac:dyDescent="0.3">
      <c r="A854" s="20">
        <v>871</v>
      </c>
      <c r="B854" s="2" t="s">
        <v>690</v>
      </c>
      <c r="C854" s="2">
        <v>2023</v>
      </c>
      <c r="D854" s="2" t="s">
        <v>199</v>
      </c>
      <c r="E854" s="10" t="s">
        <v>803</v>
      </c>
      <c r="F854" s="20" t="s">
        <v>29</v>
      </c>
      <c r="G854" s="2" t="s">
        <v>695</v>
      </c>
      <c r="H854" s="2" t="str">
        <f>'PFAS Properties'!$B$46</f>
        <v>PFOS</v>
      </c>
      <c r="I854" s="2" t="str">
        <f>'PFAS Properties'!$C$46</f>
        <v>PFSA</v>
      </c>
      <c r="J854" s="2" t="str">
        <f>'PFAS Properties'!$D$46</f>
        <v>C8HF17O3S</v>
      </c>
      <c r="K854" s="25">
        <f>'PFAS Properties'!$P$46</f>
        <v>499.93739999999997</v>
      </c>
      <c r="L854" s="2">
        <f>'PFAS Properties'!$X$46</f>
        <v>0.1</v>
      </c>
      <c r="M854" s="2" t="str">
        <f>'PFAS Properties'!$Y$46</f>
        <v>-</v>
      </c>
      <c r="N854" s="33">
        <v>0</v>
      </c>
      <c r="O854" s="33">
        <v>0</v>
      </c>
      <c r="P854" s="33">
        <v>0</v>
      </c>
      <c r="Q854" s="33">
        <f t="shared" si="381"/>
        <v>0.99999999369042658</v>
      </c>
      <c r="R854" s="33">
        <v>0</v>
      </c>
      <c r="S854" s="33">
        <f t="shared" si="382"/>
        <v>6.309573404991195E-9</v>
      </c>
      <c r="T854" s="8">
        <f t="shared" si="365"/>
        <v>1</v>
      </c>
      <c r="U854" s="33">
        <f t="shared" si="384"/>
        <v>0</v>
      </c>
      <c r="V854" s="33">
        <f t="shared" si="385"/>
        <v>-0.99999999369042658</v>
      </c>
      <c r="W854" s="33">
        <f t="shared" si="386"/>
        <v>498.93740000630953</v>
      </c>
      <c r="X854" s="33">
        <v>96485</v>
      </c>
      <c r="Y854" s="16">
        <f t="shared" si="387"/>
        <v>-193.38097202174194</v>
      </c>
      <c r="Z854" s="16">
        <v>8</v>
      </c>
      <c r="AA854" s="16">
        <v>17</v>
      </c>
      <c r="AB854" s="8">
        <f t="shared" si="388"/>
        <v>0.29721362229102166</v>
      </c>
      <c r="AC854" s="16">
        <f t="shared" si="373"/>
        <v>64.60808893273439</v>
      </c>
      <c r="AD854" s="20">
        <f>'PFAS Properties'!$W$46</f>
        <v>8</v>
      </c>
      <c r="AE854" s="8">
        <f>'PFAS Properties'!$S$46</f>
        <v>2.0166155475571776</v>
      </c>
      <c r="AF854" s="15">
        <f>'PFAS Properties'!$V$46</f>
        <v>5</v>
      </c>
      <c r="AG854" s="26">
        <v>8.3000000000000007</v>
      </c>
      <c r="AH854" s="2" t="s">
        <v>701</v>
      </c>
      <c r="AI854" s="15">
        <f t="shared" si="391"/>
        <v>2.066265</v>
      </c>
      <c r="AJ854" s="16">
        <v>37</v>
      </c>
      <c r="AK854" s="8">
        <f t="shared" si="392"/>
        <v>0.20662649999999999</v>
      </c>
      <c r="AL854" s="15">
        <f t="shared" si="393"/>
        <v>0.72851399999999999</v>
      </c>
      <c r="AM854" s="16">
        <v>27</v>
      </c>
      <c r="AN854" s="8">
        <f t="shared" si="394"/>
        <v>7.2851399999999997E-2</v>
      </c>
      <c r="AO854" s="15" t="s">
        <v>705</v>
      </c>
      <c r="AP854" s="2">
        <v>14</v>
      </c>
      <c r="AQ854" s="15" t="s">
        <v>702</v>
      </c>
      <c r="AR854" s="4">
        <v>80</v>
      </c>
      <c r="AS854" s="4">
        <v>15</v>
      </c>
      <c r="AT854" s="4">
        <v>4.4000000000000004</v>
      </c>
      <c r="AU854" s="2" t="s">
        <v>703</v>
      </c>
      <c r="AV854" s="16">
        <f t="shared" si="390"/>
        <v>99.4</v>
      </c>
      <c r="AW854" s="7">
        <v>1.2</v>
      </c>
      <c r="AX854" s="8">
        <f t="shared" si="383"/>
        <v>1.2E-2</v>
      </c>
      <c r="AY854" s="8" t="s">
        <v>704</v>
      </c>
      <c r="AZ854" s="16">
        <v>10</v>
      </c>
      <c r="BA854" s="16" t="s">
        <v>55</v>
      </c>
      <c r="BB854" s="16" t="s">
        <v>55</v>
      </c>
      <c r="BC854" s="16" t="s">
        <v>55</v>
      </c>
      <c r="BD854" s="24">
        <f t="shared" si="395"/>
        <v>16.788040181225607</v>
      </c>
      <c r="BE854" s="16">
        <f t="shared" si="375"/>
        <v>1399.0033484354672</v>
      </c>
      <c r="BF854" s="16">
        <f t="shared" si="389"/>
        <v>3.1458187539523754</v>
      </c>
      <c r="BG854" s="8">
        <v>1.2250000000000001</v>
      </c>
      <c r="BH854" s="15" t="s">
        <v>850</v>
      </c>
      <c r="BI854" s="1"/>
      <c r="BJ854" s="2"/>
      <c r="BK854" s="1"/>
      <c r="BL854" s="1"/>
      <c r="BM854" s="7"/>
      <c r="BN854" s="7"/>
      <c r="BO854" s="1"/>
      <c r="BP854" s="11"/>
      <c r="BQ854" s="11"/>
    </row>
    <row r="855" spans="1:69" x14ac:dyDescent="0.3">
      <c r="A855" s="20">
        <v>872</v>
      </c>
      <c r="B855" s="2" t="s">
        <v>690</v>
      </c>
      <c r="C855" s="2">
        <v>2023</v>
      </c>
      <c r="D855" s="2" t="s">
        <v>199</v>
      </c>
      <c r="E855" s="10" t="s">
        <v>803</v>
      </c>
      <c r="F855" s="20" t="s">
        <v>29</v>
      </c>
      <c r="G855" s="2" t="s">
        <v>696</v>
      </c>
      <c r="H855" s="2" t="str">
        <f>'PFAS Properties'!$B$46</f>
        <v>PFOS</v>
      </c>
      <c r="I855" s="2" t="str">
        <f>'PFAS Properties'!$C$46</f>
        <v>PFSA</v>
      </c>
      <c r="J855" s="2" t="str">
        <f>'PFAS Properties'!$D$46</f>
        <v>C8HF17O3S</v>
      </c>
      <c r="K855" s="25">
        <f>'PFAS Properties'!$P$46</f>
        <v>499.93739999999997</v>
      </c>
      <c r="L855" s="2">
        <f>'PFAS Properties'!$X$46</f>
        <v>0.1</v>
      </c>
      <c r="M855" s="2" t="str">
        <f>'PFAS Properties'!$Y$46</f>
        <v>-</v>
      </c>
      <c r="N855" s="33">
        <v>0</v>
      </c>
      <c r="O855" s="33">
        <v>0</v>
      </c>
      <c r="P855" s="33">
        <v>0</v>
      </c>
      <c r="Q855" s="33">
        <f t="shared" si="381"/>
        <v>0.99999601894414336</v>
      </c>
      <c r="R855" s="33">
        <v>0</v>
      </c>
      <c r="S855" s="33">
        <f t="shared" si="382"/>
        <v>3.981055856666137E-6</v>
      </c>
      <c r="T855" s="8">
        <f t="shared" si="365"/>
        <v>1</v>
      </c>
      <c r="U855" s="33">
        <f t="shared" si="384"/>
        <v>0</v>
      </c>
      <c r="V855" s="33">
        <f t="shared" si="385"/>
        <v>-0.99999601894414336</v>
      </c>
      <c r="W855" s="33">
        <f t="shared" si="386"/>
        <v>498.93740398105581</v>
      </c>
      <c r="X855" s="33">
        <v>96485</v>
      </c>
      <c r="Y855" s="16">
        <f t="shared" si="387"/>
        <v>-193.38020184088887</v>
      </c>
      <c r="Z855" s="16">
        <v>8</v>
      </c>
      <c r="AA855" s="16">
        <v>17</v>
      </c>
      <c r="AB855" s="8">
        <f t="shared" si="388"/>
        <v>0.29721362229102166</v>
      </c>
      <c r="AC855" s="16">
        <f t="shared" si="373"/>
        <v>64.60808893273439</v>
      </c>
      <c r="AD855" s="20">
        <f>'PFAS Properties'!$W$46</f>
        <v>8</v>
      </c>
      <c r="AE855" s="8">
        <f>'PFAS Properties'!$S$46</f>
        <v>2.0166155475571776</v>
      </c>
      <c r="AF855" s="15">
        <f>'PFAS Properties'!$V$46</f>
        <v>5</v>
      </c>
      <c r="AG855" s="26">
        <v>5.5</v>
      </c>
      <c r="AH855" s="2" t="s">
        <v>701</v>
      </c>
      <c r="AI855" s="15">
        <f t="shared" si="391"/>
        <v>1.3402799999999999</v>
      </c>
      <c r="AJ855" s="16">
        <v>24</v>
      </c>
      <c r="AK855" s="8">
        <f t="shared" si="392"/>
        <v>0.13402799999999998</v>
      </c>
      <c r="AL855" s="15">
        <f t="shared" si="393"/>
        <v>0.32378400000000002</v>
      </c>
      <c r="AM855" s="16">
        <v>12</v>
      </c>
      <c r="AN855" s="8">
        <f t="shared" si="394"/>
        <v>3.2378400000000002E-2</v>
      </c>
      <c r="AO855" s="15" t="s">
        <v>705</v>
      </c>
      <c r="AP855" s="2">
        <v>2.6</v>
      </c>
      <c r="AQ855" s="15" t="s">
        <v>702</v>
      </c>
      <c r="AR855" s="4">
        <v>86</v>
      </c>
      <c r="AS855" s="4">
        <v>8</v>
      </c>
      <c r="AT855" s="4">
        <v>6</v>
      </c>
      <c r="AU855" s="2" t="s">
        <v>703</v>
      </c>
      <c r="AV855" s="16">
        <f t="shared" si="390"/>
        <v>100</v>
      </c>
      <c r="AW855" s="7">
        <v>1.2</v>
      </c>
      <c r="AX855" s="8">
        <f t="shared" si="383"/>
        <v>1.2E-2</v>
      </c>
      <c r="AY855" s="8" t="s">
        <v>704</v>
      </c>
      <c r="AZ855" s="16">
        <v>10</v>
      </c>
      <c r="BA855" s="16" t="s">
        <v>55</v>
      </c>
      <c r="BB855" s="16" t="s">
        <v>55</v>
      </c>
      <c r="BC855" s="16" t="s">
        <v>55</v>
      </c>
      <c r="BD855" s="24">
        <f t="shared" si="395"/>
        <v>11.091748152624014</v>
      </c>
      <c r="BE855" s="16">
        <f t="shared" si="375"/>
        <v>924.31234605200109</v>
      </c>
      <c r="BF855" s="16">
        <f t="shared" si="389"/>
        <v>2.9658187539523753</v>
      </c>
      <c r="BG855" s="8">
        <v>1.0449999999999999</v>
      </c>
      <c r="BH855" s="15" t="s">
        <v>851</v>
      </c>
      <c r="BI855" s="1"/>
      <c r="BJ855" s="2"/>
      <c r="BK855" s="1"/>
      <c r="BL855" s="1"/>
      <c r="BM855" s="7"/>
      <c r="BN855" s="7"/>
      <c r="BO855" s="1"/>
      <c r="BP855" s="11"/>
      <c r="BQ855" s="11"/>
    </row>
    <row r="856" spans="1:69" x14ac:dyDescent="0.3">
      <c r="A856" s="20">
        <v>873</v>
      </c>
      <c r="B856" s="2" t="s">
        <v>690</v>
      </c>
      <c r="C856" s="2">
        <v>2023</v>
      </c>
      <c r="D856" s="2" t="s">
        <v>199</v>
      </c>
      <c r="E856" s="10" t="s">
        <v>803</v>
      </c>
      <c r="F856" s="20" t="s">
        <v>29</v>
      </c>
      <c r="G856" s="2" t="s">
        <v>697</v>
      </c>
      <c r="H856" s="2" t="str">
        <f>'PFAS Properties'!$B$46</f>
        <v>PFOS</v>
      </c>
      <c r="I856" s="2" t="str">
        <f>'PFAS Properties'!$C$46</f>
        <v>PFSA</v>
      </c>
      <c r="J856" s="2" t="str">
        <f>'PFAS Properties'!$D$46</f>
        <v>C8HF17O3S</v>
      </c>
      <c r="K856" s="25">
        <f>'PFAS Properties'!$P$46</f>
        <v>499.93739999999997</v>
      </c>
      <c r="L856" s="2">
        <f>'PFAS Properties'!$X$46</f>
        <v>0.1</v>
      </c>
      <c r="M856" s="2" t="str">
        <f>'PFAS Properties'!$Y$46</f>
        <v>-</v>
      </c>
      <c r="N856" s="33">
        <v>0</v>
      </c>
      <c r="O856" s="33">
        <v>0</v>
      </c>
      <c r="P856" s="33">
        <v>0</v>
      </c>
      <c r="Q856" s="33">
        <f t="shared" si="381"/>
        <v>0.99996837822336671</v>
      </c>
      <c r="R856" s="33">
        <v>0</v>
      </c>
      <c r="S856" s="33">
        <f t="shared" si="382"/>
        <v>3.1621776633305525E-5</v>
      </c>
      <c r="T856" s="8">
        <f t="shared" si="365"/>
        <v>1</v>
      </c>
      <c r="U856" s="33">
        <f t="shared" si="384"/>
        <v>0</v>
      </c>
      <c r="V856" s="33">
        <f t="shared" si="385"/>
        <v>-0.99996837822336671</v>
      </c>
      <c r="W856" s="33">
        <f t="shared" si="386"/>
        <v>498.93743162177657</v>
      </c>
      <c r="X856" s="33">
        <v>96485</v>
      </c>
      <c r="Y856" s="16">
        <f t="shared" si="387"/>
        <v>-193.37484593863954</v>
      </c>
      <c r="Z856" s="16">
        <v>8</v>
      </c>
      <c r="AA856" s="16">
        <v>17</v>
      </c>
      <c r="AB856" s="8">
        <f t="shared" si="388"/>
        <v>0.29721362229102166</v>
      </c>
      <c r="AC856" s="16">
        <f t="shared" si="373"/>
        <v>64.60808893273439</v>
      </c>
      <c r="AD856" s="20">
        <f>'PFAS Properties'!$W$46</f>
        <v>8</v>
      </c>
      <c r="AE856" s="8">
        <f>'PFAS Properties'!$S$46</f>
        <v>2.0166155475571776</v>
      </c>
      <c r="AF856" s="15">
        <f>'PFAS Properties'!$V$46</f>
        <v>5</v>
      </c>
      <c r="AG856" s="26">
        <v>4.5999999999999996</v>
      </c>
      <c r="AH856" s="2" t="s">
        <v>701</v>
      </c>
      <c r="AI856" s="15">
        <f t="shared" si="391"/>
        <v>0.1396125</v>
      </c>
      <c r="AJ856" s="16">
        <v>2.5</v>
      </c>
      <c r="AK856" s="8">
        <f t="shared" si="392"/>
        <v>1.396125E-2</v>
      </c>
      <c r="AL856" s="15">
        <f t="shared" si="393"/>
        <v>5.12658E-2</v>
      </c>
      <c r="AM856" s="16">
        <v>1.9</v>
      </c>
      <c r="AN856" s="8">
        <f t="shared" si="394"/>
        <v>5.1265800000000004E-3</v>
      </c>
      <c r="AO856" s="15" t="s">
        <v>705</v>
      </c>
      <c r="AP856" s="2">
        <v>1.8</v>
      </c>
      <c r="AQ856" s="15" t="s">
        <v>702</v>
      </c>
      <c r="AR856" s="4">
        <v>53</v>
      </c>
      <c r="AS856" s="4">
        <v>40</v>
      </c>
      <c r="AT856" s="4">
        <v>7</v>
      </c>
      <c r="AU856" s="2" t="s">
        <v>703</v>
      </c>
      <c r="AV856" s="16">
        <f t="shared" si="390"/>
        <v>100</v>
      </c>
      <c r="AW856" s="7">
        <v>1.1000000000000001</v>
      </c>
      <c r="AX856" s="8">
        <f t="shared" si="383"/>
        <v>1.1000000000000001E-2</v>
      </c>
      <c r="AY856" s="8" t="s">
        <v>704</v>
      </c>
      <c r="AZ856" s="16">
        <v>10</v>
      </c>
      <c r="BA856" s="16" t="s">
        <v>55</v>
      </c>
      <c r="BB856" s="16" t="s">
        <v>55</v>
      </c>
      <c r="BC856" s="16" t="s">
        <v>55</v>
      </c>
      <c r="BD856" s="24">
        <f t="shared" si="395"/>
        <v>4.0738027780411281</v>
      </c>
      <c r="BE856" s="16">
        <f t="shared" si="375"/>
        <v>370.34570709464799</v>
      </c>
      <c r="BF856" s="16">
        <f t="shared" si="389"/>
        <v>2.568607314841775</v>
      </c>
      <c r="BG856" s="8">
        <v>0.61</v>
      </c>
      <c r="BH856" s="15" t="s">
        <v>849</v>
      </c>
      <c r="BI856" s="1"/>
      <c r="BJ856" s="2"/>
      <c r="BK856" s="1"/>
      <c r="BL856" s="1"/>
      <c r="BM856" s="7"/>
      <c r="BN856" s="7"/>
      <c r="BO856" s="1"/>
      <c r="BP856" s="11"/>
      <c r="BQ856" s="11"/>
    </row>
    <row r="857" spans="1:69" x14ac:dyDescent="0.3">
      <c r="A857" s="20">
        <v>874</v>
      </c>
      <c r="B857" s="2" t="s">
        <v>690</v>
      </c>
      <c r="C857" s="2">
        <v>2023</v>
      </c>
      <c r="D857" s="2" t="s">
        <v>199</v>
      </c>
      <c r="E857" s="10" t="s">
        <v>803</v>
      </c>
      <c r="F857" s="20" t="s">
        <v>29</v>
      </c>
      <c r="G857" s="2" t="s">
        <v>698</v>
      </c>
      <c r="H857" s="2" t="str">
        <f>'PFAS Properties'!$B$46</f>
        <v>PFOS</v>
      </c>
      <c r="I857" s="2" t="str">
        <f>'PFAS Properties'!$C$46</f>
        <v>PFSA</v>
      </c>
      <c r="J857" s="2" t="str">
        <f>'PFAS Properties'!$D$46</f>
        <v>C8HF17O3S</v>
      </c>
      <c r="K857" s="25">
        <f>'PFAS Properties'!$P$46</f>
        <v>499.93739999999997</v>
      </c>
      <c r="L857" s="2">
        <f>'PFAS Properties'!$X$46</f>
        <v>0.1</v>
      </c>
      <c r="M857" s="2" t="str">
        <f>'PFAS Properties'!$Y$46</f>
        <v>-</v>
      </c>
      <c r="N857" s="33">
        <v>0</v>
      </c>
      <c r="O857" s="33">
        <v>0</v>
      </c>
      <c r="P857" s="33">
        <v>0</v>
      </c>
      <c r="Q857" s="33">
        <f t="shared" si="381"/>
        <v>0.99999968377233395</v>
      </c>
      <c r="R857" s="33">
        <v>0</v>
      </c>
      <c r="S857" s="33">
        <f t="shared" si="382"/>
        <v>3.1622766601686895E-7</v>
      </c>
      <c r="T857" s="8">
        <f t="shared" si="365"/>
        <v>1</v>
      </c>
      <c r="U857" s="33">
        <f t="shared" si="384"/>
        <v>0</v>
      </c>
      <c r="V857" s="33">
        <f t="shared" si="385"/>
        <v>-0.99999968377233395</v>
      </c>
      <c r="W857" s="33">
        <f t="shared" si="386"/>
        <v>498.93740031622758</v>
      </c>
      <c r="X857" s="33">
        <v>96485</v>
      </c>
      <c r="Y857" s="16">
        <f t="shared" si="387"/>
        <v>-193.3809119693598</v>
      </c>
      <c r="Z857" s="16">
        <v>8</v>
      </c>
      <c r="AA857" s="16">
        <v>17</v>
      </c>
      <c r="AB857" s="8">
        <f t="shared" si="388"/>
        <v>0.29721362229102166</v>
      </c>
      <c r="AC857" s="16">
        <f t="shared" si="373"/>
        <v>64.60808893273439</v>
      </c>
      <c r="AD857" s="20">
        <f>'PFAS Properties'!$W$46</f>
        <v>8</v>
      </c>
      <c r="AE857" s="8">
        <f>'PFAS Properties'!$S$46</f>
        <v>2.0166155475571776</v>
      </c>
      <c r="AF857" s="15">
        <f>'PFAS Properties'!$V$46</f>
        <v>5</v>
      </c>
      <c r="AG857" s="26">
        <v>6.6</v>
      </c>
      <c r="AH857" s="2" t="s">
        <v>701</v>
      </c>
      <c r="AI857" s="15">
        <f t="shared" si="391"/>
        <v>11.169</v>
      </c>
      <c r="AJ857" s="16">
        <v>200</v>
      </c>
      <c r="AK857" s="8">
        <f t="shared" si="392"/>
        <v>1.1169</v>
      </c>
      <c r="AL857" s="15">
        <f t="shared" si="393"/>
        <v>1.3760819999999998</v>
      </c>
      <c r="AM857" s="16">
        <v>51</v>
      </c>
      <c r="AN857" s="8">
        <f t="shared" si="394"/>
        <v>0.13760819999999999</v>
      </c>
      <c r="AO857" s="15" t="s">
        <v>705</v>
      </c>
      <c r="AP857" s="2">
        <v>16</v>
      </c>
      <c r="AQ857" s="15" t="s">
        <v>702</v>
      </c>
      <c r="AR857" s="4">
        <v>0.68</v>
      </c>
      <c r="AS857" s="4">
        <v>48</v>
      </c>
      <c r="AT857" s="4">
        <v>52</v>
      </c>
      <c r="AU857" s="2" t="s">
        <v>703</v>
      </c>
      <c r="AV857" s="16">
        <f t="shared" si="390"/>
        <v>100.68</v>
      </c>
      <c r="AW857" s="7">
        <v>0.91</v>
      </c>
      <c r="AX857" s="8">
        <f t="shared" si="383"/>
        <v>9.1000000000000004E-3</v>
      </c>
      <c r="AY857" s="8" t="s">
        <v>704</v>
      </c>
      <c r="AZ857" s="16">
        <v>10</v>
      </c>
      <c r="BA857" s="16" t="s">
        <v>55</v>
      </c>
      <c r="BB857" s="16" t="s">
        <v>55</v>
      </c>
      <c r="BC857" s="16" t="s">
        <v>55</v>
      </c>
      <c r="BD857" s="24">
        <f t="shared" si="395"/>
        <v>5.6885293084384152</v>
      </c>
      <c r="BE857" s="16">
        <f t="shared" si="375"/>
        <v>625.11311081740826</v>
      </c>
      <c r="BF857" s="16">
        <f t="shared" si="389"/>
        <v>2.7959586076789065</v>
      </c>
      <c r="BG857" s="8">
        <f>(0.5+1.01)/2</f>
        <v>0.755</v>
      </c>
      <c r="BH857" s="15" t="s">
        <v>852</v>
      </c>
      <c r="BI857" s="1"/>
      <c r="BJ857" s="2"/>
      <c r="BK857" s="1"/>
      <c r="BL857" s="1"/>
      <c r="BM857" s="7"/>
      <c r="BN857" s="7"/>
      <c r="BO857" s="1"/>
      <c r="BP857" s="11"/>
      <c r="BQ857" s="11"/>
    </row>
    <row r="858" spans="1:69" x14ac:dyDescent="0.3">
      <c r="A858" s="20">
        <v>875</v>
      </c>
      <c r="B858" s="2" t="s">
        <v>690</v>
      </c>
      <c r="C858" s="2">
        <v>2023</v>
      </c>
      <c r="D858" s="2" t="s">
        <v>199</v>
      </c>
      <c r="E858" s="10" t="s">
        <v>803</v>
      </c>
      <c r="F858" s="20" t="s">
        <v>29</v>
      </c>
      <c r="G858" s="2" t="s">
        <v>699</v>
      </c>
      <c r="H858" s="2" t="str">
        <f>'PFAS Properties'!$B$46</f>
        <v>PFOS</v>
      </c>
      <c r="I858" s="2" t="str">
        <f>'PFAS Properties'!$C$46</f>
        <v>PFSA</v>
      </c>
      <c r="J858" s="2" t="str">
        <f>'PFAS Properties'!$D$46</f>
        <v>C8HF17O3S</v>
      </c>
      <c r="K858" s="25">
        <f>'PFAS Properties'!$P$46</f>
        <v>499.93739999999997</v>
      </c>
      <c r="L858" s="2">
        <f>'PFAS Properties'!$X$46</f>
        <v>0.1</v>
      </c>
      <c r="M858" s="2" t="str">
        <f>'PFAS Properties'!$Y$46</f>
        <v>-</v>
      </c>
      <c r="N858" s="33">
        <v>0</v>
      </c>
      <c r="O858" s="33">
        <v>0</v>
      </c>
      <c r="P858" s="33">
        <v>0</v>
      </c>
      <c r="Q858" s="33">
        <f t="shared" si="381"/>
        <v>0.99999800474166611</v>
      </c>
      <c r="R858" s="33">
        <v>0</v>
      </c>
      <c r="S858" s="33">
        <f t="shared" si="382"/>
        <v>1.9952583339051124E-6</v>
      </c>
      <c r="T858" s="8">
        <f t="shared" si="365"/>
        <v>1</v>
      </c>
      <c r="U858" s="33">
        <f t="shared" si="384"/>
        <v>0</v>
      </c>
      <c r="V858" s="33">
        <f t="shared" si="385"/>
        <v>-0.99999800474166611</v>
      </c>
      <c r="W858" s="33">
        <f t="shared" si="386"/>
        <v>498.93740199525831</v>
      </c>
      <c r="X858" s="33">
        <v>96485</v>
      </c>
      <c r="Y858" s="16">
        <f t="shared" si="387"/>
        <v>-193.38058662600847</v>
      </c>
      <c r="Z858" s="16">
        <v>8</v>
      </c>
      <c r="AA858" s="16">
        <v>17</v>
      </c>
      <c r="AB858" s="8">
        <f t="shared" si="388"/>
        <v>0.29721362229102166</v>
      </c>
      <c r="AC858" s="16">
        <f t="shared" si="373"/>
        <v>64.60808893273439</v>
      </c>
      <c r="AD858" s="20">
        <f>'PFAS Properties'!$W$46</f>
        <v>8</v>
      </c>
      <c r="AE858" s="8">
        <f>'PFAS Properties'!$S$46</f>
        <v>2.0166155475571776</v>
      </c>
      <c r="AF858" s="15">
        <f>'PFAS Properties'!$V$46</f>
        <v>5</v>
      </c>
      <c r="AG858" s="26">
        <v>5.8</v>
      </c>
      <c r="AH858" s="2" t="s">
        <v>701</v>
      </c>
      <c r="AI858" s="15">
        <f t="shared" si="391"/>
        <v>1.6753499999999999</v>
      </c>
      <c r="AJ858" s="16">
        <v>30</v>
      </c>
      <c r="AK858" s="8">
        <f t="shared" si="392"/>
        <v>0.16753499999999999</v>
      </c>
      <c r="AL858" s="15">
        <f t="shared" si="393"/>
        <v>0.75549599999999995</v>
      </c>
      <c r="AM858" s="16">
        <v>28</v>
      </c>
      <c r="AN858" s="8">
        <f t="shared" si="394"/>
        <v>7.5549599999999995E-2</v>
      </c>
      <c r="AO858" s="15" t="s">
        <v>705</v>
      </c>
      <c r="AP858" s="2">
        <v>0.77</v>
      </c>
      <c r="AQ858" s="15" t="s">
        <v>702</v>
      </c>
      <c r="AR858" s="4">
        <v>89</v>
      </c>
      <c r="AS858" s="4">
        <v>8</v>
      </c>
      <c r="AT858" s="4">
        <v>3</v>
      </c>
      <c r="AU858" s="2" t="s">
        <v>703</v>
      </c>
      <c r="AV858" s="16">
        <f t="shared" si="390"/>
        <v>100</v>
      </c>
      <c r="AW858" s="7">
        <v>0.3</v>
      </c>
      <c r="AX858" s="8">
        <f t="shared" si="383"/>
        <v>3.0000000000000001E-3</v>
      </c>
      <c r="AY858" s="8" t="s">
        <v>704</v>
      </c>
      <c r="AZ858" s="16">
        <v>10</v>
      </c>
      <c r="BA858" s="16" t="s">
        <v>55</v>
      </c>
      <c r="BB858" s="16" t="s">
        <v>55</v>
      </c>
      <c r="BC858" s="16" t="s">
        <v>55</v>
      </c>
      <c r="BD858" s="24">
        <f t="shared" si="395"/>
        <v>5.2480746024977263</v>
      </c>
      <c r="BE858" s="16">
        <f t="shared" si="375"/>
        <v>1749.3582008325754</v>
      </c>
      <c r="BF858" s="16">
        <f t="shared" si="389"/>
        <v>3.2428787452803376</v>
      </c>
      <c r="BG858" s="8">
        <v>0.72</v>
      </c>
      <c r="BH858" s="15" t="s">
        <v>853</v>
      </c>
      <c r="BI858" s="1"/>
      <c r="BJ858" s="2"/>
      <c r="BK858" s="1"/>
      <c r="BL858" s="1"/>
      <c r="BM858" s="7"/>
      <c r="BN858" s="7"/>
      <c r="BO858" s="1"/>
      <c r="BP858" s="11"/>
      <c r="BQ858" s="11"/>
    </row>
    <row r="859" spans="1:69" x14ac:dyDescent="0.3">
      <c r="A859" s="20">
        <v>876</v>
      </c>
      <c r="B859" s="2" t="s">
        <v>690</v>
      </c>
      <c r="C859" s="2">
        <v>2023</v>
      </c>
      <c r="D859" s="2" t="s">
        <v>199</v>
      </c>
      <c r="E859" s="10" t="s">
        <v>803</v>
      </c>
      <c r="F859" s="20" t="s">
        <v>29</v>
      </c>
      <c r="G859" s="2" t="s">
        <v>700</v>
      </c>
      <c r="H859" s="2" t="str">
        <f>'PFAS Properties'!$B$46</f>
        <v>PFOS</v>
      </c>
      <c r="I859" s="2" t="str">
        <f>'PFAS Properties'!$C$46</f>
        <v>PFSA</v>
      </c>
      <c r="J859" s="2" t="str">
        <f>'PFAS Properties'!$D$46</f>
        <v>C8HF17O3S</v>
      </c>
      <c r="K859" s="25">
        <f>'PFAS Properties'!$P$46</f>
        <v>499.93739999999997</v>
      </c>
      <c r="L859" s="2">
        <f>'PFAS Properties'!$X$46</f>
        <v>0.1</v>
      </c>
      <c r="M859" s="2" t="str">
        <f>'PFAS Properties'!$Y$46</f>
        <v>-</v>
      </c>
      <c r="N859" s="33">
        <v>0</v>
      </c>
      <c r="O859" s="33">
        <v>0</v>
      </c>
      <c r="P859" s="33">
        <v>0</v>
      </c>
      <c r="Q859" s="33">
        <f t="shared" si="381"/>
        <v>0.99999369046636566</v>
      </c>
      <c r="R859" s="33">
        <v>0</v>
      </c>
      <c r="S859" s="33">
        <f t="shared" si="382"/>
        <v>6.3095336343360528E-6</v>
      </c>
      <c r="T859" s="8">
        <f t="shared" si="365"/>
        <v>1</v>
      </c>
      <c r="U859" s="33">
        <f t="shared" si="384"/>
        <v>0</v>
      </c>
      <c r="V859" s="33">
        <f t="shared" si="385"/>
        <v>-0.99999369046636566</v>
      </c>
      <c r="W859" s="33">
        <f t="shared" si="386"/>
        <v>498.93740630953363</v>
      </c>
      <c r="X859" s="33">
        <v>96485</v>
      </c>
      <c r="Y859" s="16">
        <f t="shared" si="387"/>
        <v>-193.37975065511475</v>
      </c>
      <c r="Z859" s="16">
        <v>8</v>
      </c>
      <c r="AA859" s="16">
        <v>17</v>
      </c>
      <c r="AB859" s="8">
        <f t="shared" si="388"/>
        <v>0.29721362229102166</v>
      </c>
      <c r="AC859" s="16">
        <f t="shared" si="373"/>
        <v>64.60808893273439</v>
      </c>
      <c r="AD859" s="20">
        <f>'PFAS Properties'!$W$46</f>
        <v>8</v>
      </c>
      <c r="AE859" s="8">
        <f>'PFAS Properties'!$S$46</f>
        <v>2.0166155475571776</v>
      </c>
      <c r="AF859" s="15">
        <f>'PFAS Properties'!$V$46</f>
        <v>5</v>
      </c>
      <c r="AG859" s="26">
        <v>5.3</v>
      </c>
      <c r="AH859" s="2" t="s">
        <v>701</v>
      </c>
      <c r="AI859" s="15">
        <f t="shared" si="391"/>
        <v>1.2285899999999998</v>
      </c>
      <c r="AJ859" s="16">
        <v>22</v>
      </c>
      <c r="AK859" s="8">
        <f t="shared" si="392"/>
        <v>0.12285899999999998</v>
      </c>
      <c r="AL859" s="15">
        <f t="shared" si="393"/>
        <v>2.15856</v>
      </c>
      <c r="AM859" s="16">
        <v>80</v>
      </c>
      <c r="AN859" s="8">
        <f t="shared" si="394"/>
        <v>0.21585599999999999</v>
      </c>
      <c r="AO859" s="15" t="s">
        <v>705</v>
      </c>
      <c r="AP859" s="2">
        <v>0.45</v>
      </c>
      <c r="AQ859" s="15" t="s">
        <v>702</v>
      </c>
      <c r="AR859" s="4">
        <v>96</v>
      </c>
      <c r="AS859" s="4">
        <v>3</v>
      </c>
      <c r="AT859" s="4">
        <v>2</v>
      </c>
      <c r="AU859" s="2" t="s">
        <v>703</v>
      </c>
      <c r="AV859" s="16">
        <f t="shared" si="390"/>
        <v>101</v>
      </c>
      <c r="AW859" s="7">
        <v>0.19</v>
      </c>
      <c r="AX859" s="8">
        <f t="shared" si="383"/>
        <v>1.9E-3</v>
      </c>
      <c r="AY859" s="8" t="s">
        <v>704</v>
      </c>
      <c r="AZ859" s="16">
        <v>10</v>
      </c>
      <c r="BA859" s="16" t="s">
        <v>55</v>
      </c>
      <c r="BB859" s="16" t="s">
        <v>55</v>
      </c>
      <c r="BC859" s="16" t="s">
        <v>55</v>
      </c>
      <c r="BD859" s="24">
        <f t="shared" si="395"/>
        <v>6.0255958607435796</v>
      </c>
      <c r="BE859" s="16">
        <f t="shared" si="375"/>
        <v>3171.366242496621</v>
      </c>
      <c r="BF859" s="16">
        <f t="shared" si="389"/>
        <v>3.5012463990471714</v>
      </c>
      <c r="BG859" s="8">
        <v>0.78</v>
      </c>
      <c r="BH859" s="15" t="s">
        <v>846</v>
      </c>
      <c r="BI859" s="1"/>
      <c r="BJ859" s="2"/>
      <c r="BK859" s="1"/>
      <c r="BL859" s="1"/>
      <c r="BM859" s="7"/>
      <c r="BN859" s="7"/>
      <c r="BO859" s="1"/>
      <c r="BP859" s="11"/>
      <c r="BQ859" s="11"/>
    </row>
    <row r="860" spans="1:69" s="14" customFormat="1" x14ac:dyDescent="0.3">
      <c r="A860" s="20">
        <v>877</v>
      </c>
      <c r="B860" s="2" t="s">
        <v>775</v>
      </c>
      <c r="C860" s="2">
        <v>2021</v>
      </c>
      <c r="D860" s="2" t="s">
        <v>203</v>
      </c>
      <c r="E860" s="10" t="s">
        <v>786</v>
      </c>
      <c r="F860" s="20" t="s">
        <v>29</v>
      </c>
      <c r="G860" s="2" t="s">
        <v>116</v>
      </c>
      <c r="H860" s="2" t="str">
        <f>'PFAS Properties'!$B$46</f>
        <v>PFOS</v>
      </c>
      <c r="I860" s="2" t="str">
        <f>'PFAS Properties'!$C$46</f>
        <v>PFSA</v>
      </c>
      <c r="J860" s="2" t="str">
        <f>'PFAS Properties'!$D$46</f>
        <v>C8HF17O3S</v>
      </c>
      <c r="K860" s="25">
        <f>'PFAS Properties'!$P$46</f>
        <v>499.93739999999997</v>
      </c>
      <c r="L860" s="2">
        <f>'PFAS Properties'!$X$46</f>
        <v>0.1</v>
      </c>
      <c r="M860" s="2" t="str">
        <f>'PFAS Properties'!$Y$46</f>
        <v>-</v>
      </c>
      <c r="N860" s="33">
        <v>0</v>
      </c>
      <c r="O860" s="33">
        <v>0</v>
      </c>
      <c r="P860" s="33">
        <v>0</v>
      </c>
      <c r="Q860" s="33">
        <f t="shared" si="381"/>
        <v>0.99999996451866235</v>
      </c>
      <c r="R860" s="33">
        <v>0</v>
      </c>
      <c r="S860" s="33">
        <f t="shared" si="382"/>
        <v>3.5481337664432056E-8</v>
      </c>
      <c r="T860" s="8">
        <f t="shared" ref="T860:T871" si="396">SUM(N860:S860)</f>
        <v>1</v>
      </c>
      <c r="U860" s="33">
        <f t="shared" si="384"/>
        <v>0</v>
      </c>
      <c r="V860" s="33">
        <f t="shared" si="385"/>
        <v>-0.99999996451866235</v>
      </c>
      <c r="W860" s="33">
        <f t="shared" si="386"/>
        <v>498.93740003548129</v>
      </c>
      <c r="X860" s="33">
        <v>96485</v>
      </c>
      <c r="Y860" s="16">
        <f t="shared" si="387"/>
        <v>-193.3809663691712</v>
      </c>
      <c r="Z860" s="16">
        <v>8</v>
      </c>
      <c r="AA860" s="16">
        <v>17</v>
      </c>
      <c r="AB860" s="8">
        <f t="shared" si="388"/>
        <v>0.29721362229102166</v>
      </c>
      <c r="AC860" s="16">
        <f t="shared" si="373"/>
        <v>64.60808893273439</v>
      </c>
      <c r="AD860" s="20">
        <f>'PFAS Properties'!$W$46</f>
        <v>8</v>
      </c>
      <c r="AE860" s="8">
        <f>'PFAS Properties'!$S$46</f>
        <v>2.0166155475571776</v>
      </c>
      <c r="AF860" s="15">
        <f>'PFAS Properties'!$V$46</f>
        <v>5</v>
      </c>
      <c r="AG860" s="24">
        <v>7.55</v>
      </c>
      <c r="AH860" s="15" t="s">
        <v>830</v>
      </c>
      <c r="AI860" s="2" t="s">
        <v>661</v>
      </c>
      <c r="AJ860" s="2" t="s">
        <v>661</v>
      </c>
      <c r="AK860" s="2" t="s">
        <v>661</v>
      </c>
      <c r="AL860" s="2" t="s">
        <v>661</v>
      </c>
      <c r="AM860" s="2" t="s">
        <v>661</v>
      </c>
      <c r="AN860" s="2" t="s">
        <v>661</v>
      </c>
      <c r="AO860" s="2" t="s">
        <v>661</v>
      </c>
      <c r="AP860" s="15">
        <v>2.52</v>
      </c>
      <c r="AQ860" s="16" t="s">
        <v>689</v>
      </c>
      <c r="AR860" s="16">
        <v>45.3</v>
      </c>
      <c r="AS860" s="16">
        <v>30</v>
      </c>
      <c r="AT860" s="16">
        <v>24.7</v>
      </c>
      <c r="AU860" s="16" t="s">
        <v>664</v>
      </c>
      <c r="AV860" s="16">
        <f t="shared" si="390"/>
        <v>100</v>
      </c>
      <c r="AW860" s="20">
        <v>3.4</v>
      </c>
      <c r="AX860" s="8">
        <f t="shared" si="383"/>
        <v>3.4000000000000002E-2</v>
      </c>
      <c r="AY860" s="8" t="s">
        <v>342</v>
      </c>
      <c r="AZ860" s="16">
        <f>1/0.01</f>
        <v>100</v>
      </c>
      <c r="BA860" s="16" t="s">
        <v>55</v>
      </c>
      <c r="BB860" s="15">
        <f>5*K860/1000</f>
        <v>2.4996869999999998</v>
      </c>
      <c r="BC860" s="16">
        <f>5000*K860/1000</f>
        <v>2499.6869999999999</v>
      </c>
      <c r="BD860" s="24">
        <f>473*AX860</f>
        <v>16.082000000000001</v>
      </c>
      <c r="BE860" s="16">
        <f t="shared" si="375"/>
        <v>473</v>
      </c>
      <c r="BF860" s="16">
        <f t="shared" si="389"/>
        <v>2.6748611407378116</v>
      </c>
      <c r="BG860" s="8">
        <f t="shared" ref="BG860:BG920" si="397">LOG(BD860)</f>
        <v>1.2063400577800667</v>
      </c>
      <c r="BH860" s="13" t="s">
        <v>343</v>
      </c>
      <c r="BI860" s="8"/>
      <c r="BJ860" s="13"/>
      <c r="BK860" s="15"/>
      <c r="BL860" s="15"/>
      <c r="BM860" s="18"/>
      <c r="BN860" s="8"/>
      <c r="BO860" s="24"/>
    </row>
    <row r="861" spans="1:69" s="14" customFormat="1" x14ac:dyDescent="0.3">
      <c r="A861" s="20">
        <v>878</v>
      </c>
      <c r="B861" s="2" t="s">
        <v>775</v>
      </c>
      <c r="C861" s="2">
        <v>2021</v>
      </c>
      <c r="D861" s="2" t="s">
        <v>203</v>
      </c>
      <c r="E861" s="10" t="s">
        <v>786</v>
      </c>
      <c r="F861" s="20" t="s">
        <v>29</v>
      </c>
      <c r="G861" s="2" t="s">
        <v>117</v>
      </c>
      <c r="H861" s="2" t="str">
        <f>'PFAS Properties'!$B$46</f>
        <v>PFOS</v>
      </c>
      <c r="I861" s="2" t="str">
        <f>'PFAS Properties'!$C$46</f>
        <v>PFSA</v>
      </c>
      <c r="J861" s="2" t="str">
        <f>'PFAS Properties'!$D$46</f>
        <v>C8HF17O3S</v>
      </c>
      <c r="K861" s="25">
        <f>'PFAS Properties'!$P$46</f>
        <v>499.93739999999997</v>
      </c>
      <c r="L861" s="2">
        <f>'PFAS Properties'!$X$46</f>
        <v>0.1</v>
      </c>
      <c r="M861" s="2" t="str">
        <f>'PFAS Properties'!$Y$46</f>
        <v>-</v>
      </c>
      <c r="N861" s="33">
        <v>0</v>
      </c>
      <c r="O861" s="33">
        <v>0</v>
      </c>
      <c r="P861" s="33">
        <v>0</v>
      </c>
      <c r="Q861" s="33">
        <f t="shared" si="381"/>
        <v>0.99999999223752889</v>
      </c>
      <c r="R861" s="33">
        <v>0</v>
      </c>
      <c r="S861" s="33">
        <f t="shared" si="382"/>
        <v>7.7624711060309258E-9</v>
      </c>
      <c r="T861" s="8">
        <f t="shared" si="396"/>
        <v>1</v>
      </c>
      <c r="U861" s="33">
        <f t="shared" si="384"/>
        <v>0</v>
      </c>
      <c r="V861" s="33">
        <f t="shared" si="385"/>
        <v>-0.99999999223752889</v>
      </c>
      <c r="W861" s="33">
        <f t="shared" si="386"/>
        <v>498.93740000776239</v>
      </c>
      <c r="X861" s="33">
        <v>96485</v>
      </c>
      <c r="Y861" s="16">
        <f t="shared" si="387"/>
        <v>-193.38097174021607</v>
      </c>
      <c r="Z861" s="16">
        <v>8</v>
      </c>
      <c r="AA861" s="16">
        <v>17</v>
      </c>
      <c r="AB861" s="8">
        <f t="shared" si="388"/>
        <v>0.29721362229102166</v>
      </c>
      <c r="AC861" s="16">
        <f t="shared" si="373"/>
        <v>64.60808893273439</v>
      </c>
      <c r="AD861" s="20">
        <f>'PFAS Properties'!$W$46</f>
        <v>8</v>
      </c>
      <c r="AE861" s="8">
        <f>'PFAS Properties'!$S$46</f>
        <v>2.0166155475571776</v>
      </c>
      <c r="AF861" s="15">
        <f>'PFAS Properties'!$V$46</f>
        <v>5</v>
      </c>
      <c r="AG861" s="24">
        <v>8.2100000000000009</v>
      </c>
      <c r="AH861" s="15" t="s">
        <v>830</v>
      </c>
      <c r="AI861" s="2" t="s">
        <v>661</v>
      </c>
      <c r="AJ861" s="2" t="s">
        <v>661</v>
      </c>
      <c r="AK861" s="2" t="s">
        <v>661</v>
      </c>
      <c r="AL861" s="2" t="s">
        <v>661</v>
      </c>
      <c r="AM861" s="2" t="s">
        <v>661</v>
      </c>
      <c r="AN861" s="2" t="s">
        <v>661</v>
      </c>
      <c r="AO861" s="2" t="s">
        <v>661</v>
      </c>
      <c r="AP861" s="15">
        <v>11.4</v>
      </c>
      <c r="AQ861" s="16" t="s">
        <v>689</v>
      </c>
      <c r="AR861" s="16">
        <v>28.7</v>
      </c>
      <c r="AS861" s="16">
        <v>40</v>
      </c>
      <c r="AT861" s="16">
        <v>31.3</v>
      </c>
      <c r="AU861" s="16" t="s">
        <v>664</v>
      </c>
      <c r="AV861" s="16">
        <f t="shared" si="390"/>
        <v>100</v>
      </c>
      <c r="AW861" s="20">
        <v>1.7</v>
      </c>
      <c r="AX861" s="8">
        <f t="shared" si="383"/>
        <v>1.7000000000000001E-2</v>
      </c>
      <c r="AY861" s="8" t="s">
        <v>342</v>
      </c>
      <c r="AZ861" s="16">
        <f>1/0.01</f>
        <v>100</v>
      </c>
      <c r="BA861" s="16" t="s">
        <v>55</v>
      </c>
      <c r="BB861" s="15">
        <f>5*K861/1000</f>
        <v>2.4996869999999998</v>
      </c>
      <c r="BC861" s="16">
        <f>5000*K861/1000</f>
        <v>2499.6869999999999</v>
      </c>
      <c r="BD861" s="24">
        <f>931.9*AX861</f>
        <v>15.842300000000002</v>
      </c>
      <c r="BE861" s="16">
        <f t="shared" si="375"/>
        <v>931.9</v>
      </c>
      <c r="BF861" s="16">
        <f t="shared" si="389"/>
        <v>2.9693693117335274</v>
      </c>
      <c r="BG861" s="8">
        <f t="shared" si="397"/>
        <v>1.1998182331118015</v>
      </c>
      <c r="BH861" s="13" t="s">
        <v>343</v>
      </c>
      <c r="BI861" s="16"/>
      <c r="BJ861" s="13"/>
      <c r="BK861" s="15"/>
      <c r="BL861" s="16"/>
      <c r="BM861" s="18"/>
      <c r="BN861" s="8"/>
      <c r="BO861" s="24"/>
    </row>
    <row r="862" spans="1:69" s="14" customFormat="1" x14ac:dyDescent="0.3">
      <c r="A862" s="20">
        <v>879</v>
      </c>
      <c r="B862" s="2" t="s">
        <v>775</v>
      </c>
      <c r="C862" s="2">
        <v>2021</v>
      </c>
      <c r="D862" s="2" t="s">
        <v>203</v>
      </c>
      <c r="E862" s="10" t="s">
        <v>786</v>
      </c>
      <c r="F862" s="20" t="s">
        <v>29</v>
      </c>
      <c r="G862" s="2" t="s">
        <v>118</v>
      </c>
      <c r="H862" s="2" t="str">
        <f>'PFAS Properties'!$B$46</f>
        <v>PFOS</v>
      </c>
      <c r="I862" s="2" t="str">
        <f>'PFAS Properties'!$C$46</f>
        <v>PFSA</v>
      </c>
      <c r="J862" s="2" t="str">
        <f>'PFAS Properties'!$D$46</f>
        <v>C8HF17O3S</v>
      </c>
      <c r="K862" s="25">
        <f>'PFAS Properties'!$P$46</f>
        <v>499.93739999999997</v>
      </c>
      <c r="L862" s="2">
        <f>'PFAS Properties'!$X$46</f>
        <v>0.1</v>
      </c>
      <c r="M862" s="2" t="str">
        <f>'PFAS Properties'!$Y$46</f>
        <v>-</v>
      </c>
      <c r="N862" s="33">
        <v>0</v>
      </c>
      <c r="O862" s="33">
        <v>0</v>
      </c>
      <c r="P862" s="33">
        <v>0</v>
      </c>
      <c r="Q862" s="33">
        <f t="shared" si="381"/>
        <v>0.99999966115595873</v>
      </c>
      <c r="R862" s="33">
        <v>0</v>
      </c>
      <c r="S862" s="33">
        <f t="shared" si="382"/>
        <v>3.3884404132387859E-7</v>
      </c>
      <c r="T862" s="8">
        <f t="shared" si="396"/>
        <v>1</v>
      </c>
      <c r="U862" s="33">
        <f t="shared" si="384"/>
        <v>0</v>
      </c>
      <c r="V862" s="33">
        <f t="shared" si="385"/>
        <v>-0.99999966115595873</v>
      </c>
      <c r="W862" s="33">
        <f t="shared" si="386"/>
        <v>498.93740033884399</v>
      </c>
      <c r="X862" s="33">
        <v>96485</v>
      </c>
      <c r="Y862" s="16">
        <f t="shared" si="387"/>
        <v>-193.38090758701736</v>
      </c>
      <c r="Z862" s="16">
        <v>8</v>
      </c>
      <c r="AA862" s="16">
        <v>17</v>
      </c>
      <c r="AB862" s="8">
        <f t="shared" si="388"/>
        <v>0.29721362229102166</v>
      </c>
      <c r="AC862" s="16">
        <f t="shared" si="373"/>
        <v>64.60808893273439</v>
      </c>
      <c r="AD862" s="20">
        <f>'PFAS Properties'!$W$46</f>
        <v>8</v>
      </c>
      <c r="AE862" s="8">
        <f>'PFAS Properties'!$S$46</f>
        <v>2.0166155475571776</v>
      </c>
      <c r="AF862" s="15">
        <f>'PFAS Properties'!$V$46</f>
        <v>5</v>
      </c>
      <c r="AG862" s="24">
        <v>6.57</v>
      </c>
      <c r="AH862" s="15" t="s">
        <v>830</v>
      </c>
      <c r="AI862" s="2" t="s">
        <v>661</v>
      </c>
      <c r="AJ862" s="2" t="s">
        <v>661</v>
      </c>
      <c r="AK862" s="2" t="s">
        <v>661</v>
      </c>
      <c r="AL862" s="2" t="s">
        <v>661</v>
      </c>
      <c r="AM862" s="2" t="s">
        <v>661</v>
      </c>
      <c r="AN862" s="2" t="s">
        <v>661</v>
      </c>
      <c r="AO862" s="2" t="s">
        <v>661</v>
      </c>
      <c r="AP862" s="15">
        <v>9.93</v>
      </c>
      <c r="AQ862" s="16" t="s">
        <v>689</v>
      </c>
      <c r="AR862" s="16">
        <v>20</v>
      </c>
      <c r="AS862" s="16">
        <v>50</v>
      </c>
      <c r="AT862" s="16">
        <v>30</v>
      </c>
      <c r="AU862" s="16" t="s">
        <v>664</v>
      </c>
      <c r="AV862" s="16">
        <f t="shared" si="390"/>
        <v>100</v>
      </c>
      <c r="AW862" s="20">
        <v>2.9</v>
      </c>
      <c r="AX862" s="8">
        <f t="shared" si="383"/>
        <v>2.8999999999999998E-2</v>
      </c>
      <c r="AY862" s="8" t="s">
        <v>342</v>
      </c>
      <c r="AZ862" s="16">
        <f>1/0.01</f>
        <v>100</v>
      </c>
      <c r="BA862" s="16" t="s">
        <v>55</v>
      </c>
      <c r="BB862" s="15">
        <f>5*K862/1000</f>
        <v>2.4996869999999998</v>
      </c>
      <c r="BC862" s="16">
        <f>5000*K862/1000</f>
        <v>2499.6869999999999</v>
      </c>
      <c r="BD862" s="24">
        <f>548.7*AX862</f>
        <v>15.9123</v>
      </c>
      <c r="BE862" s="16">
        <f t="shared" si="375"/>
        <v>548.70000000000005</v>
      </c>
      <c r="BF862" s="16">
        <f t="shared" si="389"/>
        <v>2.7393349601960795</v>
      </c>
      <c r="BG862" s="8">
        <f t="shared" si="397"/>
        <v>1.2017329580950353</v>
      </c>
      <c r="BH862" s="13" t="s">
        <v>343</v>
      </c>
      <c r="BI862" s="15"/>
      <c r="BJ862" s="13"/>
      <c r="BK862" s="15"/>
      <c r="BL862" s="15"/>
      <c r="BM862" s="18"/>
      <c r="BN862" s="8"/>
      <c r="BO862" s="24"/>
    </row>
    <row r="863" spans="1:69" s="14" customFormat="1" x14ac:dyDescent="0.3">
      <c r="A863" s="20">
        <v>880</v>
      </c>
      <c r="B863" s="2" t="s">
        <v>775</v>
      </c>
      <c r="C863" s="2">
        <v>2021</v>
      </c>
      <c r="D863" s="2" t="s">
        <v>203</v>
      </c>
      <c r="E863" s="10" t="s">
        <v>786</v>
      </c>
      <c r="F863" s="20" t="s">
        <v>29</v>
      </c>
      <c r="G863" s="2" t="s">
        <v>119</v>
      </c>
      <c r="H863" s="2" t="str">
        <f>'PFAS Properties'!$B$46</f>
        <v>PFOS</v>
      </c>
      <c r="I863" s="2" t="str">
        <f>'PFAS Properties'!$C$46</f>
        <v>PFSA</v>
      </c>
      <c r="J863" s="2" t="str">
        <f>'PFAS Properties'!$D$46</f>
        <v>C8HF17O3S</v>
      </c>
      <c r="K863" s="25">
        <f>'PFAS Properties'!$P$46</f>
        <v>499.93739999999997</v>
      </c>
      <c r="L863" s="2">
        <f>'PFAS Properties'!$X$46</f>
        <v>0.1</v>
      </c>
      <c r="M863" s="2" t="str">
        <f>'PFAS Properties'!$Y$46</f>
        <v>-</v>
      </c>
      <c r="N863" s="33">
        <v>0</v>
      </c>
      <c r="O863" s="33">
        <v>0</v>
      </c>
      <c r="P863" s="33">
        <v>0</v>
      </c>
      <c r="Q863" s="33">
        <f t="shared" si="381"/>
        <v>0.99996019086777477</v>
      </c>
      <c r="R863" s="33">
        <v>0</v>
      </c>
      <c r="S863" s="33">
        <f t="shared" si="382"/>
        <v>3.9809132225250393E-5</v>
      </c>
      <c r="T863" s="8">
        <f t="shared" si="396"/>
        <v>1</v>
      </c>
      <c r="U863" s="33">
        <f t="shared" si="384"/>
        <v>0</v>
      </c>
      <c r="V863" s="33">
        <f t="shared" si="385"/>
        <v>-0.99996019086777477</v>
      </c>
      <c r="W863" s="33">
        <f t="shared" si="386"/>
        <v>498.93743980913223</v>
      </c>
      <c r="X863" s="33">
        <v>96485</v>
      </c>
      <c r="Y863" s="16">
        <f t="shared" si="387"/>
        <v>-193.37325948677247</v>
      </c>
      <c r="Z863" s="16">
        <v>8</v>
      </c>
      <c r="AA863" s="16">
        <v>17</v>
      </c>
      <c r="AB863" s="8">
        <f t="shared" si="388"/>
        <v>0.29721362229102166</v>
      </c>
      <c r="AC863" s="16">
        <f t="shared" si="373"/>
        <v>64.60808893273439</v>
      </c>
      <c r="AD863" s="20">
        <f>'PFAS Properties'!$W$46</f>
        <v>8</v>
      </c>
      <c r="AE863" s="8">
        <f>'PFAS Properties'!$S$46</f>
        <v>2.0166155475571776</v>
      </c>
      <c r="AF863" s="15">
        <f>'PFAS Properties'!$V$46</f>
        <v>5</v>
      </c>
      <c r="AG863" s="24">
        <v>4.5</v>
      </c>
      <c r="AH863" s="15" t="s">
        <v>830</v>
      </c>
      <c r="AI863" s="2" t="s">
        <v>661</v>
      </c>
      <c r="AJ863" s="2" t="s">
        <v>661</v>
      </c>
      <c r="AK863" s="2" t="s">
        <v>661</v>
      </c>
      <c r="AL863" s="2" t="s">
        <v>661</v>
      </c>
      <c r="AM863" s="2" t="s">
        <v>661</v>
      </c>
      <c r="AN863" s="2" t="s">
        <v>661</v>
      </c>
      <c r="AO863" s="2" t="s">
        <v>661</v>
      </c>
      <c r="AP863" s="72">
        <v>11.497016666666671</v>
      </c>
      <c r="AQ863" s="70" t="s">
        <v>752</v>
      </c>
      <c r="AR863" s="16">
        <v>51.2</v>
      </c>
      <c r="AS863" s="16">
        <v>36.200000000000003</v>
      </c>
      <c r="AT863" s="16">
        <v>12.6</v>
      </c>
      <c r="AU863" s="16" t="s">
        <v>664</v>
      </c>
      <c r="AV863" s="16">
        <f t="shared" si="390"/>
        <v>100</v>
      </c>
      <c r="AW863" s="20">
        <v>7.3</v>
      </c>
      <c r="AX863" s="8">
        <f t="shared" si="383"/>
        <v>7.2999999999999995E-2</v>
      </c>
      <c r="AY863" s="8" t="s">
        <v>342</v>
      </c>
      <c r="AZ863" s="16">
        <f>1/0.01</f>
        <v>100</v>
      </c>
      <c r="BA863" s="16" t="s">
        <v>55</v>
      </c>
      <c r="BB863" s="15">
        <f>5*K863/1000</f>
        <v>2.4996869999999998</v>
      </c>
      <c r="BC863" s="16">
        <f>5000*K863/1000</f>
        <v>2499.6869999999999</v>
      </c>
      <c r="BD863" s="24">
        <f>760.9*AX863</f>
        <v>55.545699999999997</v>
      </c>
      <c r="BE863" s="16">
        <f t="shared" si="375"/>
        <v>760.9</v>
      </c>
      <c r="BF863" s="16">
        <f t="shared" si="389"/>
        <v>2.8813275841005512</v>
      </c>
      <c r="BG863" s="8">
        <f t="shared" si="397"/>
        <v>1.7446504442210073</v>
      </c>
      <c r="BH863" s="13" t="s">
        <v>343</v>
      </c>
      <c r="BI863" s="15"/>
      <c r="BJ863" s="13"/>
      <c r="BK863" s="15"/>
      <c r="BL863" s="15"/>
      <c r="BM863" s="18"/>
      <c r="BN863" s="8"/>
      <c r="BO863" s="24"/>
    </row>
    <row r="864" spans="1:69" s="14" customFormat="1" x14ac:dyDescent="0.3">
      <c r="A864" s="20">
        <v>881</v>
      </c>
      <c r="B864" s="2" t="s">
        <v>775</v>
      </c>
      <c r="C864" s="2">
        <v>2021</v>
      </c>
      <c r="D864" s="2" t="s">
        <v>203</v>
      </c>
      <c r="E864" s="10" t="s">
        <v>786</v>
      </c>
      <c r="F864" s="20" t="s">
        <v>29</v>
      </c>
      <c r="G864" s="2" t="s">
        <v>120</v>
      </c>
      <c r="H864" s="2" t="str">
        <f>'PFAS Properties'!$B$46</f>
        <v>PFOS</v>
      </c>
      <c r="I864" s="2" t="str">
        <f>'PFAS Properties'!$C$46</f>
        <v>PFSA</v>
      </c>
      <c r="J864" s="2" t="str">
        <f>'PFAS Properties'!$D$46</f>
        <v>C8HF17O3S</v>
      </c>
      <c r="K864" s="25">
        <f>'PFAS Properties'!$P$46</f>
        <v>499.93739999999997</v>
      </c>
      <c r="L864" s="2">
        <f>'PFAS Properties'!$X$46</f>
        <v>0.1</v>
      </c>
      <c r="M864" s="2" t="str">
        <f>'PFAS Properties'!$Y$46</f>
        <v>-</v>
      </c>
      <c r="N864" s="33">
        <v>0</v>
      </c>
      <c r="O864" s="33">
        <v>0</v>
      </c>
      <c r="P864" s="33">
        <v>0</v>
      </c>
      <c r="Q864" s="33">
        <f t="shared" si="381"/>
        <v>0.99999108757005073</v>
      </c>
      <c r="R864" s="33">
        <v>0</v>
      </c>
      <c r="S864" s="33">
        <f t="shared" si="382"/>
        <v>8.9124299492218927E-6</v>
      </c>
      <c r="T864" s="8">
        <f t="shared" si="396"/>
        <v>1</v>
      </c>
      <c r="U864" s="33">
        <f t="shared" si="384"/>
        <v>0</v>
      </c>
      <c r="V864" s="33">
        <f t="shared" si="385"/>
        <v>-0.99999108757005073</v>
      </c>
      <c r="W864" s="33">
        <f t="shared" si="386"/>
        <v>498.93740891242987</v>
      </c>
      <c r="X864" s="33">
        <v>96485</v>
      </c>
      <c r="Y864" s="16">
        <f t="shared" si="387"/>
        <v>-193.37924629566231</v>
      </c>
      <c r="Z864" s="16">
        <v>8</v>
      </c>
      <c r="AA864" s="16">
        <v>17</v>
      </c>
      <c r="AB864" s="8">
        <f t="shared" si="388"/>
        <v>0.29721362229102166</v>
      </c>
      <c r="AC864" s="16">
        <f t="shared" si="373"/>
        <v>64.60808893273439</v>
      </c>
      <c r="AD864" s="20">
        <f>'PFAS Properties'!$W$46</f>
        <v>8</v>
      </c>
      <c r="AE864" s="8">
        <f>'PFAS Properties'!$S$46</f>
        <v>2.0166155475571776</v>
      </c>
      <c r="AF864" s="15">
        <f>'PFAS Properties'!$V$46</f>
        <v>5</v>
      </c>
      <c r="AG864" s="24">
        <v>5.15</v>
      </c>
      <c r="AH864" s="2" t="s">
        <v>830</v>
      </c>
      <c r="AI864" s="2" t="s">
        <v>661</v>
      </c>
      <c r="AJ864" s="2" t="s">
        <v>661</v>
      </c>
      <c r="AK864" s="2" t="s">
        <v>661</v>
      </c>
      <c r="AL864" s="2" t="s">
        <v>661</v>
      </c>
      <c r="AM864" s="2" t="s">
        <v>661</v>
      </c>
      <c r="AN864" s="2" t="s">
        <v>661</v>
      </c>
      <c r="AO864" s="2" t="s">
        <v>661</v>
      </c>
      <c r="AP864" s="15">
        <v>0.57999999999999996</v>
      </c>
      <c r="AQ864" s="16" t="s">
        <v>689</v>
      </c>
      <c r="AR864" s="16">
        <v>59.2</v>
      </c>
      <c r="AS864" s="16">
        <v>32.200000000000003</v>
      </c>
      <c r="AT864" s="16">
        <v>8.6</v>
      </c>
      <c r="AU864" s="16" t="s">
        <v>664</v>
      </c>
      <c r="AV864" s="16">
        <f t="shared" si="390"/>
        <v>100</v>
      </c>
      <c r="AW864" s="20">
        <v>1.8</v>
      </c>
      <c r="AX864" s="8">
        <f t="shared" si="383"/>
        <v>1.8000000000000002E-2</v>
      </c>
      <c r="AY864" s="13" t="s">
        <v>342</v>
      </c>
      <c r="AZ864" s="16">
        <f>1/0.01</f>
        <v>100</v>
      </c>
      <c r="BA864" s="16" t="s">
        <v>55</v>
      </c>
      <c r="BB864" s="15">
        <f>5*K864/1000</f>
        <v>2.4996869999999998</v>
      </c>
      <c r="BC864" s="16">
        <f>5000*K864/1000</f>
        <v>2499.6869999999999</v>
      </c>
      <c r="BD864" s="24">
        <f>536.9*AX864</f>
        <v>9.664200000000001</v>
      </c>
      <c r="BE864" s="16">
        <f t="shared" si="375"/>
        <v>536.9</v>
      </c>
      <c r="BF864" s="16">
        <f t="shared" si="389"/>
        <v>2.7298934039632377</v>
      </c>
      <c r="BG864" s="8">
        <f t="shared" si="397"/>
        <v>0.98516590906654389</v>
      </c>
      <c r="BH864" s="13" t="s">
        <v>343</v>
      </c>
      <c r="BI864" s="15"/>
      <c r="BJ864" s="13"/>
      <c r="BK864" s="15"/>
      <c r="BL864" s="16"/>
      <c r="BM864" s="18"/>
      <c r="BN864" s="8"/>
      <c r="BO864" s="24"/>
    </row>
    <row r="865" spans="1:67" s="14" customFormat="1" x14ac:dyDescent="0.3">
      <c r="A865" s="20">
        <v>882</v>
      </c>
      <c r="B865" s="2" t="s">
        <v>206</v>
      </c>
      <c r="C865" s="2">
        <v>2020</v>
      </c>
      <c r="D865" s="2" t="s">
        <v>201</v>
      </c>
      <c r="E865" s="22" t="s">
        <v>793</v>
      </c>
      <c r="F865" s="20" t="s">
        <v>29</v>
      </c>
      <c r="G865" s="2" t="s">
        <v>44</v>
      </c>
      <c r="H865" s="2" t="str">
        <f>'PFAS Properties'!$B$46</f>
        <v>PFOS</v>
      </c>
      <c r="I865" s="2" t="str">
        <f>'PFAS Properties'!$C$46</f>
        <v>PFSA</v>
      </c>
      <c r="J865" s="2" t="str">
        <f>'PFAS Properties'!$D$46</f>
        <v>C8HF17O3S</v>
      </c>
      <c r="K865" s="25">
        <f>'PFAS Properties'!$P$46</f>
        <v>499.93739999999997</v>
      </c>
      <c r="L865" s="2">
        <f>'PFAS Properties'!$X$46</f>
        <v>0.1</v>
      </c>
      <c r="M865" s="2" t="str">
        <f>'PFAS Properties'!$Y$46</f>
        <v>-</v>
      </c>
      <c r="N865" s="33">
        <v>0</v>
      </c>
      <c r="O865" s="33">
        <v>0</v>
      </c>
      <c r="P865" s="33">
        <v>0</v>
      </c>
      <c r="Q865" s="33">
        <f t="shared" si="381"/>
        <v>0.99999998004737722</v>
      </c>
      <c r="R865" s="33">
        <v>0</v>
      </c>
      <c r="S865" s="33">
        <f t="shared" si="382"/>
        <v>1.995262275158161E-8</v>
      </c>
      <c r="T865" s="8">
        <f t="shared" si="396"/>
        <v>1</v>
      </c>
      <c r="U865" s="33">
        <f t="shared" si="384"/>
        <v>0</v>
      </c>
      <c r="V865" s="33">
        <f t="shared" si="385"/>
        <v>-0.99999998004737722</v>
      </c>
      <c r="W865" s="33">
        <f t="shared" si="386"/>
        <v>498.93740001995263</v>
      </c>
      <c r="X865" s="33">
        <v>96485</v>
      </c>
      <c r="Y865" s="16">
        <f t="shared" si="387"/>
        <v>-193.38096937814788</v>
      </c>
      <c r="Z865" s="16">
        <v>8</v>
      </c>
      <c r="AA865" s="16">
        <v>17</v>
      </c>
      <c r="AB865" s="8">
        <f t="shared" si="388"/>
        <v>0.29721362229102166</v>
      </c>
      <c r="AC865" s="16">
        <f t="shared" si="373"/>
        <v>64.60808893273439</v>
      </c>
      <c r="AD865" s="20">
        <f>'PFAS Properties'!$W$46</f>
        <v>8</v>
      </c>
      <c r="AE865" s="8">
        <f>'PFAS Properties'!$S$46</f>
        <v>2.0166155475571776</v>
      </c>
      <c r="AF865" s="15">
        <f>'PFAS Properties'!$V$46</f>
        <v>5</v>
      </c>
      <c r="AG865" s="24">
        <v>7.8</v>
      </c>
      <c r="AH865" s="2" t="s">
        <v>661</v>
      </c>
      <c r="AI865" s="2" t="s">
        <v>661</v>
      </c>
      <c r="AJ865" s="2" t="s">
        <v>661</v>
      </c>
      <c r="AK865" s="2" t="s">
        <v>661</v>
      </c>
      <c r="AL865" s="2" t="s">
        <v>661</v>
      </c>
      <c r="AM865" s="2" t="s">
        <v>661</v>
      </c>
      <c r="AN865" s="2" t="s">
        <v>661</v>
      </c>
      <c r="AO865" s="2" t="s">
        <v>661</v>
      </c>
      <c r="AP865" s="72">
        <v>11.17476666666666</v>
      </c>
      <c r="AQ865" s="70" t="s">
        <v>752</v>
      </c>
      <c r="AR865" s="16">
        <v>47</v>
      </c>
      <c r="AS865" s="16">
        <v>38</v>
      </c>
      <c r="AT865" s="16">
        <v>15</v>
      </c>
      <c r="AU865" s="16" t="s">
        <v>661</v>
      </c>
      <c r="AV865" s="16">
        <f t="shared" si="390"/>
        <v>100</v>
      </c>
      <c r="AW865" s="20">
        <v>1.43</v>
      </c>
      <c r="AX865" s="8">
        <f t="shared" si="383"/>
        <v>1.43E-2</v>
      </c>
      <c r="AY865" s="8" t="s">
        <v>45</v>
      </c>
      <c r="AZ865" s="16">
        <f>5/0.025</f>
        <v>200</v>
      </c>
      <c r="BA865" s="16" t="s">
        <v>55</v>
      </c>
      <c r="BB865" s="16">
        <v>10</v>
      </c>
      <c r="BC865" s="16">
        <v>100</v>
      </c>
      <c r="BD865" s="20">
        <v>25.09</v>
      </c>
      <c r="BE865" s="16">
        <f t="shared" si="375"/>
        <v>1754.5454545454545</v>
      </c>
      <c r="BF865" s="16">
        <f t="shared" si="389"/>
        <v>3.2441646238495485</v>
      </c>
      <c r="BG865" s="8">
        <f t="shared" si="397"/>
        <v>1.3995006613146106</v>
      </c>
      <c r="BH865" s="2" t="s">
        <v>837</v>
      </c>
      <c r="BI865" s="8"/>
      <c r="BJ865" s="13"/>
      <c r="BK865" s="15"/>
      <c r="BL865" s="8"/>
      <c r="BM865" s="18"/>
      <c r="BN865" s="8"/>
      <c r="BO865" s="24"/>
    </row>
    <row r="866" spans="1:67" s="14" customFormat="1" x14ac:dyDescent="0.3">
      <c r="A866" s="20">
        <v>884</v>
      </c>
      <c r="B866" s="2" t="s">
        <v>195</v>
      </c>
      <c r="C866" s="2">
        <v>2022</v>
      </c>
      <c r="D866" s="2" t="s">
        <v>199</v>
      </c>
      <c r="E866" s="10" t="s">
        <v>798</v>
      </c>
      <c r="F866" s="20" t="s">
        <v>29</v>
      </c>
      <c r="G866" s="2" t="s">
        <v>237</v>
      </c>
      <c r="H866" s="2" t="str">
        <f>'PFAS Properties'!$B$46</f>
        <v>PFOS</v>
      </c>
      <c r="I866" s="2" t="str">
        <f>'PFAS Properties'!$C$46</f>
        <v>PFSA</v>
      </c>
      <c r="J866" s="2" t="str">
        <f>'PFAS Properties'!$D$46</f>
        <v>C8HF17O3S</v>
      </c>
      <c r="K866" s="25">
        <f>'PFAS Properties'!$P$46</f>
        <v>499.93739999999997</v>
      </c>
      <c r="L866" s="2">
        <f>'PFAS Properties'!$X$46</f>
        <v>0.1</v>
      </c>
      <c r="M866" s="2" t="str">
        <f>'PFAS Properties'!$Y$46</f>
        <v>-</v>
      </c>
      <c r="N866" s="33">
        <v>0</v>
      </c>
      <c r="O866" s="33">
        <v>0</v>
      </c>
      <c r="P866" s="33">
        <v>0</v>
      </c>
      <c r="Q866" s="33">
        <f t="shared" si="381"/>
        <v>0.99968387220237043</v>
      </c>
      <c r="R866" s="33">
        <v>0</v>
      </c>
      <c r="S866" s="33">
        <f t="shared" si="382"/>
        <v>3.1612779762961761E-4</v>
      </c>
      <c r="T866" s="8">
        <f t="shared" si="396"/>
        <v>1</v>
      </c>
      <c r="U866" s="33">
        <f t="shared" si="384"/>
        <v>0</v>
      </c>
      <c r="V866" s="33">
        <f t="shared" si="385"/>
        <v>-0.99968387220237043</v>
      </c>
      <c r="W866" s="33">
        <f t="shared" si="386"/>
        <v>498.93771612779767</v>
      </c>
      <c r="X866" s="33">
        <v>96485</v>
      </c>
      <c r="Y866" s="16">
        <f t="shared" si="387"/>
        <v>-193.31971765537943</v>
      </c>
      <c r="Z866" s="16">
        <v>8</v>
      </c>
      <c r="AA866" s="16">
        <v>17</v>
      </c>
      <c r="AB866" s="8">
        <f t="shared" si="388"/>
        <v>0.29721362229102166</v>
      </c>
      <c r="AC866" s="16">
        <f t="shared" si="373"/>
        <v>64.60808893273439</v>
      </c>
      <c r="AD866" s="20">
        <f>'PFAS Properties'!$W$46</f>
        <v>8</v>
      </c>
      <c r="AE866" s="8">
        <f>'PFAS Properties'!$S$46</f>
        <v>2.0166155475571776</v>
      </c>
      <c r="AF866" s="15">
        <f>'PFAS Properties'!$V$46</f>
        <v>5</v>
      </c>
      <c r="AG866" s="24">
        <v>3.6</v>
      </c>
      <c r="AH866" s="2" t="s">
        <v>832</v>
      </c>
      <c r="AI866" s="8">
        <f>(6.8*55.845)/1000</f>
        <v>0.37974599999999997</v>
      </c>
      <c r="AJ866" s="15">
        <f>AI866*1000/55.845</f>
        <v>6.8</v>
      </c>
      <c r="AK866" s="8">
        <f>AI866/10</f>
        <v>3.7974599999999997E-2</v>
      </c>
      <c r="AL866" s="8">
        <f>(4*26.982)/1000</f>
        <v>0.107928</v>
      </c>
      <c r="AM866" s="15">
        <f>AL866*1000/55.845</f>
        <v>1.932634971796938</v>
      </c>
      <c r="AN866" s="8">
        <f>AL866/10</f>
        <v>1.07928E-2</v>
      </c>
      <c r="AO866" s="2" t="s">
        <v>86</v>
      </c>
      <c r="AP866" s="72">
        <v>14.768748</v>
      </c>
      <c r="AQ866" s="70" t="s">
        <v>752</v>
      </c>
      <c r="AR866" s="71">
        <v>37.396533331999997</v>
      </c>
      <c r="AS866" s="71">
        <v>37.430266667999987</v>
      </c>
      <c r="AT866" s="71">
        <v>24.989000000000001</v>
      </c>
      <c r="AU866" s="70" t="s">
        <v>752</v>
      </c>
      <c r="AV866" s="16">
        <f t="shared" ref="AV866:AV868" si="398">SUM(AR866:AT866)</f>
        <v>99.815799999999996</v>
      </c>
      <c r="AW866" s="20">
        <v>44.9</v>
      </c>
      <c r="AX866" s="8">
        <f t="shared" si="383"/>
        <v>0.44900000000000001</v>
      </c>
      <c r="AY866" s="8" t="s">
        <v>240</v>
      </c>
      <c r="AZ866" s="16">
        <f t="shared" ref="AZ866:AZ868" si="399">0.75/0.03</f>
        <v>25</v>
      </c>
      <c r="BA866" s="16" t="s">
        <v>55</v>
      </c>
      <c r="BB866" s="16">
        <f>54*K866/1000</f>
        <v>26.996619599999999</v>
      </c>
      <c r="BC866" s="16" t="s">
        <v>55</v>
      </c>
      <c r="BD866" s="25">
        <f>(10^(3.04)*AX866)</f>
        <v>492.31871006829067</v>
      </c>
      <c r="BE866" s="16">
        <f t="shared" si="375"/>
        <v>1096.4781961431863</v>
      </c>
      <c r="BF866" s="16">
        <f t="shared" si="389"/>
        <v>3.0400000000000005</v>
      </c>
      <c r="BG866" s="8">
        <f t="shared" si="397"/>
        <v>2.6922463410033237</v>
      </c>
      <c r="BH866" s="2" t="s">
        <v>824</v>
      </c>
      <c r="BI866" s="16"/>
      <c r="BJ866" s="13"/>
      <c r="BK866" s="13"/>
      <c r="BL866" s="8"/>
      <c r="BM866" s="18"/>
      <c r="BN866" s="8"/>
      <c r="BO866" s="24"/>
    </row>
    <row r="867" spans="1:67" s="14" customFormat="1" x14ac:dyDescent="0.3">
      <c r="A867" s="20">
        <v>885</v>
      </c>
      <c r="B867" s="2" t="s">
        <v>195</v>
      </c>
      <c r="C867" s="2">
        <v>2022</v>
      </c>
      <c r="D867" s="2" t="s">
        <v>199</v>
      </c>
      <c r="E867" s="22" t="s">
        <v>798</v>
      </c>
      <c r="F867" s="20" t="s">
        <v>29</v>
      </c>
      <c r="G867" s="2" t="s">
        <v>238</v>
      </c>
      <c r="H867" s="2" t="str">
        <f>'PFAS Properties'!$B$46</f>
        <v>PFOS</v>
      </c>
      <c r="I867" s="2" t="str">
        <f>'PFAS Properties'!$C$46</f>
        <v>PFSA</v>
      </c>
      <c r="J867" s="2" t="str">
        <f>'PFAS Properties'!$D$46</f>
        <v>C8HF17O3S</v>
      </c>
      <c r="K867" s="25">
        <f>'PFAS Properties'!$P$46</f>
        <v>499.93739999999997</v>
      </c>
      <c r="L867" s="2">
        <f>'PFAS Properties'!$X$46</f>
        <v>0.1</v>
      </c>
      <c r="M867" s="2" t="str">
        <f>'PFAS Properties'!$Y$46</f>
        <v>-</v>
      </c>
      <c r="N867" s="33">
        <v>0</v>
      </c>
      <c r="O867" s="33">
        <v>0</v>
      </c>
      <c r="P867" s="33">
        <v>0</v>
      </c>
      <c r="Q867" s="33">
        <f t="shared" si="381"/>
        <v>0.99990000999900008</v>
      </c>
      <c r="R867" s="33">
        <v>0</v>
      </c>
      <c r="S867" s="33">
        <f t="shared" si="382"/>
        <v>9.9990000999900097E-5</v>
      </c>
      <c r="T867" s="8">
        <f t="shared" si="396"/>
        <v>1</v>
      </c>
      <c r="U867" s="33">
        <f t="shared" si="384"/>
        <v>0</v>
      </c>
      <c r="V867" s="33">
        <f t="shared" si="385"/>
        <v>-0.99990000999900008</v>
      </c>
      <c r="W867" s="33">
        <f t="shared" si="386"/>
        <v>498.93749999000096</v>
      </c>
      <c r="X867" s="33">
        <v>96485</v>
      </c>
      <c r="Y867" s="16">
        <f t="shared" si="387"/>
        <v>-193.3615983298248</v>
      </c>
      <c r="Z867" s="16">
        <v>8</v>
      </c>
      <c r="AA867" s="16">
        <v>17</v>
      </c>
      <c r="AB867" s="8">
        <f t="shared" si="388"/>
        <v>0.29721362229102166</v>
      </c>
      <c r="AC867" s="16">
        <f t="shared" si="373"/>
        <v>64.60808893273439</v>
      </c>
      <c r="AD867" s="20">
        <f>'PFAS Properties'!$W$46</f>
        <v>8</v>
      </c>
      <c r="AE867" s="8">
        <f>'PFAS Properties'!$S$46</f>
        <v>2.0166155475571776</v>
      </c>
      <c r="AF867" s="15">
        <f>'PFAS Properties'!$V$46</f>
        <v>5</v>
      </c>
      <c r="AG867" s="24">
        <v>4.0999999999999996</v>
      </c>
      <c r="AH867" s="2" t="s">
        <v>832</v>
      </c>
      <c r="AI867" s="8">
        <f>(28*55.845)/1000</f>
        <v>1.5636599999999998</v>
      </c>
      <c r="AJ867" s="15">
        <f>AI867*1000/55.845</f>
        <v>27.999999999999996</v>
      </c>
      <c r="AK867" s="8">
        <f>AI867/10</f>
        <v>0.15636599999999998</v>
      </c>
      <c r="AL867" s="8">
        <f>(17*26.982)/1000</f>
        <v>0.45869399999999994</v>
      </c>
      <c r="AM867" s="15">
        <f>AL867*1000/55.845</f>
        <v>8.2136986301369852</v>
      </c>
      <c r="AN867" s="8">
        <f>AL867/10</f>
        <v>4.5869399999999991E-2</v>
      </c>
      <c r="AO867" s="2" t="s">
        <v>86</v>
      </c>
      <c r="AP867" s="72">
        <v>14.715147999999999</v>
      </c>
      <c r="AQ867" s="70" t="s">
        <v>752</v>
      </c>
      <c r="AR867" s="71">
        <v>37.490533331999998</v>
      </c>
      <c r="AS867" s="71">
        <v>37.393866668000001</v>
      </c>
      <c r="AT867" s="71">
        <v>24.9392</v>
      </c>
      <c r="AU867" s="70" t="s">
        <v>752</v>
      </c>
      <c r="AV867" s="16">
        <f t="shared" si="398"/>
        <v>99.823599999999999</v>
      </c>
      <c r="AW867" s="20">
        <v>46.6</v>
      </c>
      <c r="AX867" s="8">
        <f t="shared" si="383"/>
        <v>0.46600000000000003</v>
      </c>
      <c r="AY867" s="8" t="s">
        <v>240</v>
      </c>
      <c r="AZ867" s="16">
        <f t="shared" si="399"/>
        <v>25</v>
      </c>
      <c r="BA867" s="16" t="s">
        <v>55</v>
      </c>
      <c r="BB867" s="16">
        <f>54*K867/1000</f>
        <v>26.996619599999999</v>
      </c>
      <c r="BC867" s="16" t="s">
        <v>55</v>
      </c>
      <c r="BD867" s="25">
        <f>(10^(3.01)*AX867)</f>
        <v>476.85453440283169</v>
      </c>
      <c r="BE867" s="16">
        <f t="shared" si="375"/>
        <v>1023.2929922807547</v>
      </c>
      <c r="BF867" s="16">
        <f t="shared" si="389"/>
        <v>3.0100000000000002</v>
      </c>
      <c r="BG867" s="8">
        <f t="shared" si="397"/>
        <v>2.6783859166900004</v>
      </c>
      <c r="BH867" s="2" t="s">
        <v>824</v>
      </c>
      <c r="BI867" s="2"/>
      <c r="BJ867" s="2"/>
      <c r="BK867" s="2"/>
      <c r="BL867" s="2"/>
      <c r="BM867" s="20"/>
      <c r="BN867" s="20"/>
      <c r="BO867" s="2"/>
    </row>
    <row r="868" spans="1:67" s="14" customFormat="1" x14ac:dyDescent="0.3">
      <c r="A868" s="20">
        <v>886</v>
      </c>
      <c r="B868" s="2" t="s">
        <v>195</v>
      </c>
      <c r="C868" s="2">
        <v>2022</v>
      </c>
      <c r="D868" s="2" t="s">
        <v>199</v>
      </c>
      <c r="E868" s="10" t="s">
        <v>798</v>
      </c>
      <c r="F868" s="20" t="s">
        <v>29</v>
      </c>
      <c r="G868" s="2" t="s">
        <v>239</v>
      </c>
      <c r="H868" s="2" t="str">
        <f>'PFAS Properties'!$B$46</f>
        <v>PFOS</v>
      </c>
      <c r="I868" s="2" t="str">
        <f>'PFAS Properties'!$C$46</f>
        <v>PFSA</v>
      </c>
      <c r="J868" s="2" t="str">
        <f>'PFAS Properties'!$D$46</f>
        <v>C8HF17O3S</v>
      </c>
      <c r="K868" s="25">
        <f>'PFAS Properties'!$P$46</f>
        <v>499.93739999999997</v>
      </c>
      <c r="L868" s="2">
        <f>'PFAS Properties'!$X$46</f>
        <v>0.1</v>
      </c>
      <c r="M868" s="2" t="str">
        <f>'PFAS Properties'!$Y$46</f>
        <v>-</v>
      </c>
      <c r="N868" s="33">
        <v>0</v>
      </c>
      <c r="O868" s="33">
        <v>0</v>
      </c>
      <c r="P868" s="33">
        <v>0</v>
      </c>
      <c r="Q868" s="33">
        <f t="shared" si="381"/>
        <v>0.99987412330575753</v>
      </c>
      <c r="R868" s="33">
        <v>0</v>
      </c>
      <c r="S868" s="33">
        <f t="shared" si="382"/>
        <v>1.2587669424250327E-4</v>
      </c>
      <c r="T868" s="8">
        <f t="shared" si="396"/>
        <v>1</v>
      </c>
      <c r="U868" s="33">
        <f t="shared" si="384"/>
        <v>0</v>
      </c>
      <c r="V868" s="33">
        <f t="shared" si="385"/>
        <v>-0.99987412330575753</v>
      </c>
      <c r="W868" s="33">
        <f t="shared" si="386"/>
        <v>498.93752587669422</v>
      </c>
      <c r="X868" s="33">
        <v>96485</v>
      </c>
      <c r="Y868" s="16">
        <f t="shared" si="387"/>
        <v>-193.35658230485154</v>
      </c>
      <c r="Z868" s="16">
        <v>8</v>
      </c>
      <c r="AA868" s="16">
        <v>17</v>
      </c>
      <c r="AB868" s="8">
        <f t="shared" si="388"/>
        <v>0.29721362229102166</v>
      </c>
      <c r="AC868" s="16">
        <f t="shared" si="373"/>
        <v>64.60808893273439</v>
      </c>
      <c r="AD868" s="20">
        <f>'PFAS Properties'!$W$46</f>
        <v>8</v>
      </c>
      <c r="AE868" s="8">
        <f>'PFAS Properties'!$S$46</f>
        <v>2.0166155475571776</v>
      </c>
      <c r="AF868" s="15">
        <f>'PFAS Properties'!$V$46</f>
        <v>5</v>
      </c>
      <c r="AG868" s="24">
        <v>4</v>
      </c>
      <c r="AH868" s="2" t="s">
        <v>832</v>
      </c>
      <c r="AI868" s="8">
        <f>(5*55.845)/1000</f>
        <v>0.279225</v>
      </c>
      <c r="AJ868" s="15">
        <f>AI868*1000/55.845</f>
        <v>5.0000000000000009</v>
      </c>
      <c r="AK868" s="8">
        <f>AI868/10</f>
        <v>2.7922499999999999E-2</v>
      </c>
      <c r="AL868" s="8">
        <f>(15*26.982)/1000</f>
        <v>0.40473000000000003</v>
      </c>
      <c r="AM868" s="15">
        <f>AL868*1000/55.845</f>
        <v>7.2473811442385179</v>
      </c>
      <c r="AN868" s="8">
        <f>AL868/10</f>
        <v>4.0473000000000002E-2</v>
      </c>
      <c r="AO868" s="2" t="s">
        <v>86</v>
      </c>
      <c r="AP868" s="72">
        <v>14.763688</v>
      </c>
      <c r="AQ868" s="70" t="s">
        <v>752</v>
      </c>
      <c r="AR868" s="71">
        <v>37.414333332000012</v>
      </c>
      <c r="AS868" s="71">
        <v>37.430866668</v>
      </c>
      <c r="AT868" s="71">
        <v>24.970400000000001</v>
      </c>
      <c r="AU868" s="70" t="s">
        <v>752</v>
      </c>
      <c r="AV868" s="16">
        <f t="shared" si="398"/>
        <v>99.815600000000003</v>
      </c>
      <c r="AW868" s="20">
        <v>53.6</v>
      </c>
      <c r="AX868" s="8">
        <f t="shared" si="383"/>
        <v>0.53600000000000003</v>
      </c>
      <c r="AY868" s="8" t="s">
        <v>240</v>
      </c>
      <c r="AZ868" s="16">
        <f t="shared" si="399"/>
        <v>25</v>
      </c>
      <c r="BA868" s="16" t="s">
        <v>55</v>
      </c>
      <c r="BB868" s="16">
        <f>54*K868/1000</f>
        <v>26.996619599999999</v>
      </c>
      <c r="BC868" s="16" t="s">
        <v>55</v>
      </c>
      <c r="BD868" s="25">
        <f>(10^(2.82)*AX868)</f>
        <v>354.1316881320717</v>
      </c>
      <c r="BE868" s="16">
        <f t="shared" si="375"/>
        <v>660.69344800759643</v>
      </c>
      <c r="BF868" s="16">
        <f t="shared" si="389"/>
        <v>2.8200000000000003</v>
      </c>
      <c r="BG868" s="8">
        <f t="shared" si="397"/>
        <v>2.5491647896927705</v>
      </c>
      <c r="BH868" s="2" t="s">
        <v>824</v>
      </c>
      <c r="BI868" s="16"/>
      <c r="BJ868" s="13"/>
      <c r="BK868" s="13"/>
      <c r="BL868" s="8"/>
      <c r="BM868" s="18"/>
      <c r="BN868" s="8"/>
      <c r="BO868" s="25"/>
    </row>
    <row r="869" spans="1:67" s="14" customFormat="1" x14ac:dyDescent="0.3">
      <c r="A869" s="20">
        <v>887</v>
      </c>
      <c r="B869" s="2" t="s">
        <v>242</v>
      </c>
      <c r="C869" s="2">
        <v>2018</v>
      </c>
      <c r="D869" s="2" t="s">
        <v>243</v>
      </c>
      <c r="E869" s="22" t="s">
        <v>788</v>
      </c>
      <c r="F869" s="20" t="s">
        <v>29</v>
      </c>
      <c r="G869" s="2" t="s">
        <v>129</v>
      </c>
      <c r="H869" s="2" t="str">
        <f>'PFAS Properties'!$B$46</f>
        <v>PFOS</v>
      </c>
      <c r="I869" s="2" t="str">
        <f>'PFAS Properties'!$C$46</f>
        <v>PFSA</v>
      </c>
      <c r="J869" s="2" t="str">
        <f>'PFAS Properties'!$D$46</f>
        <v>C8HF17O3S</v>
      </c>
      <c r="K869" s="25">
        <f>'PFAS Properties'!$P$46</f>
        <v>499.93739999999997</v>
      </c>
      <c r="L869" s="2">
        <f>'PFAS Properties'!$X$46</f>
        <v>0.1</v>
      </c>
      <c r="M869" s="2" t="str">
        <f>'PFAS Properties'!$Y$46</f>
        <v>-</v>
      </c>
      <c r="N869" s="33">
        <v>0</v>
      </c>
      <c r="O869" s="33">
        <v>0</v>
      </c>
      <c r="P869" s="33">
        <v>0</v>
      </c>
      <c r="Q869" s="33">
        <f t="shared" si="381"/>
        <v>0.99999572241998291</v>
      </c>
      <c r="R869" s="33">
        <v>0</v>
      </c>
      <c r="S869" s="33">
        <f t="shared" si="382"/>
        <v>4.2775800170513007E-6</v>
      </c>
      <c r="T869" s="8">
        <f t="shared" si="396"/>
        <v>1</v>
      </c>
      <c r="U869" s="33">
        <f t="shared" si="384"/>
        <v>0</v>
      </c>
      <c r="V869" s="33">
        <f t="shared" si="385"/>
        <v>-0.99999572241998291</v>
      </c>
      <c r="W869" s="33">
        <f t="shared" si="386"/>
        <v>498.93740427757996</v>
      </c>
      <c r="X869" s="33">
        <v>96485</v>
      </c>
      <c r="Y869" s="16">
        <f t="shared" si="387"/>
        <v>-193.38014438383055</v>
      </c>
      <c r="Z869" s="16">
        <v>8</v>
      </c>
      <c r="AA869" s="16">
        <v>17</v>
      </c>
      <c r="AB869" s="8">
        <f t="shared" si="388"/>
        <v>0.29721362229102166</v>
      </c>
      <c r="AC869" s="16">
        <f t="shared" si="373"/>
        <v>64.60808893273439</v>
      </c>
      <c r="AD869" s="20">
        <f>'PFAS Properties'!$W$46</f>
        <v>8</v>
      </c>
      <c r="AE869" s="8">
        <f>'PFAS Properties'!$S$46</f>
        <v>2.0166155475571776</v>
      </c>
      <c r="AF869" s="15">
        <f>'PFAS Properties'!$V$46</f>
        <v>5</v>
      </c>
      <c r="AG869" s="124">
        <v>5.4687999999999999</v>
      </c>
      <c r="AH869" s="70" t="s">
        <v>752</v>
      </c>
      <c r="AI869" s="2" t="s">
        <v>661</v>
      </c>
      <c r="AJ869" s="15" t="s">
        <v>661</v>
      </c>
      <c r="AK869" s="8" t="s">
        <v>661</v>
      </c>
      <c r="AL869" s="2" t="s">
        <v>661</v>
      </c>
      <c r="AM869" s="15" t="s">
        <v>661</v>
      </c>
      <c r="AN869" s="8" t="s">
        <v>661</v>
      </c>
      <c r="AO869" s="15" t="s">
        <v>661</v>
      </c>
      <c r="AP869" s="82">
        <v>21.5806</v>
      </c>
      <c r="AQ869" s="70" t="s">
        <v>752</v>
      </c>
      <c r="AR869" s="71">
        <v>41.737499999999997</v>
      </c>
      <c r="AS869" s="71">
        <v>35.036999999999999</v>
      </c>
      <c r="AT869" s="71">
        <v>21.887</v>
      </c>
      <c r="AU869" s="70" t="s">
        <v>752</v>
      </c>
      <c r="AV869" s="16">
        <f>SUM(AR869:AT869)</f>
        <v>98.66149999999999</v>
      </c>
      <c r="AW869" s="20">
        <v>46.9</v>
      </c>
      <c r="AX869" s="8">
        <f t="shared" si="383"/>
        <v>0.46899999999999997</v>
      </c>
      <c r="AY869" s="13" t="s">
        <v>344</v>
      </c>
      <c r="AZ869" s="15">
        <f>0.01/0.05</f>
        <v>0.19999999999999998</v>
      </c>
      <c r="BA869" s="16" t="s">
        <v>55</v>
      </c>
      <c r="BB869" s="15">
        <v>2</v>
      </c>
      <c r="BC869" s="16">
        <v>3500</v>
      </c>
      <c r="BD869" s="25">
        <f>10^2.51</f>
        <v>323.59365692962825</v>
      </c>
      <c r="BE869" s="16">
        <f t="shared" si="375"/>
        <v>689.96515336807738</v>
      </c>
      <c r="BF869" s="16">
        <f t="shared" si="389"/>
        <v>2.8388271572849169</v>
      </c>
      <c r="BG869" s="8">
        <f t="shared" si="397"/>
        <v>2.5099999999999998</v>
      </c>
      <c r="BH869" s="13" t="s">
        <v>346</v>
      </c>
      <c r="BI869" s="8"/>
      <c r="BJ869" s="13"/>
      <c r="BK869" s="15"/>
      <c r="BL869" s="16"/>
      <c r="BM869" s="18"/>
      <c r="BN869" s="8"/>
      <c r="BO869" s="24"/>
    </row>
    <row r="870" spans="1:67" s="14" customFormat="1" x14ac:dyDescent="0.3">
      <c r="A870" s="20">
        <v>888</v>
      </c>
      <c r="B870" s="2" t="s">
        <v>214</v>
      </c>
      <c r="C870" s="2">
        <v>2022</v>
      </c>
      <c r="D870" s="2" t="s">
        <v>201</v>
      </c>
      <c r="E870" s="10" t="s">
        <v>808</v>
      </c>
      <c r="F870" s="20" t="s">
        <v>29</v>
      </c>
      <c r="G870" s="2" t="s">
        <v>215</v>
      </c>
      <c r="H870" s="2" t="str">
        <f>'PFAS Properties'!$B$46</f>
        <v>PFOS</v>
      </c>
      <c r="I870" s="2" t="str">
        <f>'PFAS Properties'!$C$46</f>
        <v>PFSA</v>
      </c>
      <c r="J870" s="2" t="str">
        <f>'PFAS Properties'!$D$46</f>
        <v>C8HF17O3S</v>
      </c>
      <c r="K870" s="25">
        <f>'PFAS Properties'!$P$46</f>
        <v>499.93739999999997</v>
      </c>
      <c r="L870" s="2">
        <f>'PFAS Properties'!$X$46</f>
        <v>0.1</v>
      </c>
      <c r="M870" s="2" t="str">
        <f>'PFAS Properties'!$Y$46</f>
        <v>-</v>
      </c>
      <c r="N870" s="33">
        <v>0</v>
      </c>
      <c r="O870" s="33">
        <v>0</v>
      </c>
      <c r="P870" s="33">
        <v>0</v>
      </c>
      <c r="Q870" s="33">
        <f t="shared" si="381"/>
        <v>0.99998004777494953</v>
      </c>
      <c r="R870" s="33">
        <v>0</v>
      </c>
      <c r="S870" s="33">
        <f t="shared" si="382"/>
        <v>1.9952225050461341E-5</v>
      </c>
      <c r="T870" s="8">
        <f t="shared" si="396"/>
        <v>1</v>
      </c>
      <c r="U870" s="33">
        <f t="shared" si="384"/>
        <v>0</v>
      </c>
      <c r="V870" s="33">
        <f t="shared" si="385"/>
        <v>-0.99998004777494953</v>
      </c>
      <c r="W870" s="33">
        <f t="shared" si="386"/>
        <v>498.93741995222501</v>
      </c>
      <c r="X870" s="33">
        <v>96485</v>
      </c>
      <c r="Y870" s="16">
        <f t="shared" si="387"/>
        <v>-193.37710713059886</v>
      </c>
      <c r="Z870" s="16">
        <v>8</v>
      </c>
      <c r="AA870" s="16">
        <v>17</v>
      </c>
      <c r="AB870" s="8">
        <f t="shared" si="388"/>
        <v>0.29721362229102166</v>
      </c>
      <c r="AC870" s="16">
        <f t="shared" si="373"/>
        <v>64.60808893273439</v>
      </c>
      <c r="AD870" s="20">
        <f>'PFAS Properties'!$W$46</f>
        <v>8</v>
      </c>
      <c r="AE870" s="8">
        <f>'PFAS Properties'!$S$46</f>
        <v>2.0166155475571776</v>
      </c>
      <c r="AF870" s="15">
        <f>'PFAS Properties'!$V$46</f>
        <v>5</v>
      </c>
      <c r="AG870" s="24">
        <v>4.8</v>
      </c>
      <c r="AH870" s="2" t="s">
        <v>216</v>
      </c>
      <c r="AI870" s="2">
        <v>8.3000000000000007</v>
      </c>
      <c r="AJ870" s="15">
        <f>AI870*1000/55.845</f>
        <v>148.62566030978601</v>
      </c>
      <c r="AK870" s="15">
        <f>AI870/10</f>
        <v>0.83000000000000007</v>
      </c>
      <c r="AL870" s="15">
        <v>7.85</v>
      </c>
      <c r="AM870" s="15">
        <f>AL870*1000/26.98</f>
        <v>290.95626389918459</v>
      </c>
      <c r="AN870" s="15">
        <f>AL870/10</f>
        <v>0.78499999999999992</v>
      </c>
      <c r="AO870" s="15" t="s">
        <v>217</v>
      </c>
      <c r="AP870" s="72">
        <v>15.34083666666667</v>
      </c>
      <c r="AQ870" s="70" t="s">
        <v>752</v>
      </c>
      <c r="AR870" s="16">
        <v>32</v>
      </c>
      <c r="AS870" s="16">
        <v>40</v>
      </c>
      <c r="AT870" s="16">
        <v>28</v>
      </c>
      <c r="AU870" s="2" t="s">
        <v>661</v>
      </c>
      <c r="AV870" s="16">
        <f>SUM(AR870:AT870)</f>
        <v>100</v>
      </c>
      <c r="AW870" s="20">
        <v>4.9000000000000004</v>
      </c>
      <c r="AX870" s="8">
        <f t="shared" si="383"/>
        <v>4.9000000000000002E-2</v>
      </c>
      <c r="AY870" s="8" t="s">
        <v>218</v>
      </c>
      <c r="AZ870" s="16">
        <f>1.5/0.075</f>
        <v>20</v>
      </c>
      <c r="BA870" s="16" t="s">
        <v>55</v>
      </c>
      <c r="BB870" s="16">
        <v>10</v>
      </c>
      <c r="BC870" s="16" t="s">
        <v>55</v>
      </c>
      <c r="BD870" s="20">
        <v>11.11</v>
      </c>
      <c r="BE870" s="16">
        <f t="shared" si="375"/>
        <v>226.734693877551</v>
      </c>
      <c r="BF870" s="16">
        <f t="shared" si="389"/>
        <v>2.3555179789123537</v>
      </c>
      <c r="BG870" s="8">
        <f t="shared" si="397"/>
        <v>1.0457140589408676</v>
      </c>
      <c r="BH870" s="2" t="s">
        <v>374</v>
      </c>
      <c r="BI870" s="2"/>
      <c r="BJ870" s="2"/>
      <c r="BK870" s="2"/>
      <c r="BL870" s="2"/>
      <c r="BM870" s="20"/>
      <c r="BN870" s="20"/>
      <c r="BO870" s="2"/>
    </row>
    <row r="871" spans="1:67" s="14" customFormat="1" x14ac:dyDescent="0.3">
      <c r="A871" s="20">
        <v>889</v>
      </c>
      <c r="B871" s="2" t="s">
        <v>214</v>
      </c>
      <c r="C871" s="2">
        <v>2022</v>
      </c>
      <c r="D871" s="2" t="s">
        <v>201</v>
      </c>
      <c r="E871" s="10" t="s">
        <v>808</v>
      </c>
      <c r="F871" s="20" t="s">
        <v>29</v>
      </c>
      <c r="G871" s="2" t="s">
        <v>233</v>
      </c>
      <c r="H871" s="2" t="str">
        <f>'PFAS Properties'!$B$46</f>
        <v>PFOS</v>
      </c>
      <c r="I871" s="2" t="str">
        <f>'PFAS Properties'!$C$46</f>
        <v>PFSA</v>
      </c>
      <c r="J871" s="2" t="str">
        <f>'PFAS Properties'!$D$46</f>
        <v>C8HF17O3S</v>
      </c>
      <c r="K871" s="25">
        <f>'PFAS Properties'!$P$46</f>
        <v>499.93739999999997</v>
      </c>
      <c r="L871" s="2">
        <f>'PFAS Properties'!$X$46</f>
        <v>0.1</v>
      </c>
      <c r="M871" s="2" t="str">
        <f>'PFAS Properties'!$Y$46</f>
        <v>-</v>
      </c>
      <c r="N871" s="33">
        <v>0</v>
      </c>
      <c r="O871" s="33">
        <v>0</v>
      </c>
      <c r="P871" s="33">
        <v>0</v>
      </c>
      <c r="Q871" s="33">
        <f t="shared" si="381"/>
        <v>0.99999841510931942</v>
      </c>
      <c r="R871" s="33">
        <v>0</v>
      </c>
      <c r="S871" s="33">
        <f t="shared" si="382"/>
        <v>1.5848906805786579E-6</v>
      </c>
      <c r="T871" s="8">
        <f t="shared" si="396"/>
        <v>1</v>
      </c>
      <c r="U871" s="33">
        <f t="shared" si="384"/>
        <v>0</v>
      </c>
      <c r="V871" s="33">
        <f t="shared" si="385"/>
        <v>-0.99999841510931942</v>
      </c>
      <c r="W871" s="33">
        <f t="shared" si="386"/>
        <v>498.93740158489061</v>
      </c>
      <c r="X871" s="33">
        <v>96485</v>
      </c>
      <c r="Y871" s="16">
        <f t="shared" si="387"/>
        <v>-193.38066614235672</v>
      </c>
      <c r="Z871" s="16">
        <v>8</v>
      </c>
      <c r="AA871" s="16">
        <v>17</v>
      </c>
      <c r="AB871" s="8">
        <f t="shared" si="388"/>
        <v>0.29721362229102166</v>
      </c>
      <c r="AC871" s="16">
        <f t="shared" si="373"/>
        <v>64.60808893273439</v>
      </c>
      <c r="AD871" s="20">
        <f>'PFAS Properties'!$W$46</f>
        <v>8</v>
      </c>
      <c r="AE871" s="8">
        <f>'PFAS Properties'!$S$46</f>
        <v>2.0166155475571776</v>
      </c>
      <c r="AF871" s="15">
        <f>'PFAS Properties'!$V$46</f>
        <v>5</v>
      </c>
      <c r="AG871" s="24">
        <v>5.9</v>
      </c>
      <c r="AH871" s="2" t="s">
        <v>216</v>
      </c>
      <c r="AI871" s="2">
        <v>1.4</v>
      </c>
      <c r="AJ871" s="15">
        <f>AI871*1000/55.845</f>
        <v>25.069388485988004</v>
      </c>
      <c r="AK871" s="15">
        <f>AI871/10</f>
        <v>0.13999999999999999</v>
      </c>
      <c r="AL871" s="15">
        <v>0.92</v>
      </c>
      <c r="AM871" s="15">
        <f>AL871*1000/26.98</f>
        <v>34.099332839140104</v>
      </c>
      <c r="AN871" s="15">
        <f>AL871/10</f>
        <v>9.1999999999999998E-2</v>
      </c>
      <c r="AO871" s="15" t="s">
        <v>217</v>
      </c>
      <c r="AP871" s="72">
        <v>15.34083666666667</v>
      </c>
      <c r="AQ871" s="70" t="s">
        <v>752</v>
      </c>
      <c r="AR871" s="16">
        <v>37</v>
      </c>
      <c r="AS871" s="16">
        <v>22</v>
      </c>
      <c r="AT871" s="16">
        <v>41</v>
      </c>
      <c r="AU871" s="2" t="s">
        <v>661</v>
      </c>
      <c r="AV871" s="16">
        <f>SUM(AR871:AT871)</f>
        <v>100</v>
      </c>
      <c r="AW871" s="20">
        <v>2.6</v>
      </c>
      <c r="AX871" s="8">
        <f t="shared" si="383"/>
        <v>2.6000000000000002E-2</v>
      </c>
      <c r="AY871" s="8" t="s">
        <v>218</v>
      </c>
      <c r="AZ871" s="16">
        <f>1.5/0.075</f>
        <v>20</v>
      </c>
      <c r="BA871" s="16" t="s">
        <v>55</v>
      </c>
      <c r="BB871" s="16">
        <v>10</v>
      </c>
      <c r="BC871" s="16" t="s">
        <v>55</v>
      </c>
      <c r="BD871" s="20">
        <v>10.85</v>
      </c>
      <c r="BE871" s="16">
        <f t="shared" si="375"/>
        <v>417.30769230769226</v>
      </c>
      <c r="BF871" s="16">
        <f t="shared" si="389"/>
        <v>2.6204563902137301</v>
      </c>
      <c r="BG871" s="8">
        <f t="shared" si="397"/>
        <v>1.0354297381845483</v>
      </c>
      <c r="BH871" s="2" t="s">
        <v>374</v>
      </c>
      <c r="BI871" s="2"/>
      <c r="BJ871" s="2"/>
      <c r="BK871" s="2"/>
      <c r="BL871" s="2"/>
      <c r="BM871" s="20"/>
      <c r="BN871" s="20"/>
      <c r="BO871" s="2"/>
    </row>
    <row r="872" spans="1:67" s="2" customFormat="1" x14ac:dyDescent="0.3">
      <c r="A872" s="20">
        <v>890</v>
      </c>
      <c r="B872" s="2" t="s">
        <v>720</v>
      </c>
      <c r="C872" s="2">
        <v>2019</v>
      </c>
      <c r="D872" s="2" t="s">
        <v>201</v>
      </c>
      <c r="E872" s="10" t="s">
        <v>797</v>
      </c>
      <c r="F872" s="20" t="s">
        <v>29</v>
      </c>
      <c r="G872" s="2" t="s">
        <v>713</v>
      </c>
      <c r="H872" s="2" t="str">
        <f>'PFAS Properties'!$B$46</f>
        <v>PFOS</v>
      </c>
      <c r="I872" s="2" t="str">
        <f>'PFAS Properties'!$C$46</f>
        <v>PFSA</v>
      </c>
      <c r="J872" s="2" t="str">
        <f>'PFAS Properties'!$D$46</f>
        <v>C8HF17O3S</v>
      </c>
      <c r="K872" s="25">
        <f>'PFAS Properties'!$P$46</f>
        <v>499.93739999999997</v>
      </c>
      <c r="L872" s="2">
        <f>'PFAS Properties'!$X$46</f>
        <v>0.1</v>
      </c>
      <c r="M872" s="2" t="str">
        <f>'PFAS Properties'!$Y$46</f>
        <v>-</v>
      </c>
      <c r="N872" s="33">
        <v>0</v>
      </c>
      <c r="O872" s="33">
        <v>0</v>
      </c>
      <c r="P872" s="33">
        <v>0</v>
      </c>
      <c r="Q872" s="33">
        <f t="shared" si="381"/>
        <v>0.99999690971411737</v>
      </c>
      <c r="R872" s="33">
        <v>0</v>
      </c>
      <c r="S872" s="33">
        <f t="shared" si="382"/>
        <v>3.0902858826172347E-6</v>
      </c>
      <c r="T872" s="8">
        <f t="shared" ref="T872:T877" si="400">SUM(N872:S872)</f>
        <v>1</v>
      </c>
      <c r="U872" s="33">
        <f t="shared" si="384"/>
        <v>0</v>
      </c>
      <c r="V872" s="33">
        <f t="shared" si="385"/>
        <v>-0.99999690971411737</v>
      </c>
      <c r="W872" s="33">
        <f t="shared" si="386"/>
        <v>498.93740309028584</v>
      </c>
      <c r="X872" s="33">
        <v>96485</v>
      </c>
      <c r="Y872" s="16">
        <f t="shared" si="387"/>
        <v>-193.38037444410057</v>
      </c>
      <c r="Z872" s="16">
        <v>8</v>
      </c>
      <c r="AA872" s="16">
        <v>17</v>
      </c>
      <c r="AB872" s="8">
        <f t="shared" si="388"/>
        <v>0.29721362229102166</v>
      </c>
      <c r="AC872" s="16">
        <f t="shared" si="373"/>
        <v>64.60808893273439</v>
      </c>
      <c r="AD872" s="20">
        <f>'PFAS Properties'!$W$46</f>
        <v>8</v>
      </c>
      <c r="AE872" s="8">
        <f>'PFAS Properties'!$S$46</f>
        <v>2.0166155475571776</v>
      </c>
      <c r="AF872" s="15">
        <f>'PFAS Properties'!$V$46</f>
        <v>5</v>
      </c>
      <c r="AG872" s="24">
        <v>5.61</v>
      </c>
      <c r="AH872" s="2" t="s">
        <v>652</v>
      </c>
      <c r="AI872" s="15">
        <f>9.1*2*55.845/159.69</f>
        <v>6.3647003569415741</v>
      </c>
      <c r="AJ872" s="16">
        <f t="shared" ref="AJ872:AJ877" si="401">AI872*1000/55.845</f>
        <v>113.97081846076773</v>
      </c>
      <c r="AK872" s="15">
        <f t="shared" ref="AK872:AK877" si="402">AI872/10</f>
        <v>0.63647003569415739</v>
      </c>
      <c r="AL872" s="15">
        <f>22.3*2*26.98/101.96</f>
        <v>11.801765398195371</v>
      </c>
      <c r="AM872" s="16">
        <f>AL872*1000/26.98</f>
        <v>437.42644174185961</v>
      </c>
      <c r="AN872" s="15">
        <f t="shared" ref="AN872:AN877" si="403">AL872/10</f>
        <v>1.1801765398195372</v>
      </c>
      <c r="AO872" s="15" t="s">
        <v>41</v>
      </c>
      <c r="AP872" s="2">
        <v>11</v>
      </c>
      <c r="AQ872" s="2" t="s">
        <v>652</v>
      </c>
      <c r="AR872" s="2">
        <v>40.700000000000003</v>
      </c>
      <c r="AS872" s="2">
        <v>23.3</v>
      </c>
      <c r="AT872" s="2">
        <v>36</v>
      </c>
      <c r="AU872" s="2" t="s">
        <v>652</v>
      </c>
      <c r="AV872" s="16">
        <f t="shared" ref="AV872:AV877" si="404">SUM(AR872:AT872)</f>
        <v>100</v>
      </c>
      <c r="AW872" s="20">
        <v>3.82</v>
      </c>
      <c r="AX872" s="8">
        <f t="shared" si="383"/>
        <v>3.8199999999999998E-2</v>
      </c>
      <c r="AY872" s="16" t="s">
        <v>750</v>
      </c>
      <c r="AZ872" s="16">
        <f t="shared" ref="AZ872:AZ877" si="405">5/0.04</f>
        <v>125</v>
      </c>
      <c r="BA872" s="16" t="s">
        <v>55</v>
      </c>
      <c r="BB872" s="16">
        <f t="shared" ref="BB872:BB877" si="406">50*K872/1000</f>
        <v>24.996869999999998</v>
      </c>
      <c r="BC872" s="16">
        <f t="shared" ref="BC872:BC877" si="407">1000*K872/1000</f>
        <v>499.93739999999997</v>
      </c>
      <c r="BD872" s="25">
        <f t="shared" ref="BD872:BD877" si="408">BO872</f>
        <v>9.0726349204607804</v>
      </c>
      <c r="BE872" s="16">
        <f t="shared" si="375"/>
        <v>237.50353194923511</v>
      </c>
      <c r="BF872" s="16">
        <f t="shared" si="389"/>
        <v>2.3756700724647071</v>
      </c>
      <c r="BG872" s="8">
        <f t="shared" si="397"/>
        <v>0.95773343537641575</v>
      </c>
      <c r="BH872" s="13" t="s">
        <v>782</v>
      </c>
      <c r="BI872" s="16">
        <f>10^2.6733</f>
        <v>471.30277840242189</v>
      </c>
      <c r="BJ872" s="16" t="s">
        <v>329</v>
      </c>
      <c r="BK872" s="8">
        <v>0.43070000000000003</v>
      </c>
      <c r="BL872" s="16">
        <f t="shared" ref="BL872:BL877" si="409">(BI872*K872/1000)/(BI872*(K872^BK872)/1000)</f>
        <v>34.394790350439507</v>
      </c>
      <c r="BM872" s="25">
        <f>'PFAS Properties'!$U$46</f>
        <v>10.39</v>
      </c>
      <c r="BN872" s="16">
        <f t="shared" ref="BN872:BN877" si="410">(BL872*(BM872^BK872))</f>
        <v>94.264676823587521</v>
      </c>
      <c r="BO872" s="24">
        <f t="shared" ref="BO872:BO877" si="411">BN872/BM872</f>
        <v>9.0726349204607804</v>
      </c>
    </row>
    <row r="873" spans="1:67" s="14" customFormat="1" x14ac:dyDescent="0.3">
      <c r="A873" s="20">
        <v>891</v>
      </c>
      <c r="B873" s="2" t="s">
        <v>720</v>
      </c>
      <c r="C873" s="2">
        <v>2019</v>
      </c>
      <c r="D873" s="2" t="s">
        <v>201</v>
      </c>
      <c r="E873" s="10" t="s">
        <v>797</v>
      </c>
      <c r="F873" s="20" t="s">
        <v>29</v>
      </c>
      <c r="G873" s="2" t="s">
        <v>714</v>
      </c>
      <c r="H873" s="2" t="str">
        <f>'PFAS Properties'!$B$46</f>
        <v>PFOS</v>
      </c>
      <c r="I873" s="2" t="str">
        <f>'PFAS Properties'!$C$46</f>
        <v>PFSA</v>
      </c>
      <c r="J873" s="2" t="str">
        <f>'PFAS Properties'!$D$46</f>
        <v>C8HF17O3S</v>
      </c>
      <c r="K873" s="25">
        <f>'PFAS Properties'!$P$46</f>
        <v>499.93739999999997</v>
      </c>
      <c r="L873" s="2">
        <f>'PFAS Properties'!$X$46</f>
        <v>0.1</v>
      </c>
      <c r="M873" s="2" t="str">
        <f>'PFAS Properties'!$Y$46</f>
        <v>-</v>
      </c>
      <c r="N873" s="33">
        <v>0</v>
      </c>
      <c r="O873" s="33">
        <v>0</v>
      </c>
      <c r="P873" s="33">
        <v>0</v>
      </c>
      <c r="Q873" s="33">
        <f t="shared" si="381"/>
        <v>0.99994111910162875</v>
      </c>
      <c r="R873" s="33">
        <v>0</v>
      </c>
      <c r="S873" s="33">
        <f t="shared" si="382"/>
        <v>5.8880898371216013E-5</v>
      </c>
      <c r="T873" s="8">
        <f t="shared" si="400"/>
        <v>1</v>
      </c>
      <c r="U873" s="33">
        <f t="shared" si="384"/>
        <v>0</v>
      </c>
      <c r="V873" s="33">
        <f t="shared" si="385"/>
        <v>-0.99994111910162875</v>
      </c>
      <c r="W873" s="33">
        <f t="shared" si="386"/>
        <v>498.93745888089836</v>
      </c>
      <c r="X873" s="33">
        <v>96485</v>
      </c>
      <c r="Y873" s="16">
        <f t="shared" si="387"/>
        <v>-193.36956397886189</v>
      </c>
      <c r="Z873" s="16">
        <v>8</v>
      </c>
      <c r="AA873" s="16">
        <v>17</v>
      </c>
      <c r="AB873" s="8">
        <f t="shared" si="388"/>
        <v>0.29721362229102166</v>
      </c>
      <c r="AC873" s="16">
        <f t="shared" si="373"/>
        <v>64.60808893273439</v>
      </c>
      <c r="AD873" s="20">
        <f>'PFAS Properties'!$W$46</f>
        <v>8</v>
      </c>
      <c r="AE873" s="8">
        <f>'PFAS Properties'!$S$46</f>
        <v>2.0166155475571776</v>
      </c>
      <c r="AF873" s="15">
        <f>'PFAS Properties'!$V$46</f>
        <v>5</v>
      </c>
      <c r="AG873" s="24">
        <v>4.33</v>
      </c>
      <c r="AH873" s="2" t="s">
        <v>652</v>
      </c>
      <c r="AI873" s="15">
        <f>4.25*2*55.845/159.69</f>
        <v>2.9725248919782077</v>
      </c>
      <c r="AJ873" s="16">
        <f t="shared" si="401"/>
        <v>53.228129500908004</v>
      </c>
      <c r="AK873" s="15">
        <f t="shared" si="402"/>
        <v>0.29725248919782077</v>
      </c>
      <c r="AL873" s="15">
        <f>4.49*2*26.98/101.96</f>
        <v>2.3762298940761086</v>
      </c>
      <c r="AM873" s="16">
        <f t="shared" ref="AM873:AM877" si="412">AL873*1000/26.98</f>
        <v>88.073754413495507</v>
      </c>
      <c r="AN873" s="15">
        <f t="shared" si="403"/>
        <v>0.23762298940761087</v>
      </c>
      <c r="AO873" s="15" t="s">
        <v>41</v>
      </c>
      <c r="AP873" s="2">
        <v>19</v>
      </c>
      <c r="AQ873" s="2" t="s">
        <v>652</v>
      </c>
      <c r="AR873" s="2">
        <v>46.7</v>
      </c>
      <c r="AS873" s="2">
        <v>50</v>
      </c>
      <c r="AT873" s="2">
        <v>3.3</v>
      </c>
      <c r="AU873" s="2" t="s">
        <v>652</v>
      </c>
      <c r="AV873" s="16">
        <f t="shared" si="404"/>
        <v>100</v>
      </c>
      <c r="AW873" s="20">
        <v>0.52</v>
      </c>
      <c r="AX873" s="8">
        <f t="shared" si="383"/>
        <v>5.1999999999999998E-3</v>
      </c>
      <c r="AY873" s="16" t="s">
        <v>750</v>
      </c>
      <c r="AZ873" s="16">
        <f t="shared" si="405"/>
        <v>125</v>
      </c>
      <c r="BA873" s="16" t="s">
        <v>55</v>
      </c>
      <c r="BB873" s="16">
        <f t="shared" si="406"/>
        <v>24.996869999999998</v>
      </c>
      <c r="BC873" s="16">
        <f t="shared" si="407"/>
        <v>499.93739999999997</v>
      </c>
      <c r="BD873" s="25">
        <f t="shared" si="408"/>
        <v>10.964729176281976</v>
      </c>
      <c r="BE873" s="16">
        <f t="shared" si="375"/>
        <v>2108.6017646696109</v>
      </c>
      <c r="BF873" s="16">
        <f t="shared" si="389"/>
        <v>3.3239945656392225</v>
      </c>
      <c r="BG873" s="8">
        <f t="shared" si="397"/>
        <v>1.0399979092740215</v>
      </c>
      <c r="BH873" s="13" t="s">
        <v>782</v>
      </c>
      <c r="BI873" s="16">
        <f>10^2.3764</f>
        <v>237.90304458806258</v>
      </c>
      <c r="BJ873" s="16" t="s">
        <v>329</v>
      </c>
      <c r="BK873" s="8">
        <v>0.38179999999999997</v>
      </c>
      <c r="BL873" s="16">
        <f t="shared" si="409"/>
        <v>46.60898449915495</v>
      </c>
      <c r="BM873" s="25">
        <f>'PFAS Properties'!$U$46</f>
        <v>10.39</v>
      </c>
      <c r="BN873" s="16">
        <f t="shared" si="410"/>
        <v>113.92353614156973</v>
      </c>
      <c r="BO873" s="24">
        <f t="shared" si="411"/>
        <v>10.964729176281976</v>
      </c>
    </row>
    <row r="874" spans="1:67" s="14" customFormat="1" x14ac:dyDescent="0.3">
      <c r="A874" s="20">
        <v>892</v>
      </c>
      <c r="B874" s="2" t="s">
        <v>720</v>
      </c>
      <c r="C874" s="2">
        <v>2019</v>
      </c>
      <c r="D874" s="2" t="s">
        <v>201</v>
      </c>
      <c r="E874" s="10" t="s">
        <v>797</v>
      </c>
      <c r="F874" s="20" t="s">
        <v>29</v>
      </c>
      <c r="G874" s="2" t="s">
        <v>715</v>
      </c>
      <c r="H874" s="2" t="str">
        <f>'PFAS Properties'!$B$46</f>
        <v>PFOS</v>
      </c>
      <c r="I874" s="2" t="str">
        <f>'PFAS Properties'!$C$46</f>
        <v>PFSA</v>
      </c>
      <c r="J874" s="2" t="str">
        <f>'PFAS Properties'!$D$46</f>
        <v>C8HF17O3S</v>
      </c>
      <c r="K874" s="25">
        <f>'PFAS Properties'!$P$46</f>
        <v>499.93739999999997</v>
      </c>
      <c r="L874" s="2">
        <f>'PFAS Properties'!$X$46</f>
        <v>0.1</v>
      </c>
      <c r="M874" s="2" t="str">
        <f>'PFAS Properties'!$Y$46</f>
        <v>-</v>
      </c>
      <c r="N874" s="33">
        <v>0</v>
      </c>
      <c r="O874" s="33">
        <v>0</v>
      </c>
      <c r="P874" s="33">
        <v>0</v>
      </c>
      <c r="Q874" s="33">
        <f t="shared" si="381"/>
        <v>0.99973091894371013</v>
      </c>
      <c r="R874" s="33">
        <v>0</v>
      </c>
      <c r="S874" s="33">
        <f t="shared" si="382"/>
        <v>2.6908105628988352E-4</v>
      </c>
      <c r="T874" s="8">
        <f t="shared" si="400"/>
        <v>1</v>
      </c>
      <c r="U874" s="33">
        <f t="shared" si="384"/>
        <v>0</v>
      </c>
      <c r="V874" s="33">
        <f t="shared" si="385"/>
        <v>-0.99973091894371013</v>
      </c>
      <c r="W874" s="33">
        <f t="shared" si="386"/>
        <v>498.93766908105624</v>
      </c>
      <c r="X874" s="33">
        <v>96485</v>
      </c>
      <c r="Y874" s="16">
        <f t="shared" si="387"/>
        <v>-193.32883382395681</v>
      </c>
      <c r="Z874" s="16">
        <v>8</v>
      </c>
      <c r="AA874" s="16">
        <v>17</v>
      </c>
      <c r="AB874" s="8">
        <f t="shared" si="388"/>
        <v>0.29721362229102166</v>
      </c>
      <c r="AC874" s="16">
        <f t="shared" si="373"/>
        <v>64.60808893273439</v>
      </c>
      <c r="AD874" s="20">
        <f>'PFAS Properties'!$W$46</f>
        <v>8</v>
      </c>
      <c r="AE874" s="8">
        <f>'PFAS Properties'!$S$46</f>
        <v>2.0166155475571776</v>
      </c>
      <c r="AF874" s="15">
        <f>'PFAS Properties'!$V$46</f>
        <v>5</v>
      </c>
      <c r="AG874" s="24">
        <v>3.67</v>
      </c>
      <c r="AH874" s="2" t="s">
        <v>652</v>
      </c>
      <c r="AI874" s="15">
        <f>1.51*2*55.845/159.69</f>
        <v>1.056120608679316</v>
      </c>
      <c r="AJ874" s="16">
        <f t="shared" si="401"/>
        <v>18.911641305028493</v>
      </c>
      <c r="AK874" s="15">
        <f t="shared" si="402"/>
        <v>0.1056120608679316</v>
      </c>
      <c r="AL874" s="15">
        <f>1.01*2*26.98/101.96</f>
        <v>0.53451941938014913</v>
      </c>
      <c r="AM874" s="16">
        <f t="shared" si="412"/>
        <v>19.811690859160453</v>
      </c>
      <c r="AN874" s="15">
        <f t="shared" si="403"/>
        <v>5.3451941938014912E-2</v>
      </c>
      <c r="AO874" s="15" t="s">
        <v>41</v>
      </c>
      <c r="AP874" s="2">
        <v>6.57</v>
      </c>
      <c r="AQ874" s="2" t="s">
        <v>652</v>
      </c>
      <c r="AR874" s="2">
        <v>59.3</v>
      </c>
      <c r="AS874" s="2">
        <v>21.3</v>
      </c>
      <c r="AT874" s="2">
        <v>19.399999999999999</v>
      </c>
      <c r="AU874" s="2" t="s">
        <v>652</v>
      </c>
      <c r="AV874" s="16">
        <f t="shared" si="404"/>
        <v>100</v>
      </c>
      <c r="AW874" s="20">
        <v>0.25800000000000001</v>
      </c>
      <c r="AX874" s="8">
        <f t="shared" si="383"/>
        <v>2.5800000000000003E-3</v>
      </c>
      <c r="AY874" s="16" t="s">
        <v>750</v>
      </c>
      <c r="AZ874" s="16">
        <f t="shared" si="405"/>
        <v>125</v>
      </c>
      <c r="BA874" s="16" t="s">
        <v>55</v>
      </c>
      <c r="BB874" s="16">
        <f t="shared" si="406"/>
        <v>24.996869999999998</v>
      </c>
      <c r="BC874" s="16">
        <f t="shared" si="407"/>
        <v>499.93739999999997</v>
      </c>
      <c r="BD874" s="25">
        <f t="shared" si="408"/>
        <v>6.0618613268278274</v>
      </c>
      <c r="BE874" s="16">
        <f t="shared" si="375"/>
        <v>2349.5586538092352</v>
      </c>
      <c r="BF874" s="16">
        <f t="shared" si="389"/>
        <v>3.3709862911158295</v>
      </c>
      <c r="BG874" s="8">
        <f t="shared" si="397"/>
        <v>0.78260599707905965</v>
      </c>
      <c r="BH874" s="13" t="s">
        <v>782</v>
      </c>
      <c r="BI874" s="16">
        <f>10^2.1684</f>
        <v>147.36691770366895</v>
      </c>
      <c r="BJ874" s="16" t="s">
        <v>329</v>
      </c>
      <c r="BK874" s="8">
        <v>0.53480000000000005</v>
      </c>
      <c r="BL874" s="16">
        <f t="shared" si="409"/>
        <v>18.010905592794977</v>
      </c>
      <c r="BM874" s="25">
        <f>'PFAS Properties'!$U$46</f>
        <v>10.39</v>
      </c>
      <c r="BN874" s="16">
        <f t="shared" si="410"/>
        <v>62.982739185741131</v>
      </c>
      <c r="BO874" s="24">
        <f t="shared" si="411"/>
        <v>6.0618613268278274</v>
      </c>
    </row>
    <row r="875" spans="1:67" s="14" customFormat="1" x14ac:dyDescent="0.3">
      <c r="A875" s="20">
        <v>893</v>
      </c>
      <c r="B875" s="2" t="s">
        <v>720</v>
      </c>
      <c r="C875" s="2">
        <v>2019</v>
      </c>
      <c r="D875" s="2" t="s">
        <v>201</v>
      </c>
      <c r="E875" s="10" t="s">
        <v>797</v>
      </c>
      <c r="F875" s="20" t="s">
        <v>29</v>
      </c>
      <c r="G875" s="2" t="s">
        <v>716</v>
      </c>
      <c r="H875" s="2" t="str">
        <f>'PFAS Properties'!$B$46</f>
        <v>PFOS</v>
      </c>
      <c r="I875" s="2" t="str">
        <f>'PFAS Properties'!$C$46</f>
        <v>PFSA</v>
      </c>
      <c r="J875" s="2" t="str">
        <f>'PFAS Properties'!$D$46</f>
        <v>C8HF17O3S</v>
      </c>
      <c r="K875" s="25">
        <f>'PFAS Properties'!$P$46</f>
        <v>499.93739999999997</v>
      </c>
      <c r="L875" s="2">
        <f>'PFAS Properties'!$X$46</f>
        <v>0.1</v>
      </c>
      <c r="M875" s="2" t="str">
        <f>'PFAS Properties'!$Y$46</f>
        <v>-</v>
      </c>
      <c r="N875" s="33">
        <v>0</v>
      </c>
      <c r="O875" s="33">
        <v>0</v>
      </c>
      <c r="P875" s="33">
        <v>0</v>
      </c>
      <c r="Q875" s="33">
        <f t="shared" si="381"/>
        <v>0.99997116051670853</v>
      </c>
      <c r="R875" s="33">
        <v>0</v>
      </c>
      <c r="S875" s="33">
        <f t="shared" si="382"/>
        <v>2.8839483291482564E-5</v>
      </c>
      <c r="T875" s="8">
        <f t="shared" si="400"/>
        <v>1</v>
      </c>
      <c r="U875" s="33">
        <f t="shared" si="384"/>
        <v>0</v>
      </c>
      <c r="V875" s="33">
        <f t="shared" si="385"/>
        <v>-0.99997116051670853</v>
      </c>
      <c r="W875" s="33">
        <f t="shared" si="386"/>
        <v>498.93742883948329</v>
      </c>
      <c r="X875" s="33">
        <v>96485</v>
      </c>
      <c r="Y875" s="16">
        <f t="shared" si="387"/>
        <v>-193.37538505954544</v>
      </c>
      <c r="Z875" s="16">
        <v>8</v>
      </c>
      <c r="AA875" s="16">
        <v>17</v>
      </c>
      <c r="AB875" s="8">
        <f t="shared" si="388"/>
        <v>0.29721362229102166</v>
      </c>
      <c r="AC875" s="16">
        <f t="shared" si="373"/>
        <v>64.60808893273439</v>
      </c>
      <c r="AD875" s="20">
        <f>'PFAS Properties'!$W$46</f>
        <v>8</v>
      </c>
      <c r="AE875" s="8">
        <f>'PFAS Properties'!$S$46</f>
        <v>2.0166155475571776</v>
      </c>
      <c r="AF875" s="15">
        <f>'PFAS Properties'!$V$46</f>
        <v>5</v>
      </c>
      <c r="AG875" s="24">
        <v>4.6399999999999997</v>
      </c>
      <c r="AH875" s="2" t="s">
        <v>652</v>
      </c>
      <c r="AI875" s="15">
        <f>6.69*2*55.845/159.69</f>
        <v>4.6791038887845202</v>
      </c>
      <c r="AJ875" s="16">
        <f t="shared" si="401"/>
        <v>83.787337967311657</v>
      </c>
      <c r="AK875" s="15">
        <f t="shared" si="402"/>
        <v>0.46791038887845204</v>
      </c>
      <c r="AL875" s="15">
        <f>14.7*2*26.98/101.96</f>
        <v>7.7796390741467247</v>
      </c>
      <c r="AM875" s="16">
        <f t="shared" si="412"/>
        <v>288.34837191055317</v>
      </c>
      <c r="AN875" s="15">
        <f t="shared" si="403"/>
        <v>0.77796390741467247</v>
      </c>
      <c r="AO875" s="15" t="s">
        <v>41</v>
      </c>
      <c r="AP875" s="2">
        <v>19.600000000000001</v>
      </c>
      <c r="AQ875" s="2" t="s">
        <v>652</v>
      </c>
      <c r="AR875" s="2">
        <v>42</v>
      </c>
      <c r="AS875" s="2">
        <v>36.700000000000003</v>
      </c>
      <c r="AT875" s="2">
        <v>21.3</v>
      </c>
      <c r="AU875" s="2" t="s">
        <v>652</v>
      </c>
      <c r="AV875" s="16">
        <f t="shared" si="404"/>
        <v>100</v>
      </c>
      <c r="AW875" s="20">
        <v>0.92800000000000005</v>
      </c>
      <c r="AX875" s="8">
        <f t="shared" si="383"/>
        <v>9.2800000000000001E-3</v>
      </c>
      <c r="AY875" s="16" t="s">
        <v>750</v>
      </c>
      <c r="AZ875" s="16">
        <f t="shared" si="405"/>
        <v>125</v>
      </c>
      <c r="BA875" s="16" t="s">
        <v>55</v>
      </c>
      <c r="BB875" s="16">
        <f t="shared" si="406"/>
        <v>24.996869999999998</v>
      </c>
      <c r="BC875" s="16">
        <f t="shared" si="407"/>
        <v>499.93739999999997</v>
      </c>
      <c r="BD875" s="25">
        <f t="shared" si="408"/>
        <v>13.21041749697422</v>
      </c>
      <c r="BE875" s="16">
        <f t="shared" si="375"/>
        <v>1423.5363682084289</v>
      </c>
      <c r="BF875" s="16">
        <f t="shared" si="389"/>
        <v>3.1533685668890001</v>
      </c>
      <c r="BG875" s="8">
        <f t="shared" si="397"/>
        <v>1.120916543107862</v>
      </c>
      <c r="BH875" s="13" t="s">
        <v>782</v>
      </c>
      <c r="BI875" s="16">
        <f>10^2.6123</f>
        <v>409.54346464439521</v>
      </c>
      <c r="BJ875" s="16" t="s">
        <v>329</v>
      </c>
      <c r="BK875" s="8">
        <v>0.3337</v>
      </c>
      <c r="BL875" s="16">
        <f t="shared" si="409"/>
        <v>62.847424143014273</v>
      </c>
      <c r="BM875" s="25">
        <f>'PFAS Properties'!$U$46</f>
        <v>10.39</v>
      </c>
      <c r="BN875" s="16">
        <f t="shared" si="410"/>
        <v>137.25623779356215</v>
      </c>
      <c r="BO875" s="24">
        <f t="shared" si="411"/>
        <v>13.21041749697422</v>
      </c>
    </row>
    <row r="876" spans="1:67" s="14" customFormat="1" x14ac:dyDescent="0.3">
      <c r="A876" s="20">
        <v>894</v>
      </c>
      <c r="B876" s="2" t="s">
        <v>720</v>
      </c>
      <c r="C876" s="2">
        <v>2019</v>
      </c>
      <c r="D876" s="2" t="s">
        <v>201</v>
      </c>
      <c r="E876" s="10" t="s">
        <v>797</v>
      </c>
      <c r="F876" s="20" t="s">
        <v>29</v>
      </c>
      <c r="G876" s="2" t="s">
        <v>717</v>
      </c>
      <c r="H876" s="2" t="str">
        <f>'PFAS Properties'!$B$46</f>
        <v>PFOS</v>
      </c>
      <c r="I876" s="2" t="str">
        <f>'PFAS Properties'!$C$46</f>
        <v>PFSA</v>
      </c>
      <c r="J876" s="2" t="str">
        <f>'PFAS Properties'!$D$46</f>
        <v>C8HF17O3S</v>
      </c>
      <c r="K876" s="25">
        <f>'PFAS Properties'!$P$46</f>
        <v>499.93739999999997</v>
      </c>
      <c r="L876" s="2">
        <f>'PFAS Properties'!$X$46</f>
        <v>0.1</v>
      </c>
      <c r="M876" s="2" t="str">
        <f>'PFAS Properties'!$Y$46</f>
        <v>-</v>
      </c>
      <c r="N876" s="33">
        <v>0</v>
      </c>
      <c r="O876" s="33">
        <v>0</v>
      </c>
      <c r="P876" s="33">
        <v>0</v>
      </c>
      <c r="Q876" s="33">
        <f t="shared" si="381"/>
        <v>0.99991088284876106</v>
      </c>
      <c r="R876" s="33">
        <v>0</v>
      </c>
      <c r="S876" s="33">
        <f t="shared" si="382"/>
        <v>8.9117151238909804E-5</v>
      </c>
      <c r="T876" s="8">
        <f t="shared" si="400"/>
        <v>1</v>
      </c>
      <c r="U876" s="33">
        <f t="shared" si="384"/>
        <v>0</v>
      </c>
      <c r="V876" s="33">
        <f t="shared" si="385"/>
        <v>-0.99991088284876106</v>
      </c>
      <c r="W876" s="33">
        <f t="shared" si="386"/>
        <v>498.93748911715119</v>
      </c>
      <c r="X876" s="33">
        <v>96485</v>
      </c>
      <c r="Y876" s="16">
        <f t="shared" si="387"/>
        <v>-193.36370514545544</v>
      </c>
      <c r="Z876" s="16">
        <v>8</v>
      </c>
      <c r="AA876" s="16">
        <v>17</v>
      </c>
      <c r="AB876" s="8">
        <f t="shared" si="388"/>
        <v>0.29721362229102166</v>
      </c>
      <c r="AC876" s="16">
        <f t="shared" si="373"/>
        <v>64.60808893273439</v>
      </c>
      <c r="AD876" s="20">
        <f>'PFAS Properties'!$W$46</f>
        <v>8</v>
      </c>
      <c r="AE876" s="8">
        <f>'PFAS Properties'!$S$46</f>
        <v>2.0166155475571776</v>
      </c>
      <c r="AF876" s="15">
        <f>'PFAS Properties'!$V$46</f>
        <v>5</v>
      </c>
      <c r="AG876" s="24">
        <v>4.1500000000000004</v>
      </c>
      <c r="AH876" s="2" t="s">
        <v>652</v>
      </c>
      <c r="AI876" s="15">
        <f>5.68*2*55.845/159.69</f>
        <v>3.9726920909261692</v>
      </c>
      <c r="AJ876" s="16">
        <f t="shared" si="401"/>
        <v>71.137829544742928</v>
      </c>
      <c r="AK876" s="15">
        <f t="shared" si="402"/>
        <v>0.39726920909261693</v>
      </c>
      <c r="AL876" s="15">
        <f>9.78*2*26.98/101.96</f>
        <v>5.1758415064731267</v>
      </c>
      <c r="AM876" s="16">
        <f t="shared" si="412"/>
        <v>191.83993723028641</v>
      </c>
      <c r="AN876" s="15">
        <f t="shared" si="403"/>
        <v>0.51758415064731267</v>
      </c>
      <c r="AO876" s="15" t="s">
        <v>41</v>
      </c>
      <c r="AP876" s="2">
        <v>9.76</v>
      </c>
      <c r="AQ876" s="2" t="s">
        <v>652</v>
      </c>
      <c r="AR876" s="2">
        <v>49.3</v>
      </c>
      <c r="AS876" s="2">
        <v>39.4</v>
      </c>
      <c r="AT876" s="2">
        <v>11.3</v>
      </c>
      <c r="AU876" s="2" t="s">
        <v>652</v>
      </c>
      <c r="AV876" s="16">
        <f t="shared" si="404"/>
        <v>99.999999999999986</v>
      </c>
      <c r="AW876" s="20">
        <v>2.48</v>
      </c>
      <c r="AX876" s="8">
        <f t="shared" si="383"/>
        <v>2.4799999999999999E-2</v>
      </c>
      <c r="AY876" s="16" t="s">
        <v>750</v>
      </c>
      <c r="AZ876" s="16">
        <f t="shared" si="405"/>
        <v>125</v>
      </c>
      <c r="BA876" s="16" t="s">
        <v>55</v>
      </c>
      <c r="BB876" s="16">
        <f t="shared" si="406"/>
        <v>24.996869999999998</v>
      </c>
      <c r="BC876" s="16">
        <f t="shared" si="407"/>
        <v>499.93739999999997</v>
      </c>
      <c r="BD876" s="25">
        <f t="shared" si="408"/>
        <v>8.3800437069553233</v>
      </c>
      <c r="BE876" s="16">
        <f t="shared" si="375"/>
        <v>337.90498818368241</v>
      </c>
      <c r="BF876" s="16">
        <f t="shared" si="389"/>
        <v>2.5287946029162343</v>
      </c>
      <c r="BG876" s="8">
        <f t="shared" si="397"/>
        <v>0.92324628374245044</v>
      </c>
      <c r="BH876" s="13" t="s">
        <v>782</v>
      </c>
      <c r="BI876" s="16">
        <f>10^2.5934</f>
        <v>392.10285091946093</v>
      </c>
      <c r="BJ876" s="16" t="s">
        <v>329</v>
      </c>
      <c r="BK876" s="8">
        <v>0.45119999999999999</v>
      </c>
      <c r="BL876" s="16">
        <f t="shared" si="409"/>
        <v>30.280629278935884</v>
      </c>
      <c r="BM876" s="25">
        <f>'PFAS Properties'!$U$46</f>
        <v>10.39</v>
      </c>
      <c r="BN876" s="16">
        <f t="shared" si="410"/>
        <v>87.068654115265815</v>
      </c>
      <c r="BO876" s="24">
        <f t="shared" si="411"/>
        <v>8.3800437069553233</v>
      </c>
    </row>
    <row r="877" spans="1:67" s="14" customFormat="1" x14ac:dyDescent="0.3">
      <c r="A877" s="20">
        <v>895</v>
      </c>
      <c r="B877" s="2" t="s">
        <v>720</v>
      </c>
      <c r="C877" s="2">
        <v>2019</v>
      </c>
      <c r="D877" s="2" t="s">
        <v>201</v>
      </c>
      <c r="E877" s="10" t="s">
        <v>797</v>
      </c>
      <c r="F877" s="20" t="s">
        <v>29</v>
      </c>
      <c r="G877" s="2" t="s">
        <v>718</v>
      </c>
      <c r="H877" s="2" t="str">
        <f>'PFAS Properties'!$B$46</f>
        <v>PFOS</v>
      </c>
      <c r="I877" s="2" t="str">
        <f>'PFAS Properties'!$C$46</f>
        <v>PFSA</v>
      </c>
      <c r="J877" s="2" t="str">
        <f>'PFAS Properties'!$D$46</f>
        <v>C8HF17O3S</v>
      </c>
      <c r="K877" s="25">
        <f>'PFAS Properties'!$P$46</f>
        <v>499.93739999999997</v>
      </c>
      <c r="L877" s="2">
        <f>'PFAS Properties'!$X$46</f>
        <v>0.1</v>
      </c>
      <c r="M877" s="2" t="str">
        <f>'PFAS Properties'!$Y$46</f>
        <v>-</v>
      </c>
      <c r="N877" s="33">
        <v>0</v>
      </c>
      <c r="O877" s="33">
        <v>0</v>
      </c>
      <c r="P877" s="33">
        <v>0</v>
      </c>
      <c r="Q877" s="33">
        <f t="shared" si="381"/>
        <v>0.99983784528867892</v>
      </c>
      <c r="R877" s="33">
        <v>0</v>
      </c>
      <c r="S877" s="33">
        <f t="shared" si="382"/>
        <v>1.6215471132107731E-4</v>
      </c>
      <c r="T877" s="8">
        <f t="shared" si="400"/>
        <v>1</v>
      </c>
      <c r="U877" s="33">
        <f t="shared" si="384"/>
        <v>0</v>
      </c>
      <c r="V877" s="33">
        <f t="shared" si="385"/>
        <v>-0.99983784528867892</v>
      </c>
      <c r="W877" s="33">
        <f t="shared" si="386"/>
        <v>498.93756215471126</v>
      </c>
      <c r="X877" s="33">
        <v>96485</v>
      </c>
      <c r="Y877" s="16">
        <f t="shared" si="387"/>
        <v>-193.34955276982097</v>
      </c>
      <c r="Z877" s="16">
        <v>8</v>
      </c>
      <c r="AA877" s="16">
        <v>17</v>
      </c>
      <c r="AB877" s="8">
        <f t="shared" si="388"/>
        <v>0.29721362229102166</v>
      </c>
      <c r="AC877" s="16">
        <f t="shared" si="373"/>
        <v>64.60808893273439</v>
      </c>
      <c r="AD877" s="20">
        <f>'PFAS Properties'!$W$46</f>
        <v>8</v>
      </c>
      <c r="AE877" s="8">
        <f>'PFAS Properties'!$S$46</f>
        <v>2.0166155475571776</v>
      </c>
      <c r="AF877" s="15">
        <f>'PFAS Properties'!$V$46</f>
        <v>5</v>
      </c>
      <c r="AG877" s="24">
        <v>3.89</v>
      </c>
      <c r="AH877" s="2" t="s">
        <v>652</v>
      </c>
      <c r="AI877" s="15">
        <f>2.95*2*55.845/159.69</f>
        <v>2.0632819838436971</v>
      </c>
      <c r="AJ877" s="16">
        <f t="shared" si="401"/>
        <v>36.946584006512616</v>
      </c>
      <c r="AK877" s="15">
        <f t="shared" si="402"/>
        <v>0.20632819838436972</v>
      </c>
      <c r="AL877" s="15">
        <f>0.634*2*26.98/101.96</f>
        <v>0.33553001176932129</v>
      </c>
      <c r="AM877" s="16">
        <f t="shared" si="412"/>
        <v>12.436249509611612</v>
      </c>
      <c r="AN877" s="15">
        <f t="shared" si="403"/>
        <v>3.3553001176932128E-2</v>
      </c>
      <c r="AO877" s="15" t="s">
        <v>41</v>
      </c>
      <c r="AP877" s="2">
        <v>2.89</v>
      </c>
      <c r="AQ877" s="2" t="s">
        <v>652</v>
      </c>
      <c r="AR877" s="2">
        <v>60</v>
      </c>
      <c r="AS877" s="2">
        <v>16</v>
      </c>
      <c r="AT877" s="2">
        <v>24</v>
      </c>
      <c r="AU877" s="2" t="s">
        <v>652</v>
      </c>
      <c r="AV877" s="16">
        <f t="shared" si="404"/>
        <v>100</v>
      </c>
      <c r="AW877" s="20">
        <v>0.99299999999999999</v>
      </c>
      <c r="AX877" s="8">
        <f t="shared" si="383"/>
        <v>9.9299999999999996E-3</v>
      </c>
      <c r="AY877" s="16" t="s">
        <v>750</v>
      </c>
      <c r="AZ877" s="16">
        <f t="shared" si="405"/>
        <v>125</v>
      </c>
      <c r="BA877" s="16" t="s">
        <v>55</v>
      </c>
      <c r="BB877" s="16">
        <f t="shared" si="406"/>
        <v>24.996869999999998</v>
      </c>
      <c r="BC877" s="16">
        <f t="shared" si="407"/>
        <v>499.93739999999997</v>
      </c>
      <c r="BD877" s="25">
        <f t="shared" si="408"/>
        <v>7.4174364006418578</v>
      </c>
      <c r="BE877" s="16">
        <f t="shared" si="375"/>
        <v>746.97244719454761</v>
      </c>
      <c r="BF877" s="16">
        <f t="shared" si="389"/>
        <v>2.8733045827363419</v>
      </c>
      <c r="BG877" s="8">
        <f t="shared" si="397"/>
        <v>0.87025383123172295</v>
      </c>
      <c r="BH877" s="13" t="s">
        <v>782</v>
      </c>
      <c r="BI877" s="16">
        <f>10^2.3707</f>
        <v>234.80103124551826</v>
      </c>
      <c r="BJ877" s="16" t="s">
        <v>329</v>
      </c>
      <c r="BK877" s="8">
        <v>0.48270000000000002</v>
      </c>
      <c r="BL877" s="16">
        <f t="shared" si="409"/>
        <v>24.897116643084011</v>
      </c>
      <c r="BM877" s="25">
        <f>'PFAS Properties'!$U$46</f>
        <v>10.39</v>
      </c>
      <c r="BN877" s="16">
        <f t="shared" si="410"/>
        <v>77.067164202668906</v>
      </c>
      <c r="BO877" s="24">
        <f t="shared" si="411"/>
        <v>7.4174364006418578</v>
      </c>
    </row>
    <row r="878" spans="1:67" s="46" customFormat="1" x14ac:dyDescent="0.3">
      <c r="A878" s="20">
        <v>896</v>
      </c>
      <c r="B878" s="2" t="s">
        <v>181</v>
      </c>
      <c r="C878" s="2">
        <v>2020</v>
      </c>
      <c r="D878" s="2" t="s">
        <v>203</v>
      </c>
      <c r="E878" s="10" t="s">
        <v>787</v>
      </c>
      <c r="F878" s="20" t="s">
        <v>29</v>
      </c>
      <c r="G878" s="2" t="s">
        <v>62</v>
      </c>
      <c r="H878" s="2" t="str">
        <f>'PFAS Properties'!$B$46</f>
        <v>PFOS</v>
      </c>
      <c r="I878" s="2" t="str">
        <f>'PFAS Properties'!$C$46</f>
        <v>PFSA</v>
      </c>
      <c r="J878" s="2" t="str">
        <f>'PFAS Properties'!$D$46</f>
        <v>C8HF17O3S</v>
      </c>
      <c r="K878" s="25">
        <f>'PFAS Properties'!$P$46</f>
        <v>499.93739999999997</v>
      </c>
      <c r="L878" s="2">
        <f>'PFAS Properties'!$X$46</f>
        <v>0.1</v>
      </c>
      <c r="M878" s="2" t="str">
        <f>'PFAS Properties'!$Y$46</f>
        <v>-</v>
      </c>
      <c r="N878" s="33">
        <v>0</v>
      </c>
      <c r="O878" s="33">
        <v>0</v>
      </c>
      <c r="P878" s="33">
        <v>0</v>
      </c>
      <c r="Q878" s="33">
        <f t="shared" si="381"/>
        <v>0.9999999601892845</v>
      </c>
      <c r="R878" s="33">
        <v>0</v>
      </c>
      <c r="S878" s="33">
        <f t="shared" si="382"/>
        <v>3.9810715470456442E-8</v>
      </c>
      <c r="T878" s="8">
        <f t="shared" ref="T878:T939" si="413">SUM(N878:S878)</f>
        <v>1</v>
      </c>
      <c r="U878" s="33">
        <f t="shared" si="384"/>
        <v>0</v>
      </c>
      <c r="V878" s="33">
        <f t="shared" si="385"/>
        <v>-0.9999999601892845</v>
      </c>
      <c r="W878" s="33">
        <f t="shared" si="386"/>
        <v>498.93740003981065</v>
      </c>
      <c r="X878" s="33">
        <v>96485</v>
      </c>
      <c r="Y878" s="16">
        <f t="shared" si="387"/>
        <v>-193.38096553027393</v>
      </c>
      <c r="Z878" s="16">
        <v>8</v>
      </c>
      <c r="AA878" s="16">
        <v>17</v>
      </c>
      <c r="AB878" s="8">
        <f t="shared" si="388"/>
        <v>0.29721362229102166</v>
      </c>
      <c r="AC878" s="16">
        <f t="shared" si="373"/>
        <v>64.60808893273439</v>
      </c>
      <c r="AD878" s="20">
        <f>'PFAS Properties'!$W$46</f>
        <v>8</v>
      </c>
      <c r="AE878" s="8">
        <f>'PFAS Properties'!$S$46</f>
        <v>2.0166155475571776</v>
      </c>
      <c r="AF878" s="15">
        <f>'PFAS Properties'!$V$46</f>
        <v>5</v>
      </c>
      <c r="AG878" s="24">
        <v>7.5</v>
      </c>
      <c r="AH878" s="2" t="s">
        <v>183</v>
      </c>
      <c r="AI878" s="2" t="s">
        <v>661</v>
      </c>
      <c r="AJ878" s="2" t="s">
        <v>661</v>
      </c>
      <c r="AK878" s="2" t="s">
        <v>661</v>
      </c>
      <c r="AL878" s="2" t="s">
        <v>661</v>
      </c>
      <c r="AM878" s="2" t="s">
        <v>661</v>
      </c>
      <c r="AN878" s="2" t="s">
        <v>661</v>
      </c>
      <c r="AO878" s="2" t="s">
        <v>661</v>
      </c>
      <c r="AP878" s="15">
        <v>41.4</v>
      </c>
      <c r="AQ878" s="2" t="s">
        <v>661</v>
      </c>
      <c r="AR878" s="16">
        <v>16.899999999999999</v>
      </c>
      <c r="AS878" s="16">
        <v>17.5</v>
      </c>
      <c r="AT878" s="16">
        <v>65.599999999999994</v>
      </c>
      <c r="AU878" s="2" t="s">
        <v>661</v>
      </c>
      <c r="AV878" s="16">
        <f t="shared" ref="AV878:AV939" si="414">SUM(AR878:AT878)</f>
        <v>100</v>
      </c>
      <c r="AW878" s="20">
        <v>0.7</v>
      </c>
      <c r="AX878" s="8">
        <v>6.9999999999999993E-3</v>
      </c>
      <c r="AY878" s="13" t="s">
        <v>184</v>
      </c>
      <c r="AZ878" s="16">
        <v>100</v>
      </c>
      <c r="BA878" s="16" t="s">
        <v>55</v>
      </c>
      <c r="BB878" s="16">
        <v>5</v>
      </c>
      <c r="BC878" s="16" t="s">
        <v>55</v>
      </c>
      <c r="BD878" s="18">
        <v>5.92</v>
      </c>
      <c r="BE878" s="16">
        <f t="shared" si="375"/>
        <v>845.71428571428578</v>
      </c>
      <c r="BF878" s="16">
        <f t="shared" si="389"/>
        <v>2.9272236667086631</v>
      </c>
      <c r="BG878" s="8">
        <f t="shared" si="397"/>
        <v>0.77232170672291978</v>
      </c>
      <c r="BH878" s="13" t="s">
        <v>841</v>
      </c>
      <c r="BI878" s="9"/>
      <c r="BJ878" s="13"/>
      <c r="BK878" s="9"/>
      <c r="BL878" s="9"/>
      <c r="BM878" s="19"/>
      <c r="BN878" s="19"/>
      <c r="BO878" s="129"/>
    </row>
    <row r="879" spans="1:67" s="46" customFormat="1" x14ac:dyDescent="0.3">
      <c r="A879" s="20">
        <v>897</v>
      </c>
      <c r="B879" s="2" t="s">
        <v>181</v>
      </c>
      <c r="C879" s="2">
        <v>2020</v>
      </c>
      <c r="D879" s="2" t="s">
        <v>203</v>
      </c>
      <c r="E879" s="10" t="s">
        <v>787</v>
      </c>
      <c r="F879" s="20" t="s">
        <v>29</v>
      </c>
      <c r="G879" s="2" t="s">
        <v>57</v>
      </c>
      <c r="H879" s="2" t="str">
        <f>'PFAS Properties'!$B$46</f>
        <v>PFOS</v>
      </c>
      <c r="I879" s="2" t="str">
        <f>'PFAS Properties'!$C$46</f>
        <v>PFSA</v>
      </c>
      <c r="J879" s="2" t="str">
        <f>'PFAS Properties'!$D$46</f>
        <v>C8HF17O3S</v>
      </c>
      <c r="K879" s="25">
        <f>'PFAS Properties'!$P$46</f>
        <v>499.93739999999997</v>
      </c>
      <c r="L879" s="2">
        <f>'PFAS Properties'!$X$46</f>
        <v>0.1</v>
      </c>
      <c r="M879" s="2" t="str">
        <f>'PFAS Properties'!$Y$46</f>
        <v>-</v>
      </c>
      <c r="N879" s="33">
        <v>0</v>
      </c>
      <c r="O879" s="33">
        <v>0</v>
      </c>
      <c r="P879" s="33">
        <v>0</v>
      </c>
      <c r="Q879" s="33">
        <f t="shared" si="381"/>
        <v>0.99999980047380832</v>
      </c>
      <c r="R879" s="33">
        <v>0</v>
      </c>
      <c r="S879" s="33">
        <f t="shared" si="382"/>
        <v>1.9952619168617852E-7</v>
      </c>
      <c r="T879" s="8">
        <f t="shared" si="413"/>
        <v>1</v>
      </c>
      <c r="U879" s="33">
        <f t="shared" si="384"/>
        <v>0</v>
      </c>
      <c r="V879" s="33">
        <f t="shared" si="385"/>
        <v>-0.99999980047380832</v>
      </c>
      <c r="W879" s="33">
        <f t="shared" si="386"/>
        <v>498.93740019952617</v>
      </c>
      <c r="X879" s="33">
        <v>96485</v>
      </c>
      <c r="Y879" s="16">
        <f t="shared" si="387"/>
        <v>-193.38093458243628</v>
      </c>
      <c r="Z879" s="16">
        <v>8</v>
      </c>
      <c r="AA879" s="16">
        <v>17</v>
      </c>
      <c r="AB879" s="8">
        <f t="shared" si="388"/>
        <v>0.29721362229102166</v>
      </c>
      <c r="AC879" s="16">
        <f t="shared" ref="AC879:AC940" si="415">((AA879*19)/K879)*100</f>
        <v>64.60808893273439</v>
      </c>
      <c r="AD879" s="20">
        <f>'PFAS Properties'!$W$46</f>
        <v>8</v>
      </c>
      <c r="AE879" s="8">
        <f>'PFAS Properties'!$S$46</f>
        <v>2.0166155475571776</v>
      </c>
      <c r="AF879" s="15">
        <f>'PFAS Properties'!$V$46</f>
        <v>5</v>
      </c>
      <c r="AG879" s="24">
        <v>6.8</v>
      </c>
      <c r="AH879" s="2" t="s">
        <v>183</v>
      </c>
      <c r="AI879" s="2" t="s">
        <v>661</v>
      </c>
      <c r="AJ879" s="2" t="s">
        <v>661</v>
      </c>
      <c r="AK879" s="2" t="s">
        <v>661</v>
      </c>
      <c r="AL879" s="2" t="s">
        <v>661</v>
      </c>
      <c r="AM879" s="2" t="s">
        <v>661</v>
      </c>
      <c r="AN879" s="2" t="s">
        <v>661</v>
      </c>
      <c r="AO879" s="2" t="s">
        <v>661</v>
      </c>
      <c r="AP879" s="15">
        <v>7.1</v>
      </c>
      <c r="AQ879" s="2" t="s">
        <v>661</v>
      </c>
      <c r="AR879" s="16">
        <v>48.9</v>
      </c>
      <c r="AS879" s="16">
        <v>27</v>
      </c>
      <c r="AT879" s="16">
        <v>24.2</v>
      </c>
      <c r="AU879" s="2" t="s">
        <v>661</v>
      </c>
      <c r="AV879" s="16">
        <f t="shared" si="414"/>
        <v>100.10000000000001</v>
      </c>
      <c r="AW879" s="20">
        <v>0.37</v>
      </c>
      <c r="AX879" s="8">
        <v>3.7000000000000002E-3</v>
      </c>
      <c r="AY879" s="13" t="s">
        <v>184</v>
      </c>
      <c r="AZ879" s="16">
        <v>100</v>
      </c>
      <c r="BA879" s="16" t="s">
        <v>55</v>
      </c>
      <c r="BB879" s="16">
        <v>5</v>
      </c>
      <c r="BC879" s="16" t="s">
        <v>55</v>
      </c>
      <c r="BD879" s="20">
        <v>3.45</v>
      </c>
      <c r="BE879" s="16">
        <f t="shared" ref="BE879:BE940" si="416">BD879/AX879</f>
        <v>932.43243243243239</v>
      </c>
      <c r="BF879" s="16">
        <f t="shared" si="389"/>
        <v>2.969617371006279</v>
      </c>
      <c r="BG879" s="8">
        <f t="shared" si="397"/>
        <v>0.53781909507327419</v>
      </c>
      <c r="BH879" s="13" t="s">
        <v>841</v>
      </c>
      <c r="BI879" s="9"/>
      <c r="BJ879" s="13"/>
      <c r="BK879" s="9"/>
      <c r="BL879" s="9"/>
      <c r="BM879" s="19"/>
      <c r="BN879" s="19"/>
      <c r="BO879" s="129"/>
    </row>
    <row r="880" spans="1:67" s="46" customFormat="1" x14ac:dyDescent="0.3">
      <c r="A880" s="20">
        <v>898</v>
      </c>
      <c r="B880" s="2" t="s">
        <v>181</v>
      </c>
      <c r="C880" s="2">
        <v>2020</v>
      </c>
      <c r="D880" s="2" t="s">
        <v>203</v>
      </c>
      <c r="E880" s="10" t="s">
        <v>787</v>
      </c>
      <c r="F880" s="20" t="s">
        <v>29</v>
      </c>
      <c r="G880" s="2" t="s">
        <v>58</v>
      </c>
      <c r="H880" s="2" t="str">
        <f>'PFAS Properties'!$B$46</f>
        <v>PFOS</v>
      </c>
      <c r="I880" s="2" t="str">
        <f>'PFAS Properties'!$C$46</f>
        <v>PFSA</v>
      </c>
      <c r="J880" s="2" t="str">
        <f>'PFAS Properties'!$D$46</f>
        <v>C8HF17O3S</v>
      </c>
      <c r="K880" s="25">
        <f>'PFAS Properties'!$P$46</f>
        <v>499.93739999999997</v>
      </c>
      <c r="L880" s="2">
        <f>'PFAS Properties'!$X$46</f>
        <v>0.1</v>
      </c>
      <c r="M880" s="2" t="str">
        <f>'PFAS Properties'!$Y$46</f>
        <v>-</v>
      </c>
      <c r="N880" s="33">
        <v>0</v>
      </c>
      <c r="O880" s="33">
        <v>0</v>
      </c>
      <c r="P880" s="33">
        <v>0</v>
      </c>
      <c r="Q880" s="33">
        <f t="shared" si="381"/>
        <v>0.9999992056723962</v>
      </c>
      <c r="R880" s="33">
        <v>0</v>
      </c>
      <c r="S880" s="33">
        <f t="shared" si="382"/>
        <v>7.9432760376743655E-7</v>
      </c>
      <c r="T880" s="8">
        <f t="shared" si="413"/>
        <v>1</v>
      </c>
      <c r="U880" s="33">
        <f t="shared" si="384"/>
        <v>0</v>
      </c>
      <c r="V880" s="33">
        <f t="shared" si="385"/>
        <v>-0.9999992056723962</v>
      </c>
      <c r="W880" s="33">
        <f t="shared" si="386"/>
        <v>498.93740079432757</v>
      </c>
      <c r="X880" s="33">
        <v>96485</v>
      </c>
      <c r="Y880" s="16">
        <f t="shared" si="387"/>
        <v>-193.38081932862406</v>
      </c>
      <c r="Z880" s="16">
        <v>8</v>
      </c>
      <c r="AA880" s="16">
        <v>17</v>
      </c>
      <c r="AB880" s="8">
        <f t="shared" si="388"/>
        <v>0.29721362229102166</v>
      </c>
      <c r="AC880" s="16">
        <f t="shared" si="415"/>
        <v>64.60808893273439</v>
      </c>
      <c r="AD880" s="20">
        <f>'PFAS Properties'!$W$46</f>
        <v>8</v>
      </c>
      <c r="AE880" s="8">
        <f>'PFAS Properties'!$S$46</f>
        <v>2.0166155475571776</v>
      </c>
      <c r="AF880" s="15">
        <f>'PFAS Properties'!$V$46</f>
        <v>5</v>
      </c>
      <c r="AG880" s="24">
        <v>6.2</v>
      </c>
      <c r="AH880" s="2" t="s">
        <v>183</v>
      </c>
      <c r="AI880" s="2" t="s">
        <v>661</v>
      </c>
      <c r="AJ880" s="2" t="s">
        <v>661</v>
      </c>
      <c r="AK880" s="2" t="s">
        <v>661</v>
      </c>
      <c r="AL880" s="2" t="s">
        <v>661</v>
      </c>
      <c r="AM880" s="2" t="s">
        <v>661</v>
      </c>
      <c r="AN880" s="2" t="s">
        <v>661</v>
      </c>
      <c r="AO880" s="2" t="s">
        <v>661</v>
      </c>
      <c r="AP880" s="15">
        <v>8</v>
      </c>
      <c r="AQ880" s="2" t="s">
        <v>661</v>
      </c>
      <c r="AR880" s="16">
        <v>51.44</v>
      </c>
      <c r="AS880" s="16">
        <v>10.17</v>
      </c>
      <c r="AT880" s="16">
        <v>38.380000000000003</v>
      </c>
      <c r="AU880" s="2" t="s">
        <v>661</v>
      </c>
      <c r="AV880" s="16">
        <f t="shared" si="414"/>
        <v>99.990000000000009</v>
      </c>
      <c r="AW880" s="20">
        <v>0.08</v>
      </c>
      <c r="AX880" s="8">
        <v>8.0000000000000004E-4</v>
      </c>
      <c r="AY880" s="8" t="s">
        <v>184</v>
      </c>
      <c r="AZ880" s="16">
        <v>100</v>
      </c>
      <c r="BA880" s="16" t="s">
        <v>55</v>
      </c>
      <c r="BB880" s="16">
        <v>5</v>
      </c>
      <c r="BC880" s="16" t="s">
        <v>55</v>
      </c>
      <c r="BD880" s="20">
        <v>3.15</v>
      </c>
      <c r="BE880" s="16">
        <f t="shared" si="416"/>
        <v>3937.4999999999995</v>
      </c>
      <c r="BF880" s="16">
        <f t="shared" si="389"/>
        <v>3.5952205667976567</v>
      </c>
      <c r="BG880" s="8">
        <f t="shared" si="397"/>
        <v>0.49831055378960049</v>
      </c>
      <c r="BH880" s="13" t="s">
        <v>841</v>
      </c>
      <c r="BI880" s="9"/>
      <c r="BJ880" s="13"/>
      <c r="BK880" s="9"/>
      <c r="BL880" s="9"/>
      <c r="BM880" s="19"/>
      <c r="BN880" s="19"/>
      <c r="BO880" s="129"/>
    </row>
    <row r="881" spans="1:69" s="46" customFormat="1" x14ac:dyDescent="0.3">
      <c r="A881" s="20">
        <v>899</v>
      </c>
      <c r="B881" s="2" t="s">
        <v>181</v>
      </c>
      <c r="C881" s="2">
        <v>2020</v>
      </c>
      <c r="D881" s="2" t="s">
        <v>203</v>
      </c>
      <c r="E881" s="10" t="s">
        <v>787</v>
      </c>
      <c r="F881" s="20" t="s">
        <v>29</v>
      </c>
      <c r="G881" s="2" t="s">
        <v>59</v>
      </c>
      <c r="H881" s="2" t="str">
        <f>'PFAS Properties'!$B$46</f>
        <v>PFOS</v>
      </c>
      <c r="I881" s="2" t="str">
        <f>'PFAS Properties'!$C$46</f>
        <v>PFSA</v>
      </c>
      <c r="J881" s="2" t="str">
        <f>'PFAS Properties'!$D$46</f>
        <v>C8HF17O3S</v>
      </c>
      <c r="K881" s="25">
        <f>'PFAS Properties'!$P$46</f>
        <v>499.93739999999997</v>
      </c>
      <c r="L881" s="2">
        <f>'PFAS Properties'!$X$46</f>
        <v>0.1</v>
      </c>
      <c r="M881" s="2" t="str">
        <f>'PFAS Properties'!$Y$46</f>
        <v>-</v>
      </c>
      <c r="N881" s="33">
        <v>0</v>
      </c>
      <c r="O881" s="33">
        <v>0</v>
      </c>
      <c r="P881" s="33">
        <v>0</v>
      </c>
      <c r="Q881" s="33">
        <f t="shared" si="381"/>
        <v>0.99999997488113634</v>
      </c>
      <c r="R881" s="33">
        <v>0</v>
      </c>
      <c r="S881" s="33">
        <f t="shared" si="382"/>
        <v>2.5118863684138424E-8</v>
      </c>
      <c r="T881" s="8">
        <f t="shared" si="413"/>
        <v>1</v>
      </c>
      <c r="U881" s="33">
        <f t="shared" si="384"/>
        <v>0</v>
      </c>
      <c r="V881" s="33">
        <f t="shared" si="385"/>
        <v>-0.99999997488113634</v>
      </c>
      <c r="W881" s="33">
        <f t="shared" si="386"/>
        <v>498.93740002511885</v>
      </c>
      <c r="X881" s="33">
        <v>96485</v>
      </c>
      <c r="Y881" s="16">
        <f t="shared" si="387"/>
        <v>-193.38096837709284</v>
      </c>
      <c r="Z881" s="16">
        <v>8</v>
      </c>
      <c r="AA881" s="16">
        <v>17</v>
      </c>
      <c r="AB881" s="8">
        <f t="shared" si="388"/>
        <v>0.29721362229102166</v>
      </c>
      <c r="AC881" s="16">
        <f t="shared" si="415"/>
        <v>64.60808893273439</v>
      </c>
      <c r="AD881" s="20">
        <f>'PFAS Properties'!$W$46</f>
        <v>8</v>
      </c>
      <c r="AE881" s="8">
        <f>'PFAS Properties'!$S$46</f>
        <v>2.0166155475571776</v>
      </c>
      <c r="AF881" s="15">
        <f>'PFAS Properties'!$V$46</f>
        <v>5</v>
      </c>
      <c r="AG881" s="24">
        <v>7.7</v>
      </c>
      <c r="AH881" s="2" t="s">
        <v>183</v>
      </c>
      <c r="AI881" s="2" t="s">
        <v>661</v>
      </c>
      <c r="AJ881" s="2" t="s">
        <v>661</v>
      </c>
      <c r="AK881" s="2" t="s">
        <v>661</v>
      </c>
      <c r="AL881" s="2" t="s">
        <v>661</v>
      </c>
      <c r="AM881" s="2" t="s">
        <v>661</v>
      </c>
      <c r="AN881" s="2" t="s">
        <v>661</v>
      </c>
      <c r="AO881" s="2" t="s">
        <v>661</v>
      </c>
      <c r="AP881" s="15">
        <v>4.8</v>
      </c>
      <c r="AQ881" s="2" t="s">
        <v>661</v>
      </c>
      <c r="AR881" s="16">
        <v>46</v>
      </c>
      <c r="AS881" s="16">
        <v>37</v>
      </c>
      <c r="AT881" s="16">
        <v>17</v>
      </c>
      <c r="AU881" s="2" t="s">
        <v>661</v>
      </c>
      <c r="AV881" s="16">
        <f t="shared" si="414"/>
        <v>100</v>
      </c>
      <c r="AW881" s="20">
        <v>0.25</v>
      </c>
      <c r="AX881" s="8">
        <v>2.5000000000000001E-3</v>
      </c>
      <c r="AY881" s="13" t="s">
        <v>184</v>
      </c>
      <c r="AZ881" s="16">
        <v>100</v>
      </c>
      <c r="BA881" s="16" t="s">
        <v>55</v>
      </c>
      <c r="BB881" s="16">
        <v>5</v>
      </c>
      <c r="BC881" s="16" t="s">
        <v>55</v>
      </c>
      <c r="BD881" s="18">
        <v>4.18</v>
      </c>
      <c r="BE881" s="16">
        <f t="shared" si="416"/>
        <v>1671.9999999999998</v>
      </c>
      <c r="BF881" s="16">
        <f t="shared" si="389"/>
        <v>3.2232362731029975</v>
      </c>
      <c r="BG881" s="8">
        <f t="shared" si="397"/>
        <v>0.62117628177503514</v>
      </c>
      <c r="BH881" s="13" t="s">
        <v>841</v>
      </c>
      <c r="BI881" s="9"/>
      <c r="BJ881" s="13"/>
      <c r="BK881" s="9"/>
      <c r="BL881" s="9"/>
      <c r="BM881" s="19"/>
      <c r="BN881" s="19"/>
      <c r="BO881" s="129"/>
    </row>
    <row r="882" spans="1:69" s="46" customFormat="1" x14ac:dyDescent="0.3">
      <c r="A882" s="20">
        <v>900</v>
      </c>
      <c r="B882" s="2" t="s">
        <v>181</v>
      </c>
      <c r="C882" s="2">
        <v>2020</v>
      </c>
      <c r="D882" s="2" t="s">
        <v>203</v>
      </c>
      <c r="E882" s="10" t="s">
        <v>787</v>
      </c>
      <c r="F882" s="20" t="s">
        <v>29</v>
      </c>
      <c r="G882" s="2" t="s">
        <v>61</v>
      </c>
      <c r="H882" s="2" t="str">
        <f>'PFAS Properties'!$B$46</f>
        <v>PFOS</v>
      </c>
      <c r="I882" s="2" t="str">
        <f>'PFAS Properties'!$C$46</f>
        <v>PFSA</v>
      </c>
      <c r="J882" s="2" t="str">
        <f>'PFAS Properties'!$D$46</f>
        <v>C8HF17O3S</v>
      </c>
      <c r="K882" s="25">
        <f>'PFAS Properties'!$P$46</f>
        <v>499.93739999999997</v>
      </c>
      <c r="L882" s="2">
        <f>'PFAS Properties'!$X$46</f>
        <v>0.1</v>
      </c>
      <c r="M882" s="2" t="str">
        <f>'PFAS Properties'!$Y$46</f>
        <v>-</v>
      </c>
      <c r="N882" s="33">
        <v>0</v>
      </c>
      <c r="O882" s="33">
        <v>0</v>
      </c>
      <c r="P882" s="33">
        <v>0</v>
      </c>
      <c r="Q882" s="33">
        <f t="shared" si="381"/>
        <v>0.99999994988127916</v>
      </c>
      <c r="R882" s="33">
        <v>0</v>
      </c>
      <c r="S882" s="33">
        <f t="shared" si="382"/>
        <v>5.0118720850840682E-8</v>
      </c>
      <c r="T882" s="8">
        <f t="shared" si="413"/>
        <v>1</v>
      </c>
      <c r="U882" s="33">
        <f t="shared" si="384"/>
        <v>0</v>
      </c>
      <c r="V882" s="33">
        <f t="shared" si="385"/>
        <v>-0.99999994988127916</v>
      </c>
      <c r="W882" s="33">
        <f t="shared" si="386"/>
        <v>498.93740005011864</v>
      </c>
      <c r="X882" s="33">
        <v>96485</v>
      </c>
      <c r="Y882" s="16">
        <f t="shared" si="387"/>
        <v>-193.38096353290661</v>
      </c>
      <c r="Z882" s="16">
        <v>8</v>
      </c>
      <c r="AA882" s="16">
        <v>17</v>
      </c>
      <c r="AB882" s="8">
        <f t="shared" si="388"/>
        <v>0.29721362229102166</v>
      </c>
      <c r="AC882" s="16">
        <f t="shared" si="415"/>
        <v>64.60808893273439</v>
      </c>
      <c r="AD882" s="20">
        <f>'PFAS Properties'!$W$46</f>
        <v>8</v>
      </c>
      <c r="AE882" s="8">
        <f>'PFAS Properties'!$S$46</f>
        <v>2.0166155475571776</v>
      </c>
      <c r="AF882" s="15">
        <f>'PFAS Properties'!$V$46</f>
        <v>5</v>
      </c>
      <c r="AG882" s="24">
        <v>7.4</v>
      </c>
      <c r="AH882" s="2" t="s">
        <v>183</v>
      </c>
      <c r="AI882" s="2" t="s">
        <v>661</v>
      </c>
      <c r="AJ882" s="2" t="s">
        <v>661</v>
      </c>
      <c r="AK882" s="2" t="s">
        <v>661</v>
      </c>
      <c r="AL882" s="2" t="s">
        <v>661</v>
      </c>
      <c r="AM882" s="2" t="s">
        <v>661</v>
      </c>
      <c r="AN882" s="2" t="s">
        <v>661</v>
      </c>
      <c r="AO882" s="2" t="s">
        <v>661</v>
      </c>
      <c r="AP882" s="15">
        <v>29.6</v>
      </c>
      <c r="AQ882" s="2" t="s">
        <v>661</v>
      </c>
      <c r="AR882" s="16">
        <v>39.799999999999997</v>
      </c>
      <c r="AS882" s="16">
        <v>7.7</v>
      </c>
      <c r="AT882" s="16">
        <v>52.5</v>
      </c>
      <c r="AU882" s="2" t="s">
        <v>661</v>
      </c>
      <c r="AV882" s="16">
        <f t="shared" si="414"/>
        <v>100</v>
      </c>
      <c r="AW882" s="20">
        <v>2.23</v>
      </c>
      <c r="AX882" s="8">
        <v>2.23E-2</v>
      </c>
      <c r="AY882" s="8" t="s">
        <v>184</v>
      </c>
      <c r="AZ882" s="16">
        <v>100</v>
      </c>
      <c r="BA882" s="16" t="s">
        <v>55</v>
      </c>
      <c r="BB882" s="16">
        <v>5</v>
      </c>
      <c r="BC882" s="16" t="s">
        <v>55</v>
      </c>
      <c r="BD882" s="20">
        <v>3.71</v>
      </c>
      <c r="BE882" s="16">
        <f t="shared" si="416"/>
        <v>166.3677130044843</v>
      </c>
      <c r="BF882" s="16">
        <f t="shared" si="389"/>
        <v>2.221069046566885</v>
      </c>
      <c r="BG882" s="8">
        <f t="shared" si="397"/>
        <v>0.56937390961504586</v>
      </c>
      <c r="BH882" s="13" t="s">
        <v>841</v>
      </c>
      <c r="BI882" s="9"/>
      <c r="BJ882" s="13"/>
      <c r="BK882" s="9"/>
      <c r="BL882" s="9"/>
      <c r="BM882" s="19"/>
      <c r="BN882" s="19"/>
      <c r="BO882" s="129"/>
    </row>
    <row r="883" spans="1:69" s="46" customFormat="1" x14ac:dyDescent="0.3">
      <c r="A883" s="20">
        <v>901</v>
      </c>
      <c r="B883" s="2" t="s">
        <v>181</v>
      </c>
      <c r="C883" s="2">
        <v>2020</v>
      </c>
      <c r="D883" s="2" t="s">
        <v>203</v>
      </c>
      <c r="E883" s="10" t="s">
        <v>787</v>
      </c>
      <c r="F883" s="20" t="s">
        <v>29</v>
      </c>
      <c r="G883" s="2" t="s">
        <v>60</v>
      </c>
      <c r="H883" s="2" t="str">
        <f>'PFAS Properties'!$B$46</f>
        <v>PFOS</v>
      </c>
      <c r="I883" s="2" t="str">
        <f>'PFAS Properties'!$C$46</f>
        <v>PFSA</v>
      </c>
      <c r="J883" s="2" t="str">
        <f>'PFAS Properties'!$D$46</f>
        <v>C8HF17O3S</v>
      </c>
      <c r="K883" s="25">
        <f>'PFAS Properties'!$P$46</f>
        <v>499.93739999999997</v>
      </c>
      <c r="L883" s="2">
        <f>'PFAS Properties'!$X$46</f>
        <v>0.1</v>
      </c>
      <c r="M883" s="2" t="str">
        <f>'PFAS Properties'!$Y$46</f>
        <v>-</v>
      </c>
      <c r="N883" s="33">
        <v>0</v>
      </c>
      <c r="O883" s="33">
        <v>0</v>
      </c>
      <c r="P883" s="33">
        <v>0</v>
      </c>
      <c r="Q883" s="33">
        <f t="shared" si="381"/>
        <v>0.99999997488113634</v>
      </c>
      <c r="R883" s="33">
        <v>0</v>
      </c>
      <c r="S883" s="33">
        <f t="shared" si="382"/>
        <v>2.5118863684138424E-8</v>
      </c>
      <c r="T883" s="8">
        <f t="shared" si="413"/>
        <v>1</v>
      </c>
      <c r="U883" s="33">
        <f t="shared" si="384"/>
        <v>0</v>
      </c>
      <c r="V883" s="33">
        <f t="shared" si="385"/>
        <v>-0.99999997488113634</v>
      </c>
      <c r="W883" s="33">
        <f t="shared" si="386"/>
        <v>498.93740002511885</v>
      </c>
      <c r="X883" s="33">
        <v>96485</v>
      </c>
      <c r="Y883" s="16">
        <f t="shared" si="387"/>
        <v>-193.38096837709284</v>
      </c>
      <c r="Z883" s="16">
        <v>8</v>
      </c>
      <c r="AA883" s="16">
        <v>17</v>
      </c>
      <c r="AB883" s="8">
        <f t="shared" si="388"/>
        <v>0.29721362229102166</v>
      </c>
      <c r="AC883" s="16">
        <f t="shared" si="415"/>
        <v>64.60808893273439</v>
      </c>
      <c r="AD883" s="20">
        <f>'PFAS Properties'!$W$46</f>
        <v>8</v>
      </c>
      <c r="AE883" s="8">
        <f>'PFAS Properties'!$S$46</f>
        <v>2.0166155475571776</v>
      </c>
      <c r="AF883" s="15">
        <f>'PFAS Properties'!$V$46</f>
        <v>5</v>
      </c>
      <c r="AG883" s="24">
        <v>7.7</v>
      </c>
      <c r="AH883" s="2" t="s">
        <v>183</v>
      </c>
      <c r="AI883" s="2" t="s">
        <v>661</v>
      </c>
      <c r="AJ883" s="2" t="s">
        <v>661</v>
      </c>
      <c r="AK883" s="2" t="s">
        <v>661</v>
      </c>
      <c r="AL883" s="2" t="s">
        <v>661</v>
      </c>
      <c r="AM883" s="2" t="s">
        <v>661</v>
      </c>
      <c r="AN883" s="2" t="s">
        <v>661</v>
      </c>
      <c r="AO883" s="2" t="s">
        <v>661</v>
      </c>
      <c r="AP883" s="15">
        <v>21.63</v>
      </c>
      <c r="AQ883" s="2" t="s">
        <v>661</v>
      </c>
      <c r="AR883" s="16">
        <v>70</v>
      </c>
      <c r="AS883" s="16">
        <v>11</v>
      </c>
      <c r="AT883" s="16">
        <v>19</v>
      </c>
      <c r="AU883" s="2" t="s">
        <v>661</v>
      </c>
      <c r="AV883" s="16">
        <f t="shared" si="414"/>
        <v>100</v>
      </c>
      <c r="AW883" s="20">
        <v>4.9000000000000004</v>
      </c>
      <c r="AX883" s="8">
        <v>4.9000000000000002E-2</v>
      </c>
      <c r="AY883" s="8" t="s">
        <v>184</v>
      </c>
      <c r="AZ883" s="16">
        <v>100</v>
      </c>
      <c r="BA883" s="16" t="s">
        <v>55</v>
      </c>
      <c r="BB883" s="16">
        <v>5</v>
      </c>
      <c r="BC883" s="16" t="s">
        <v>55</v>
      </c>
      <c r="BD883" s="20">
        <v>34.299999999999997</v>
      </c>
      <c r="BE883" s="16">
        <f t="shared" si="416"/>
        <v>699.99999999999989</v>
      </c>
      <c r="BF883" s="16">
        <f t="shared" si="389"/>
        <v>2.8450980400142569</v>
      </c>
      <c r="BG883" s="8">
        <f t="shared" si="397"/>
        <v>1.5352941200427705</v>
      </c>
      <c r="BH883" s="13" t="s">
        <v>841</v>
      </c>
      <c r="BI883" s="9"/>
      <c r="BJ883" s="13"/>
      <c r="BK883" s="9"/>
      <c r="BL883" s="9"/>
      <c r="BM883" s="19"/>
      <c r="BN883" s="19"/>
      <c r="BO883" s="129"/>
    </row>
    <row r="884" spans="1:69" s="46" customFormat="1" x14ac:dyDescent="0.3">
      <c r="A884" s="20">
        <v>902</v>
      </c>
      <c r="B884" s="2" t="s">
        <v>181</v>
      </c>
      <c r="C884" s="2">
        <v>2020</v>
      </c>
      <c r="D884" s="2" t="s">
        <v>203</v>
      </c>
      <c r="E884" s="10" t="s">
        <v>787</v>
      </c>
      <c r="F884" s="20" t="s">
        <v>29</v>
      </c>
      <c r="G884" s="2" t="s">
        <v>77</v>
      </c>
      <c r="H884" s="2" t="str">
        <f>'PFAS Properties'!$B$46</f>
        <v>PFOS</v>
      </c>
      <c r="I884" s="2" t="str">
        <f>'PFAS Properties'!$C$46</f>
        <v>PFSA</v>
      </c>
      <c r="J884" s="2" t="str">
        <f>'PFAS Properties'!$D$46</f>
        <v>C8HF17O3S</v>
      </c>
      <c r="K884" s="25">
        <f>'PFAS Properties'!$P$46</f>
        <v>499.93739999999997</v>
      </c>
      <c r="L884" s="2">
        <f>'PFAS Properties'!$X$46</f>
        <v>0.1</v>
      </c>
      <c r="M884" s="2" t="str">
        <f>'PFAS Properties'!$Y$46</f>
        <v>-</v>
      </c>
      <c r="N884" s="33">
        <v>0</v>
      </c>
      <c r="O884" s="33">
        <v>0</v>
      </c>
      <c r="P884" s="33">
        <v>0</v>
      </c>
      <c r="Q884" s="33">
        <f t="shared" si="381"/>
        <v>0.99999997488113634</v>
      </c>
      <c r="R884" s="33">
        <v>0</v>
      </c>
      <c r="S884" s="33">
        <f t="shared" si="382"/>
        <v>2.5118863684138424E-8</v>
      </c>
      <c r="T884" s="8">
        <f t="shared" si="413"/>
        <v>1</v>
      </c>
      <c r="U884" s="33">
        <f t="shared" si="384"/>
        <v>0</v>
      </c>
      <c r="V884" s="33">
        <f t="shared" si="385"/>
        <v>-0.99999997488113634</v>
      </c>
      <c r="W884" s="33">
        <f t="shared" si="386"/>
        <v>498.93740002511885</v>
      </c>
      <c r="X884" s="33">
        <v>96485</v>
      </c>
      <c r="Y884" s="16">
        <f t="shared" si="387"/>
        <v>-193.38096837709284</v>
      </c>
      <c r="Z884" s="16">
        <v>8</v>
      </c>
      <c r="AA884" s="16">
        <v>17</v>
      </c>
      <c r="AB884" s="8">
        <f t="shared" si="388"/>
        <v>0.29721362229102166</v>
      </c>
      <c r="AC884" s="16">
        <f t="shared" si="415"/>
        <v>64.60808893273439</v>
      </c>
      <c r="AD884" s="20">
        <f>'PFAS Properties'!$W$46</f>
        <v>8</v>
      </c>
      <c r="AE884" s="8">
        <f>'PFAS Properties'!$S$46</f>
        <v>2.0166155475571776</v>
      </c>
      <c r="AF884" s="15">
        <f>'PFAS Properties'!$V$46</f>
        <v>5</v>
      </c>
      <c r="AG884" s="24">
        <v>7.7</v>
      </c>
      <c r="AH884" s="2" t="s">
        <v>183</v>
      </c>
      <c r="AI884" s="2" t="s">
        <v>661</v>
      </c>
      <c r="AJ884" s="2" t="s">
        <v>661</v>
      </c>
      <c r="AK884" s="2" t="s">
        <v>661</v>
      </c>
      <c r="AL884" s="2" t="s">
        <v>661</v>
      </c>
      <c r="AM884" s="2" t="s">
        <v>661</v>
      </c>
      <c r="AN884" s="2" t="s">
        <v>661</v>
      </c>
      <c r="AO884" s="2" t="s">
        <v>661</v>
      </c>
      <c r="AP884" s="15">
        <v>7.8</v>
      </c>
      <c r="AQ884" s="2" t="s">
        <v>661</v>
      </c>
      <c r="AR884" s="16">
        <v>48.9</v>
      </c>
      <c r="AS884" s="16">
        <v>32.6</v>
      </c>
      <c r="AT884" s="16">
        <v>18.5</v>
      </c>
      <c r="AU884" s="2" t="s">
        <v>661</v>
      </c>
      <c r="AV884" s="16">
        <f t="shared" si="414"/>
        <v>100</v>
      </c>
      <c r="AW884" s="20">
        <v>0.13</v>
      </c>
      <c r="AX884" s="8">
        <v>1.2999999999999999E-3</v>
      </c>
      <c r="AY884" s="8" t="s">
        <v>184</v>
      </c>
      <c r="AZ884" s="16">
        <v>100</v>
      </c>
      <c r="BA884" s="16" t="s">
        <v>55</v>
      </c>
      <c r="BB884" s="16">
        <v>5</v>
      </c>
      <c r="BC884" s="16" t="s">
        <v>55</v>
      </c>
      <c r="BD884" s="20">
        <v>3.52</v>
      </c>
      <c r="BE884" s="16">
        <f t="shared" si="416"/>
        <v>2707.6923076923076</v>
      </c>
      <c r="BF884" s="16">
        <f t="shared" si="389"/>
        <v>3.4325993111712942</v>
      </c>
      <c r="BG884" s="8">
        <f t="shared" si="397"/>
        <v>0.54654266347813107</v>
      </c>
      <c r="BH884" s="13" t="s">
        <v>841</v>
      </c>
      <c r="BI884" s="9"/>
      <c r="BJ884" s="13"/>
      <c r="BK884" s="9"/>
      <c r="BL884" s="9"/>
      <c r="BM884" s="19"/>
      <c r="BN884" s="19"/>
      <c r="BO884" s="129"/>
    </row>
    <row r="885" spans="1:69" s="46" customFormat="1" x14ac:dyDescent="0.3">
      <c r="A885" s="20">
        <v>903</v>
      </c>
      <c r="B885" s="2" t="s">
        <v>181</v>
      </c>
      <c r="C885" s="2">
        <v>2020</v>
      </c>
      <c r="D885" s="2" t="s">
        <v>203</v>
      </c>
      <c r="E885" s="10" t="s">
        <v>787</v>
      </c>
      <c r="F885" s="20" t="s">
        <v>29</v>
      </c>
      <c r="G885" s="2" t="s">
        <v>182</v>
      </c>
      <c r="H885" s="2" t="str">
        <f>'PFAS Properties'!$B$46</f>
        <v>PFOS</v>
      </c>
      <c r="I885" s="2" t="str">
        <f>'PFAS Properties'!$C$46</f>
        <v>PFSA</v>
      </c>
      <c r="J885" s="2" t="str">
        <f>'PFAS Properties'!$D$46</f>
        <v>C8HF17O3S</v>
      </c>
      <c r="K885" s="25">
        <f>'PFAS Properties'!$P$46</f>
        <v>499.93739999999997</v>
      </c>
      <c r="L885" s="2">
        <f>'PFAS Properties'!$X$46</f>
        <v>0.1</v>
      </c>
      <c r="M885" s="2" t="str">
        <f>'PFAS Properties'!$Y$46</f>
        <v>-</v>
      </c>
      <c r="N885" s="33">
        <v>0</v>
      </c>
      <c r="O885" s="33">
        <v>0</v>
      </c>
      <c r="P885" s="33">
        <v>0</v>
      </c>
      <c r="Q885" s="33">
        <f t="shared" si="381"/>
        <v>0.9999999601892845</v>
      </c>
      <c r="R885" s="33">
        <v>0</v>
      </c>
      <c r="S885" s="33">
        <f t="shared" si="382"/>
        <v>3.9810715470456442E-8</v>
      </c>
      <c r="T885" s="8">
        <f t="shared" si="413"/>
        <v>1</v>
      </c>
      <c r="U885" s="33">
        <f t="shared" si="384"/>
        <v>0</v>
      </c>
      <c r="V885" s="33">
        <f t="shared" si="385"/>
        <v>-0.9999999601892845</v>
      </c>
      <c r="W885" s="33">
        <f t="shared" si="386"/>
        <v>498.93740003981065</v>
      </c>
      <c r="X885" s="33">
        <v>96485</v>
      </c>
      <c r="Y885" s="16">
        <f t="shared" si="387"/>
        <v>-193.38096553027393</v>
      </c>
      <c r="Z885" s="16">
        <v>8</v>
      </c>
      <c r="AA885" s="16">
        <v>17</v>
      </c>
      <c r="AB885" s="8">
        <f t="shared" si="388"/>
        <v>0.29721362229102166</v>
      </c>
      <c r="AC885" s="16">
        <f t="shared" si="415"/>
        <v>64.60808893273439</v>
      </c>
      <c r="AD885" s="20">
        <f>'PFAS Properties'!$W$46</f>
        <v>8</v>
      </c>
      <c r="AE885" s="8">
        <f>'PFAS Properties'!$S$46</f>
        <v>2.0166155475571776</v>
      </c>
      <c r="AF885" s="15">
        <f>'PFAS Properties'!$V$46</f>
        <v>5</v>
      </c>
      <c r="AG885" s="24">
        <v>7.5</v>
      </c>
      <c r="AH885" s="2" t="s">
        <v>183</v>
      </c>
      <c r="AI885" s="2" t="s">
        <v>661</v>
      </c>
      <c r="AJ885" s="2" t="s">
        <v>661</v>
      </c>
      <c r="AK885" s="2" t="s">
        <v>661</v>
      </c>
      <c r="AL885" s="2" t="s">
        <v>661</v>
      </c>
      <c r="AM885" s="2" t="s">
        <v>661</v>
      </c>
      <c r="AN885" s="2" t="s">
        <v>661</v>
      </c>
      <c r="AO885" s="2" t="s">
        <v>661</v>
      </c>
      <c r="AP885" s="15">
        <v>2.2799999999999998</v>
      </c>
      <c r="AQ885" s="2" t="s">
        <v>661</v>
      </c>
      <c r="AR885" s="16">
        <v>93</v>
      </c>
      <c r="AS885" s="16">
        <v>1</v>
      </c>
      <c r="AT885" s="16">
        <v>5</v>
      </c>
      <c r="AU885" s="2" t="s">
        <v>661</v>
      </c>
      <c r="AV885" s="16">
        <f t="shared" si="414"/>
        <v>99</v>
      </c>
      <c r="AW885" s="20">
        <v>0.4</v>
      </c>
      <c r="AX885" s="8">
        <v>4.0000000000000001E-3</v>
      </c>
      <c r="AY885" s="8" t="s">
        <v>184</v>
      </c>
      <c r="AZ885" s="16">
        <v>100</v>
      </c>
      <c r="BA885" s="16" t="s">
        <v>55</v>
      </c>
      <c r="BB885" s="16">
        <v>5</v>
      </c>
      <c r="BC885" s="16" t="s">
        <v>55</v>
      </c>
      <c r="BD885" s="20">
        <v>3.22</v>
      </c>
      <c r="BE885" s="16">
        <f t="shared" si="416"/>
        <v>805</v>
      </c>
      <c r="BF885" s="16">
        <f t="shared" si="389"/>
        <v>2.9057958803678687</v>
      </c>
      <c r="BG885" s="8">
        <f t="shared" si="397"/>
        <v>0.50785587169583091</v>
      </c>
      <c r="BH885" s="13" t="s">
        <v>841</v>
      </c>
      <c r="BI885" s="9"/>
      <c r="BJ885" s="13"/>
      <c r="BK885" s="9"/>
      <c r="BL885" s="9"/>
      <c r="BM885" s="19"/>
      <c r="BN885" s="19"/>
      <c r="BO885" s="129"/>
    </row>
    <row r="886" spans="1:69" s="46" customFormat="1" x14ac:dyDescent="0.3">
      <c r="A886" s="20">
        <v>904</v>
      </c>
      <c r="B886" s="2" t="s">
        <v>181</v>
      </c>
      <c r="C886" s="2">
        <v>2020</v>
      </c>
      <c r="D886" s="2" t="s">
        <v>203</v>
      </c>
      <c r="E886" s="10" t="s">
        <v>787</v>
      </c>
      <c r="F886" s="20" t="s">
        <v>29</v>
      </c>
      <c r="G886" s="2" t="s">
        <v>78</v>
      </c>
      <c r="H886" s="2" t="str">
        <f>'PFAS Properties'!$B$46</f>
        <v>PFOS</v>
      </c>
      <c r="I886" s="2" t="str">
        <f>'PFAS Properties'!$C$46</f>
        <v>PFSA</v>
      </c>
      <c r="J886" s="2" t="str">
        <f>'PFAS Properties'!$D$46</f>
        <v>C8HF17O3S</v>
      </c>
      <c r="K886" s="25">
        <f>'PFAS Properties'!$P$46</f>
        <v>499.93739999999997</v>
      </c>
      <c r="L886" s="2">
        <f>'PFAS Properties'!$X$46</f>
        <v>0.1</v>
      </c>
      <c r="M886" s="2" t="str">
        <f>'PFAS Properties'!$Y$46</f>
        <v>-</v>
      </c>
      <c r="N886" s="33">
        <v>0</v>
      </c>
      <c r="O886" s="33">
        <v>0</v>
      </c>
      <c r="P886" s="33">
        <v>0</v>
      </c>
      <c r="Q886" s="33">
        <f t="shared" si="381"/>
        <v>0.99999990000001004</v>
      </c>
      <c r="R886" s="33">
        <v>0</v>
      </c>
      <c r="S886" s="33">
        <f t="shared" si="382"/>
        <v>9.9999990000001005E-8</v>
      </c>
      <c r="T886" s="8">
        <f t="shared" si="413"/>
        <v>1</v>
      </c>
      <c r="U886" s="33">
        <f t="shared" si="384"/>
        <v>0</v>
      </c>
      <c r="V886" s="33">
        <f t="shared" si="385"/>
        <v>-0.99999990000001004</v>
      </c>
      <c r="W886" s="33">
        <f t="shared" si="386"/>
        <v>498.93740009999999</v>
      </c>
      <c r="X886" s="33">
        <v>96485</v>
      </c>
      <c r="Y886" s="16">
        <f t="shared" si="387"/>
        <v>-193.38095386748492</v>
      </c>
      <c r="Z886" s="16">
        <v>8</v>
      </c>
      <c r="AA886" s="16">
        <v>17</v>
      </c>
      <c r="AB886" s="8">
        <f t="shared" si="388"/>
        <v>0.29721362229102166</v>
      </c>
      <c r="AC886" s="16">
        <f t="shared" si="415"/>
        <v>64.60808893273439</v>
      </c>
      <c r="AD886" s="20">
        <f>'PFAS Properties'!$W$46</f>
        <v>8</v>
      </c>
      <c r="AE886" s="8">
        <f>'PFAS Properties'!$S$46</f>
        <v>2.0166155475571776</v>
      </c>
      <c r="AF886" s="15">
        <f>'PFAS Properties'!$V$46</f>
        <v>5</v>
      </c>
      <c r="AG886" s="24">
        <v>7.1</v>
      </c>
      <c r="AH886" s="2" t="s">
        <v>183</v>
      </c>
      <c r="AI886" s="2" t="s">
        <v>661</v>
      </c>
      <c r="AJ886" s="2" t="s">
        <v>661</v>
      </c>
      <c r="AK886" s="2" t="s">
        <v>661</v>
      </c>
      <c r="AL886" s="2" t="s">
        <v>661</v>
      </c>
      <c r="AM886" s="2" t="s">
        <v>661</v>
      </c>
      <c r="AN886" s="2" t="s">
        <v>661</v>
      </c>
      <c r="AO886" s="2" t="s">
        <v>661</v>
      </c>
      <c r="AP886" s="15">
        <v>17.420000000000002</v>
      </c>
      <c r="AQ886" s="2" t="s">
        <v>661</v>
      </c>
      <c r="AR886" s="16">
        <v>48.86</v>
      </c>
      <c r="AS886" s="16">
        <v>16.05</v>
      </c>
      <c r="AT886" s="16">
        <v>35.090000000000003</v>
      </c>
      <c r="AU886" s="2" t="s">
        <v>661</v>
      </c>
      <c r="AV886" s="16">
        <f t="shared" si="414"/>
        <v>100</v>
      </c>
      <c r="AW886" s="20">
        <v>1.19</v>
      </c>
      <c r="AX886" s="8">
        <v>1.1899999999999999E-2</v>
      </c>
      <c r="AY886" s="8" t="s">
        <v>184</v>
      </c>
      <c r="AZ886" s="16">
        <v>100</v>
      </c>
      <c r="BA886" s="16" t="s">
        <v>55</v>
      </c>
      <c r="BB886" s="16">
        <v>5</v>
      </c>
      <c r="BC886" s="16" t="s">
        <v>55</v>
      </c>
      <c r="BD886" s="20">
        <v>8.7799999999999994</v>
      </c>
      <c r="BE886" s="16">
        <f t="shared" si="416"/>
        <v>737.81512605042019</v>
      </c>
      <c r="BF886" s="16">
        <f t="shared" si="389"/>
        <v>2.867947554513572</v>
      </c>
      <c r="BG886" s="8">
        <f t="shared" si="397"/>
        <v>0.94349451590610256</v>
      </c>
      <c r="BH886" s="13" t="s">
        <v>841</v>
      </c>
      <c r="BI886" s="9"/>
      <c r="BJ886" s="13"/>
      <c r="BK886" s="9"/>
      <c r="BL886" s="9"/>
      <c r="BM886" s="19"/>
      <c r="BN886" s="19"/>
      <c r="BO886" s="129"/>
    </row>
    <row r="887" spans="1:69" s="46" customFormat="1" x14ac:dyDescent="0.3">
      <c r="A887" s="20">
        <v>905</v>
      </c>
      <c r="B887" s="2" t="s">
        <v>181</v>
      </c>
      <c r="C887" s="2">
        <v>2020</v>
      </c>
      <c r="D887" s="2" t="s">
        <v>203</v>
      </c>
      <c r="E887" s="10" t="s">
        <v>787</v>
      </c>
      <c r="F887" s="20" t="s">
        <v>29</v>
      </c>
      <c r="G887" s="2" t="s">
        <v>98</v>
      </c>
      <c r="H887" s="2" t="str">
        <f>'PFAS Properties'!$B$46</f>
        <v>PFOS</v>
      </c>
      <c r="I887" s="2" t="str">
        <f>'PFAS Properties'!$C$46</f>
        <v>PFSA</v>
      </c>
      <c r="J887" s="2" t="str">
        <f>'PFAS Properties'!$D$46</f>
        <v>C8HF17O3S</v>
      </c>
      <c r="K887" s="25">
        <f>'PFAS Properties'!$P$46</f>
        <v>499.93739999999997</v>
      </c>
      <c r="L887" s="2">
        <f>'PFAS Properties'!$X$46</f>
        <v>0.1</v>
      </c>
      <c r="M887" s="2" t="str">
        <f>'PFAS Properties'!$Y$46</f>
        <v>-</v>
      </c>
      <c r="N887" s="33">
        <v>0</v>
      </c>
      <c r="O887" s="33">
        <v>0</v>
      </c>
      <c r="P887" s="33">
        <v>0</v>
      </c>
      <c r="Q887" s="33">
        <f t="shared" si="381"/>
        <v>0.99999949881301753</v>
      </c>
      <c r="R887" s="33">
        <v>0</v>
      </c>
      <c r="S887" s="33">
        <f t="shared" si="382"/>
        <v>5.0118698243875318E-7</v>
      </c>
      <c r="T887" s="8">
        <f t="shared" si="413"/>
        <v>1</v>
      </c>
      <c r="U887" s="33">
        <f t="shared" si="384"/>
        <v>0</v>
      </c>
      <c r="V887" s="33">
        <f t="shared" si="385"/>
        <v>-0.99999949881301753</v>
      </c>
      <c r="W887" s="33">
        <f t="shared" si="386"/>
        <v>498.93740050118691</v>
      </c>
      <c r="X887" s="33">
        <v>96485</v>
      </c>
      <c r="Y887" s="16">
        <f t="shared" si="387"/>
        <v>-193.38087613005968</v>
      </c>
      <c r="Z887" s="16">
        <v>8</v>
      </c>
      <c r="AA887" s="16">
        <v>17</v>
      </c>
      <c r="AB887" s="8">
        <f t="shared" si="388"/>
        <v>0.29721362229102166</v>
      </c>
      <c r="AC887" s="16">
        <f t="shared" si="415"/>
        <v>64.60808893273439</v>
      </c>
      <c r="AD887" s="20">
        <f>'PFAS Properties'!$W$46</f>
        <v>8</v>
      </c>
      <c r="AE887" s="8">
        <f>'PFAS Properties'!$S$46</f>
        <v>2.0166155475571776</v>
      </c>
      <c r="AF887" s="15">
        <f>'PFAS Properties'!$V$46</f>
        <v>5</v>
      </c>
      <c r="AG887" s="24">
        <v>6.4</v>
      </c>
      <c r="AH887" s="2" t="s">
        <v>183</v>
      </c>
      <c r="AI887" s="2" t="s">
        <v>661</v>
      </c>
      <c r="AJ887" s="15" t="s">
        <v>661</v>
      </c>
      <c r="AK887" s="8" t="s">
        <v>661</v>
      </c>
      <c r="AL887" s="2" t="s">
        <v>661</v>
      </c>
      <c r="AM887" s="15" t="s">
        <v>661</v>
      </c>
      <c r="AN887" s="8" t="s">
        <v>661</v>
      </c>
      <c r="AO887" s="15" t="s">
        <v>661</v>
      </c>
      <c r="AP887" s="15">
        <v>16.54</v>
      </c>
      <c r="AQ887" s="13" t="s">
        <v>661</v>
      </c>
      <c r="AR887" s="16">
        <v>29.38</v>
      </c>
      <c r="AS887" s="16">
        <v>13.9</v>
      </c>
      <c r="AT887" s="16">
        <v>56.71</v>
      </c>
      <c r="AU887" s="15" t="s">
        <v>661</v>
      </c>
      <c r="AV887" s="16">
        <f t="shared" si="414"/>
        <v>99.990000000000009</v>
      </c>
      <c r="AW887" s="20">
        <v>0.17</v>
      </c>
      <c r="AX887" s="8">
        <v>1.7000000000000001E-3</v>
      </c>
      <c r="AY887" s="8" t="s">
        <v>184</v>
      </c>
      <c r="AZ887" s="16">
        <v>100</v>
      </c>
      <c r="BA887" s="16" t="s">
        <v>55</v>
      </c>
      <c r="BB887" s="16">
        <v>5</v>
      </c>
      <c r="BC887" s="16" t="s">
        <v>55</v>
      </c>
      <c r="BD887" s="20">
        <v>5.66</v>
      </c>
      <c r="BE887" s="16">
        <f t="shared" si="416"/>
        <v>3329.411764705882</v>
      </c>
      <c r="BF887" s="16">
        <f t="shared" si="389"/>
        <v>3.5223675098099974</v>
      </c>
      <c r="BG887" s="8">
        <f t="shared" si="397"/>
        <v>0.75281643118827146</v>
      </c>
      <c r="BH887" s="13" t="s">
        <v>841</v>
      </c>
      <c r="BI887" s="9"/>
      <c r="BJ887" s="13"/>
      <c r="BK887" s="9"/>
      <c r="BL887" s="9"/>
      <c r="BM887" s="19"/>
      <c r="BN887" s="19"/>
      <c r="BO887" s="129"/>
    </row>
    <row r="888" spans="1:69" x14ac:dyDescent="0.3">
      <c r="A888" s="20">
        <v>906</v>
      </c>
      <c r="B888" s="2" t="s">
        <v>189</v>
      </c>
      <c r="C888" s="2">
        <v>2021</v>
      </c>
      <c r="D888" s="2" t="s">
        <v>510</v>
      </c>
      <c r="E888" s="41" t="s">
        <v>804</v>
      </c>
      <c r="F888" s="20" t="s">
        <v>29</v>
      </c>
      <c r="G888" s="2" t="s">
        <v>396</v>
      </c>
      <c r="H888" s="2" t="str">
        <f>'PFAS Properties'!$B$46</f>
        <v>PFOS</v>
      </c>
      <c r="I888" s="2" t="str">
        <f>'PFAS Properties'!$C$46</f>
        <v>PFSA</v>
      </c>
      <c r="J888" s="2" t="str">
        <f>'PFAS Properties'!$D$46</f>
        <v>C8HF17O3S</v>
      </c>
      <c r="K888" s="25">
        <f>'PFAS Properties'!$P$46</f>
        <v>499.93739999999997</v>
      </c>
      <c r="L888" s="2">
        <f>'PFAS Properties'!$X$46</f>
        <v>0.1</v>
      </c>
      <c r="M888" s="2" t="str">
        <f>'PFAS Properties'!$Y$46</f>
        <v>-</v>
      </c>
      <c r="N888" s="33">
        <v>0</v>
      </c>
      <c r="O888" s="33">
        <v>0</v>
      </c>
      <c r="P888" s="33">
        <v>0</v>
      </c>
      <c r="Q888" s="33">
        <f t="shared" si="381"/>
        <v>0.99999999487138613</v>
      </c>
      <c r="R888" s="33">
        <v>0</v>
      </c>
      <c r="S888" s="33">
        <f t="shared" si="382"/>
        <v>5.128613813610956E-9</v>
      </c>
      <c r="T888" s="8">
        <f t="shared" si="413"/>
        <v>1</v>
      </c>
      <c r="U888" s="33">
        <f t="shared" si="384"/>
        <v>0</v>
      </c>
      <c r="V888" s="33">
        <f t="shared" si="385"/>
        <v>-0.99999999487138613</v>
      </c>
      <c r="W888" s="33">
        <f t="shared" si="386"/>
        <v>498.93740000512855</v>
      </c>
      <c r="X888" s="33">
        <v>96485</v>
      </c>
      <c r="Y888" s="16">
        <f t="shared" si="387"/>
        <v>-193.38097225057479</v>
      </c>
      <c r="Z888" s="16">
        <v>8</v>
      </c>
      <c r="AA888" s="16">
        <v>17</v>
      </c>
      <c r="AB888" s="8">
        <f t="shared" si="388"/>
        <v>0.29721362229102166</v>
      </c>
      <c r="AC888" s="16">
        <f t="shared" si="415"/>
        <v>64.60808893273439</v>
      </c>
      <c r="AD888" s="20">
        <f>'PFAS Properties'!$W$46</f>
        <v>8</v>
      </c>
      <c r="AE888" s="8">
        <f>'PFAS Properties'!$S$46</f>
        <v>2.0166155475571776</v>
      </c>
      <c r="AF888" s="15">
        <f>'PFAS Properties'!$V$46</f>
        <v>5</v>
      </c>
      <c r="AG888" s="26">
        <v>8.39</v>
      </c>
      <c r="AH888" s="1" t="s">
        <v>190</v>
      </c>
      <c r="AI888" s="39">
        <f t="shared" ref="AI888:AI949" si="417">(AJ888*55.845)/1000</f>
        <v>16.250895</v>
      </c>
      <c r="AJ888" s="1">
        <v>291</v>
      </c>
      <c r="AK888" s="8">
        <f t="shared" ref="AK888:AK949" si="418">AI888/10</f>
        <v>1.6250895000000001</v>
      </c>
      <c r="AL888" s="39">
        <f t="shared" ref="AL888:AL949" si="419">(AM888*26.98)/1000</f>
        <v>7.5274200000000002</v>
      </c>
      <c r="AM888" s="1">
        <v>279</v>
      </c>
      <c r="AN888" s="8">
        <f t="shared" ref="AN888:AN949" si="420">AL888/10</f>
        <v>0.75274200000000002</v>
      </c>
      <c r="AO888" s="3" t="s">
        <v>93</v>
      </c>
      <c r="AP888" s="3">
        <v>12</v>
      </c>
      <c r="AQ888" s="3" t="s">
        <v>661</v>
      </c>
      <c r="AR888" s="4">
        <v>58.8</v>
      </c>
      <c r="AS888" s="4">
        <v>11.2</v>
      </c>
      <c r="AT888" s="4">
        <v>30</v>
      </c>
      <c r="AU888" s="3" t="s">
        <v>661</v>
      </c>
      <c r="AV888" s="16">
        <f t="shared" si="414"/>
        <v>100</v>
      </c>
      <c r="AW888" s="7">
        <v>0.8</v>
      </c>
      <c r="AX888" s="13">
        <f t="shared" ref="AX888:AX949" si="421">AW888/100</f>
        <v>8.0000000000000002E-3</v>
      </c>
      <c r="AY888" s="1" t="s">
        <v>511</v>
      </c>
      <c r="AZ888" s="1">
        <f t="shared" ref="AZ888:AZ949" si="422">2/0.02</f>
        <v>100</v>
      </c>
      <c r="BA888" s="1" t="s">
        <v>55</v>
      </c>
      <c r="BB888" s="1">
        <v>5</v>
      </c>
      <c r="BC888" s="1">
        <v>500</v>
      </c>
      <c r="BD888" s="26">
        <f t="shared" ref="BD888:BD949" si="423">BO888</f>
        <v>6.445130730740674</v>
      </c>
      <c r="BE888" s="16">
        <f t="shared" si="416"/>
        <v>805.64134134258427</v>
      </c>
      <c r="BF888" s="16">
        <f t="shared" si="389"/>
        <v>2.9061417438617108</v>
      </c>
      <c r="BG888" s="8">
        <f t="shared" si="397"/>
        <v>0.80923173085365419</v>
      </c>
      <c r="BH888" s="13" t="s">
        <v>782</v>
      </c>
      <c r="BI888" s="8">
        <v>5.0999999999999996</v>
      </c>
      <c r="BJ888" s="13" t="s">
        <v>349</v>
      </c>
      <c r="BK888" s="15">
        <v>1.1000000000000001</v>
      </c>
      <c r="BL888" s="16">
        <f t="shared" ref="BL888:BL949" si="424">BI888</f>
        <v>5.0999999999999996</v>
      </c>
      <c r="BM888" s="18">
        <f>'PFAS Properties'!$U$46</f>
        <v>10.39</v>
      </c>
      <c r="BN888" s="8">
        <f t="shared" ref="BN888:BN949" si="425">(BL888*(BM888^BK888))</f>
        <v>66.964908292395606</v>
      </c>
      <c r="BO888" s="24">
        <f t="shared" ref="BO888:BO949" si="426">BN888/BM888</f>
        <v>6.445130730740674</v>
      </c>
      <c r="BP888" s="11"/>
      <c r="BQ888" s="11"/>
    </row>
    <row r="889" spans="1:69" x14ac:dyDescent="0.3">
      <c r="A889" s="20">
        <v>907</v>
      </c>
      <c r="B889" s="2" t="s">
        <v>189</v>
      </c>
      <c r="C889" s="2">
        <v>2021</v>
      </c>
      <c r="D889" s="2" t="s">
        <v>510</v>
      </c>
      <c r="E889" s="41" t="s">
        <v>804</v>
      </c>
      <c r="F889" s="20" t="s">
        <v>29</v>
      </c>
      <c r="G889" s="2" t="s">
        <v>397</v>
      </c>
      <c r="H889" s="2" t="str">
        <f>'PFAS Properties'!$B$46</f>
        <v>PFOS</v>
      </c>
      <c r="I889" s="2" t="str">
        <f>'PFAS Properties'!$C$46</f>
        <v>PFSA</v>
      </c>
      <c r="J889" s="2" t="str">
        <f>'PFAS Properties'!$D$46</f>
        <v>C8HF17O3S</v>
      </c>
      <c r="K889" s="25">
        <f>'PFAS Properties'!$P$46</f>
        <v>499.93739999999997</v>
      </c>
      <c r="L889" s="2">
        <f>'PFAS Properties'!$X$46</f>
        <v>0.1</v>
      </c>
      <c r="M889" s="2" t="str">
        <f>'PFAS Properties'!$Y$46</f>
        <v>-</v>
      </c>
      <c r="N889" s="33">
        <v>0</v>
      </c>
      <c r="O889" s="33">
        <v>0</v>
      </c>
      <c r="P889" s="33">
        <v>0</v>
      </c>
      <c r="Q889" s="33">
        <f t="shared" si="381"/>
        <v>0.99999955331660739</v>
      </c>
      <c r="R889" s="33">
        <v>0</v>
      </c>
      <c r="S889" s="33">
        <f t="shared" si="382"/>
        <v>4.466833926248193E-7</v>
      </c>
      <c r="T889" s="8">
        <f t="shared" si="413"/>
        <v>1</v>
      </c>
      <c r="U889" s="33">
        <f t="shared" si="384"/>
        <v>0</v>
      </c>
      <c r="V889" s="33">
        <f t="shared" si="385"/>
        <v>-0.99999955331660739</v>
      </c>
      <c r="W889" s="33">
        <f t="shared" si="386"/>
        <v>498.9374004466834</v>
      </c>
      <c r="X889" s="33">
        <v>96485</v>
      </c>
      <c r="Y889" s="16">
        <f t="shared" si="387"/>
        <v>-193.38088669114168</v>
      </c>
      <c r="Z889" s="16">
        <v>8</v>
      </c>
      <c r="AA889" s="16">
        <v>17</v>
      </c>
      <c r="AB889" s="8">
        <f t="shared" si="388"/>
        <v>0.29721362229102166</v>
      </c>
      <c r="AC889" s="16">
        <f t="shared" si="415"/>
        <v>64.60808893273439</v>
      </c>
      <c r="AD889" s="20">
        <f>'PFAS Properties'!$W$46</f>
        <v>8</v>
      </c>
      <c r="AE889" s="8">
        <f>'PFAS Properties'!$S$46</f>
        <v>2.0166155475571776</v>
      </c>
      <c r="AF889" s="15">
        <f>'PFAS Properties'!$V$46</f>
        <v>5</v>
      </c>
      <c r="AG889" s="26">
        <v>6.45</v>
      </c>
      <c r="AH889" s="1" t="s">
        <v>190</v>
      </c>
      <c r="AI889" s="39">
        <f t="shared" si="417"/>
        <v>34.177140000000001</v>
      </c>
      <c r="AJ889" s="1">
        <v>612</v>
      </c>
      <c r="AK889" s="8">
        <f t="shared" si="418"/>
        <v>3.4177140000000001</v>
      </c>
      <c r="AL889" s="39">
        <f t="shared" si="419"/>
        <v>3.34552</v>
      </c>
      <c r="AM889" s="1">
        <v>124</v>
      </c>
      <c r="AN889" s="8">
        <f t="shared" si="420"/>
        <v>0.33455200000000002</v>
      </c>
      <c r="AO889" s="3" t="s">
        <v>93</v>
      </c>
      <c r="AP889" s="3">
        <v>38.700000000000003</v>
      </c>
      <c r="AQ889" s="3" t="s">
        <v>661</v>
      </c>
      <c r="AR889" s="4">
        <v>53</v>
      </c>
      <c r="AS889" s="4">
        <v>16.100000000000001</v>
      </c>
      <c r="AT889" s="4">
        <v>30.9</v>
      </c>
      <c r="AU889" s="3" t="s">
        <v>661</v>
      </c>
      <c r="AV889" s="16">
        <f t="shared" si="414"/>
        <v>100</v>
      </c>
      <c r="AW889" s="7">
        <v>3.3</v>
      </c>
      <c r="AX889" s="13">
        <f t="shared" si="421"/>
        <v>3.3000000000000002E-2</v>
      </c>
      <c r="AY889" s="1" t="s">
        <v>511</v>
      </c>
      <c r="AZ889" s="1">
        <f t="shared" si="422"/>
        <v>100</v>
      </c>
      <c r="BA889" s="1" t="s">
        <v>55</v>
      </c>
      <c r="BB889" s="1">
        <v>5</v>
      </c>
      <c r="BC889" s="1">
        <v>500</v>
      </c>
      <c r="BD889" s="26">
        <f t="shared" si="423"/>
        <v>8.6786688987404048</v>
      </c>
      <c r="BE889" s="16">
        <f t="shared" si="416"/>
        <v>262.98996662849709</v>
      </c>
      <c r="BF889" s="16">
        <f t="shared" si="389"/>
        <v>2.4199391799688521</v>
      </c>
      <c r="BG889" s="8">
        <f t="shared" si="397"/>
        <v>0.93845311984673974</v>
      </c>
      <c r="BH889" s="13" t="s">
        <v>782</v>
      </c>
      <c r="BI889" s="8">
        <v>4.3</v>
      </c>
      <c r="BJ889" s="13" t="s">
        <v>349</v>
      </c>
      <c r="BK889" s="15">
        <v>1.3</v>
      </c>
      <c r="BL889" s="16">
        <f t="shared" si="424"/>
        <v>4.3</v>
      </c>
      <c r="BM889" s="18">
        <f>'PFAS Properties'!$U$46</f>
        <v>10.39</v>
      </c>
      <c r="BN889" s="8">
        <f t="shared" si="425"/>
        <v>90.171369857912808</v>
      </c>
      <c r="BO889" s="24">
        <f t="shared" si="426"/>
        <v>8.6786688987404048</v>
      </c>
      <c r="BP889" s="11"/>
      <c r="BQ889" s="11"/>
    </row>
    <row r="890" spans="1:69" x14ac:dyDescent="0.3">
      <c r="A890" s="20">
        <v>908</v>
      </c>
      <c r="B890" s="2" t="s">
        <v>189</v>
      </c>
      <c r="C890" s="2">
        <v>2021</v>
      </c>
      <c r="D890" s="2" t="s">
        <v>510</v>
      </c>
      <c r="E890" s="41" t="s">
        <v>804</v>
      </c>
      <c r="F890" s="20" t="s">
        <v>29</v>
      </c>
      <c r="G890" s="2" t="s">
        <v>398</v>
      </c>
      <c r="H890" s="2" t="str">
        <f>'PFAS Properties'!$B$46</f>
        <v>PFOS</v>
      </c>
      <c r="I890" s="2" t="str">
        <f>'PFAS Properties'!$C$46</f>
        <v>PFSA</v>
      </c>
      <c r="J890" s="2" t="str">
        <f>'PFAS Properties'!$D$46</f>
        <v>C8HF17O3S</v>
      </c>
      <c r="K890" s="25">
        <f>'PFAS Properties'!$P$46</f>
        <v>499.93739999999997</v>
      </c>
      <c r="L890" s="2">
        <f>'PFAS Properties'!$X$46</f>
        <v>0.1</v>
      </c>
      <c r="M890" s="2" t="str">
        <f>'PFAS Properties'!$Y$46</f>
        <v>-</v>
      </c>
      <c r="N890" s="33">
        <v>0</v>
      </c>
      <c r="O890" s="33">
        <v>0</v>
      </c>
      <c r="P890" s="33">
        <v>0</v>
      </c>
      <c r="Q890" s="33">
        <f t="shared" si="381"/>
        <v>0.99999997048790856</v>
      </c>
      <c r="R890" s="33">
        <v>0</v>
      </c>
      <c r="S890" s="33">
        <f t="shared" si="382"/>
        <v>2.9512091395700212E-8</v>
      </c>
      <c r="T890" s="8">
        <f t="shared" si="413"/>
        <v>1</v>
      </c>
      <c r="U890" s="33">
        <f t="shared" si="384"/>
        <v>0</v>
      </c>
      <c r="V890" s="33">
        <f t="shared" si="385"/>
        <v>-0.99999997048790856</v>
      </c>
      <c r="W890" s="33">
        <f t="shared" si="386"/>
        <v>498.93740002951199</v>
      </c>
      <c r="X890" s="33">
        <v>96485</v>
      </c>
      <c r="Y890" s="16">
        <f t="shared" si="387"/>
        <v>-193.38096752582348</v>
      </c>
      <c r="Z890" s="16">
        <v>8</v>
      </c>
      <c r="AA890" s="16">
        <v>17</v>
      </c>
      <c r="AB890" s="8">
        <f t="shared" si="388"/>
        <v>0.29721362229102166</v>
      </c>
      <c r="AC890" s="16">
        <f t="shared" si="415"/>
        <v>64.60808893273439</v>
      </c>
      <c r="AD890" s="20">
        <f>'PFAS Properties'!$W$46</f>
        <v>8</v>
      </c>
      <c r="AE890" s="8">
        <f>'PFAS Properties'!$S$46</f>
        <v>2.0166155475571776</v>
      </c>
      <c r="AF890" s="15">
        <f>'PFAS Properties'!$V$46</f>
        <v>5</v>
      </c>
      <c r="AG890" s="26">
        <v>7.63</v>
      </c>
      <c r="AH890" s="1" t="s">
        <v>190</v>
      </c>
      <c r="AI890" s="39">
        <f t="shared" si="417"/>
        <v>11.671605</v>
      </c>
      <c r="AJ890" s="1">
        <v>209</v>
      </c>
      <c r="AK890" s="8">
        <f t="shared" si="418"/>
        <v>1.1671605</v>
      </c>
      <c r="AL890" s="39">
        <f t="shared" si="419"/>
        <v>3.4534400000000001</v>
      </c>
      <c r="AM890" s="1">
        <v>128</v>
      </c>
      <c r="AN890" s="8">
        <f t="shared" si="420"/>
        <v>0.34534399999999998</v>
      </c>
      <c r="AO890" s="3" t="s">
        <v>93</v>
      </c>
      <c r="AP890" s="3">
        <v>9.4</v>
      </c>
      <c r="AQ890" s="3" t="s">
        <v>661</v>
      </c>
      <c r="AR890" s="4">
        <v>87.6</v>
      </c>
      <c r="AS890" s="4">
        <v>6.7</v>
      </c>
      <c r="AT890" s="4">
        <v>5.7</v>
      </c>
      <c r="AU890" s="3" t="s">
        <v>661</v>
      </c>
      <c r="AV890" s="16">
        <f t="shared" si="414"/>
        <v>100</v>
      </c>
      <c r="AW890" s="7">
        <v>2.7</v>
      </c>
      <c r="AX890" s="13">
        <f t="shared" si="421"/>
        <v>2.7000000000000003E-2</v>
      </c>
      <c r="AY890" s="1" t="s">
        <v>511</v>
      </c>
      <c r="AZ890" s="1">
        <f t="shared" si="422"/>
        <v>100</v>
      </c>
      <c r="BA890" s="1" t="s">
        <v>55</v>
      </c>
      <c r="BB890" s="1">
        <v>5</v>
      </c>
      <c r="BC890" s="1">
        <v>500</v>
      </c>
      <c r="BD890" s="26">
        <f t="shared" si="423"/>
        <v>10.4</v>
      </c>
      <c r="BE890" s="16">
        <f t="shared" si="416"/>
        <v>385.18518518518516</v>
      </c>
      <c r="BF890" s="16">
        <f t="shared" si="389"/>
        <v>2.5856695751397929</v>
      </c>
      <c r="BG890" s="8">
        <f t="shared" si="397"/>
        <v>1.0170333392987803</v>
      </c>
      <c r="BH890" s="13" t="s">
        <v>782</v>
      </c>
      <c r="BI890" s="8">
        <v>10.4</v>
      </c>
      <c r="BJ890" s="13" t="s">
        <v>349</v>
      </c>
      <c r="BK890" s="15">
        <v>1</v>
      </c>
      <c r="BL890" s="16">
        <f t="shared" si="424"/>
        <v>10.4</v>
      </c>
      <c r="BM890" s="18">
        <f>'PFAS Properties'!$U$46</f>
        <v>10.39</v>
      </c>
      <c r="BN890" s="8">
        <f t="shared" si="425"/>
        <v>108.05600000000001</v>
      </c>
      <c r="BO890" s="24">
        <f t="shared" si="426"/>
        <v>10.4</v>
      </c>
      <c r="BP890" s="11"/>
      <c r="BQ890" s="11"/>
    </row>
    <row r="891" spans="1:69" x14ac:dyDescent="0.3">
      <c r="A891" s="20">
        <v>909</v>
      </c>
      <c r="B891" s="2" t="s">
        <v>189</v>
      </c>
      <c r="C891" s="2">
        <v>2021</v>
      </c>
      <c r="D891" s="2" t="s">
        <v>510</v>
      </c>
      <c r="E891" s="41" t="s">
        <v>804</v>
      </c>
      <c r="F891" s="20" t="s">
        <v>29</v>
      </c>
      <c r="G891" s="2" t="s">
        <v>399</v>
      </c>
      <c r="H891" s="2" t="str">
        <f>'PFAS Properties'!$B$46</f>
        <v>PFOS</v>
      </c>
      <c r="I891" s="2" t="str">
        <f>'PFAS Properties'!$C$46</f>
        <v>PFSA</v>
      </c>
      <c r="J891" s="2" t="str">
        <f>'PFAS Properties'!$D$46</f>
        <v>C8HF17O3S</v>
      </c>
      <c r="K891" s="25">
        <f>'PFAS Properties'!$P$46</f>
        <v>499.93739999999997</v>
      </c>
      <c r="L891" s="2">
        <f>'PFAS Properties'!$X$46</f>
        <v>0.1</v>
      </c>
      <c r="M891" s="2" t="str">
        <f>'PFAS Properties'!$Y$46</f>
        <v>-</v>
      </c>
      <c r="N891" s="33">
        <v>0</v>
      </c>
      <c r="O891" s="33">
        <v>0</v>
      </c>
      <c r="P891" s="33">
        <v>0</v>
      </c>
      <c r="Q891" s="33">
        <f t="shared" si="381"/>
        <v>0.99999770913759534</v>
      </c>
      <c r="R891" s="33">
        <v>0</v>
      </c>
      <c r="S891" s="33">
        <f t="shared" si="382"/>
        <v>2.2908624047051866E-6</v>
      </c>
      <c r="T891" s="8">
        <f t="shared" si="413"/>
        <v>1</v>
      </c>
      <c r="U891" s="33">
        <f t="shared" si="384"/>
        <v>0</v>
      </c>
      <c r="V891" s="33">
        <f t="shared" si="385"/>
        <v>-0.99999770913759534</v>
      </c>
      <c r="W891" s="33">
        <f t="shared" si="386"/>
        <v>498.93740229086239</v>
      </c>
      <c r="X891" s="33">
        <v>96485</v>
      </c>
      <c r="Y891" s="16">
        <f t="shared" si="387"/>
        <v>-193.38052934723416</v>
      </c>
      <c r="Z891" s="16">
        <v>8</v>
      </c>
      <c r="AA891" s="16">
        <v>17</v>
      </c>
      <c r="AB891" s="8">
        <f t="shared" si="388"/>
        <v>0.29721362229102166</v>
      </c>
      <c r="AC891" s="16">
        <f t="shared" si="415"/>
        <v>64.60808893273439</v>
      </c>
      <c r="AD891" s="20">
        <f>'PFAS Properties'!$W$46</f>
        <v>8</v>
      </c>
      <c r="AE891" s="8">
        <f>'PFAS Properties'!$S$46</f>
        <v>2.0166155475571776</v>
      </c>
      <c r="AF891" s="15">
        <f>'PFAS Properties'!$V$46</f>
        <v>5</v>
      </c>
      <c r="AG891" s="26">
        <v>5.74</v>
      </c>
      <c r="AH891" s="1" t="s">
        <v>190</v>
      </c>
      <c r="AI891" s="39">
        <f t="shared" si="417"/>
        <v>109.958805</v>
      </c>
      <c r="AJ891" s="1">
        <v>1969</v>
      </c>
      <c r="AK891" s="8">
        <f t="shared" si="418"/>
        <v>10.9958805</v>
      </c>
      <c r="AL891" s="39">
        <f t="shared" si="419"/>
        <v>19.803319999999999</v>
      </c>
      <c r="AM891" s="1">
        <v>734</v>
      </c>
      <c r="AN891" s="8">
        <f t="shared" si="420"/>
        <v>1.980332</v>
      </c>
      <c r="AO891" s="3" t="s">
        <v>93</v>
      </c>
      <c r="AP891" s="3">
        <v>11.7</v>
      </c>
      <c r="AQ891" s="3" t="s">
        <v>661</v>
      </c>
      <c r="AR891" s="4">
        <v>72.5</v>
      </c>
      <c r="AS891" s="4">
        <v>17.5</v>
      </c>
      <c r="AT891" s="4">
        <v>10</v>
      </c>
      <c r="AU891" s="3" t="s">
        <v>661</v>
      </c>
      <c r="AV891" s="16">
        <f t="shared" si="414"/>
        <v>100</v>
      </c>
      <c r="AW891" s="7">
        <v>5</v>
      </c>
      <c r="AX891" s="13">
        <f t="shared" si="421"/>
        <v>0.05</v>
      </c>
      <c r="AY891" s="1" t="s">
        <v>511</v>
      </c>
      <c r="AZ891" s="1">
        <f t="shared" si="422"/>
        <v>100</v>
      </c>
      <c r="BA891" s="1" t="s">
        <v>55</v>
      </c>
      <c r="BB891" s="1">
        <v>5</v>
      </c>
      <c r="BC891" s="1">
        <v>500</v>
      </c>
      <c r="BD891" s="26">
        <f t="shared" si="423"/>
        <v>30.500000000000004</v>
      </c>
      <c r="BE891" s="16">
        <f t="shared" si="416"/>
        <v>610</v>
      </c>
      <c r="BF891" s="16">
        <f t="shared" si="389"/>
        <v>2.7853298350107671</v>
      </c>
      <c r="BG891" s="8">
        <f t="shared" si="397"/>
        <v>1.4842998393467859</v>
      </c>
      <c r="BH891" s="13" t="s">
        <v>782</v>
      </c>
      <c r="BI891" s="8">
        <v>30.5</v>
      </c>
      <c r="BJ891" s="13" t="s">
        <v>349</v>
      </c>
      <c r="BK891" s="15">
        <v>1</v>
      </c>
      <c r="BL891" s="16">
        <f t="shared" si="424"/>
        <v>30.5</v>
      </c>
      <c r="BM891" s="18">
        <f>'PFAS Properties'!$U$46</f>
        <v>10.39</v>
      </c>
      <c r="BN891" s="8">
        <f t="shared" si="425"/>
        <v>316.89500000000004</v>
      </c>
      <c r="BO891" s="24">
        <f t="shared" si="426"/>
        <v>30.500000000000004</v>
      </c>
      <c r="BP891" s="11"/>
      <c r="BQ891" s="11"/>
    </row>
    <row r="892" spans="1:69" x14ac:dyDescent="0.3">
      <c r="A892" s="20">
        <v>910</v>
      </c>
      <c r="B892" s="2" t="s">
        <v>189</v>
      </c>
      <c r="C892" s="2">
        <v>2021</v>
      </c>
      <c r="D892" s="2" t="s">
        <v>510</v>
      </c>
      <c r="E892" s="41" t="s">
        <v>804</v>
      </c>
      <c r="F892" s="20" t="s">
        <v>29</v>
      </c>
      <c r="G892" s="2" t="s">
        <v>400</v>
      </c>
      <c r="H892" s="2" t="str">
        <f>'PFAS Properties'!$B$46</f>
        <v>PFOS</v>
      </c>
      <c r="I892" s="2" t="str">
        <f>'PFAS Properties'!$C$46</f>
        <v>PFSA</v>
      </c>
      <c r="J892" s="2" t="str">
        <f>'PFAS Properties'!$D$46</f>
        <v>C8HF17O3S</v>
      </c>
      <c r="K892" s="25">
        <f>'PFAS Properties'!$P$46</f>
        <v>499.93739999999997</v>
      </c>
      <c r="L892" s="2">
        <f>'PFAS Properties'!$X$46</f>
        <v>0.1</v>
      </c>
      <c r="M892" s="2" t="str">
        <f>'PFAS Properties'!$Y$46</f>
        <v>-</v>
      </c>
      <c r="N892" s="33">
        <v>0</v>
      </c>
      <c r="O892" s="33">
        <v>0</v>
      </c>
      <c r="P892" s="33">
        <v>0</v>
      </c>
      <c r="Q892" s="33">
        <f t="shared" ref="Q892:Q953" si="427">(10^(AG892-L892))/(1+(10^(AG892-L892)))</f>
        <v>0.99999066754408761</v>
      </c>
      <c r="R892" s="33">
        <v>0</v>
      </c>
      <c r="S892" s="33">
        <f t="shared" ref="S892:S953" si="428">(1/(1+(10^(AG892-L892))))</f>
        <v>9.3324559124237225E-6</v>
      </c>
      <c r="T892" s="8">
        <f t="shared" si="413"/>
        <v>1</v>
      </c>
      <c r="U892" s="33">
        <f t="shared" si="384"/>
        <v>0</v>
      </c>
      <c r="V892" s="33">
        <f t="shared" si="385"/>
        <v>-0.99999066754408761</v>
      </c>
      <c r="W892" s="33">
        <f t="shared" si="386"/>
        <v>498.9374093324559</v>
      </c>
      <c r="X892" s="33">
        <v>96485</v>
      </c>
      <c r="Y892" s="16">
        <f t="shared" si="387"/>
        <v>-193.37916490783965</v>
      </c>
      <c r="Z892" s="16">
        <v>8</v>
      </c>
      <c r="AA892" s="16">
        <v>17</v>
      </c>
      <c r="AB892" s="8">
        <f t="shared" si="388"/>
        <v>0.29721362229102166</v>
      </c>
      <c r="AC892" s="16">
        <f t="shared" si="415"/>
        <v>64.60808893273439</v>
      </c>
      <c r="AD892" s="20">
        <f>'PFAS Properties'!$W$46</f>
        <v>8</v>
      </c>
      <c r="AE892" s="8">
        <f>'PFAS Properties'!$S$46</f>
        <v>2.0166155475571776</v>
      </c>
      <c r="AF892" s="15">
        <f>'PFAS Properties'!$V$46</f>
        <v>5</v>
      </c>
      <c r="AG892" s="26">
        <v>5.13</v>
      </c>
      <c r="AH892" s="1" t="s">
        <v>190</v>
      </c>
      <c r="AI892" s="39">
        <f t="shared" si="417"/>
        <v>57.464504999999996</v>
      </c>
      <c r="AJ892" s="1">
        <v>1029</v>
      </c>
      <c r="AK892" s="8">
        <f t="shared" si="418"/>
        <v>5.7464504999999999</v>
      </c>
      <c r="AL892" s="39">
        <f t="shared" si="419"/>
        <v>12.62664</v>
      </c>
      <c r="AM892" s="1">
        <v>468</v>
      </c>
      <c r="AN892" s="8">
        <f t="shared" si="420"/>
        <v>1.262664</v>
      </c>
      <c r="AO892" s="3" t="s">
        <v>93</v>
      </c>
      <c r="AP892" s="3">
        <v>7.9</v>
      </c>
      <c r="AQ892" s="3" t="s">
        <v>661</v>
      </c>
      <c r="AR892" s="4">
        <v>68.099999999999994</v>
      </c>
      <c r="AS892" s="4">
        <v>21.2</v>
      </c>
      <c r="AT892" s="4">
        <v>10.7</v>
      </c>
      <c r="AU892" s="3" t="s">
        <v>661</v>
      </c>
      <c r="AV892" s="16">
        <f t="shared" si="414"/>
        <v>100</v>
      </c>
      <c r="AW892" s="7">
        <v>5.0999999999999996</v>
      </c>
      <c r="AX892" s="13">
        <f t="shared" si="421"/>
        <v>5.0999999999999997E-2</v>
      </c>
      <c r="AY892" s="1" t="s">
        <v>511</v>
      </c>
      <c r="AZ892" s="1">
        <f t="shared" si="422"/>
        <v>100</v>
      </c>
      <c r="BA892" s="1" t="s">
        <v>55</v>
      </c>
      <c r="BB892" s="1">
        <v>5</v>
      </c>
      <c r="BC892" s="1">
        <v>500</v>
      </c>
      <c r="BD892" s="26">
        <f t="shared" si="423"/>
        <v>13.774887248053599</v>
      </c>
      <c r="BE892" s="16">
        <f t="shared" si="416"/>
        <v>270.09582839320785</v>
      </c>
      <c r="BF892" s="16">
        <f t="shared" si="389"/>
        <v>2.4315178765984053</v>
      </c>
      <c r="BG892" s="8">
        <f t="shared" si="397"/>
        <v>1.1390880526963414</v>
      </c>
      <c r="BH892" s="13" t="s">
        <v>782</v>
      </c>
      <c r="BI892" s="8">
        <v>10.9</v>
      </c>
      <c r="BJ892" s="13" t="s">
        <v>349</v>
      </c>
      <c r="BK892" s="15">
        <v>1.1000000000000001</v>
      </c>
      <c r="BL892" s="16">
        <f t="shared" si="424"/>
        <v>10.9</v>
      </c>
      <c r="BM892" s="18">
        <f>'PFAS Properties'!$U$46</f>
        <v>10.39</v>
      </c>
      <c r="BN892" s="8">
        <f t="shared" si="425"/>
        <v>143.12107850727691</v>
      </c>
      <c r="BO892" s="24">
        <f t="shared" si="426"/>
        <v>13.774887248053599</v>
      </c>
      <c r="BP892" s="11"/>
      <c r="BQ892" s="11"/>
    </row>
    <row r="893" spans="1:69" x14ac:dyDescent="0.3">
      <c r="A893" s="20">
        <v>911</v>
      </c>
      <c r="B893" s="2" t="s">
        <v>189</v>
      </c>
      <c r="C893" s="2">
        <v>2021</v>
      </c>
      <c r="D893" s="2" t="s">
        <v>510</v>
      </c>
      <c r="E893" s="41" t="s">
        <v>804</v>
      </c>
      <c r="F893" s="20" t="s">
        <v>29</v>
      </c>
      <c r="G893" s="2" t="s">
        <v>401</v>
      </c>
      <c r="H893" s="2" t="str">
        <f>'PFAS Properties'!$B$46</f>
        <v>PFOS</v>
      </c>
      <c r="I893" s="2" t="str">
        <f>'PFAS Properties'!$C$46</f>
        <v>PFSA</v>
      </c>
      <c r="J893" s="2" t="str">
        <f>'PFAS Properties'!$D$46</f>
        <v>C8HF17O3S</v>
      </c>
      <c r="K893" s="25">
        <f>'PFAS Properties'!$P$46</f>
        <v>499.93739999999997</v>
      </c>
      <c r="L893" s="2">
        <f>'PFAS Properties'!$X$46</f>
        <v>0.1</v>
      </c>
      <c r="M893" s="2" t="str">
        <f>'PFAS Properties'!$Y$46</f>
        <v>-</v>
      </c>
      <c r="N893" s="33">
        <v>0</v>
      </c>
      <c r="O893" s="33">
        <v>0</v>
      </c>
      <c r="P893" s="33">
        <v>0</v>
      </c>
      <c r="Q893" s="33">
        <f t="shared" si="427"/>
        <v>0.99999601894414336</v>
      </c>
      <c r="R893" s="33">
        <v>0</v>
      </c>
      <c r="S893" s="33">
        <f t="shared" si="428"/>
        <v>3.981055856666137E-6</v>
      </c>
      <c r="T893" s="8">
        <f t="shared" si="413"/>
        <v>1</v>
      </c>
      <c r="U893" s="33">
        <f t="shared" si="384"/>
        <v>0</v>
      </c>
      <c r="V893" s="33">
        <f t="shared" si="385"/>
        <v>-0.99999601894414336</v>
      </c>
      <c r="W893" s="33">
        <f t="shared" si="386"/>
        <v>498.93740398105581</v>
      </c>
      <c r="X893" s="33">
        <v>96485</v>
      </c>
      <c r="Y893" s="16">
        <f t="shared" si="387"/>
        <v>-193.38020184088887</v>
      </c>
      <c r="Z893" s="16">
        <v>8</v>
      </c>
      <c r="AA893" s="16">
        <v>17</v>
      </c>
      <c r="AB893" s="8">
        <f t="shared" si="388"/>
        <v>0.29721362229102166</v>
      </c>
      <c r="AC893" s="16">
        <f t="shared" si="415"/>
        <v>64.60808893273439</v>
      </c>
      <c r="AD893" s="20">
        <f>'PFAS Properties'!$W$46</f>
        <v>8</v>
      </c>
      <c r="AE893" s="8">
        <f>'PFAS Properties'!$S$46</f>
        <v>2.0166155475571776</v>
      </c>
      <c r="AF893" s="15">
        <f>'PFAS Properties'!$V$46</f>
        <v>5</v>
      </c>
      <c r="AG893" s="26">
        <v>5.5</v>
      </c>
      <c r="AH893" s="1" t="s">
        <v>190</v>
      </c>
      <c r="AI893" s="39">
        <f t="shared" si="417"/>
        <v>163.458315</v>
      </c>
      <c r="AJ893" s="1">
        <v>2927</v>
      </c>
      <c r="AK893" s="8">
        <f t="shared" si="418"/>
        <v>16.345831499999999</v>
      </c>
      <c r="AL893" s="39">
        <f t="shared" si="419"/>
        <v>45.596199999999996</v>
      </c>
      <c r="AM893" s="1">
        <v>1690</v>
      </c>
      <c r="AN893" s="8">
        <f t="shared" si="420"/>
        <v>4.5596199999999998</v>
      </c>
      <c r="AO893" s="3" t="s">
        <v>93</v>
      </c>
      <c r="AP893" s="3">
        <v>6.4</v>
      </c>
      <c r="AQ893" s="3" t="s">
        <v>661</v>
      </c>
      <c r="AR893" s="4">
        <v>61.9</v>
      </c>
      <c r="AS893" s="4">
        <v>16.8</v>
      </c>
      <c r="AT893" s="4">
        <v>21.2</v>
      </c>
      <c r="AU893" s="3" t="s">
        <v>661</v>
      </c>
      <c r="AV893" s="16">
        <f t="shared" si="414"/>
        <v>99.9</v>
      </c>
      <c r="AW893" s="7">
        <v>7.5</v>
      </c>
      <c r="AX893" s="13">
        <f t="shared" si="421"/>
        <v>7.4999999999999997E-2</v>
      </c>
      <c r="AY893" s="1" t="s">
        <v>511</v>
      </c>
      <c r="AZ893" s="1">
        <f t="shared" si="422"/>
        <v>100</v>
      </c>
      <c r="BA893" s="1" t="s">
        <v>55</v>
      </c>
      <c r="BB893" s="1">
        <v>5</v>
      </c>
      <c r="BC893" s="1">
        <v>500</v>
      </c>
      <c r="BD893" s="26">
        <f t="shared" si="423"/>
        <v>63.469410623551454</v>
      </c>
      <c r="BE893" s="16">
        <f t="shared" si="416"/>
        <v>846.25880831401946</v>
      </c>
      <c r="BF893" s="16">
        <f t="shared" si="389"/>
        <v>2.9275032020858331</v>
      </c>
      <c r="BG893" s="8">
        <f t="shared" si="397"/>
        <v>1.802564465477533</v>
      </c>
      <c r="BH893" s="13" t="s">
        <v>782</v>
      </c>
      <c r="BI893" s="8">
        <v>128.1</v>
      </c>
      <c r="BJ893" s="13" t="s">
        <v>349</v>
      </c>
      <c r="BK893" s="15">
        <v>0.7</v>
      </c>
      <c r="BL893" s="16">
        <f t="shared" si="424"/>
        <v>128.1</v>
      </c>
      <c r="BM893" s="18">
        <f>'PFAS Properties'!$U$46</f>
        <v>10.39</v>
      </c>
      <c r="BN893" s="8">
        <f t="shared" si="425"/>
        <v>659.44717637869962</v>
      </c>
      <c r="BO893" s="24">
        <f t="shared" si="426"/>
        <v>63.469410623551454</v>
      </c>
      <c r="BP893" s="11"/>
      <c r="BQ893" s="11"/>
    </row>
    <row r="894" spans="1:69" x14ac:dyDescent="0.3">
      <c r="A894" s="20">
        <v>912</v>
      </c>
      <c r="B894" s="2" t="s">
        <v>189</v>
      </c>
      <c r="C894" s="2">
        <v>2021</v>
      </c>
      <c r="D894" s="2" t="s">
        <v>510</v>
      </c>
      <c r="E894" s="41" t="s">
        <v>804</v>
      </c>
      <c r="F894" s="20" t="s">
        <v>29</v>
      </c>
      <c r="G894" s="2" t="s">
        <v>402</v>
      </c>
      <c r="H894" s="2" t="str">
        <f>'PFAS Properties'!$B$46</f>
        <v>PFOS</v>
      </c>
      <c r="I894" s="2" t="str">
        <f>'PFAS Properties'!$C$46</f>
        <v>PFSA</v>
      </c>
      <c r="J894" s="2" t="str">
        <f>'PFAS Properties'!$D$46</f>
        <v>C8HF17O3S</v>
      </c>
      <c r="K894" s="25">
        <f>'PFAS Properties'!$P$46</f>
        <v>499.93739999999997</v>
      </c>
      <c r="L894" s="2">
        <f>'PFAS Properties'!$X$46</f>
        <v>0.1</v>
      </c>
      <c r="M894" s="2" t="str">
        <f>'PFAS Properties'!$Y$46</f>
        <v>-</v>
      </c>
      <c r="N894" s="33">
        <v>0</v>
      </c>
      <c r="O894" s="33">
        <v>0</v>
      </c>
      <c r="P894" s="33">
        <v>0</v>
      </c>
      <c r="Q894" s="33">
        <f t="shared" si="427"/>
        <v>0.99999979582624721</v>
      </c>
      <c r="R894" s="33">
        <v>0</v>
      </c>
      <c r="S894" s="33">
        <f t="shared" si="428"/>
        <v>2.0417375278002273E-7</v>
      </c>
      <c r="T894" s="8">
        <f t="shared" si="413"/>
        <v>1</v>
      </c>
      <c r="U894" s="33">
        <f t="shared" si="384"/>
        <v>0</v>
      </c>
      <c r="V894" s="33">
        <f t="shared" si="385"/>
        <v>-0.99999979582624721</v>
      </c>
      <c r="W894" s="33">
        <f t="shared" si="386"/>
        <v>498.93740020417374</v>
      </c>
      <c r="X894" s="33">
        <v>96485</v>
      </c>
      <c r="Y894" s="16">
        <f t="shared" si="387"/>
        <v>-193.38093368188507</v>
      </c>
      <c r="Z894" s="16">
        <v>8</v>
      </c>
      <c r="AA894" s="16">
        <v>17</v>
      </c>
      <c r="AB894" s="8">
        <f t="shared" si="388"/>
        <v>0.29721362229102166</v>
      </c>
      <c r="AC894" s="16">
        <f t="shared" si="415"/>
        <v>64.60808893273439</v>
      </c>
      <c r="AD894" s="20">
        <f>'PFAS Properties'!$W$46</f>
        <v>8</v>
      </c>
      <c r="AE894" s="8">
        <f>'PFAS Properties'!$S$46</f>
        <v>2.0166155475571776</v>
      </c>
      <c r="AF894" s="15">
        <f>'PFAS Properties'!$V$46</f>
        <v>5</v>
      </c>
      <c r="AG894" s="26">
        <v>6.79</v>
      </c>
      <c r="AH894" s="1" t="s">
        <v>190</v>
      </c>
      <c r="AI894" s="39">
        <f t="shared" si="417"/>
        <v>45.68121</v>
      </c>
      <c r="AJ894" s="1">
        <v>818</v>
      </c>
      <c r="AK894" s="8">
        <f t="shared" si="418"/>
        <v>4.5681209999999997</v>
      </c>
      <c r="AL894" s="39">
        <f t="shared" si="419"/>
        <v>7.9860800000000003</v>
      </c>
      <c r="AM894" s="1">
        <v>296</v>
      </c>
      <c r="AN894" s="8">
        <f t="shared" si="420"/>
        <v>0.79860799999999998</v>
      </c>
      <c r="AO894" s="3" t="s">
        <v>93</v>
      </c>
      <c r="AP894" s="3">
        <v>31.8</v>
      </c>
      <c r="AQ894" s="3" t="s">
        <v>661</v>
      </c>
      <c r="AR894" s="4">
        <v>49.4</v>
      </c>
      <c r="AS894" s="4">
        <v>26.9</v>
      </c>
      <c r="AT894" s="4">
        <v>23.7</v>
      </c>
      <c r="AU894" s="3" t="s">
        <v>661</v>
      </c>
      <c r="AV894" s="16">
        <f t="shared" si="414"/>
        <v>100</v>
      </c>
      <c r="AW894" s="7">
        <v>2.9</v>
      </c>
      <c r="AX894" s="13">
        <f t="shared" si="421"/>
        <v>2.8999999999999998E-2</v>
      </c>
      <c r="AY894" s="1" t="s">
        <v>511</v>
      </c>
      <c r="AZ894" s="1">
        <f t="shared" si="422"/>
        <v>100</v>
      </c>
      <c r="BA894" s="1" t="s">
        <v>55</v>
      </c>
      <c r="BB894" s="1">
        <v>5</v>
      </c>
      <c r="BC894" s="1">
        <v>500</v>
      </c>
      <c r="BD894" s="26">
        <f t="shared" si="423"/>
        <v>16.428764607770347</v>
      </c>
      <c r="BE894" s="16">
        <f t="shared" si="416"/>
        <v>566.5091244058741</v>
      </c>
      <c r="BF894" s="16">
        <f t="shared" si="389"/>
        <v>2.7532069091635987</v>
      </c>
      <c r="BG894" s="8">
        <f t="shared" si="397"/>
        <v>1.2156049070625545</v>
      </c>
      <c r="BH894" s="13" t="s">
        <v>782</v>
      </c>
      <c r="BI894" s="8">
        <v>13</v>
      </c>
      <c r="BJ894" s="13" t="s">
        <v>349</v>
      </c>
      <c r="BK894" s="15">
        <v>1.1000000000000001</v>
      </c>
      <c r="BL894" s="16">
        <f t="shared" si="424"/>
        <v>13</v>
      </c>
      <c r="BM894" s="18">
        <f>'PFAS Properties'!$U$46</f>
        <v>10.39</v>
      </c>
      <c r="BN894" s="8">
        <f t="shared" si="425"/>
        <v>170.6948642747339</v>
      </c>
      <c r="BO894" s="24">
        <f t="shared" si="426"/>
        <v>16.428764607770347</v>
      </c>
      <c r="BP894" s="11"/>
      <c r="BQ894" s="11"/>
    </row>
    <row r="895" spans="1:69" x14ac:dyDescent="0.3">
      <c r="A895" s="20">
        <v>913</v>
      </c>
      <c r="B895" s="2" t="s">
        <v>189</v>
      </c>
      <c r="C895" s="2">
        <v>2021</v>
      </c>
      <c r="D895" s="2" t="s">
        <v>510</v>
      </c>
      <c r="E895" s="41" t="s">
        <v>804</v>
      </c>
      <c r="F895" s="20" t="s">
        <v>29</v>
      </c>
      <c r="G895" s="2" t="s">
        <v>403</v>
      </c>
      <c r="H895" s="2" t="str">
        <f>'PFAS Properties'!$B$46</f>
        <v>PFOS</v>
      </c>
      <c r="I895" s="2" t="str">
        <f>'PFAS Properties'!$C$46</f>
        <v>PFSA</v>
      </c>
      <c r="J895" s="2" t="str">
        <f>'PFAS Properties'!$D$46</f>
        <v>C8HF17O3S</v>
      </c>
      <c r="K895" s="25">
        <f>'PFAS Properties'!$P$46</f>
        <v>499.93739999999997</v>
      </c>
      <c r="L895" s="2">
        <f>'PFAS Properties'!$X$46</f>
        <v>0.1</v>
      </c>
      <c r="M895" s="2" t="str">
        <f>'PFAS Properties'!$Y$46</f>
        <v>-</v>
      </c>
      <c r="N895" s="33">
        <v>0</v>
      </c>
      <c r="O895" s="33">
        <v>0</v>
      </c>
      <c r="P895" s="33">
        <v>0</v>
      </c>
      <c r="Q895" s="33">
        <f t="shared" si="427"/>
        <v>0.99999087997478209</v>
      </c>
      <c r="R895" s="33">
        <v>0</v>
      </c>
      <c r="S895" s="33">
        <f t="shared" si="428"/>
        <v>9.1200252179405431E-6</v>
      </c>
      <c r="T895" s="8">
        <f t="shared" si="413"/>
        <v>1</v>
      </c>
      <c r="U895" s="33">
        <f t="shared" si="384"/>
        <v>0</v>
      </c>
      <c r="V895" s="33">
        <f t="shared" si="385"/>
        <v>-0.99999087997478209</v>
      </c>
      <c r="W895" s="33">
        <f t="shared" si="386"/>
        <v>498.93740912002522</v>
      </c>
      <c r="X895" s="33">
        <v>96485</v>
      </c>
      <c r="Y895" s="16">
        <f t="shared" si="387"/>
        <v>-193.37920607022767</v>
      </c>
      <c r="Z895" s="16">
        <v>8</v>
      </c>
      <c r="AA895" s="16">
        <v>17</v>
      </c>
      <c r="AB895" s="8">
        <f t="shared" si="388"/>
        <v>0.29721362229102166</v>
      </c>
      <c r="AC895" s="16">
        <f t="shared" si="415"/>
        <v>64.60808893273439</v>
      </c>
      <c r="AD895" s="20">
        <f>'PFAS Properties'!$W$46</f>
        <v>8</v>
      </c>
      <c r="AE895" s="8">
        <f>'PFAS Properties'!$S$46</f>
        <v>2.0166155475571776</v>
      </c>
      <c r="AF895" s="15">
        <f>'PFAS Properties'!$V$46</f>
        <v>5</v>
      </c>
      <c r="AG895" s="26">
        <v>5.14</v>
      </c>
      <c r="AH895" s="1" t="s">
        <v>190</v>
      </c>
      <c r="AI895" s="39">
        <f t="shared" si="417"/>
        <v>127.88505000000001</v>
      </c>
      <c r="AJ895" s="1">
        <v>2290</v>
      </c>
      <c r="AK895" s="8">
        <f t="shared" si="418"/>
        <v>12.788505000000001</v>
      </c>
      <c r="AL895" s="39">
        <f t="shared" si="419"/>
        <v>36.423000000000002</v>
      </c>
      <c r="AM895" s="1">
        <v>1350</v>
      </c>
      <c r="AN895" s="8">
        <f t="shared" si="420"/>
        <v>3.6423000000000001</v>
      </c>
      <c r="AO895" s="3" t="s">
        <v>93</v>
      </c>
      <c r="AP895" s="3">
        <v>11.5</v>
      </c>
      <c r="AQ895" s="3" t="s">
        <v>661</v>
      </c>
      <c r="AR895" s="4">
        <v>9.8000000000000007</v>
      </c>
      <c r="AS895" s="4">
        <v>38.5</v>
      </c>
      <c r="AT895" s="4">
        <v>51.7</v>
      </c>
      <c r="AU895" s="3" t="s">
        <v>661</v>
      </c>
      <c r="AV895" s="16">
        <f t="shared" si="414"/>
        <v>100</v>
      </c>
      <c r="AW895" s="7">
        <v>1.9</v>
      </c>
      <c r="AX895" s="13">
        <f t="shared" si="421"/>
        <v>1.9E-2</v>
      </c>
      <c r="AY895" s="1" t="s">
        <v>511</v>
      </c>
      <c r="AZ895" s="1">
        <f t="shared" si="422"/>
        <v>100</v>
      </c>
      <c r="BA895" s="1" t="s">
        <v>55</v>
      </c>
      <c r="BB895" s="1">
        <v>5</v>
      </c>
      <c r="BC895" s="1">
        <v>500</v>
      </c>
      <c r="BD895" s="26">
        <f t="shared" si="423"/>
        <v>15.923264158300489</v>
      </c>
      <c r="BE895" s="16">
        <f t="shared" si="416"/>
        <v>838.06653464739418</v>
      </c>
      <c r="BF895" s="16">
        <f t="shared" si="389"/>
        <v>2.9232784989204519</v>
      </c>
      <c r="BG895" s="8">
        <f t="shared" si="397"/>
        <v>1.2020320998732807</v>
      </c>
      <c r="BH895" s="13" t="s">
        <v>782</v>
      </c>
      <c r="BI895" s="8">
        <v>12.6</v>
      </c>
      <c r="BJ895" s="13" t="s">
        <v>349</v>
      </c>
      <c r="BK895" s="15">
        <v>1.1000000000000001</v>
      </c>
      <c r="BL895" s="16">
        <f t="shared" si="424"/>
        <v>12.6</v>
      </c>
      <c r="BM895" s="18">
        <f>'PFAS Properties'!$U$46</f>
        <v>10.39</v>
      </c>
      <c r="BN895" s="8">
        <f t="shared" si="425"/>
        <v>165.44271460474209</v>
      </c>
      <c r="BO895" s="24">
        <f t="shared" si="426"/>
        <v>15.923264158300489</v>
      </c>
      <c r="BP895" s="11"/>
      <c r="BQ895" s="11"/>
    </row>
    <row r="896" spans="1:69" x14ac:dyDescent="0.3">
      <c r="A896" s="20">
        <v>914</v>
      </c>
      <c r="B896" s="2" t="s">
        <v>189</v>
      </c>
      <c r="C896" s="2">
        <v>2021</v>
      </c>
      <c r="D896" s="2" t="s">
        <v>510</v>
      </c>
      <c r="E896" s="41" t="s">
        <v>804</v>
      </c>
      <c r="F896" s="20" t="s">
        <v>29</v>
      </c>
      <c r="G896" s="2" t="s">
        <v>404</v>
      </c>
      <c r="H896" s="2" t="str">
        <f>'PFAS Properties'!$B$46</f>
        <v>PFOS</v>
      </c>
      <c r="I896" s="2" t="str">
        <f>'PFAS Properties'!$C$46</f>
        <v>PFSA</v>
      </c>
      <c r="J896" s="2" t="str">
        <f>'PFAS Properties'!$D$46</f>
        <v>C8HF17O3S</v>
      </c>
      <c r="K896" s="25">
        <f>'PFAS Properties'!$P$46</f>
        <v>499.93739999999997</v>
      </c>
      <c r="L896" s="2">
        <f>'PFAS Properties'!$X$46</f>
        <v>0.1</v>
      </c>
      <c r="M896" s="2" t="str">
        <f>'PFAS Properties'!$Y$46</f>
        <v>-</v>
      </c>
      <c r="N896" s="33">
        <v>0</v>
      </c>
      <c r="O896" s="33">
        <v>0</v>
      </c>
      <c r="P896" s="33">
        <v>0</v>
      </c>
      <c r="Q896" s="33">
        <f t="shared" si="427"/>
        <v>0.99999999148861973</v>
      </c>
      <c r="R896" s="33">
        <v>0</v>
      </c>
      <c r="S896" s="33">
        <f t="shared" si="428"/>
        <v>8.5113803095801607E-9</v>
      </c>
      <c r="T896" s="8">
        <f t="shared" si="413"/>
        <v>1</v>
      </c>
      <c r="U896" s="33">
        <f t="shared" si="384"/>
        <v>0</v>
      </c>
      <c r="V896" s="33">
        <f t="shared" si="385"/>
        <v>-0.99999999148861973</v>
      </c>
      <c r="W896" s="33">
        <f t="shared" si="386"/>
        <v>498.93740000851142</v>
      </c>
      <c r="X896" s="33">
        <v>96485</v>
      </c>
      <c r="Y896" s="16">
        <f t="shared" si="387"/>
        <v>-193.38097159510099</v>
      </c>
      <c r="Z896" s="16">
        <v>8</v>
      </c>
      <c r="AA896" s="16">
        <v>17</v>
      </c>
      <c r="AB896" s="8">
        <f t="shared" si="388"/>
        <v>0.29721362229102166</v>
      </c>
      <c r="AC896" s="16">
        <f t="shared" si="415"/>
        <v>64.60808893273439</v>
      </c>
      <c r="AD896" s="20">
        <f>'PFAS Properties'!$W$46</f>
        <v>8</v>
      </c>
      <c r="AE896" s="8">
        <f>'PFAS Properties'!$S$46</f>
        <v>2.0166155475571776</v>
      </c>
      <c r="AF896" s="15">
        <f>'PFAS Properties'!$V$46</f>
        <v>5</v>
      </c>
      <c r="AG896" s="26">
        <v>8.17</v>
      </c>
      <c r="AH896" s="1" t="s">
        <v>190</v>
      </c>
      <c r="AI896" s="39">
        <f t="shared" si="417"/>
        <v>10.27548</v>
      </c>
      <c r="AJ896" s="1">
        <v>184</v>
      </c>
      <c r="AK896" s="8">
        <f t="shared" si="418"/>
        <v>1.0275479999999999</v>
      </c>
      <c r="AL896" s="39">
        <f t="shared" si="419"/>
        <v>3.3994800000000001</v>
      </c>
      <c r="AM896" s="1">
        <v>126</v>
      </c>
      <c r="AN896" s="8">
        <f t="shared" si="420"/>
        <v>0.33994800000000003</v>
      </c>
      <c r="AO896" s="3" t="s">
        <v>93</v>
      </c>
      <c r="AP896" s="3">
        <v>8.1999999999999993</v>
      </c>
      <c r="AQ896" s="3" t="s">
        <v>661</v>
      </c>
      <c r="AR896" s="4">
        <v>79.400000000000006</v>
      </c>
      <c r="AS896" s="4">
        <v>11.9</v>
      </c>
      <c r="AT896" s="4">
        <v>8.6999999999999993</v>
      </c>
      <c r="AU896" s="3" t="s">
        <v>661</v>
      </c>
      <c r="AV896" s="16">
        <f t="shared" si="414"/>
        <v>100.00000000000001</v>
      </c>
      <c r="AW896" s="7">
        <v>1.5</v>
      </c>
      <c r="AX896" s="13">
        <f t="shared" si="421"/>
        <v>1.4999999999999999E-2</v>
      </c>
      <c r="AY896" s="1" t="s">
        <v>511</v>
      </c>
      <c r="AZ896" s="1">
        <f t="shared" si="422"/>
        <v>100</v>
      </c>
      <c r="BA896" s="1" t="s">
        <v>55</v>
      </c>
      <c r="BB896" s="1">
        <v>5</v>
      </c>
      <c r="BC896" s="1">
        <v>500</v>
      </c>
      <c r="BD896" s="26">
        <f t="shared" si="423"/>
        <v>20.349804975180433</v>
      </c>
      <c r="BE896" s="16">
        <f t="shared" si="416"/>
        <v>1356.653665012029</v>
      </c>
      <c r="BF896" s="16">
        <f t="shared" si="389"/>
        <v>3.1324689924117579</v>
      </c>
      <c r="BG896" s="8">
        <f t="shared" si="397"/>
        <v>1.3085602514674388</v>
      </c>
      <c r="BH896" s="13" t="s">
        <v>782</v>
      </c>
      <c r="BI896" s="8">
        <v>32.5</v>
      </c>
      <c r="BJ896" s="13" t="s">
        <v>349</v>
      </c>
      <c r="BK896" s="15">
        <v>0.8</v>
      </c>
      <c r="BL896" s="16">
        <f t="shared" si="424"/>
        <v>32.5</v>
      </c>
      <c r="BM896" s="18">
        <f>'PFAS Properties'!$U$46</f>
        <v>10.39</v>
      </c>
      <c r="BN896" s="8">
        <f t="shared" si="425"/>
        <v>211.4344736921247</v>
      </c>
      <c r="BO896" s="24">
        <f t="shared" si="426"/>
        <v>20.349804975180433</v>
      </c>
      <c r="BP896" s="11"/>
      <c r="BQ896" s="11"/>
    </row>
    <row r="897" spans="1:69" x14ac:dyDescent="0.3">
      <c r="A897" s="20">
        <v>915</v>
      </c>
      <c r="B897" s="2" t="s">
        <v>189</v>
      </c>
      <c r="C897" s="2">
        <v>2021</v>
      </c>
      <c r="D897" s="2" t="s">
        <v>510</v>
      </c>
      <c r="E897" s="41" t="s">
        <v>804</v>
      </c>
      <c r="F897" s="20" t="s">
        <v>29</v>
      </c>
      <c r="G897" s="2" t="s">
        <v>405</v>
      </c>
      <c r="H897" s="2" t="str">
        <f>'PFAS Properties'!$B$46</f>
        <v>PFOS</v>
      </c>
      <c r="I897" s="2" t="str">
        <f>'PFAS Properties'!$C$46</f>
        <v>PFSA</v>
      </c>
      <c r="J897" s="2" t="str">
        <f>'PFAS Properties'!$D$46</f>
        <v>C8HF17O3S</v>
      </c>
      <c r="K897" s="25">
        <f>'PFAS Properties'!$P$46</f>
        <v>499.93739999999997</v>
      </c>
      <c r="L897" s="2">
        <f>'PFAS Properties'!$X$46</f>
        <v>0.1</v>
      </c>
      <c r="M897" s="2" t="str">
        <f>'PFAS Properties'!$Y$46</f>
        <v>-</v>
      </c>
      <c r="N897" s="33">
        <v>0</v>
      </c>
      <c r="O897" s="33">
        <v>0</v>
      </c>
      <c r="P897" s="33">
        <v>0</v>
      </c>
      <c r="Q897" s="33">
        <f t="shared" si="427"/>
        <v>0.99999292059227451</v>
      </c>
      <c r="R897" s="33">
        <v>0</v>
      </c>
      <c r="S897" s="33">
        <f t="shared" si="428"/>
        <v>7.0794077254728099E-6</v>
      </c>
      <c r="T897" s="8">
        <f t="shared" si="413"/>
        <v>1</v>
      </c>
      <c r="U897" s="33">
        <f t="shared" si="384"/>
        <v>0</v>
      </c>
      <c r="V897" s="33">
        <f t="shared" si="385"/>
        <v>-0.99999292059227451</v>
      </c>
      <c r="W897" s="33">
        <f t="shared" si="386"/>
        <v>498.93740707940771</v>
      </c>
      <c r="X897" s="33">
        <v>96485</v>
      </c>
      <c r="Y897" s="16">
        <f t="shared" si="387"/>
        <v>-193.3796014777256</v>
      </c>
      <c r="Z897" s="16">
        <v>8</v>
      </c>
      <c r="AA897" s="16">
        <v>17</v>
      </c>
      <c r="AB897" s="8">
        <f t="shared" si="388"/>
        <v>0.29721362229102166</v>
      </c>
      <c r="AC897" s="16">
        <f t="shared" si="415"/>
        <v>64.60808893273439</v>
      </c>
      <c r="AD897" s="20">
        <f>'PFAS Properties'!$W$46</f>
        <v>8</v>
      </c>
      <c r="AE897" s="8">
        <f>'PFAS Properties'!$S$46</f>
        <v>2.0166155475571776</v>
      </c>
      <c r="AF897" s="15">
        <f>'PFAS Properties'!$V$46</f>
        <v>5</v>
      </c>
      <c r="AG897" s="26">
        <v>5.25</v>
      </c>
      <c r="AH897" s="1" t="s">
        <v>190</v>
      </c>
      <c r="AI897" s="39">
        <f t="shared" si="417"/>
        <v>47.747475000000001</v>
      </c>
      <c r="AJ897" s="1">
        <v>855</v>
      </c>
      <c r="AK897" s="8">
        <f t="shared" si="418"/>
        <v>4.7747475000000001</v>
      </c>
      <c r="AL897" s="39">
        <f t="shared" si="419"/>
        <v>3.4264600000000001</v>
      </c>
      <c r="AM897" s="1">
        <v>127</v>
      </c>
      <c r="AN897" s="8">
        <f t="shared" si="420"/>
        <v>0.34264600000000001</v>
      </c>
      <c r="AO897" s="3" t="s">
        <v>93</v>
      </c>
      <c r="AP897" s="3">
        <v>6</v>
      </c>
      <c r="AQ897" s="3" t="s">
        <v>661</v>
      </c>
      <c r="AR897" s="4">
        <v>65</v>
      </c>
      <c r="AS897" s="4">
        <v>18.7</v>
      </c>
      <c r="AT897" s="4">
        <v>16.2</v>
      </c>
      <c r="AU897" s="3" t="s">
        <v>661</v>
      </c>
      <c r="AV897" s="16">
        <f t="shared" si="414"/>
        <v>99.9</v>
      </c>
      <c r="AW897" s="7">
        <v>0.7</v>
      </c>
      <c r="AX897" s="13">
        <f t="shared" si="421"/>
        <v>6.9999999999999993E-3</v>
      </c>
      <c r="AY897" s="1" t="s">
        <v>511</v>
      </c>
      <c r="AZ897" s="1">
        <f t="shared" si="422"/>
        <v>100</v>
      </c>
      <c r="BA897" s="1" t="s">
        <v>55</v>
      </c>
      <c r="BB897" s="1">
        <v>5</v>
      </c>
      <c r="BC897" s="1">
        <v>500</v>
      </c>
      <c r="BD897" s="26">
        <f t="shared" si="423"/>
        <v>16.775454915803529</v>
      </c>
      <c r="BE897" s="16">
        <f t="shared" si="416"/>
        <v>2396.4935594005042</v>
      </c>
      <c r="BF897" s="16">
        <f t="shared" si="389"/>
        <v>3.3795762661587769</v>
      </c>
      <c r="BG897" s="8">
        <f t="shared" si="397"/>
        <v>1.2246743061730336</v>
      </c>
      <c r="BH897" s="13" t="s">
        <v>782</v>
      </c>
      <c r="BI897" s="8">
        <v>21.2</v>
      </c>
      <c r="BJ897" s="13" t="s">
        <v>349</v>
      </c>
      <c r="BK897" s="15">
        <v>0.9</v>
      </c>
      <c r="BL897" s="16">
        <f t="shared" si="424"/>
        <v>21.2</v>
      </c>
      <c r="BM897" s="18">
        <f>'PFAS Properties'!$U$46</f>
        <v>10.39</v>
      </c>
      <c r="BN897" s="8">
        <f t="shared" si="425"/>
        <v>174.29697657519867</v>
      </c>
      <c r="BO897" s="24">
        <f t="shared" si="426"/>
        <v>16.775454915803529</v>
      </c>
      <c r="BP897" s="11"/>
      <c r="BQ897" s="11"/>
    </row>
    <row r="898" spans="1:69" x14ac:dyDescent="0.3">
      <c r="A898" s="20">
        <v>916</v>
      </c>
      <c r="B898" s="2" t="s">
        <v>189</v>
      </c>
      <c r="C898" s="2">
        <v>2021</v>
      </c>
      <c r="D898" s="2" t="s">
        <v>510</v>
      </c>
      <c r="E898" s="41" t="s">
        <v>804</v>
      </c>
      <c r="F898" s="20" t="s">
        <v>29</v>
      </c>
      <c r="G898" s="2" t="s">
        <v>406</v>
      </c>
      <c r="H898" s="2" t="str">
        <f>'PFAS Properties'!$B$46</f>
        <v>PFOS</v>
      </c>
      <c r="I898" s="2" t="str">
        <f>'PFAS Properties'!$C$46</f>
        <v>PFSA</v>
      </c>
      <c r="J898" s="2" t="str">
        <f>'PFAS Properties'!$D$46</f>
        <v>C8HF17O3S</v>
      </c>
      <c r="K898" s="25">
        <f>'PFAS Properties'!$P$46</f>
        <v>499.93739999999997</v>
      </c>
      <c r="L898" s="2">
        <f>'PFAS Properties'!$X$46</f>
        <v>0.1</v>
      </c>
      <c r="M898" s="2" t="str">
        <f>'PFAS Properties'!$Y$46</f>
        <v>-</v>
      </c>
      <c r="N898" s="33">
        <v>0</v>
      </c>
      <c r="O898" s="33">
        <v>0</v>
      </c>
      <c r="P898" s="33">
        <v>0</v>
      </c>
      <c r="Q898" s="33">
        <f t="shared" si="427"/>
        <v>0.99999958313079029</v>
      </c>
      <c r="R898" s="33">
        <v>0</v>
      </c>
      <c r="S898" s="33">
        <f t="shared" si="428"/>
        <v>4.1686920969032374E-7</v>
      </c>
      <c r="T898" s="8">
        <f t="shared" si="413"/>
        <v>1</v>
      </c>
      <c r="U898" s="33">
        <f t="shared" ref="U898:U959" si="429">((1*N898)+(1*O898)+(1*P898))</f>
        <v>0</v>
      </c>
      <c r="V898" s="33">
        <f t="shared" ref="V898:V959" si="430">-((1*O898)+(2*P898)+(1*Q898)+(2*R898))</f>
        <v>-0.99999958313079029</v>
      </c>
      <c r="W898" s="33">
        <f t="shared" ref="W898:W959" si="431">(N898*(K898+1))+(O898*K898)+(P898*(K898-1))+(Q898*(K898-1))+(R898*(K898-2))+(S898*K898)</f>
        <v>498.9374004168692</v>
      </c>
      <c r="X898" s="33">
        <v>96485</v>
      </c>
      <c r="Y898" s="16">
        <f t="shared" ref="Y898:Y959" si="432">((V898+U898)/W898)*X898</f>
        <v>-193.38089246819291</v>
      </c>
      <c r="Z898" s="16">
        <v>8</v>
      </c>
      <c r="AA898" s="16">
        <v>17</v>
      </c>
      <c r="AB898" s="8">
        <f t="shared" ref="AB898:AB959" si="433">(Z898/AA898)*(12/19)</f>
        <v>0.29721362229102166</v>
      </c>
      <c r="AC898" s="16">
        <f t="shared" si="415"/>
        <v>64.60808893273439</v>
      </c>
      <c r="AD898" s="20">
        <f>'PFAS Properties'!$W$46</f>
        <v>8</v>
      </c>
      <c r="AE898" s="8">
        <f>'PFAS Properties'!$S$46</f>
        <v>2.0166155475571776</v>
      </c>
      <c r="AF898" s="15">
        <f>'PFAS Properties'!$V$46</f>
        <v>5</v>
      </c>
      <c r="AG898" s="26">
        <v>6.48</v>
      </c>
      <c r="AH898" s="1" t="s">
        <v>190</v>
      </c>
      <c r="AI898" s="39">
        <f t="shared" si="417"/>
        <v>38.42136</v>
      </c>
      <c r="AJ898" s="1">
        <v>688</v>
      </c>
      <c r="AK898" s="8">
        <f t="shared" si="418"/>
        <v>3.842136</v>
      </c>
      <c r="AL898" s="39">
        <f t="shared" si="419"/>
        <v>18.076599999999999</v>
      </c>
      <c r="AM898" s="1">
        <v>670</v>
      </c>
      <c r="AN898" s="8">
        <f t="shared" si="420"/>
        <v>1.8076599999999998</v>
      </c>
      <c r="AO898" s="3" t="s">
        <v>93</v>
      </c>
      <c r="AP898" s="3">
        <v>24.1</v>
      </c>
      <c r="AQ898" s="3" t="s">
        <v>661</v>
      </c>
      <c r="AR898" s="4">
        <v>61.9</v>
      </c>
      <c r="AS898" s="4">
        <v>21.9</v>
      </c>
      <c r="AT898" s="4">
        <v>16.3</v>
      </c>
      <c r="AU898" s="3" t="s">
        <v>661</v>
      </c>
      <c r="AV898" s="16">
        <f t="shared" si="414"/>
        <v>100.1</v>
      </c>
      <c r="AW898" s="7">
        <v>8.4</v>
      </c>
      <c r="AX898" s="13">
        <f t="shared" si="421"/>
        <v>8.4000000000000005E-2</v>
      </c>
      <c r="AY898" s="1" t="s">
        <v>511</v>
      </c>
      <c r="AZ898" s="1">
        <f t="shared" si="422"/>
        <v>100</v>
      </c>
      <c r="BA898" s="1" t="s">
        <v>55</v>
      </c>
      <c r="BB898" s="1">
        <v>5</v>
      </c>
      <c r="BC898" s="1">
        <v>500</v>
      </c>
      <c r="BD898" s="26">
        <f t="shared" si="423"/>
        <v>63.05308803078983</v>
      </c>
      <c r="BE898" s="16">
        <f t="shared" si="416"/>
        <v>750.63200036654553</v>
      </c>
      <c r="BF898" s="16">
        <f t="shared" ref="BF898:BF959" si="434">LOG(BE898)</f>
        <v>2.8754270749803008</v>
      </c>
      <c r="BG898" s="8">
        <f t="shared" si="397"/>
        <v>1.7997063610421826</v>
      </c>
      <c r="BH898" s="13" t="s">
        <v>782</v>
      </c>
      <c r="BI898" s="8">
        <v>100.7</v>
      </c>
      <c r="BJ898" s="13" t="s">
        <v>349</v>
      </c>
      <c r="BK898" s="15">
        <v>0.8</v>
      </c>
      <c r="BL898" s="16">
        <f t="shared" si="424"/>
        <v>100.7</v>
      </c>
      <c r="BM898" s="18">
        <f>'PFAS Properties'!$U$46</f>
        <v>10.39</v>
      </c>
      <c r="BN898" s="8">
        <f t="shared" si="425"/>
        <v>655.12158463990636</v>
      </c>
      <c r="BO898" s="24">
        <f t="shared" si="426"/>
        <v>63.05308803078983</v>
      </c>
      <c r="BP898" s="11"/>
      <c r="BQ898" s="11"/>
    </row>
    <row r="899" spans="1:69" x14ac:dyDescent="0.3">
      <c r="A899" s="20">
        <v>917</v>
      </c>
      <c r="B899" s="2" t="s">
        <v>189</v>
      </c>
      <c r="C899" s="2">
        <v>2021</v>
      </c>
      <c r="D899" s="2" t="s">
        <v>510</v>
      </c>
      <c r="E899" s="41" t="s">
        <v>804</v>
      </c>
      <c r="F899" s="20" t="s">
        <v>29</v>
      </c>
      <c r="G899" s="2" t="s">
        <v>407</v>
      </c>
      <c r="H899" s="2" t="str">
        <f>'PFAS Properties'!$B$46</f>
        <v>PFOS</v>
      </c>
      <c r="I899" s="2" t="str">
        <f>'PFAS Properties'!$C$46</f>
        <v>PFSA</v>
      </c>
      <c r="J899" s="2" t="str">
        <f>'PFAS Properties'!$D$46</f>
        <v>C8HF17O3S</v>
      </c>
      <c r="K899" s="25">
        <f>'PFAS Properties'!$P$46</f>
        <v>499.93739999999997</v>
      </c>
      <c r="L899" s="2">
        <f>'PFAS Properties'!$X$46</f>
        <v>0.1</v>
      </c>
      <c r="M899" s="2" t="str">
        <f>'PFAS Properties'!$Y$46</f>
        <v>-</v>
      </c>
      <c r="N899" s="33">
        <v>0</v>
      </c>
      <c r="O899" s="33">
        <v>0</v>
      </c>
      <c r="P899" s="33">
        <v>0</v>
      </c>
      <c r="Q899" s="33">
        <f t="shared" si="427"/>
        <v>0.99999998378189925</v>
      </c>
      <c r="R899" s="33">
        <v>0</v>
      </c>
      <c r="S899" s="33">
        <f t="shared" si="428"/>
        <v>1.6218100710562502E-8</v>
      </c>
      <c r="T899" s="8">
        <f t="shared" si="413"/>
        <v>1</v>
      </c>
      <c r="U899" s="33">
        <f t="shared" si="429"/>
        <v>0</v>
      </c>
      <c r="V899" s="33">
        <f t="shared" si="430"/>
        <v>-0.99999998378189925</v>
      </c>
      <c r="W899" s="33">
        <f t="shared" si="431"/>
        <v>498.93740001621808</v>
      </c>
      <c r="X899" s="33">
        <v>96485</v>
      </c>
      <c r="Y899" s="16">
        <f t="shared" si="432"/>
        <v>-193.38097010178086</v>
      </c>
      <c r="Z899" s="16">
        <v>8</v>
      </c>
      <c r="AA899" s="16">
        <v>17</v>
      </c>
      <c r="AB899" s="8">
        <f t="shared" si="433"/>
        <v>0.29721362229102166</v>
      </c>
      <c r="AC899" s="16">
        <f t="shared" si="415"/>
        <v>64.60808893273439</v>
      </c>
      <c r="AD899" s="20">
        <f>'PFAS Properties'!$W$46</f>
        <v>8</v>
      </c>
      <c r="AE899" s="8">
        <f>'PFAS Properties'!$S$46</f>
        <v>2.0166155475571776</v>
      </c>
      <c r="AF899" s="15">
        <f>'PFAS Properties'!$V$46</f>
        <v>5</v>
      </c>
      <c r="AG899" s="26">
        <v>7.89</v>
      </c>
      <c r="AH899" s="1" t="s">
        <v>190</v>
      </c>
      <c r="AI899" s="39">
        <f t="shared" si="417"/>
        <v>7.0364700000000004</v>
      </c>
      <c r="AJ899" s="1">
        <v>126</v>
      </c>
      <c r="AK899" s="8">
        <f t="shared" si="418"/>
        <v>0.70364700000000002</v>
      </c>
      <c r="AL899" s="39">
        <f t="shared" si="419"/>
        <v>4.3707600000000006</v>
      </c>
      <c r="AM899" s="1">
        <v>162</v>
      </c>
      <c r="AN899" s="8">
        <f t="shared" si="420"/>
        <v>0.43707600000000008</v>
      </c>
      <c r="AO899" s="3" t="s">
        <v>93</v>
      </c>
      <c r="AP899" s="3">
        <v>29.1</v>
      </c>
      <c r="AQ899" s="3" t="s">
        <v>661</v>
      </c>
      <c r="AR899" s="4">
        <v>83.8</v>
      </c>
      <c r="AS899" s="4">
        <v>6.3</v>
      </c>
      <c r="AT899" s="4">
        <v>10</v>
      </c>
      <c r="AU899" s="3" t="s">
        <v>661</v>
      </c>
      <c r="AV899" s="16">
        <f t="shared" si="414"/>
        <v>100.1</v>
      </c>
      <c r="AW899" s="7">
        <v>3.9</v>
      </c>
      <c r="AX899" s="13">
        <f t="shared" si="421"/>
        <v>3.9E-2</v>
      </c>
      <c r="AY899" s="1" t="s">
        <v>511</v>
      </c>
      <c r="AZ899" s="1">
        <f t="shared" si="422"/>
        <v>100</v>
      </c>
      <c r="BA899" s="1" t="s">
        <v>55</v>
      </c>
      <c r="BB899" s="1">
        <v>5</v>
      </c>
      <c r="BC899" s="1">
        <v>500</v>
      </c>
      <c r="BD899" s="26">
        <f t="shared" si="423"/>
        <v>52.067213842446805</v>
      </c>
      <c r="BE899" s="16">
        <f t="shared" si="416"/>
        <v>1335.0567651909437</v>
      </c>
      <c r="BF899" s="16">
        <f t="shared" si="434"/>
        <v>3.1254997318317388</v>
      </c>
      <c r="BG899" s="8">
        <f t="shared" si="397"/>
        <v>1.7165643388582379</v>
      </c>
      <c r="BH899" s="13" t="s">
        <v>782</v>
      </c>
      <c r="BI899" s="8">
        <v>65.8</v>
      </c>
      <c r="BJ899" s="13" t="s">
        <v>349</v>
      </c>
      <c r="BK899" s="15">
        <v>0.9</v>
      </c>
      <c r="BL899" s="16">
        <f t="shared" si="424"/>
        <v>65.8</v>
      </c>
      <c r="BM899" s="18">
        <f>'PFAS Properties'!$U$46</f>
        <v>10.39</v>
      </c>
      <c r="BN899" s="8">
        <f t="shared" si="425"/>
        <v>540.97835182302231</v>
      </c>
      <c r="BO899" s="24">
        <f t="shared" si="426"/>
        <v>52.067213842446805</v>
      </c>
      <c r="BP899" s="11"/>
      <c r="BQ899" s="11"/>
    </row>
    <row r="900" spans="1:69" x14ac:dyDescent="0.3">
      <c r="A900" s="20">
        <v>918</v>
      </c>
      <c r="B900" s="2" t="s">
        <v>189</v>
      </c>
      <c r="C900" s="2">
        <v>2021</v>
      </c>
      <c r="D900" s="2" t="s">
        <v>510</v>
      </c>
      <c r="E900" s="41" t="s">
        <v>804</v>
      </c>
      <c r="F900" s="20" t="s">
        <v>29</v>
      </c>
      <c r="G900" s="2" t="s">
        <v>408</v>
      </c>
      <c r="H900" s="2" t="str">
        <f>'PFAS Properties'!$B$46</f>
        <v>PFOS</v>
      </c>
      <c r="I900" s="2" t="str">
        <f>'PFAS Properties'!$C$46</f>
        <v>PFSA</v>
      </c>
      <c r="J900" s="2" t="str">
        <f>'PFAS Properties'!$D$46</f>
        <v>C8HF17O3S</v>
      </c>
      <c r="K900" s="25">
        <f>'PFAS Properties'!$P$46</f>
        <v>499.93739999999997</v>
      </c>
      <c r="L900" s="2">
        <f>'PFAS Properties'!$X$46</f>
        <v>0.1</v>
      </c>
      <c r="M900" s="2" t="str">
        <f>'PFAS Properties'!$Y$46</f>
        <v>-</v>
      </c>
      <c r="N900" s="33">
        <v>0</v>
      </c>
      <c r="O900" s="33">
        <v>0</v>
      </c>
      <c r="P900" s="33">
        <v>0</v>
      </c>
      <c r="Q900" s="33">
        <f t="shared" si="427"/>
        <v>0.99988519781890428</v>
      </c>
      <c r="R900" s="33">
        <v>0</v>
      </c>
      <c r="S900" s="33">
        <f t="shared" si="428"/>
        <v>1.1480218109569003E-4</v>
      </c>
      <c r="T900" s="8">
        <f t="shared" si="413"/>
        <v>1</v>
      </c>
      <c r="U900" s="33">
        <f t="shared" si="429"/>
        <v>0</v>
      </c>
      <c r="V900" s="33">
        <f t="shared" si="430"/>
        <v>-0.99988519781890428</v>
      </c>
      <c r="W900" s="33">
        <f t="shared" si="431"/>
        <v>498.93751480218106</v>
      </c>
      <c r="X900" s="33">
        <v>96485</v>
      </c>
      <c r="Y900" s="16">
        <f t="shared" si="432"/>
        <v>-193.3587281962692</v>
      </c>
      <c r="Z900" s="16">
        <v>8</v>
      </c>
      <c r="AA900" s="16">
        <v>17</v>
      </c>
      <c r="AB900" s="8">
        <f t="shared" si="433"/>
        <v>0.29721362229102166</v>
      </c>
      <c r="AC900" s="16">
        <f t="shared" si="415"/>
        <v>64.60808893273439</v>
      </c>
      <c r="AD900" s="20">
        <f>'PFAS Properties'!$W$46</f>
        <v>8</v>
      </c>
      <c r="AE900" s="8">
        <f>'PFAS Properties'!$S$46</f>
        <v>2.0166155475571776</v>
      </c>
      <c r="AF900" s="15">
        <f>'PFAS Properties'!$V$46</f>
        <v>5</v>
      </c>
      <c r="AG900" s="26">
        <v>4.04</v>
      </c>
      <c r="AH900" s="1" t="s">
        <v>190</v>
      </c>
      <c r="AI900" s="39">
        <f t="shared" si="417"/>
        <v>0.83767499999999995</v>
      </c>
      <c r="AJ900" s="1">
        <v>15</v>
      </c>
      <c r="AK900" s="8">
        <f t="shared" si="418"/>
        <v>8.3767499999999995E-2</v>
      </c>
      <c r="AL900" s="39">
        <f t="shared" si="419"/>
        <v>2.94082</v>
      </c>
      <c r="AM900" s="1">
        <v>109</v>
      </c>
      <c r="AN900" s="8">
        <f t="shared" si="420"/>
        <v>0.29408200000000001</v>
      </c>
      <c r="AO900" s="3" t="s">
        <v>93</v>
      </c>
      <c r="AP900" s="3">
        <v>2.2000000000000002</v>
      </c>
      <c r="AQ900" s="3" t="s">
        <v>661</v>
      </c>
      <c r="AR900" s="4">
        <v>94.1</v>
      </c>
      <c r="AS900" s="4">
        <v>2.9</v>
      </c>
      <c r="AT900" s="4">
        <v>3.1</v>
      </c>
      <c r="AU900" s="3" t="s">
        <v>661</v>
      </c>
      <c r="AV900" s="16">
        <f t="shared" si="414"/>
        <v>100.1</v>
      </c>
      <c r="AW900" s="7">
        <v>3</v>
      </c>
      <c r="AX900" s="13">
        <f t="shared" si="421"/>
        <v>0.03</v>
      </c>
      <c r="AY900" s="1" t="s">
        <v>511</v>
      </c>
      <c r="AZ900" s="1">
        <f t="shared" si="422"/>
        <v>100</v>
      </c>
      <c r="BA900" s="1" t="s">
        <v>55</v>
      </c>
      <c r="BB900" s="1">
        <v>5</v>
      </c>
      <c r="BC900" s="1">
        <v>500</v>
      </c>
      <c r="BD900" s="26">
        <f t="shared" si="423"/>
        <v>7.0770062925779946</v>
      </c>
      <c r="BE900" s="16">
        <f t="shared" si="416"/>
        <v>235.90020975259984</v>
      </c>
      <c r="BF900" s="16">
        <f t="shared" si="434"/>
        <v>2.3727283270422559</v>
      </c>
      <c r="BG900" s="8">
        <f t="shared" si="397"/>
        <v>0.84984958176191816</v>
      </c>
      <c r="BH900" s="13" t="s">
        <v>782</v>
      </c>
      <c r="BI900" s="8">
        <v>5.6</v>
      </c>
      <c r="BJ900" s="13" t="s">
        <v>349</v>
      </c>
      <c r="BK900" s="15">
        <v>1.1000000000000001</v>
      </c>
      <c r="BL900" s="16">
        <f t="shared" si="424"/>
        <v>5.6</v>
      </c>
      <c r="BM900" s="18">
        <f>'PFAS Properties'!$U$46</f>
        <v>10.39</v>
      </c>
      <c r="BN900" s="8">
        <f t="shared" si="425"/>
        <v>73.530095379885367</v>
      </c>
      <c r="BO900" s="24">
        <f t="shared" si="426"/>
        <v>7.0770062925779946</v>
      </c>
      <c r="BP900" s="11"/>
      <c r="BQ900" s="11"/>
    </row>
    <row r="901" spans="1:69" x14ac:dyDescent="0.3">
      <c r="A901" s="20">
        <v>919</v>
      </c>
      <c r="B901" s="2" t="s">
        <v>189</v>
      </c>
      <c r="C901" s="2">
        <v>2021</v>
      </c>
      <c r="D901" s="2" t="s">
        <v>510</v>
      </c>
      <c r="E901" s="41" t="s">
        <v>804</v>
      </c>
      <c r="F901" s="20" t="s">
        <v>29</v>
      </c>
      <c r="G901" s="2" t="s">
        <v>409</v>
      </c>
      <c r="H901" s="2" t="str">
        <f>'PFAS Properties'!$B$46</f>
        <v>PFOS</v>
      </c>
      <c r="I901" s="2" t="str">
        <f>'PFAS Properties'!$C$46</f>
        <v>PFSA</v>
      </c>
      <c r="J901" s="2" t="str">
        <f>'PFAS Properties'!$D$46</f>
        <v>C8HF17O3S</v>
      </c>
      <c r="K901" s="25">
        <f>'PFAS Properties'!$P$46</f>
        <v>499.93739999999997</v>
      </c>
      <c r="L901" s="2">
        <f>'PFAS Properties'!$X$46</f>
        <v>0.1</v>
      </c>
      <c r="M901" s="2" t="str">
        <f>'PFAS Properties'!$Y$46</f>
        <v>-</v>
      </c>
      <c r="N901" s="33">
        <v>0</v>
      </c>
      <c r="O901" s="33">
        <v>0</v>
      </c>
      <c r="P901" s="33">
        <v>0</v>
      </c>
      <c r="Q901" s="33">
        <f t="shared" si="427"/>
        <v>0.99999997048790856</v>
      </c>
      <c r="R901" s="33">
        <v>0</v>
      </c>
      <c r="S901" s="33">
        <f t="shared" si="428"/>
        <v>2.9512091395700212E-8</v>
      </c>
      <c r="T901" s="8">
        <f t="shared" si="413"/>
        <v>1</v>
      </c>
      <c r="U901" s="33">
        <f t="shared" si="429"/>
        <v>0</v>
      </c>
      <c r="V901" s="33">
        <f t="shared" si="430"/>
        <v>-0.99999997048790856</v>
      </c>
      <c r="W901" s="33">
        <f t="shared" si="431"/>
        <v>498.93740002951199</v>
      </c>
      <c r="X901" s="33">
        <v>96485</v>
      </c>
      <c r="Y901" s="16">
        <f t="shared" si="432"/>
        <v>-193.38096752582348</v>
      </c>
      <c r="Z901" s="16">
        <v>8</v>
      </c>
      <c r="AA901" s="16">
        <v>17</v>
      </c>
      <c r="AB901" s="8">
        <f t="shared" si="433"/>
        <v>0.29721362229102166</v>
      </c>
      <c r="AC901" s="16">
        <f t="shared" si="415"/>
        <v>64.60808893273439</v>
      </c>
      <c r="AD901" s="20">
        <f>'PFAS Properties'!$W$46</f>
        <v>8</v>
      </c>
      <c r="AE901" s="8">
        <f>'PFAS Properties'!$S$46</f>
        <v>2.0166155475571776</v>
      </c>
      <c r="AF901" s="15">
        <f>'PFAS Properties'!$V$46</f>
        <v>5</v>
      </c>
      <c r="AG901" s="26">
        <v>7.63</v>
      </c>
      <c r="AH901" s="1" t="s">
        <v>190</v>
      </c>
      <c r="AI901" s="39">
        <f t="shared" si="417"/>
        <v>29.486159999999998</v>
      </c>
      <c r="AJ901" s="1">
        <v>528</v>
      </c>
      <c r="AK901" s="8">
        <f t="shared" si="418"/>
        <v>2.9486159999999999</v>
      </c>
      <c r="AL901" s="39">
        <f t="shared" si="419"/>
        <v>4.8024400000000007</v>
      </c>
      <c r="AM901" s="1">
        <v>178</v>
      </c>
      <c r="AN901" s="8">
        <f t="shared" si="420"/>
        <v>0.48024400000000006</v>
      </c>
      <c r="AO901" s="3" t="s">
        <v>93</v>
      </c>
      <c r="AP901" s="3">
        <v>48.7</v>
      </c>
      <c r="AQ901" s="3" t="s">
        <v>661</v>
      </c>
      <c r="AR901" s="4">
        <v>4.8</v>
      </c>
      <c r="AS901" s="4">
        <v>47.9</v>
      </c>
      <c r="AT901" s="4">
        <v>47.3</v>
      </c>
      <c r="AU901" s="3" t="s">
        <v>661</v>
      </c>
      <c r="AV901" s="16">
        <f t="shared" si="414"/>
        <v>100</v>
      </c>
      <c r="AW901" s="7">
        <v>2.4</v>
      </c>
      <c r="AX901" s="13">
        <f t="shared" si="421"/>
        <v>2.4E-2</v>
      </c>
      <c r="AY901" s="1" t="s">
        <v>511</v>
      </c>
      <c r="AZ901" s="1">
        <f t="shared" si="422"/>
        <v>100</v>
      </c>
      <c r="BA901" s="1" t="s">
        <v>55</v>
      </c>
      <c r="BB901" s="1">
        <v>5</v>
      </c>
      <c r="BC901" s="1">
        <v>500</v>
      </c>
      <c r="BD901" s="26">
        <f t="shared" si="423"/>
        <v>20.019764592916474</v>
      </c>
      <c r="BE901" s="16">
        <f t="shared" si="416"/>
        <v>834.15685803818633</v>
      </c>
      <c r="BF901" s="16">
        <f t="shared" si="434"/>
        <v>2.9212477247084943</v>
      </c>
      <c r="BG901" s="8">
        <f t="shared" si="397"/>
        <v>1.3014589664201002</v>
      </c>
      <c r="BH901" s="13" t="s">
        <v>782</v>
      </c>
      <c r="BI901" s="8">
        <v>25.3</v>
      </c>
      <c r="BJ901" s="13" t="s">
        <v>349</v>
      </c>
      <c r="BK901" s="15">
        <v>0.9</v>
      </c>
      <c r="BL901" s="16">
        <f t="shared" si="424"/>
        <v>25.3</v>
      </c>
      <c r="BM901" s="18">
        <f>'PFAS Properties'!$U$46</f>
        <v>10.39</v>
      </c>
      <c r="BN901" s="8">
        <f t="shared" si="425"/>
        <v>208.00535412040219</v>
      </c>
      <c r="BO901" s="24">
        <f t="shared" si="426"/>
        <v>20.019764592916474</v>
      </c>
      <c r="BP901" s="11"/>
      <c r="BQ901" s="11"/>
    </row>
    <row r="902" spans="1:69" x14ac:dyDescent="0.3">
      <c r="A902" s="20">
        <v>920</v>
      </c>
      <c r="B902" s="2" t="s">
        <v>189</v>
      </c>
      <c r="C902" s="2">
        <v>2021</v>
      </c>
      <c r="D902" s="2" t="s">
        <v>510</v>
      </c>
      <c r="E902" s="41" t="s">
        <v>804</v>
      </c>
      <c r="F902" s="20" t="s">
        <v>29</v>
      </c>
      <c r="G902" s="2" t="s">
        <v>410</v>
      </c>
      <c r="H902" s="2" t="str">
        <f>'PFAS Properties'!$B$46</f>
        <v>PFOS</v>
      </c>
      <c r="I902" s="2" t="str">
        <f>'PFAS Properties'!$C$46</f>
        <v>PFSA</v>
      </c>
      <c r="J902" s="2" t="str">
        <f>'PFAS Properties'!$D$46</f>
        <v>C8HF17O3S</v>
      </c>
      <c r="K902" s="25">
        <f>'PFAS Properties'!$P$46</f>
        <v>499.93739999999997</v>
      </c>
      <c r="L902" s="2">
        <f>'PFAS Properties'!$X$46</f>
        <v>0.1</v>
      </c>
      <c r="M902" s="2" t="str">
        <f>'PFAS Properties'!$Y$46</f>
        <v>-</v>
      </c>
      <c r="N902" s="33">
        <v>0</v>
      </c>
      <c r="O902" s="33">
        <v>0</v>
      </c>
      <c r="P902" s="33">
        <v>0</v>
      </c>
      <c r="Q902" s="33">
        <f t="shared" si="427"/>
        <v>0.99999966886898817</v>
      </c>
      <c r="R902" s="33">
        <v>0</v>
      </c>
      <c r="S902" s="33">
        <f t="shared" si="428"/>
        <v>3.3113101183480713E-7</v>
      </c>
      <c r="T902" s="8">
        <f t="shared" si="413"/>
        <v>1</v>
      </c>
      <c r="U902" s="33">
        <f t="shared" si="429"/>
        <v>0</v>
      </c>
      <c r="V902" s="33">
        <f t="shared" si="430"/>
        <v>-0.99999966886898817</v>
      </c>
      <c r="W902" s="33">
        <f t="shared" si="431"/>
        <v>498.93740033113102</v>
      </c>
      <c r="X902" s="33">
        <v>96485</v>
      </c>
      <c r="Y902" s="16">
        <f t="shared" si="432"/>
        <v>-193.38090908155996</v>
      </c>
      <c r="Z902" s="16">
        <v>8</v>
      </c>
      <c r="AA902" s="16">
        <v>17</v>
      </c>
      <c r="AB902" s="8">
        <f t="shared" si="433"/>
        <v>0.29721362229102166</v>
      </c>
      <c r="AC902" s="16">
        <f t="shared" si="415"/>
        <v>64.60808893273439</v>
      </c>
      <c r="AD902" s="20">
        <f>'PFAS Properties'!$W$46</f>
        <v>8</v>
      </c>
      <c r="AE902" s="8">
        <f>'PFAS Properties'!$S$46</f>
        <v>2.0166155475571776</v>
      </c>
      <c r="AF902" s="15">
        <f>'PFAS Properties'!$V$46</f>
        <v>5</v>
      </c>
      <c r="AG902" s="26">
        <v>6.58</v>
      </c>
      <c r="AH902" s="1" t="s">
        <v>190</v>
      </c>
      <c r="AI902" s="39">
        <f t="shared" si="417"/>
        <v>10.052100000000001</v>
      </c>
      <c r="AJ902" s="1">
        <v>180</v>
      </c>
      <c r="AK902" s="8">
        <f t="shared" si="418"/>
        <v>1.0052100000000002</v>
      </c>
      <c r="AL902" s="39">
        <f t="shared" si="419"/>
        <v>1.42994</v>
      </c>
      <c r="AM902" s="1">
        <v>53</v>
      </c>
      <c r="AN902" s="8">
        <f t="shared" si="420"/>
        <v>0.14299400000000001</v>
      </c>
      <c r="AO902" s="3" t="s">
        <v>93</v>
      </c>
      <c r="AP902" s="3">
        <v>2.2999999999999998</v>
      </c>
      <c r="AQ902" s="3" t="s">
        <v>661</v>
      </c>
      <c r="AR902" s="4">
        <v>95.4</v>
      </c>
      <c r="AS902" s="4">
        <v>1.02</v>
      </c>
      <c r="AT902" s="4">
        <v>4.4000000000000004</v>
      </c>
      <c r="AU902" s="3" t="s">
        <v>661</v>
      </c>
      <c r="AV902" s="16">
        <f t="shared" si="414"/>
        <v>100.82000000000001</v>
      </c>
      <c r="AW902" s="7">
        <v>0.4</v>
      </c>
      <c r="AX902" s="13">
        <f t="shared" si="421"/>
        <v>4.0000000000000001E-3</v>
      </c>
      <c r="AY902" s="1" t="s">
        <v>511</v>
      </c>
      <c r="AZ902" s="1">
        <f t="shared" si="422"/>
        <v>100</v>
      </c>
      <c r="BA902" s="1" t="s">
        <v>55</v>
      </c>
      <c r="BB902" s="1">
        <v>5</v>
      </c>
      <c r="BC902" s="1">
        <v>500</v>
      </c>
      <c r="BD902" s="26">
        <f t="shared" si="423"/>
        <v>4.7</v>
      </c>
      <c r="BE902" s="16">
        <f t="shared" si="416"/>
        <v>1175</v>
      </c>
      <c r="BF902" s="16">
        <f t="shared" si="434"/>
        <v>3.070037866607755</v>
      </c>
      <c r="BG902" s="8">
        <f t="shared" si="397"/>
        <v>0.67209785793571752</v>
      </c>
      <c r="BH902" s="13" t="s">
        <v>782</v>
      </c>
      <c r="BI902" s="8">
        <v>4.7</v>
      </c>
      <c r="BJ902" s="13" t="s">
        <v>349</v>
      </c>
      <c r="BK902" s="15">
        <v>1</v>
      </c>
      <c r="BL902" s="16">
        <f t="shared" si="424"/>
        <v>4.7</v>
      </c>
      <c r="BM902" s="18">
        <f>'PFAS Properties'!$U$46</f>
        <v>10.39</v>
      </c>
      <c r="BN902" s="8">
        <f t="shared" si="425"/>
        <v>48.833000000000006</v>
      </c>
      <c r="BO902" s="24">
        <f t="shared" si="426"/>
        <v>4.7</v>
      </c>
      <c r="BP902" s="11"/>
      <c r="BQ902" s="11"/>
    </row>
    <row r="903" spans="1:69" x14ac:dyDescent="0.3">
      <c r="A903" s="20">
        <v>921</v>
      </c>
      <c r="B903" s="2" t="s">
        <v>189</v>
      </c>
      <c r="C903" s="2">
        <v>2021</v>
      </c>
      <c r="D903" s="2" t="s">
        <v>510</v>
      </c>
      <c r="E903" s="41" t="s">
        <v>804</v>
      </c>
      <c r="F903" s="20" t="s">
        <v>29</v>
      </c>
      <c r="G903" s="2" t="s">
        <v>411</v>
      </c>
      <c r="H903" s="2" t="str">
        <f>'PFAS Properties'!$B$46</f>
        <v>PFOS</v>
      </c>
      <c r="I903" s="2" t="str">
        <f>'PFAS Properties'!$C$46</f>
        <v>PFSA</v>
      </c>
      <c r="J903" s="2" t="str">
        <f>'PFAS Properties'!$D$46</f>
        <v>C8HF17O3S</v>
      </c>
      <c r="K903" s="25">
        <f>'PFAS Properties'!$P$46</f>
        <v>499.93739999999997</v>
      </c>
      <c r="L903" s="2">
        <f>'PFAS Properties'!$X$46</f>
        <v>0.1</v>
      </c>
      <c r="M903" s="2" t="str">
        <f>'PFAS Properties'!$Y$46</f>
        <v>-</v>
      </c>
      <c r="N903" s="33">
        <v>0</v>
      </c>
      <c r="O903" s="33">
        <v>0</v>
      </c>
      <c r="P903" s="33">
        <v>0</v>
      </c>
      <c r="Q903" s="33">
        <f t="shared" si="427"/>
        <v>0.99999786204248142</v>
      </c>
      <c r="R903" s="33">
        <v>0</v>
      </c>
      <c r="S903" s="33">
        <f t="shared" si="428"/>
        <v>2.1379575186301061E-6</v>
      </c>
      <c r="T903" s="8">
        <f t="shared" si="413"/>
        <v>1</v>
      </c>
      <c r="U903" s="33">
        <f t="shared" si="429"/>
        <v>0</v>
      </c>
      <c r="V903" s="33">
        <f t="shared" si="430"/>
        <v>-0.99999786204248142</v>
      </c>
      <c r="W903" s="33">
        <f t="shared" si="431"/>
        <v>498.93740213795752</v>
      </c>
      <c r="X903" s="33">
        <v>96485</v>
      </c>
      <c r="Y903" s="16">
        <f t="shared" si="432"/>
        <v>-193.38055897539331</v>
      </c>
      <c r="Z903" s="16">
        <v>8</v>
      </c>
      <c r="AA903" s="16">
        <v>17</v>
      </c>
      <c r="AB903" s="8">
        <f t="shared" si="433"/>
        <v>0.29721362229102166</v>
      </c>
      <c r="AC903" s="16">
        <f t="shared" si="415"/>
        <v>64.60808893273439</v>
      </c>
      <c r="AD903" s="20">
        <f>'PFAS Properties'!$W$46</f>
        <v>8</v>
      </c>
      <c r="AE903" s="8">
        <f>'PFAS Properties'!$S$46</f>
        <v>2.0166155475571776</v>
      </c>
      <c r="AF903" s="15">
        <f>'PFAS Properties'!$V$46</f>
        <v>5</v>
      </c>
      <c r="AG903" s="26">
        <v>5.77</v>
      </c>
      <c r="AH903" s="1" t="s">
        <v>190</v>
      </c>
      <c r="AI903" s="39">
        <f t="shared" si="417"/>
        <v>2.3454899999999999</v>
      </c>
      <c r="AJ903" s="1">
        <v>42</v>
      </c>
      <c r="AK903" s="8">
        <f t="shared" si="418"/>
        <v>0.23454899999999998</v>
      </c>
      <c r="AL903" s="39">
        <f t="shared" si="419"/>
        <v>1.40296</v>
      </c>
      <c r="AM903" s="1">
        <v>52</v>
      </c>
      <c r="AN903" s="8">
        <f t="shared" si="420"/>
        <v>0.140296</v>
      </c>
      <c r="AO903" s="3" t="s">
        <v>93</v>
      </c>
      <c r="AP903" s="3">
        <v>2.2000000000000002</v>
      </c>
      <c r="AQ903" s="3" t="s">
        <v>661</v>
      </c>
      <c r="AR903" s="4">
        <v>93.1</v>
      </c>
      <c r="AS903" s="4">
        <v>5.6</v>
      </c>
      <c r="AT903" s="4">
        <v>1.2</v>
      </c>
      <c r="AU903" s="3" t="s">
        <v>661</v>
      </c>
      <c r="AV903" s="16">
        <f t="shared" si="414"/>
        <v>99.899999999999991</v>
      </c>
      <c r="AW903" s="7">
        <v>1.4</v>
      </c>
      <c r="AX903" s="13">
        <f t="shared" si="421"/>
        <v>1.3999999999999999E-2</v>
      </c>
      <c r="AY903" s="1" t="s">
        <v>511</v>
      </c>
      <c r="AZ903" s="1">
        <f t="shared" si="422"/>
        <v>100</v>
      </c>
      <c r="BA903" s="1" t="s">
        <v>55</v>
      </c>
      <c r="BB903" s="1">
        <v>5</v>
      </c>
      <c r="BC903" s="1">
        <v>500</v>
      </c>
      <c r="BD903" s="26">
        <f t="shared" si="423"/>
        <v>10.682483083176775</v>
      </c>
      <c r="BE903" s="16">
        <f t="shared" si="416"/>
        <v>763.03450594119829</v>
      </c>
      <c r="BF903" s="16">
        <f t="shared" si="434"/>
        <v>2.8825441780610506</v>
      </c>
      <c r="BG903" s="8">
        <f t="shared" si="397"/>
        <v>1.0286722137392885</v>
      </c>
      <c r="BH903" s="13" t="s">
        <v>782</v>
      </c>
      <c r="BI903" s="8">
        <v>13.5</v>
      </c>
      <c r="BJ903" s="13" t="s">
        <v>349</v>
      </c>
      <c r="BK903" s="15">
        <v>0.9</v>
      </c>
      <c r="BL903" s="16">
        <f t="shared" si="424"/>
        <v>13.5</v>
      </c>
      <c r="BM903" s="18">
        <f>'PFAS Properties'!$U$46</f>
        <v>10.39</v>
      </c>
      <c r="BN903" s="8">
        <f t="shared" si="425"/>
        <v>110.9909992342067</v>
      </c>
      <c r="BO903" s="24">
        <f t="shared" si="426"/>
        <v>10.682483083176775</v>
      </c>
      <c r="BP903" s="11"/>
      <c r="BQ903" s="11"/>
    </row>
    <row r="904" spans="1:69" x14ac:dyDescent="0.3">
      <c r="A904" s="20">
        <v>922</v>
      </c>
      <c r="B904" s="2" t="s">
        <v>189</v>
      </c>
      <c r="C904" s="2">
        <v>2021</v>
      </c>
      <c r="D904" s="2" t="s">
        <v>510</v>
      </c>
      <c r="E904" s="41" t="s">
        <v>804</v>
      </c>
      <c r="F904" s="20" t="s">
        <v>29</v>
      </c>
      <c r="G904" s="2" t="s">
        <v>412</v>
      </c>
      <c r="H904" s="2" t="str">
        <f>'PFAS Properties'!$B$46</f>
        <v>PFOS</v>
      </c>
      <c r="I904" s="2" t="str">
        <f>'PFAS Properties'!$C$46</f>
        <v>PFSA</v>
      </c>
      <c r="J904" s="2" t="str">
        <f>'PFAS Properties'!$D$46</f>
        <v>C8HF17O3S</v>
      </c>
      <c r="K904" s="25">
        <f>'PFAS Properties'!$P$46</f>
        <v>499.93739999999997</v>
      </c>
      <c r="L904" s="2">
        <f>'PFAS Properties'!$X$46</f>
        <v>0.1</v>
      </c>
      <c r="M904" s="2" t="str">
        <f>'PFAS Properties'!$Y$46</f>
        <v>-</v>
      </c>
      <c r="N904" s="33">
        <v>0</v>
      </c>
      <c r="O904" s="33">
        <v>0</v>
      </c>
      <c r="P904" s="33">
        <v>0</v>
      </c>
      <c r="Q904" s="33">
        <f t="shared" si="427"/>
        <v>0.99999979107043058</v>
      </c>
      <c r="R904" s="33">
        <v>0</v>
      </c>
      <c r="S904" s="33">
        <f t="shared" si="428"/>
        <v>2.0892956943382908E-7</v>
      </c>
      <c r="T904" s="8">
        <f t="shared" si="413"/>
        <v>1</v>
      </c>
      <c r="U904" s="33">
        <f t="shared" si="429"/>
        <v>0</v>
      </c>
      <c r="V904" s="33">
        <f t="shared" si="430"/>
        <v>-0.99999979107043058</v>
      </c>
      <c r="W904" s="33">
        <f t="shared" si="431"/>
        <v>498.93740020892955</v>
      </c>
      <c r="X904" s="33">
        <v>96485</v>
      </c>
      <c r="Y904" s="16">
        <f t="shared" si="432"/>
        <v>-193.3809327603573</v>
      </c>
      <c r="Z904" s="16">
        <v>8</v>
      </c>
      <c r="AA904" s="16">
        <v>17</v>
      </c>
      <c r="AB904" s="8">
        <f t="shared" si="433"/>
        <v>0.29721362229102166</v>
      </c>
      <c r="AC904" s="16">
        <f t="shared" si="415"/>
        <v>64.60808893273439</v>
      </c>
      <c r="AD904" s="20">
        <f>'PFAS Properties'!$W$46</f>
        <v>8</v>
      </c>
      <c r="AE904" s="8">
        <f>'PFAS Properties'!$S$46</f>
        <v>2.0166155475571776</v>
      </c>
      <c r="AF904" s="15">
        <f>'PFAS Properties'!$V$46</f>
        <v>5</v>
      </c>
      <c r="AG904" s="26">
        <v>6.78</v>
      </c>
      <c r="AH904" s="1" t="s">
        <v>190</v>
      </c>
      <c r="AI904" s="39">
        <f t="shared" si="417"/>
        <v>2.066265</v>
      </c>
      <c r="AJ904" s="1">
        <v>37</v>
      </c>
      <c r="AK904" s="8">
        <f t="shared" si="418"/>
        <v>0.20662649999999999</v>
      </c>
      <c r="AL904" s="39">
        <f t="shared" si="419"/>
        <v>10.14448</v>
      </c>
      <c r="AM904" s="1">
        <v>376</v>
      </c>
      <c r="AN904" s="8">
        <f t="shared" si="420"/>
        <v>1.014448</v>
      </c>
      <c r="AO904" s="3" t="s">
        <v>93</v>
      </c>
      <c r="AP904" s="3">
        <v>4.7</v>
      </c>
      <c r="AQ904" s="3" t="s">
        <v>661</v>
      </c>
      <c r="AR904" s="4">
        <v>78.099999999999994</v>
      </c>
      <c r="AS904" s="4">
        <v>16.2</v>
      </c>
      <c r="AT904" s="4">
        <v>5.6</v>
      </c>
      <c r="AU904" s="3" t="s">
        <v>661</v>
      </c>
      <c r="AV904" s="16">
        <f t="shared" si="414"/>
        <v>99.899999999999991</v>
      </c>
      <c r="AW904" s="7">
        <v>0.8</v>
      </c>
      <c r="AX904" s="13">
        <f t="shared" si="421"/>
        <v>8.0000000000000002E-3</v>
      </c>
      <c r="AY904" s="1" t="s">
        <v>511</v>
      </c>
      <c r="AZ904" s="1">
        <f t="shared" si="422"/>
        <v>100</v>
      </c>
      <c r="BA904" s="1" t="s">
        <v>55</v>
      </c>
      <c r="BB904" s="1">
        <v>5</v>
      </c>
      <c r="BC904" s="1">
        <v>500</v>
      </c>
      <c r="BD904" s="26">
        <f t="shared" si="423"/>
        <v>20.573671123155268</v>
      </c>
      <c r="BE904" s="16">
        <f t="shared" si="416"/>
        <v>2571.7088903944086</v>
      </c>
      <c r="BF904" s="16">
        <f t="shared" si="434"/>
        <v>3.4102218062231566</v>
      </c>
      <c r="BG904" s="8">
        <f t="shared" si="397"/>
        <v>1.3133117932151002</v>
      </c>
      <c r="BH904" s="13" t="s">
        <v>782</v>
      </c>
      <c r="BI904" s="8">
        <v>26</v>
      </c>
      <c r="BJ904" s="13" t="s">
        <v>349</v>
      </c>
      <c r="BK904" s="15">
        <v>0.9</v>
      </c>
      <c r="BL904" s="16">
        <f t="shared" si="424"/>
        <v>26</v>
      </c>
      <c r="BM904" s="18">
        <f>'PFAS Properties'!$U$46</f>
        <v>10.39</v>
      </c>
      <c r="BN904" s="8">
        <f t="shared" si="425"/>
        <v>213.76044296958327</v>
      </c>
      <c r="BO904" s="24">
        <f t="shared" si="426"/>
        <v>20.573671123155268</v>
      </c>
      <c r="BP904" s="11"/>
      <c r="BQ904" s="11"/>
    </row>
    <row r="905" spans="1:69" x14ac:dyDescent="0.3">
      <c r="A905" s="20">
        <v>923</v>
      </c>
      <c r="B905" s="2" t="s">
        <v>189</v>
      </c>
      <c r="C905" s="2">
        <v>2021</v>
      </c>
      <c r="D905" s="2" t="s">
        <v>510</v>
      </c>
      <c r="E905" s="41" t="s">
        <v>804</v>
      </c>
      <c r="F905" s="20" t="s">
        <v>29</v>
      </c>
      <c r="G905" s="2" t="s">
        <v>413</v>
      </c>
      <c r="H905" s="2" t="str">
        <f>'PFAS Properties'!$B$46</f>
        <v>PFOS</v>
      </c>
      <c r="I905" s="2" t="str">
        <f>'PFAS Properties'!$C$46</f>
        <v>PFSA</v>
      </c>
      <c r="J905" s="2" t="str">
        <f>'PFAS Properties'!$D$46</f>
        <v>C8HF17O3S</v>
      </c>
      <c r="K905" s="25">
        <f>'PFAS Properties'!$P$46</f>
        <v>499.93739999999997</v>
      </c>
      <c r="L905" s="2">
        <f>'PFAS Properties'!$X$46</f>
        <v>0.1</v>
      </c>
      <c r="M905" s="2" t="str">
        <f>'PFAS Properties'!$Y$46</f>
        <v>-</v>
      </c>
      <c r="N905" s="33">
        <v>0</v>
      </c>
      <c r="O905" s="33">
        <v>0</v>
      </c>
      <c r="P905" s="33">
        <v>0</v>
      </c>
      <c r="Q905" s="33">
        <f t="shared" si="427"/>
        <v>0.99999990667457861</v>
      </c>
      <c r="R905" s="33">
        <v>0</v>
      </c>
      <c r="S905" s="33">
        <f t="shared" si="428"/>
        <v>9.3325421370063985E-8</v>
      </c>
      <c r="T905" s="8">
        <f t="shared" si="413"/>
        <v>1</v>
      </c>
      <c r="U905" s="33">
        <f t="shared" si="429"/>
        <v>0</v>
      </c>
      <c r="V905" s="33">
        <f t="shared" si="430"/>
        <v>-0.99999990667457861</v>
      </c>
      <c r="W905" s="33">
        <f t="shared" si="431"/>
        <v>498.93740009332538</v>
      </c>
      <c r="X905" s="33">
        <v>96485</v>
      </c>
      <c r="Y905" s="16">
        <f t="shared" si="432"/>
        <v>-193.38095516080648</v>
      </c>
      <c r="Z905" s="16">
        <v>8</v>
      </c>
      <c r="AA905" s="16">
        <v>17</v>
      </c>
      <c r="AB905" s="8">
        <f t="shared" si="433"/>
        <v>0.29721362229102166</v>
      </c>
      <c r="AC905" s="16">
        <f t="shared" si="415"/>
        <v>64.60808893273439</v>
      </c>
      <c r="AD905" s="20">
        <f>'PFAS Properties'!$W$46</f>
        <v>8</v>
      </c>
      <c r="AE905" s="8">
        <f>'PFAS Properties'!$S$46</f>
        <v>2.0166155475571776</v>
      </c>
      <c r="AF905" s="15">
        <f>'PFAS Properties'!$V$46</f>
        <v>5</v>
      </c>
      <c r="AG905" s="26">
        <v>7.13</v>
      </c>
      <c r="AH905" s="1" t="s">
        <v>190</v>
      </c>
      <c r="AI905" s="39">
        <f t="shared" si="417"/>
        <v>14.63139</v>
      </c>
      <c r="AJ905" s="1">
        <v>262</v>
      </c>
      <c r="AK905" s="8">
        <f t="shared" si="418"/>
        <v>1.463139</v>
      </c>
      <c r="AL905" s="39">
        <f t="shared" si="419"/>
        <v>6.9608400000000001</v>
      </c>
      <c r="AM905" s="1">
        <v>258</v>
      </c>
      <c r="AN905" s="8">
        <f t="shared" si="420"/>
        <v>0.69608400000000004</v>
      </c>
      <c r="AO905" s="3" t="s">
        <v>93</v>
      </c>
      <c r="AP905" s="3">
        <v>7.3</v>
      </c>
      <c r="AQ905" s="3" t="s">
        <v>661</v>
      </c>
      <c r="AR905" s="4">
        <v>76.900000000000006</v>
      </c>
      <c r="AS905" s="4">
        <v>12.5</v>
      </c>
      <c r="AT905" s="4">
        <v>10.6</v>
      </c>
      <c r="AU905" s="3" t="s">
        <v>661</v>
      </c>
      <c r="AV905" s="16">
        <f t="shared" si="414"/>
        <v>100</v>
      </c>
      <c r="AW905" s="7">
        <v>1</v>
      </c>
      <c r="AX905" s="13">
        <f t="shared" si="421"/>
        <v>0.01</v>
      </c>
      <c r="AY905" s="1" t="s">
        <v>511</v>
      </c>
      <c r="AZ905" s="1">
        <f t="shared" si="422"/>
        <v>100</v>
      </c>
      <c r="BA905" s="1" t="s">
        <v>55</v>
      </c>
      <c r="BB905" s="1">
        <v>5</v>
      </c>
      <c r="BC905" s="1">
        <v>500</v>
      </c>
      <c r="BD905" s="26">
        <f t="shared" si="423"/>
        <v>24.371887330507015</v>
      </c>
      <c r="BE905" s="16">
        <f t="shared" si="416"/>
        <v>2437.1887330507016</v>
      </c>
      <c r="BF905" s="16">
        <f t="shared" si="434"/>
        <v>3.3868891617447265</v>
      </c>
      <c r="BG905" s="8">
        <f t="shared" si="397"/>
        <v>1.3868891617447265</v>
      </c>
      <c r="BH905" s="13" t="s">
        <v>782</v>
      </c>
      <c r="BI905" s="8">
        <v>30.8</v>
      </c>
      <c r="BJ905" s="13" t="s">
        <v>349</v>
      </c>
      <c r="BK905" s="15">
        <v>0.9</v>
      </c>
      <c r="BL905" s="16">
        <f t="shared" si="424"/>
        <v>30.8</v>
      </c>
      <c r="BM905" s="18">
        <f>'PFAS Properties'!$U$46</f>
        <v>10.39</v>
      </c>
      <c r="BN905" s="8">
        <f t="shared" si="425"/>
        <v>253.22390936396789</v>
      </c>
      <c r="BO905" s="24">
        <f t="shared" si="426"/>
        <v>24.371887330507015</v>
      </c>
      <c r="BP905" s="11"/>
      <c r="BQ905" s="11"/>
    </row>
    <row r="906" spans="1:69" x14ac:dyDescent="0.3">
      <c r="A906" s="20">
        <v>924</v>
      </c>
      <c r="B906" s="2" t="s">
        <v>189</v>
      </c>
      <c r="C906" s="2">
        <v>2021</v>
      </c>
      <c r="D906" s="2" t="s">
        <v>510</v>
      </c>
      <c r="E906" s="41" t="s">
        <v>804</v>
      </c>
      <c r="F906" s="20" t="s">
        <v>29</v>
      </c>
      <c r="G906" s="2" t="s">
        <v>414</v>
      </c>
      <c r="H906" s="2" t="str">
        <f>'PFAS Properties'!$B$46</f>
        <v>PFOS</v>
      </c>
      <c r="I906" s="2" t="str">
        <f>'PFAS Properties'!$C$46</f>
        <v>PFSA</v>
      </c>
      <c r="J906" s="2" t="str">
        <f>'PFAS Properties'!$D$46</f>
        <v>C8HF17O3S</v>
      </c>
      <c r="K906" s="25">
        <f>'PFAS Properties'!$P$46</f>
        <v>499.93739999999997</v>
      </c>
      <c r="L906" s="2">
        <f>'PFAS Properties'!$X$46</f>
        <v>0.1</v>
      </c>
      <c r="M906" s="2" t="str">
        <f>'PFAS Properties'!$Y$46</f>
        <v>-</v>
      </c>
      <c r="N906" s="33">
        <v>0</v>
      </c>
      <c r="O906" s="33">
        <v>0</v>
      </c>
      <c r="P906" s="33">
        <v>0</v>
      </c>
      <c r="Q906" s="33">
        <f t="shared" si="427"/>
        <v>0.9999992056723962</v>
      </c>
      <c r="R906" s="33">
        <v>0</v>
      </c>
      <c r="S906" s="33">
        <f t="shared" si="428"/>
        <v>7.9432760376743655E-7</v>
      </c>
      <c r="T906" s="8">
        <f t="shared" si="413"/>
        <v>1</v>
      </c>
      <c r="U906" s="33">
        <f t="shared" si="429"/>
        <v>0</v>
      </c>
      <c r="V906" s="33">
        <f t="shared" si="430"/>
        <v>-0.9999992056723962</v>
      </c>
      <c r="W906" s="33">
        <f t="shared" si="431"/>
        <v>498.93740079432757</v>
      </c>
      <c r="X906" s="33">
        <v>96485</v>
      </c>
      <c r="Y906" s="16">
        <f t="shared" si="432"/>
        <v>-193.38081932862406</v>
      </c>
      <c r="Z906" s="16">
        <v>8</v>
      </c>
      <c r="AA906" s="16">
        <v>17</v>
      </c>
      <c r="AB906" s="8">
        <f t="shared" si="433"/>
        <v>0.29721362229102166</v>
      </c>
      <c r="AC906" s="16">
        <f t="shared" si="415"/>
        <v>64.60808893273439</v>
      </c>
      <c r="AD906" s="20">
        <f>'PFAS Properties'!$W$46</f>
        <v>8</v>
      </c>
      <c r="AE906" s="8">
        <f>'PFAS Properties'!$S$46</f>
        <v>2.0166155475571776</v>
      </c>
      <c r="AF906" s="15">
        <f>'PFAS Properties'!$V$46</f>
        <v>5</v>
      </c>
      <c r="AG906" s="26">
        <v>6.2</v>
      </c>
      <c r="AH906" s="1" t="s">
        <v>190</v>
      </c>
      <c r="AI906" s="39">
        <f t="shared" si="417"/>
        <v>14.798924999999999</v>
      </c>
      <c r="AJ906" s="1">
        <v>265</v>
      </c>
      <c r="AK906" s="8">
        <f t="shared" si="418"/>
        <v>1.4798924999999998</v>
      </c>
      <c r="AL906" s="39">
        <f t="shared" si="419"/>
        <v>6.9608400000000001</v>
      </c>
      <c r="AM906" s="1">
        <v>258</v>
      </c>
      <c r="AN906" s="8">
        <f t="shared" si="420"/>
        <v>0.69608400000000004</v>
      </c>
      <c r="AO906" s="3" t="s">
        <v>93</v>
      </c>
      <c r="AP906" s="3">
        <v>6.4</v>
      </c>
      <c r="AQ906" s="3" t="s">
        <v>661</v>
      </c>
      <c r="AR906" s="4">
        <v>80.599999999999994</v>
      </c>
      <c r="AS906" s="4">
        <v>11.2</v>
      </c>
      <c r="AT906" s="4">
        <v>8.1</v>
      </c>
      <c r="AU906" s="3" t="s">
        <v>661</v>
      </c>
      <c r="AV906" s="16">
        <f t="shared" si="414"/>
        <v>99.899999999999991</v>
      </c>
      <c r="AW906" s="7">
        <v>1</v>
      </c>
      <c r="AX906" s="13">
        <f t="shared" si="421"/>
        <v>0.01</v>
      </c>
      <c r="AY906" s="1" t="s">
        <v>511</v>
      </c>
      <c r="AZ906" s="1">
        <f t="shared" si="422"/>
        <v>100</v>
      </c>
      <c r="BA906" s="1" t="s">
        <v>55</v>
      </c>
      <c r="BB906" s="1">
        <v>5</v>
      </c>
      <c r="BC906" s="1">
        <v>500</v>
      </c>
      <c r="BD906" s="26">
        <f t="shared" si="423"/>
        <v>9.2253832028248866</v>
      </c>
      <c r="BE906" s="16">
        <f t="shared" si="416"/>
        <v>922.5383202824886</v>
      </c>
      <c r="BF906" s="16">
        <f t="shared" si="434"/>
        <v>2.9649844148761737</v>
      </c>
      <c r="BG906" s="8">
        <f t="shared" si="397"/>
        <v>0.9649844148761737</v>
      </c>
      <c r="BH906" s="13" t="s">
        <v>782</v>
      </c>
      <c r="BI906" s="8">
        <v>7.3</v>
      </c>
      <c r="BJ906" s="13" t="s">
        <v>349</v>
      </c>
      <c r="BK906" s="15">
        <v>1.1000000000000001</v>
      </c>
      <c r="BL906" s="16">
        <f t="shared" si="424"/>
        <v>7.3</v>
      </c>
      <c r="BM906" s="18">
        <f>'PFAS Properties'!$U$46</f>
        <v>10.39</v>
      </c>
      <c r="BN906" s="8">
        <f t="shared" si="425"/>
        <v>95.851731477350569</v>
      </c>
      <c r="BO906" s="24">
        <f t="shared" si="426"/>
        <v>9.2253832028248866</v>
      </c>
      <c r="BP906" s="11"/>
      <c r="BQ906" s="11"/>
    </row>
    <row r="907" spans="1:69" x14ac:dyDescent="0.3">
      <c r="A907" s="20">
        <v>925</v>
      </c>
      <c r="B907" s="2" t="s">
        <v>189</v>
      </c>
      <c r="C907" s="2">
        <v>2021</v>
      </c>
      <c r="D907" s="2" t="s">
        <v>510</v>
      </c>
      <c r="E907" s="41" t="s">
        <v>804</v>
      </c>
      <c r="F907" s="20" t="s">
        <v>29</v>
      </c>
      <c r="G907" s="2" t="s">
        <v>415</v>
      </c>
      <c r="H907" s="2" t="str">
        <f>'PFAS Properties'!$B$46</f>
        <v>PFOS</v>
      </c>
      <c r="I907" s="2" t="str">
        <f>'PFAS Properties'!$C$46</f>
        <v>PFSA</v>
      </c>
      <c r="J907" s="2" t="str">
        <f>'PFAS Properties'!$D$46</f>
        <v>C8HF17O3S</v>
      </c>
      <c r="K907" s="25">
        <f>'PFAS Properties'!$P$46</f>
        <v>499.93739999999997</v>
      </c>
      <c r="L907" s="2">
        <f>'PFAS Properties'!$X$46</f>
        <v>0.1</v>
      </c>
      <c r="M907" s="2" t="str">
        <f>'PFAS Properties'!$Y$46</f>
        <v>-</v>
      </c>
      <c r="N907" s="33">
        <v>0</v>
      </c>
      <c r="O907" s="33">
        <v>0</v>
      </c>
      <c r="P907" s="33">
        <v>0</v>
      </c>
      <c r="Q907" s="33">
        <f t="shared" si="427"/>
        <v>0.99999978620383678</v>
      </c>
      <c r="R907" s="33">
        <v>0</v>
      </c>
      <c r="S907" s="33">
        <f t="shared" si="428"/>
        <v>2.137961632414136E-7</v>
      </c>
      <c r="T907" s="8">
        <f t="shared" si="413"/>
        <v>1</v>
      </c>
      <c r="U907" s="33">
        <f t="shared" si="429"/>
        <v>0</v>
      </c>
      <c r="V907" s="33">
        <f t="shared" si="430"/>
        <v>-0.99999978620383678</v>
      </c>
      <c r="W907" s="33">
        <f t="shared" si="431"/>
        <v>498.93740021379614</v>
      </c>
      <c r="X907" s="33">
        <v>96485</v>
      </c>
      <c r="Y907" s="16">
        <f t="shared" si="432"/>
        <v>-193.38093181736446</v>
      </c>
      <c r="Z907" s="16">
        <v>8</v>
      </c>
      <c r="AA907" s="16">
        <v>17</v>
      </c>
      <c r="AB907" s="8">
        <f t="shared" si="433"/>
        <v>0.29721362229102166</v>
      </c>
      <c r="AC907" s="16">
        <f t="shared" si="415"/>
        <v>64.60808893273439</v>
      </c>
      <c r="AD907" s="20">
        <f>'PFAS Properties'!$W$46</f>
        <v>8</v>
      </c>
      <c r="AE907" s="8">
        <f>'PFAS Properties'!$S$46</f>
        <v>2.0166155475571776</v>
      </c>
      <c r="AF907" s="15">
        <f>'PFAS Properties'!$V$46</f>
        <v>5</v>
      </c>
      <c r="AG907" s="26">
        <v>6.77</v>
      </c>
      <c r="AH907" s="1" t="s">
        <v>190</v>
      </c>
      <c r="AI907" s="39">
        <f t="shared" si="417"/>
        <v>44.564309999999999</v>
      </c>
      <c r="AJ907" s="1">
        <v>798</v>
      </c>
      <c r="AK907" s="8">
        <f t="shared" si="418"/>
        <v>4.4564310000000003</v>
      </c>
      <c r="AL907" s="39">
        <f t="shared" si="419"/>
        <v>25.68496</v>
      </c>
      <c r="AM907" s="1">
        <v>952</v>
      </c>
      <c r="AN907" s="8">
        <f t="shared" si="420"/>
        <v>2.5684960000000001</v>
      </c>
      <c r="AO907" s="3" t="s">
        <v>93</v>
      </c>
      <c r="AP907" s="3">
        <v>20.9</v>
      </c>
      <c r="AQ907" s="3" t="s">
        <v>661</v>
      </c>
      <c r="AR907" s="4">
        <v>60.6</v>
      </c>
      <c r="AS907" s="4">
        <v>23.1</v>
      </c>
      <c r="AT907" s="4">
        <v>20</v>
      </c>
      <c r="AU907" s="3" t="s">
        <v>661</v>
      </c>
      <c r="AV907" s="16">
        <f t="shared" si="414"/>
        <v>103.7</v>
      </c>
      <c r="AW907" s="7">
        <v>3</v>
      </c>
      <c r="AX907" s="13">
        <f t="shared" si="421"/>
        <v>0.03</v>
      </c>
      <c r="AY907" s="1" t="s">
        <v>511</v>
      </c>
      <c r="AZ907" s="1">
        <f t="shared" si="422"/>
        <v>100</v>
      </c>
      <c r="BA907" s="1" t="s">
        <v>55</v>
      </c>
      <c r="BB907" s="1">
        <v>5</v>
      </c>
      <c r="BC907" s="1">
        <v>500</v>
      </c>
      <c r="BD907" s="26">
        <f t="shared" si="423"/>
        <v>44.938919153443535</v>
      </c>
      <c r="BE907" s="16">
        <f t="shared" si="416"/>
        <v>1497.9639717814512</v>
      </c>
      <c r="BF907" s="16">
        <f t="shared" si="434"/>
        <v>3.1755013680732795</v>
      </c>
      <c r="BG907" s="8">
        <f t="shared" si="397"/>
        <v>1.6526226227929419</v>
      </c>
      <c r="BH907" s="13" t="s">
        <v>782</v>
      </c>
      <c r="BI907" s="8">
        <v>90.7</v>
      </c>
      <c r="BJ907" s="13" t="s">
        <v>349</v>
      </c>
      <c r="BK907" s="15">
        <v>0.7</v>
      </c>
      <c r="BL907" s="16">
        <f t="shared" si="424"/>
        <v>90.7</v>
      </c>
      <c r="BM907" s="18">
        <f>'PFAS Properties'!$U$46</f>
        <v>10.39</v>
      </c>
      <c r="BN907" s="8">
        <f t="shared" si="425"/>
        <v>466.91537000427837</v>
      </c>
      <c r="BO907" s="24">
        <f t="shared" si="426"/>
        <v>44.938919153443535</v>
      </c>
      <c r="BP907" s="11"/>
      <c r="BQ907" s="11"/>
    </row>
    <row r="908" spans="1:69" x14ac:dyDescent="0.3">
      <c r="A908" s="20">
        <v>926</v>
      </c>
      <c r="B908" s="2" t="s">
        <v>189</v>
      </c>
      <c r="C908" s="2">
        <v>2021</v>
      </c>
      <c r="D908" s="2" t="s">
        <v>510</v>
      </c>
      <c r="E908" s="41" t="s">
        <v>804</v>
      </c>
      <c r="F908" s="20" t="s">
        <v>29</v>
      </c>
      <c r="G908" s="2" t="s">
        <v>416</v>
      </c>
      <c r="H908" s="2" t="str">
        <f>'PFAS Properties'!$B$46</f>
        <v>PFOS</v>
      </c>
      <c r="I908" s="2" t="str">
        <f>'PFAS Properties'!$C$46</f>
        <v>PFSA</v>
      </c>
      <c r="J908" s="2" t="str">
        <f>'PFAS Properties'!$D$46</f>
        <v>C8HF17O3S</v>
      </c>
      <c r="K908" s="25">
        <f>'PFAS Properties'!$P$46</f>
        <v>499.93739999999997</v>
      </c>
      <c r="L908" s="2">
        <f>'PFAS Properties'!$X$46</f>
        <v>0.1</v>
      </c>
      <c r="M908" s="2" t="str">
        <f>'PFAS Properties'!$Y$46</f>
        <v>-</v>
      </c>
      <c r="N908" s="33">
        <v>0</v>
      </c>
      <c r="O908" s="33">
        <v>0</v>
      </c>
      <c r="P908" s="33">
        <v>0</v>
      </c>
      <c r="Q908" s="33">
        <f t="shared" si="427"/>
        <v>0.99999999861961575</v>
      </c>
      <c r="R908" s="33">
        <v>0</v>
      </c>
      <c r="S908" s="33">
        <f t="shared" si="428"/>
        <v>1.3803842626974183E-9</v>
      </c>
      <c r="T908" s="8">
        <f t="shared" si="413"/>
        <v>1</v>
      </c>
      <c r="U908" s="33">
        <f t="shared" si="429"/>
        <v>0</v>
      </c>
      <c r="V908" s="33">
        <f t="shared" si="430"/>
        <v>-0.99999999861961575</v>
      </c>
      <c r="W908" s="33">
        <f t="shared" si="431"/>
        <v>498.93740000138035</v>
      </c>
      <c r="X908" s="33">
        <v>96485</v>
      </c>
      <c r="Y908" s="16">
        <f t="shared" si="432"/>
        <v>-193.3809729768638</v>
      </c>
      <c r="Z908" s="16">
        <v>8</v>
      </c>
      <c r="AA908" s="16">
        <v>17</v>
      </c>
      <c r="AB908" s="8">
        <f t="shared" si="433"/>
        <v>0.29721362229102166</v>
      </c>
      <c r="AC908" s="16">
        <f t="shared" si="415"/>
        <v>64.60808893273439</v>
      </c>
      <c r="AD908" s="20">
        <f>'PFAS Properties'!$W$46</f>
        <v>8</v>
      </c>
      <c r="AE908" s="8">
        <f>'PFAS Properties'!$S$46</f>
        <v>2.0166155475571776</v>
      </c>
      <c r="AF908" s="15">
        <f>'PFAS Properties'!$V$46</f>
        <v>5</v>
      </c>
      <c r="AG908" s="26">
        <v>8.9600000000000009</v>
      </c>
      <c r="AH908" s="1" t="s">
        <v>190</v>
      </c>
      <c r="AI908" s="39">
        <f t="shared" si="417"/>
        <v>15.52491</v>
      </c>
      <c r="AJ908" s="1">
        <v>278</v>
      </c>
      <c r="AK908" s="8">
        <f t="shared" si="418"/>
        <v>1.5524910000000001</v>
      </c>
      <c r="AL908" s="39">
        <f t="shared" si="419"/>
        <v>22.258500000000002</v>
      </c>
      <c r="AM908" s="1">
        <v>825</v>
      </c>
      <c r="AN908" s="8">
        <f t="shared" si="420"/>
        <v>2.2258500000000003</v>
      </c>
      <c r="AO908" s="3" t="s">
        <v>93</v>
      </c>
      <c r="AP908" s="3">
        <v>16.7</v>
      </c>
      <c r="AQ908" s="3" t="s">
        <v>661</v>
      </c>
      <c r="AR908" s="4">
        <v>34.5</v>
      </c>
      <c r="AS908" s="4">
        <v>20.100000000000001</v>
      </c>
      <c r="AT908" s="4">
        <v>45.4</v>
      </c>
      <c r="AU908" s="3" t="s">
        <v>661</v>
      </c>
      <c r="AV908" s="16">
        <f t="shared" si="414"/>
        <v>100</v>
      </c>
      <c r="AW908" s="7">
        <v>0.6</v>
      </c>
      <c r="AX908" s="13">
        <f t="shared" si="421"/>
        <v>6.0000000000000001E-3</v>
      </c>
      <c r="AY908" s="1" t="s">
        <v>511</v>
      </c>
      <c r="AZ908" s="1">
        <f t="shared" si="422"/>
        <v>100</v>
      </c>
      <c r="BA908" s="1" t="s">
        <v>55</v>
      </c>
      <c r="BB908" s="1">
        <v>5</v>
      </c>
      <c r="BC908" s="1">
        <v>500</v>
      </c>
      <c r="BD908" s="26">
        <f t="shared" si="423"/>
        <v>19.22273885347813</v>
      </c>
      <c r="BE908" s="16">
        <f t="shared" si="416"/>
        <v>3203.7898089130217</v>
      </c>
      <c r="BF908" s="16">
        <f t="shared" si="434"/>
        <v>3.5056640155821075</v>
      </c>
      <c r="BG908" s="8">
        <f t="shared" si="397"/>
        <v>1.2838152659657509</v>
      </c>
      <c r="BH908" s="13" t="s">
        <v>782</v>
      </c>
      <c r="BI908" s="8">
        <v>30.7</v>
      </c>
      <c r="BJ908" s="13" t="s">
        <v>349</v>
      </c>
      <c r="BK908" s="15">
        <v>0.8</v>
      </c>
      <c r="BL908" s="16">
        <f t="shared" si="424"/>
        <v>30.7</v>
      </c>
      <c r="BM908" s="18">
        <f>'PFAS Properties'!$U$46</f>
        <v>10.39</v>
      </c>
      <c r="BN908" s="8">
        <f t="shared" si="425"/>
        <v>199.72425668763779</v>
      </c>
      <c r="BO908" s="24">
        <f t="shared" si="426"/>
        <v>19.22273885347813</v>
      </c>
      <c r="BP908" s="11"/>
      <c r="BQ908" s="11"/>
    </row>
    <row r="909" spans="1:69" x14ac:dyDescent="0.3">
      <c r="A909" s="20">
        <v>927</v>
      </c>
      <c r="B909" s="2" t="s">
        <v>189</v>
      </c>
      <c r="C909" s="2">
        <v>2021</v>
      </c>
      <c r="D909" s="2" t="s">
        <v>510</v>
      </c>
      <c r="E909" s="41" t="s">
        <v>804</v>
      </c>
      <c r="F909" s="20" t="s">
        <v>29</v>
      </c>
      <c r="G909" s="2" t="s">
        <v>417</v>
      </c>
      <c r="H909" s="2" t="str">
        <f>'PFAS Properties'!$B$46</f>
        <v>PFOS</v>
      </c>
      <c r="I909" s="2" t="str">
        <f>'PFAS Properties'!$C$46</f>
        <v>PFSA</v>
      </c>
      <c r="J909" s="2" t="str">
        <f>'PFAS Properties'!$D$46</f>
        <v>C8HF17O3S</v>
      </c>
      <c r="K909" s="25">
        <f>'PFAS Properties'!$P$46</f>
        <v>499.93739999999997</v>
      </c>
      <c r="L909" s="2">
        <f>'PFAS Properties'!$X$46</f>
        <v>0.1</v>
      </c>
      <c r="M909" s="2" t="str">
        <f>'PFAS Properties'!$Y$46</f>
        <v>-</v>
      </c>
      <c r="N909" s="33">
        <v>0</v>
      </c>
      <c r="O909" s="33">
        <v>0</v>
      </c>
      <c r="P909" s="33">
        <v>0</v>
      </c>
      <c r="Q909" s="33">
        <f t="shared" si="427"/>
        <v>0.99999966886898817</v>
      </c>
      <c r="R909" s="33">
        <v>0</v>
      </c>
      <c r="S909" s="33">
        <f t="shared" si="428"/>
        <v>3.3113101183480713E-7</v>
      </c>
      <c r="T909" s="8">
        <f t="shared" si="413"/>
        <v>1</v>
      </c>
      <c r="U909" s="33">
        <f t="shared" si="429"/>
        <v>0</v>
      </c>
      <c r="V909" s="33">
        <f t="shared" si="430"/>
        <v>-0.99999966886898817</v>
      </c>
      <c r="W909" s="33">
        <f t="shared" si="431"/>
        <v>498.93740033113102</v>
      </c>
      <c r="X909" s="33">
        <v>96485</v>
      </c>
      <c r="Y909" s="16">
        <f t="shared" si="432"/>
        <v>-193.38090908155996</v>
      </c>
      <c r="Z909" s="16">
        <v>8</v>
      </c>
      <c r="AA909" s="16">
        <v>17</v>
      </c>
      <c r="AB909" s="8">
        <f t="shared" si="433"/>
        <v>0.29721362229102166</v>
      </c>
      <c r="AC909" s="16">
        <f t="shared" si="415"/>
        <v>64.60808893273439</v>
      </c>
      <c r="AD909" s="20">
        <f>'PFAS Properties'!$W$46</f>
        <v>8</v>
      </c>
      <c r="AE909" s="8">
        <f>'PFAS Properties'!$S$46</f>
        <v>2.0166155475571776</v>
      </c>
      <c r="AF909" s="15">
        <f>'PFAS Properties'!$V$46</f>
        <v>5</v>
      </c>
      <c r="AG909" s="26">
        <v>6.58</v>
      </c>
      <c r="AH909" s="1" t="s">
        <v>190</v>
      </c>
      <c r="AI909" s="39">
        <f t="shared" si="417"/>
        <v>99.515789999999996</v>
      </c>
      <c r="AJ909" s="1">
        <v>1782</v>
      </c>
      <c r="AK909" s="8">
        <f t="shared" si="418"/>
        <v>9.9515789999999988</v>
      </c>
      <c r="AL909" s="39">
        <f t="shared" si="419"/>
        <v>41.360340000000001</v>
      </c>
      <c r="AM909" s="1">
        <v>1533</v>
      </c>
      <c r="AN909" s="8">
        <f t="shared" si="420"/>
        <v>4.1360340000000004</v>
      </c>
      <c r="AO909" s="3" t="s">
        <v>93</v>
      </c>
      <c r="AP909" s="3">
        <v>39.1</v>
      </c>
      <c r="AQ909" s="3" t="s">
        <v>661</v>
      </c>
      <c r="AR909" s="164">
        <v>34.299900000000001</v>
      </c>
      <c r="AS909" s="164">
        <v>32.877600000000001</v>
      </c>
      <c r="AT909" s="164">
        <v>31.8353</v>
      </c>
      <c r="AU909" s="70" t="s">
        <v>752</v>
      </c>
      <c r="AV909" s="16">
        <f t="shared" si="414"/>
        <v>99.012800000000013</v>
      </c>
      <c r="AW909" s="7">
        <v>10.6</v>
      </c>
      <c r="AX909" s="13">
        <f t="shared" si="421"/>
        <v>0.106</v>
      </c>
      <c r="AY909" s="1" t="s">
        <v>511</v>
      </c>
      <c r="AZ909" s="1">
        <f t="shared" si="422"/>
        <v>100</v>
      </c>
      <c r="BA909" s="1" t="s">
        <v>55</v>
      </c>
      <c r="BB909" s="1">
        <v>5</v>
      </c>
      <c r="BC909" s="1">
        <v>500</v>
      </c>
      <c r="BD909" s="26">
        <f t="shared" si="423"/>
        <v>175.82575859865773</v>
      </c>
      <c r="BE909" s="16">
        <f t="shared" si="416"/>
        <v>1658.7335716854502</v>
      </c>
      <c r="BF909" s="16">
        <f t="shared" si="434"/>
        <v>3.219776634584361</v>
      </c>
      <c r="BG909" s="8">
        <f t="shared" si="397"/>
        <v>2.245082499849131</v>
      </c>
      <c r="BH909" s="13" t="s">
        <v>782</v>
      </c>
      <c r="BI909" s="8">
        <v>222.2</v>
      </c>
      <c r="BJ909" s="13" t="s">
        <v>349</v>
      </c>
      <c r="BK909" s="15">
        <v>0.9</v>
      </c>
      <c r="BL909" s="16">
        <f t="shared" si="424"/>
        <v>222.2</v>
      </c>
      <c r="BM909" s="18">
        <f>'PFAS Properties'!$U$46</f>
        <v>10.39</v>
      </c>
      <c r="BN909" s="8">
        <f t="shared" si="425"/>
        <v>1826.8296318400539</v>
      </c>
      <c r="BO909" s="24">
        <f t="shared" si="426"/>
        <v>175.82575859865773</v>
      </c>
      <c r="BP909" s="11"/>
      <c r="BQ909" s="11"/>
    </row>
    <row r="910" spans="1:69" x14ac:dyDescent="0.3">
      <c r="A910" s="20">
        <v>928</v>
      </c>
      <c r="B910" s="2" t="s">
        <v>189</v>
      </c>
      <c r="C910" s="2">
        <v>2021</v>
      </c>
      <c r="D910" s="2" t="s">
        <v>510</v>
      </c>
      <c r="E910" s="41" t="s">
        <v>804</v>
      </c>
      <c r="F910" s="20" t="s">
        <v>29</v>
      </c>
      <c r="G910" s="2" t="s">
        <v>418</v>
      </c>
      <c r="H910" s="2" t="str">
        <f>'PFAS Properties'!$B$46</f>
        <v>PFOS</v>
      </c>
      <c r="I910" s="2" t="str">
        <f>'PFAS Properties'!$C$46</f>
        <v>PFSA</v>
      </c>
      <c r="J910" s="2" t="str">
        <f>'PFAS Properties'!$D$46</f>
        <v>C8HF17O3S</v>
      </c>
      <c r="K910" s="25">
        <f>'PFAS Properties'!$P$46</f>
        <v>499.93739999999997</v>
      </c>
      <c r="L910" s="2">
        <f>'PFAS Properties'!$X$46</f>
        <v>0.1</v>
      </c>
      <c r="M910" s="2" t="str">
        <f>'PFAS Properties'!$Y$46</f>
        <v>-</v>
      </c>
      <c r="N910" s="33">
        <v>0</v>
      </c>
      <c r="O910" s="33">
        <v>0</v>
      </c>
      <c r="P910" s="33">
        <v>0</v>
      </c>
      <c r="Q910" s="33">
        <f t="shared" si="427"/>
        <v>0.99999999108749071</v>
      </c>
      <c r="R910" s="33">
        <v>0</v>
      </c>
      <c r="S910" s="33">
        <f t="shared" si="428"/>
        <v>8.9125093019045892E-9</v>
      </c>
      <c r="T910" s="8">
        <f t="shared" si="413"/>
        <v>1</v>
      </c>
      <c r="U910" s="33">
        <f t="shared" si="429"/>
        <v>0</v>
      </c>
      <c r="V910" s="33">
        <f t="shared" si="430"/>
        <v>-0.99999999108749071</v>
      </c>
      <c r="W910" s="33">
        <f t="shared" si="431"/>
        <v>498.9374000089125</v>
      </c>
      <c r="X910" s="33">
        <v>96485</v>
      </c>
      <c r="Y910" s="16">
        <f t="shared" si="432"/>
        <v>-193.3809715173748</v>
      </c>
      <c r="Z910" s="16">
        <v>8</v>
      </c>
      <c r="AA910" s="16">
        <v>17</v>
      </c>
      <c r="AB910" s="8">
        <f t="shared" si="433"/>
        <v>0.29721362229102166</v>
      </c>
      <c r="AC910" s="16">
        <f t="shared" si="415"/>
        <v>64.60808893273439</v>
      </c>
      <c r="AD910" s="20">
        <f>'PFAS Properties'!$W$46</f>
        <v>8</v>
      </c>
      <c r="AE910" s="8">
        <f>'PFAS Properties'!$S$46</f>
        <v>2.0166155475571776</v>
      </c>
      <c r="AF910" s="15">
        <f>'PFAS Properties'!$V$46</f>
        <v>5</v>
      </c>
      <c r="AG910" s="26">
        <v>8.15</v>
      </c>
      <c r="AH910" s="1" t="s">
        <v>190</v>
      </c>
      <c r="AI910" s="39">
        <f t="shared" si="417"/>
        <v>3.5182350000000002</v>
      </c>
      <c r="AJ910" s="1">
        <v>63</v>
      </c>
      <c r="AK910" s="8">
        <f t="shared" si="418"/>
        <v>0.35182350000000001</v>
      </c>
      <c r="AL910" s="39">
        <f t="shared" si="419"/>
        <v>7.5274200000000002</v>
      </c>
      <c r="AM910" s="1">
        <v>279</v>
      </c>
      <c r="AN910" s="8">
        <f t="shared" si="420"/>
        <v>0.75274200000000002</v>
      </c>
      <c r="AO910" s="3" t="s">
        <v>93</v>
      </c>
      <c r="AP910" s="3">
        <v>7.7</v>
      </c>
      <c r="AQ910" s="3" t="s">
        <v>661</v>
      </c>
      <c r="AR910" s="4">
        <v>75.3</v>
      </c>
      <c r="AS910" s="4">
        <v>13.9</v>
      </c>
      <c r="AT910" s="4">
        <v>10.7</v>
      </c>
      <c r="AU910" s="3" t="s">
        <v>661</v>
      </c>
      <c r="AV910" s="16">
        <f t="shared" si="414"/>
        <v>99.9</v>
      </c>
      <c r="AW910" s="7">
        <v>1.1000000000000001</v>
      </c>
      <c r="AX910" s="13">
        <f t="shared" si="421"/>
        <v>1.1000000000000001E-2</v>
      </c>
      <c r="AY910" s="1" t="s">
        <v>511</v>
      </c>
      <c r="AZ910" s="1">
        <f t="shared" si="422"/>
        <v>100</v>
      </c>
      <c r="BA910" s="1" t="s">
        <v>55</v>
      </c>
      <c r="BB910" s="1">
        <v>5</v>
      </c>
      <c r="BC910" s="1">
        <v>500</v>
      </c>
      <c r="BD910" s="26">
        <f t="shared" si="423"/>
        <v>16.609495786924757</v>
      </c>
      <c r="BE910" s="16">
        <f t="shared" si="416"/>
        <v>1509.9541624477051</v>
      </c>
      <c r="BF910" s="16">
        <f t="shared" si="434"/>
        <v>3.1789637636519905</v>
      </c>
      <c r="BG910" s="8">
        <f t="shared" si="397"/>
        <v>1.2203564488102157</v>
      </c>
      <c r="BH910" s="13" t="s">
        <v>782</v>
      </c>
      <c r="BI910" s="8">
        <v>10.4</v>
      </c>
      <c r="BJ910" s="13" t="s">
        <v>349</v>
      </c>
      <c r="BK910" s="15">
        <v>1.2</v>
      </c>
      <c r="BL910" s="16">
        <f t="shared" si="424"/>
        <v>10.4</v>
      </c>
      <c r="BM910" s="18">
        <f>'PFAS Properties'!$U$46</f>
        <v>10.39</v>
      </c>
      <c r="BN910" s="8">
        <f t="shared" si="425"/>
        <v>172.57266122614826</v>
      </c>
      <c r="BO910" s="24">
        <f t="shared" si="426"/>
        <v>16.609495786924757</v>
      </c>
      <c r="BP910" s="11"/>
      <c r="BQ910" s="11"/>
    </row>
    <row r="911" spans="1:69" x14ac:dyDescent="0.3">
      <c r="A911" s="20">
        <v>929</v>
      </c>
      <c r="B911" s="2" t="s">
        <v>189</v>
      </c>
      <c r="C911" s="2">
        <v>2021</v>
      </c>
      <c r="D911" s="2" t="s">
        <v>510</v>
      </c>
      <c r="E911" s="41" t="s">
        <v>804</v>
      </c>
      <c r="F911" s="20" t="s">
        <v>29</v>
      </c>
      <c r="G911" s="2" t="s">
        <v>419</v>
      </c>
      <c r="H911" s="2" t="str">
        <f>'PFAS Properties'!$B$46</f>
        <v>PFOS</v>
      </c>
      <c r="I911" s="2" t="str">
        <f>'PFAS Properties'!$C$46</f>
        <v>PFSA</v>
      </c>
      <c r="J911" s="2" t="str">
        <f>'PFAS Properties'!$D$46</f>
        <v>C8HF17O3S</v>
      </c>
      <c r="K911" s="25">
        <f>'PFAS Properties'!$P$46</f>
        <v>499.93739999999997</v>
      </c>
      <c r="L911" s="2">
        <f>'PFAS Properties'!$X$46</f>
        <v>0.1</v>
      </c>
      <c r="M911" s="2" t="str">
        <f>'PFAS Properties'!$Y$46</f>
        <v>-</v>
      </c>
      <c r="N911" s="33">
        <v>0</v>
      </c>
      <c r="O911" s="33">
        <v>0</v>
      </c>
      <c r="P911" s="33">
        <v>0</v>
      </c>
      <c r="Q911" s="33">
        <f t="shared" si="427"/>
        <v>0.99999998451183403</v>
      </c>
      <c r="R911" s="33">
        <v>0</v>
      </c>
      <c r="S911" s="33">
        <f t="shared" si="428"/>
        <v>1.5488165949241471E-8</v>
      </c>
      <c r="T911" s="8">
        <f t="shared" si="413"/>
        <v>1</v>
      </c>
      <c r="U911" s="33">
        <f t="shared" si="429"/>
        <v>0</v>
      </c>
      <c r="V911" s="33">
        <f t="shared" si="430"/>
        <v>-0.99999998451183403</v>
      </c>
      <c r="W911" s="33">
        <f t="shared" si="431"/>
        <v>498.93740001548815</v>
      </c>
      <c r="X911" s="33">
        <v>96485</v>
      </c>
      <c r="Y911" s="16">
        <f t="shared" si="432"/>
        <v>-193.38097024321928</v>
      </c>
      <c r="Z911" s="16">
        <v>8</v>
      </c>
      <c r="AA911" s="16">
        <v>17</v>
      </c>
      <c r="AB911" s="8">
        <f t="shared" si="433"/>
        <v>0.29721362229102166</v>
      </c>
      <c r="AC911" s="16">
        <f t="shared" si="415"/>
        <v>64.60808893273439</v>
      </c>
      <c r="AD911" s="20">
        <f>'PFAS Properties'!$W$46</f>
        <v>8</v>
      </c>
      <c r="AE911" s="8">
        <f>'PFAS Properties'!$S$46</f>
        <v>2.0166155475571776</v>
      </c>
      <c r="AF911" s="15">
        <f>'PFAS Properties'!$V$46</f>
        <v>5</v>
      </c>
      <c r="AG911" s="26">
        <v>7.91</v>
      </c>
      <c r="AH911" s="1" t="s">
        <v>190</v>
      </c>
      <c r="AI911" s="39">
        <f t="shared" si="417"/>
        <v>18.763919999999999</v>
      </c>
      <c r="AJ911" s="1">
        <v>336</v>
      </c>
      <c r="AK911" s="8">
        <f t="shared" si="418"/>
        <v>1.8763919999999998</v>
      </c>
      <c r="AL911" s="39">
        <f t="shared" si="419"/>
        <v>25.30724</v>
      </c>
      <c r="AM911" s="1">
        <v>938</v>
      </c>
      <c r="AN911" s="8">
        <f t="shared" si="420"/>
        <v>2.5307240000000002</v>
      </c>
      <c r="AO911" s="3" t="s">
        <v>93</v>
      </c>
      <c r="AP911" s="3">
        <v>24.2</v>
      </c>
      <c r="AQ911" s="3" t="s">
        <v>661</v>
      </c>
      <c r="AR911" s="4">
        <v>18.8</v>
      </c>
      <c r="AS911" s="4">
        <v>19.100000000000001</v>
      </c>
      <c r="AT911" s="4">
        <v>62.1</v>
      </c>
      <c r="AU911" s="3" t="s">
        <v>661</v>
      </c>
      <c r="AV911" s="16">
        <f t="shared" si="414"/>
        <v>100</v>
      </c>
      <c r="AW911" s="7">
        <v>1.1000000000000001</v>
      </c>
      <c r="AX911" s="13">
        <f t="shared" si="421"/>
        <v>1.1000000000000001E-2</v>
      </c>
      <c r="AY911" s="1" t="s">
        <v>511</v>
      </c>
      <c r="AZ911" s="1">
        <f t="shared" si="422"/>
        <v>100</v>
      </c>
      <c r="BA911" s="1" t="s">
        <v>55</v>
      </c>
      <c r="BB911" s="1">
        <v>5</v>
      </c>
      <c r="BC911" s="1">
        <v>500</v>
      </c>
      <c r="BD911" s="26">
        <f t="shared" si="423"/>
        <v>31.177024702012218</v>
      </c>
      <c r="BE911" s="16">
        <f t="shared" si="416"/>
        <v>2834.2749729102015</v>
      </c>
      <c r="BF911" s="16">
        <f t="shared" si="434"/>
        <v>3.4524419819116314</v>
      </c>
      <c r="BG911" s="8">
        <f t="shared" si="397"/>
        <v>1.4938346670698563</v>
      </c>
      <c r="BH911" s="13" t="s">
        <v>782</v>
      </c>
      <c r="BI911" s="8">
        <v>39.4</v>
      </c>
      <c r="BJ911" s="13" t="s">
        <v>349</v>
      </c>
      <c r="BK911" s="15">
        <v>0.9</v>
      </c>
      <c r="BL911" s="16">
        <f t="shared" si="424"/>
        <v>39.4</v>
      </c>
      <c r="BM911" s="18">
        <f>'PFAS Properties'!$U$46</f>
        <v>10.39</v>
      </c>
      <c r="BN911" s="8">
        <f t="shared" si="425"/>
        <v>323.92928665390696</v>
      </c>
      <c r="BO911" s="24">
        <f t="shared" si="426"/>
        <v>31.177024702012218</v>
      </c>
      <c r="BP911" s="11"/>
      <c r="BQ911" s="11"/>
    </row>
    <row r="912" spans="1:69" x14ac:dyDescent="0.3">
      <c r="A912" s="20">
        <v>930</v>
      </c>
      <c r="B912" s="2" t="s">
        <v>189</v>
      </c>
      <c r="C912" s="2">
        <v>2021</v>
      </c>
      <c r="D912" s="2" t="s">
        <v>510</v>
      </c>
      <c r="E912" s="41" t="s">
        <v>804</v>
      </c>
      <c r="F912" s="20" t="s">
        <v>29</v>
      </c>
      <c r="G912" s="2" t="s">
        <v>420</v>
      </c>
      <c r="H912" s="2" t="str">
        <f>'PFAS Properties'!$B$46</f>
        <v>PFOS</v>
      </c>
      <c r="I912" s="2" t="str">
        <f>'PFAS Properties'!$C$46</f>
        <v>PFSA</v>
      </c>
      <c r="J912" s="2" t="str">
        <f>'PFAS Properties'!$D$46</f>
        <v>C8HF17O3S</v>
      </c>
      <c r="K912" s="25">
        <f>'PFAS Properties'!$P$46</f>
        <v>499.93739999999997</v>
      </c>
      <c r="L912" s="2">
        <f>'PFAS Properties'!$X$46</f>
        <v>0.1</v>
      </c>
      <c r="M912" s="2" t="str">
        <f>'PFAS Properties'!$Y$46</f>
        <v>-</v>
      </c>
      <c r="N912" s="33">
        <v>0</v>
      </c>
      <c r="O912" s="33">
        <v>0</v>
      </c>
      <c r="P912" s="33">
        <v>0</v>
      </c>
      <c r="Q912" s="33">
        <f t="shared" si="427"/>
        <v>0.99998851859560922</v>
      </c>
      <c r="R912" s="33">
        <v>0</v>
      </c>
      <c r="S912" s="33">
        <f t="shared" si="428"/>
        <v>1.1481404390808487E-5</v>
      </c>
      <c r="T912" s="8">
        <f t="shared" si="413"/>
        <v>1</v>
      </c>
      <c r="U912" s="33">
        <f t="shared" si="429"/>
        <v>0</v>
      </c>
      <c r="V912" s="33">
        <f t="shared" si="430"/>
        <v>-0.99998851859560922</v>
      </c>
      <c r="W912" s="33">
        <f t="shared" si="431"/>
        <v>498.93741148140435</v>
      </c>
      <c r="X912" s="33">
        <v>96485</v>
      </c>
      <c r="Y912" s="16">
        <f t="shared" si="432"/>
        <v>-193.37874850920727</v>
      </c>
      <c r="Z912" s="16">
        <v>8</v>
      </c>
      <c r="AA912" s="16">
        <v>17</v>
      </c>
      <c r="AB912" s="8">
        <f t="shared" si="433"/>
        <v>0.29721362229102166</v>
      </c>
      <c r="AC912" s="16">
        <f t="shared" si="415"/>
        <v>64.60808893273439</v>
      </c>
      <c r="AD912" s="20">
        <f>'PFAS Properties'!$W$46</f>
        <v>8</v>
      </c>
      <c r="AE912" s="8">
        <f>'PFAS Properties'!$S$46</f>
        <v>2.0166155475571776</v>
      </c>
      <c r="AF912" s="15">
        <f>'PFAS Properties'!$V$46</f>
        <v>5</v>
      </c>
      <c r="AG912" s="26">
        <v>5.04</v>
      </c>
      <c r="AH912" s="1" t="s">
        <v>190</v>
      </c>
      <c r="AI912" s="39">
        <f t="shared" si="417"/>
        <v>53.834580000000003</v>
      </c>
      <c r="AJ912" s="1">
        <v>964</v>
      </c>
      <c r="AK912" s="8">
        <f t="shared" si="418"/>
        <v>5.3834580000000001</v>
      </c>
      <c r="AL912" s="39">
        <f t="shared" si="419"/>
        <v>26.899060000000002</v>
      </c>
      <c r="AM912" s="1">
        <v>997</v>
      </c>
      <c r="AN912" s="8">
        <f t="shared" si="420"/>
        <v>2.6899060000000001</v>
      </c>
      <c r="AO912" s="3" t="s">
        <v>93</v>
      </c>
      <c r="AP912" s="3">
        <v>0.7</v>
      </c>
      <c r="AQ912" s="3" t="s">
        <v>661</v>
      </c>
      <c r="AR912" s="4">
        <v>97.8</v>
      </c>
      <c r="AS912" s="4">
        <v>0</v>
      </c>
      <c r="AT912" s="4">
        <v>2.2000000000000002</v>
      </c>
      <c r="AU912" s="3" t="s">
        <v>661</v>
      </c>
      <c r="AV912" s="16">
        <f t="shared" si="414"/>
        <v>100</v>
      </c>
      <c r="AW912" s="7">
        <v>0.1</v>
      </c>
      <c r="AX912" s="13">
        <f t="shared" si="421"/>
        <v>1E-3</v>
      </c>
      <c r="AY912" s="1" t="s">
        <v>511</v>
      </c>
      <c r="AZ912" s="1">
        <f t="shared" si="422"/>
        <v>100</v>
      </c>
      <c r="BA912" s="1" t="s">
        <v>55</v>
      </c>
      <c r="BB912" s="1">
        <v>5</v>
      </c>
      <c r="BC912" s="1">
        <v>500</v>
      </c>
      <c r="BD912" s="26">
        <f t="shared" si="423"/>
        <v>19.78237607995699</v>
      </c>
      <c r="BE912" s="16">
        <f t="shared" si="416"/>
        <v>19782.37607995699</v>
      </c>
      <c r="BF912" s="16">
        <f t="shared" si="434"/>
        <v>4.2962784539163197</v>
      </c>
      <c r="BG912" s="8">
        <f t="shared" si="397"/>
        <v>1.2962784539163199</v>
      </c>
      <c r="BH912" s="13" t="s">
        <v>782</v>
      </c>
      <c r="BI912" s="8">
        <v>25</v>
      </c>
      <c r="BJ912" s="13" t="s">
        <v>349</v>
      </c>
      <c r="BK912" s="15">
        <v>0.9</v>
      </c>
      <c r="BL912" s="16">
        <f t="shared" si="424"/>
        <v>25</v>
      </c>
      <c r="BM912" s="18">
        <f>'PFAS Properties'!$U$46</f>
        <v>10.39</v>
      </c>
      <c r="BN912" s="8">
        <f t="shared" si="425"/>
        <v>205.53888747075314</v>
      </c>
      <c r="BO912" s="24">
        <f t="shared" si="426"/>
        <v>19.78237607995699</v>
      </c>
      <c r="BP912" s="11"/>
      <c r="BQ912" s="11"/>
    </row>
    <row r="913" spans="1:69" x14ac:dyDescent="0.3">
      <c r="A913" s="20">
        <v>931</v>
      </c>
      <c r="B913" s="2" t="s">
        <v>189</v>
      </c>
      <c r="C913" s="2">
        <v>2021</v>
      </c>
      <c r="D913" s="2" t="s">
        <v>510</v>
      </c>
      <c r="E913" s="41" t="s">
        <v>804</v>
      </c>
      <c r="F913" s="20" t="s">
        <v>29</v>
      </c>
      <c r="G913" s="2" t="s">
        <v>421</v>
      </c>
      <c r="H913" s="2" t="str">
        <f>'PFAS Properties'!$B$46</f>
        <v>PFOS</v>
      </c>
      <c r="I913" s="2" t="str">
        <f>'PFAS Properties'!$C$46</f>
        <v>PFSA</v>
      </c>
      <c r="J913" s="2" t="str">
        <f>'PFAS Properties'!$D$46</f>
        <v>C8HF17O3S</v>
      </c>
      <c r="K913" s="25">
        <f>'PFAS Properties'!$P$46</f>
        <v>499.93739999999997</v>
      </c>
      <c r="L913" s="2">
        <f>'PFAS Properties'!$X$46</f>
        <v>0.1</v>
      </c>
      <c r="M913" s="2" t="str">
        <f>'PFAS Properties'!$Y$46</f>
        <v>-</v>
      </c>
      <c r="N913" s="33">
        <v>0</v>
      </c>
      <c r="O913" s="33">
        <v>0</v>
      </c>
      <c r="P913" s="33">
        <v>0</v>
      </c>
      <c r="Q913" s="33">
        <f t="shared" si="427"/>
        <v>0.99998050193418442</v>
      </c>
      <c r="R913" s="33">
        <v>0</v>
      </c>
      <c r="S913" s="33">
        <f t="shared" si="428"/>
        <v>1.9498065815597068E-5</v>
      </c>
      <c r="T913" s="8">
        <f t="shared" si="413"/>
        <v>1</v>
      </c>
      <c r="U913" s="33">
        <f t="shared" si="429"/>
        <v>0</v>
      </c>
      <c r="V913" s="33">
        <f t="shared" si="430"/>
        <v>-0.99998050193418442</v>
      </c>
      <c r="W913" s="33">
        <f t="shared" si="431"/>
        <v>498.93741949806582</v>
      </c>
      <c r="X913" s="33">
        <v>96485</v>
      </c>
      <c r="Y913" s="16">
        <f t="shared" si="432"/>
        <v>-193.37719513237235</v>
      </c>
      <c r="Z913" s="16">
        <v>8</v>
      </c>
      <c r="AA913" s="16">
        <v>17</v>
      </c>
      <c r="AB913" s="8">
        <f t="shared" si="433"/>
        <v>0.29721362229102166</v>
      </c>
      <c r="AC913" s="16">
        <f t="shared" si="415"/>
        <v>64.60808893273439</v>
      </c>
      <c r="AD913" s="20">
        <f>'PFAS Properties'!$W$46</f>
        <v>8</v>
      </c>
      <c r="AE913" s="8">
        <f>'PFAS Properties'!$S$46</f>
        <v>2.0166155475571776</v>
      </c>
      <c r="AF913" s="15">
        <f>'PFAS Properties'!$V$46</f>
        <v>5</v>
      </c>
      <c r="AG913" s="26">
        <v>4.8099999999999996</v>
      </c>
      <c r="AH913" s="1" t="s">
        <v>190</v>
      </c>
      <c r="AI913" s="39">
        <f t="shared" si="417"/>
        <v>23.287364999999998</v>
      </c>
      <c r="AJ913" s="1">
        <v>417</v>
      </c>
      <c r="AK913" s="8">
        <f t="shared" si="418"/>
        <v>2.3287364999999998</v>
      </c>
      <c r="AL913" s="39">
        <f t="shared" si="419"/>
        <v>11.16972</v>
      </c>
      <c r="AM913" s="1">
        <v>414</v>
      </c>
      <c r="AN913" s="8">
        <f t="shared" si="420"/>
        <v>1.1169720000000001</v>
      </c>
      <c r="AO913" s="3" t="s">
        <v>93</v>
      </c>
      <c r="AP913" s="3">
        <v>3.7</v>
      </c>
      <c r="AQ913" s="3" t="s">
        <v>661</v>
      </c>
      <c r="AR913" s="4">
        <v>74.3</v>
      </c>
      <c r="AS913" s="4">
        <v>18.2</v>
      </c>
      <c r="AT913" s="4">
        <v>7.5</v>
      </c>
      <c r="AU913" s="3" t="s">
        <v>661</v>
      </c>
      <c r="AV913" s="16">
        <f t="shared" si="414"/>
        <v>100</v>
      </c>
      <c r="AW913" s="7">
        <v>1.1000000000000001</v>
      </c>
      <c r="AX913" s="13">
        <f t="shared" si="421"/>
        <v>1.1000000000000001E-2</v>
      </c>
      <c r="AY913" s="1" t="s">
        <v>511</v>
      </c>
      <c r="AZ913" s="1">
        <f t="shared" si="422"/>
        <v>100</v>
      </c>
      <c r="BA913" s="1" t="s">
        <v>55</v>
      </c>
      <c r="BB913" s="1">
        <v>5</v>
      </c>
      <c r="BC913" s="1">
        <v>500</v>
      </c>
      <c r="BD913" s="26">
        <f t="shared" si="423"/>
        <v>28.724010068097549</v>
      </c>
      <c r="BE913" s="16">
        <f t="shared" si="416"/>
        <v>2611.2736425543226</v>
      </c>
      <c r="BF913" s="16">
        <f t="shared" si="434"/>
        <v>3.4168523851221697</v>
      </c>
      <c r="BG913" s="8">
        <f t="shared" si="397"/>
        <v>1.4582450702803949</v>
      </c>
      <c r="BH913" s="13" t="s">
        <v>782</v>
      </c>
      <c r="BI913" s="8">
        <v>36.299999999999997</v>
      </c>
      <c r="BJ913" s="13" t="s">
        <v>349</v>
      </c>
      <c r="BK913" s="15">
        <v>0.9</v>
      </c>
      <c r="BL913" s="16">
        <f t="shared" si="424"/>
        <v>36.299999999999997</v>
      </c>
      <c r="BM913" s="18">
        <f>'PFAS Properties'!$U$46</f>
        <v>10.39</v>
      </c>
      <c r="BN913" s="8">
        <f t="shared" si="425"/>
        <v>298.44246460753357</v>
      </c>
      <c r="BO913" s="24">
        <f t="shared" si="426"/>
        <v>28.724010068097549</v>
      </c>
      <c r="BP913" s="11"/>
      <c r="BQ913" s="11"/>
    </row>
    <row r="914" spans="1:69" x14ac:dyDescent="0.3">
      <c r="A914" s="20">
        <v>932</v>
      </c>
      <c r="B914" s="2" t="s">
        <v>189</v>
      </c>
      <c r="C914" s="2">
        <v>2021</v>
      </c>
      <c r="D914" s="2" t="s">
        <v>510</v>
      </c>
      <c r="E914" s="41" t="s">
        <v>804</v>
      </c>
      <c r="F914" s="20" t="s">
        <v>29</v>
      </c>
      <c r="G914" s="2" t="s">
        <v>422</v>
      </c>
      <c r="H914" s="2" t="str">
        <f>'PFAS Properties'!$B$46</f>
        <v>PFOS</v>
      </c>
      <c r="I914" s="2" t="str">
        <f>'PFAS Properties'!$C$46</f>
        <v>PFSA</v>
      </c>
      <c r="J914" s="2" t="str">
        <f>'PFAS Properties'!$D$46</f>
        <v>C8HF17O3S</v>
      </c>
      <c r="K914" s="25">
        <f>'PFAS Properties'!$P$46</f>
        <v>499.93739999999997</v>
      </c>
      <c r="L914" s="2">
        <f>'PFAS Properties'!$X$46</f>
        <v>0.1</v>
      </c>
      <c r="M914" s="2" t="str">
        <f>'PFAS Properties'!$Y$46</f>
        <v>-</v>
      </c>
      <c r="N914" s="33">
        <v>0</v>
      </c>
      <c r="O914" s="33">
        <v>0</v>
      </c>
      <c r="P914" s="33">
        <v>0</v>
      </c>
      <c r="Q914" s="33">
        <f t="shared" si="427"/>
        <v>0.99998619634789743</v>
      </c>
      <c r="R914" s="33">
        <v>0</v>
      </c>
      <c r="S914" s="33">
        <f t="shared" si="428"/>
        <v>1.3803652102587262E-5</v>
      </c>
      <c r="T914" s="8">
        <f t="shared" si="413"/>
        <v>1</v>
      </c>
      <c r="U914" s="33">
        <f t="shared" si="429"/>
        <v>0</v>
      </c>
      <c r="V914" s="33">
        <f t="shared" si="430"/>
        <v>-0.99998619634789743</v>
      </c>
      <c r="W914" s="33">
        <f t="shared" si="431"/>
        <v>498.93741380365208</v>
      </c>
      <c r="X914" s="33">
        <v>96485</v>
      </c>
      <c r="Y914" s="16">
        <f t="shared" si="432"/>
        <v>-193.37829853063758</v>
      </c>
      <c r="Z914" s="16">
        <v>8</v>
      </c>
      <c r="AA914" s="16">
        <v>17</v>
      </c>
      <c r="AB914" s="8">
        <f t="shared" si="433"/>
        <v>0.29721362229102166</v>
      </c>
      <c r="AC914" s="16">
        <f t="shared" si="415"/>
        <v>64.60808893273439</v>
      </c>
      <c r="AD914" s="20">
        <f>'PFAS Properties'!$W$46</f>
        <v>8</v>
      </c>
      <c r="AE914" s="8">
        <f>'PFAS Properties'!$S$46</f>
        <v>2.0166155475571776</v>
      </c>
      <c r="AF914" s="15">
        <f>'PFAS Properties'!$V$46</f>
        <v>5</v>
      </c>
      <c r="AG914" s="26">
        <v>4.96</v>
      </c>
      <c r="AH914" s="1" t="s">
        <v>190</v>
      </c>
      <c r="AI914" s="39">
        <f t="shared" si="417"/>
        <v>14.798924999999999</v>
      </c>
      <c r="AJ914" s="1">
        <v>265</v>
      </c>
      <c r="AK914" s="8">
        <f t="shared" si="418"/>
        <v>1.4798924999999998</v>
      </c>
      <c r="AL914" s="39">
        <f t="shared" si="419"/>
        <v>11.4665</v>
      </c>
      <c r="AM914" s="1">
        <v>425</v>
      </c>
      <c r="AN914" s="8">
        <f t="shared" si="420"/>
        <v>1.1466499999999999</v>
      </c>
      <c r="AO914" s="3" t="s">
        <v>93</v>
      </c>
      <c r="AP914" s="3">
        <v>2.9</v>
      </c>
      <c r="AQ914" s="3" t="s">
        <v>661</v>
      </c>
      <c r="AR914" s="4">
        <v>39.200000000000003</v>
      </c>
      <c r="AS914" s="4">
        <v>47.7</v>
      </c>
      <c r="AT914" s="4">
        <v>13.2</v>
      </c>
      <c r="AU914" s="3" t="s">
        <v>661</v>
      </c>
      <c r="AV914" s="16">
        <f t="shared" si="414"/>
        <v>100.10000000000001</v>
      </c>
      <c r="AW914" s="7">
        <v>1.6</v>
      </c>
      <c r="AX914" s="13">
        <f t="shared" si="421"/>
        <v>1.6E-2</v>
      </c>
      <c r="AY914" s="1" t="s">
        <v>511</v>
      </c>
      <c r="AZ914" s="1">
        <f t="shared" si="422"/>
        <v>100</v>
      </c>
      <c r="BA914" s="1" t="s">
        <v>55</v>
      </c>
      <c r="BB914" s="1">
        <v>5</v>
      </c>
      <c r="BC914" s="1">
        <v>500</v>
      </c>
      <c r="BD914" s="26">
        <f t="shared" si="423"/>
        <v>27.5</v>
      </c>
      <c r="BE914" s="16">
        <f t="shared" si="416"/>
        <v>1718.75</v>
      </c>
      <c r="BF914" s="16">
        <f t="shared" si="434"/>
        <v>3.2352127111743378</v>
      </c>
      <c r="BG914" s="8">
        <f t="shared" si="397"/>
        <v>1.4393326938302626</v>
      </c>
      <c r="BH914" s="13" t="s">
        <v>782</v>
      </c>
      <c r="BI914" s="8">
        <v>27.5</v>
      </c>
      <c r="BJ914" s="13" t="s">
        <v>349</v>
      </c>
      <c r="BK914" s="15">
        <v>1</v>
      </c>
      <c r="BL914" s="16">
        <f t="shared" si="424"/>
        <v>27.5</v>
      </c>
      <c r="BM914" s="18">
        <f>'PFAS Properties'!$U$46</f>
        <v>10.39</v>
      </c>
      <c r="BN914" s="8">
        <f t="shared" si="425"/>
        <v>285.72500000000002</v>
      </c>
      <c r="BO914" s="24">
        <f t="shared" si="426"/>
        <v>27.5</v>
      </c>
      <c r="BP914" s="11"/>
      <c r="BQ914" s="11"/>
    </row>
    <row r="915" spans="1:69" x14ac:dyDescent="0.3">
      <c r="A915" s="20">
        <v>934</v>
      </c>
      <c r="B915" s="2" t="s">
        <v>189</v>
      </c>
      <c r="C915" s="2">
        <v>2021</v>
      </c>
      <c r="D915" s="2" t="s">
        <v>510</v>
      </c>
      <c r="E915" s="41" t="s">
        <v>804</v>
      </c>
      <c r="F915" s="20" t="s">
        <v>29</v>
      </c>
      <c r="G915" s="2" t="s">
        <v>424</v>
      </c>
      <c r="H915" s="2" t="str">
        <f>'PFAS Properties'!$B$46</f>
        <v>PFOS</v>
      </c>
      <c r="I915" s="2" t="str">
        <f>'PFAS Properties'!$C$46</f>
        <v>PFSA</v>
      </c>
      <c r="J915" s="2" t="str">
        <f>'PFAS Properties'!$D$46</f>
        <v>C8HF17O3S</v>
      </c>
      <c r="K915" s="25">
        <f>'PFAS Properties'!$P$46</f>
        <v>499.93739999999997</v>
      </c>
      <c r="L915" s="2">
        <f>'PFAS Properties'!$X$46</f>
        <v>0.1</v>
      </c>
      <c r="M915" s="2" t="str">
        <f>'PFAS Properties'!$Y$46</f>
        <v>-</v>
      </c>
      <c r="N915" s="33">
        <v>0</v>
      </c>
      <c r="O915" s="33">
        <v>0</v>
      </c>
      <c r="P915" s="33">
        <v>0</v>
      </c>
      <c r="Q915" s="33">
        <f t="shared" si="427"/>
        <v>0.99999223758908917</v>
      </c>
      <c r="R915" s="33">
        <v>0</v>
      </c>
      <c r="S915" s="33">
        <f t="shared" si="428"/>
        <v>7.7624109107960199E-6</v>
      </c>
      <c r="T915" s="8">
        <f t="shared" si="413"/>
        <v>1</v>
      </c>
      <c r="U915" s="33">
        <f t="shared" si="429"/>
        <v>0</v>
      </c>
      <c r="V915" s="33">
        <f t="shared" si="430"/>
        <v>-0.99999223758908917</v>
      </c>
      <c r="W915" s="33">
        <f t="shared" si="431"/>
        <v>498.93740776241083</v>
      </c>
      <c r="X915" s="33">
        <v>96485</v>
      </c>
      <c r="Y915" s="16">
        <f t="shared" si="432"/>
        <v>-193.3794691331866</v>
      </c>
      <c r="Z915" s="16">
        <v>8</v>
      </c>
      <c r="AA915" s="16">
        <v>17</v>
      </c>
      <c r="AB915" s="8">
        <f t="shared" si="433"/>
        <v>0.29721362229102166</v>
      </c>
      <c r="AC915" s="16">
        <f t="shared" si="415"/>
        <v>64.60808893273439</v>
      </c>
      <c r="AD915" s="20">
        <f>'PFAS Properties'!$W$46</f>
        <v>8</v>
      </c>
      <c r="AE915" s="8">
        <f>'PFAS Properties'!$S$46</f>
        <v>2.0166155475571776</v>
      </c>
      <c r="AF915" s="15">
        <f>'PFAS Properties'!$V$46</f>
        <v>5</v>
      </c>
      <c r="AG915" s="26">
        <v>5.21</v>
      </c>
      <c r="AH915" s="1" t="s">
        <v>190</v>
      </c>
      <c r="AI915" s="39">
        <f t="shared" si="417"/>
        <v>35.461574999999996</v>
      </c>
      <c r="AJ915" s="1">
        <v>635</v>
      </c>
      <c r="AK915" s="8">
        <f t="shared" si="418"/>
        <v>3.5461574999999996</v>
      </c>
      <c r="AL915" s="39">
        <f t="shared" si="419"/>
        <v>40.119260000000004</v>
      </c>
      <c r="AM915" s="1">
        <v>1487</v>
      </c>
      <c r="AN915" s="8">
        <f t="shared" si="420"/>
        <v>4.0119260000000008</v>
      </c>
      <c r="AO915" s="3" t="s">
        <v>93</v>
      </c>
      <c r="AP915" s="3">
        <v>7.4</v>
      </c>
      <c r="AQ915" s="3" t="s">
        <v>661</v>
      </c>
      <c r="AR915" s="4">
        <v>42.5</v>
      </c>
      <c r="AS915" s="4">
        <v>37.5</v>
      </c>
      <c r="AT915" s="4">
        <v>20</v>
      </c>
      <c r="AU915" s="3" t="s">
        <v>661</v>
      </c>
      <c r="AV915" s="16">
        <f t="shared" si="414"/>
        <v>100</v>
      </c>
      <c r="AW915" s="7">
        <v>1.5</v>
      </c>
      <c r="AX915" s="13">
        <f t="shared" si="421"/>
        <v>1.4999999999999999E-2</v>
      </c>
      <c r="AY915" s="1" t="s">
        <v>511</v>
      </c>
      <c r="AZ915" s="1">
        <f t="shared" si="422"/>
        <v>100</v>
      </c>
      <c r="BA915" s="1" t="s">
        <v>55</v>
      </c>
      <c r="BB915" s="1">
        <v>5</v>
      </c>
      <c r="BC915" s="1">
        <v>500</v>
      </c>
      <c r="BD915" s="26">
        <f t="shared" si="423"/>
        <v>48.8</v>
      </c>
      <c r="BE915" s="16">
        <f t="shared" si="416"/>
        <v>3253.3333333333335</v>
      </c>
      <c r="BF915" s="16">
        <f t="shared" si="434"/>
        <v>3.5123285629470296</v>
      </c>
      <c r="BG915" s="8">
        <f t="shared" si="397"/>
        <v>1.6884198220027107</v>
      </c>
      <c r="BH915" s="13" t="s">
        <v>782</v>
      </c>
      <c r="BI915" s="8">
        <v>48.8</v>
      </c>
      <c r="BJ915" s="13" t="s">
        <v>349</v>
      </c>
      <c r="BK915" s="15">
        <v>1</v>
      </c>
      <c r="BL915" s="16">
        <f t="shared" si="424"/>
        <v>48.8</v>
      </c>
      <c r="BM915" s="18">
        <f>'PFAS Properties'!$U$46</f>
        <v>10.39</v>
      </c>
      <c r="BN915" s="8">
        <f t="shared" si="425"/>
        <v>507.03199999999998</v>
      </c>
      <c r="BO915" s="24">
        <f t="shared" si="426"/>
        <v>48.8</v>
      </c>
      <c r="BP915" s="11"/>
      <c r="BQ915" s="11"/>
    </row>
    <row r="916" spans="1:69" x14ac:dyDescent="0.3">
      <c r="A916" s="20">
        <v>935</v>
      </c>
      <c r="B916" s="2" t="s">
        <v>189</v>
      </c>
      <c r="C916" s="2">
        <v>2021</v>
      </c>
      <c r="D916" s="2" t="s">
        <v>510</v>
      </c>
      <c r="E916" s="41" t="s">
        <v>804</v>
      </c>
      <c r="F916" s="20" t="s">
        <v>29</v>
      </c>
      <c r="G916" s="2" t="s">
        <v>425</v>
      </c>
      <c r="H916" s="2" t="str">
        <f>'PFAS Properties'!$B$46</f>
        <v>PFOS</v>
      </c>
      <c r="I916" s="2" t="str">
        <f>'PFAS Properties'!$C$46</f>
        <v>PFSA</v>
      </c>
      <c r="J916" s="2" t="str">
        <f>'PFAS Properties'!$D$46</f>
        <v>C8HF17O3S</v>
      </c>
      <c r="K916" s="25">
        <f>'PFAS Properties'!$P$46</f>
        <v>499.93739999999997</v>
      </c>
      <c r="L916" s="2">
        <f>'PFAS Properties'!$X$46</f>
        <v>0.1</v>
      </c>
      <c r="M916" s="2" t="str">
        <f>'PFAS Properties'!$Y$46</f>
        <v>-</v>
      </c>
      <c r="N916" s="33">
        <v>0</v>
      </c>
      <c r="O916" s="33">
        <v>0</v>
      </c>
      <c r="P916" s="33">
        <v>0</v>
      </c>
      <c r="Q916" s="33">
        <f t="shared" si="427"/>
        <v>0.99999922375348593</v>
      </c>
      <c r="R916" s="33">
        <v>0</v>
      </c>
      <c r="S916" s="33">
        <f t="shared" si="428"/>
        <v>7.7624651406957183E-7</v>
      </c>
      <c r="T916" s="8">
        <f t="shared" si="413"/>
        <v>1</v>
      </c>
      <c r="U916" s="33">
        <f t="shared" si="429"/>
        <v>0</v>
      </c>
      <c r="V916" s="33">
        <f t="shared" si="430"/>
        <v>-0.99999922375348593</v>
      </c>
      <c r="W916" s="33">
        <f t="shared" si="431"/>
        <v>498.93740077624648</v>
      </c>
      <c r="X916" s="33">
        <v>96485</v>
      </c>
      <c r="Y916" s="16">
        <f t="shared" si="432"/>
        <v>-193.38082283217074</v>
      </c>
      <c r="Z916" s="16">
        <v>8</v>
      </c>
      <c r="AA916" s="16">
        <v>17</v>
      </c>
      <c r="AB916" s="8">
        <f t="shared" si="433"/>
        <v>0.29721362229102166</v>
      </c>
      <c r="AC916" s="16">
        <f t="shared" si="415"/>
        <v>64.60808893273439</v>
      </c>
      <c r="AD916" s="20">
        <f>'PFAS Properties'!$W$46</f>
        <v>8</v>
      </c>
      <c r="AE916" s="8">
        <f>'PFAS Properties'!$S$46</f>
        <v>2.0166155475571776</v>
      </c>
      <c r="AF916" s="15">
        <f>'PFAS Properties'!$V$46</f>
        <v>5</v>
      </c>
      <c r="AG916" s="26">
        <v>6.21</v>
      </c>
      <c r="AH916" s="1" t="s">
        <v>190</v>
      </c>
      <c r="AI916" s="39">
        <f t="shared" si="417"/>
        <v>135.87088500000002</v>
      </c>
      <c r="AJ916" s="1">
        <v>2433</v>
      </c>
      <c r="AK916" s="8">
        <f t="shared" si="418"/>
        <v>13.587088500000002</v>
      </c>
      <c r="AL916" s="39">
        <f t="shared" si="419"/>
        <v>85.661500000000004</v>
      </c>
      <c r="AM916" s="1">
        <v>3175</v>
      </c>
      <c r="AN916" s="8">
        <f t="shared" si="420"/>
        <v>8.5661500000000004</v>
      </c>
      <c r="AO916" s="3" t="s">
        <v>93</v>
      </c>
      <c r="AP916" s="3">
        <v>5.4</v>
      </c>
      <c r="AQ916" s="3" t="s">
        <v>661</v>
      </c>
      <c r="AR916" s="4">
        <v>36.4</v>
      </c>
      <c r="AS916" s="4">
        <v>28.4</v>
      </c>
      <c r="AT916" s="4">
        <v>35.200000000000003</v>
      </c>
      <c r="AU916" s="3" t="s">
        <v>661</v>
      </c>
      <c r="AV916" s="16">
        <f t="shared" si="414"/>
        <v>100</v>
      </c>
      <c r="AW916" s="7">
        <v>1.7</v>
      </c>
      <c r="AX916" s="13">
        <f t="shared" si="421"/>
        <v>1.7000000000000001E-2</v>
      </c>
      <c r="AY916" s="1" t="s">
        <v>511</v>
      </c>
      <c r="AZ916" s="1">
        <f t="shared" si="422"/>
        <v>100</v>
      </c>
      <c r="BA916" s="1" t="s">
        <v>55</v>
      </c>
      <c r="BB916" s="1">
        <v>5</v>
      </c>
      <c r="BC916" s="1">
        <v>500</v>
      </c>
      <c r="BD916" s="26">
        <f t="shared" si="423"/>
        <v>44.694968168689336</v>
      </c>
      <c r="BE916" s="16">
        <f t="shared" si="416"/>
        <v>2629.115774628784</v>
      </c>
      <c r="BF916" s="16">
        <f t="shared" si="434"/>
        <v>3.4198097109353274</v>
      </c>
      <c r="BG916" s="8">
        <f t="shared" si="397"/>
        <v>1.6502586323136015</v>
      </c>
      <c r="BH916" s="13" t="s">
        <v>782</v>
      </c>
      <c r="BI916" s="8">
        <v>114</v>
      </c>
      <c r="BJ916" s="13" t="s">
        <v>349</v>
      </c>
      <c r="BK916" s="15">
        <v>0.6</v>
      </c>
      <c r="BL916" s="16">
        <f t="shared" si="424"/>
        <v>114</v>
      </c>
      <c r="BM916" s="18">
        <f>'PFAS Properties'!$U$46</f>
        <v>10.39</v>
      </c>
      <c r="BN916" s="8">
        <f t="shared" si="425"/>
        <v>464.38071927268226</v>
      </c>
      <c r="BO916" s="24">
        <f t="shared" si="426"/>
        <v>44.694968168689336</v>
      </c>
      <c r="BP916" s="11"/>
      <c r="BQ916" s="11"/>
    </row>
    <row r="917" spans="1:69" x14ac:dyDescent="0.3">
      <c r="A917" s="20">
        <v>936</v>
      </c>
      <c r="B917" s="2" t="s">
        <v>189</v>
      </c>
      <c r="C917" s="2">
        <v>2021</v>
      </c>
      <c r="D917" s="2" t="s">
        <v>510</v>
      </c>
      <c r="E917" s="41" t="s">
        <v>804</v>
      </c>
      <c r="F917" s="20" t="s">
        <v>29</v>
      </c>
      <c r="G917" s="2" t="s">
        <v>426</v>
      </c>
      <c r="H917" s="2" t="str">
        <f>'PFAS Properties'!$B$46</f>
        <v>PFOS</v>
      </c>
      <c r="I917" s="2" t="str">
        <f>'PFAS Properties'!$C$46</f>
        <v>PFSA</v>
      </c>
      <c r="J917" s="2" t="str">
        <f>'PFAS Properties'!$D$46</f>
        <v>C8HF17O3S</v>
      </c>
      <c r="K917" s="25">
        <f>'PFAS Properties'!$P$46</f>
        <v>499.93739999999997</v>
      </c>
      <c r="L917" s="2">
        <f>'PFAS Properties'!$X$46</f>
        <v>0.1</v>
      </c>
      <c r="M917" s="2" t="str">
        <f>'PFAS Properties'!$Y$46</f>
        <v>-</v>
      </c>
      <c r="N917" s="33">
        <v>0</v>
      </c>
      <c r="O917" s="33">
        <v>0</v>
      </c>
      <c r="P917" s="33">
        <v>0</v>
      </c>
      <c r="Q917" s="33">
        <f t="shared" si="427"/>
        <v>0.99999066754408761</v>
      </c>
      <c r="R917" s="33">
        <v>0</v>
      </c>
      <c r="S917" s="33">
        <f t="shared" si="428"/>
        <v>9.3324559124237225E-6</v>
      </c>
      <c r="T917" s="8">
        <f t="shared" si="413"/>
        <v>1</v>
      </c>
      <c r="U917" s="33">
        <f t="shared" si="429"/>
        <v>0</v>
      </c>
      <c r="V917" s="33">
        <f t="shared" si="430"/>
        <v>-0.99999066754408761</v>
      </c>
      <c r="W917" s="33">
        <f t="shared" si="431"/>
        <v>498.9374093324559</v>
      </c>
      <c r="X917" s="33">
        <v>96485</v>
      </c>
      <c r="Y917" s="16">
        <f t="shared" si="432"/>
        <v>-193.37916490783965</v>
      </c>
      <c r="Z917" s="16">
        <v>8</v>
      </c>
      <c r="AA917" s="16">
        <v>17</v>
      </c>
      <c r="AB917" s="8">
        <f t="shared" si="433"/>
        <v>0.29721362229102166</v>
      </c>
      <c r="AC917" s="16">
        <f t="shared" si="415"/>
        <v>64.60808893273439</v>
      </c>
      <c r="AD917" s="20">
        <f>'PFAS Properties'!$W$46</f>
        <v>8</v>
      </c>
      <c r="AE917" s="8">
        <f>'PFAS Properties'!$S$46</f>
        <v>2.0166155475571776</v>
      </c>
      <c r="AF917" s="15">
        <f>'PFAS Properties'!$V$46</f>
        <v>5</v>
      </c>
      <c r="AG917" s="26">
        <v>5.13</v>
      </c>
      <c r="AH917" s="1" t="s">
        <v>190</v>
      </c>
      <c r="AI917" s="39">
        <f t="shared" si="417"/>
        <v>13.123574999999999</v>
      </c>
      <c r="AJ917" s="1">
        <v>235</v>
      </c>
      <c r="AK917" s="8">
        <f t="shared" si="418"/>
        <v>1.3123574999999998</v>
      </c>
      <c r="AL917" s="39">
        <f t="shared" si="419"/>
        <v>19.344660000000001</v>
      </c>
      <c r="AM917" s="1">
        <v>717</v>
      </c>
      <c r="AN917" s="8">
        <f t="shared" si="420"/>
        <v>1.934466</v>
      </c>
      <c r="AO917" s="3" t="s">
        <v>93</v>
      </c>
      <c r="AP917" s="3">
        <v>4.0999999999999996</v>
      </c>
      <c r="AQ917" s="3" t="s">
        <v>661</v>
      </c>
      <c r="AR917" s="4">
        <v>56</v>
      </c>
      <c r="AS917" s="4">
        <v>34.700000000000003</v>
      </c>
      <c r="AT917" s="4">
        <v>9.1999999999999993</v>
      </c>
      <c r="AU917" s="3" t="s">
        <v>661</v>
      </c>
      <c r="AV917" s="16">
        <f t="shared" si="414"/>
        <v>99.9</v>
      </c>
      <c r="AW917" s="7">
        <v>3.2</v>
      </c>
      <c r="AX917" s="13">
        <f t="shared" si="421"/>
        <v>3.2000000000000001E-2</v>
      </c>
      <c r="AY917" s="1" t="s">
        <v>511</v>
      </c>
      <c r="AZ917" s="1">
        <f t="shared" si="422"/>
        <v>100</v>
      </c>
      <c r="BA917" s="1" t="s">
        <v>55</v>
      </c>
      <c r="BB917" s="1">
        <v>5</v>
      </c>
      <c r="BC917" s="1">
        <v>500</v>
      </c>
      <c r="BD917" s="26">
        <f t="shared" si="423"/>
        <v>40.511765596743814</v>
      </c>
      <c r="BE917" s="16">
        <f t="shared" si="416"/>
        <v>1265.9926748982441</v>
      </c>
      <c r="BF917" s="16">
        <f t="shared" si="434"/>
        <v>3.1024311928373587</v>
      </c>
      <c r="BG917" s="8">
        <f t="shared" si="397"/>
        <v>1.607581171157265</v>
      </c>
      <c r="BH917" s="13" t="s">
        <v>782</v>
      </c>
      <c r="BI917" s="8">
        <v>64.7</v>
      </c>
      <c r="BJ917" s="13" t="s">
        <v>349</v>
      </c>
      <c r="BK917" s="15">
        <v>0.8</v>
      </c>
      <c r="BL917" s="16">
        <f t="shared" si="424"/>
        <v>64.7</v>
      </c>
      <c r="BM917" s="18">
        <f>'PFAS Properties'!$U$46</f>
        <v>10.39</v>
      </c>
      <c r="BN917" s="8">
        <f t="shared" si="425"/>
        <v>420.91724455016828</v>
      </c>
      <c r="BO917" s="24">
        <f t="shared" si="426"/>
        <v>40.511765596743814</v>
      </c>
      <c r="BP917" s="11"/>
      <c r="BQ917" s="11"/>
    </row>
    <row r="918" spans="1:69" x14ac:dyDescent="0.3">
      <c r="A918" s="20">
        <v>937</v>
      </c>
      <c r="B918" s="2" t="s">
        <v>189</v>
      </c>
      <c r="C918" s="2">
        <v>2021</v>
      </c>
      <c r="D918" s="2" t="s">
        <v>510</v>
      </c>
      <c r="E918" s="41" t="s">
        <v>804</v>
      </c>
      <c r="F918" s="20" t="s">
        <v>29</v>
      </c>
      <c r="G918" s="2" t="s">
        <v>427</v>
      </c>
      <c r="H918" s="2" t="str">
        <f>'PFAS Properties'!$B$46</f>
        <v>PFOS</v>
      </c>
      <c r="I918" s="2" t="str">
        <f>'PFAS Properties'!$C$46</f>
        <v>PFSA</v>
      </c>
      <c r="J918" s="2" t="str">
        <f>'PFAS Properties'!$D$46</f>
        <v>C8HF17O3S</v>
      </c>
      <c r="K918" s="25">
        <f>'PFAS Properties'!$P$46</f>
        <v>499.93739999999997</v>
      </c>
      <c r="L918" s="2">
        <f>'PFAS Properties'!$X$46</f>
        <v>0.1</v>
      </c>
      <c r="M918" s="2" t="str">
        <f>'PFAS Properties'!$Y$46</f>
        <v>-</v>
      </c>
      <c r="N918" s="33">
        <v>0</v>
      </c>
      <c r="O918" s="33">
        <v>0</v>
      </c>
      <c r="P918" s="33">
        <v>0</v>
      </c>
      <c r="Q918" s="33">
        <f t="shared" si="427"/>
        <v>0.99999999424560071</v>
      </c>
      <c r="R918" s="33">
        <v>0</v>
      </c>
      <c r="S918" s="33">
        <f t="shared" si="428"/>
        <v>5.75439934025844E-9</v>
      </c>
      <c r="T918" s="8">
        <f t="shared" si="413"/>
        <v>1</v>
      </c>
      <c r="U918" s="33">
        <f t="shared" si="429"/>
        <v>0</v>
      </c>
      <c r="V918" s="33">
        <f t="shared" si="430"/>
        <v>-0.99999999424560071</v>
      </c>
      <c r="W918" s="33">
        <f t="shared" si="431"/>
        <v>498.9374000057544</v>
      </c>
      <c r="X918" s="33">
        <v>96485</v>
      </c>
      <c r="Y918" s="16">
        <f t="shared" si="432"/>
        <v>-193.38097212931723</v>
      </c>
      <c r="Z918" s="16">
        <v>8</v>
      </c>
      <c r="AA918" s="16">
        <v>17</v>
      </c>
      <c r="AB918" s="8">
        <f t="shared" si="433"/>
        <v>0.29721362229102166</v>
      </c>
      <c r="AC918" s="16">
        <f t="shared" si="415"/>
        <v>64.60808893273439</v>
      </c>
      <c r="AD918" s="20">
        <f>'PFAS Properties'!$W$46</f>
        <v>8</v>
      </c>
      <c r="AE918" s="8">
        <f>'PFAS Properties'!$S$46</f>
        <v>2.0166155475571776</v>
      </c>
      <c r="AF918" s="15">
        <f>'PFAS Properties'!$V$46</f>
        <v>5</v>
      </c>
      <c r="AG918" s="26">
        <v>8.34</v>
      </c>
      <c r="AH918" s="1" t="s">
        <v>190</v>
      </c>
      <c r="AI918" s="39">
        <f t="shared" si="417"/>
        <v>15.469065000000001</v>
      </c>
      <c r="AJ918" s="1">
        <v>277</v>
      </c>
      <c r="AK918" s="8">
        <f t="shared" si="418"/>
        <v>1.5469065</v>
      </c>
      <c r="AL918" s="39">
        <f t="shared" si="419"/>
        <v>29.219339999999999</v>
      </c>
      <c r="AM918" s="1">
        <v>1083</v>
      </c>
      <c r="AN918" s="8">
        <f t="shared" si="420"/>
        <v>2.9219339999999998</v>
      </c>
      <c r="AO918" s="3" t="s">
        <v>93</v>
      </c>
      <c r="AP918" s="3">
        <v>19.899999999999999</v>
      </c>
      <c r="AQ918" s="3" t="s">
        <v>661</v>
      </c>
      <c r="AR918" s="4">
        <v>58.8</v>
      </c>
      <c r="AS918" s="4">
        <v>23.8</v>
      </c>
      <c r="AT918" s="4">
        <v>17.5</v>
      </c>
      <c r="AU918" s="3" t="s">
        <v>661</v>
      </c>
      <c r="AV918" s="16">
        <f t="shared" si="414"/>
        <v>100.1</v>
      </c>
      <c r="AW918" s="7">
        <v>3.5</v>
      </c>
      <c r="AX918" s="13">
        <f t="shared" si="421"/>
        <v>3.5000000000000003E-2</v>
      </c>
      <c r="AY918" s="1" t="s">
        <v>511</v>
      </c>
      <c r="AZ918" s="1">
        <f t="shared" si="422"/>
        <v>100</v>
      </c>
      <c r="BA918" s="1" t="s">
        <v>55</v>
      </c>
      <c r="BB918" s="1">
        <v>5</v>
      </c>
      <c r="BC918" s="1">
        <v>500</v>
      </c>
      <c r="BD918" s="26">
        <f t="shared" si="423"/>
        <v>75.964324147034844</v>
      </c>
      <c r="BE918" s="16">
        <f t="shared" si="416"/>
        <v>2170.4092613438524</v>
      </c>
      <c r="BF918" s="16">
        <f t="shared" si="434"/>
        <v>3.3365416339335749</v>
      </c>
      <c r="BG918" s="8">
        <f t="shared" si="397"/>
        <v>1.8806096782838506</v>
      </c>
      <c r="BH918" s="13" t="s">
        <v>782</v>
      </c>
      <c r="BI918" s="8">
        <v>96</v>
      </c>
      <c r="BJ918" s="13" t="s">
        <v>349</v>
      </c>
      <c r="BK918" s="15">
        <v>0.9</v>
      </c>
      <c r="BL918" s="16">
        <f t="shared" si="424"/>
        <v>96</v>
      </c>
      <c r="BM918" s="18">
        <f>'PFAS Properties'!$U$46</f>
        <v>10.39</v>
      </c>
      <c r="BN918" s="8">
        <f t="shared" si="425"/>
        <v>789.26932788769204</v>
      </c>
      <c r="BO918" s="24">
        <f t="shared" si="426"/>
        <v>75.964324147034844</v>
      </c>
      <c r="BP918" s="11"/>
      <c r="BQ918" s="11"/>
    </row>
    <row r="919" spans="1:69" x14ac:dyDescent="0.3">
      <c r="A919" s="20">
        <v>938</v>
      </c>
      <c r="B919" s="2" t="s">
        <v>189</v>
      </c>
      <c r="C919" s="2">
        <v>2021</v>
      </c>
      <c r="D919" s="2" t="s">
        <v>510</v>
      </c>
      <c r="E919" s="41" t="s">
        <v>804</v>
      </c>
      <c r="F919" s="20" t="s">
        <v>29</v>
      </c>
      <c r="G919" s="2" t="s">
        <v>428</v>
      </c>
      <c r="H919" s="2" t="str">
        <f>'PFAS Properties'!$B$46</f>
        <v>PFOS</v>
      </c>
      <c r="I919" s="2" t="str">
        <f>'PFAS Properties'!$C$46</f>
        <v>PFSA</v>
      </c>
      <c r="J919" s="2" t="str">
        <f>'PFAS Properties'!$D$46</f>
        <v>C8HF17O3S</v>
      </c>
      <c r="K919" s="25">
        <f>'PFAS Properties'!$P$46</f>
        <v>499.93739999999997</v>
      </c>
      <c r="L919" s="2">
        <f>'PFAS Properties'!$X$46</f>
        <v>0.1</v>
      </c>
      <c r="M919" s="2" t="str">
        <f>'PFAS Properties'!$Y$46</f>
        <v>-</v>
      </c>
      <c r="N919" s="33">
        <v>0</v>
      </c>
      <c r="O919" s="33">
        <v>0</v>
      </c>
      <c r="P919" s="33">
        <v>0</v>
      </c>
      <c r="Q919" s="33">
        <f t="shared" si="427"/>
        <v>0.99998711767043957</v>
      </c>
      <c r="R919" s="33">
        <v>0</v>
      </c>
      <c r="S919" s="33">
        <f t="shared" si="428"/>
        <v>1.2882329560378492E-5</v>
      </c>
      <c r="T919" s="8">
        <f t="shared" si="413"/>
        <v>1</v>
      </c>
      <c r="U919" s="33">
        <f t="shared" si="429"/>
        <v>0</v>
      </c>
      <c r="V919" s="33">
        <f t="shared" si="430"/>
        <v>-0.99998711767043957</v>
      </c>
      <c r="W919" s="33">
        <f t="shared" si="431"/>
        <v>498.93741288232951</v>
      </c>
      <c r="X919" s="33">
        <v>96485</v>
      </c>
      <c r="Y919" s="16">
        <f t="shared" si="432"/>
        <v>-193.37847705396931</v>
      </c>
      <c r="Z919" s="16">
        <v>8</v>
      </c>
      <c r="AA919" s="16">
        <v>17</v>
      </c>
      <c r="AB919" s="8">
        <f t="shared" si="433"/>
        <v>0.29721362229102166</v>
      </c>
      <c r="AC919" s="16">
        <f t="shared" si="415"/>
        <v>64.60808893273439</v>
      </c>
      <c r="AD919" s="20">
        <f>'PFAS Properties'!$W$46</f>
        <v>8</v>
      </c>
      <c r="AE919" s="8">
        <f>'PFAS Properties'!$S$46</f>
        <v>2.0166155475571776</v>
      </c>
      <c r="AF919" s="15">
        <f>'PFAS Properties'!$V$46</f>
        <v>5</v>
      </c>
      <c r="AG919" s="26">
        <v>4.99</v>
      </c>
      <c r="AH919" s="1" t="s">
        <v>190</v>
      </c>
      <c r="AI919" s="39">
        <f t="shared" si="417"/>
        <v>66.846464999999995</v>
      </c>
      <c r="AJ919" s="1">
        <v>1197</v>
      </c>
      <c r="AK919" s="8">
        <f t="shared" si="418"/>
        <v>6.6846464999999995</v>
      </c>
      <c r="AL919" s="39">
        <f t="shared" si="419"/>
        <v>37.016559999999998</v>
      </c>
      <c r="AM919" s="1">
        <v>1372</v>
      </c>
      <c r="AN919" s="8">
        <f t="shared" si="420"/>
        <v>3.7016559999999998</v>
      </c>
      <c r="AO919" s="3" t="s">
        <v>93</v>
      </c>
      <c r="AP919" s="3">
        <v>5.3</v>
      </c>
      <c r="AQ919" s="3" t="s">
        <v>661</v>
      </c>
      <c r="AR919" s="4">
        <v>36.9</v>
      </c>
      <c r="AS919" s="4">
        <v>27.5</v>
      </c>
      <c r="AT919" s="4">
        <v>35.6</v>
      </c>
      <c r="AU919" s="3" t="s">
        <v>661</v>
      </c>
      <c r="AV919" s="16">
        <f t="shared" si="414"/>
        <v>100</v>
      </c>
      <c r="AW919" s="7">
        <v>3.5</v>
      </c>
      <c r="AX919" s="13">
        <f t="shared" si="421"/>
        <v>3.5000000000000003E-2</v>
      </c>
      <c r="AY919" s="1" t="s">
        <v>511</v>
      </c>
      <c r="AZ919" s="1">
        <f t="shared" si="422"/>
        <v>100</v>
      </c>
      <c r="BA919" s="1" t="s">
        <v>55</v>
      </c>
      <c r="BB919" s="1">
        <v>5</v>
      </c>
      <c r="BC919" s="1">
        <v>500</v>
      </c>
      <c r="BD919" s="26">
        <f t="shared" si="423"/>
        <v>91.668044565120468</v>
      </c>
      <c r="BE919" s="16">
        <f t="shared" si="416"/>
        <v>2619.0869875748704</v>
      </c>
      <c r="BF919" s="16">
        <f t="shared" si="434"/>
        <v>3.4181499228606618</v>
      </c>
      <c r="BG919" s="8">
        <f t="shared" si="397"/>
        <v>1.9622179672109377</v>
      </c>
      <c r="BH919" s="13" t="s">
        <v>782</v>
      </c>
      <c r="BI919" s="8">
        <v>146.4</v>
      </c>
      <c r="BJ919" s="13" t="s">
        <v>349</v>
      </c>
      <c r="BK919" s="15">
        <v>0.8</v>
      </c>
      <c r="BL919" s="16">
        <f t="shared" si="424"/>
        <v>146.4</v>
      </c>
      <c r="BM919" s="18">
        <f>'PFAS Properties'!$U$46</f>
        <v>10.39</v>
      </c>
      <c r="BN919" s="8">
        <f t="shared" si="425"/>
        <v>952.43098303160173</v>
      </c>
      <c r="BO919" s="24">
        <f t="shared" si="426"/>
        <v>91.668044565120468</v>
      </c>
      <c r="BP919" s="11"/>
      <c r="BQ919" s="11"/>
    </row>
    <row r="920" spans="1:69" x14ac:dyDescent="0.3">
      <c r="A920" s="20">
        <v>939</v>
      </c>
      <c r="B920" s="2" t="s">
        <v>189</v>
      </c>
      <c r="C920" s="2">
        <v>2021</v>
      </c>
      <c r="D920" s="2" t="s">
        <v>510</v>
      </c>
      <c r="E920" s="41" t="s">
        <v>804</v>
      </c>
      <c r="F920" s="20" t="s">
        <v>29</v>
      </c>
      <c r="G920" s="2" t="s">
        <v>429</v>
      </c>
      <c r="H920" s="2" t="str">
        <f>'PFAS Properties'!$B$46</f>
        <v>PFOS</v>
      </c>
      <c r="I920" s="2" t="str">
        <f>'PFAS Properties'!$C$46</f>
        <v>PFSA</v>
      </c>
      <c r="J920" s="2" t="str">
        <f>'PFAS Properties'!$D$46</f>
        <v>C8HF17O3S</v>
      </c>
      <c r="K920" s="25">
        <f>'PFAS Properties'!$P$46</f>
        <v>499.93739999999997</v>
      </c>
      <c r="L920" s="2">
        <f>'PFAS Properties'!$X$46</f>
        <v>0.1</v>
      </c>
      <c r="M920" s="2" t="str">
        <f>'PFAS Properties'!$Y$46</f>
        <v>-</v>
      </c>
      <c r="N920" s="33">
        <v>0</v>
      </c>
      <c r="O920" s="33">
        <v>0</v>
      </c>
      <c r="P920" s="33">
        <v>0</v>
      </c>
      <c r="Q920" s="33">
        <f t="shared" si="427"/>
        <v>0.99999991488620343</v>
      </c>
      <c r="R920" s="33">
        <v>0</v>
      </c>
      <c r="S920" s="33">
        <f t="shared" si="428"/>
        <v>8.5113796575878369E-8</v>
      </c>
      <c r="T920" s="8">
        <f t="shared" si="413"/>
        <v>1</v>
      </c>
      <c r="U920" s="33">
        <f t="shared" si="429"/>
        <v>0</v>
      </c>
      <c r="V920" s="33">
        <f t="shared" si="430"/>
        <v>-0.99999991488620343</v>
      </c>
      <c r="W920" s="33">
        <f t="shared" si="431"/>
        <v>498.93740008511378</v>
      </c>
      <c r="X920" s="33">
        <v>96485</v>
      </c>
      <c r="Y920" s="16">
        <f t="shared" si="432"/>
        <v>-193.38095675196118</v>
      </c>
      <c r="Z920" s="16">
        <v>8</v>
      </c>
      <c r="AA920" s="16">
        <v>17</v>
      </c>
      <c r="AB920" s="8">
        <f t="shared" si="433"/>
        <v>0.29721362229102166</v>
      </c>
      <c r="AC920" s="16">
        <f t="shared" si="415"/>
        <v>64.60808893273439</v>
      </c>
      <c r="AD920" s="20">
        <f>'PFAS Properties'!$W$46</f>
        <v>8</v>
      </c>
      <c r="AE920" s="8">
        <f>'PFAS Properties'!$S$46</f>
        <v>2.0166155475571776</v>
      </c>
      <c r="AF920" s="15">
        <f>'PFAS Properties'!$V$46</f>
        <v>5</v>
      </c>
      <c r="AG920" s="26">
        <v>7.17</v>
      </c>
      <c r="AH920" s="1" t="s">
        <v>190</v>
      </c>
      <c r="AI920" s="39">
        <f t="shared" si="417"/>
        <v>14.687235000000001</v>
      </c>
      <c r="AJ920" s="1">
        <v>263</v>
      </c>
      <c r="AK920" s="8">
        <f t="shared" si="418"/>
        <v>1.4687235000000001</v>
      </c>
      <c r="AL920" s="39">
        <f t="shared" si="419"/>
        <v>5.74674</v>
      </c>
      <c r="AM920" s="1">
        <v>213</v>
      </c>
      <c r="AN920" s="8">
        <f t="shared" si="420"/>
        <v>0.57467400000000002</v>
      </c>
      <c r="AO920" s="3" t="s">
        <v>93</v>
      </c>
      <c r="AP920" s="3">
        <v>2.2999999999999998</v>
      </c>
      <c r="AQ920" s="3" t="s">
        <v>661</v>
      </c>
      <c r="AR920" s="4">
        <v>96.9</v>
      </c>
      <c r="AS920" s="4">
        <v>0</v>
      </c>
      <c r="AT920" s="4">
        <v>3.1</v>
      </c>
      <c r="AU920" s="3" t="s">
        <v>661</v>
      </c>
      <c r="AV920" s="16">
        <f t="shared" si="414"/>
        <v>100</v>
      </c>
      <c r="AW920" s="7">
        <v>0.2</v>
      </c>
      <c r="AX920" s="13">
        <f t="shared" si="421"/>
        <v>2E-3</v>
      </c>
      <c r="AY920" s="1" t="s">
        <v>511</v>
      </c>
      <c r="AZ920" s="1">
        <f t="shared" si="422"/>
        <v>100</v>
      </c>
      <c r="BA920" s="1" t="s">
        <v>55</v>
      </c>
      <c r="BB920" s="1">
        <v>5</v>
      </c>
      <c r="BC920" s="1">
        <v>500</v>
      </c>
      <c r="BD920" s="26">
        <f t="shared" si="423"/>
        <v>21.915174588655852</v>
      </c>
      <c r="BE920" s="16">
        <f t="shared" si="416"/>
        <v>10957.587294327926</v>
      </c>
      <c r="BF920" s="16">
        <f t="shared" si="434"/>
        <v>4.0397149391748588</v>
      </c>
      <c r="BG920" s="8">
        <f t="shared" si="397"/>
        <v>1.3407449348388403</v>
      </c>
      <c r="BH920" s="13" t="s">
        <v>782</v>
      </c>
      <c r="BI920" s="8">
        <v>35</v>
      </c>
      <c r="BJ920" s="13" t="s">
        <v>349</v>
      </c>
      <c r="BK920" s="15">
        <v>0.8</v>
      </c>
      <c r="BL920" s="16">
        <f t="shared" si="424"/>
        <v>35</v>
      </c>
      <c r="BM920" s="18">
        <f>'PFAS Properties'!$U$46</f>
        <v>10.39</v>
      </c>
      <c r="BN920" s="8">
        <f t="shared" si="425"/>
        <v>227.6986639761343</v>
      </c>
      <c r="BO920" s="24">
        <f t="shared" si="426"/>
        <v>21.915174588655852</v>
      </c>
      <c r="BP920" s="11"/>
      <c r="BQ920" s="11"/>
    </row>
    <row r="921" spans="1:69" x14ac:dyDescent="0.3">
      <c r="A921" s="20">
        <v>941</v>
      </c>
      <c r="B921" s="2" t="s">
        <v>189</v>
      </c>
      <c r="C921" s="2">
        <v>2021</v>
      </c>
      <c r="D921" s="2" t="s">
        <v>510</v>
      </c>
      <c r="E921" s="41" t="s">
        <v>804</v>
      </c>
      <c r="F921" s="20" t="s">
        <v>29</v>
      </c>
      <c r="G921" s="2" t="s">
        <v>431</v>
      </c>
      <c r="H921" s="2" t="str">
        <f>'PFAS Properties'!$B$46</f>
        <v>PFOS</v>
      </c>
      <c r="I921" s="2" t="str">
        <f>'PFAS Properties'!$C$46</f>
        <v>PFSA</v>
      </c>
      <c r="J921" s="2" t="str">
        <f>'PFAS Properties'!$D$46</f>
        <v>C8HF17O3S</v>
      </c>
      <c r="K921" s="25">
        <f>'PFAS Properties'!$P$46</f>
        <v>499.93739999999997</v>
      </c>
      <c r="L921" s="2">
        <f>'PFAS Properties'!$X$46</f>
        <v>0.1</v>
      </c>
      <c r="M921" s="2" t="str">
        <f>'PFAS Properties'!$Y$46</f>
        <v>-</v>
      </c>
      <c r="N921" s="33">
        <v>0</v>
      </c>
      <c r="O921" s="33">
        <v>0</v>
      </c>
      <c r="P921" s="33">
        <v>0</v>
      </c>
      <c r="Q921" s="33">
        <f t="shared" si="427"/>
        <v>0.99999999108749071</v>
      </c>
      <c r="R921" s="33">
        <v>0</v>
      </c>
      <c r="S921" s="33">
        <f t="shared" si="428"/>
        <v>8.9125093019045892E-9</v>
      </c>
      <c r="T921" s="8">
        <f t="shared" si="413"/>
        <v>1</v>
      </c>
      <c r="U921" s="33">
        <f t="shared" si="429"/>
        <v>0</v>
      </c>
      <c r="V921" s="33">
        <f t="shared" si="430"/>
        <v>-0.99999999108749071</v>
      </c>
      <c r="W921" s="33">
        <f t="shared" si="431"/>
        <v>498.9374000089125</v>
      </c>
      <c r="X921" s="33">
        <v>96485</v>
      </c>
      <c r="Y921" s="16">
        <f t="shared" si="432"/>
        <v>-193.3809715173748</v>
      </c>
      <c r="Z921" s="16">
        <v>8</v>
      </c>
      <c r="AA921" s="16">
        <v>17</v>
      </c>
      <c r="AB921" s="8">
        <f t="shared" si="433"/>
        <v>0.29721362229102166</v>
      </c>
      <c r="AC921" s="16">
        <f t="shared" si="415"/>
        <v>64.60808893273439</v>
      </c>
      <c r="AD921" s="20">
        <f>'PFAS Properties'!$W$46</f>
        <v>8</v>
      </c>
      <c r="AE921" s="8">
        <f>'PFAS Properties'!$S$46</f>
        <v>2.0166155475571776</v>
      </c>
      <c r="AF921" s="15">
        <f>'PFAS Properties'!$V$46</f>
        <v>5</v>
      </c>
      <c r="AG921" s="26">
        <v>8.15</v>
      </c>
      <c r="AH921" s="1" t="s">
        <v>190</v>
      </c>
      <c r="AI921" s="39">
        <f t="shared" si="417"/>
        <v>28.48095</v>
      </c>
      <c r="AJ921" s="1">
        <v>510</v>
      </c>
      <c r="AK921" s="8">
        <f t="shared" si="418"/>
        <v>2.8480949999999998</v>
      </c>
      <c r="AL921" s="39">
        <f t="shared" si="419"/>
        <v>6.9608400000000001</v>
      </c>
      <c r="AM921" s="1">
        <v>258</v>
      </c>
      <c r="AN921" s="8">
        <f t="shared" si="420"/>
        <v>0.69608400000000004</v>
      </c>
      <c r="AO921" s="3" t="s">
        <v>93</v>
      </c>
      <c r="AP921" s="3">
        <v>4.5999999999999996</v>
      </c>
      <c r="AQ921" s="3" t="s">
        <v>661</v>
      </c>
      <c r="AR921" s="4">
        <v>84.8</v>
      </c>
      <c r="AS921" s="4">
        <v>8.6</v>
      </c>
      <c r="AT921" s="4">
        <v>6.6</v>
      </c>
      <c r="AU921" s="3" t="s">
        <v>661</v>
      </c>
      <c r="AV921" s="16">
        <f t="shared" si="414"/>
        <v>99.999999999999986</v>
      </c>
      <c r="AW921" s="7">
        <v>3.7</v>
      </c>
      <c r="AX921" s="1">
        <f t="shared" si="421"/>
        <v>3.7000000000000005E-2</v>
      </c>
      <c r="AY921" s="1" t="s">
        <v>511</v>
      </c>
      <c r="AZ921" s="1">
        <f t="shared" si="422"/>
        <v>100</v>
      </c>
      <c r="BA921" s="1" t="s">
        <v>55</v>
      </c>
      <c r="BB921" s="1">
        <v>5</v>
      </c>
      <c r="BC921" s="1">
        <v>500</v>
      </c>
      <c r="BD921" s="26">
        <f t="shared" si="423"/>
        <v>22.246499117856835</v>
      </c>
      <c r="BE921" s="16">
        <f t="shared" si="416"/>
        <v>601.2567329150495</v>
      </c>
      <c r="BF921" s="16">
        <f t="shared" si="434"/>
        <v>2.7790599526691748</v>
      </c>
      <c r="BG921" s="8">
        <f t="shared" ref="BG921:BG983" si="435">LOG(BD921)</f>
        <v>1.3472616767361698</v>
      </c>
      <c r="BH921" s="13" t="s">
        <v>782</v>
      </c>
      <c r="BI921" s="8">
        <v>44.9</v>
      </c>
      <c r="BJ921" s="13" t="s">
        <v>349</v>
      </c>
      <c r="BK921" s="15">
        <v>0.7</v>
      </c>
      <c r="BL921" s="16">
        <f t="shared" si="424"/>
        <v>44.9</v>
      </c>
      <c r="BM921" s="18">
        <f>'PFAS Properties'!$U$46</f>
        <v>10.39</v>
      </c>
      <c r="BN921" s="8">
        <f t="shared" si="425"/>
        <v>231.14112583453252</v>
      </c>
      <c r="BO921" s="24">
        <f t="shared" si="426"/>
        <v>22.246499117856835</v>
      </c>
      <c r="BP921" s="11"/>
      <c r="BQ921" s="11"/>
    </row>
    <row r="922" spans="1:69" x14ac:dyDescent="0.3">
      <c r="A922" s="20">
        <v>942</v>
      </c>
      <c r="B922" s="2" t="s">
        <v>189</v>
      </c>
      <c r="C922" s="2">
        <v>2021</v>
      </c>
      <c r="D922" s="2" t="s">
        <v>510</v>
      </c>
      <c r="E922" s="41" t="s">
        <v>804</v>
      </c>
      <c r="F922" s="20" t="s">
        <v>29</v>
      </c>
      <c r="G922" s="2" t="s">
        <v>432</v>
      </c>
      <c r="H922" s="2" t="str">
        <f>'PFAS Properties'!$B$46</f>
        <v>PFOS</v>
      </c>
      <c r="I922" s="2" t="str">
        <f>'PFAS Properties'!$C$46</f>
        <v>PFSA</v>
      </c>
      <c r="J922" s="2" t="str">
        <f>'PFAS Properties'!$D$46</f>
        <v>C8HF17O3S</v>
      </c>
      <c r="K922" s="25">
        <f>'PFAS Properties'!$P$46</f>
        <v>499.93739999999997</v>
      </c>
      <c r="L922" s="2">
        <f>'PFAS Properties'!$X$46</f>
        <v>0.1</v>
      </c>
      <c r="M922" s="2" t="str">
        <f>'PFAS Properties'!$Y$46</f>
        <v>-</v>
      </c>
      <c r="N922" s="33">
        <v>0</v>
      </c>
      <c r="O922" s="33">
        <v>0</v>
      </c>
      <c r="P922" s="33">
        <v>0</v>
      </c>
      <c r="Q922" s="33">
        <f t="shared" si="427"/>
        <v>0.99998340440634392</v>
      </c>
      <c r="R922" s="33">
        <v>0</v>
      </c>
      <c r="S922" s="33">
        <f t="shared" si="428"/>
        <v>1.6595593656076042E-5</v>
      </c>
      <c r="T922" s="8">
        <f t="shared" si="413"/>
        <v>1</v>
      </c>
      <c r="U922" s="33">
        <f t="shared" si="429"/>
        <v>0</v>
      </c>
      <c r="V922" s="33">
        <f t="shared" si="430"/>
        <v>-0.99998340440634392</v>
      </c>
      <c r="W922" s="33">
        <f t="shared" si="431"/>
        <v>498.93741659559362</v>
      </c>
      <c r="X922" s="33">
        <v>96485</v>
      </c>
      <c r="Y922" s="16">
        <f t="shared" si="432"/>
        <v>-193.37775754017923</v>
      </c>
      <c r="Z922" s="16">
        <v>8</v>
      </c>
      <c r="AA922" s="16">
        <v>17</v>
      </c>
      <c r="AB922" s="8">
        <f t="shared" si="433"/>
        <v>0.29721362229102166</v>
      </c>
      <c r="AC922" s="16">
        <f t="shared" si="415"/>
        <v>64.60808893273439</v>
      </c>
      <c r="AD922" s="20">
        <f>'PFAS Properties'!$W$46</f>
        <v>8</v>
      </c>
      <c r="AE922" s="8">
        <f>'PFAS Properties'!$S$46</f>
        <v>2.0166155475571776</v>
      </c>
      <c r="AF922" s="15">
        <f>'PFAS Properties'!$V$46</f>
        <v>5</v>
      </c>
      <c r="AG922" s="26">
        <v>4.88</v>
      </c>
      <c r="AH922" s="1" t="s">
        <v>190</v>
      </c>
      <c r="AI922" s="39">
        <f t="shared" si="417"/>
        <v>16.418430000000001</v>
      </c>
      <c r="AJ922" s="1">
        <v>294</v>
      </c>
      <c r="AK922" s="8">
        <f t="shared" si="418"/>
        <v>1.6418430000000002</v>
      </c>
      <c r="AL922" s="39">
        <f t="shared" si="419"/>
        <v>22.528299999999998</v>
      </c>
      <c r="AM922" s="1">
        <v>835</v>
      </c>
      <c r="AN922" s="8">
        <f t="shared" si="420"/>
        <v>2.2528299999999999</v>
      </c>
      <c r="AO922" s="3" t="s">
        <v>93</v>
      </c>
      <c r="AP922" s="3">
        <v>3.4</v>
      </c>
      <c r="AQ922" s="3" t="s">
        <v>661</v>
      </c>
      <c r="AR922" s="4">
        <v>45.6</v>
      </c>
      <c r="AS922" s="4">
        <v>35.6</v>
      </c>
      <c r="AT922" s="4">
        <v>18.7</v>
      </c>
      <c r="AU922" s="3" t="s">
        <v>661</v>
      </c>
      <c r="AV922" s="16">
        <f t="shared" si="414"/>
        <v>99.9</v>
      </c>
      <c r="AW922" s="7">
        <v>0.9</v>
      </c>
      <c r="AX922" s="1">
        <f t="shared" si="421"/>
        <v>9.0000000000000011E-3</v>
      </c>
      <c r="AY922" s="1" t="s">
        <v>511</v>
      </c>
      <c r="AZ922" s="1">
        <f t="shared" si="422"/>
        <v>100</v>
      </c>
      <c r="BA922" s="1" t="s">
        <v>55</v>
      </c>
      <c r="BB922" s="1">
        <v>5</v>
      </c>
      <c r="BC922" s="1">
        <v>500</v>
      </c>
      <c r="BD922" s="26">
        <f t="shared" si="423"/>
        <v>29.303719164259817</v>
      </c>
      <c r="BE922" s="16">
        <f t="shared" si="416"/>
        <v>3255.9687960288684</v>
      </c>
      <c r="BF922" s="16">
        <f t="shared" si="434"/>
        <v>3.5126802341233634</v>
      </c>
      <c r="BG922" s="8">
        <f t="shared" si="435"/>
        <v>1.4669227435626884</v>
      </c>
      <c r="BH922" s="13" t="s">
        <v>782</v>
      </c>
      <c r="BI922" s="8">
        <v>46.8</v>
      </c>
      <c r="BJ922" s="13" t="s">
        <v>349</v>
      </c>
      <c r="BK922" s="15">
        <v>0.8</v>
      </c>
      <c r="BL922" s="16">
        <f t="shared" si="424"/>
        <v>46.8</v>
      </c>
      <c r="BM922" s="18">
        <f>'PFAS Properties'!$U$46</f>
        <v>10.39</v>
      </c>
      <c r="BN922" s="8">
        <f t="shared" si="425"/>
        <v>304.46564211665952</v>
      </c>
      <c r="BO922" s="24">
        <f t="shared" si="426"/>
        <v>29.303719164259817</v>
      </c>
      <c r="BP922" s="11"/>
      <c r="BQ922" s="11"/>
    </row>
    <row r="923" spans="1:69" x14ac:dyDescent="0.3">
      <c r="A923" s="20">
        <v>943</v>
      </c>
      <c r="B923" s="2" t="s">
        <v>189</v>
      </c>
      <c r="C923" s="2">
        <v>2021</v>
      </c>
      <c r="D923" s="2" t="s">
        <v>510</v>
      </c>
      <c r="E923" s="41" t="s">
        <v>804</v>
      </c>
      <c r="F923" s="20" t="s">
        <v>29</v>
      </c>
      <c r="G923" s="2" t="s">
        <v>433</v>
      </c>
      <c r="H923" s="2" t="str">
        <f>'PFAS Properties'!$B$46</f>
        <v>PFOS</v>
      </c>
      <c r="I923" s="2" t="str">
        <f>'PFAS Properties'!$C$46</f>
        <v>PFSA</v>
      </c>
      <c r="J923" s="2" t="str">
        <f>'PFAS Properties'!$D$46</f>
        <v>C8HF17O3S</v>
      </c>
      <c r="K923" s="25">
        <f>'PFAS Properties'!$P$46</f>
        <v>499.93739999999997</v>
      </c>
      <c r="L923" s="2">
        <f>'PFAS Properties'!$X$46</f>
        <v>0.1</v>
      </c>
      <c r="M923" s="2" t="str">
        <f>'PFAS Properties'!$Y$46</f>
        <v>-</v>
      </c>
      <c r="N923" s="33">
        <v>0</v>
      </c>
      <c r="O923" s="33">
        <v>0</v>
      </c>
      <c r="P923" s="33">
        <v>0</v>
      </c>
      <c r="Q923" s="33">
        <f t="shared" si="427"/>
        <v>0.99999022772328872</v>
      </c>
      <c r="R923" s="33">
        <v>0</v>
      </c>
      <c r="S923" s="33">
        <f t="shared" si="428"/>
        <v>9.7722767112327311E-6</v>
      </c>
      <c r="T923" s="8">
        <f t="shared" si="413"/>
        <v>1</v>
      </c>
      <c r="U923" s="33">
        <f t="shared" si="429"/>
        <v>0</v>
      </c>
      <c r="V923" s="33">
        <f t="shared" si="430"/>
        <v>-0.99999022772328872</v>
      </c>
      <c r="W923" s="33">
        <f t="shared" si="431"/>
        <v>498.93740977227662</v>
      </c>
      <c r="X923" s="33">
        <v>96485</v>
      </c>
      <c r="Y923" s="16">
        <f t="shared" si="432"/>
        <v>-193.37907968440058</v>
      </c>
      <c r="Z923" s="16">
        <v>8</v>
      </c>
      <c r="AA923" s="16">
        <v>17</v>
      </c>
      <c r="AB923" s="8">
        <f t="shared" si="433"/>
        <v>0.29721362229102166</v>
      </c>
      <c r="AC923" s="16">
        <f t="shared" si="415"/>
        <v>64.60808893273439</v>
      </c>
      <c r="AD923" s="20">
        <f>'PFAS Properties'!$W$46</f>
        <v>8</v>
      </c>
      <c r="AE923" s="8">
        <f>'PFAS Properties'!$S$46</f>
        <v>2.0166155475571776</v>
      </c>
      <c r="AF923" s="15">
        <f>'PFAS Properties'!$V$46</f>
        <v>5</v>
      </c>
      <c r="AG923" s="26">
        <v>5.1100000000000003</v>
      </c>
      <c r="AH923" s="1" t="s">
        <v>190</v>
      </c>
      <c r="AI923" s="39">
        <f t="shared" si="417"/>
        <v>3.0156300000000003</v>
      </c>
      <c r="AJ923" s="1">
        <v>54</v>
      </c>
      <c r="AK923" s="8">
        <f t="shared" si="418"/>
        <v>0.30156300000000003</v>
      </c>
      <c r="AL923" s="39">
        <f t="shared" si="419"/>
        <v>4.9643199999999998</v>
      </c>
      <c r="AM923" s="1">
        <v>184</v>
      </c>
      <c r="AN923" s="8">
        <f t="shared" si="420"/>
        <v>0.49643199999999998</v>
      </c>
      <c r="AO923" s="3" t="s">
        <v>93</v>
      </c>
      <c r="AP923" s="3">
        <v>20.8</v>
      </c>
      <c r="AQ923" s="3" t="s">
        <v>661</v>
      </c>
      <c r="AR923" s="164">
        <v>35.168399999999998</v>
      </c>
      <c r="AS923" s="164">
        <v>49.606850000000001</v>
      </c>
      <c r="AT923" s="1">
        <v>12</v>
      </c>
      <c r="AU923" s="70" t="s">
        <v>752</v>
      </c>
      <c r="AV923" s="16">
        <f t="shared" si="414"/>
        <v>96.77525</v>
      </c>
      <c r="AW923" s="7">
        <v>2.9</v>
      </c>
      <c r="AX923" s="1">
        <f t="shared" si="421"/>
        <v>2.8999999999999998E-2</v>
      </c>
      <c r="AY923" s="1" t="s">
        <v>511</v>
      </c>
      <c r="AZ923" s="1">
        <f t="shared" si="422"/>
        <v>100</v>
      </c>
      <c r="BA923" s="1" t="s">
        <v>55</v>
      </c>
      <c r="BB923" s="1">
        <v>5</v>
      </c>
      <c r="BC923" s="1">
        <v>500</v>
      </c>
      <c r="BD923" s="26">
        <f t="shared" si="423"/>
        <v>20.890189140434583</v>
      </c>
      <c r="BE923" s="16">
        <f t="shared" si="416"/>
        <v>720.35134967015802</v>
      </c>
      <c r="BF923" s="16">
        <f t="shared" si="434"/>
        <v>2.8575443742151574</v>
      </c>
      <c r="BG923" s="8">
        <f t="shared" si="435"/>
        <v>1.3199423721141132</v>
      </c>
      <c r="BH923" s="13" t="s">
        <v>782</v>
      </c>
      <c r="BI923" s="8">
        <v>26.4</v>
      </c>
      <c r="BJ923" s="13" t="s">
        <v>349</v>
      </c>
      <c r="BK923" s="15">
        <v>0.9</v>
      </c>
      <c r="BL923" s="16">
        <f t="shared" si="424"/>
        <v>26.4</v>
      </c>
      <c r="BM923" s="18">
        <f>'PFAS Properties'!$U$46</f>
        <v>10.39</v>
      </c>
      <c r="BN923" s="8">
        <f t="shared" si="425"/>
        <v>217.04906516911532</v>
      </c>
      <c r="BO923" s="24">
        <f t="shared" si="426"/>
        <v>20.890189140434583</v>
      </c>
      <c r="BP923" s="11"/>
      <c r="BQ923" s="11"/>
    </row>
    <row r="924" spans="1:69" x14ac:dyDescent="0.3">
      <c r="A924" s="20">
        <v>944</v>
      </c>
      <c r="B924" s="2" t="s">
        <v>189</v>
      </c>
      <c r="C924" s="2">
        <v>2021</v>
      </c>
      <c r="D924" s="2" t="s">
        <v>510</v>
      </c>
      <c r="E924" s="41" t="s">
        <v>804</v>
      </c>
      <c r="F924" s="20" t="s">
        <v>29</v>
      </c>
      <c r="G924" s="2" t="s">
        <v>434</v>
      </c>
      <c r="H924" s="2" t="str">
        <f>'PFAS Properties'!$B$46</f>
        <v>PFOS</v>
      </c>
      <c r="I924" s="2" t="str">
        <f>'PFAS Properties'!$C$46</f>
        <v>PFSA</v>
      </c>
      <c r="J924" s="2" t="str">
        <f>'PFAS Properties'!$D$46</f>
        <v>C8HF17O3S</v>
      </c>
      <c r="K924" s="25">
        <f>'PFAS Properties'!$P$46</f>
        <v>499.93739999999997</v>
      </c>
      <c r="L924" s="2">
        <f>'PFAS Properties'!$X$46</f>
        <v>0.1</v>
      </c>
      <c r="M924" s="2" t="str">
        <f>'PFAS Properties'!$Y$46</f>
        <v>-</v>
      </c>
      <c r="N924" s="33">
        <v>0</v>
      </c>
      <c r="O924" s="33">
        <v>0</v>
      </c>
      <c r="P924" s="33">
        <v>0</v>
      </c>
      <c r="Q924" s="33">
        <f t="shared" si="427"/>
        <v>0.99999999841510678</v>
      </c>
      <c r="R924" s="33">
        <v>0</v>
      </c>
      <c r="S924" s="33">
        <f t="shared" si="428"/>
        <v>1.5848931899492196E-9</v>
      </c>
      <c r="T924" s="8">
        <f t="shared" si="413"/>
        <v>1</v>
      </c>
      <c r="U924" s="33">
        <f t="shared" si="429"/>
        <v>0</v>
      </c>
      <c r="V924" s="33">
        <f t="shared" si="430"/>
        <v>-0.99999999841510678</v>
      </c>
      <c r="W924" s="33">
        <f t="shared" si="431"/>
        <v>498.93740000158488</v>
      </c>
      <c r="X924" s="33">
        <v>96485</v>
      </c>
      <c r="Y924" s="16">
        <f t="shared" si="432"/>
        <v>-193.38097293723641</v>
      </c>
      <c r="Z924" s="16">
        <v>8</v>
      </c>
      <c r="AA924" s="16">
        <v>17</v>
      </c>
      <c r="AB924" s="8">
        <f t="shared" si="433"/>
        <v>0.29721362229102166</v>
      </c>
      <c r="AC924" s="16">
        <f t="shared" si="415"/>
        <v>64.60808893273439</v>
      </c>
      <c r="AD924" s="20">
        <f>'PFAS Properties'!$W$46</f>
        <v>8</v>
      </c>
      <c r="AE924" s="8">
        <f>'PFAS Properties'!$S$46</f>
        <v>2.0166155475571776</v>
      </c>
      <c r="AF924" s="15">
        <f>'PFAS Properties'!$V$46</f>
        <v>5</v>
      </c>
      <c r="AG924" s="26">
        <v>8.9</v>
      </c>
      <c r="AH924" s="1" t="s">
        <v>190</v>
      </c>
      <c r="AI924" s="39">
        <f t="shared" si="417"/>
        <v>7.2040050000000004</v>
      </c>
      <c r="AJ924" s="1">
        <v>129</v>
      </c>
      <c r="AK924" s="8">
        <f t="shared" si="418"/>
        <v>0.7204005</v>
      </c>
      <c r="AL924" s="39">
        <f t="shared" si="419"/>
        <v>9.5509199999999996</v>
      </c>
      <c r="AM924" s="1">
        <v>354</v>
      </c>
      <c r="AN924" s="8">
        <f t="shared" si="420"/>
        <v>0.95509199999999994</v>
      </c>
      <c r="AO924" s="3" t="s">
        <v>93</v>
      </c>
      <c r="AP924" s="3">
        <v>5.8</v>
      </c>
      <c r="AQ924" s="3" t="s">
        <v>661</v>
      </c>
      <c r="AR924" s="4">
        <v>82.7</v>
      </c>
      <c r="AS924" s="4">
        <v>10.7</v>
      </c>
      <c r="AT924" s="4">
        <v>6.7</v>
      </c>
      <c r="AU924" s="3" t="s">
        <v>661</v>
      </c>
      <c r="AV924" s="16">
        <f t="shared" si="414"/>
        <v>100.10000000000001</v>
      </c>
      <c r="AW924" s="7">
        <v>1.8</v>
      </c>
      <c r="AX924" s="1">
        <f t="shared" si="421"/>
        <v>1.8000000000000002E-2</v>
      </c>
      <c r="AY924" s="1" t="s">
        <v>511</v>
      </c>
      <c r="AZ924" s="1">
        <f t="shared" si="422"/>
        <v>100</v>
      </c>
      <c r="BA924" s="1" t="s">
        <v>55</v>
      </c>
      <c r="BB924" s="1">
        <v>5</v>
      </c>
      <c r="BC924" s="1">
        <v>500</v>
      </c>
      <c r="BD924" s="26">
        <f t="shared" si="423"/>
        <v>51.97456029984815</v>
      </c>
      <c r="BE924" s="16">
        <f t="shared" si="416"/>
        <v>2887.4755722137857</v>
      </c>
      <c r="BF924" s="16">
        <f t="shared" si="434"/>
        <v>3.4605183188230986</v>
      </c>
      <c r="BG924" s="8">
        <f t="shared" si="435"/>
        <v>1.7157908239264046</v>
      </c>
      <c r="BH924" s="13" t="s">
        <v>782</v>
      </c>
      <c r="BI924" s="8">
        <v>104.9</v>
      </c>
      <c r="BJ924" s="13" t="s">
        <v>349</v>
      </c>
      <c r="BK924" s="15">
        <v>0.7</v>
      </c>
      <c r="BL924" s="16">
        <f t="shared" si="424"/>
        <v>104.9</v>
      </c>
      <c r="BM924" s="18">
        <f>'PFAS Properties'!$U$46</f>
        <v>10.39</v>
      </c>
      <c r="BN924" s="8">
        <f t="shared" si="425"/>
        <v>540.01568151542233</v>
      </c>
      <c r="BO924" s="24">
        <f t="shared" si="426"/>
        <v>51.97456029984815</v>
      </c>
      <c r="BP924" s="11"/>
      <c r="BQ924" s="11"/>
    </row>
    <row r="925" spans="1:69" x14ac:dyDescent="0.3">
      <c r="A925" s="20">
        <v>945</v>
      </c>
      <c r="B925" s="2" t="s">
        <v>189</v>
      </c>
      <c r="C925" s="2">
        <v>2021</v>
      </c>
      <c r="D925" s="2" t="s">
        <v>510</v>
      </c>
      <c r="E925" s="41" t="s">
        <v>804</v>
      </c>
      <c r="F925" s="20" t="s">
        <v>29</v>
      </c>
      <c r="G925" s="2" t="s">
        <v>435</v>
      </c>
      <c r="H925" s="2" t="str">
        <f>'PFAS Properties'!$B$46</f>
        <v>PFOS</v>
      </c>
      <c r="I925" s="2" t="str">
        <f>'PFAS Properties'!$C$46</f>
        <v>PFSA</v>
      </c>
      <c r="J925" s="2" t="str">
        <f>'PFAS Properties'!$D$46</f>
        <v>C8HF17O3S</v>
      </c>
      <c r="K925" s="25">
        <f>'PFAS Properties'!$P$46</f>
        <v>499.93739999999997</v>
      </c>
      <c r="L925" s="2">
        <f>'PFAS Properties'!$X$46</f>
        <v>0.1</v>
      </c>
      <c r="M925" s="2" t="str">
        <f>'PFAS Properties'!$Y$46</f>
        <v>-</v>
      </c>
      <c r="N925" s="33">
        <v>0</v>
      </c>
      <c r="O925" s="33">
        <v>0</v>
      </c>
      <c r="P925" s="33">
        <v>0</v>
      </c>
      <c r="Q925" s="33">
        <f t="shared" si="427"/>
        <v>0.99998378216204897</v>
      </c>
      <c r="R925" s="33">
        <v>0</v>
      </c>
      <c r="S925" s="33">
        <f t="shared" si="428"/>
        <v>1.6217837951055827E-5</v>
      </c>
      <c r="T925" s="8">
        <f t="shared" si="413"/>
        <v>1</v>
      </c>
      <c r="U925" s="33">
        <f t="shared" si="429"/>
        <v>0</v>
      </c>
      <c r="V925" s="33">
        <f t="shared" si="430"/>
        <v>-0.99998378216204897</v>
      </c>
      <c r="W925" s="33">
        <f t="shared" si="431"/>
        <v>498.93741621783789</v>
      </c>
      <c r="X925" s="33">
        <v>96485</v>
      </c>
      <c r="Y925" s="16">
        <f t="shared" si="432"/>
        <v>-193.37783073735298</v>
      </c>
      <c r="Z925" s="16">
        <v>8</v>
      </c>
      <c r="AA925" s="16">
        <v>17</v>
      </c>
      <c r="AB925" s="8">
        <f t="shared" si="433"/>
        <v>0.29721362229102166</v>
      </c>
      <c r="AC925" s="16">
        <f t="shared" si="415"/>
        <v>64.60808893273439</v>
      </c>
      <c r="AD925" s="20">
        <f>'PFAS Properties'!$W$46</f>
        <v>8</v>
      </c>
      <c r="AE925" s="8">
        <f>'PFAS Properties'!$S$46</f>
        <v>2.0166155475571776</v>
      </c>
      <c r="AF925" s="15">
        <f>'PFAS Properties'!$V$46</f>
        <v>5</v>
      </c>
      <c r="AG925" s="26">
        <v>4.8899999999999997</v>
      </c>
      <c r="AH925" s="1" t="s">
        <v>190</v>
      </c>
      <c r="AI925" s="39">
        <f t="shared" si="417"/>
        <v>22.673069999999999</v>
      </c>
      <c r="AJ925" s="1">
        <v>406</v>
      </c>
      <c r="AK925" s="8">
        <f t="shared" si="418"/>
        <v>2.2673069999999997</v>
      </c>
      <c r="AL925" s="39">
        <f t="shared" si="419"/>
        <v>12.302880000000002</v>
      </c>
      <c r="AM925" s="1">
        <v>456</v>
      </c>
      <c r="AN925" s="8">
        <f t="shared" si="420"/>
        <v>1.2302880000000003</v>
      </c>
      <c r="AO925" s="3" t="s">
        <v>93</v>
      </c>
      <c r="AP925" s="3">
        <v>4.5999999999999996</v>
      </c>
      <c r="AQ925" s="3" t="s">
        <v>661</v>
      </c>
      <c r="AR925" s="4">
        <v>41.7</v>
      </c>
      <c r="AS925" s="4">
        <v>39</v>
      </c>
      <c r="AT925" s="4">
        <v>19.399999999999999</v>
      </c>
      <c r="AU925" s="3" t="s">
        <v>661</v>
      </c>
      <c r="AV925" s="16">
        <f t="shared" si="414"/>
        <v>100.1</v>
      </c>
      <c r="AW925" s="7">
        <v>2.7</v>
      </c>
      <c r="AX925" s="1">
        <f t="shared" si="421"/>
        <v>2.7000000000000003E-2</v>
      </c>
      <c r="AY925" s="1" t="s">
        <v>511</v>
      </c>
      <c r="AZ925" s="1">
        <f t="shared" si="422"/>
        <v>100</v>
      </c>
      <c r="BA925" s="1" t="s">
        <v>55</v>
      </c>
      <c r="BB925" s="1">
        <v>5</v>
      </c>
      <c r="BC925" s="1">
        <v>500</v>
      </c>
      <c r="BD925" s="26">
        <f t="shared" si="423"/>
        <v>28.882269076737206</v>
      </c>
      <c r="BE925" s="16">
        <f t="shared" si="416"/>
        <v>1069.7136695087852</v>
      </c>
      <c r="BF925" s="16">
        <f t="shared" si="434"/>
        <v>3.0292675455417695</v>
      </c>
      <c r="BG925" s="8">
        <f t="shared" si="435"/>
        <v>1.4606313097007571</v>
      </c>
      <c r="BH925" s="13" t="s">
        <v>782</v>
      </c>
      <c r="BI925" s="8">
        <v>36.5</v>
      </c>
      <c r="BJ925" s="13" t="s">
        <v>349</v>
      </c>
      <c r="BK925" s="15">
        <v>0.9</v>
      </c>
      <c r="BL925" s="16">
        <f t="shared" si="424"/>
        <v>36.5</v>
      </c>
      <c r="BM925" s="18">
        <f>'PFAS Properties'!$U$46</f>
        <v>10.39</v>
      </c>
      <c r="BN925" s="8">
        <f t="shared" si="425"/>
        <v>300.08677570729958</v>
      </c>
      <c r="BO925" s="24">
        <f t="shared" si="426"/>
        <v>28.882269076737206</v>
      </c>
      <c r="BP925" s="11"/>
      <c r="BQ925" s="11"/>
    </row>
    <row r="926" spans="1:69" x14ac:dyDescent="0.3">
      <c r="A926" s="20">
        <v>946</v>
      </c>
      <c r="B926" s="2" t="s">
        <v>189</v>
      </c>
      <c r="C926" s="2">
        <v>2021</v>
      </c>
      <c r="D926" s="2" t="s">
        <v>510</v>
      </c>
      <c r="E926" s="41" t="s">
        <v>804</v>
      </c>
      <c r="F926" s="20" t="s">
        <v>29</v>
      </c>
      <c r="G926" s="2" t="s">
        <v>436</v>
      </c>
      <c r="H926" s="2" t="str">
        <f>'PFAS Properties'!$B$46</f>
        <v>PFOS</v>
      </c>
      <c r="I926" s="2" t="str">
        <f>'PFAS Properties'!$C$46</f>
        <v>PFSA</v>
      </c>
      <c r="J926" s="2" t="str">
        <f>'PFAS Properties'!$D$46</f>
        <v>C8HF17O3S</v>
      </c>
      <c r="K926" s="25">
        <f>'PFAS Properties'!$P$46</f>
        <v>499.93739999999997</v>
      </c>
      <c r="L926" s="2">
        <f>'PFAS Properties'!$X$46</f>
        <v>0.1</v>
      </c>
      <c r="M926" s="2" t="str">
        <f>'PFAS Properties'!$Y$46</f>
        <v>-</v>
      </c>
      <c r="N926" s="33">
        <v>0</v>
      </c>
      <c r="O926" s="33">
        <v>0</v>
      </c>
      <c r="P926" s="33">
        <v>0</v>
      </c>
      <c r="Q926" s="33">
        <f t="shared" si="427"/>
        <v>0.99999724577888238</v>
      </c>
      <c r="R926" s="33">
        <v>0</v>
      </c>
      <c r="S926" s="33">
        <f t="shared" si="428"/>
        <v>2.7542211175833038E-6</v>
      </c>
      <c r="T926" s="8">
        <f t="shared" si="413"/>
        <v>1</v>
      </c>
      <c r="U926" s="33">
        <f t="shared" si="429"/>
        <v>0</v>
      </c>
      <c r="V926" s="33">
        <f t="shared" si="430"/>
        <v>-0.99999724577888238</v>
      </c>
      <c r="W926" s="33">
        <f t="shared" si="431"/>
        <v>498.93740275422107</v>
      </c>
      <c r="X926" s="33">
        <v>96485</v>
      </c>
      <c r="Y926" s="16">
        <f t="shared" si="432"/>
        <v>-193.38043956288502</v>
      </c>
      <c r="Z926" s="16">
        <v>8</v>
      </c>
      <c r="AA926" s="16">
        <v>17</v>
      </c>
      <c r="AB926" s="8">
        <f t="shared" si="433"/>
        <v>0.29721362229102166</v>
      </c>
      <c r="AC926" s="16">
        <f t="shared" si="415"/>
        <v>64.60808893273439</v>
      </c>
      <c r="AD926" s="20">
        <f>'PFAS Properties'!$W$46</f>
        <v>8</v>
      </c>
      <c r="AE926" s="8">
        <f>'PFAS Properties'!$S$46</f>
        <v>2.0166155475571776</v>
      </c>
      <c r="AF926" s="15">
        <f>'PFAS Properties'!$V$46</f>
        <v>5</v>
      </c>
      <c r="AG926" s="26">
        <v>5.66</v>
      </c>
      <c r="AH926" s="1" t="s">
        <v>190</v>
      </c>
      <c r="AI926" s="39">
        <f t="shared" si="417"/>
        <v>119.50830000000001</v>
      </c>
      <c r="AJ926" s="1">
        <v>2140</v>
      </c>
      <c r="AK926" s="8">
        <f t="shared" si="418"/>
        <v>11.95083</v>
      </c>
      <c r="AL926" s="39">
        <f t="shared" si="419"/>
        <v>98.881699999999995</v>
      </c>
      <c r="AM926" s="1">
        <v>3665</v>
      </c>
      <c r="AN926" s="8">
        <f t="shared" si="420"/>
        <v>9.8881699999999988</v>
      </c>
      <c r="AO926" s="3" t="s">
        <v>93</v>
      </c>
      <c r="AP926" s="3">
        <v>4.3</v>
      </c>
      <c r="AQ926" s="3" t="s">
        <v>661</v>
      </c>
      <c r="AR926" s="4">
        <v>7.6</v>
      </c>
      <c r="AS926" s="4">
        <f>100-AT926-AR926</f>
        <v>38.6</v>
      </c>
      <c r="AT926" s="4">
        <v>53.8</v>
      </c>
      <c r="AU926" s="3" t="s">
        <v>661</v>
      </c>
      <c r="AV926" s="16">
        <f t="shared" si="414"/>
        <v>100</v>
      </c>
      <c r="AW926" s="7">
        <v>3.3</v>
      </c>
      <c r="AX926" s="1">
        <f t="shared" si="421"/>
        <v>3.3000000000000002E-2</v>
      </c>
      <c r="AY926" s="1" t="s">
        <v>511</v>
      </c>
      <c r="AZ926" s="1">
        <f t="shared" si="422"/>
        <v>100</v>
      </c>
      <c r="BA926" s="1" t="s">
        <v>55</v>
      </c>
      <c r="BB926" s="1">
        <v>5</v>
      </c>
      <c r="BC926" s="1">
        <v>500</v>
      </c>
      <c r="BD926" s="26">
        <f t="shared" si="423"/>
        <v>43.204782251160715</v>
      </c>
      <c r="BE926" s="16">
        <f t="shared" si="416"/>
        <v>1309.235825792749</v>
      </c>
      <c r="BF926" s="16">
        <f t="shared" si="434"/>
        <v>3.1170178807875266</v>
      </c>
      <c r="BG926" s="8">
        <f t="shared" si="435"/>
        <v>1.6355318206654139</v>
      </c>
      <c r="BH926" s="13" t="s">
        <v>782</v>
      </c>
      <c r="BI926" s="8">
        <v>87.2</v>
      </c>
      <c r="BJ926" s="13" t="s">
        <v>349</v>
      </c>
      <c r="BK926" s="15">
        <v>0.7</v>
      </c>
      <c r="BL926" s="16">
        <f t="shared" si="424"/>
        <v>87.2</v>
      </c>
      <c r="BM926" s="18">
        <f>'PFAS Properties'!$U$46</f>
        <v>10.39</v>
      </c>
      <c r="BN926" s="8">
        <f t="shared" si="425"/>
        <v>448.89768758955984</v>
      </c>
      <c r="BO926" s="24">
        <f t="shared" si="426"/>
        <v>43.204782251160715</v>
      </c>
      <c r="BP926" s="11"/>
      <c r="BQ926" s="11"/>
    </row>
    <row r="927" spans="1:69" x14ac:dyDescent="0.3">
      <c r="A927" s="20">
        <v>947</v>
      </c>
      <c r="B927" s="2" t="s">
        <v>189</v>
      </c>
      <c r="C927" s="2">
        <v>2021</v>
      </c>
      <c r="D927" s="2" t="s">
        <v>510</v>
      </c>
      <c r="E927" s="41" t="s">
        <v>804</v>
      </c>
      <c r="F927" s="20" t="s">
        <v>29</v>
      </c>
      <c r="G927" s="2" t="s">
        <v>437</v>
      </c>
      <c r="H927" s="2" t="str">
        <f>'PFAS Properties'!$B$46</f>
        <v>PFOS</v>
      </c>
      <c r="I927" s="2" t="str">
        <f>'PFAS Properties'!$C$46</f>
        <v>PFSA</v>
      </c>
      <c r="J927" s="2" t="str">
        <f>'PFAS Properties'!$D$46</f>
        <v>C8HF17O3S</v>
      </c>
      <c r="K927" s="25">
        <f>'PFAS Properties'!$P$46</f>
        <v>499.93739999999997</v>
      </c>
      <c r="L927" s="2">
        <f>'PFAS Properties'!$X$46</f>
        <v>0.1</v>
      </c>
      <c r="M927" s="2" t="str">
        <f>'PFAS Properties'!$Y$46</f>
        <v>-</v>
      </c>
      <c r="N927" s="33">
        <v>0</v>
      </c>
      <c r="O927" s="33">
        <v>0</v>
      </c>
      <c r="P927" s="33">
        <v>0</v>
      </c>
      <c r="Q927" s="33">
        <f t="shared" si="427"/>
        <v>0.99999383408800013</v>
      </c>
      <c r="R927" s="33">
        <v>0</v>
      </c>
      <c r="S927" s="33">
        <f t="shared" si="428"/>
        <v>6.1659119999096004E-6</v>
      </c>
      <c r="T927" s="8">
        <f t="shared" si="413"/>
        <v>1</v>
      </c>
      <c r="U927" s="33">
        <f t="shared" si="429"/>
        <v>0</v>
      </c>
      <c r="V927" s="33">
        <f t="shared" si="430"/>
        <v>-0.99999383408800013</v>
      </c>
      <c r="W927" s="33">
        <f t="shared" si="431"/>
        <v>498.93740616591202</v>
      </c>
      <c r="X927" s="33">
        <v>96485</v>
      </c>
      <c r="Y927" s="16">
        <f t="shared" si="432"/>
        <v>-193.37977848447119</v>
      </c>
      <c r="Z927" s="16">
        <v>8</v>
      </c>
      <c r="AA927" s="16">
        <v>17</v>
      </c>
      <c r="AB927" s="8">
        <f t="shared" si="433"/>
        <v>0.29721362229102166</v>
      </c>
      <c r="AC927" s="16">
        <f t="shared" si="415"/>
        <v>64.60808893273439</v>
      </c>
      <c r="AD927" s="20">
        <f>'PFAS Properties'!$W$46</f>
        <v>8</v>
      </c>
      <c r="AE927" s="8">
        <f>'PFAS Properties'!$S$46</f>
        <v>2.0166155475571776</v>
      </c>
      <c r="AF927" s="15">
        <f>'PFAS Properties'!$V$46</f>
        <v>5</v>
      </c>
      <c r="AG927" s="26">
        <v>5.31</v>
      </c>
      <c r="AH927" s="1" t="s">
        <v>190</v>
      </c>
      <c r="AI927" s="39">
        <f t="shared" si="417"/>
        <v>7.0364700000000004</v>
      </c>
      <c r="AJ927" s="1">
        <v>126</v>
      </c>
      <c r="AK927" s="8">
        <f t="shared" si="418"/>
        <v>0.70364700000000002</v>
      </c>
      <c r="AL927" s="39">
        <f t="shared" si="419"/>
        <v>8.7954799999999995</v>
      </c>
      <c r="AM927" s="1">
        <v>326</v>
      </c>
      <c r="AN927" s="8">
        <f t="shared" si="420"/>
        <v>0.879548</v>
      </c>
      <c r="AO927" s="3" t="s">
        <v>93</v>
      </c>
      <c r="AP927" s="3">
        <v>6.3</v>
      </c>
      <c r="AQ927" s="3" t="s">
        <v>661</v>
      </c>
      <c r="AR927" s="4">
        <v>50.8</v>
      </c>
      <c r="AS927" s="4">
        <v>36.6</v>
      </c>
      <c r="AT927" s="4">
        <v>12.7</v>
      </c>
      <c r="AU927" s="3" t="s">
        <v>661</v>
      </c>
      <c r="AV927" s="16">
        <f t="shared" si="414"/>
        <v>100.10000000000001</v>
      </c>
      <c r="AW927" s="7">
        <v>3.4</v>
      </c>
      <c r="AX927" s="1">
        <f t="shared" si="421"/>
        <v>3.4000000000000002E-2</v>
      </c>
      <c r="AY927" s="1" t="s">
        <v>511</v>
      </c>
      <c r="AZ927" s="1">
        <f t="shared" si="422"/>
        <v>100</v>
      </c>
      <c r="BA927" s="1" t="s">
        <v>55</v>
      </c>
      <c r="BB927" s="1">
        <v>5</v>
      </c>
      <c r="BC927" s="1">
        <v>500</v>
      </c>
      <c r="BD927" s="26">
        <f t="shared" si="423"/>
        <v>32.254946382460574</v>
      </c>
      <c r="BE927" s="16">
        <f t="shared" si="416"/>
        <v>948.67489360178149</v>
      </c>
      <c r="BF927" s="16">
        <f t="shared" si="434"/>
        <v>2.9771174072587834</v>
      </c>
      <c r="BG927" s="8">
        <f t="shared" si="435"/>
        <v>1.5085963243010385</v>
      </c>
      <c r="BH927" s="13" t="s">
        <v>782</v>
      </c>
      <c r="BI927" s="8">
        <v>65.099999999999994</v>
      </c>
      <c r="BJ927" s="13" t="s">
        <v>349</v>
      </c>
      <c r="BK927" s="15">
        <v>0.7</v>
      </c>
      <c r="BL927" s="16">
        <f t="shared" si="424"/>
        <v>65.099999999999994</v>
      </c>
      <c r="BM927" s="18">
        <f>'PFAS Properties'!$U$46</f>
        <v>10.39</v>
      </c>
      <c r="BN927" s="8">
        <f t="shared" si="425"/>
        <v>335.12889291376536</v>
      </c>
      <c r="BO927" s="24">
        <f t="shared" si="426"/>
        <v>32.254946382460574</v>
      </c>
      <c r="BP927" s="11"/>
      <c r="BQ927" s="11"/>
    </row>
    <row r="928" spans="1:69" x14ac:dyDescent="0.3">
      <c r="A928" s="20">
        <v>948</v>
      </c>
      <c r="B928" s="2" t="s">
        <v>189</v>
      </c>
      <c r="C928" s="2">
        <v>2021</v>
      </c>
      <c r="D928" s="2" t="s">
        <v>510</v>
      </c>
      <c r="E928" s="41" t="s">
        <v>804</v>
      </c>
      <c r="F928" s="20" t="s">
        <v>29</v>
      </c>
      <c r="G928" s="2" t="s">
        <v>438</v>
      </c>
      <c r="H928" s="2" t="str">
        <f>'PFAS Properties'!$B$46</f>
        <v>PFOS</v>
      </c>
      <c r="I928" s="2" t="str">
        <f>'PFAS Properties'!$C$46</f>
        <v>PFSA</v>
      </c>
      <c r="J928" s="2" t="str">
        <f>'PFAS Properties'!$D$46</f>
        <v>C8HF17O3S</v>
      </c>
      <c r="K928" s="25">
        <f>'PFAS Properties'!$P$46</f>
        <v>499.93739999999997</v>
      </c>
      <c r="L928" s="2">
        <f>'PFAS Properties'!$X$46</f>
        <v>0.1</v>
      </c>
      <c r="M928" s="2" t="str">
        <f>'PFAS Properties'!$Y$46</f>
        <v>-</v>
      </c>
      <c r="N928" s="33">
        <v>0</v>
      </c>
      <c r="O928" s="33">
        <v>0</v>
      </c>
      <c r="P928" s="33">
        <v>0</v>
      </c>
      <c r="Q928" s="33">
        <f t="shared" si="427"/>
        <v>0.99986198062551701</v>
      </c>
      <c r="R928" s="33">
        <v>0</v>
      </c>
      <c r="S928" s="33">
        <f t="shared" si="428"/>
        <v>1.3801937448301377E-4</v>
      </c>
      <c r="T928" s="8">
        <f t="shared" si="413"/>
        <v>1</v>
      </c>
      <c r="U928" s="33">
        <f t="shared" si="429"/>
        <v>0</v>
      </c>
      <c r="V928" s="33">
        <f t="shared" si="430"/>
        <v>-0.99986198062551701</v>
      </c>
      <c r="W928" s="33">
        <f t="shared" si="431"/>
        <v>498.93753801937447</v>
      </c>
      <c r="X928" s="33">
        <v>96485</v>
      </c>
      <c r="Y928" s="16">
        <f t="shared" si="432"/>
        <v>-193.35422943644474</v>
      </c>
      <c r="Z928" s="16">
        <v>8</v>
      </c>
      <c r="AA928" s="16">
        <v>17</v>
      </c>
      <c r="AB928" s="8">
        <f t="shared" si="433"/>
        <v>0.29721362229102166</v>
      </c>
      <c r="AC928" s="16">
        <f t="shared" si="415"/>
        <v>64.60808893273439</v>
      </c>
      <c r="AD928" s="20">
        <f>'PFAS Properties'!$W$46</f>
        <v>8</v>
      </c>
      <c r="AE928" s="8">
        <f>'PFAS Properties'!$S$46</f>
        <v>2.0166155475571776</v>
      </c>
      <c r="AF928" s="15">
        <f>'PFAS Properties'!$V$46</f>
        <v>5</v>
      </c>
      <c r="AG928" s="26">
        <v>3.96</v>
      </c>
      <c r="AH928" s="1" t="s">
        <v>190</v>
      </c>
      <c r="AI928" s="39">
        <f t="shared" si="417"/>
        <v>88.346789999999999</v>
      </c>
      <c r="AJ928" s="1">
        <v>1582</v>
      </c>
      <c r="AK928" s="8">
        <f t="shared" si="418"/>
        <v>8.8346789999999995</v>
      </c>
      <c r="AL928" s="39">
        <f t="shared" si="419"/>
        <v>97.667600000000007</v>
      </c>
      <c r="AM928" s="1">
        <v>3620</v>
      </c>
      <c r="AN928" s="8">
        <f t="shared" si="420"/>
        <v>9.7667600000000014</v>
      </c>
      <c r="AO928" s="3" t="s">
        <v>93</v>
      </c>
      <c r="AP928" s="3">
        <v>4.7</v>
      </c>
      <c r="AQ928" s="3" t="s">
        <v>661</v>
      </c>
      <c r="AR928" s="4">
        <v>62.2</v>
      </c>
      <c r="AS928" s="4">
        <v>16.100000000000001</v>
      </c>
      <c r="AT928" s="4">
        <v>21.7</v>
      </c>
      <c r="AU928" s="3" t="s">
        <v>661</v>
      </c>
      <c r="AV928" s="16">
        <f t="shared" si="414"/>
        <v>100.00000000000001</v>
      </c>
      <c r="AW928" s="7">
        <v>3.7</v>
      </c>
      <c r="AX928" s="1">
        <f t="shared" si="421"/>
        <v>3.7000000000000005E-2</v>
      </c>
      <c r="AY928" s="1" t="s">
        <v>511</v>
      </c>
      <c r="AZ928" s="1">
        <f t="shared" si="422"/>
        <v>100</v>
      </c>
      <c r="BA928" s="1" t="s">
        <v>55</v>
      </c>
      <c r="BB928" s="1">
        <v>5</v>
      </c>
      <c r="BC928" s="1">
        <v>500</v>
      </c>
      <c r="BD928" s="26">
        <f t="shared" si="423"/>
        <v>44.393882238162853</v>
      </c>
      <c r="BE928" s="16">
        <f t="shared" si="416"/>
        <v>1199.8346550854824</v>
      </c>
      <c r="BF928" s="16">
        <f t="shared" si="434"/>
        <v>3.079121401604636</v>
      </c>
      <c r="BG928" s="8">
        <f t="shared" si="435"/>
        <v>1.647323125671631</v>
      </c>
      <c r="BH928" s="13" t="s">
        <v>782</v>
      </c>
      <c r="BI928" s="8">
        <v>70.900000000000006</v>
      </c>
      <c r="BJ928" s="13" t="s">
        <v>349</v>
      </c>
      <c r="BK928" s="15">
        <v>0.8</v>
      </c>
      <c r="BL928" s="16">
        <f t="shared" si="424"/>
        <v>70.900000000000006</v>
      </c>
      <c r="BM928" s="18">
        <f>'PFAS Properties'!$U$46</f>
        <v>10.39</v>
      </c>
      <c r="BN928" s="8">
        <f t="shared" si="425"/>
        <v>461.25243645451206</v>
      </c>
      <c r="BO928" s="24">
        <f t="shared" si="426"/>
        <v>44.393882238162853</v>
      </c>
      <c r="BP928" s="11"/>
      <c r="BQ928" s="11"/>
    </row>
    <row r="929" spans="1:69" x14ac:dyDescent="0.3">
      <c r="A929" s="20">
        <v>949</v>
      </c>
      <c r="B929" s="2" t="s">
        <v>189</v>
      </c>
      <c r="C929" s="2">
        <v>2021</v>
      </c>
      <c r="D929" s="2" t="s">
        <v>510</v>
      </c>
      <c r="E929" s="41" t="s">
        <v>804</v>
      </c>
      <c r="F929" s="20" t="s">
        <v>29</v>
      </c>
      <c r="G929" s="2" t="s">
        <v>439</v>
      </c>
      <c r="H929" s="2" t="str">
        <f>'PFAS Properties'!$B$46</f>
        <v>PFOS</v>
      </c>
      <c r="I929" s="2" t="str">
        <f>'PFAS Properties'!$C$46</f>
        <v>PFSA</v>
      </c>
      <c r="J929" s="2" t="str">
        <f>'PFAS Properties'!$D$46</f>
        <v>C8HF17O3S</v>
      </c>
      <c r="K929" s="25">
        <f>'PFAS Properties'!$P$46</f>
        <v>499.93739999999997</v>
      </c>
      <c r="L929" s="2">
        <f>'PFAS Properties'!$X$46</f>
        <v>0.1</v>
      </c>
      <c r="M929" s="2" t="str">
        <f>'PFAS Properties'!$Y$46</f>
        <v>-</v>
      </c>
      <c r="N929" s="33">
        <v>0</v>
      </c>
      <c r="O929" s="33">
        <v>0</v>
      </c>
      <c r="P929" s="33">
        <v>0</v>
      </c>
      <c r="Q929" s="33">
        <f t="shared" si="427"/>
        <v>0.99999958313079029</v>
      </c>
      <c r="R929" s="33">
        <v>0</v>
      </c>
      <c r="S929" s="33">
        <f t="shared" si="428"/>
        <v>4.1686920969032374E-7</v>
      </c>
      <c r="T929" s="8">
        <f t="shared" si="413"/>
        <v>1</v>
      </c>
      <c r="U929" s="33">
        <f t="shared" si="429"/>
        <v>0</v>
      </c>
      <c r="V929" s="33">
        <f t="shared" si="430"/>
        <v>-0.99999958313079029</v>
      </c>
      <c r="W929" s="33">
        <f t="shared" si="431"/>
        <v>498.9374004168692</v>
      </c>
      <c r="X929" s="33">
        <v>96485</v>
      </c>
      <c r="Y929" s="16">
        <f t="shared" si="432"/>
        <v>-193.38089246819291</v>
      </c>
      <c r="Z929" s="16">
        <v>8</v>
      </c>
      <c r="AA929" s="16">
        <v>17</v>
      </c>
      <c r="AB929" s="8">
        <f t="shared" si="433"/>
        <v>0.29721362229102166</v>
      </c>
      <c r="AC929" s="16">
        <f t="shared" si="415"/>
        <v>64.60808893273439</v>
      </c>
      <c r="AD929" s="20">
        <f>'PFAS Properties'!$W$46</f>
        <v>8</v>
      </c>
      <c r="AE929" s="8">
        <f>'PFAS Properties'!$S$46</f>
        <v>2.0166155475571776</v>
      </c>
      <c r="AF929" s="15">
        <f>'PFAS Properties'!$V$46</f>
        <v>5</v>
      </c>
      <c r="AG929" s="26">
        <v>6.48</v>
      </c>
      <c r="AH929" s="1" t="s">
        <v>190</v>
      </c>
      <c r="AI929" s="39">
        <f t="shared" si="417"/>
        <v>34.344675000000002</v>
      </c>
      <c r="AJ929" s="1">
        <v>615</v>
      </c>
      <c r="AK929" s="8">
        <f t="shared" si="418"/>
        <v>3.4344675000000002</v>
      </c>
      <c r="AL929" s="39">
        <f t="shared" si="419"/>
        <v>32.861640000000001</v>
      </c>
      <c r="AM929" s="1">
        <v>1218</v>
      </c>
      <c r="AN929" s="8">
        <f t="shared" si="420"/>
        <v>3.2861640000000003</v>
      </c>
      <c r="AO929" s="3" t="s">
        <v>93</v>
      </c>
      <c r="AP929" s="3">
        <v>10.9</v>
      </c>
      <c r="AQ929" s="3" t="s">
        <v>661</v>
      </c>
      <c r="AR929" s="4">
        <v>20.9</v>
      </c>
      <c r="AS929" s="4">
        <v>44.4</v>
      </c>
      <c r="AT929" s="4">
        <v>34.700000000000003</v>
      </c>
      <c r="AU929" s="3" t="s">
        <v>661</v>
      </c>
      <c r="AV929" s="16">
        <f t="shared" si="414"/>
        <v>100</v>
      </c>
      <c r="AW929" s="7">
        <v>2.8</v>
      </c>
      <c r="AX929" s="1">
        <f t="shared" si="421"/>
        <v>2.7999999999999997E-2</v>
      </c>
      <c r="AY929" s="1" t="s">
        <v>511</v>
      </c>
      <c r="AZ929" s="1">
        <f t="shared" si="422"/>
        <v>100</v>
      </c>
      <c r="BA929" s="1" t="s">
        <v>55</v>
      </c>
      <c r="BB929" s="1">
        <v>5</v>
      </c>
      <c r="BC929" s="1">
        <v>500</v>
      </c>
      <c r="BD929" s="26">
        <f t="shared" si="423"/>
        <v>26.804801832428836</v>
      </c>
      <c r="BE929" s="16">
        <f t="shared" si="416"/>
        <v>957.31435115817283</v>
      </c>
      <c r="BF929" s="16">
        <f t="shared" si="434"/>
        <v>2.9810545694971968</v>
      </c>
      <c r="BG929" s="8">
        <f t="shared" si="435"/>
        <v>1.4282126008394163</v>
      </c>
      <c r="BH929" s="13" t="s">
        <v>782</v>
      </c>
      <c r="BI929" s="8">
        <v>54.1</v>
      </c>
      <c r="BJ929" s="13" t="s">
        <v>349</v>
      </c>
      <c r="BK929" s="15">
        <v>0.7</v>
      </c>
      <c r="BL929" s="16">
        <f t="shared" si="424"/>
        <v>54.1</v>
      </c>
      <c r="BM929" s="18">
        <f>'PFAS Properties'!$U$46</f>
        <v>10.39</v>
      </c>
      <c r="BN929" s="8">
        <f t="shared" si="425"/>
        <v>278.50189103893564</v>
      </c>
      <c r="BO929" s="24">
        <f t="shared" si="426"/>
        <v>26.804801832428836</v>
      </c>
      <c r="BP929" s="11"/>
      <c r="BQ929" s="11"/>
    </row>
    <row r="930" spans="1:69" x14ac:dyDescent="0.3">
      <c r="A930" s="20">
        <v>950</v>
      </c>
      <c r="B930" s="2" t="s">
        <v>189</v>
      </c>
      <c r="C930" s="2">
        <v>2021</v>
      </c>
      <c r="D930" s="2" t="s">
        <v>510</v>
      </c>
      <c r="E930" s="41" t="s">
        <v>804</v>
      </c>
      <c r="F930" s="20" t="s">
        <v>29</v>
      </c>
      <c r="G930" s="2" t="s">
        <v>440</v>
      </c>
      <c r="H930" s="2" t="str">
        <f>'PFAS Properties'!$B$46</f>
        <v>PFOS</v>
      </c>
      <c r="I930" s="2" t="str">
        <f>'PFAS Properties'!$C$46</f>
        <v>PFSA</v>
      </c>
      <c r="J930" s="2" t="str">
        <f>'PFAS Properties'!$D$46</f>
        <v>C8HF17O3S</v>
      </c>
      <c r="K930" s="25">
        <f>'PFAS Properties'!$P$46</f>
        <v>499.93739999999997</v>
      </c>
      <c r="L930" s="2">
        <f>'PFAS Properties'!$X$46</f>
        <v>0.1</v>
      </c>
      <c r="M930" s="2" t="str">
        <f>'PFAS Properties'!$Y$46</f>
        <v>-</v>
      </c>
      <c r="N930" s="33">
        <v>0</v>
      </c>
      <c r="O930" s="33">
        <v>0</v>
      </c>
      <c r="P930" s="33">
        <v>0</v>
      </c>
      <c r="Q930" s="33">
        <f t="shared" si="427"/>
        <v>0.99999999704879083</v>
      </c>
      <c r="R930" s="33">
        <v>0</v>
      </c>
      <c r="S930" s="33">
        <f t="shared" si="428"/>
        <v>2.9512092179567386E-9</v>
      </c>
      <c r="T930" s="8">
        <f t="shared" si="413"/>
        <v>1</v>
      </c>
      <c r="U930" s="33">
        <f t="shared" si="429"/>
        <v>0</v>
      </c>
      <c r="V930" s="33">
        <f t="shared" si="430"/>
        <v>-0.99999999704879083</v>
      </c>
      <c r="W930" s="33">
        <f t="shared" si="431"/>
        <v>498.93740000295122</v>
      </c>
      <c r="X930" s="33">
        <v>96485</v>
      </c>
      <c r="Y930" s="16">
        <f t="shared" si="432"/>
        <v>-193.3809726724873</v>
      </c>
      <c r="Z930" s="16">
        <v>8</v>
      </c>
      <c r="AA930" s="16">
        <v>17</v>
      </c>
      <c r="AB930" s="8">
        <f t="shared" si="433"/>
        <v>0.29721362229102166</v>
      </c>
      <c r="AC930" s="16">
        <f t="shared" si="415"/>
        <v>64.60808893273439</v>
      </c>
      <c r="AD930" s="20">
        <f>'PFAS Properties'!$W$46</f>
        <v>8</v>
      </c>
      <c r="AE930" s="8">
        <f>'PFAS Properties'!$S$46</f>
        <v>2.0166155475571776</v>
      </c>
      <c r="AF930" s="15">
        <f>'PFAS Properties'!$V$46</f>
        <v>5</v>
      </c>
      <c r="AG930" s="26">
        <v>8.6300000000000008</v>
      </c>
      <c r="AH930" s="1" t="s">
        <v>190</v>
      </c>
      <c r="AI930" s="39">
        <f t="shared" si="417"/>
        <v>34.623899999999999</v>
      </c>
      <c r="AJ930" s="1">
        <v>620</v>
      </c>
      <c r="AK930" s="8">
        <f t="shared" si="418"/>
        <v>3.4623900000000001</v>
      </c>
      <c r="AL930" s="39">
        <f t="shared" si="419"/>
        <v>33.536139999999996</v>
      </c>
      <c r="AM930" s="1">
        <v>1243</v>
      </c>
      <c r="AN930" s="8">
        <f t="shared" si="420"/>
        <v>3.3536139999999994</v>
      </c>
      <c r="AO930" s="3" t="s">
        <v>93</v>
      </c>
      <c r="AP930" s="3">
        <v>11.1</v>
      </c>
      <c r="AQ930" s="3" t="s">
        <v>661</v>
      </c>
      <c r="AR930" s="4">
        <v>65.2</v>
      </c>
      <c r="AS930" s="4">
        <v>14.3</v>
      </c>
      <c r="AT930" s="4">
        <v>20.5</v>
      </c>
      <c r="AU930" s="3" t="s">
        <v>661</v>
      </c>
      <c r="AV930" s="16">
        <f t="shared" si="414"/>
        <v>100</v>
      </c>
      <c r="AW930" s="7">
        <v>0.7</v>
      </c>
      <c r="AX930" s="1">
        <f t="shared" si="421"/>
        <v>6.9999999999999993E-3</v>
      </c>
      <c r="AY930" s="1" t="s">
        <v>511</v>
      </c>
      <c r="AZ930" s="1">
        <f t="shared" si="422"/>
        <v>100</v>
      </c>
      <c r="BA930" s="1" t="s">
        <v>55</v>
      </c>
      <c r="BB930" s="1">
        <v>5</v>
      </c>
      <c r="BC930" s="1">
        <v>500</v>
      </c>
      <c r="BD930" s="26">
        <f t="shared" si="423"/>
        <v>12.209882985108258</v>
      </c>
      <c r="BE930" s="16">
        <f t="shared" si="416"/>
        <v>1744.2689978726085</v>
      </c>
      <c r="BF930" s="16">
        <f t="shared" si="434"/>
        <v>3.2416134618368257</v>
      </c>
      <c r="BG930" s="8">
        <f t="shared" si="435"/>
        <v>1.0867115018510825</v>
      </c>
      <c r="BH930" s="13" t="s">
        <v>782</v>
      </c>
      <c r="BI930" s="8">
        <v>19.5</v>
      </c>
      <c r="BJ930" s="13" t="s">
        <v>349</v>
      </c>
      <c r="BK930" s="15">
        <v>0.8</v>
      </c>
      <c r="BL930" s="16">
        <f t="shared" si="424"/>
        <v>19.5</v>
      </c>
      <c r="BM930" s="18">
        <f>'PFAS Properties'!$U$46</f>
        <v>10.39</v>
      </c>
      <c r="BN930" s="8">
        <f t="shared" si="425"/>
        <v>126.86068421527482</v>
      </c>
      <c r="BO930" s="24">
        <f t="shared" si="426"/>
        <v>12.209882985108258</v>
      </c>
      <c r="BP930" s="11"/>
      <c r="BQ930" s="11"/>
    </row>
    <row r="931" spans="1:69" x14ac:dyDescent="0.3">
      <c r="A931" s="20">
        <v>951</v>
      </c>
      <c r="B931" s="2" t="s">
        <v>189</v>
      </c>
      <c r="C931" s="2">
        <v>2021</v>
      </c>
      <c r="D931" s="2" t="s">
        <v>510</v>
      </c>
      <c r="E931" s="41" t="s">
        <v>804</v>
      </c>
      <c r="F931" s="20" t="s">
        <v>29</v>
      </c>
      <c r="G931" s="2" t="s">
        <v>441</v>
      </c>
      <c r="H931" s="2" t="str">
        <f>'PFAS Properties'!$B$46</f>
        <v>PFOS</v>
      </c>
      <c r="I931" s="2" t="str">
        <f>'PFAS Properties'!$C$46</f>
        <v>PFSA</v>
      </c>
      <c r="J931" s="2" t="str">
        <f>'PFAS Properties'!$D$46</f>
        <v>C8HF17O3S</v>
      </c>
      <c r="K931" s="25">
        <f>'PFAS Properties'!$P$46</f>
        <v>499.93739999999997</v>
      </c>
      <c r="L931" s="2">
        <f>'PFAS Properties'!$X$46</f>
        <v>0.1</v>
      </c>
      <c r="M931" s="2" t="str">
        <f>'PFAS Properties'!$Y$46</f>
        <v>-</v>
      </c>
      <c r="N931" s="33">
        <v>0</v>
      </c>
      <c r="O931" s="33">
        <v>0</v>
      </c>
      <c r="P931" s="33">
        <v>0</v>
      </c>
      <c r="Q931" s="33">
        <f t="shared" si="427"/>
        <v>0.99999848644104239</v>
      </c>
      <c r="R931" s="33">
        <v>0</v>
      </c>
      <c r="S931" s="33">
        <f t="shared" si="428"/>
        <v>1.5135589575720209E-6</v>
      </c>
      <c r="T931" s="8">
        <f t="shared" si="413"/>
        <v>1</v>
      </c>
      <c r="U931" s="33">
        <f t="shared" si="429"/>
        <v>0</v>
      </c>
      <c r="V931" s="33">
        <f t="shared" si="430"/>
        <v>-0.99999848644104239</v>
      </c>
      <c r="W931" s="33">
        <f t="shared" si="431"/>
        <v>498.93740151355888</v>
      </c>
      <c r="X931" s="33">
        <v>96485</v>
      </c>
      <c r="Y931" s="16">
        <f t="shared" si="432"/>
        <v>-193.38067996420179</v>
      </c>
      <c r="Z931" s="16">
        <v>8</v>
      </c>
      <c r="AA931" s="16">
        <v>17</v>
      </c>
      <c r="AB931" s="8">
        <f t="shared" si="433"/>
        <v>0.29721362229102166</v>
      </c>
      <c r="AC931" s="16">
        <f t="shared" si="415"/>
        <v>64.60808893273439</v>
      </c>
      <c r="AD931" s="20">
        <f>'PFAS Properties'!$W$46</f>
        <v>8</v>
      </c>
      <c r="AE931" s="8">
        <f>'PFAS Properties'!$S$46</f>
        <v>2.0166155475571776</v>
      </c>
      <c r="AF931" s="15">
        <f>'PFAS Properties'!$V$46</f>
        <v>5</v>
      </c>
      <c r="AG931" s="26">
        <v>5.92</v>
      </c>
      <c r="AH931" s="1" t="s">
        <v>190</v>
      </c>
      <c r="AI931" s="39">
        <f t="shared" si="417"/>
        <v>34.903125000000003</v>
      </c>
      <c r="AJ931" s="1">
        <v>625</v>
      </c>
      <c r="AK931" s="8">
        <f t="shared" si="418"/>
        <v>3.4903125000000004</v>
      </c>
      <c r="AL931" s="39">
        <f t="shared" si="419"/>
        <v>34.183660000000003</v>
      </c>
      <c r="AM931" s="1">
        <v>1267</v>
      </c>
      <c r="AN931" s="8">
        <f t="shared" si="420"/>
        <v>3.4183660000000002</v>
      </c>
      <c r="AO931" s="3" t="s">
        <v>93</v>
      </c>
      <c r="AP931" s="3">
        <v>9.9</v>
      </c>
      <c r="AQ931" s="3" t="s">
        <v>661</v>
      </c>
      <c r="AR931" s="4">
        <v>16.100000000000001</v>
      </c>
      <c r="AS931" s="4">
        <v>33.6</v>
      </c>
      <c r="AT931" s="4">
        <v>50.4</v>
      </c>
      <c r="AU931" s="3" t="s">
        <v>661</v>
      </c>
      <c r="AV931" s="16">
        <f t="shared" si="414"/>
        <v>100.1</v>
      </c>
      <c r="AW931" s="7">
        <v>3</v>
      </c>
      <c r="AX931" s="1">
        <f t="shared" si="421"/>
        <v>0.03</v>
      </c>
      <c r="AY931" s="1" t="s">
        <v>511</v>
      </c>
      <c r="AZ931" s="1">
        <f t="shared" si="422"/>
        <v>100</v>
      </c>
      <c r="BA931" s="1" t="s">
        <v>55</v>
      </c>
      <c r="BB931" s="1">
        <v>5</v>
      </c>
      <c r="BC931" s="1">
        <v>500</v>
      </c>
      <c r="BD931" s="26">
        <f t="shared" si="423"/>
        <v>47.069430204819582</v>
      </c>
      <c r="BE931" s="16">
        <f t="shared" si="416"/>
        <v>1568.9810068273196</v>
      </c>
      <c r="BF931" s="16">
        <f t="shared" si="434"/>
        <v>3.195617686302032</v>
      </c>
      <c r="BG931" s="8">
        <f t="shared" si="435"/>
        <v>1.6727389410216944</v>
      </c>
      <c r="BH931" s="13" t="s">
        <v>782</v>
      </c>
      <c r="BI931" s="8">
        <v>95</v>
      </c>
      <c r="BJ931" s="13" t="s">
        <v>349</v>
      </c>
      <c r="BK931" s="15">
        <v>0.7</v>
      </c>
      <c r="BL931" s="16">
        <f t="shared" si="424"/>
        <v>95</v>
      </c>
      <c r="BM931" s="18">
        <f>'PFAS Properties'!$U$46</f>
        <v>10.39</v>
      </c>
      <c r="BN931" s="8">
        <f t="shared" si="425"/>
        <v>489.05137982807548</v>
      </c>
      <c r="BO931" s="24">
        <f t="shared" si="426"/>
        <v>47.069430204819582</v>
      </c>
      <c r="BP931" s="11"/>
      <c r="BQ931" s="11"/>
    </row>
    <row r="932" spans="1:69" x14ac:dyDescent="0.3">
      <c r="A932" s="20">
        <v>952</v>
      </c>
      <c r="B932" s="2" t="s">
        <v>189</v>
      </c>
      <c r="C932" s="2">
        <v>2021</v>
      </c>
      <c r="D932" s="2" t="s">
        <v>510</v>
      </c>
      <c r="E932" s="41" t="s">
        <v>804</v>
      </c>
      <c r="F932" s="20" t="s">
        <v>29</v>
      </c>
      <c r="G932" s="2" t="s">
        <v>442</v>
      </c>
      <c r="H932" s="2" t="str">
        <f>'PFAS Properties'!$B$46</f>
        <v>PFOS</v>
      </c>
      <c r="I932" s="2" t="str">
        <f>'PFAS Properties'!$C$46</f>
        <v>PFSA</v>
      </c>
      <c r="J932" s="2" t="str">
        <f>'PFAS Properties'!$D$46</f>
        <v>C8HF17O3S</v>
      </c>
      <c r="K932" s="25">
        <f>'PFAS Properties'!$P$46</f>
        <v>499.93739999999997</v>
      </c>
      <c r="L932" s="2">
        <f>'PFAS Properties'!$X$46</f>
        <v>0.1</v>
      </c>
      <c r="M932" s="2" t="str">
        <f>'PFAS Properties'!$Y$46</f>
        <v>-</v>
      </c>
      <c r="N932" s="33">
        <v>0</v>
      </c>
      <c r="O932" s="33">
        <v>0</v>
      </c>
      <c r="P932" s="33">
        <v>0</v>
      </c>
      <c r="Q932" s="33">
        <f t="shared" si="427"/>
        <v>0.99999841510931942</v>
      </c>
      <c r="R932" s="33">
        <v>0</v>
      </c>
      <c r="S932" s="33">
        <f t="shared" si="428"/>
        <v>1.5848906805786579E-6</v>
      </c>
      <c r="T932" s="8">
        <f t="shared" si="413"/>
        <v>1</v>
      </c>
      <c r="U932" s="33">
        <f t="shared" si="429"/>
        <v>0</v>
      </c>
      <c r="V932" s="33">
        <f t="shared" si="430"/>
        <v>-0.99999841510931942</v>
      </c>
      <c r="W932" s="33">
        <f t="shared" si="431"/>
        <v>498.93740158489061</v>
      </c>
      <c r="X932" s="33">
        <v>96485</v>
      </c>
      <c r="Y932" s="16">
        <f t="shared" si="432"/>
        <v>-193.38066614235672</v>
      </c>
      <c r="Z932" s="16">
        <v>8</v>
      </c>
      <c r="AA932" s="16">
        <v>17</v>
      </c>
      <c r="AB932" s="8">
        <f t="shared" si="433"/>
        <v>0.29721362229102166</v>
      </c>
      <c r="AC932" s="16">
        <f t="shared" si="415"/>
        <v>64.60808893273439</v>
      </c>
      <c r="AD932" s="20">
        <f>'PFAS Properties'!$W$46</f>
        <v>8</v>
      </c>
      <c r="AE932" s="8">
        <f>'PFAS Properties'!$S$46</f>
        <v>2.0166155475571776</v>
      </c>
      <c r="AF932" s="15">
        <f>'PFAS Properties'!$V$46</f>
        <v>5</v>
      </c>
      <c r="AG932" s="26">
        <v>5.9</v>
      </c>
      <c r="AH932" s="1" t="s">
        <v>190</v>
      </c>
      <c r="AI932" s="39">
        <f t="shared" si="417"/>
        <v>35.18235</v>
      </c>
      <c r="AJ932" s="1">
        <v>630</v>
      </c>
      <c r="AK932" s="8">
        <f t="shared" si="418"/>
        <v>3.5182349999999998</v>
      </c>
      <c r="AL932" s="39">
        <f t="shared" si="419"/>
        <v>34.858160000000005</v>
      </c>
      <c r="AM932" s="1">
        <v>1292</v>
      </c>
      <c r="AN932" s="8">
        <f t="shared" si="420"/>
        <v>3.4858160000000007</v>
      </c>
      <c r="AO932" s="3" t="s">
        <v>93</v>
      </c>
      <c r="AP932" s="3">
        <v>7.6</v>
      </c>
      <c r="AQ932" s="3" t="s">
        <v>661</v>
      </c>
      <c r="AR932" s="4">
        <v>17.2</v>
      </c>
      <c r="AS932" s="4">
        <v>40.200000000000003</v>
      </c>
      <c r="AT932" s="4">
        <v>42.6</v>
      </c>
      <c r="AU932" s="3" t="s">
        <v>661</v>
      </c>
      <c r="AV932" s="16">
        <f t="shared" si="414"/>
        <v>100</v>
      </c>
      <c r="AW932" s="7">
        <v>6.9</v>
      </c>
      <c r="AX932" s="1">
        <f t="shared" si="421"/>
        <v>6.9000000000000006E-2</v>
      </c>
      <c r="AY932" s="1" t="s">
        <v>511</v>
      </c>
      <c r="AZ932" s="1">
        <f t="shared" si="422"/>
        <v>100</v>
      </c>
      <c r="BA932" s="1" t="s">
        <v>55</v>
      </c>
      <c r="BB932" s="1">
        <v>5</v>
      </c>
      <c r="BC932" s="1">
        <v>500</v>
      </c>
      <c r="BD932" s="26">
        <f t="shared" si="423"/>
        <v>85.715909741408282</v>
      </c>
      <c r="BE932" s="16">
        <f t="shared" si="416"/>
        <v>1242.2595614696852</v>
      </c>
      <c r="BF932" s="16">
        <f t="shared" si="434"/>
        <v>3.0942123481243868</v>
      </c>
      <c r="BG932" s="8">
        <f t="shared" si="435"/>
        <v>1.9330614388616421</v>
      </c>
      <c r="BH932" s="13" t="s">
        <v>782</v>
      </c>
      <c r="BI932" s="8">
        <v>173</v>
      </c>
      <c r="BJ932" s="13" t="s">
        <v>349</v>
      </c>
      <c r="BK932" s="15">
        <v>0.7</v>
      </c>
      <c r="BL932" s="16">
        <f t="shared" si="424"/>
        <v>173</v>
      </c>
      <c r="BM932" s="18">
        <f>'PFAS Properties'!$U$46</f>
        <v>10.39</v>
      </c>
      <c r="BN932" s="8">
        <f t="shared" si="425"/>
        <v>890.58830221323217</v>
      </c>
      <c r="BO932" s="24">
        <f t="shared" si="426"/>
        <v>85.715909741408282</v>
      </c>
      <c r="BP932" s="11"/>
      <c r="BQ932" s="11"/>
    </row>
    <row r="933" spans="1:69" x14ac:dyDescent="0.3">
      <c r="A933" s="20">
        <v>953</v>
      </c>
      <c r="B933" s="2" t="s">
        <v>189</v>
      </c>
      <c r="C933" s="2">
        <v>2021</v>
      </c>
      <c r="D933" s="2" t="s">
        <v>510</v>
      </c>
      <c r="E933" s="41" t="s">
        <v>804</v>
      </c>
      <c r="F933" s="20" t="s">
        <v>29</v>
      </c>
      <c r="G933" s="2" t="s">
        <v>443</v>
      </c>
      <c r="H933" s="2" t="str">
        <f>'PFAS Properties'!$B$46</f>
        <v>PFOS</v>
      </c>
      <c r="I933" s="2" t="str">
        <f>'PFAS Properties'!$C$46</f>
        <v>PFSA</v>
      </c>
      <c r="J933" s="2" t="str">
        <f>'PFAS Properties'!$D$46</f>
        <v>C8HF17O3S</v>
      </c>
      <c r="K933" s="25">
        <f>'PFAS Properties'!$P$46</f>
        <v>499.93739999999997</v>
      </c>
      <c r="L933" s="2">
        <f>'PFAS Properties'!$X$46</f>
        <v>0.1</v>
      </c>
      <c r="M933" s="2" t="str">
        <f>'PFAS Properties'!$Y$46</f>
        <v>-</v>
      </c>
      <c r="N933" s="33">
        <v>0</v>
      </c>
      <c r="O933" s="33">
        <v>0</v>
      </c>
      <c r="P933" s="33">
        <v>0</v>
      </c>
      <c r="Q933" s="33">
        <f t="shared" si="427"/>
        <v>0.99999841510931942</v>
      </c>
      <c r="R933" s="33">
        <v>0</v>
      </c>
      <c r="S933" s="33">
        <f t="shared" si="428"/>
        <v>1.5848906805786579E-6</v>
      </c>
      <c r="T933" s="8">
        <f t="shared" si="413"/>
        <v>1</v>
      </c>
      <c r="U933" s="33">
        <f t="shared" si="429"/>
        <v>0</v>
      </c>
      <c r="V933" s="33">
        <f t="shared" si="430"/>
        <v>-0.99999841510931942</v>
      </c>
      <c r="W933" s="33">
        <f t="shared" si="431"/>
        <v>498.93740158489061</v>
      </c>
      <c r="X933" s="33">
        <v>96485</v>
      </c>
      <c r="Y933" s="16">
        <f t="shared" si="432"/>
        <v>-193.38066614235672</v>
      </c>
      <c r="Z933" s="16">
        <v>8</v>
      </c>
      <c r="AA933" s="16">
        <v>17</v>
      </c>
      <c r="AB933" s="8">
        <f t="shared" si="433"/>
        <v>0.29721362229102166</v>
      </c>
      <c r="AC933" s="16">
        <f t="shared" si="415"/>
        <v>64.60808893273439</v>
      </c>
      <c r="AD933" s="20">
        <f>'PFAS Properties'!$W$46</f>
        <v>8</v>
      </c>
      <c r="AE933" s="8">
        <f>'PFAS Properties'!$S$46</f>
        <v>2.0166155475571776</v>
      </c>
      <c r="AF933" s="15">
        <f>'PFAS Properties'!$V$46</f>
        <v>5</v>
      </c>
      <c r="AG933" s="26">
        <v>5.9</v>
      </c>
      <c r="AH933" s="1" t="s">
        <v>190</v>
      </c>
      <c r="AI933" s="39">
        <f t="shared" si="417"/>
        <v>35.461574999999996</v>
      </c>
      <c r="AJ933" s="1">
        <v>635</v>
      </c>
      <c r="AK933" s="8">
        <f t="shared" si="418"/>
        <v>3.5461574999999996</v>
      </c>
      <c r="AL933" s="39">
        <f t="shared" si="419"/>
        <v>35.505679999999998</v>
      </c>
      <c r="AM933" s="1">
        <v>1316</v>
      </c>
      <c r="AN933" s="8">
        <f t="shared" si="420"/>
        <v>3.5505679999999997</v>
      </c>
      <c r="AO933" s="3" t="s">
        <v>93</v>
      </c>
      <c r="AP933" s="3">
        <v>0.9</v>
      </c>
      <c r="AQ933" s="3" t="s">
        <v>661</v>
      </c>
      <c r="AR933" s="4">
        <v>85.2</v>
      </c>
      <c r="AS933" s="4">
        <v>9.9</v>
      </c>
      <c r="AT933" s="4">
        <v>4.9000000000000004</v>
      </c>
      <c r="AU933" s="3" t="s">
        <v>661</v>
      </c>
      <c r="AV933" s="16">
        <f t="shared" si="414"/>
        <v>100.00000000000001</v>
      </c>
      <c r="AW933" s="7">
        <v>0.2</v>
      </c>
      <c r="AX933" s="1">
        <f t="shared" si="421"/>
        <v>2E-3</v>
      </c>
      <c r="AY933" s="1" t="s">
        <v>511</v>
      </c>
      <c r="AZ933" s="1">
        <f t="shared" si="422"/>
        <v>100</v>
      </c>
      <c r="BA933" s="1" t="s">
        <v>55</v>
      </c>
      <c r="BB933" s="1">
        <v>5</v>
      </c>
      <c r="BC933" s="1">
        <v>500</v>
      </c>
      <c r="BD933" s="26">
        <f t="shared" si="423"/>
        <v>13.476721069169395</v>
      </c>
      <c r="BE933" s="16">
        <f t="shared" si="416"/>
        <v>6738.3605345846972</v>
      </c>
      <c r="BF933" s="16">
        <f t="shared" si="434"/>
        <v>3.828554244103064</v>
      </c>
      <c r="BG933" s="8">
        <f t="shared" si="435"/>
        <v>1.1295842397670455</v>
      </c>
      <c r="BH933" s="13" t="s">
        <v>782</v>
      </c>
      <c r="BI933" s="8">
        <v>27.2</v>
      </c>
      <c r="BJ933" s="13" t="s">
        <v>349</v>
      </c>
      <c r="BK933" s="15">
        <v>0.7</v>
      </c>
      <c r="BL933" s="16">
        <f t="shared" si="424"/>
        <v>27.2</v>
      </c>
      <c r="BM933" s="18">
        <f>'PFAS Properties'!$U$46</f>
        <v>10.39</v>
      </c>
      <c r="BN933" s="8">
        <f t="shared" si="425"/>
        <v>140.02313190867002</v>
      </c>
      <c r="BO933" s="24">
        <f t="shared" si="426"/>
        <v>13.476721069169395</v>
      </c>
      <c r="BP933" s="11"/>
      <c r="BQ933" s="11"/>
    </row>
    <row r="934" spans="1:69" x14ac:dyDescent="0.3">
      <c r="A934" s="20">
        <v>954</v>
      </c>
      <c r="B934" s="2" t="s">
        <v>189</v>
      </c>
      <c r="C934" s="2">
        <v>2021</v>
      </c>
      <c r="D934" s="2" t="s">
        <v>510</v>
      </c>
      <c r="E934" s="41" t="s">
        <v>804</v>
      </c>
      <c r="F934" s="20" t="s">
        <v>29</v>
      </c>
      <c r="G934" s="2" t="s">
        <v>444</v>
      </c>
      <c r="H934" s="2" t="str">
        <f>'PFAS Properties'!$B$46</f>
        <v>PFOS</v>
      </c>
      <c r="I934" s="2" t="str">
        <f>'PFAS Properties'!$C$46</f>
        <v>PFSA</v>
      </c>
      <c r="J934" s="2" t="str">
        <f>'PFAS Properties'!$D$46</f>
        <v>C8HF17O3S</v>
      </c>
      <c r="K934" s="25">
        <f>'PFAS Properties'!$P$46</f>
        <v>499.93739999999997</v>
      </c>
      <c r="L934" s="2">
        <f>'PFAS Properties'!$X$46</f>
        <v>0.1</v>
      </c>
      <c r="M934" s="2" t="str">
        <f>'PFAS Properties'!$Y$46</f>
        <v>-</v>
      </c>
      <c r="N934" s="33">
        <v>0</v>
      </c>
      <c r="O934" s="33">
        <v>0</v>
      </c>
      <c r="P934" s="33">
        <v>0</v>
      </c>
      <c r="Q934" s="33">
        <f t="shared" si="427"/>
        <v>0.99999999573420484</v>
      </c>
      <c r="R934" s="33">
        <v>0</v>
      </c>
      <c r="S934" s="33">
        <f t="shared" si="428"/>
        <v>4.2657951698188959E-9</v>
      </c>
      <c r="T934" s="8">
        <f t="shared" si="413"/>
        <v>1</v>
      </c>
      <c r="U934" s="33">
        <f t="shared" si="429"/>
        <v>0</v>
      </c>
      <c r="V934" s="33">
        <f t="shared" si="430"/>
        <v>-0.99999999573420484</v>
      </c>
      <c r="W934" s="33">
        <f t="shared" si="431"/>
        <v>498.93740000426573</v>
      </c>
      <c r="X934" s="33">
        <v>96485</v>
      </c>
      <c r="Y934" s="16">
        <f t="shared" si="432"/>
        <v>-193.38097241776191</v>
      </c>
      <c r="Z934" s="16">
        <v>8</v>
      </c>
      <c r="AA934" s="16">
        <v>17</v>
      </c>
      <c r="AB934" s="8">
        <f t="shared" si="433"/>
        <v>0.29721362229102166</v>
      </c>
      <c r="AC934" s="16">
        <f t="shared" si="415"/>
        <v>64.60808893273439</v>
      </c>
      <c r="AD934" s="20">
        <f>'PFAS Properties'!$W$46</f>
        <v>8</v>
      </c>
      <c r="AE934" s="8">
        <f>'PFAS Properties'!$S$46</f>
        <v>2.0166155475571776</v>
      </c>
      <c r="AF934" s="15">
        <f>'PFAS Properties'!$V$46</f>
        <v>5</v>
      </c>
      <c r="AG934" s="26">
        <v>8.4700000000000006</v>
      </c>
      <c r="AH934" s="1" t="s">
        <v>190</v>
      </c>
      <c r="AI934" s="39">
        <f t="shared" si="417"/>
        <v>35.7408</v>
      </c>
      <c r="AJ934" s="1">
        <v>640</v>
      </c>
      <c r="AK934" s="8">
        <f t="shared" si="418"/>
        <v>3.5740799999999999</v>
      </c>
      <c r="AL934" s="39">
        <f t="shared" si="419"/>
        <v>36.18018</v>
      </c>
      <c r="AM934" s="1">
        <v>1341</v>
      </c>
      <c r="AN934" s="8">
        <f t="shared" si="420"/>
        <v>3.6180180000000002</v>
      </c>
      <c r="AO934" s="3" t="s">
        <v>93</v>
      </c>
      <c r="AP934" s="3">
        <v>8.1999999999999993</v>
      </c>
      <c r="AQ934" s="3" t="s">
        <v>661</v>
      </c>
      <c r="AR934" s="4">
        <v>79.400000000000006</v>
      </c>
      <c r="AS934" s="4">
        <v>11.9</v>
      </c>
      <c r="AT934" s="4">
        <v>8.6999999999999993</v>
      </c>
      <c r="AU934" s="3" t="s">
        <v>661</v>
      </c>
      <c r="AV934" s="16">
        <f t="shared" si="414"/>
        <v>100.00000000000001</v>
      </c>
      <c r="AW934" s="7">
        <v>1.2</v>
      </c>
      <c r="AX934" s="1">
        <f t="shared" si="421"/>
        <v>1.2E-2</v>
      </c>
      <c r="AY934" s="1" t="s">
        <v>511</v>
      </c>
      <c r="AZ934" s="1">
        <f t="shared" si="422"/>
        <v>100</v>
      </c>
      <c r="BA934" s="1" t="s">
        <v>55</v>
      </c>
      <c r="BB934" s="1">
        <v>5</v>
      </c>
      <c r="BC934" s="1">
        <v>500</v>
      </c>
      <c r="BD934" s="26">
        <f t="shared" si="423"/>
        <v>9.6537995270190109</v>
      </c>
      <c r="BE934" s="16">
        <f t="shared" si="416"/>
        <v>804.48329391825087</v>
      </c>
      <c r="BF934" s="16">
        <f t="shared" si="434"/>
        <v>2.9055170298714055</v>
      </c>
      <c r="BG934" s="8">
        <f t="shared" si="435"/>
        <v>0.98469827591903047</v>
      </c>
      <c r="BH934" s="13" t="s">
        <v>782</v>
      </c>
      <c r="BI934" s="8">
        <v>12.2</v>
      </c>
      <c r="BJ934" s="13" t="s">
        <v>349</v>
      </c>
      <c r="BK934" s="15">
        <v>0.9</v>
      </c>
      <c r="BL934" s="16">
        <f t="shared" si="424"/>
        <v>12.2</v>
      </c>
      <c r="BM934" s="18">
        <f>'PFAS Properties'!$U$46</f>
        <v>10.39</v>
      </c>
      <c r="BN934" s="8">
        <f t="shared" si="425"/>
        <v>100.30297708572753</v>
      </c>
      <c r="BO934" s="24">
        <f t="shared" si="426"/>
        <v>9.6537995270190109</v>
      </c>
      <c r="BP934" s="11"/>
      <c r="BQ934" s="11"/>
    </row>
    <row r="935" spans="1:69" x14ac:dyDescent="0.3">
      <c r="A935" s="20">
        <v>955</v>
      </c>
      <c r="B935" s="2" t="s">
        <v>189</v>
      </c>
      <c r="C935" s="2">
        <v>2021</v>
      </c>
      <c r="D935" s="2" t="s">
        <v>510</v>
      </c>
      <c r="E935" s="41" t="s">
        <v>804</v>
      </c>
      <c r="F935" s="20" t="s">
        <v>29</v>
      </c>
      <c r="G935" s="2" t="s">
        <v>445</v>
      </c>
      <c r="H935" s="2" t="str">
        <f>'PFAS Properties'!$B$46</f>
        <v>PFOS</v>
      </c>
      <c r="I935" s="2" t="str">
        <f>'PFAS Properties'!$C$46</f>
        <v>PFSA</v>
      </c>
      <c r="J935" s="2" t="str">
        <f>'PFAS Properties'!$D$46</f>
        <v>C8HF17O3S</v>
      </c>
      <c r="K935" s="25">
        <f>'PFAS Properties'!$P$46</f>
        <v>499.93739999999997</v>
      </c>
      <c r="L935" s="2">
        <f>'PFAS Properties'!$X$46</f>
        <v>0.1</v>
      </c>
      <c r="M935" s="2" t="str">
        <f>'PFAS Properties'!$Y$46</f>
        <v>-</v>
      </c>
      <c r="N935" s="33">
        <v>0</v>
      </c>
      <c r="O935" s="33">
        <v>0</v>
      </c>
      <c r="P935" s="33">
        <v>0</v>
      </c>
      <c r="Q935" s="33">
        <f t="shared" si="427"/>
        <v>0.9999918717609072</v>
      </c>
      <c r="R935" s="33">
        <v>0</v>
      </c>
      <c r="S935" s="33">
        <f t="shared" si="428"/>
        <v>8.1282390928331961E-6</v>
      </c>
      <c r="T935" s="8">
        <f t="shared" si="413"/>
        <v>1</v>
      </c>
      <c r="U935" s="33">
        <f t="shared" si="429"/>
        <v>0</v>
      </c>
      <c r="V935" s="33">
        <f t="shared" si="430"/>
        <v>-0.9999918717609072</v>
      </c>
      <c r="W935" s="33">
        <f t="shared" si="431"/>
        <v>498.9374081282391</v>
      </c>
      <c r="X935" s="33">
        <v>96485</v>
      </c>
      <c r="Y935" s="16">
        <f t="shared" si="432"/>
        <v>-193.37939824718921</v>
      </c>
      <c r="Z935" s="16">
        <v>8</v>
      </c>
      <c r="AA935" s="16">
        <v>17</v>
      </c>
      <c r="AB935" s="8">
        <f t="shared" si="433"/>
        <v>0.29721362229102166</v>
      </c>
      <c r="AC935" s="16">
        <f t="shared" si="415"/>
        <v>64.60808893273439</v>
      </c>
      <c r="AD935" s="20">
        <f>'PFAS Properties'!$W$46</f>
        <v>8</v>
      </c>
      <c r="AE935" s="8">
        <f>'PFAS Properties'!$S$46</f>
        <v>2.0166155475571776</v>
      </c>
      <c r="AF935" s="15">
        <f>'PFAS Properties'!$V$46</f>
        <v>5</v>
      </c>
      <c r="AG935" s="26">
        <v>5.19</v>
      </c>
      <c r="AH935" s="1" t="s">
        <v>190</v>
      </c>
      <c r="AI935" s="39">
        <f t="shared" si="417"/>
        <v>36.020025000000004</v>
      </c>
      <c r="AJ935" s="1">
        <v>645</v>
      </c>
      <c r="AK935" s="8">
        <f t="shared" si="418"/>
        <v>3.6020025000000002</v>
      </c>
      <c r="AL935" s="39">
        <f t="shared" si="419"/>
        <v>36.854680000000002</v>
      </c>
      <c r="AM935" s="1">
        <v>1366</v>
      </c>
      <c r="AN935" s="8">
        <f t="shared" si="420"/>
        <v>3.6854680000000002</v>
      </c>
      <c r="AO935" s="3" t="s">
        <v>93</v>
      </c>
      <c r="AP935" s="3">
        <v>4.0999999999999996</v>
      </c>
      <c r="AQ935" s="3" t="s">
        <v>661</v>
      </c>
      <c r="AR935" s="4">
        <v>28.6</v>
      </c>
      <c r="AS935" s="4">
        <v>58.1</v>
      </c>
      <c r="AT935" s="4">
        <v>13.3</v>
      </c>
      <c r="AU935" s="3" t="s">
        <v>661</v>
      </c>
      <c r="AV935" s="16">
        <f t="shared" si="414"/>
        <v>100</v>
      </c>
      <c r="AW935" s="7">
        <v>2.4</v>
      </c>
      <c r="AX935" s="1">
        <f t="shared" si="421"/>
        <v>2.4E-2</v>
      </c>
      <c r="AY935" s="1" t="s">
        <v>511</v>
      </c>
      <c r="AZ935" s="1">
        <f t="shared" si="422"/>
        <v>100</v>
      </c>
      <c r="BA935" s="1" t="s">
        <v>55</v>
      </c>
      <c r="BB935" s="1">
        <v>5</v>
      </c>
      <c r="BC935" s="1">
        <v>500</v>
      </c>
      <c r="BD935" s="26">
        <f t="shared" si="423"/>
        <v>16.458936898524218</v>
      </c>
      <c r="BE935" s="16">
        <f t="shared" si="416"/>
        <v>685.78903743850913</v>
      </c>
      <c r="BF935" s="16">
        <f t="shared" si="434"/>
        <v>2.8361905384954378</v>
      </c>
      <c r="BG935" s="8">
        <f t="shared" si="435"/>
        <v>1.2164017802070439</v>
      </c>
      <c r="BH935" s="13" t="s">
        <v>782</v>
      </c>
      <c r="BI935" s="8">
        <v>20.8</v>
      </c>
      <c r="BJ935" s="13" t="s">
        <v>349</v>
      </c>
      <c r="BK935" s="15">
        <v>0.9</v>
      </c>
      <c r="BL935" s="16">
        <f t="shared" si="424"/>
        <v>20.8</v>
      </c>
      <c r="BM935" s="18">
        <f>'PFAS Properties'!$U$46</f>
        <v>10.39</v>
      </c>
      <c r="BN935" s="8">
        <f t="shared" si="425"/>
        <v>171.00835437566664</v>
      </c>
      <c r="BO935" s="24">
        <f t="shared" si="426"/>
        <v>16.458936898524218</v>
      </c>
      <c r="BP935" s="11"/>
      <c r="BQ935" s="11"/>
    </row>
    <row r="936" spans="1:69" x14ac:dyDescent="0.3">
      <c r="A936" s="20">
        <v>956</v>
      </c>
      <c r="B936" s="2" t="s">
        <v>189</v>
      </c>
      <c r="C936" s="2">
        <v>2021</v>
      </c>
      <c r="D936" s="2" t="s">
        <v>510</v>
      </c>
      <c r="E936" s="41" t="s">
        <v>804</v>
      </c>
      <c r="F936" s="20" t="s">
        <v>29</v>
      </c>
      <c r="G936" s="2" t="s">
        <v>446</v>
      </c>
      <c r="H936" s="2" t="str">
        <f>'PFAS Properties'!$B$46</f>
        <v>PFOS</v>
      </c>
      <c r="I936" s="2" t="str">
        <f>'PFAS Properties'!$C$46</f>
        <v>PFSA</v>
      </c>
      <c r="J936" s="2" t="str">
        <f>'PFAS Properties'!$D$46</f>
        <v>C8HF17O3S</v>
      </c>
      <c r="K936" s="25">
        <f>'PFAS Properties'!$P$46</f>
        <v>499.93739999999997</v>
      </c>
      <c r="L936" s="2">
        <f>'PFAS Properties'!$X$46</f>
        <v>0.1</v>
      </c>
      <c r="M936" s="2" t="str">
        <f>'PFAS Properties'!$Y$46</f>
        <v>-</v>
      </c>
      <c r="N936" s="33">
        <v>0</v>
      </c>
      <c r="O936" s="33">
        <v>0</v>
      </c>
      <c r="P936" s="33">
        <v>0</v>
      </c>
      <c r="Q936" s="33">
        <f t="shared" si="427"/>
        <v>0.99999927556456469</v>
      </c>
      <c r="R936" s="33">
        <v>0</v>
      </c>
      <c r="S936" s="33">
        <f t="shared" si="428"/>
        <v>7.2443543526790742E-7</v>
      </c>
      <c r="T936" s="8">
        <f t="shared" si="413"/>
        <v>1</v>
      </c>
      <c r="U936" s="33">
        <f t="shared" si="429"/>
        <v>0</v>
      </c>
      <c r="V936" s="33">
        <f t="shared" si="430"/>
        <v>-0.99999927556456469</v>
      </c>
      <c r="W936" s="33">
        <f t="shared" si="431"/>
        <v>498.93740072443541</v>
      </c>
      <c r="X936" s="33">
        <v>96485</v>
      </c>
      <c r="Y936" s="16">
        <f t="shared" si="432"/>
        <v>-193.38083287152875</v>
      </c>
      <c r="Z936" s="16">
        <v>8</v>
      </c>
      <c r="AA936" s="16">
        <v>17</v>
      </c>
      <c r="AB936" s="8">
        <f t="shared" si="433"/>
        <v>0.29721362229102166</v>
      </c>
      <c r="AC936" s="16">
        <f t="shared" si="415"/>
        <v>64.60808893273439</v>
      </c>
      <c r="AD936" s="20">
        <f>'PFAS Properties'!$W$46</f>
        <v>8</v>
      </c>
      <c r="AE936" s="8">
        <f>'PFAS Properties'!$S$46</f>
        <v>2.0166155475571776</v>
      </c>
      <c r="AF936" s="15">
        <f>'PFAS Properties'!$V$46</f>
        <v>5</v>
      </c>
      <c r="AG936" s="26">
        <v>6.24</v>
      </c>
      <c r="AH936" s="1" t="s">
        <v>190</v>
      </c>
      <c r="AI936" s="39">
        <f t="shared" si="417"/>
        <v>36.410940000000004</v>
      </c>
      <c r="AJ936" s="1">
        <v>652</v>
      </c>
      <c r="AK936" s="8">
        <f t="shared" si="418"/>
        <v>3.6410940000000003</v>
      </c>
      <c r="AL936" s="39">
        <f t="shared" si="419"/>
        <v>37.852940000000004</v>
      </c>
      <c r="AM936" s="1">
        <v>1403</v>
      </c>
      <c r="AN936" s="8">
        <f t="shared" si="420"/>
        <v>3.7852940000000004</v>
      </c>
      <c r="AO936" s="3" t="s">
        <v>93</v>
      </c>
      <c r="AP936" s="3">
        <v>5.9</v>
      </c>
      <c r="AQ936" s="3" t="s">
        <v>661</v>
      </c>
      <c r="AR936" s="4">
        <v>6.8</v>
      </c>
      <c r="AS936" s="4">
        <v>30.9</v>
      </c>
      <c r="AT936" s="4">
        <v>62.2</v>
      </c>
      <c r="AU936" s="3" t="s">
        <v>661</v>
      </c>
      <c r="AV936" s="16">
        <f t="shared" si="414"/>
        <v>99.9</v>
      </c>
      <c r="AW936" s="7">
        <v>0.6</v>
      </c>
      <c r="AX936" s="1">
        <f t="shared" si="421"/>
        <v>6.0000000000000001E-3</v>
      </c>
      <c r="AY936" s="1" t="s">
        <v>511</v>
      </c>
      <c r="AZ936" s="1">
        <f t="shared" si="422"/>
        <v>100</v>
      </c>
      <c r="BA936" s="1" t="s">
        <v>55</v>
      </c>
      <c r="BB936" s="1">
        <v>5</v>
      </c>
      <c r="BC936" s="1">
        <v>500</v>
      </c>
      <c r="BD936" s="26">
        <f t="shared" si="423"/>
        <v>9.6</v>
      </c>
      <c r="BE936" s="16">
        <f t="shared" si="416"/>
        <v>1600</v>
      </c>
      <c r="BF936" s="16">
        <f t="shared" si="434"/>
        <v>3.2041199826559246</v>
      </c>
      <c r="BG936" s="8">
        <f t="shared" si="435"/>
        <v>0.98227123303956843</v>
      </c>
      <c r="BH936" s="13" t="s">
        <v>782</v>
      </c>
      <c r="BI936" s="8">
        <v>9.6</v>
      </c>
      <c r="BJ936" s="13" t="s">
        <v>349</v>
      </c>
      <c r="BK936" s="15">
        <v>1</v>
      </c>
      <c r="BL936" s="16">
        <f t="shared" si="424"/>
        <v>9.6</v>
      </c>
      <c r="BM936" s="18">
        <f>'PFAS Properties'!$U$46</f>
        <v>10.39</v>
      </c>
      <c r="BN936" s="8">
        <f t="shared" si="425"/>
        <v>99.744</v>
      </c>
      <c r="BO936" s="24">
        <f t="shared" si="426"/>
        <v>9.6</v>
      </c>
      <c r="BP936" s="11"/>
      <c r="BQ936" s="11"/>
    </row>
    <row r="937" spans="1:69" x14ac:dyDescent="0.3">
      <c r="A937" s="20">
        <v>957</v>
      </c>
      <c r="B937" s="2" t="s">
        <v>189</v>
      </c>
      <c r="C937" s="2">
        <v>2021</v>
      </c>
      <c r="D937" s="2" t="s">
        <v>510</v>
      </c>
      <c r="E937" s="41" t="s">
        <v>804</v>
      </c>
      <c r="F937" s="20" t="s">
        <v>29</v>
      </c>
      <c r="G937" s="2" t="s">
        <v>447</v>
      </c>
      <c r="H937" s="2" t="str">
        <f>'PFAS Properties'!$B$46</f>
        <v>PFOS</v>
      </c>
      <c r="I937" s="2" t="str">
        <f>'PFAS Properties'!$C$46</f>
        <v>PFSA</v>
      </c>
      <c r="J937" s="2" t="str">
        <f>'PFAS Properties'!$D$46</f>
        <v>C8HF17O3S</v>
      </c>
      <c r="K937" s="25">
        <f>'PFAS Properties'!$P$46</f>
        <v>499.93739999999997</v>
      </c>
      <c r="L937" s="2">
        <f>'PFAS Properties'!$X$46</f>
        <v>0.1</v>
      </c>
      <c r="M937" s="2" t="str">
        <f>'PFAS Properties'!$Y$46</f>
        <v>-</v>
      </c>
      <c r="N937" s="33">
        <v>0</v>
      </c>
      <c r="O937" s="33">
        <v>0</v>
      </c>
      <c r="P937" s="33">
        <v>0</v>
      </c>
      <c r="Q937" s="33">
        <f t="shared" si="427"/>
        <v>0.99999998825102454</v>
      </c>
      <c r="R937" s="33">
        <v>0</v>
      </c>
      <c r="S937" s="33">
        <f t="shared" si="428"/>
        <v>1.1748975411356843E-8</v>
      </c>
      <c r="T937" s="8">
        <f t="shared" si="413"/>
        <v>1</v>
      </c>
      <c r="U937" s="33">
        <f t="shared" si="429"/>
        <v>0</v>
      </c>
      <c r="V937" s="33">
        <f t="shared" si="430"/>
        <v>-0.99999998825102454</v>
      </c>
      <c r="W937" s="33">
        <f t="shared" si="431"/>
        <v>498.93740001174893</v>
      </c>
      <c r="X937" s="33">
        <v>96485</v>
      </c>
      <c r="Y937" s="16">
        <f t="shared" si="432"/>
        <v>-193.38097096775681</v>
      </c>
      <c r="Z937" s="16">
        <v>8</v>
      </c>
      <c r="AA937" s="16">
        <v>17</v>
      </c>
      <c r="AB937" s="8">
        <f t="shared" si="433"/>
        <v>0.29721362229102166</v>
      </c>
      <c r="AC937" s="16">
        <f t="shared" si="415"/>
        <v>64.60808893273439</v>
      </c>
      <c r="AD937" s="20">
        <f>'PFAS Properties'!$W$46</f>
        <v>8</v>
      </c>
      <c r="AE937" s="8">
        <f>'PFAS Properties'!$S$46</f>
        <v>2.0166155475571776</v>
      </c>
      <c r="AF937" s="15">
        <f>'PFAS Properties'!$V$46</f>
        <v>5</v>
      </c>
      <c r="AG937" s="26">
        <v>8.0299999999999994</v>
      </c>
      <c r="AH937" s="1" t="s">
        <v>190</v>
      </c>
      <c r="AI937" s="39">
        <f t="shared" si="417"/>
        <v>36.857699999999994</v>
      </c>
      <c r="AJ937" s="1">
        <v>660</v>
      </c>
      <c r="AK937" s="8">
        <f t="shared" si="418"/>
        <v>3.6857699999999993</v>
      </c>
      <c r="AL937" s="39">
        <f t="shared" si="419"/>
        <v>38.824220000000004</v>
      </c>
      <c r="AM937" s="1">
        <v>1439</v>
      </c>
      <c r="AN937" s="8">
        <f t="shared" si="420"/>
        <v>3.8824220000000005</v>
      </c>
      <c r="AO937" s="3" t="s">
        <v>93</v>
      </c>
      <c r="AP937" s="3">
        <v>20</v>
      </c>
      <c r="AQ937" s="3" t="s">
        <v>661</v>
      </c>
      <c r="AR937" s="4">
        <v>44.4</v>
      </c>
      <c r="AS937" s="4">
        <v>41.1</v>
      </c>
      <c r="AT937" s="4">
        <v>14.6</v>
      </c>
      <c r="AU937" s="3" t="s">
        <v>661</v>
      </c>
      <c r="AV937" s="16">
        <f t="shared" si="414"/>
        <v>100.1</v>
      </c>
      <c r="AW937" s="7">
        <v>3.4</v>
      </c>
      <c r="AX937" s="1">
        <f t="shared" si="421"/>
        <v>3.4000000000000002E-2</v>
      </c>
      <c r="AY937" s="1" t="s">
        <v>511</v>
      </c>
      <c r="AZ937" s="1">
        <f t="shared" si="422"/>
        <v>100</v>
      </c>
      <c r="BA937" s="1" t="s">
        <v>55</v>
      </c>
      <c r="BB937" s="1">
        <v>5</v>
      </c>
      <c r="BC937" s="1">
        <v>500</v>
      </c>
      <c r="BD937" s="26">
        <f t="shared" si="423"/>
        <v>37.700000000000003</v>
      </c>
      <c r="BE937" s="16">
        <f t="shared" si="416"/>
        <v>1108.8235294117646</v>
      </c>
      <c r="BF937" s="16">
        <f t="shared" si="434"/>
        <v>3.0448624331635377</v>
      </c>
      <c r="BG937" s="8">
        <f t="shared" si="435"/>
        <v>1.5763413502057928</v>
      </c>
      <c r="BH937" s="13" t="s">
        <v>782</v>
      </c>
      <c r="BI937" s="8">
        <v>37.700000000000003</v>
      </c>
      <c r="BJ937" s="13" t="s">
        <v>349</v>
      </c>
      <c r="BK937" s="15">
        <v>1</v>
      </c>
      <c r="BL937" s="16">
        <f t="shared" si="424"/>
        <v>37.700000000000003</v>
      </c>
      <c r="BM937" s="18">
        <f>'PFAS Properties'!$U$46</f>
        <v>10.39</v>
      </c>
      <c r="BN937" s="8">
        <f t="shared" si="425"/>
        <v>391.70300000000003</v>
      </c>
      <c r="BO937" s="24">
        <f t="shared" si="426"/>
        <v>37.700000000000003</v>
      </c>
      <c r="BP937" s="11"/>
      <c r="BQ937" s="11"/>
    </row>
    <row r="938" spans="1:69" x14ac:dyDescent="0.3">
      <c r="A938" s="20">
        <v>958</v>
      </c>
      <c r="B938" s="2" t="s">
        <v>189</v>
      </c>
      <c r="C938" s="2">
        <v>2021</v>
      </c>
      <c r="D938" s="2" t="s">
        <v>510</v>
      </c>
      <c r="E938" s="41" t="s">
        <v>804</v>
      </c>
      <c r="F938" s="20" t="s">
        <v>29</v>
      </c>
      <c r="G938" s="2" t="s">
        <v>448</v>
      </c>
      <c r="H938" s="2" t="str">
        <f>'PFAS Properties'!$B$46</f>
        <v>PFOS</v>
      </c>
      <c r="I938" s="2" t="str">
        <f>'PFAS Properties'!$C$46</f>
        <v>PFSA</v>
      </c>
      <c r="J938" s="2" t="str">
        <f>'PFAS Properties'!$D$46</f>
        <v>C8HF17O3S</v>
      </c>
      <c r="K938" s="25">
        <f>'PFAS Properties'!$P$46</f>
        <v>499.93739999999997</v>
      </c>
      <c r="L938" s="2">
        <f>'PFAS Properties'!$X$46</f>
        <v>0.1</v>
      </c>
      <c r="M938" s="2" t="str">
        <f>'PFAS Properties'!$Y$46</f>
        <v>-</v>
      </c>
      <c r="N938" s="33">
        <v>0</v>
      </c>
      <c r="O938" s="33">
        <v>0</v>
      </c>
      <c r="P938" s="33">
        <v>0</v>
      </c>
      <c r="Q938" s="33">
        <f t="shared" si="427"/>
        <v>0.99999999129036421</v>
      </c>
      <c r="R938" s="33">
        <v>0</v>
      </c>
      <c r="S938" s="33">
        <f t="shared" si="428"/>
        <v>8.7096358237030387E-9</v>
      </c>
      <c r="T938" s="8">
        <f t="shared" si="413"/>
        <v>1</v>
      </c>
      <c r="U938" s="33">
        <f t="shared" si="429"/>
        <v>0</v>
      </c>
      <c r="V938" s="33">
        <f t="shared" si="430"/>
        <v>-0.99999999129036421</v>
      </c>
      <c r="W938" s="33">
        <f t="shared" si="431"/>
        <v>498.93740000870963</v>
      </c>
      <c r="X938" s="33">
        <v>96485</v>
      </c>
      <c r="Y938" s="16">
        <f t="shared" si="432"/>
        <v>-193.3809715566853</v>
      </c>
      <c r="Z938" s="16">
        <v>8</v>
      </c>
      <c r="AA938" s="16">
        <v>17</v>
      </c>
      <c r="AB938" s="8">
        <f t="shared" si="433"/>
        <v>0.29721362229102166</v>
      </c>
      <c r="AC938" s="16">
        <f t="shared" si="415"/>
        <v>64.60808893273439</v>
      </c>
      <c r="AD938" s="20">
        <f>'PFAS Properties'!$W$46</f>
        <v>8</v>
      </c>
      <c r="AE938" s="8">
        <f>'PFAS Properties'!$S$46</f>
        <v>2.0166155475571776</v>
      </c>
      <c r="AF938" s="15">
        <f>'PFAS Properties'!$V$46</f>
        <v>5</v>
      </c>
      <c r="AG938" s="26">
        <v>8.16</v>
      </c>
      <c r="AH938" s="1" t="s">
        <v>190</v>
      </c>
      <c r="AI938" s="39">
        <f t="shared" si="417"/>
        <v>7.5949200000000001</v>
      </c>
      <c r="AJ938" s="1">
        <v>136</v>
      </c>
      <c r="AK938" s="8">
        <f t="shared" si="418"/>
        <v>0.75949200000000006</v>
      </c>
      <c r="AL938" s="39">
        <f t="shared" si="419"/>
        <v>1.1871200000000002</v>
      </c>
      <c r="AM938" s="1">
        <v>44</v>
      </c>
      <c r="AN938" s="8">
        <f t="shared" si="420"/>
        <v>0.11871200000000001</v>
      </c>
      <c r="AO938" s="3" t="s">
        <v>93</v>
      </c>
      <c r="AP938" s="3">
        <v>11.4</v>
      </c>
      <c r="AQ938" s="3" t="s">
        <v>661</v>
      </c>
      <c r="AR938" s="4">
        <v>52.7</v>
      </c>
      <c r="AS938" s="4">
        <v>28.3</v>
      </c>
      <c r="AT938" s="4">
        <v>19</v>
      </c>
      <c r="AU938" s="3" t="s">
        <v>661</v>
      </c>
      <c r="AV938" s="16">
        <f t="shared" si="414"/>
        <v>100</v>
      </c>
      <c r="AW938" s="7">
        <v>2.1</v>
      </c>
      <c r="AX938" s="1">
        <f t="shared" si="421"/>
        <v>2.1000000000000001E-2</v>
      </c>
      <c r="AY938" s="1" t="s">
        <v>511</v>
      </c>
      <c r="AZ938" s="1">
        <f t="shared" si="422"/>
        <v>100</v>
      </c>
      <c r="BA938" s="1" t="s">
        <v>55</v>
      </c>
      <c r="BB938" s="1">
        <v>5</v>
      </c>
      <c r="BC938" s="1">
        <v>500</v>
      </c>
      <c r="BD938" s="26">
        <f t="shared" si="423"/>
        <v>22.710167739790624</v>
      </c>
      <c r="BE938" s="16">
        <f t="shared" si="416"/>
        <v>1081.4365590376487</v>
      </c>
      <c r="BF938" s="16">
        <f t="shared" si="434"/>
        <v>3.0340010472443555</v>
      </c>
      <c r="BG938" s="8">
        <f t="shared" si="435"/>
        <v>1.3562203419782746</v>
      </c>
      <c r="BH938" s="13" t="s">
        <v>782</v>
      </c>
      <c r="BI938" s="8">
        <v>28.7</v>
      </c>
      <c r="BJ938" s="13" t="s">
        <v>349</v>
      </c>
      <c r="BK938" s="15">
        <v>0.9</v>
      </c>
      <c r="BL938" s="16">
        <f t="shared" si="424"/>
        <v>28.7</v>
      </c>
      <c r="BM938" s="18">
        <f>'PFAS Properties'!$U$46</f>
        <v>10.39</v>
      </c>
      <c r="BN938" s="8">
        <f t="shared" si="425"/>
        <v>235.9586428164246</v>
      </c>
      <c r="BO938" s="24">
        <f t="shared" si="426"/>
        <v>22.710167739790624</v>
      </c>
      <c r="BP938" s="11"/>
      <c r="BQ938" s="11"/>
    </row>
    <row r="939" spans="1:69" x14ac:dyDescent="0.3">
      <c r="A939" s="20">
        <v>959</v>
      </c>
      <c r="B939" s="2" t="s">
        <v>189</v>
      </c>
      <c r="C939" s="2">
        <v>2021</v>
      </c>
      <c r="D939" s="2" t="s">
        <v>510</v>
      </c>
      <c r="E939" s="41" t="s">
        <v>804</v>
      </c>
      <c r="F939" s="20" t="s">
        <v>29</v>
      </c>
      <c r="G939" s="2" t="s">
        <v>449</v>
      </c>
      <c r="H939" s="2" t="str">
        <f>'PFAS Properties'!$B$46</f>
        <v>PFOS</v>
      </c>
      <c r="I939" s="2" t="str">
        <f>'PFAS Properties'!$C$46</f>
        <v>PFSA</v>
      </c>
      <c r="J939" s="2" t="str">
        <f>'PFAS Properties'!$D$46</f>
        <v>C8HF17O3S</v>
      </c>
      <c r="K939" s="25">
        <f>'PFAS Properties'!$P$46</f>
        <v>499.93739999999997</v>
      </c>
      <c r="L939" s="2">
        <f>'PFAS Properties'!$X$46</f>
        <v>0.1</v>
      </c>
      <c r="M939" s="2" t="str">
        <f>'PFAS Properties'!$Y$46</f>
        <v>-</v>
      </c>
      <c r="N939" s="33">
        <v>0</v>
      </c>
      <c r="O939" s="33">
        <v>0</v>
      </c>
      <c r="P939" s="33">
        <v>0</v>
      </c>
      <c r="Q939" s="33">
        <f t="shared" si="427"/>
        <v>0.99999742961082416</v>
      </c>
      <c r="R939" s="33">
        <v>0</v>
      </c>
      <c r="S939" s="33">
        <f t="shared" si="428"/>
        <v>2.5703891758513573E-6</v>
      </c>
      <c r="T939" s="8">
        <f t="shared" si="413"/>
        <v>1</v>
      </c>
      <c r="U939" s="33">
        <f t="shared" si="429"/>
        <v>0</v>
      </c>
      <c r="V939" s="33">
        <f t="shared" si="430"/>
        <v>-0.99999742961082416</v>
      </c>
      <c r="W939" s="33">
        <f t="shared" si="431"/>
        <v>498.93740257038911</v>
      </c>
      <c r="X939" s="33">
        <v>96485</v>
      </c>
      <c r="Y939" s="16">
        <f t="shared" si="432"/>
        <v>-193.38047518373509</v>
      </c>
      <c r="Z939" s="16">
        <v>8</v>
      </c>
      <c r="AA939" s="16">
        <v>17</v>
      </c>
      <c r="AB939" s="8">
        <f t="shared" si="433"/>
        <v>0.29721362229102166</v>
      </c>
      <c r="AC939" s="16">
        <f t="shared" si="415"/>
        <v>64.60808893273439</v>
      </c>
      <c r="AD939" s="20">
        <f>'PFAS Properties'!$W$46</f>
        <v>8</v>
      </c>
      <c r="AE939" s="8">
        <f>'PFAS Properties'!$S$46</f>
        <v>2.0166155475571776</v>
      </c>
      <c r="AF939" s="15">
        <f>'PFAS Properties'!$V$46</f>
        <v>5</v>
      </c>
      <c r="AG939" s="26">
        <v>5.69</v>
      </c>
      <c r="AH939" s="1" t="s">
        <v>190</v>
      </c>
      <c r="AI939" s="39">
        <f t="shared" si="417"/>
        <v>37.471995</v>
      </c>
      <c r="AJ939" s="1">
        <v>671</v>
      </c>
      <c r="AK939" s="8">
        <f t="shared" si="418"/>
        <v>3.7471994999999998</v>
      </c>
      <c r="AL939" s="39">
        <f t="shared" si="419"/>
        <v>2.6710199999999999</v>
      </c>
      <c r="AM939" s="1">
        <v>99</v>
      </c>
      <c r="AN939" s="8">
        <f t="shared" si="420"/>
        <v>0.26710200000000001</v>
      </c>
      <c r="AO939" s="3" t="s">
        <v>93</v>
      </c>
      <c r="AP939" s="3">
        <v>4.5</v>
      </c>
      <c r="AQ939" s="3" t="s">
        <v>661</v>
      </c>
      <c r="AR939" s="164">
        <v>40.16225</v>
      </c>
      <c r="AS939" s="164">
        <v>39.543750000000003</v>
      </c>
      <c r="AT939" s="4">
        <v>20</v>
      </c>
      <c r="AU939" s="70" t="s">
        <v>752</v>
      </c>
      <c r="AV939" s="16">
        <f t="shared" si="414"/>
        <v>99.706000000000003</v>
      </c>
      <c r="AW939" s="7">
        <v>0.3</v>
      </c>
      <c r="AX939" s="1">
        <f t="shared" si="421"/>
        <v>3.0000000000000001E-3</v>
      </c>
      <c r="AY939" s="1" t="s">
        <v>511</v>
      </c>
      <c r="AZ939" s="1">
        <f t="shared" si="422"/>
        <v>100</v>
      </c>
      <c r="BA939" s="1" t="s">
        <v>55</v>
      </c>
      <c r="BB939" s="1">
        <v>5</v>
      </c>
      <c r="BC939" s="1">
        <v>500</v>
      </c>
      <c r="BD939" s="26">
        <f t="shared" si="423"/>
        <v>17.406910101846648</v>
      </c>
      <c r="BE939" s="16">
        <f t="shared" si="416"/>
        <v>5802.3033672822157</v>
      </c>
      <c r="BF939" s="16">
        <f t="shared" si="434"/>
        <v>3.7636004316869784</v>
      </c>
      <c r="BG939" s="8">
        <f t="shared" si="435"/>
        <v>1.2407216864066408</v>
      </c>
      <c r="BH939" s="13" t="s">
        <v>782</v>
      </c>
      <c r="BI939" s="8">
        <v>27.8</v>
      </c>
      <c r="BJ939" s="13" t="s">
        <v>349</v>
      </c>
      <c r="BK939" s="15">
        <v>0.8</v>
      </c>
      <c r="BL939" s="16">
        <f t="shared" si="424"/>
        <v>27.8</v>
      </c>
      <c r="BM939" s="18">
        <f>'PFAS Properties'!$U$46</f>
        <v>10.39</v>
      </c>
      <c r="BN939" s="8">
        <f t="shared" si="425"/>
        <v>180.85779595818667</v>
      </c>
      <c r="BO939" s="24">
        <f t="shared" si="426"/>
        <v>17.406910101846648</v>
      </c>
      <c r="BP939" s="11"/>
      <c r="BQ939" s="11"/>
    </row>
    <row r="940" spans="1:69" x14ac:dyDescent="0.3">
      <c r="A940" s="20">
        <v>960</v>
      </c>
      <c r="B940" s="2" t="s">
        <v>189</v>
      </c>
      <c r="C940" s="2">
        <v>2021</v>
      </c>
      <c r="D940" s="2" t="s">
        <v>510</v>
      </c>
      <c r="E940" s="41" t="s">
        <v>804</v>
      </c>
      <c r="F940" s="20" t="s">
        <v>29</v>
      </c>
      <c r="G940" s="2" t="s">
        <v>450</v>
      </c>
      <c r="H940" s="2" t="str">
        <f>'PFAS Properties'!$B$46</f>
        <v>PFOS</v>
      </c>
      <c r="I940" s="2" t="str">
        <f>'PFAS Properties'!$C$46</f>
        <v>PFSA</v>
      </c>
      <c r="J940" s="2" t="str">
        <f>'PFAS Properties'!$D$46</f>
        <v>C8HF17O3S</v>
      </c>
      <c r="K940" s="25">
        <f>'PFAS Properties'!$P$46</f>
        <v>499.93739999999997</v>
      </c>
      <c r="L940" s="2">
        <f>'PFAS Properties'!$X$46</f>
        <v>0.1</v>
      </c>
      <c r="M940" s="2" t="str">
        <f>'PFAS Properties'!$Y$46</f>
        <v>-</v>
      </c>
      <c r="N940" s="33">
        <v>0</v>
      </c>
      <c r="O940" s="33">
        <v>0</v>
      </c>
      <c r="P940" s="33">
        <v>0</v>
      </c>
      <c r="Q940" s="33">
        <f t="shared" si="427"/>
        <v>0.99999941115669133</v>
      </c>
      <c r="R940" s="33">
        <v>0</v>
      </c>
      <c r="S940" s="33">
        <f t="shared" si="428"/>
        <v>5.8884330861894112E-7</v>
      </c>
      <c r="T940" s="8">
        <f t="shared" ref="T940:T1002" si="436">SUM(N940:S940)</f>
        <v>1</v>
      </c>
      <c r="U940" s="33">
        <f t="shared" si="429"/>
        <v>0</v>
      </c>
      <c r="V940" s="33">
        <f t="shared" si="430"/>
        <v>-0.99999941115669133</v>
      </c>
      <c r="W940" s="33">
        <f t="shared" si="431"/>
        <v>498.93740058884322</v>
      </c>
      <c r="X940" s="33">
        <v>96485</v>
      </c>
      <c r="Y940" s="16">
        <f t="shared" si="432"/>
        <v>-193.38085914501971</v>
      </c>
      <c r="Z940" s="16">
        <v>8</v>
      </c>
      <c r="AA940" s="16">
        <v>17</v>
      </c>
      <c r="AB940" s="8">
        <f t="shared" si="433"/>
        <v>0.29721362229102166</v>
      </c>
      <c r="AC940" s="16">
        <f t="shared" si="415"/>
        <v>64.60808893273439</v>
      </c>
      <c r="AD940" s="20">
        <f>'PFAS Properties'!$W$46</f>
        <v>8</v>
      </c>
      <c r="AE940" s="8">
        <f>'PFAS Properties'!$S$46</f>
        <v>2.0166155475571776</v>
      </c>
      <c r="AF940" s="15">
        <f>'PFAS Properties'!$V$46</f>
        <v>5</v>
      </c>
      <c r="AG940" s="26">
        <v>6.33</v>
      </c>
      <c r="AH940" s="1" t="s">
        <v>190</v>
      </c>
      <c r="AI940" s="39">
        <f t="shared" si="417"/>
        <v>48.585149999999999</v>
      </c>
      <c r="AJ940" s="1">
        <v>870</v>
      </c>
      <c r="AK940" s="8">
        <f t="shared" si="418"/>
        <v>4.8585149999999997</v>
      </c>
      <c r="AL940" s="39">
        <f t="shared" si="419"/>
        <v>3.29156</v>
      </c>
      <c r="AM940" s="1">
        <v>122</v>
      </c>
      <c r="AN940" s="8">
        <f t="shared" si="420"/>
        <v>0.329156</v>
      </c>
      <c r="AO940" s="3" t="s">
        <v>93</v>
      </c>
      <c r="AP940" s="3">
        <v>46.8</v>
      </c>
      <c r="AQ940" s="3" t="s">
        <v>661</v>
      </c>
      <c r="AR940" s="4">
        <v>33.799999999999997</v>
      </c>
      <c r="AS940" s="4">
        <v>34.1</v>
      </c>
      <c r="AT940" s="4">
        <v>32</v>
      </c>
      <c r="AU940" s="3" t="s">
        <v>661</v>
      </c>
      <c r="AV940" s="16">
        <f t="shared" ref="AV940:AV1002" si="437">SUM(AR940:AT940)</f>
        <v>99.9</v>
      </c>
      <c r="AW940" s="7">
        <v>2.7</v>
      </c>
      <c r="AX940" s="1">
        <f t="shared" si="421"/>
        <v>2.7000000000000003E-2</v>
      </c>
      <c r="AY940" s="1" t="s">
        <v>511</v>
      </c>
      <c r="AZ940" s="1">
        <f t="shared" si="422"/>
        <v>100</v>
      </c>
      <c r="BA940" s="1" t="s">
        <v>55</v>
      </c>
      <c r="BB940" s="1">
        <v>5</v>
      </c>
      <c r="BC940" s="1">
        <v>500</v>
      </c>
      <c r="BD940" s="26">
        <f t="shared" si="423"/>
        <v>51.67156632084766</v>
      </c>
      <c r="BE940" s="16">
        <f t="shared" si="416"/>
        <v>1913.7617155869502</v>
      </c>
      <c r="BF940" s="16">
        <f t="shared" si="434"/>
        <v>3.2818878623603687</v>
      </c>
      <c r="BG940" s="8">
        <f t="shared" si="435"/>
        <v>1.7132516265193563</v>
      </c>
      <c r="BH940" s="13" t="s">
        <v>782</v>
      </c>
      <c r="BI940" s="8">
        <v>65.3</v>
      </c>
      <c r="BJ940" s="13" t="s">
        <v>349</v>
      </c>
      <c r="BK940" s="15">
        <v>0.9</v>
      </c>
      <c r="BL940" s="16">
        <f t="shared" si="424"/>
        <v>65.3</v>
      </c>
      <c r="BM940" s="18">
        <f>'PFAS Properties'!$U$46</f>
        <v>10.39</v>
      </c>
      <c r="BN940" s="8">
        <f t="shared" si="425"/>
        <v>536.86757407360722</v>
      </c>
      <c r="BO940" s="24">
        <f t="shared" si="426"/>
        <v>51.67156632084766</v>
      </c>
      <c r="BP940" s="11"/>
      <c r="BQ940" s="11"/>
    </row>
    <row r="941" spans="1:69" x14ac:dyDescent="0.3">
      <c r="A941" s="20">
        <v>961</v>
      </c>
      <c r="B941" s="2" t="s">
        <v>189</v>
      </c>
      <c r="C941" s="2">
        <v>2021</v>
      </c>
      <c r="D941" s="2" t="s">
        <v>510</v>
      </c>
      <c r="E941" s="41" t="s">
        <v>804</v>
      </c>
      <c r="F941" s="20" t="s">
        <v>29</v>
      </c>
      <c r="G941" s="2" t="s">
        <v>451</v>
      </c>
      <c r="H941" s="2" t="str">
        <f>'PFAS Properties'!$B$46</f>
        <v>PFOS</v>
      </c>
      <c r="I941" s="2" t="str">
        <f>'PFAS Properties'!$C$46</f>
        <v>PFSA</v>
      </c>
      <c r="J941" s="2" t="str">
        <f>'PFAS Properties'!$D$46</f>
        <v>C8HF17O3S</v>
      </c>
      <c r="K941" s="25">
        <f>'PFAS Properties'!$P$46</f>
        <v>499.93739999999997</v>
      </c>
      <c r="L941" s="2">
        <f>'PFAS Properties'!$X$46</f>
        <v>0.1</v>
      </c>
      <c r="M941" s="2" t="str">
        <f>'PFAS Properties'!$Y$46</f>
        <v>-</v>
      </c>
      <c r="N941" s="33">
        <v>0</v>
      </c>
      <c r="O941" s="33">
        <v>0</v>
      </c>
      <c r="P941" s="33">
        <v>0</v>
      </c>
      <c r="Q941" s="33">
        <f t="shared" si="427"/>
        <v>0.99998619634789743</v>
      </c>
      <c r="R941" s="33">
        <v>0</v>
      </c>
      <c r="S941" s="33">
        <f t="shared" si="428"/>
        <v>1.3803652102587262E-5</v>
      </c>
      <c r="T941" s="8">
        <f t="shared" si="436"/>
        <v>1</v>
      </c>
      <c r="U941" s="33">
        <f t="shared" si="429"/>
        <v>0</v>
      </c>
      <c r="V941" s="33">
        <f t="shared" si="430"/>
        <v>-0.99998619634789743</v>
      </c>
      <c r="W941" s="33">
        <f t="shared" si="431"/>
        <v>498.93741380365208</v>
      </c>
      <c r="X941" s="33">
        <v>96485</v>
      </c>
      <c r="Y941" s="16">
        <f t="shared" si="432"/>
        <v>-193.37829853063758</v>
      </c>
      <c r="Z941" s="16">
        <v>8</v>
      </c>
      <c r="AA941" s="16">
        <v>17</v>
      </c>
      <c r="AB941" s="8">
        <f t="shared" si="433"/>
        <v>0.29721362229102166</v>
      </c>
      <c r="AC941" s="16">
        <f t="shared" ref="AC941:AC1003" si="438">((AA941*19)/K941)*100</f>
        <v>64.60808893273439</v>
      </c>
      <c r="AD941" s="20">
        <f>'PFAS Properties'!$W$46</f>
        <v>8</v>
      </c>
      <c r="AE941" s="8">
        <f>'PFAS Properties'!$S$46</f>
        <v>2.0166155475571776</v>
      </c>
      <c r="AF941" s="15">
        <f>'PFAS Properties'!$V$46</f>
        <v>5</v>
      </c>
      <c r="AG941" s="26">
        <v>4.96</v>
      </c>
      <c r="AH941" s="1" t="s">
        <v>190</v>
      </c>
      <c r="AI941" s="39">
        <f t="shared" si="417"/>
        <v>24.013349999999999</v>
      </c>
      <c r="AJ941" s="1">
        <v>430</v>
      </c>
      <c r="AK941" s="8">
        <f t="shared" si="418"/>
        <v>2.401335</v>
      </c>
      <c r="AL941" s="39">
        <f t="shared" si="419"/>
        <v>3.5883400000000001</v>
      </c>
      <c r="AM941" s="1">
        <v>133</v>
      </c>
      <c r="AN941" s="8">
        <f t="shared" si="420"/>
        <v>0.35883399999999999</v>
      </c>
      <c r="AO941" s="3" t="s">
        <v>93</v>
      </c>
      <c r="AP941" s="3">
        <v>21.3</v>
      </c>
      <c r="AQ941" s="3" t="s">
        <v>661</v>
      </c>
      <c r="AR941" s="4">
        <v>40.5</v>
      </c>
      <c r="AS941" s="4">
        <v>32.4</v>
      </c>
      <c r="AT941" s="4">
        <v>27.1</v>
      </c>
      <c r="AU941" s="3" t="s">
        <v>661</v>
      </c>
      <c r="AV941" s="16">
        <f t="shared" si="437"/>
        <v>100</v>
      </c>
      <c r="AW941" s="7">
        <v>1.4</v>
      </c>
      <c r="AX941" s="1">
        <f t="shared" si="421"/>
        <v>1.3999999999999999E-2</v>
      </c>
      <c r="AY941" s="1" t="s">
        <v>511</v>
      </c>
      <c r="AZ941" s="1">
        <f t="shared" si="422"/>
        <v>100</v>
      </c>
      <c r="BA941" s="1" t="s">
        <v>55</v>
      </c>
      <c r="BB941" s="1">
        <v>5</v>
      </c>
      <c r="BC941" s="1">
        <v>500</v>
      </c>
      <c r="BD941" s="26">
        <f t="shared" si="423"/>
        <v>81.117453370296147</v>
      </c>
      <c r="BE941" s="16">
        <f t="shared" ref="BE941:BE1003" si="439">BD941/AX941</f>
        <v>5794.1038121640113</v>
      </c>
      <c r="BF941" s="16">
        <f t="shared" si="434"/>
        <v>3.7629862721321703</v>
      </c>
      <c r="BG941" s="8">
        <f t="shared" si="435"/>
        <v>1.909114307810408</v>
      </c>
      <c r="BH941" s="13" t="s">
        <v>782</v>
      </c>
      <c r="BI941" s="8">
        <v>129.55000000000001</v>
      </c>
      <c r="BJ941" s="13" t="s">
        <v>349</v>
      </c>
      <c r="BK941" s="15">
        <v>0.8</v>
      </c>
      <c r="BL941" s="16">
        <f t="shared" si="424"/>
        <v>129.55000000000001</v>
      </c>
      <c r="BM941" s="18">
        <f>'PFAS Properties'!$U$46</f>
        <v>10.39</v>
      </c>
      <c r="BN941" s="8">
        <f t="shared" si="425"/>
        <v>842.81034051737709</v>
      </c>
      <c r="BO941" s="24">
        <f t="shared" si="426"/>
        <v>81.117453370296147</v>
      </c>
      <c r="BP941" s="11"/>
      <c r="BQ941" s="11"/>
    </row>
    <row r="942" spans="1:69" x14ac:dyDescent="0.3">
      <c r="A942" s="20">
        <v>962</v>
      </c>
      <c r="B942" s="2" t="s">
        <v>189</v>
      </c>
      <c r="C942" s="2">
        <v>2021</v>
      </c>
      <c r="D942" s="2" t="s">
        <v>510</v>
      </c>
      <c r="E942" s="41" t="s">
        <v>804</v>
      </c>
      <c r="F942" s="20" t="s">
        <v>29</v>
      </c>
      <c r="G942" s="2" t="s">
        <v>452</v>
      </c>
      <c r="H942" s="2" t="str">
        <f>'PFAS Properties'!$B$46</f>
        <v>PFOS</v>
      </c>
      <c r="I942" s="2" t="str">
        <f>'PFAS Properties'!$C$46</f>
        <v>PFSA</v>
      </c>
      <c r="J942" s="2" t="str">
        <f>'PFAS Properties'!$D$46</f>
        <v>C8HF17O3S</v>
      </c>
      <c r="K942" s="25">
        <f>'PFAS Properties'!$P$46</f>
        <v>499.93739999999997</v>
      </c>
      <c r="L942" s="2">
        <f>'PFAS Properties'!$X$46</f>
        <v>0.1</v>
      </c>
      <c r="M942" s="2" t="str">
        <f>'PFAS Properties'!$Y$46</f>
        <v>-</v>
      </c>
      <c r="N942" s="33">
        <v>0</v>
      </c>
      <c r="O942" s="33">
        <v>0</v>
      </c>
      <c r="P942" s="33">
        <v>0</v>
      </c>
      <c r="Q942" s="33">
        <f t="shared" si="427"/>
        <v>0.99990450986063539</v>
      </c>
      <c r="R942" s="33">
        <v>0</v>
      </c>
      <c r="S942" s="33">
        <f t="shared" si="428"/>
        <v>9.5490139364630224E-5</v>
      </c>
      <c r="T942" s="8">
        <f t="shared" si="436"/>
        <v>1</v>
      </c>
      <c r="U942" s="33">
        <f t="shared" si="429"/>
        <v>0</v>
      </c>
      <c r="V942" s="33">
        <f t="shared" si="430"/>
        <v>-0.99990450986063539</v>
      </c>
      <c r="W942" s="33">
        <f t="shared" si="431"/>
        <v>498.93749549013933</v>
      </c>
      <c r="X942" s="33">
        <v>96485</v>
      </c>
      <c r="Y942" s="16">
        <f t="shared" si="432"/>
        <v>-193.36247026118741</v>
      </c>
      <c r="Z942" s="16">
        <v>8</v>
      </c>
      <c r="AA942" s="16">
        <v>17</v>
      </c>
      <c r="AB942" s="8">
        <f t="shared" si="433"/>
        <v>0.29721362229102166</v>
      </c>
      <c r="AC942" s="16">
        <f t="shared" si="438"/>
        <v>64.60808893273439</v>
      </c>
      <c r="AD942" s="20">
        <f>'PFAS Properties'!$W$46</f>
        <v>8</v>
      </c>
      <c r="AE942" s="8">
        <f>'PFAS Properties'!$S$46</f>
        <v>2.0166155475571776</v>
      </c>
      <c r="AF942" s="15">
        <f>'PFAS Properties'!$V$46</f>
        <v>5</v>
      </c>
      <c r="AG942" s="26">
        <v>4.12</v>
      </c>
      <c r="AH942" s="1" t="s">
        <v>190</v>
      </c>
      <c r="AI942" s="39">
        <f t="shared" si="417"/>
        <v>89.016929999999988</v>
      </c>
      <c r="AJ942" s="1">
        <v>1594</v>
      </c>
      <c r="AK942" s="8">
        <f t="shared" si="418"/>
        <v>8.9016929999999981</v>
      </c>
      <c r="AL942" s="39">
        <f t="shared" si="419"/>
        <v>10.49522</v>
      </c>
      <c r="AM942" s="1">
        <v>389</v>
      </c>
      <c r="AN942" s="8">
        <f t="shared" si="420"/>
        <v>1.0495220000000001</v>
      </c>
      <c r="AO942" s="3" t="s">
        <v>93</v>
      </c>
      <c r="AP942" s="3">
        <v>26.9</v>
      </c>
      <c r="AQ942" s="3" t="s">
        <v>661</v>
      </c>
      <c r="AR942" s="4">
        <v>58.8</v>
      </c>
      <c r="AS942" s="4">
        <v>20.5</v>
      </c>
      <c r="AT942" s="4">
        <v>20.8</v>
      </c>
      <c r="AU942" s="3" t="s">
        <v>661</v>
      </c>
      <c r="AV942" s="16">
        <f t="shared" si="437"/>
        <v>100.1</v>
      </c>
      <c r="AW942" s="7">
        <v>1.9</v>
      </c>
      <c r="AX942" s="1">
        <f t="shared" si="421"/>
        <v>1.9E-2</v>
      </c>
      <c r="AY942" s="1" t="s">
        <v>511</v>
      </c>
      <c r="AZ942" s="1">
        <f t="shared" si="422"/>
        <v>100</v>
      </c>
      <c r="BA942" s="1" t="s">
        <v>55</v>
      </c>
      <c r="BB942" s="1">
        <v>5</v>
      </c>
      <c r="BC942" s="1">
        <v>500</v>
      </c>
      <c r="BD942" s="26">
        <f t="shared" si="423"/>
        <v>68.563189070223302</v>
      </c>
      <c r="BE942" s="16">
        <f t="shared" si="439"/>
        <v>3608.5888984328053</v>
      </c>
      <c r="BF942" s="16">
        <f t="shared" si="434"/>
        <v>3.5573374087118728</v>
      </c>
      <c r="BG942" s="8">
        <f t="shared" si="435"/>
        <v>1.8360910096647016</v>
      </c>
      <c r="BH942" s="13" t="s">
        <v>782</v>
      </c>
      <c r="BI942" s="8">
        <v>109.5</v>
      </c>
      <c r="BJ942" s="13" t="s">
        <v>349</v>
      </c>
      <c r="BK942" s="15">
        <v>0.8</v>
      </c>
      <c r="BL942" s="16">
        <f t="shared" si="424"/>
        <v>109.5</v>
      </c>
      <c r="BM942" s="18">
        <f>'PFAS Properties'!$U$46</f>
        <v>10.39</v>
      </c>
      <c r="BN942" s="8">
        <f t="shared" si="425"/>
        <v>712.37153443962018</v>
      </c>
      <c r="BO942" s="24">
        <f t="shared" si="426"/>
        <v>68.563189070223302</v>
      </c>
      <c r="BP942" s="11"/>
      <c r="BQ942" s="11"/>
    </row>
    <row r="943" spans="1:69" x14ac:dyDescent="0.3">
      <c r="A943" s="20">
        <v>963</v>
      </c>
      <c r="B943" s="2" t="s">
        <v>189</v>
      </c>
      <c r="C943" s="2">
        <v>2021</v>
      </c>
      <c r="D943" s="2" t="s">
        <v>510</v>
      </c>
      <c r="E943" s="41" t="s">
        <v>804</v>
      </c>
      <c r="F943" s="20" t="s">
        <v>29</v>
      </c>
      <c r="G943" s="2" t="s">
        <v>453</v>
      </c>
      <c r="H943" s="2" t="str">
        <f>'PFAS Properties'!$B$46</f>
        <v>PFOS</v>
      </c>
      <c r="I943" s="2" t="str">
        <f>'PFAS Properties'!$C$46</f>
        <v>PFSA</v>
      </c>
      <c r="J943" s="2" t="str">
        <f>'PFAS Properties'!$D$46</f>
        <v>C8HF17O3S</v>
      </c>
      <c r="K943" s="25">
        <f>'PFAS Properties'!$P$46</f>
        <v>499.93739999999997</v>
      </c>
      <c r="L943" s="2">
        <f>'PFAS Properties'!$X$46</f>
        <v>0.1</v>
      </c>
      <c r="M943" s="2" t="str">
        <f>'PFAS Properties'!$Y$46</f>
        <v>-</v>
      </c>
      <c r="N943" s="33">
        <v>0</v>
      </c>
      <c r="O943" s="33">
        <v>0</v>
      </c>
      <c r="P943" s="33">
        <v>0</v>
      </c>
      <c r="Q943" s="33">
        <f t="shared" si="427"/>
        <v>0.9999991682369207</v>
      </c>
      <c r="R943" s="33">
        <v>0</v>
      </c>
      <c r="S943" s="33">
        <f t="shared" si="428"/>
        <v>8.3176307927227358E-7</v>
      </c>
      <c r="T943" s="8">
        <f t="shared" si="436"/>
        <v>1</v>
      </c>
      <c r="U943" s="33">
        <f t="shared" si="429"/>
        <v>0</v>
      </c>
      <c r="V943" s="33">
        <f t="shared" si="430"/>
        <v>-0.9999991682369207</v>
      </c>
      <c r="W943" s="33">
        <f t="shared" si="431"/>
        <v>498.937400831763</v>
      </c>
      <c r="X943" s="33">
        <v>96485</v>
      </c>
      <c r="Y943" s="16">
        <f t="shared" si="432"/>
        <v>-193.38081207480596</v>
      </c>
      <c r="Z943" s="16">
        <v>8</v>
      </c>
      <c r="AA943" s="16">
        <v>17</v>
      </c>
      <c r="AB943" s="8">
        <f t="shared" si="433"/>
        <v>0.29721362229102166</v>
      </c>
      <c r="AC943" s="16">
        <f t="shared" si="438"/>
        <v>64.60808893273439</v>
      </c>
      <c r="AD943" s="20">
        <f>'PFAS Properties'!$W$46</f>
        <v>8</v>
      </c>
      <c r="AE943" s="8">
        <f>'PFAS Properties'!$S$46</f>
        <v>2.0166155475571776</v>
      </c>
      <c r="AF943" s="15">
        <f>'PFAS Properties'!$V$46</f>
        <v>5</v>
      </c>
      <c r="AG943" s="26">
        <v>6.18</v>
      </c>
      <c r="AH943" s="1" t="s">
        <v>190</v>
      </c>
      <c r="AI943" s="39">
        <f t="shared" si="417"/>
        <v>13.011884999999999</v>
      </c>
      <c r="AJ943" s="1">
        <v>233</v>
      </c>
      <c r="AK943" s="8">
        <f t="shared" si="418"/>
        <v>1.3011884999999999</v>
      </c>
      <c r="AL943" s="39">
        <f t="shared" si="419"/>
        <v>2.4012200000000004</v>
      </c>
      <c r="AM943" s="1">
        <v>89</v>
      </c>
      <c r="AN943" s="8">
        <f t="shared" si="420"/>
        <v>0.24012200000000003</v>
      </c>
      <c r="AO943" s="3" t="s">
        <v>93</v>
      </c>
      <c r="AP943" s="3">
        <v>33.6</v>
      </c>
      <c r="AQ943" s="3" t="s">
        <v>661</v>
      </c>
      <c r="AR943" s="4">
        <v>46.6</v>
      </c>
      <c r="AS943" s="4">
        <v>34.9</v>
      </c>
      <c r="AT943" s="4">
        <v>15.8</v>
      </c>
      <c r="AU943" s="3" t="s">
        <v>661</v>
      </c>
      <c r="AV943" s="16">
        <f t="shared" si="437"/>
        <v>97.3</v>
      </c>
      <c r="AW943" s="7">
        <v>2.6</v>
      </c>
      <c r="AX943" s="1">
        <f t="shared" si="421"/>
        <v>2.6000000000000002E-2</v>
      </c>
      <c r="AY943" s="1" t="s">
        <v>511</v>
      </c>
      <c r="AZ943" s="1">
        <f t="shared" si="422"/>
        <v>100</v>
      </c>
      <c r="BA943" s="1" t="s">
        <v>55</v>
      </c>
      <c r="BB943" s="1">
        <v>5</v>
      </c>
      <c r="BC943" s="1">
        <v>500</v>
      </c>
      <c r="BD943" s="26">
        <f t="shared" si="423"/>
        <v>57.210631623235614</v>
      </c>
      <c r="BE943" s="16">
        <f t="shared" si="439"/>
        <v>2200.408908585985</v>
      </c>
      <c r="BF943" s="16">
        <f t="shared" si="434"/>
        <v>3.3425033945679949</v>
      </c>
      <c r="BG943" s="8">
        <f t="shared" si="435"/>
        <v>1.7574767425388131</v>
      </c>
      <c r="BH943" s="13" t="s">
        <v>782</v>
      </c>
      <c r="BI943" s="8">
        <v>72.3</v>
      </c>
      <c r="BJ943" s="13" t="s">
        <v>349</v>
      </c>
      <c r="BK943" s="15">
        <v>0.9</v>
      </c>
      <c r="BL943" s="16">
        <f t="shared" si="424"/>
        <v>72.3</v>
      </c>
      <c r="BM943" s="18">
        <f>'PFAS Properties'!$U$46</f>
        <v>10.39</v>
      </c>
      <c r="BN943" s="8">
        <f t="shared" si="425"/>
        <v>594.41846256541805</v>
      </c>
      <c r="BO943" s="24">
        <f t="shared" si="426"/>
        <v>57.210631623235614</v>
      </c>
      <c r="BP943" s="11"/>
      <c r="BQ943" s="11"/>
    </row>
    <row r="944" spans="1:69" x14ac:dyDescent="0.3">
      <c r="A944" s="20">
        <v>964</v>
      </c>
      <c r="B944" s="2" t="s">
        <v>189</v>
      </c>
      <c r="C944" s="2">
        <v>2021</v>
      </c>
      <c r="D944" s="2" t="s">
        <v>510</v>
      </c>
      <c r="E944" s="41" t="s">
        <v>804</v>
      </c>
      <c r="F944" s="20" t="s">
        <v>29</v>
      </c>
      <c r="G944" s="2" t="s">
        <v>454</v>
      </c>
      <c r="H944" s="2" t="str">
        <f>'PFAS Properties'!$B$46</f>
        <v>PFOS</v>
      </c>
      <c r="I944" s="2" t="str">
        <f>'PFAS Properties'!$C$46</f>
        <v>PFSA</v>
      </c>
      <c r="J944" s="2" t="str">
        <f>'PFAS Properties'!$D$46</f>
        <v>C8HF17O3S</v>
      </c>
      <c r="K944" s="25">
        <f>'PFAS Properties'!$P$46</f>
        <v>499.93739999999997</v>
      </c>
      <c r="L944" s="2">
        <f>'PFAS Properties'!$X$46</f>
        <v>0.1</v>
      </c>
      <c r="M944" s="2" t="str">
        <f>'PFAS Properties'!$Y$46</f>
        <v>-</v>
      </c>
      <c r="N944" s="33">
        <v>0</v>
      </c>
      <c r="O944" s="33">
        <v>0</v>
      </c>
      <c r="P944" s="33">
        <v>0</v>
      </c>
      <c r="Q944" s="33">
        <f t="shared" si="427"/>
        <v>0.99974302647408986</v>
      </c>
      <c r="R944" s="33">
        <v>0</v>
      </c>
      <c r="S944" s="33">
        <f t="shared" si="428"/>
        <v>2.5697352591015778E-4</v>
      </c>
      <c r="T944" s="8">
        <f t="shared" si="436"/>
        <v>1</v>
      </c>
      <c r="U944" s="33">
        <f t="shared" si="429"/>
        <v>0</v>
      </c>
      <c r="V944" s="33">
        <f t="shared" si="430"/>
        <v>-0.99974302647408986</v>
      </c>
      <c r="W944" s="33">
        <f t="shared" si="431"/>
        <v>498.93765697352586</v>
      </c>
      <c r="X944" s="33">
        <v>96485</v>
      </c>
      <c r="Y944" s="16">
        <f t="shared" si="432"/>
        <v>-193.3311798801966</v>
      </c>
      <c r="Z944" s="16">
        <v>8</v>
      </c>
      <c r="AA944" s="16">
        <v>17</v>
      </c>
      <c r="AB944" s="8">
        <f t="shared" si="433"/>
        <v>0.29721362229102166</v>
      </c>
      <c r="AC944" s="16">
        <f t="shared" si="438"/>
        <v>64.60808893273439</v>
      </c>
      <c r="AD944" s="20">
        <f>'PFAS Properties'!$W$46</f>
        <v>8</v>
      </c>
      <c r="AE944" s="8">
        <f>'PFAS Properties'!$S$46</f>
        <v>2.0166155475571776</v>
      </c>
      <c r="AF944" s="15">
        <f>'PFAS Properties'!$V$46</f>
        <v>5</v>
      </c>
      <c r="AG944" s="26">
        <v>3.69</v>
      </c>
      <c r="AH944" s="1" t="s">
        <v>190</v>
      </c>
      <c r="AI944" s="39">
        <f t="shared" si="417"/>
        <v>49.199444999999997</v>
      </c>
      <c r="AJ944" s="1">
        <v>881</v>
      </c>
      <c r="AK944" s="8">
        <f t="shared" si="418"/>
        <v>4.9199444999999997</v>
      </c>
      <c r="AL944" s="39">
        <f t="shared" si="419"/>
        <v>5.98956</v>
      </c>
      <c r="AM944" s="1">
        <v>222</v>
      </c>
      <c r="AN944" s="8">
        <f t="shared" si="420"/>
        <v>0.59895600000000004</v>
      </c>
      <c r="AO944" s="3" t="s">
        <v>93</v>
      </c>
      <c r="AP944" s="3">
        <v>24</v>
      </c>
      <c r="AQ944" s="3" t="s">
        <v>661</v>
      </c>
      <c r="AR944" s="4">
        <v>41.9</v>
      </c>
      <c r="AS944" s="4">
        <v>56.4</v>
      </c>
      <c r="AT944" s="4">
        <v>1.7</v>
      </c>
      <c r="AU944" s="3" t="s">
        <v>661</v>
      </c>
      <c r="AV944" s="16">
        <f t="shared" si="437"/>
        <v>100</v>
      </c>
      <c r="AW944" s="7">
        <v>5.4</v>
      </c>
      <c r="AX944" s="1">
        <f t="shared" si="421"/>
        <v>5.4000000000000006E-2</v>
      </c>
      <c r="AY944" s="1" t="s">
        <v>511</v>
      </c>
      <c r="AZ944" s="1">
        <f t="shared" si="422"/>
        <v>100</v>
      </c>
      <c r="BA944" s="1" t="s">
        <v>55</v>
      </c>
      <c r="BB944" s="1">
        <v>5</v>
      </c>
      <c r="BC944" s="1">
        <v>500</v>
      </c>
      <c r="BD944" s="26">
        <f t="shared" si="423"/>
        <v>140.85051768929378</v>
      </c>
      <c r="BE944" s="16">
        <f t="shared" si="439"/>
        <v>2608.3429201721069</v>
      </c>
      <c r="BF944" s="16">
        <f t="shared" si="434"/>
        <v>3.4163646877302076</v>
      </c>
      <c r="BG944" s="8">
        <f t="shared" si="435"/>
        <v>2.1487584475531762</v>
      </c>
      <c r="BH944" s="13" t="s">
        <v>782</v>
      </c>
      <c r="BI944" s="8">
        <v>178</v>
      </c>
      <c r="BJ944" s="13" t="s">
        <v>349</v>
      </c>
      <c r="BK944" s="15">
        <v>0.9</v>
      </c>
      <c r="BL944" s="16">
        <f t="shared" si="424"/>
        <v>178</v>
      </c>
      <c r="BM944" s="18">
        <f>'PFAS Properties'!$U$46</f>
        <v>10.39</v>
      </c>
      <c r="BN944" s="8">
        <f t="shared" si="425"/>
        <v>1463.4368787917624</v>
      </c>
      <c r="BO944" s="24">
        <f t="shared" si="426"/>
        <v>140.85051768929378</v>
      </c>
      <c r="BP944" s="11"/>
      <c r="BQ944" s="11"/>
    </row>
    <row r="945" spans="1:69" x14ac:dyDescent="0.3">
      <c r="A945" s="20">
        <v>965</v>
      </c>
      <c r="B945" s="2" t="s">
        <v>189</v>
      </c>
      <c r="C945" s="2">
        <v>2021</v>
      </c>
      <c r="D945" s="2" t="s">
        <v>510</v>
      </c>
      <c r="E945" s="41" t="s">
        <v>804</v>
      </c>
      <c r="F945" s="20" t="s">
        <v>29</v>
      </c>
      <c r="G945" s="2" t="s">
        <v>455</v>
      </c>
      <c r="H945" s="2" t="str">
        <f>'PFAS Properties'!$B$46</f>
        <v>PFOS</v>
      </c>
      <c r="I945" s="2" t="str">
        <f>'PFAS Properties'!$C$46</f>
        <v>PFSA</v>
      </c>
      <c r="J945" s="2" t="str">
        <f>'PFAS Properties'!$D$46</f>
        <v>C8HF17O3S</v>
      </c>
      <c r="K945" s="25">
        <f>'PFAS Properties'!$P$46</f>
        <v>499.93739999999997</v>
      </c>
      <c r="L945" s="2">
        <f>'PFAS Properties'!$X$46</f>
        <v>0.1</v>
      </c>
      <c r="M945" s="2" t="str">
        <f>'PFAS Properties'!$Y$46</f>
        <v>-</v>
      </c>
      <c r="N945" s="33">
        <v>0</v>
      </c>
      <c r="O945" s="33">
        <v>0</v>
      </c>
      <c r="P945" s="33">
        <v>0</v>
      </c>
      <c r="Q945" s="33">
        <f t="shared" si="427"/>
        <v>0.99999924142300045</v>
      </c>
      <c r="R945" s="33">
        <v>0</v>
      </c>
      <c r="S945" s="33">
        <f t="shared" si="428"/>
        <v>7.5857699958968139E-7</v>
      </c>
      <c r="T945" s="8">
        <f t="shared" si="436"/>
        <v>1</v>
      </c>
      <c r="U945" s="33">
        <f t="shared" si="429"/>
        <v>0</v>
      </c>
      <c r="V945" s="33">
        <f t="shared" si="430"/>
        <v>-0.99999924142300045</v>
      </c>
      <c r="W945" s="33">
        <f t="shared" si="431"/>
        <v>498.93740075857698</v>
      </c>
      <c r="X945" s="33">
        <v>96485</v>
      </c>
      <c r="Y945" s="16">
        <f t="shared" si="432"/>
        <v>-193.38082625596707</v>
      </c>
      <c r="Z945" s="16">
        <v>8</v>
      </c>
      <c r="AA945" s="16">
        <v>17</v>
      </c>
      <c r="AB945" s="8">
        <f t="shared" si="433"/>
        <v>0.29721362229102166</v>
      </c>
      <c r="AC945" s="16">
        <f t="shared" si="438"/>
        <v>64.60808893273439</v>
      </c>
      <c r="AD945" s="20">
        <f>'PFAS Properties'!$W$46</f>
        <v>8</v>
      </c>
      <c r="AE945" s="8">
        <f>'PFAS Properties'!$S$46</f>
        <v>2.0166155475571776</v>
      </c>
      <c r="AF945" s="15">
        <f>'PFAS Properties'!$V$46</f>
        <v>5</v>
      </c>
      <c r="AG945" s="26">
        <v>6.22</v>
      </c>
      <c r="AH945" s="1" t="s">
        <v>190</v>
      </c>
      <c r="AI945" s="39">
        <f t="shared" si="417"/>
        <v>312.22939500000001</v>
      </c>
      <c r="AJ945" s="1">
        <v>5591</v>
      </c>
      <c r="AK945" s="8">
        <f t="shared" si="418"/>
        <v>31.222939500000003</v>
      </c>
      <c r="AL945" s="39">
        <f t="shared" si="419"/>
        <v>3.5883400000000001</v>
      </c>
      <c r="AM945" s="1">
        <v>133</v>
      </c>
      <c r="AN945" s="8">
        <f t="shared" si="420"/>
        <v>0.35883399999999999</v>
      </c>
      <c r="AO945" s="3" t="s">
        <v>93</v>
      </c>
      <c r="AP945" s="3">
        <v>28.3</v>
      </c>
      <c r="AQ945" s="3" t="s">
        <v>661</v>
      </c>
      <c r="AR945" s="4">
        <v>57.1</v>
      </c>
      <c r="AS945" s="4">
        <v>32.700000000000003</v>
      </c>
      <c r="AT945" s="4">
        <v>10.199999999999999</v>
      </c>
      <c r="AU945" s="3" t="s">
        <v>661</v>
      </c>
      <c r="AV945" s="16">
        <f t="shared" si="437"/>
        <v>100.00000000000001</v>
      </c>
      <c r="AW945" s="7">
        <v>2.8</v>
      </c>
      <c r="AX945" s="1">
        <f t="shared" si="421"/>
        <v>2.7999999999999997E-2</v>
      </c>
      <c r="AY945" s="1" t="s">
        <v>511</v>
      </c>
      <c r="AZ945" s="1">
        <f t="shared" si="422"/>
        <v>100</v>
      </c>
      <c r="BA945" s="1" t="s">
        <v>55</v>
      </c>
      <c r="BB945" s="1">
        <v>5</v>
      </c>
      <c r="BC945" s="1">
        <v>500</v>
      </c>
      <c r="BD945" s="26">
        <f t="shared" si="423"/>
        <v>47.952479617815747</v>
      </c>
      <c r="BE945" s="16">
        <f t="shared" si="439"/>
        <v>1712.5885577791339</v>
      </c>
      <c r="BF945" s="16">
        <f t="shared" si="434"/>
        <v>3.2336530380683493</v>
      </c>
      <c r="BG945" s="8">
        <f t="shared" si="435"/>
        <v>1.6808110694105685</v>
      </c>
      <c r="BH945" s="13" t="s">
        <v>782</v>
      </c>
      <c r="BI945" s="8">
        <v>60.6</v>
      </c>
      <c r="BJ945" s="13" t="s">
        <v>349</v>
      </c>
      <c r="BK945" s="15">
        <v>0.9</v>
      </c>
      <c r="BL945" s="16">
        <f t="shared" si="424"/>
        <v>60.6</v>
      </c>
      <c r="BM945" s="18">
        <f>'PFAS Properties'!$U$46</f>
        <v>10.39</v>
      </c>
      <c r="BN945" s="8">
        <f t="shared" si="425"/>
        <v>498.22626322910565</v>
      </c>
      <c r="BO945" s="24">
        <f t="shared" si="426"/>
        <v>47.952479617815747</v>
      </c>
      <c r="BP945" s="11"/>
      <c r="BQ945" s="11"/>
    </row>
    <row r="946" spans="1:69" x14ac:dyDescent="0.3">
      <c r="A946" s="20">
        <v>966</v>
      </c>
      <c r="B946" s="2" t="s">
        <v>189</v>
      </c>
      <c r="C946" s="2">
        <v>2021</v>
      </c>
      <c r="D946" s="2" t="s">
        <v>510</v>
      </c>
      <c r="E946" s="41" t="s">
        <v>804</v>
      </c>
      <c r="F946" s="20" t="s">
        <v>29</v>
      </c>
      <c r="G946" s="2" t="s">
        <v>456</v>
      </c>
      <c r="H946" s="2" t="str">
        <f>'PFAS Properties'!$B$46</f>
        <v>PFOS</v>
      </c>
      <c r="I946" s="2" t="str">
        <f>'PFAS Properties'!$C$46</f>
        <v>PFSA</v>
      </c>
      <c r="J946" s="2" t="str">
        <f>'PFAS Properties'!$D$46</f>
        <v>C8HF17O3S</v>
      </c>
      <c r="K946" s="25">
        <f>'PFAS Properties'!$P$46</f>
        <v>499.93739999999997</v>
      </c>
      <c r="L946" s="2">
        <f>'PFAS Properties'!$X$46</f>
        <v>0.1</v>
      </c>
      <c r="M946" s="2" t="str">
        <f>'PFAS Properties'!$Y$46</f>
        <v>-</v>
      </c>
      <c r="N946" s="33">
        <v>0</v>
      </c>
      <c r="O946" s="33">
        <v>0</v>
      </c>
      <c r="P946" s="33">
        <v>0</v>
      </c>
      <c r="Q946" s="33">
        <f t="shared" si="427"/>
        <v>0.99999992237529434</v>
      </c>
      <c r="R946" s="33">
        <v>0</v>
      </c>
      <c r="S946" s="33">
        <f t="shared" si="428"/>
        <v>7.7624705637273547E-8</v>
      </c>
      <c r="T946" s="8">
        <f t="shared" si="436"/>
        <v>1</v>
      </c>
      <c r="U946" s="33">
        <f t="shared" si="429"/>
        <v>0</v>
      </c>
      <c r="V946" s="33">
        <f t="shared" si="430"/>
        <v>-0.99999992237529434</v>
      </c>
      <c r="W946" s="33">
        <f t="shared" si="431"/>
        <v>498.93740007762466</v>
      </c>
      <c r="X946" s="33">
        <v>96485</v>
      </c>
      <c r="Y946" s="16">
        <f t="shared" si="432"/>
        <v>-193.38095820311156</v>
      </c>
      <c r="Z946" s="16">
        <v>8</v>
      </c>
      <c r="AA946" s="16">
        <v>17</v>
      </c>
      <c r="AB946" s="8">
        <f t="shared" si="433"/>
        <v>0.29721362229102166</v>
      </c>
      <c r="AC946" s="16">
        <f t="shared" si="438"/>
        <v>64.60808893273439</v>
      </c>
      <c r="AD946" s="20">
        <f>'PFAS Properties'!$W$46</f>
        <v>8</v>
      </c>
      <c r="AE946" s="8">
        <f>'PFAS Properties'!$S$46</f>
        <v>2.0166155475571776</v>
      </c>
      <c r="AF946" s="15">
        <f>'PFAS Properties'!$V$46</f>
        <v>5</v>
      </c>
      <c r="AG946" s="26">
        <v>7.21</v>
      </c>
      <c r="AH946" s="1" t="s">
        <v>190</v>
      </c>
      <c r="AI946" s="39">
        <f t="shared" si="417"/>
        <v>26.805599999999998</v>
      </c>
      <c r="AJ946" s="1">
        <v>480</v>
      </c>
      <c r="AK946" s="8">
        <f t="shared" si="418"/>
        <v>2.6805599999999998</v>
      </c>
      <c r="AL946" s="39">
        <f t="shared" si="419"/>
        <v>2.4012200000000004</v>
      </c>
      <c r="AM946" s="1">
        <v>89</v>
      </c>
      <c r="AN946" s="8">
        <f t="shared" si="420"/>
        <v>0.24012200000000003</v>
      </c>
      <c r="AO946" s="3" t="s">
        <v>93</v>
      </c>
      <c r="AP946" s="3">
        <v>49</v>
      </c>
      <c r="AQ946" s="3" t="s">
        <v>661</v>
      </c>
      <c r="AR946" s="4">
        <v>43.4</v>
      </c>
      <c r="AS946" s="4">
        <v>32.4</v>
      </c>
      <c r="AT946" s="4">
        <v>24.2</v>
      </c>
      <c r="AU946" s="3" t="s">
        <v>661</v>
      </c>
      <c r="AV946" s="16">
        <f t="shared" si="437"/>
        <v>100</v>
      </c>
      <c r="AW946" s="7">
        <v>3.1</v>
      </c>
      <c r="AX946" s="1">
        <f t="shared" si="421"/>
        <v>3.1E-2</v>
      </c>
      <c r="AY946" s="1" t="s">
        <v>511</v>
      </c>
      <c r="AZ946" s="1">
        <f t="shared" si="422"/>
        <v>100</v>
      </c>
      <c r="BA946" s="1" t="s">
        <v>55</v>
      </c>
      <c r="BB946" s="1">
        <v>5</v>
      </c>
      <c r="BC946" s="1">
        <v>500</v>
      </c>
      <c r="BD946" s="26">
        <f t="shared" si="423"/>
        <v>51.038530286289038</v>
      </c>
      <c r="BE946" s="16">
        <f t="shared" si="439"/>
        <v>1646.4042027835173</v>
      </c>
      <c r="BF946" s="16">
        <f t="shared" si="434"/>
        <v>3.2165364660452775</v>
      </c>
      <c r="BG946" s="8">
        <f t="shared" si="435"/>
        <v>1.7078981598795502</v>
      </c>
      <c r="BH946" s="13" t="s">
        <v>782</v>
      </c>
      <c r="BI946" s="8">
        <v>64.5</v>
      </c>
      <c r="BJ946" s="13" t="s">
        <v>349</v>
      </c>
      <c r="BK946" s="15">
        <v>0.9</v>
      </c>
      <c r="BL946" s="16">
        <f t="shared" si="424"/>
        <v>64.5</v>
      </c>
      <c r="BM946" s="18">
        <f>'PFAS Properties'!$U$46</f>
        <v>10.39</v>
      </c>
      <c r="BN946" s="8">
        <f t="shared" si="425"/>
        <v>530.29032967454316</v>
      </c>
      <c r="BO946" s="24">
        <f t="shared" si="426"/>
        <v>51.038530286289038</v>
      </c>
      <c r="BP946" s="11"/>
      <c r="BQ946" s="11"/>
    </row>
    <row r="947" spans="1:69" x14ac:dyDescent="0.3">
      <c r="A947" s="20">
        <v>967</v>
      </c>
      <c r="B947" s="2" t="s">
        <v>189</v>
      </c>
      <c r="C947" s="2">
        <v>2021</v>
      </c>
      <c r="D947" s="2" t="s">
        <v>510</v>
      </c>
      <c r="E947" s="41" t="s">
        <v>804</v>
      </c>
      <c r="F947" s="20" t="s">
        <v>29</v>
      </c>
      <c r="G947" s="2" t="s">
        <v>457</v>
      </c>
      <c r="H947" s="2" t="str">
        <f>'PFAS Properties'!$B$46</f>
        <v>PFOS</v>
      </c>
      <c r="I947" s="2" t="str">
        <f>'PFAS Properties'!$C$46</f>
        <v>PFSA</v>
      </c>
      <c r="J947" s="2" t="str">
        <f>'PFAS Properties'!$D$46</f>
        <v>C8HF17O3S</v>
      </c>
      <c r="K947" s="25">
        <f>'PFAS Properties'!$P$46</f>
        <v>499.93739999999997</v>
      </c>
      <c r="L947" s="2">
        <f>'PFAS Properties'!$X$46</f>
        <v>0.1</v>
      </c>
      <c r="M947" s="2" t="str">
        <f>'PFAS Properties'!$Y$46</f>
        <v>-</v>
      </c>
      <c r="N947" s="33">
        <v>0</v>
      </c>
      <c r="O947" s="33">
        <v>0</v>
      </c>
      <c r="P947" s="33">
        <v>0</v>
      </c>
      <c r="Q947" s="33">
        <f t="shared" si="427"/>
        <v>0.99999969800491917</v>
      </c>
      <c r="R947" s="33">
        <v>0</v>
      </c>
      <c r="S947" s="33">
        <f t="shared" si="428"/>
        <v>3.0199508083914471E-7</v>
      </c>
      <c r="T947" s="8">
        <f t="shared" si="436"/>
        <v>1</v>
      </c>
      <c r="U947" s="33">
        <f t="shared" si="429"/>
        <v>0</v>
      </c>
      <c r="V947" s="33">
        <f t="shared" si="430"/>
        <v>-0.99999969800491917</v>
      </c>
      <c r="W947" s="33">
        <f t="shared" si="431"/>
        <v>498.93740030199507</v>
      </c>
      <c r="X947" s="33">
        <v>96485</v>
      </c>
      <c r="Y947" s="16">
        <f t="shared" si="432"/>
        <v>-193.3809147271873</v>
      </c>
      <c r="Z947" s="16">
        <v>8</v>
      </c>
      <c r="AA947" s="16">
        <v>17</v>
      </c>
      <c r="AB947" s="8">
        <f t="shared" si="433"/>
        <v>0.29721362229102166</v>
      </c>
      <c r="AC947" s="16">
        <f t="shared" si="438"/>
        <v>64.60808893273439</v>
      </c>
      <c r="AD947" s="20">
        <f>'PFAS Properties'!$W$46</f>
        <v>8</v>
      </c>
      <c r="AE947" s="8">
        <f>'PFAS Properties'!$S$46</f>
        <v>2.0166155475571776</v>
      </c>
      <c r="AF947" s="15">
        <f>'PFAS Properties'!$V$46</f>
        <v>5</v>
      </c>
      <c r="AG947" s="26">
        <v>6.62</v>
      </c>
      <c r="AH947" s="1" t="s">
        <v>190</v>
      </c>
      <c r="AI947" s="39">
        <f t="shared" si="417"/>
        <v>36.801854999999996</v>
      </c>
      <c r="AJ947" s="1">
        <v>659</v>
      </c>
      <c r="AK947" s="8">
        <f t="shared" si="418"/>
        <v>3.6801854999999994</v>
      </c>
      <c r="AL947" s="39">
        <f t="shared" si="419"/>
        <v>4.2088799999999997</v>
      </c>
      <c r="AM947" s="1">
        <v>156</v>
      </c>
      <c r="AN947" s="8">
        <f t="shared" si="420"/>
        <v>0.42088799999999998</v>
      </c>
      <c r="AO947" s="3" t="s">
        <v>93</v>
      </c>
      <c r="AP947" s="3">
        <v>27.2</v>
      </c>
      <c r="AQ947" s="3" t="s">
        <v>661</v>
      </c>
      <c r="AR947" s="4">
        <v>52.8</v>
      </c>
      <c r="AS947" s="4">
        <v>34.299999999999997</v>
      </c>
      <c r="AT947" s="4">
        <v>12.9</v>
      </c>
      <c r="AU947" s="3" t="s">
        <v>661</v>
      </c>
      <c r="AV947" s="16">
        <f t="shared" si="437"/>
        <v>100</v>
      </c>
      <c r="AW947" s="7">
        <v>1.7</v>
      </c>
      <c r="AX947" s="1">
        <f t="shared" si="421"/>
        <v>1.7000000000000001E-2</v>
      </c>
      <c r="AY947" s="1" t="s">
        <v>511</v>
      </c>
      <c r="AZ947" s="1">
        <f t="shared" si="422"/>
        <v>100</v>
      </c>
      <c r="BA947" s="1" t="s">
        <v>55</v>
      </c>
      <c r="BB947" s="1">
        <v>5</v>
      </c>
      <c r="BC947" s="1">
        <v>500</v>
      </c>
      <c r="BD947" s="26">
        <f t="shared" si="423"/>
        <v>63.05308803078983</v>
      </c>
      <c r="BE947" s="16">
        <f t="shared" si="439"/>
        <v>3709.0051782817545</v>
      </c>
      <c r="BF947" s="16">
        <f t="shared" si="434"/>
        <v>3.5692574396639087</v>
      </c>
      <c r="BG947" s="8">
        <f t="shared" si="435"/>
        <v>1.7997063610421826</v>
      </c>
      <c r="BH947" s="13" t="s">
        <v>782</v>
      </c>
      <c r="BI947" s="8">
        <v>100.7</v>
      </c>
      <c r="BJ947" s="13" t="s">
        <v>349</v>
      </c>
      <c r="BK947" s="15">
        <v>0.8</v>
      </c>
      <c r="BL947" s="16">
        <f t="shared" si="424"/>
        <v>100.7</v>
      </c>
      <c r="BM947" s="18">
        <f>'PFAS Properties'!$U$46</f>
        <v>10.39</v>
      </c>
      <c r="BN947" s="8">
        <f t="shared" si="425"/>
        <v>655.12158463990636</v>
      </c>
      <c r="BO947" s="24">
        <f t="shared" si="426"/>
        <v>63.05308803078983</v>
      </c>
      <c r="BP947" s="11"/>
      <c r="BQ947" s="11"/>
    </row>
    <row r="948" spans="1:69" x14ac:dyDescent="0.3">
      <c r="A948" s="20">
        <v>968</v>
      </c>
      <c r="B948" s="2" t="s">
        <v>189</v>
      </c>
      <c r="C948" s="2">
        <v>2021</v>
      </c>
      <c r="D948" s="2" t="s">
        <v>510</v>
      </c>
      <c r="E948" s="41" t="s">
        <v>804</v>
      </c>
      <c r="F948" s="20" t="s">
        <v>29</v>
      </c>
      <c r="G948" s="2" t="s">
        <v>458</v>
      </c>
      <c r="H948" s="2" t="str">
        <f>'PFAS Properties'!$B$46</f>
        <v>PFOS</v>
      </c>
      <c r="I948" s="2" t="str">
        <f>'PFAS Properties'!$C$46</f>
        <v>PFSA</v>
      </c>
      <c r="J948" s="2" t="str">
        <f>'PFAS Properties'!$D$46</f>
        <v>C8HF17O3S</v>
      </c>
      <c r="K948" s="25">
        <f>'PFAS Properties'!$P$46</f>
        <v>499.93739999999997</v>
      </c>
      <c r="L948" s="2">
        <f>'PFAS Properties'!$X$46</f>
        <v>0.1</v>
      </c>
      <c r="M948" s="2" t="str">
        <f>'PFAS Properties'!$Y$46</f>
        <v>-</v>
      </c>
      <c r="N948" s="33">
        <v>0</v>
      </c>
      <c r="O948" s="33">
        <v>0</v>
      </c>
      <c r="P948" s="33">
        <v>0</v>
      </c>
      <c r="Q948" s="33">
        <f t="shared" si="427"/>
        <v>0.9999964518786969</v>
      </c>
      <c r="R948" s="33">
        <v>0</v>
      </c>
      <c r="S948" s="33">
        <f t="shared" si="428"/>
        <v>3.5481213031263005E-6</v>
      </c>
      <c r="T948" s="8">
        <f t="shared" si="436"/>
        <v>1</v>
      </c>
      <c r="U948" s="33">
        <f t="shared" si="429"/>
        <v>0</v>
      </c>
      <c r="V948" s="33">
        <f t="shared" si="430"/>
        <v>-0.9999964518786969</v>
      </c>
      <c r="W948" s="33">
        <f t="shared" si="431"/>
        <v>498.93740354812127</v>
      </c>
      <c r="X948" s="33">
        <v>96485</v>
      </c>
      <c r="Y948" s="16">
        <f t="shared" si="432"/>
        <v>-193.38028572999212</v>
      </c>
      <c r="Z948" s="16">
        <v>8</v>
      </c>
      <c r="AA948" s="16">
        <v>17</v>
      </c>
      <c r="AB948" s="8">
        <f t="shared" si="433"/>
        <v>0.29721362229102166</v>
      </c>
      <c r="AC948" s="16">
        <f t="shared" si="438"/>
        <v>64.60808893273439</v>
      </c>
      <c r="AD948" s="20">
        <f>'PFAS Properties'!$W$46</f>
        <v>8</v>
      </c>
      <c r="AE948" s="8">
        <f>'PFAS Properties'!$S$46</f>
        <v>2.0166155475571776</v>
      </c>
      <c r="AF948" s="15">
        <f>'PFAS Properties'!$V$46</f>
        <v>5</v>
      </c>
      <c r="AG948" s="26">
        <v>5.55</v>
      </c>
      <c r="AH948" s="1" t="s">
        <v>190</v>
      </c>
      <c r="AI948" s="39">
        <f t="shared" si="417"/>
        <v>76.786874999999995</v>
      </c>
      <c r="AJ948" s="1">
        <v>1375</v>
      </c>
      <c r="AK948" s="8">
        <f t="shared" si="418"/>
        <v>7.6786874999999997</v>
      </c>
      <c r="AL948" s="39">
        <f t="shared" si="419"/>
        <v>9.6048800000000014</v>
      </c>
      <c r="AM948" s="1">
        <v>356</v>
      </c>
      <c r="AN948" s="8">
        <f t="shared" si="420"/>
        <v>0.96048800000000012</v>
      </c>
      <c r="AO948" s="3" t="s">
        <v>93</v>
      </c>
      <c r="AP948" s="3">
        <v>17.3</v>
      </c>
      <c r="AQ948" s="3" t="s">
        <v>661</v>
      </c>
      <c r="AR948" s="4">
        <v>45.9</v>
      </c>
      <c r="AS948" s="4">
        <v>26.6</v>
      </c>
      <c r="AT948" s="4">
        <v>27.4</v>
      </c>
      <c r="AU948" s="3" t="s">
        <v>661</v>
      </c>
      <c r="AV948" s="16">
        <f t="shared" si="437"/>
        <v>99.9</v>
      </c>
      <c r="AW948" s="7">
        <v>1.8</v>
      </c>
      <c r="AX948" s="1">
        <f t="shared" si="421"/>
        <v>1.8000000000000002E-2</v>
      </c>
      <c r="AY948" s="1" t="s">
        <v>511</v>
      </c>
      <c r="AZ948" s="1">
        <f t="shared" si="422"/>
        <v>100</v>
      </c>
      <c r="BA948" s="1" t="s">
        <v>55</v>
      </c>
      <c r="BB948" s="1">
        <v>5</v>
      </c>
      <c r="BC948" s="1">
        <v>500</v>
      </c>
      <c r="BD948" s="26">
        <f t="shared" si="423"/>
        <v>42.139749994758247</v>
      </c>
      <c r="BE948" s="16">
        <f t="shared" si="439"/>
        <v>2341.0972219310133</v>
      </c>
      <c r="BF948" s="16">
        <f t="shared" si="434"/>
        <v>3.3694194496092353</v>
      </c>
      <c r="BG948" s="8">
        <f t="shared" si="435"/>
        <v>1.6246919547125414</v>
      </c>
      <c r="BH948" s="13" t="s">
        <v>782</v>
      </c>
      <c r="BI948" s="8">
        <v>67.3</v>
      </c>
      <c r="BJ948" s="13" t="s">
        <v>349</v>
      </c>
      <c r="BK948" s="15">
        <v>0.8</v>
      </c>
      <c r="BL948" s="16">
        <f t="shared" si="424"/>
        <v>67.3</v>
      </c>
      <c r="BM948" s="18">
        <f>'PFAS Properties'!$U$46</f>
        <v>10.39</v>
      </c>
      <c r="BN948" s="8">
        <f t="shared" si="425"/>
        <v>437.83200244553819</v>
      </c>
      <c r="BO948" s="24">
        <f t="shared" si="426"/>
        <v>42.139749994758247</v>
      </c>
      <c r="BP948" s="11"/>
      <c r="BQ948" s="11"/>
    </row>
    <row r="949" spans="1:69" x14ac:dyDescent="0.3">
      <c r="A949" s="20">
        <v>969</v>
      </c>
      <c r="B949" s="2" t="s">
        <v>189</v>
      </c>
      <c r="C949" s="2">
        <v>2021</v>
      </c>
      <c r="D949" s="2" t="s">
        <v>510</v>
      </c>
      <c r="E949" s="41" t="s">
        <v>804</v>
      </c>
      <c r="F949" s="20" t="s">
        <v>29</v>
      </c>
      <c r="G949" s="2" t="s">
        <v>459</v>
      </c>
      <c r="H949" s="2" t="str">
        <f>'PFAS Properties'!$B$46</f>
        <v>PFOS</v>
      </c>
      <c r="I949" s="2" t="str">
        <f>'PFAS Properties'!$C$46</f>
        <v>PFSA</v>
      </c>
      <c r="J949" s="2" t="str">
        <f>'PFAS Properties'!$D$46</f>
        <v>C8HF17O3S</v>
      </c>
      <c r="K949" s="25">
        <f>'PFAS Properties'!$P$46</f>
        <v>499.93739999999997</v>
      </c>
      <c r="L949" s="2">
        <f>'PFAS Properties'!$X$46</f>
        <v>0.1</v>
      </c>
      <c r="M949" s="2" t="str">
        <f>'PFAS Properties'!$Y$46</f>
        <v>-</v>
      </c>
      <c r="N949" s="33">
        <v>0</v>
      </c>
      <c r="O949" s="33">
        <v>0</v>
      </c>
      <c r="P949" s="33">
        <v>0</v>
      </c>
      <c r="Q949" s="33">
        <f t="shared" si="427"/>
        <v>0.99999965326326978</v>
      </c>
      <c r="R949" s="33">
        <v>0</v>
      </c>
      <c r="S949" s="33">
        <f t="shared" si="428"/>
        <v>3.4673673022612973E-7</v>
      </c>
      <c r="T949" s="8">
        <f t="shared" si="436"/>
        <v>1</v>
      </c>
      <c r="U949" s="33">
        <f t="shared" si="429"/>
        <v>0</v>
      </c>
      <c r="V949" s="33">
        <f t="shared" si="430"/>
        <v>-0.99999965326326978</v>
      </c>
      <c r="W949" s="33">
        <f t="shared" si="431"/>
        <v>498.93740034673669</v>
      </c>
      <c r="X949" s="33">
        <v>96485</v>
      </c>
      <c r="Y949" s="16">
        <f t="shared" si="432"/>
        <v>-193.3809060576624</v>
      </c>
      <c r="Z949" s="16">
        <v>8</v>
      </c>
      <c r="AA949" s="16">
        <v>17</v>
      </c>
      <c r="AB949" s="8">
        <f t="shared" si="433"/>
        <v>0.29721362229102166</v>
      </c>
      <c r="AC949" s="16">
        <f t="shared" si="438"/>
        <v>64.60808893273439</v>
      </c>
      <c r="AD949" s="20">
        <f>'PFAS Properties'!$W$46</f>
        <v>8</v>
      </c>
      <c r="AE949" s="8">
        <f>'PFAS Properties'!$S$46</f>
        <v>2.0166155475571776</v>
      </c>
      <c r="AF949" s="15">
        <f>'PFAS Properties'!$V$46</f>
        <v>5</v>
      </c>
      <c r="AG949" s="26">
        <v>6.56</v>
      </c>
      <c r="AH949" s="1" t="s">
        <v>190</v>
      </c>
      <c r="AI949" s="39">
        <f t="shared" si="417"/>
        <v>18.205470000000002</v>
      </c>
      <c r="AJ949" s="1">
        <v>326</v>
      </c>
      <c r="AK949" s="8">
        <f t="shared" si="418"/>
        <v>1.8205470000000001</v>
      </c>
      <c r="AL949" s="39">
        <f t="shared" si="419"/>
        <v>1.51088</v>
      </c>
      <c r="AM949" s="1">
        <v>56</v>
      </c>
      <c r="AN949" s="8">
        <f t="shared" si="420"/>
        <v>0.151088</v>
      </c>
      <c r="AO949" s="3" t="s">
        <v>93</v>
      </c>
      <c r="AP949" s="3">
        <v>41.8</v>
      </c>
      <c r="AQ949" s="3" t="s">
        <v>661</v>
      </c>
      <c r="AR949" s="4">
        <v>41.1</v>
      </c>
      <c r="AS949" s="4">
        <v>40.5</v>
      </c>
      <c r="AT949" s="4">
        <v>18.399999999999999</v>
      </c>
      <c r="AU949" s="3" t="s">
        <v>661</v>
      </c>
      <c r="AV949" s="16">
        <f t="shared" si="437"/>
        <v>100</v>
      </c>
      <c r="AW949" s="7">
        <v>1.6</v>
      </c>
      <c r="AX949" s="1">
        <f t="shared" si="421"/>
        <v>1.6E-2</v>
      </c>
      <c r="AY949" s="1" t="s">
        <v>511</v>
      </c>
      <c r="AZ949" s="1">
        <f t="shared" si="422"/>
        <v>100</v>
      </c>
      <c r="BA949" s="1" t="s">
        <v>55</v>
      </c>
      <c r="BB949" s="1">
        <v>5</v>
      </c>
      <c r="BC949" s="1">
        <v>500</v>
      </c>
      <c r="BD949" s="26">
        <f t="shared" si="423"/>
        <v>30.18032614780606</v>
      </c>
      <c r="BE949" s="16">
        <f t="shared" si="439"/>
        <v>1886.2703842378787</v>
      </c>
      <c r="BF949" s="16">
        <f t="shared" si="434"/>
        <v>3.2756039460714894</v>
      </c>
      <c r="BG949" s="8">
        <f t="shared" si="435"/>
        <v>1.4797239287274142</v>
      </c>
      <c r="BH949" s="13" t="s">
        <v>782</v>
      </c>
      <c r="BI949" s="8">
        <v>48.2</v>
      </c>
      <c r="BJ949" s="13" t="s">
        <v>349</v>
      </c>
      <c r="BK949" s="15">
        <v>0.8</v>
      </c>
      <c r="BL949" s="16">
        <f t="shared" si="424"/>
        <v>48.2</v>
      </c>
      <c r="BM949" s="18">
        <f>'PFAS Properties'!$U$46</f>
        <v>10.39</v>
      </c>
      <c r="BN949" s="8">
        <f t="shared" si="425"/>
        <v>313.57358867570497</v>
      </c>
      <c r="BO949" s="24">
        <f t="shared" si="426"/>
        <v>30.18032614780606</v>
      </c>
      <c r="BP949" s="11"/>
      <c r="BQ949" s="11"/>
    </row>
    <row r="950" spans="1:69" x14ac:dyDescent="0.3">
      <c r="A950" s="20">
        <v>970</v>
      </c>
      <c r="B950" s="2" t="s">
        <v>189</v>
      </c>
      <c r="C950" s="2">
        <v>2021</v>
      </c>
      <c r="D950" s="2" t="s">
        <v>510</v>
      </c>
      <c r="E950" s="41" t="s">
        <v>804</v>
      </c>
      <c r="F950" s="20" t="s">
        <v>29</v>
      </c>
      <c r="G950" s="2" t="s">
        <v>460</v>
      </c>
      <c r="H950" s="2" t="str">
        <f>'PFAS Properties'!$B$46</f>
        <v>PFOS</v>
      </c>
      <c r="I950" s="2" t="str">
        <f>'PFAS Properties'!$C$46</f>
        <v>PFSA</v>
      </c>
      <c r="J950" s="2" t="str">
        <f>'PFAS Properties'!$D$46</f>
        <v>C8HF17O3S</v>
      </c>
      <c r="K950" s="25">
        <f>'PFAS Properties'!$P$46</f>
        <v>499.93739999999997</v>
      </c>
      <c r="L950" s="2">
        <f>'PFAS Properties'!$X$46</f>
        <v>0.1</v>
      </c>
      <c r="M950" s="2" t="str">
        <f>'PFAS Properties'!$Y$46</f>
        <v>-</v>
      </c>
      <c r="N950" s="33">
        <v>0</v>
      </c>
      <c r="O950" s="33">
        <v>0</v>
      </c>
      <c r="P950" s="33">
        <v>0</v>
      </c>
      <c r="Q950" s="33">
        <f t="shared" si="427"/>
        <v>0.99994376902958082</v>
      </c>
      <c r="R950" s="33">
        <v>0</v>
      </c>
      <c r="S950" s="33">
        <f t="shared" si="428"/>
        <v>5.6230970419192664E-5</v>
      </c>
      <c r="T950" s="8">
        <f t="shared" si="436"/>
        <v>1</v>
      </c>
      <c r="U950" s="33">
        <f t="shared" si="429"/>
        <v>0</v>
      </c>
      <c r="V950" s="33">
        <f t="shared" si="430"/>
        <v>-0.99994376902958082</v>
      </c>
      <c r="W950" s="33">
        <f t="shared" si="431"/>
        <v>498.93745623097038</v>
      </c>
      <c r="X950" s="33">
        <v>96485</v>
      </c>
      <c r="Y950" s="16">
        <f t="shared" si="432"/>
        <v>-193.37007745146389</v>
      </c>
      <c r="Z950" s="16">
        <v>8</v>
      </c>
      <c r="AA950" s="16">
        <v>17</v>
      </c>
      <c r="AB950" s="8">
        <f t="shared" si="433"/>
        <v>0.29721362229102166</v>
      </c>
      <c r="AC950" s="16">
        <f t="shared" si="438"/>
        <v>64.60808893273439</v>
      </c>
      <c r="AD950" s="20">
        <f>'PFAS Properties'!$W$46</f>
        <v>8</v>
      </c>
      <c r="AE950" s="8">
        <f>'PFAS Properties'!$S$46</f>
        <v>2.0166155475571776</v>
      </c>
      <c r="AF950" s="15">
        <f>'PFAS Properties'!$V$46</f>
        <v>5</v>
      </c>
      <c r="AG950" s="26">
        <v>4.3499999999999996</v>
      </c>
      <c r="AH950" s="1" t="s">
        <v>190</v>
      </c>
      <c r="AI950" s="39">
        <f t="shared" ref="AI950:AI998" si="440">(AJ950*55.845)/1000</f>
        <v>9.60534</v>
      </c>
      <c r="AJ950" s="1">
        <v>172</v>
      </c>
      <c r="AK950" s="8">
        <f t="shared" ref="AK950:AK998" si="441">AI950/10</f>
        <v>0.960534</v>
      </c>
      <c r="AL950" s="39">
        <f t="shared" ref="AL950:AL998" si="442">(AM950*26.98)/1000</f>
        <v>2.698</v>
      </c>
      <c r="AM950" s="1">
        <v>100</v>
      </c>
      <c r="AN950" s="8">
        <f t="shared" ref="AN950:AN998" si="443">AL950/10</f>
        <v>0.26979999999999998</v>
      </c>
      <c r="AO950" s="3" t="s">
        <v>93</v>
      </c>
      <c r="AP950" s="3">
        <v>9.4</v>
      </c>
      <c r="AQ950" s="3" t="s">
        <v>661</v>
      </c>
      <c r="AR950" s="4">
        <v>47.4</v>
      </c>
      <c r="AS950" s="4">
        <v>44</v>
      </c>
      <c r="AT950" s="4">
        <v>8.6999999999999993</v>
      </c>
      <c r="AU950" s="3" t="s">
        <v>661</v>
      </c>
      <c r="AV950" s="16">
        <f t="shared" si="437"/>
        <v>100.10000000000001</v>
      </c>
      <c r="AW950" s="7">
        <v>1.3</v>
      </c>
      <c r="AX950" s="1">
        <f t="shared" ref="AX950:AX1012" si="444">AW950/100</f>
        <v>1.3000000000000001E-2</v>
      </c>
      <c r="AY950" s="1" t="s">
        <v>511</v>
      </c>
      <c r="AZ950" s="1">
        <f t="shared" ref="AZ950:AZ998" si="445">2/0.02</f>
        <v>100</v>
      </c>
      <c r="BA950" s="1" t="s">
        <v>55</v>
      </c>
      <c r="BB950" s="1">
        <v>5</v>
      </c>
      <c r="BC950" s="1">
        <v>500</v>
      </c>
      <c r="BD950" s="26">
        <f t="shared" ref="BD950:BD1006" si="446">BO950</f>
        <v>28.740186103408671</v>
      </c>
      <c r="BE950" s="16">
        <f t="shared" si="439"/>
        <v>2210.7835464160516</v>
      </c>
      <c r="BF950" s="16">
        <f t="shared" si="434"/>
        <v>3.3445462237189889</v>
      </c>
      <c r="BG950" s="8">
        <f t="shared" si="435"/>
        <v>1.4584895760258259</v>
      </c>
      <c r="BH950" s="13" t="s">
        <v>782</v>
      </c>
      <c r="BI950" s="8">
        <v>45.9</v>
      </c>
      <c r="BJ950" s="13" t="s">
        <v>349</v>
      </c>
      <c r="BK950" s="15">
        <v>0.8</v>
      </c>
      <c r="BL950" s="16">
        <f t="shared" ref="BL950:BL998" si="447">BI950</f>
        <v>45.9</v>
      </c>
      <c r="BM950" s="18">
        <f>'PFAS Properties'!$U$46</f>
        <v>10.39</v>
      </c>
      <c r="BN950" s="8">
        <f t="shared" ref="BN950:BN1006" si="448">(BL950*(BM950^BK950))</f>
        <v>298.61053361441611</v>
      </c>
      <c r="BO950" s="24">
        <f t="shared" ref="BO950:BO1006" si="449">BN950/BM950</f>
        <v>28.740186103408671</v>
      </c>
      <c r="BP950" s="11"/>
      <c r="BQ950" s="11"/>
    </row>
    <row r="951" spans="1:69" x14ac:dyDescent="0.3">
      <c r="A951" s="20">
        <v>971</v>
      </c>
      <c r="B951" s="2" t="s">
        <v>189</v>
      </c>
      <c r="C951" s="2">
        <v>2021</v>
      </c>
      <c r="D951" s="2" t="s">
        <v>510</v>
      </c>
      <c r="E951" s="41" t="s">
        <v>804</v>
      </c>
      <c r="F951" s="20" t="s">
        <v>29</v>
      </c>
      <c r="G951" s="2" t="s">
        <v>461</v>
      </c>
      <c r="H951" s="2" t="str">
        <f>'PFAS Properties'!$B$46</f>
        <v>PFOS</v>
      </c>
      <c r="I951" s="2" t="str">
        <f>'PFAS Properties'!$C$46</f>
        <v>PFSA</v>
      </c>
      <c r="J951" s="2" t="str">
        <f>'PFAS Properties'!$D$46</f>
        <v>C8HF17O3S</v>
      </c>
      <c r="K951" s="25">
        <f>'PFAS Properties'!$P$46</f>
        <v>499.93739999999997</v>
      </c>
      <c r="L951" s="2">
        <f>'PFAS Properties'!$X$46</f>
        <v>0.1</v>
      </c>
      <c r="M951" s="2" t="str">
        <f>'PFAS Properties'!$Y$46</f>
        <v>-</v>
      </c>
      <c r="N951" s="33">
        <v>0</v>
      </c>
      <c r="O951" s="33">
        <v>0</v>
      </c>
      <c r="P951" s="33">
        <v>0</v>
      </c>
      <c r="Q951" s="33">
        <f t="shared" si="427"/>
        <v>0.99996688798429367</v>
      </c>
      <c r="R951" s="33">
        <v>0</v>
      </c>
      <c r="S951" s="33">
        <f t="shared" si="428"/>
        <v>3.3112015706369511E-5</v>
      </c>
      <c r="T951" s="8">
        <f t="shared" si="436"/>
        <v>1</v>
      </c>
      <c r="U951" s="33">
        <f t="shared" si="429"/>
        <v>0</v>
      </c>
      <c r="V951" s="33">
        <f t="shared" si="430"/>
        <v>-0.99996688798429367</v>
      </c>
      <c r="W951" s="33">
        <f t="shared" si="431"/>
        <v>498.9374331120157</v>
      </c>
      <c r="X951" s="33">
        <v>96485</v>
      </c>
      <c r="Y951" s="16">
        <f t="shared" si="432"/>
        <v>-193.37455717719939</v>
      </c>
      <c r="Z951" s="16">
        <v>8</v>
      </c>
      <c r="AA951" s="16">
        <v>17</v>
      </c>
      <c r="AB951" s="8">
        <f t="shared" si="433"/>
        <v>0.29721362229102166</v>
      </c>
      <c r="AC951" s="16">
        <f t="shared" si="438"/>
        <v>64.60808893273439</v>
      </c>
      <c r="AD951" s="20">
        <f>'PFAS Properties'!$W$46</f>
        <v>8</v>
      </c>
      <c r="AE951" s="8">
        <f>'PFAS Properties'!$S$46</f>
        <v>2.0166155475571776</v>
      </c>
      <c r="AF951" s="15">
        <f>'PFAS Properties'!$V$46</f>
        <v>5</v>
      </c>
      <c r="AG951" s="26">
        <v>4.58</v>
      </c>
      <c r="AH951" s="1" t="s">
        <v>190</v>
      </c>
      <c r="AI951" s="39">
        <f t="shared" si="440"/>
        <v>103.20156</v>
      </c>
      <c r="AJ951" s="1">
        <v>1848</v>
      </c>
      <c r="AK951" s="8">
        <f t="shared" si="441"/>
        <v>10.320156000000001</v>
      </c>
      <c r="AL951" s="39">
        <f t="shared" si="442"/>
        <v>15.891219999999999</v>
      </c>
      <c r="AM951" s="1">
        <v>589</v>
      </c>
      <c r="AN951" s="8">
        <f t="shared" si="443"/>
        <v>1.5891219999999999</v>
      </c>
      <c r="AO951" s="3" t="s">
        <v>93</v>
      </c>
      <c r="AP951" s="3">
        <v>26</v>
      </c>
      <c r="AQ951" s="3" t="s">
        <v>661</v>
      </c>
      <c r="AR951" s="4">
        <v>68.8</v>
      </c>
      <c r="AS951" s="4">
        <v>21</v>
      </c>
      <c r="AT951" s="4">
        <v>10.199999999999999</v>
      </c>
      <c r="AU951" s="3" t="s">
        <v>661</v>
      </c>
      <c r="AV951" s="16">
        <f t="shared" si="437"/>
        <v>100</v>
      </c>
      <c r="AW951" s="7">
        <v>1</v>
      </c>
      <c r="AX951" s="1">
        <f t="shared" si="444"/>
        <v>0.01</v>
      </c>
      <c r="AY951" s="1" t="s">
        <v>511</v>
      </c>
      <c r="AZ951" s="1">
        <f t="shared" si="445"/>
        <v>100</v>
      </c>
      <c r="BA951" s="1" t="s">
        <v>55</v>
      </c>
      <c r="BB951" s="1">
        <v>5</v>
      </c>
      <c r="BC951" s="1">
        <v>500</v>
      </c>
      <c r="BD951" s="26">
        <f t="shared" si="446"/>
        <v>55.163625178873723</v>
      </c>
      <c r="BE951" s="16">
        <f t="shared" si="439"/>
        <v>5516.3625178873717</v>
      </c>
      <c r="BF951" s="16">
        <f t="shared" si="434"/>
        <v>3.7416527989006125</v>
      </c>
      <c r="BG951" s="8">
        <f t="shared" si="435"/>
        <v>1.7416527989006123</v>
      </c>
      <c r="BH951" s="13" t="s">
        <v>782</v>
      </c>
      <c r="BI951" s="8">
        <v>88.1</v>
      </c>
      <c r="BJ951" s="13" t="s">
        <v>349</v>
      </c>
      <c r="BK951" s="15">
        <v>0.8</v>
      </c>
      <c r="BL951" s="16">
        <f t="shared" si="447"/>
        <v>88.1</v>
      </c>
      <c r="BM951" s="18">
        <f>'PFAS Properties'!$U$46</f>
        <v>10.39</v>
      </c>
      <c r="BN951" s="8">
        <f t="shared" si="448"/>
        <v>573.15006560849804</v>
      </c>
      <c r="BO951" s="24">
        <f t="shared" si="449"/>
        <v>55.163625178873723</v>
      </c>
      <c r="BP951" s="11"/>
      <c r="BQ951" s="11"/>
    </row>
    <row r="952" spans="1:69" x14ac:dyDescent="0.3">
      <c r="A952" s="20">
        <v>972</v>
      </c>
      <c r="B952" s="2" t="s">
        <v>189</v>
      </c>
      <c r="C952" s="2">
        <v>2021</v>
      </c>
      <c r="D952" s="2" t="s">
        <v>510</v>
      </c>
      <c r="E952" s="41" t="s">
        <v>804</v>
      </c>
      <c r="F952" s="20" t="s">
        <v>29</v>
      </c>
      <c r="G952" s="2" t="s">
        <v>462</v>
      </c>
      <c r="H952" s="2" t="str">
        <f>'PFAS Properties'!$B$46</f>
        <v>PFOS</v>
      </c>
      <c r="I952" s="2" t="str">
        <f>'PFAS Properties'!$C$46</f>
        <v>PFSA</v>
      </c>
      <c r="J952" s="2" t="str">
        <f>'PFAS Properties'!$D$46</f>
        <v>C8HF17O3S</v>
      </c>
      <c r="K952" s="25">
        <f>'PFAS Properties'!$P$46</f>
        <v>499.93739999999997</v>
      </c>
      <c r="L952" s="2">
        <f>'PFAS Properties'!$X$46</f>
        <v>0.1</v>
      </c>
      <c r="M952" s="2" t="str">
        <f>'PFAS Properties'!$Y$46</f>
        <v>-</v>
      </c>
      <c r="N952" s="33">
        <v>0</v>
      </c>
      <c r="O952" s="33">
        <v>0</v>
      </c>
      <c r="P952" s="33">
        <v>0</v>
      </c>
      <c r="Q952" s="33">
        <f t="shared" si="427"/>
        <v>0.99972465296653645</v>
      </c>
      <c r="R952" s="33">
        <v>0</v>
      </c>
      <c r="S952" s="33">
        <f t="shared" si="428"/>
        <v>2.7534703346352183E-4</v>
      </c>
      <c r="T952" s="8">
        <f t="shared" si="436"/>
        <v>1</v>
      </c>
      <c r="U952" s="33">
        <f t="shared" si="429"/>
        <v>0</v>
      </c>
      <c r="V952" s="33">
        <f t="shared" si="430"/>
        <v>-0.99972465296653645</v>
      </c>
      <c r="W952" s="33">
        <f t="shared" si="431"/>
        <v>498.93767534703346</v>
      </c>
      <c r="X952" s="33">
        <v>96485</v>
      </c>
      <c r="Y952" s="16">
        <f t="shared" si="432"/>
        <v>-193.32761967591466</v>
      </c>
      <c r="Z952" s="16">
        <v>8</v>
      </c>
      <c r="AA952" s="16">
        <v>17</v>
      </c>
      <c r="AB952" s="8">
        <f t="shared" si="433"/>
        <v>0.29721362229102166</v>
      </c>
      <c r="AC952" s="16">
        <f t="shared" si="438"/>
        <v>64.60808893273439</v>
      </c>
      <c r="AD952" s="20">
        <f>'PFAS Properties'!$W$46</f>
        <v>8</v>
      </c>
      <c r="AE952" s="8">
        <f>'PFAS Properties'!$S$46</f>
        <v>2.0166155475571776</v>
      </c>
      <c r="AF952" s="15">
        <f>'PFAS Properties'!$V$46</f>
        <v>5</v>
      </c>
      <c r="AG952" s="26">
        <v>3.66</v>
      </c>
      <c r="AH952" s="1" t="s">
        <v>190</v>
      </c>
      <c r="AI952" s="39">
        <f t="shared" si="440"/>
        <v>88.626014999999995</v>
      </c>
      <c r="AJ952" s="1">
        <v>1587</v>
      </c>
      <c r="AK952" s="8">
        <f t="shared" si="441"/>
        <v>8.8626015000000002</v>
      </c>
      <c r="AL952" s="39">
        <f t="shared" si="442"/>
        <v>5.3959999999999999</v>
      </c>
      <c r="AM952" s="1">
        <v>200</v>
      </c>
      <c r="AN952" s="8">
        <f t="shared" si="443"/>
        <v>0.53959999999999997</v>
      </c>
      <c r="AO952" s="3" t="s">
        <v>93</v>
      </c>
      <c r="AP952" s="3">
        <v>24.3</v>
      </c>
      <c r="AQ952" s="3" t="s">
        <v>661</v>
      </c>
      <c r="AR952" s="4">
        <v>41.2</v>
      </c>
      <c r="AS952" s="4">
        <v>56.7</v>
      </c>
      <c r="AT952" s="4">
        <v>2.2000000000000002</v>
      </c>
      <c r="AU952" s="3" t="s">
        <v>661</v>
      </c>
      <c r="AV952" s="16">
        <f t="shared" si="437"/>
        <v>100.10000000000001</v>
      </c>
      <c r="AW952" s="7">
        <v>3.9</v>
      </c>
      <c r="AX952" s="1">
        <f t="shared" si="444"/>
        <v>3.9E-2</v>
      </c>
      <c r="AY952" s="1" t="s">
        <v>511</v>
      </c>
      <c r="AZ952" s="1">
        <f t="shared" si="445"/>
        <v>100</v>
      </c>
      <c r="BA952" s="1" t="s">
        <v>55</v>
      </c>
      <c r="BB952" s="1">
        <v>5</v>
      </c>
      <c r="BC952" s="1">
        <v>500</v>
      </c>
      <c r="BD952" s="26">
        <f t="shared" si="446"/>
        <v>114.4034887820299</v>
      </c>
      <c r="BE952" s="16">
        <f t="shared" si="439"/>
        <v>2933.422789282818</v>
      </c>
      <c r="BF952" s="16">
        <f t="shared" si="434"/>
        <v>3.4673746616235239</v>
      </c>
      <c r="BG952" s="8">
        <f t="shared" si="435"/>
        <v>2.058439268650023</v>
      </c>
      <c r="BH952" s="13" t="s">
        <v>782</v>
      </c>
      <c r="BI952" s="8">
        <v>230.9</v>
      </c>
      <c r="BJ952" s="13" t="s">
        <v>349</v>
      </c>
      <c r="BK952" s="15">
        <v>0.7</v>
      </c>
      <c r="BL952" s="16">
        <f t="shared" si="447"/>
        <v>230.9</v>
      </c>
      <c r="BM952" s="18">
        <f>'PFAS Properties'!$U$46</f>
        <v>10.39</v>
      </c>
      <c r="BN952" s="8">
        <f t="shared" si="448"/>
        <v>1188.6522484452908</v>
      </c>
      <c r="BO952" s="24">
        <f t="shared" si="449"/>
        <v>114.4034887820299</v>
      </c>
      <c r="BP952" s="11"/>
      <c r="BQ952" s="11"/>
    </row>
    <row r="953" spans="1:69" x14ac:dyDescent="0.3">
      <c r="A953" s="20">
        <v>973</v>
      </c>
      <c r="B953" s="2" t="s">
        <v>189</v>
      </c>
      <c r="C953" s="2">
        <v>2021</v>
      </c>
      <c r="D953" s="2" t="s">
        <v>510</v>
      </c>
      <c r="E953" s="41" t="s">
        <v>804</v>
      </c>
      <c r="F953" s="20" t="s">
        <v>29</v>
      </c>
      <c r="G953" s="2" t="s">
        <v>463</v>
      </c>
      <c r="H953" s="2" t="str">
        <f>'PFAS Properties'!$B$46</f>
        <v>PFOS</v>
      </c>
      <c r="I953" s="2" t="str">
        <f>'PFAS Properties'!$C$46</f>
        <v>PFSA</v>
      </c>
      <c r="J953" s="2" t="str">
        <f>'PFAS Properties'!$D$46</f>
        <v>C8HF17O3S</v>
      </c>
      <c r="K953" s="25">
        <f>'PFAS Properties'!$P$46</f>
        <v>499.93739999999997</v>
      </c>
      <c r="L953" s="2">
        <f>'PFAS Properties'!$X$46</f>
        <v>0.1</v>
      </c>
      <c r="M953" s="2" t="str">
        <f>'PFAS Properties'!$Y$46</f>
        <v>-</v>
      </c>
      <c r="N953" s="33">
        <v>0</v>
      </c>
      <c r="O953" s="33">
        <v>0</v>
      </c>
      <c r="P953" s="33">
        <v>0</v>
      </c>
      <c r="Q953" s="33">
        <f t="shared" si="427"/>
        <v>0.99996764168140173</v>
      </c>
      <c r="R953" s="33">
        <v>0</v>
      </c>
      <c r="S953" s="33">
        <f t="shared" si="428"/>
        <v>3.2358318598298044E-5</v>
      </c>
      <c r="T953" s="8">
        <f t="shared" si="436"/>
        <v>1</v>
      </c>
      <c r="U953" s="33">
        <f t="shared" si="429"/>
        <v>0</v>
      </c>
      <c r="V953" s="33">
        <f t="shared" si="430"/>
        <v>-0.99996764168140173</v>
      </c>
      <c r="W953" s="33">
        <f t="shared" si="431"/>
        <v>498.93743235831857</v>
      </c>
      <c r="X953" s="33">
        <v>96485</v>
      </c>
      <c r="Y953" s="16">
        <f t="shared" si="432"/>
        <v>-193.37470321998268</v>
      </c>
      <c r="Z953" s="16">
        <v>8</v>
      </c>
      <c r="AA953" s="16">
        <v>17</v>
      </c>
      <c r="AB953" s="8">
        <f t="shared" si="433"/>
        <v>0.29721362229102166</v>
      </c>
      <c r="AC953" s="16">
        <f t="shared" si="438"/>
        <v>64.60808893273439</v>
      </c>
      <c r="AD953" s="20">
        <f>'PFAS Properties'!$W$46</f>
        <v>8</v>
      </c>
      <c r="AE953" s="8">
        <f>'PFAS Properties'!$S$46</f>
        <v>2.0166155475571776</v>
      </c>
      <c r="AF953" s="15">
        <f>'PFAS Properties'!$V$46</f>
        <v>5</v>
      </c>
      <c r="AG953" s="26">
        <v>4.59</v>
      </c>
      <c r="AH953" s="1" t="s">
        <v>190</v>
      </c>
      <c r="AI953" s="39">
        <f t="shared" si="440"/>
        <v>80.584334999999996</v>
      </c>
      <c r="AJ953" s="1">
        <v>1443</v>
      </c>
      <c r="AK953" s="8">
        <f t="shared" si="441"/>
        <v>8.0584334999999996</v>
      </c>
      <c r="AL953" s="39">
        <f t="shared" si="442"/>
        <v>5.3959999999999999</v>
      </c>
      <c r="AM953" s="1">
        <v>200</v>
      </c>
      <c r="AN953" s="8">
        <f t="shared" si="443"/>
        <v>0.53959999999999997</v>
      </c>
      <c r="AO953" s="3" t="s">
        <v>93</v>
      </c>
      <c r="AP953" s="3">
        <v>19.399999999999999</v>
      </c>
      <c r="AQ953" s="3" t="s">
        <v>661</v>
      </c>
      <c r="AR953" s="4">
        <v>36.200000000000003</v>
      </c>
      <c r="AS953" s="4">
        <v>31.7</v>
      </c>
      <c r="AT953" s="4">
        <v>32.1</v>
      </c>
      <c r="AU953" s="3" t="s">
        <v>661</v>
      </c>
      <c r="AV953" s="16">
        <f t="shared" si="437"/>
        <v>100</v>
      </c>
      <c r="AW953" s="7">
        <v>0.9</v>
      </c>
      <c r="AX953" s="1">
        <f t="shared" si="444"/>
        <v>9.0000000000000011E-3</v>
      </c>
      <c r="AY953" s="1" t="s">
        <v>511</v>
      </c>
      <c r="AZ953" s="1">
        <f t="shared" si="445"/>
        <v>100</v>
      </c>
      <c r="BA953" s="1" t="s">
        <v>55</v>
      </c>
      <c r="BB953" s="1">
        <v>5</v>
      </c>
      <c r="BC953" s="1">
        <v>500</v>
      </c>
      <c r="BD953" s="26">
        <f t="shared" si="446"/>
        <v>37.193182016175925</v>
      </c>
      <c r="BE953" s="16">
        <f t="shared" si="439"/>
        <v>4132.5757795751024</v>
      </c>
      <c r="BF953" s="16">
        <f t="shared" si="434"/>
        <v>3.6162208260304332</v>
      </c>
      <c r="BG953" s="8">
        <f t="shared" si="435"/>
        <v>1.5704633354697579</v>
      </c>
      <c r="BH953" s="13" t="s">
        <v>782</v>
      </c>
      <c r="BI953" s="8">
        <v>59.4</v>
      </c>
      <c r="BJ953" s="13" t="s">
        <v>349</v>
      </c>
      <c r="BK953" s="15">
        <v>0.8</v>
      </c>
      <c r="BL953" s="16">
        <f t="shared" si="447"/>
        <v>59.4</v>
      </c>
      <c r="BM953" s="18">
        <f>'PFAS Properties'!$U$46</f>
        <v>10.39</v>
      </c>
      <c r="BN953" s="8">
        <f t="shared" si="448"/>
        <v>386.4371611480679</v>
      </c>
      <c r="BO953" s="24">
        <f t="shared" si="449"/>
        <v>37.193182016175925</v>
      </c>
      <c r="BP953" s="11"/>
      <c r="BQ953" s="11"/>
    </row>
    <row r="954" spans="1:69" x14ac:dyDescent="0.3">
      <c r="A954" s="20">
        <v>974</v>
      </c>
      <c r="B954" s="2" t="s">
        <v>189</v>
      </c>
      <c r="C954" s="2">
        <v>2021</v>
      </c>
      <c r="D954" s="2" t="s">
        <v>510</v>
      </c>
      <c r="E954" s="41" t="s">
        <v>804</v>
      </c>
      <c r="F954" s="20" t="s">
        <v>29</v>
      </c>
      <c r="G954" s="2" t="s">
        <v>464</v>
      </c>
      <c r="H954" s="2" t="str">
        <f>'PFAS Properties'!$B$46</f>
        <v>PFOS</v>
      </c>
      <c r="I954" s="2" t="str">
        <f>'PFAS Properties'!$C$46</f>
        <v>PFSA</v>
      </c>
      <c r="J954" s="2" t="str">
        <f>'PFAS Properties'!$D$46</f>
        <v>C8HF17O3S</v>
      </c>
      <c r="K954" s="25">
        <f>'PFAS Properties'!$P$46</f>
        <v>499.93739999999997</v>
      </c>
      <c r="L954" s="2">
        <f>'PFAS Properties'!$X$46</f>
        <v>0.1</v>
      </c>
      <c r="M954" s="2" t="str">
        <f>'PFAS Properties'!$Y$46</f>
        <v>-</v>
      </c>
      <c r="N954" s="33">
        <v>0</v>
      </c>
      <c r="O954" s="33">
        <v>0</v>
      </c>
      <c r="P954" s="33">
        <v>0</v>
      </c>
      <c r="Q954" s="33">
        <f t="shared" ref="Q954:Q1016" si="450">(10^(AG954-L954))/(1+(10^(AG954-L954)))</f>
        <v>0.99997181696499315</v>
      </c>
      <c r="R954" s="33">
        <v>0</v>
      </c>
      <c r="S954" s="33">
        <f t="shared" ref="S954:S1016" si="451">(1/(1+(10^(AG954-L954))))</f>
        <v>2.8183035006796315E-5</v>
      </c>
      <c r="T954" s="8">
        <f t="shared" si="436"/>
        <v>1</v>
      </c>
      <c r="U954" s="33">
        <f t="shared" si="429"/>
        <v>0</v>
      </c>
      <c r="V954" s="33">
        <f t="shared" si="430"/>
        <v>-0.99997181696499315</v>
      </c>
      <c r="W954" s="33">
        <f t="shared" si="431"/>
        <v>498.93742818303497</v>
      </c>
      <c r="X954" s="33">
        <v>96485</v>
      </c>
      <c r="Y954" s="16">
        <f t="shared" si="432"/>
        <v>-193.37551225856899</v>
      </c>
      <c r="Z954" s="16">
        <v>8</v>
      </c>
      <c r="AA954" s="16">
        <v>17</v>
      </c>
      <c r="AB954" s="8">
        <f t="shared" si="433"/>
        <v>0.29721362229102166</v>
      </c>
      <c r="AC954" s="16">
        <f t="shared" si="438"/>
        <v>64.60808893273439</v>
      </c>
      <c r="AD954" s="20">
        <f>'PFAS Properties'!$W$46</f>
        <v>8</v>
      </c>
      <c r="AE954" s="8">
        <f>'PFAS Properties'!$S$46</f>
        <v>2.0166155475571776</v>
      </c>
      <c r="AF954" s="15">
        <f>'PFAS Properties'!$V$46</f>
        <v>5</v>
      </c>
      <c r="AG954" s="26">
        <v>4.6500000000000004</v>
      </c>
      <c r="AH954" s="1" t="s">
        <v>190</v>
      </c>
      <c r="AI954" s="39">
        <f t="shared" si="440"/>
        <v>24.795180000000002</v>
      </c>
      <c r="AJ954" s="1">
        <v>444</v>
      </c>
      <c r="AK954" s="8">
        <f t="shared" si="441"/>
        <v>2.4795180000000001</v>
      </c>
      <c r="AL954" s="39">
        <f t="shared" si="442"/>
        <v>3.29156</v>
      </c>
      <c r="AM954" s="1">
        <v>122</v>
      </c>
      <c r="AN954" s="8">
        <f t="shared" si="443"/>
        <v>0.329156</v>
      </c>
      <c r="AO954" s="3" t="s">
        <v>93</v>
      </c>
      <c r="AP954" s="3">
        <v>14.5</v>
      </c>
      <c r="AQ954" s="3" t="s">
        <v>661</v>
      </c>
      <c r="AR954" s="4">
        <v>30.1</v>
      </c>
      <c r="AS954" s="4">
        <v>34.1</v>
      </c>
      <c r="AT954" s="4">
        <v>35.799999999999997</v>
      </c>
      <c r="AU954" s="3" t="s">
        <v>661</v>
      </c>
      <c r="AV954" s="16">
        <f t="shared" si="437"/>
        <v>100</v>
      </c>
      <c r="AW954" s="7">
        <v>2.1</v>
      </c>
      <c r="AX954" s="1">
        <f t="shared" si="444"/>
        <v>2.1000000000000001E-2</v>
      </c>
      <c r="AY954" s="1" t="s">
        <v>511</v>
      </c>
      <c r="AZ954" s="1">
        <f t="shared" si="445"/>
        <v>100</v>
      </c>
      <c r="BA954" s="1" t="s">
        <v>55</v>
      </c>
      <c r="BB954" s="1">
        <v>5</v>
      </c>
      <c r="BC954" s="1">
        <v>500</v>
      </c>
      <c r="BD954" s="26">
        <f t="shared" si="446"/>
        <v>43.997530549347147</v>
      </c>
      <c r="BE954" s="16">
        <f t="shared" si="439"/>
        <v>2095.1205023498642</v>
      </c>
      <c r="BF954" s="16">
        <f t="shared" si="434"/>
        <v>3.3212090067775284</v>
      </c>
      <c r="BG954" s="8">
        <f t="shared" si="435"/>
        <v>1.6434283015114477</v>
      </c>
      <c r="BH954" s="13" t="s">
        <v>782</v>
      </c>
      <c r="BI954" s="8">
        <v>88.8</v>
      </c>
      <c r="BJ954" s="13" t="s">
        <v>349</v>
      </c>
      <c r="BK954" s="15">
        <v>0.7</v>
      </c>
      <c r="BL954" s="16">
        <f t="shared" si="447"/>
        <v>88.8</v>
      </c>
      <c r="BM954" s="18">
        <f>'PFAS Properties'!$U$46</f>
        <v>10.39</v>
      </c>
      <c r="BN954" s="8">
        <f t="shared" si="448"/>
        <v>457.13434240771687</v>
      </c>
      <c r="BO954" s="24">
        <f t="shared" si="449"/>
        <v>43.997530549347147</v>
      </c>
      <c r="BP954" s="11"/>
      <c r="BQ954" s="11"/>
    </row>
    <row r="955" spans="1:69" x14ac:dyDescent="0.3">
      <c r="A955" s="20">
        <v>975</v>
      </c>
      <c r="B955" s="2" t="s">
        <v>189</v>
      </c>
      <c r="C955" s="2">
        <v>2021</v>
      </c>
      <c r="D955" s="2" t="s">
        <v>510</v>
      </c>
      <c r="E955" s="41" t="s">
        <v>804</v>
      </c>
      <c r="F955" s="20" t="s">
        <v>29</v>
      </c>
      <c r="G955" s="2" t="s">
        <v>465</v>
      </c>
      <c r="H955" s="2" t="str">
        <f>'PFAS Properties'!$B$46</f>
        <v>PFOS</v>
      </c>
      <c r="I955" s="2" t="str">
        <f>'PFAS Properties'!$C$46</f>
        <v>PFSA</v>
      </c>
      <c r="J955" s="2" t="str">
        <f>'PFAS Properties'!$D$46</f>
        <v>C8HF17O3S</v>
      </c>
      <c r="K955" s="25">
        <f>'PFAS Properties'!$P$46</f>
        <v>499.93739999999997</v>
      </c>
      <c r="L955" s="2">
        <f>'PFAS Properties'!$X$46</f>
        <v>0.1</v>
      </c>
      <c r="M955" s="2" t="str">
        <f>'PFAS Properties'!$Y$46</f>
        <v>-</v>
      </c>
      <c r="N955" s="33">
        <v>0</v>
      </c>
      <c r="O955" s="33">
        <v>0</v>
      </c>
      <c r="P955" s="33">
        <v>0</v>
      </c>
      <c r="Q955" s="33">
        <f t="shared" si="450"/>
        <v>0.99998952882416614</v>
      </c>
      <c r="R955" s="33">
        <v>0</v>
      </c>
      <c r="S955" s="33">
        <f t="shared" si="451"/>
        <v>1.0471175833837499E-5</v>
      </c>
      <c r="T955" s="8">
        <f t="shared" si="436"/>
        <v>1</v>
      </c>
      <c r="U955" s="33">
        <f t="shared" si="429"/>
        <v>0</v>
      </c>
      <c r="V955" s="33">
        <f t="shared" si="430"/>
        <v>-0.99998952882416614</v>
      </c>
      <c r="W955" s="33">
        <f t="shared" si="431"/>
        <v>498.93741047117584</v>
      </c>
      <c r="X955" s="33">
        <v>96485</v>
      </c>
      <c r="Y955" s="16">
        <f t="shared" si="432"/>
        <v>-193.37894425973028</v>
      </c>
      <c r="Z955" s="16">
        <v>8</v>
      </c>
      <c r="AA955" s="16">
        <v>17</v>
      </c>
      <c r="AB955" s="8">
        <f t="shared" si="433"/>
        <v>0.29721362229102166</v>
      </c>
      <c r="AC955" s="16">
        <f t="shared" si="438"/>
        <v>64.60808893273439</v>
      </c>
      <c r="AD955" s="20">
        <f>'PFAS Properties'!$W$46</f>
        <v>8</v>
      </c>
      <c r="AE955" s="8">
        <f>'PFAS Properties'!$S$46</f>
        <v>2.0166155475571776</v>
      </c>
      <c r="AF955" s="15">
        <f>'PFAS Properties'!$V$46</f>
        <v>5</v>
      </c>
      <c r="AG955" s="26">
        <v>5.08</v>
      </c>
      <c r="AH955" s="1" t="s">
        <v>190</v>
      </c>
      <c r="AI955" s="39">
        <f t="shared" si="440"/>
        <v>0</v>
      </c>
      <c r="AJ955" s="1">
        <v>0</v>
      </c>
      <c r="AK955" s="8">
        <f t="shared" si="441"/>
        <v>0</v>
      </c>
      <c r="AL955" s="39">
        <f t="shared" si="442"/>
        <v>35.991320000000002</v>
      </c>
      <c r="AM955" s="1">
        <v>1334</v>
      </c>
      <c r="AN955" s="8">
        <f t="shared" si="443"/>
        <v>3.599132</v>
      </c>
      <c r="AO955" s="3" t="s">
        <v>93</v>
      </c>
      <c r="AP955" s="3">
        <v>9.6</v>
      </c>
      <c r="AQ955" s="3" t="s">
        <v>661</v>
      </c>
      <c r="AR955" s="4">
        <v>41.3</v>
      </c>
      <c r="AS955" s="4">
        <v>15</v>
      </c>
      <c r="AT955" s="4">
        <v>43.8</v>
      </c>
      <c r="AU955" s="3" t="s">
        <v>661</v>
      </c>
      <c r="AV955" s="16">
        <f t="shared" si="437"/>
        <v>100.1</v>
      </c>
      <c r="AW955" s="7">
        <v>3</v>
      </c>
      <c r="AX955" s="1">
        <f t="shared" si="444"/>
        <v>0.03</v>
      </c>
      <c r="AY955" s="1" t="s">
        <v>511</v>
      </c>
      <c r="AZ955" s="1">
        <f t="shared" si="445"/>
        <v>100</v>
      </c>
      <c r="BA955" s="1" t="s">
        <v>55</v>
      </c>
      <c r="BB955" s="1">
        <v>5</v>
      </c>
      <c r="BC955" s="1">
        <v>500</v>
      </c>
      <c r="BD955" s="26">
        <f t="shared" si="446"/>
        <v>67.086324734027073</v>
      </c>
      <c r="BE955" s="16">
        <f t="shared" si="439"/>
        <v>2236.2108244675692</v>
      </c>
      <c r="BF955" s="16">
        <f t="shared" si="434"/>
        <v>3.3495127453623099</v>
      </c>
      <c r="BG955" s="8">
        <f t="shared" si="435"/>
        <v>1.8266340000819723</v>
      </c>
      <c r="BH955" s="13" t="s">
        <v>782</v>
      </c>
      <c r="BI955" s="8">
        <v>135.4</v>
      </c>
      <c r="BJ955" s="13" t="s">
        <v>349</v>
      </c>
      <c r="BK955" s="15">
        <v>0.7</v>
      </c>
      <c r="BL955" s="16">
        <f t="shared" si="447"/>
        <v>135.4</v>
      </c>
      <c r="BM955" s="18">
        <f>'PFAS Properties'!$U$46</f>
        <v>10.39</v>
      </c>
      <c r="BN955" s="8">
        <f t="shared" si="448"/>
        <v>697.02691398654133</v>
      </c>
      <c r="BO955" s="24">
        <f t="shared" si="449"/>
        <v>67.086324734027073</v>
      </c>
      <c r="BP955" s="11"/>
      <c r="BQ955" s="11"/>
    </row>
    <row r="956" spans="1:69" x14ac:dyDescent="0.3">
      <c r="A956" s="20">
        <v>976</v>
      </c>
      <c r="B956" s="2" t="s">
        <v>189</v>
      </c>
      <c r="C956" s="2">
        <v>2021</v>
      </c>
      <c r="D956" s="2" t="s">
        <v>510</v>
      </c>
      <c r="E956" s="41" t="s">
        <v>804</v>
      </c>
      <c r="F956" s="20" t="s">
        <v>29</v>
      </c>
      <c r="G956" s="2" t="s">
        <v>466</v>
      </c>
      <c r="H956" s="2" t="str">
        <f>'PFAS Properties'!$B$46</f>
        <v>PFOS</v>
      </c>
      <c r="I956" s="2" t="str">
        <f>'PFAS Properties'!$C$46</f>
        <v>PFSA</v>
      </c>
      <c r="J956" s="2" t="str">
        <f>'PFAS Properties'!$D$46</f>
        <v>C8HF17O3S</v>
      </c>
      <c r="K956" s="25">
        <f>'PFAS Properties'!$P$46</f>
        <v>499.93739999999997</v>
      </c>
      <c r="L956" s="2">
        <f>'PFAS Properties'!$X$46</f>
        <v>0.1</v>
      </c>
      <c r="M956" s="2" t="str">
        <f>'PFAS Properties'!$Y$46</f>
        <v>-</v>
      </c>
      <c r="N956" s="33">
        <v>0</v>
      </c>
      <c r="O956" s="33">
        <v>0</v>
      </c>
      <c r="P956" s="33">
        <v>0</v>
      </c>
      <c r="Q956" s="33">
        <f t="shared" si="450"/>
        <v>0.99997910747519814</v>
      </c>
      <c r="R956" s="33">
        <v>0</v>
      </c>
      <c r="S956" s="33">
        <f t="shared" si="451"/>
        <v>2.0892524801828004E-5</v>
      </c>
      <c r="T956" s="8">
        <f t="shared" si="436"/>
        <v>1</v>
      </c>
      <c r="U956" s="33">
        <f t="shared" si="429"/>
        <v>0</v>
      </c>
      <c r="V956" s="33">
        <f t="shared" si="430"/>
        <v>-0.99997910747519814</v>
      </c>
      <c r="W956" s="33">
        <f t="shared" si="431"/>
        <v>498.93742089252476</v>
      </c>
      <c r="X956" s="33">
        <v>96485</v>
      </c>
      <c r="Y956" s="16">
        <f t="shared" si="432"/>
        <v>-193.37692493008601</v>
      </c>
      <c r="Z956" s="16">
        <v>8</v>
      </c>
      <c r="AA956" s="16">
        <v>17</v>
      </c>
      <c r="AB956" s="8">
        <f t="shared" si="433"/>
        <v>0.29721362229102166</v>
      </c>
      <c r="AC956" s="16">
        <f t="shared" si="438"/>
        <v>64.60808893273439</v>
      </c>
      <c r="AD956" s="20">
        <f>'PFAS Properties'!$W$46</f>
        <v>8</v>
      </c>
      <c r="AE956" s="8">
        <f>'PFAS Properties'!$S$46</f>
        <v>2.0166155475571776</v>
      </c>
      <c r="AF956" s="15">
        <f>'PFAS Properties'!$V$46</f>
        <v>5</v>
      </c>
      <c r="AG956" s="26">
        <v>4.78</v>
      </c>
      <c r="AH956" s="1" t="s">
        <v>190</v>
      </c>
      <c r="AI956" s="39">
        <f t="shared" si="440"/>
        <v>0</v>
      </c>
      <c r="AJ956" s="1">
        <v>0</v>
      </c>
      <c r="AK956" s="8">
        <f t="shared" si="441"/>
        <v>0</v>
      </c>
      <c r="AL956" s="39">
        <f t="shared" si="442"/>
        <v>25.79288</v>
      </c>
      <c r="AM956" s="1">
        <v>956</v>
      </c>
      <c r="AN956" s="8">
        <f t="shared" si="443"/>
        <v>2.579288</v>
      </c>
      <c r="AO956" s="3" t="s">
        <v>93</v>
      </c>
      <c r="AP956" s="3">
        <v>7</v>
      </c>
      <c r="AQ956" s="3" t="s">
        <v>661</v>
      </c>
      <c r="AR956" s="4">
        <v>40.4</v>
      </c>
      <c r="AS956" s="4">
        <v>38</v>
      </c>
      <c r="AT956" s="4">
        <v>21.6</v>
      </c>
      <c r="AU956" s="3" t="s">
        <v>661</v>
      </c>
      <c r="AV956" s="16">
        <f t="shared" si="437"/>
        <v>100</v>
      </c>
      <c r="AW956" s="7">
        <v>2.9</v>
      </c>
      <c r="AX956" s="1">
        <f t="shared" si="444"/>
        <v>2.8999999999999998E-2</v>
      </c>
      <c r="AY956" s="1" t="s">
        <v>511</v>
      </c>
      <c r="AZ956" s="1">
        <f t="shared" si="445"/>
        <v>100</v>
      </c>
      <c r="BA956" s="1" t="s">
        <v>55</v>
      </c>
      <c r="BB956" s="1">
        <v>5</v>
      </c>
      <c r="BC956" s="1">
        <v>500</v>
      </c>
      <c r="BD956" s="26">
        <f t="shared" si="446"/>
        <v>49.52829457036222</v>
      </c>
      <c r="BE956" s="16">
        <f t="shared" si="439"/>
        <v>1707.8722265642145</v>
      </c>
      <c r="BF956" s="16">
        <f t="shared" si="434"/>
        <v>3.2324553760872852</v>
      </c>
      <c r="BG956" s="8">
        <f t="shared" si="435"/>
        <v>1.694853373986241</v>
      </c>
      <c r="BH956" s="13" t="s">
        <v>782</v>
      </c>
      <c r="BI956" s="8">
        <v>79.099999999999994</v>
      </c>
      <c r="BJ956" s="13" t="s">
        <v>349</v>
      </c>
      <c r="BK956" s="15">
        <v>0.8</v>
      </c>
      <c r="BL956" s="16">
        <f t="shared" si="447"/>
        <v>79.099999999999994</v>
      </c>
      <c r="BM956" s="18">
        <f>'PFAS Properties'!$U$46</f>
        <v>10.39</v>
      </c>
      <c r="BN956" s="8">
        <f t="shared" si="448"/>
        <v>514.59898058606348</v>
      </c>
      <c r="BO956" s="24">
        <f t="shared" si="449"/>
        <v>49.52829457036222</v>
      </c>
      <c r="BP956" s="11"/>
      <c r="BQ956" s="11"/>
    </row>
    <row r="957" spans="1:69" x14ac:dyDescent="0.3">
      <c r="A957" s="20">
        <v>977</v>
      </c>
      <c r="B957" s="2" t="s">
        <v>189</v>
      </c>
      <c r="C957" s="2">
        <v>2021</v>
      </c>
      <c r="D957" s="2" t="s">
        <v>510</v>
      </c>
      <c r="E957" s="41" t="s">
        <v>804</v>
      </c>
      <c r="F957" s="20" t="s">
        <v>29</v>
      </c>
      <c r="G957" s="2" t="s">
        <v>467</v>
      </c>
      <c r="H957" s="2" t="str">
        <f>'PFAS Properties'!$B$46</f>
        <v>PFOS</v>
      </c>
      <c r="I957" s="2" t="str">
        <f>'PFAS Properties'!$C$46</f>
        <v>PFSA</v>
      </c>
      <c r="J957" s="2" t="str">
        <f>'PFAS Properties'!$D$46</f>
        <v>C8HF17O3S</v>
      </c>
      <c r="K957" s="25">
        <f>'PFAS Properties'!$P$46</f>
        <v>499.93739999999997</v>
      </c>
      <c r="L957" s="2">
        <f>'PFAS Properties'!$X$46</f>
        <v>0.1</v>
      </c>
      <c r="M957" s="2" t="str">
        <f>'PFAS Properties'!$Y$46</f>
        <v>-</v>
      </c>
      <c r="N957" s="33">
        <v>0</v>
      </c>
      <c r="O957" s="33">
        <v>0</v>
      </c>
      <c r="P957" s="33">
        <v>0</v>
      </c>
      <c r="Q957" s="33">
        <f t="shared" si="450"/>
        <v>0.99999942456039381</v>
      </c>
      <c r="R957" s="33">
        <v>0</v>
      </c>
      <c r="S957" s="33">
        <f t="shared" si="451"/>
        <v>5.7543960620622459E-7</v>
      </c>
      <c r="T957" s="8">
        <f t="shared" si="436"/>
        <v>1</v>
      </c>
      <c r="U957" s="33">
        <f t="shared" si="429"/>
        <v>0</v>
      </c>
      <c r="V957" s="33">
        <f t="shared" si="430"/>
        <v>-0.99999942456039381</v>
      </c>
      <c r="W957" s="33">
        <f t="shared" si="431"/>
        <v>498.9374005754396</v>
      </c>
      <c r="X957" s="33">
        <v>96485</v>
      </c>
      <c r="Y957" s="16">
        <f t="shared" si="432"/>
        <v>-193.38086174223579</v>
      </c>
      <c r="Z957" s="16">
        <v>8</v>
      </c>
      <c r="AA957" s="16">
        <v>17</v>
      </c>
      <c r="AB957" s="8">
        <f t="shared" si="433"/>
        <v>0.29721362229102166</v>
      </c>
      <c r="AC957" s="16">
        <f t="shared" si="438"/>
        <v>64.60808893273439</v>
      </c>
      <c r="AD957" s="20">
        <f>'PFAS Properties'!$W$46</f>
        <v>8</v>
      </c>
      <c r="AE957" s="8">
        <f>'PFAS Properties'!$S$46</f>
        <v>2.0166155475571776</v>
      </c>
      <c r="AF957" s="15">
        <f>'PFAS Properties'!$V$46</f>
        <v>5</v>
      </c>
      <c r="AG957" s="26">
        <v>6.34</v>
      </c>
      <c r="AH957" s="1" t="s">
        <v>190</v>
      </c>
      <c r="AI957" s="39">
        <f t="shared" si="440"/>
        <v>54.002114999999996</v>
      </c>
      <c r="AJ957" s="1">
        <v>967</v>
      </c>
      <c r="AK957" s="8">
        <f t="shared" si="441"/>
        <v>5.4002114999999993</v>
      </c>
      <c r="AL957" s="39">
        <f t="shared" si="442"/>
        <v>5.0992199999999999</v>
      </c>
      <c r="AM957" s="1">
        <v>189</v>
      </c>
      <c r="AN957" s="8">
        <f t="shared" si="443"/>
        <v>0.50992199999999999</v>
      </c>
      <c r="AO957" s="3" t="s">
        <v>93</v>
      </c>
      <c r="AP957" s="3">
        <v>47</v>
      </c>
      <c r="AQ957" s="3" t="s">
        <v>661</v>
      </c>
      <c r="AR957" s="4">
        <v>32.299999999999997</v>
      </c>
      <c r="AS957" s="4">
        <v>37.1</v>
      </c>
      <c r="AT957" s="4">
        <v>30.6</v>
      </c>
      <c r="AU957" s="3" t="s">
        <v>661</v>
      </c>
      <c r="AV957" s="16">
        <f t="shared" si="437"/>
        <v>100</v>
      </c>
      <c r="AW957" s="7">
        <v>3</v>
      </c>
      <c r="AX957" s="1">
        <f t="shared" si="444"/>
        <v>0.03</v>
      </c>
      <c r="AY957" s="1" t="s">
        <v>511</v>
      </c>
      <c r="AZ957" s="1">
        <f t="shared" si="445"/>
        <v>100</v>
      </c>
      <c r="BA957" s="1" t="s">
        <v>55</v>
      </c>
      <c r="BB957" s="1">
        <v>5</v>
      </c>
      <c r="BC957" s="1">
        <v>500</v>
      </c>
      <c r="BD957" s="26">
        <f t="shared" si="446"/>
        <v>35.627812402700506</v>
      </c>
      <c r="BE957" s="16">
        <f t="shared" si="439"/>
        <v>1187.5937467566837</v>
      </c>
      <c r="BF957" s="16">
        <f t="shared" si="434"/>
        <v>3.0746679021639731</v>
      </c>
      <c r="BG957" s="8">
        <f t="shared" si="435"/>
        <v>1.5517891568836357</v>
      </c>
      <c r="BH957" s="13" t="s">
        <v>782</v>
      </c>
      <c r="BI957" s="8">
        <v>56.9</v>
      </c>
      <c r="BJ957" s="13" t="s">
        <v>349</v>
      </c>
      <c r="BK957" s="15">
        <v>0.8</v>
      </c>
      <c r="BL957" s="16">
        <f t="shared" si="447"/>
        <v>56.9</v>
      </c>
      <c r="BM957" s="18">
        <f>'PFAS Properties'!$U$46</f>
        <v>10.39</v>
      </c>
      <c r="BN957" s="8">
        <f t="shared" si="448"/>
        <v>370.1729708640583</v>
      </c>
      <c r="BO957" s="24">
        <f t="shared" si="449"/>
        <v>35.627812402700506</v>
      </c>
      <c r="BP957" s="11"/>
      <c r="BQ957" s="11"/>
    </row>
    <row r="958" spans="1:69" x14ac:dyDescent="0.3">
      <c r="A958" s="20">
        <v>978</v>
      </c>
      <c r="B958" s="2" t="s">
        <v>189</v>
      </c>
      <c r="C958" s="2">
        <v>2021</v>
      </c>
      <c r="D958" s="2" t="s">
        <v>510</v>
      </c>
      <c r="E958" s="41" t="s">
        <v>804</v>
      </c>
      <c r="F958" s="20" t="s">
        <v>29</v>
      </c>
      <c r="G958" s="2" t="s">
        <v>468</v>
      </c>
      <c r="H958" s="2" t="str">
        <f>'PFAS Properties'!$B$46</f>
        <v>PFOS</v>
      </c>
      <c r="I958" s="2" t="str">
        <f>'PFAS Properties'!$C$46</f>
        <v>PFSA</v>
      </c>
      <c r="J958" s="2" t="str">
        <f>'PFAS Properties'!$D$46</f>
        <v>C8HF17O3S</v>
      </c>
      <c r="K958" s="25">
        <f>'PFAS Properties'!$P$46</f>
        <v>499.93739999999997</v>
      </c>
      <c r="L958" s="2">
        <f>'PFAS Properties'!$X$46</f>
        <v>0.1</v>
      </c>
      <c r="M958" s="2" t="str">
        <f>'PFAS Properties'!$Y$46</f>
        <v>-</v>
      </c>
      <c r="N958" s="33">
        <v>0</v>
      </c>
      <c r="O958" s="33">
        <v>0</v>
      </c>
      <c r="P958" s="33">
        <v>0</v>
      </c>
      <c r="Q958" s="33">
        <f t="shared" si="450"/>
        <v>0.99999938340537831</v>
      </c>
      <c r="R958" s="33">
        <v>0</v>
      </c>
      <c r="S958" s="33">
        <f t="shared" si="451"/>
        <v>6.1659462167231962E-7</v>
      </c>
      <c r="T958" s="8">
        <f t="shared" si="436"/>
        <v>1</v>
      </c>
      <c r="U958" s="33">
        <f t="shared" si="429"/>
        <v>0</v>
      </c>
      <c r="V958" s="33">
        <f t="shared" si="430"/>
        <v>-0.99999938340537831</v>
      </c>
      <c r="W958" s="33">
        <f t="shared" si="431"/>
        <v>498.93740061659463</v>
      </c>
      <c r="X958" s="33">
        <v>96485</v>
      </c>
      <c r="Y958" s="16">
        <f t="shared" si="432"/>
        <v>-193.38085376768777</v>
      </c>
      <c r="Z958" s="16">
        <v>8</v>
      </c>
      <c r="AA958" s="16">
        <v>17</v>
      </c>
      <c r="AB958" s="8">
        <f t="shared" si="433"/>
        <v>0.29721362229102166</v>
      </c>
      <c r="AC958" s="16">
        <f t="shared" si="438"/>
        <v>64.60808893273439</v>
      </c>
      <c r="AD958" s="20">
        <f>'PFAS Properties'!$W$46</f>
        <v>8</v>
      </c>
      <c r="AE958" s="8">
        <f>'PFAS Properties'!$S$46</f>
        <v>2.0166155475571776</v>
      </c>
      <c r="AF958" s="15">
        <f>'PFAS Properties'!$V$46</f>
        <v>5</v>
      </c>
      <c r="AG958" s="26">
        <v>6.31</v>
      </c>
      <c r="AH958" s="1" t="s">
        <v>190</v>
      </c>
      <c r="AI958" s="39">
        <f t="shared" si="440"/>
        <v>83.823345000000003</v>
      </c>
      <c r="AJ958" s="1">
        <v>1501</v>
      </c>
      <c r="AK958" s="8">
        <f t="shared" si="441"/>
        <v>8.3823345000000007</v>
      </c>
      <c r="AL958" s="39">
        <f t="shared" si="442"/>
        <v>8.3907800000000012</v>
      </c>
      <c r="AM958" s="1">
        <v>311</v>
      </c>
      <c r="AN958" s="8">
        <f t="shared" si="443"/>
        <v>0.8390780000000001</v>
      </c>
      <c r="AO958" s="3" t="s">
        <v>93</v>
      </c>
      <c r="AP958" s="3">
        <v>33.799999999999997</v>
      </c>
      <c r="AQ958" s="3" t="s">
        <v>661</v>
      </c>
      <c r="AR958" s="4">
        <v>31.3</v>
      </c>
      <c r="AS958" s="4">
        <v>61.1</v>
      </c>
      <c r="AT958" s="4">
        <v>7.6</v>
      </c>
      <c r="AU958" s="3" t="s">
        <v>661</v>
      </c>
      <c r="AV958" s="16">
        <f t="shared" si="437"/>
        <v>100</v>
      </c>
      <c r="AW958" s="7">
        <v>2.5</v>
      </c>
      <c r="AX958" s="1">
        <f t="shared" si="444"/>
        <v>2.5000000000000001E-2</v>
      </c>
      <c r="AY958" s="1" t="s">
        <v>511</v>
      </c>
      <c r="AZ958" s="1">
        <f t="shared" si="445"/>
        <v>100</v>
      </c>
      <c r="BA958" s="1" t="s">
        <v>55</v>
      </c>
      <c r="BB958" s="1">
        <v>5</v>
      </c>
      <c r="BC958" s="1">
        <v>500</v>
      </c>
      <c r="BD958" s="26">
        <f t="shared" si="446"/>
        <v>24.451016834826838</v>
      </c>
      <c r="BE958" s="16">
        <f t="shared" si="439"/>
        <v>978.04067339307346</v>
      </c>
      <c r="BF958" s="16">
        <f t="shared" si="434"/>
        <v>2.9903569159970793</v>
      </c>
      <c r="BG958" s="8">
        <f t="shared" si="435"/>
        <v>1.3882969246691168</v>
      </c>
      <c r="BH958" s="13" t="s">
        <v>782</v>
      </c>
      <c r="BI958" s="8">
        <v>30.9</v>
      </c>
      <c r="BJ958" s="13" t="s">
        <v>349</v>
      </c>
      <c r="BK958" s="15">
        <v>0.9</v>
      </c>
      <c r="BL958" s="16">
        <f t="shared" si="447"/>
        <v>30.9</v>
      </c>
      <c r="BM958" s="18">
        <f>'PFAS Properties'!$U$46</f>
        <v>10.39</v>
      </c>
      <c r="BN958" s="8">
        <f t="shared" si="448"/>
        <v>254.04606491385087</v>
      </c>
      <c r="BO958" s="24">
        <f t="shared" si="449"/>
        <v>24.451016834826838</v>
      </c>
      <c r="BP958" s="11"/>
      <c r="BQ958" s="11"/>
    </row>
    <row r="959" spans="1:69" x14ac:dyDescent="0.3">
      <c r="A959" s="20">
        <v>979</v>
      </c>
      <c r="B959" s="2" t="s">
        <v>189</v>
      </c>
      <c r="C959" s="2">
        <v>2021</v>
      </c>
      <c r="D959" s="2" t="s">
        <v>510</v>
      </c>
      <c r="E959" s="41" t="s">
        <v>804</v>
      </c>
      <c r="F959" s="20" t="s">
        <v>29</v>
      </c>
      <c r="G959" s="2" t="s">
        <v>469</v>
      </c>
      <c r="H959" s="2" t="str">
        <f>'PFAS Properties'!$B$46</f>
        <v>PFOS</v>
      </c>
      <c r="I959" s="2" t="str">
        <f>'PFAS Properties'!$C$46</f>
        <v>PFSA</v>
      </c>
      <c r="J959" s="2" t="str">
        <f>'PFAS Properties'!$D$46</f>
        <v>C8HF17O3S</v>
      </c>
      <c r="K959" s="25">
        <f>'PFAS Properties'!$P$46</f>
        <v>499.93739999999997</v>
      </c>
      <c r="L959" s="2">
        <f>'PFAS Properties'!$X$46</f>
        <v>0.1</v>
      </c>
      <c r="M959" s="2" t="str">
        <f>'PFAS Properties'!$Y$46</f>
        <v>-</v>
      </c>
      <c r="N959" s="33">
        <v>0</v>
      </c>
      <c r="O959" s="33">
        <v>0</v>
      </c>
      <c r="P959" s="33">
        <v>0</v>
      </c>
      <c r="Q959" s="33">
        <f t="shared" si="450"/>
        <v>0.99997181696499315</v>
      </c>
      <c r="R959" s="33">
        <v>0</v>
      </c>
      <c r="S959" s="33">
        <f t="shared" si="451"/>
        <v>2.8183035006796315E-5</v>
      </c>
      <c r="T959" s="8">
        <f t="shared" si="436"/>
        <v>1</v>
      </c>
      <c r="U959" s="33">
        <f t="shared" si="429"/>
        <v>0</v>
      </c>
      <c r="V959" s="33">
        <f t="shared" si="430"/>
        <v>-0.99997181696499315</v>
      </c>
      <c r="W959" s="33">
        <f t="shared" si="431"/>
        <v>498.93742818303497</v>
      </c>
      <c r="X959" s="33">
        <v>96485</v>
      </c>
      <c r="Y959" s="16">
        <f t="shared" si="432"/>
        <v>-193.37551225856899</v>
      </c>
      <c r="Z959" s="16">
        <v>8</v>
      </c>
      <c r="AA959" s="16">
        <v>17</v>
      </c>
      <c r="AB959" s="8">
        <f t="shared" si="433"/>
        <v>0.29721362229102166</v>
      </c>
      <c r="AC959" s="16">
        <f t="shared" si="438"/>
        <v>64.60808893273439</v>
      </c>
      <c r="AD959" s="20">
        <f>'PFAS Properties'!$W$46</f>
        <v>8</v>
      </c>
      <c r="AE959" s="8">
        <f>'PFAS Properties'!$S$46</f>
        <v>2.0166155475571776</v>
      </c>
      <c r="AF959" s="15">
        <f>'PFAS Properties'!$V$46</f>
        <v>5</v>
      </c>
      <c r="AG959" s="26">
        <v>4.6500000000000004</v>
      </c>
      <c r="AH959" s="1" t="s">
        <v>190</v>
      </c>
      <c r="AI959" s="39">
        <f t="shared" si="440"/>
        <v>52.605989999999998</v>
      </c>
      <c r="AJ959" s="1">
        <v>942</v>
      </c>
      <c r="AK959" s="8">
        <f t="shared" si="441"/>
        <v>5.260599</v>
      </c>
      <c r="AL959" s="39">
        <f t="shared" si="442"/>
        <v>4.2088799999999997</v>
      </c>
      <c r="AM959" s="1">
        <v>156</v>
      </c>
      <c r="AN959" s="8">
        <f t="shared" si="443"/>
        <v>0.42088799999999998</v>
      </c>
      <c r="AO959" s="3" t="s">
        <v>93</v>
      </c>
      <c r="AP959" s="3">
        <v>49.2</v>
      </c>
      <c r="AQ959" s="3" t="s">
        <v>661</v>
      </c>
      <c r="AR959" s="4">
        <v>49.4</v>
      </c>
      <c r="AS959" s="4">
        <v>47.4</v>
      </c>
      <c r="AT959" s="4">
        <v>3.2</v>
      </c>
      <c r="AU959" s="3" t="s">
        <v>661</v>
      </c>
      <c r="AV959" s="16">
        <f t="shared" si="437"/>
        <v>100</v>
      </c>
      <c r="AW959" s="7">
        <v>2.6</v>
      </c>
      <c r="AX959" s="1">
        <f t="shared" si="444"/>
        <v>2.6000000000000002E-2</v>
      </c>
      <c r="AY959" s="1" t="s">
        <v>511</v>
      </c>
      <c r="AZ959" s="1">
        <f t="shared" si="445"/>
        <v>100</v>
      </c>
      <c r="BA959" s="1" t="s">
        <v>55</v>
      </c>
      <c r="BB959" s="1">
        <v>5</v>
      </c>
      <c r="BC959" s="1">
        <v>500</v>
      </c>
      <c r="BD959" s="26">
        <f t="shared" si="446"/>
        <v>35.189508910927394</v>
      </c>
      <c r="BE959" s="16">
        <f t="shared" si="439"/>
        <v>1353.4426504202843</v>
      </c>
      <c r="BF959" s="16">
        <f t="shared" si="434"/>
        <v>3.1314398580868077</v>
      </c>
      <c r="BG959" s="8">
        <f t="shared" si="435"/>
        <v>1.5464132060576257</v>
      </c>
      <c r="BH959" s="13" t="s">
        <v>782</v>
      </c>
      <c r="BI959" s="8">
        <v>56.2</v>
      </c>
      <c r="BJ959" s="13" t="s">
        <v>349</v>
      </c>
      <c r="BK959" s="15">
        <v>0.8</v>
      </c>
      <c r="BL959" s="16">
        <f t="shared" si="447"/>
        <v>56.2</v>
      </c>
      <c r="BM959" s="18">
        <f>'PFAS Properties'!$U$46</f>
        <v>10.39</v>
      </c>
      <c r="BN959" s="8">
        <f t="shared" si="448"/>
        <v>365.61899758453563</v>
      </c>
      <c r="BO959" s="24">
        <f t="shared" si="449"/>
        <v>35.189508910927394</v>
      </c>
      <c r="BP959" s="11"/>
      <c r="BQ959" s="11"/>
    </row>
    <row r="960" spans="1:69" x14ac:dyDescent="0.3">
      <c r="A960" s="20">
        <v>981</v>
      </c>
      <c r="B960" s="2" t="s">
        <v>189</v>
      </c>
      <c r="C960" s="2">
        <v>2021</v>
      </c>
      <c r="D960" s="2" t="s">
        <v>510</v>
      </c>
      <c r="E960" s="41" t="s">
        <v>804</v>
      </c>
      <c r="F960" s="20" t="s">
        <v>29</v>
      </c>
      <c r="G960" s="2" t="s">
        <v>471</v>
      </c>
      <c r="H960" s="2" t="str">
        <f>'PFAS Properties'!$B$46</f>
        <v>PFOS</v>
      </c>
      <c r="I960" s="2" t="str">
        <f>'PFAS Properties'!$C$46</f>
        <v>PFSA</v>
      </c>
      <c r="J960" s="2" t="str">
        <f>'PFAS Properties'!$D$46</f>
        <v>C8HF17O3S</v>
      </c>
      <c r="K960" s="25">
        <f>'PFAS Properties'!$P$46</f>
        <v>499.93739999999997</v>
      </c>
      <c r="L960" s="2">
        <f>'PFAS Properties'!$X$46</f>
        <v>0.1</v>
      </c>
      <c r="M960" s="2" t="str">
        <f>'PFAS Properties'!$Y$46</f>
        <v>-</v>
      </c>
      <c r="N960" s="33">
        <v>0</v>
      </c>
      <c r="O960" s="33">
        <v>0</v>
      </c>
      <c r="P960" s="33">
        <v>0</v>
      </c>
      <c r="Q960" s="33">
        <f t="shared" si="450"/>
        <v>0.99996688798429367</v>
      </c>
      <c r="R960" s="33">
        <v>0</v>
      </c>
      <c r="S960" s="33">
        <f t="shared" si="451"/>
        <v>3.3112015706369511E-5</v>
      </c>
      <c r="T960" s="8">
        <f t="shared" si="436"/>
        <v>1</v>
      </c>
      <c r="U960" s="33">
        <f t="shared" ref="U960:U1022" si="452">((1*N960)+(1*O960)+(1*P960))</f>
        <v>0</v>
      </c>
      <c r="V960" s="33">
        <f t="shared" ref="V960:V1022" si="453">-((1*O960)+(2*P960)+(1*Q960)+(2*R960))</f>
        <v>-0.99996688798429367</v>
      </c>
      <c r="W960" s="33">
        <f t="shared" ref="W960:W1022" si="454">(N960*(K960+1))+(O960*K960)+(P960*(K960-1))+(Q960*(K960-1))+(R960*(K960-2))+(S960*K960)</f>
        <v>498.9374331120157</v>
      </c>
      <c r="X960" s="33">
        <v>96485</v>
      </c>
      <c r="Y960" s="16">
        <f t="shared" ref="Y960:Y1022" si="455">((V960+U960)/W960)*X960</f>
        <v>-193.37455717719939</v>
      </c>
      <c r="Z960" s="16">
        <v>8</v>
      </c>
      <c r="AA960" s="16">
        <v>17</v>
      </c>
      <c r="AB960" s="8">
        <f t="shared" ref="AB960:AB1022" si="456">(Z960/AA960)*(12/19)</f>
        <v>0.29721362229102166</v>
      </c>
      <c r="AC960" s="16">
        <f t="shared" si="438"/>
        <v>64.60808893273439</v>
      </c>
      <c r="AD960" s="20">
        <f>'PFAS Properties'!$W$46</f>
        <v>8</v>
      </c>
      <c r="AE960" s="8">
        <f>'PFAS Properties'!$S$46</f>
        <v>2.0166155475571776</v>
      </c>
      <c r="AF960" s="15">
        <f>'PFAS Properties'!$V$46</f>
        <v>5</v>
      </c>
      <c r="AG960" s="26">
        <v>4.58</v>
      </c>
      <c r="AH960" s="1" t="s">
        <v>190</v>
      </c>
      <c r="AI960" s="39">
        <f t="shared" si="440"/>
        <v>75.223214999999996</v>
      </c>
      <c r="AJ960" s="1">
        <v>1347</v>
      </c>
      <c r="AK960" s="8">
        <f t="shared" si="441"/>
        <v>7.5223214999999994</v>
      </c>
      <c r="AL960" s="39">
        <f t="shared" si="442"/>
        <v>9.0113199999999996</v>
      </c>
      <c r="AM960" s="1">
        <v>334</v>
      </c>
      <c r="AN960" s="8">
        <f t="shared" si="443"/>
        <v>0.90113199999999993</v>
      </c>
      <c r="AO960" s="3" t="s">
        <v>93</v>
      </c>
      <c r="AP960" s="3">
        <v>20.5</v>
      </c>
      <c r="AQ960" s="3" t="s">
        <v>661</v>
      </c>
      <c r="AR960" s="4">
        <v>28</v>
      </c>
      <c r="AS960" s="4">
        <v>37</v>
      </c>
      <c r="AT960" s="4">
        <v>35</v>
      </c>
      <c r="AU960" s="3" t="s">
        <v>661</v>
      </c>
      <c r="AV960" s="16">
        <f t="shared" si="437"/>
        <v>100</v>
      </c>
      <c r="AW960" s="7">
        <v>1.7</v>
      </c>
      <c r="AX960" s="1">
        <f t="shared" si="444"/>
        <v>1.7000000000000001E-2</v>
      </c>
      <c r="AY960" s="1" t="s">
        <v>511</v>
      </c>
      <c r="AZ960" s="1">
        <f t="shared" si="445"/>
        <v>100</v>
      </c>
      <c r="BA960" s="1" t="s">
        <v>55</v>
      </c>
      <c r="BB960" s="1">
        <v>5</v>
      </c>
      <c r="BC960" s="1">
        <v>500</v>
      </c>
      <c r="BD960" s="26">
        <f t="shared" si="446"/>
        <v>43.016356978304479</v>
      </c>
      <c r="BE960" s="16">
        <f t="shared" si="439"/>
        <v>2530.3739399002634</v>
      </c>
      <c r="BF960" s="16">
        <f t="shared" ref="BF960:BF1022" si="457">LOG(BE960)</f>
        <v>3.4031847061698408</v>
      </c>
      <c r="BG960" s="8">
        <f t="shared" si="435"/>
        <v>1.6336336275481149</v>
      </c>
      <c r="BH960" s="13" t="s">
        <v>782</v>
      </c>
      <c r="BI960" s="8">
        <v>68.7</v>
      </c>
      <c r="BJ960" s="13" t="s">
        <v>349</v>
      </c>
      <c r="BK960" s="15">
        <v>0.8</v>
      </c>
      <c r="BL960" s="16">
        <f t="shared" si="447"/>
        <v>68.7</v>
      </c>
      <c r="BM960" s="18">
        <f>'PFAS Properties'!$U$46</f>
        <v>10.39</v>
      </c>
      <c r="BN960" s="8">
        <f t="shared" si="448"/>
        <v>446.93994900458358</v>
      </c>
      <c r="BO960" s="24">
        <f t="shared" si="449"/>
        <v>43.016356978304479</v>
      </c>
      <c r="BP960" s="11"/>
      <c r="BQ960" s="11"/>
    </row>
    <row r="961" spans="1:69" x14ac:dyDescent="0.3">
      <c r="A961" s="20">
        <v>982</v>
      </c>
      <c r="B961" s="2" t="s">
        <v>189</v>
      </c>
      <c r="C961" s="2">
        <v>2021</v>
      </c>
      <c r="D961" s="2" t="s">
        <v>510</v>
      </c>
      <c r="E961" s="41" t="s">
        <v>804</v>
      </c>
      <c r="F961" s="20" t="s">
        <v>29</v>
      </c>
      <c r="G961" s="2" t="s">
        <v>472</v>
      </c>
      <c r="H961" s="2" t="str">
        <f>'PFAS Properties'!$B$46</f>
        <v>PFOS</v>
      </c>
      <c r="I961" s="2" t="str">
        <f>'PFAS Properties'!$C$46</f>
        <v>PFSA</v>
      </c>
      <c r="J961" s="2" t="str">
        <f>'PFAS Properties'!$D$46</f>
        <v>C8HF17O3S</v>
      </c>
      <c r="K961" s="25">
        <f>'PFAS Properties'!$P$46</f>
        <v>499.93739999999997</v>
      </c>
      <c r="L961" s="2">
        <f>'PFAS Properties'!$X$46</f>
        <v>0.1</v>
      </c>
      <c r="M961" s="2" t="str">
        <f>'PFAS Properties'!$Y$46</f>
        <v>-</v>
      </c>
      <c r="N961" s="33">
        <v>0</v>
      </c>
      <c r="O961" s="33">
        <v>0</v>
      </c>
      <c r="P961" s="33">
        <v>0</v>
      </c>
      <c r="Q961" s="33">
        <f t="shared" si="450"/>
        <v>0.99999563486073217</v>
      </c>
      <c r="R961" s="33">
        <v>0</v>
      </c>
      <c r="S961" s="33">
        <f t="shared" si="451"/>
        <v>4.3651392678776466E-6</v>
      </c>
      <c r="T961" s="8">
        <f t="shared" si="436"/>
        <v>1</v>
      </c>
      <c r="U961" s="33">
        <f t="shared" si="452"/>
        <v>0</v>
      </c>
      <c r="V961" s="33">
        <f t="shared" si="453"/>
        <v>-0.99999563486073217</v>
      </c>
      <c r="W961" s="33">
        <f t="shared" si="454"/>
        <v>498.93740436513929</v>
      </c>
      <c r="X961" s="33">
        <v>96485</v>
      </c>
      <c r="Y961" s="16">
        <f t="shared" si="455"/>
        <v>-193.38012741760102</v>
      </c>
      <c r="Z961" s="16">
        <v>8</v>
      </c>
      <c r="AA961" s="16">
        <v>17</v>
      </c>
      <c r="AB961" s="8">
        <f t="shared" si="456"/>
        <v>0.29721362229102166</v>
      </c>
      <c r="AC961" s="16">
        <f t="shared" si="438"/>
        <v>64.60808893273439</v>
      </c>
      <c r="AD961" s="20">
        <f>'PFAS Properties'!$W$46</f>
        <v>8</v>
      </c>
      <c r="AE961" s="8">
        <f>'PFAS Properties'!$S$46</f>
        <v>2.0166155475571776</v>
      </c>
      <c r="AF961" s="15">
        <f>'PFAS Properties'!$V$46</f>
        <v>5</v>
      </c>
      <c r="AG961" s="26">
        <v>5.46</v>
      </c>
      <c r="AH961" s="1" t="s">
        <v>190</v>
      </c>
      <c r="AI961" s="39">
        <f t="shared" si="440"/>
        <v>21.612015</v>
      </c>
      <c r="AJ961" s="1">
        <v>387</v>
      </c>
      <c r="AK961" s="8">
        <f t="shared" si="441"/>
        <v>2.1612014999999998</v>
      </c>
      <c r="AL961" s="39">
        <f t="shared" si="442"/>
        <v>3.9120999999999997</v>
      </c>
      <c r="AM961" s="1">
        <v>145</v>
      </c>
      <c r="AN961" s="8">
        <f t="shared" si="443"/>
        <v>0.39120999999999995</v>
      </c>
      <c r="AO961" s="3" t="s">
        <v>93</v>
      </c>
      <c r="AP961" s="3">
        <v>34.5</v>
      </c>
      <c r="AQ961" s="3" t="s">
        <v>661</v>
      </c>
      <c r="AR961" s="4">
        <v>46.8</v>
      </c>
      <c r="AS961" s="4">
        <v>34.299999999999997</v>
      </c>
      <c r="AT961" s="4">
        <v>18.899999999999999</v>
      </c>
      <c r="AU961" s="3" t="s">
        <v>661</v>
      </c>
      <c r="AV961" s="16">
        <f t="shared" si="437"/>
        <v>100</v>
      </c>
      <c r="AW961" s="7">
        <v>1.3</v>
      </c>
      <c r="AX961" s="1">
        <f t="shared" si="444"/>
        <v>1.3000000000000001E-2</v>
      </c>
      <c r="AY961" s="1" t="s">
        <v>511</v>
      </c>
      <c r="AZ961" s="1">
        <f t="shared" si="445"/>
        <v>100</v>
      </c>
      <c r="BA961" s="1" t="s">
        <v>55</v>
      </c>
      <c r="BB961" s="1">
        <v>5</v>
      </c>
      <c r="BC961" s="1">
        <v>500</v>
      </c>
      <c r="BD961" s="26">
        <f t="shared" si="446"/>
        <v>31.709931927457401</v>
      </c>
      <c r="BE961" s="16">
        <f t="shared" si="439"/>
        <v>2439.2255328813385</v>
      </c>
      <c r="BF961" s="16">
        <f t="shared" si="457"/>
        <v>3.3872519574098972</v>
      </c>
      <c r="BG961" s="8">
        <f t="shared" si="435"/>
        <v>1.5011953097167339</v>
      </c>
      <c r="BH961" s="13" t="s">
        <v>782</v>
      </c>
      <c r="BI961" s="8">
        <v>64</v>
      </c>
      <c r="BJ961" s="13" t="s">
        <v>349</v>
      </c>
      <c r="BK961" s="15">
        <v>0.7</v>
      </c>
      <c r="BL961" s="16">
        <f t="shared" si="447"/>
        <v>64</v>
      </c>
      <c r="BM961" s="18">
        <f>'PFAS Properties'!$U$46</f>
        <v>10.39</v>
      </c>
      <c r="BN961" s="8">
        <f t="shared" si="448"/>
        <v>329.46619272628243</v>
      </c>
      <c r="BO961" s="24">
        <f t="shared" si="449"/>
        <v>31.709931927457401</v>
      </c>
      <c r="BP961" s="11"/>
      <c r="BQ961" s="11"/>
    </row>
    <row r="962" spans="1:69" x14ac:dyDescent="0.3">
      <c r="A962" s="20">
        <v>983</v>
      </c>
      <c r="B962" s="2" t="s">
        <v>189</v>
      </c>
      <c r="C962" s="2">
        <v>2021</v>
      </c>
      <c r="D962" s="2" t="s">
        <v>510</v>
      </c>
      <c r="E962" s="41" t="s">
        <v>804</v>
      </c>
      <c r="F962" s="20" t="s">
        <v>29</v>
      </c>
      <c r="G962" s="2" t="s">
        <v>473</v>
      </c>
      <c r="H962" s="2" t="str">
        <f>'PFAS Properties'!$B$46</f>
        <v>PFOS</v>
      </c>
      <c r="I962" s="2" t="str">
        <f>'PFAS Properties'!$C$46</f>
        <v>PFSA</v>
      </c>
      <c r="J962" s="2" t="str">
        <f>'PFAS Properties'!$D$46</f>
        <v>C8HF17O3S</v>
      </c>
      <c r="K962" s="25">
        <f>'PFAS Properties'!$P$46</f>
        <v>499.93739999999997</v>
      </c>
      <c r="L962" s="2">
        <f>'PFAS Properties'!$X$46</f>
        <v>0.1</v>
      </c>
      <c r="M962" s="2" t="str">
        <f>'PFAS Properties'!$Y$46</f>
        <v>-</v>
      </c>
      <c r="N962" s="33">
        <v>0</v>
      </c>
      <c r="O962" s="33">
        <v>0</v>
      </c>
      <c r="P962" s="33">
        <v>0</v>
      </c>
      <c r="Q962" s="33">
        <f t="shared" si="450"/>
        <v>0.99997910747519814</v>
      </c>
      <c r="R962" s="33">
        <v>0</v>
      </c>
      <c r="S962" s="33">
        <f t="shared" si="451"/>
        <v>2.0892524801828004E-5</v>
      </c>
      <c r="T962" s="8">
        <f t="shared" si="436"/>
        <v>1</v>
      </c>
      <c r="U962" s="33">
        <f t="shared" si="452"/>
        <v>0</v>
      </c>
      <c r="V962" s="33">
        <f t="shared" si="453"/>
        <v>-0.99997910747519814</v>
      </c>
      <c r="W962" s="33">
        <f t="shared" si="454"/>
        <v>498.93742089252476</v>
      </c>
      <c r="X962" s="33">
        <v>96485</v>
      </c>
      <c r="Y962" s="16">
        <f t="shared" si="455"/>
        <v>-193.37692493008601</v>
      </c>
      <c r="Z962" s="16">
        <v>8</v>
      </c>
      <c r="AA962" s="16">
        <v>17</v>
      </c>
      <c r="AB962" s="8">
        <f t="shared" si="456"/>
        <v>0.29721362229102166</v>
      </c>
      <c r="AC962" s="16">
        <f t="shared" si="438"/>
        <v>64.60808893273439</v>
      </c>
      <c r="AD962" s="20">
        <f>'PFAS Properties'!$W$46</f>
        <v>8</v>
      </c>
      <c r="AE962" s="8">
        <f>'PFAS Properties'!$S$46</f>
        <v>2.0166155475571776</v>
      </c>
      <c r="AF962" s="15">
        <f>'PFAS Properties'!$V$46</f>
        <v>5</v>
      </c>
      <c r="AG962" s="26">
        <v>4.78</v>
      </c>
      <c r="AH962" s="1" t="s">
        <v>190</v>
      </c>
      <c r="AI962" s="39">
        <f t="shared" si="440"/>
        <v>21.388634999999997</v>
      </c>
      <c r="AJ962" s="1">
        <v>383</v>
      </c>
      <c r="AK962" s="8">
        <f t="shared" si="441"/>
        <v>2.1388634999999998</v>
      </c>
      <c r="AL962" s="39">
        <f t="shared" si="442"/>
        <v>3.9120999999999997</v>
      </c>
      <c r="AM962" s="1">
        <v>145</v>
      </c>
      <c r="AN962" s="8">
        <f t="shared" si="443"/>
        <v>0.39120999999999995</v>
      </c>
      <c r="AO962" s="3" t="s">
        <v>93</v>
      </c>
      <c r="AP962" s="3">
        <v>12.1</v>
      </c>
      <c r="AQ962" s="3" t="s">
        <v>661</v>
      </c>
      <c r="AR962" s="4">
        <v>36.9</v>
      </c>
      <c r="AS962" s="4">
        <v>20.5</v>
      </c>
      <c r="AT962" s="4">
        <v>42.6</v>
      </c>
      <c r="AU962" s="3" t="s">
        <v>661</v>
      </c>
      <c r="AV962" s="16">
        <f t="shared" si="437"/>
        <v>100</v>
      </c>
      <c r="AW962" s="7">
        <v>3.5</v>
      </c>
      <c r="AX962" s="1">
        <f t="shared" si="444"/>
        <v>3.5000000000000003E-2</v>
      </c>
      <c r="AY962" s="1" t="s">
        <v>511</v>
      </c>
      <c r="AZ962" s="1">
        <f t="shared" si="445"/>
        <v>100</v>
      </c>
      <c r="BA962" s="1" t="s">
        <v>55</v>
      </c>
      <c r="BB962" s="1">
        <v>5</v>
      </c>
      <c r="BC962" s="1">
        <v>500</v>
      </c>
      <c r="BD962" s="26">
        <f t="shared" si="446"/>
        <v>62.677399323555726</v>
      </c>
      <c r="BE962" s="16">
        <f t="shared" si="439"/>
        <v>1790.7828378158777</v>
      </c>
      <c r="BF962" s="16">
        <f t="shared" si="457"/>
        <v>3.2530429236176075</v>
      </c>
      <c r="BG962" s="8">
        <f t="shared" si="435"/>
        <v>1.7971109679678832</v>
      </c>
      <c r="BH962" s="13" t="s">
        <v>782</v>
      </c>
      <c r="BI962" s="8">
        <v>100.1</v>
      </c>
      <c r="BJ962" s="13" t="s">
        <v>349</v>
      </c>
      <c r="BK962" s="15">
        <v>0.8</v>
      </c>
      <c r="BL962" s="16">
        <f t="shared" si="447"/>
        <v>100.1</v>
      </c>
      <c r="BM962" s="18">
        <f>'PFAS Properties'!$U$46</f>
        <v>10.39</v>
      </c>
      <c r="BN962" s="8">
        <f t="shared" si="448"/>
        <v>651.21817897174401</v>
      </c>
      <c r="BO962" s="24">
        <f t="shared" si="449"/>
        <v>62.677399323555726</v>
      </c>
      <c r="BP962" s="11"/>
      <c r="BQ962" s="11"/>
    </row>
    <row r="963" spans="1:69" x14ac:dyDescent="0.3">
      <c r="A963" s="20">
        <v>984</v>
      </c>
      <c r="B963" s="2" t="s">
        <v>189</v>
      </c>
      <c r="C963" s="2">
        <v>2021</v>
      </c>
      <c r="D963" s="2" t="s">
        <v>510</v>
      </c>
      <c r="E963" s="41" t="s">
        <v>804</v>
      </c>
      <c r="F963" s="20" t="s">
        <v>29</v>
      </c>
      <c r="G963" s="2" t="s">
        <v>474</v>
      </c>
      <c r="H963" s="2" t="str">
        <f>'PFAS Properties'!$B$46</f>
        <v>PFOS</v>
      </c>
      <c r="I963" s="2" t="str">
        <f>'PFAS Properties'!$C$46</f>
        <v>PFSA</v>
      </c>
      <c r="J963" s="2" t="str">
        <f>'PFAS Properties'!$D$46</f>
        <v>C8HF17O3S</v>
      </c>
      <c r="K963" s="25">
        <f>'PFAS Properties'!$P$46</f>
        <v>499.93739999999997</v>
      </c>
      <c r="L963" s="2">
        <f>'PFAS Properties'!$X$46</f>
        <v>0.1</v>
      </c>
      <c r="M963" s="2" t="str">
        <f>'PFAS Properties'!$Y$46</f>
        <v>-</v>
      </c>
      <c r="N963" s="33">
        <v>0</v>
      </c>
      <c r="O963" s="33">
        <v>0</v>
      </c>
      <c r="P963" s="33">
        <v>0</v>
      </c>
      <c r="Q963" s="33">
        <f t="shared" si="450"/>
        <v>0.99998094575589147</v>
      </c>
      <c r="R963" s="33">
        <v>0</v>
      </c>
      <c r="S963" s="33">
        <f t="shared" si="451"/>
        <v>1.9054244108495825E-5</v>
      </c>
      <c r="T963" s="8">
        <f t="shared" si="436"/>
        <v>1</v>
      </c>
      <c r="U963" s="33">
        <f t="shared" si="452"/>
        <v>0</v>
      </c>
      <c r="V963" s="33">
        <f t="shared" si="453"/>
        <v>-0.99998094575589147</v>
      </c>
      <c r="W963" s="33">
        <f t="shared" si="454"/>
        <v>498.93741905424406</v>
      </c>
      <c r="X963" s="33">
        <v>96485</v>
      </c>
      <c r="Y963" s="16">
        <f t="shared" si="455"/>
        <v>-193.37728113105828</v>
      </c>
      <c r="Z963" s="16">
        <v>8</v>
      </c>
      <c r="AA963" s="16">
        <v>17</v>
      </c>
      <c r="AB963" s="8">
        <f t="shared" si="456"/>
        <v>0.29721362229102166</v>
      </c>
      <c r="AC963" s="16">
        <f t="shared" si="438"/>
        <v>64.60808893273439</v>
      </c>
      <c r="AD963" s="20">
        <f>'PFAS Properties'!$W$46</f>
        <v>8</v>
      </c>
      <c r="AE963" s="8">
        <f>'PFAS Properties'!$S$46</f>
        <v>2.0166155475571776</v>
      </c>
      <c r="AF963" s="15">
        <f>'PFAS Properties'!$V$46</f>
        <v>5</v>
      </c>
      <c r="AG963" s="26">
        <v>4.82</v>
      </c>
      <c r="AH963" s="1" t="s">
        <v>190</v>
      </c>
      <c r="AI963" s="39">
        <f t="shared" si="440"/>
        <v>10.778084999999999</v>
      </c>
      <c r="AJ963" s="1">
        <v>193</v>
      </c>
      <c r="AK963" s="8">
        <f t="shared" si="441"/>
        <v>1.0778084999999999</v>
      </c>
      <c r="AL963" s="39">
        <f t="shared" si="442"/>
        <v>1.51088</v>
      </c>
      <c r="AM963" s="1">
        <v>56</v>
      </c>
      <c r="AN963" s="8">
        <f t="shared" si="443"/>
        <v>0.151088</v>
      </c>
      <c r="AO963" s="3" t="s">
        <v>93</v>
      </c>
      <c r="AP963" s="3">
        <v>11.8</v>
      </c>
      <c r="AQ963" s="3" t="s">
        <v>661</v>
      </c>
      <c r="AR963" s="4">
        <v>36.1</v>
      </c>
      <c r="AS963" s="4">
        <v>38</v>
      </c>
      <c r="AT963" s="4">
        <v>25.9</v>
      </c>
      <c r="AU963" s="3" t="s">
        <v>661</v>
      </c>
      <c r="AV963" s="16">
        <f t="shared" si="437"/>
        <v>100</v>
      </c>
      <c r="AW963" s="7">
        <v>1.5</v>
      </c>
      <c r="AX963" s="1">
        <f t="shared" si="444"/>
        <v>1.4999999999999999E-2</v>
      </c>
      <c r="AY963" s="1" t="s">
        <v>511</v>
      </c>
      <c r="AZ963" s="1">
        <f t="shared" si="445"/>
        <v>100</v>
      </c>
      <c r="BA963" s="1" t="s">
        <v>55</v>
      </c>
      <c r="BB963" s="1">
        <v>5</v>
      </c>
      <c r="BC963" s="1">
        <v>500</v>
      </c>
      <c r="BD963" s="26">
        <f t="shared" si="446"/>
        <v>53.786099919015356</v>
      </c>
      <c r="BE963" s="16">
        <f t="shared" si="439"/>
        <v>3585.7399946010237</v>
      </c>
      <c r="BF963" s="16">
        <f t="shared" si="457"/>
        <v>3.5545787952641255</v>
      </c>
      <c r="BG963" s="8">
        <f t="shared" si="435"/>
        <v>1.7306700543198068</v>
      </c>
      <c r="BH963" s="13" t="s">
        <v>782</v>
      </c>
      <c r="BI963" s="8">
        <v>85.9</v>
      </c>
      <c r="BJ963" s="13" t="s">
        <v>349</v>
      </c>
      <c r="BK963" s="15">
        <v>0.8</v>
      </c>
      <c r="BL963" s="16">
        <f t="shared" si="447"/>
        <v>85.9</v>
      </c>
      <c r="BM963" s="18">
        <f>'PFAS Properties'!$U$46</f>
        <v>10.39</v>
      </c>
      <c r="BN963" s="8">
        <f t="shared" si="448"/>
        <v>558.83757815856961</v>
      </c>
      <c r="BO963" s="24">
        <f t="shared" si="449"/>
        <v>53.786099919015356</v>
      </c>
      <c r="BP963" s="11"/>
      <c r="BQ963" s="11"/>
    </row>
    <row r="964" spans="1:69" x14ac:dyDescent="0.3">
      <c r="A964" s="20">
        <v>985</v>
      </c>
      <c r="B964" s="2" t="s">
        <v>189</v>
      </c>
      <c r="C964" s="2">
        <v>2021</v>
      </c>
      <c r="D964" s="2" t="s">
        <v>510</v>
      </c>
      <c r="E964" s="41" t="s">
        <v>804</v>
      </c>
      <c r="F964" s="20" t="s">
        <v>29</v>
      </c>
      <c r="G964" s="2" t="s">
        <v>475</v>
      </c>
      <c r="H964" s="2" t="str">
        <f>'PFAS Properties'!$B$46</f>
        <v>PFOS</v>
      </c>
      <c r="I964" s="2" t="str">
        <f>'PFAS Properties'!$C$46</f>
        <v>PFSA</v>
      </c>
      <c r="J964" s="2" t="str">
        <f>'PFAS Properties'!$D$46</f>
        <v>C8HF17O3S</v>
      </c>
      <c r="K964" s="25">
        <f>'PFAS Properties'!$P$46</f>
        <v>499.93739999999997</v>
      </c>
      <c r="L964" s="2">
        <f>'PFAS Properties'!$X$46</f>
        <v>0.1</v>
      </c>
      <c r="M964" s="2" t="str">
        <f>'PFAS Properties'!$Y$46</f>
        <v>-</v>
      </c>
      <c r="N964" s="33">
        <v>0</v>
      </c>
      <c r="O964" s="33">
        <v>0</v>
      </c>
      <c r="P964" s="33">
        <v>0</v>
      </c>
      <c r="Q964" s="33">
        <f t="shared" si="450"/>
        <v>0.99999573422300891</v>
      </c>
      <c r="R964" s="33">
        <v>0</v>
      </c>
      <c r="S964" s="33">
        <f t="shared" si="451"/>
        <v>4.2657769910849565E-6</v>
      </c>
      <c r="T964" s="8">
        <f t="shared" si="436"/>
        <v>1</v>
      </c>
      <c r="U964" s="33">
        <f t="shared" si="452"/>
        <v>0</v>
      </c>
      <c r="V964" s="33">
        <f t="shared" si="453"/>
        <v>-0.99999573422300891</v>
      </c>
      <c r="W964" s="33">
        <f t="shared" si="454"/>
        <v>498.93740426577699</v>
      </c>
      <c r="X964" s="33">
        <v>96485</v>
      </c>
      <c r="Y964" s="16">
        <f t="shared" si="455"/>
        <v>-193.38014667088586</v>
      </c>
      <c r="Z964" s="16">
        <v>8</v>
      </c>
      <c r="AA964" s="16">
        <v>17</v>
      </c>
      <c r="AB964" s="8">
        <f t="shared" si="456"/>
        <v>0.29721362229102166</v>
      </c>
      <c r="AC964" s="16">
        <f t="shared" si="438"/>
        <v>64.60808893273439</v>
      </c>
      <c r="AD964" s="20">
        <f>'PFAS Properties'!$W$46</f>
        <v>8</v>
      </c>
      <c r="AE964" s="8">
        <f>'PFAS Properties'!$S$46</f>
        <v>2.0166155475571776</v>
      </c>
      <c r="AF964" s="15">
        <f>'PFAS Properties'!$V$46</f>
        <v>5</v>
      </c>
      <c r="AG964" s="26">
        <v>5.47</v>
      </c>
      <c r="AH964" s="1" t="s">
        <v>190</v>
      </c>
      <c r="AI964" s="39">
        <f t="shared" si="440"/>
        <v>34.791435</v>
      </c>
      <c r="AJ964" s="1">
        <v>623</v>
      </c>
      <c r="AK964" s="8">
        <f t="shared" si="441"/>
        <v>3.4791435000000002</v>
      </c>
      <c r="AL964" s="39">
        <f t="shared" si="442"/>
        <v>2.4012200000000004</v>
      </c>
      <c r="AM964" s="1">
        <v>89</v>
      </c>
      <c r="AN964" s="8">
        <f t="shared" si="443"/>
        <v>0.24012200000000003</v>
      </c>
      <c r="AO964" s="3" t="s">
        <v>93</v>
      </c>
      <c r="AP964" s="3">
        <v>22.5</v>
      </c>
      <c r="AQ964" s="3" t="s">
        <v>661</v>
      </c>
      <c r="AR964" s="4">
        <v>20.3</v>
      </c>
      <c r="AS964" s="4">
        <v>39.200000000000003</v>
      </c>
      <c r="AT964" s="4">
        <v>40.6</v>
      </c>
      <c r="AU964" s="3" t="s">
        <v>661</v>
      </c>
      <c r="AV964" s="16">
        <f t="shared" si="437"/>
        <v>100.1</v>
      </c>
      <c r="AW964" s="7">
        <v>1.9</v>
      </c>
      <c r="AX964" s="1">
        <f t="shared" si="444"/>
        <v>1.9E-2</v>
      </c>
      <c r="AY964" s="1" t="s">
        <v>511</v>
      </c>
      <c r="AZ964" s="1">
        <f t="shared" si="445"/>
        <v>100</v>
      </c>
      <c r="BA964" s="1" t="s">
        <v>55</v>
      </c>
      <c r="BB964" s="1">
        <v>5</v>
      </c>
      <c r="BC964" s="1">
        <v>500</v>
      </c>
      <c r="BD964" s="26">
        <f t="shared" si="446"/>
        <v>40.636995165821851</v>
      </c>
      <c r="BE964" s="16">
        <f t="shared" si="439"/>
        <v>2138.7892192537815</v>
      </c>
      <c r="BF964" s="16">
        <f t="shared" si="457"/>
        <v>3.3301679863361047</v>
      </c>
      <c r="BG964" s="8">
        <f t="shared" si="435"/>
        <v>1.6089215872889338</v>
      </c>
      <c r="BH964" s="13" t="s">
        <v>782</v>
      </c>
      <c r="BI964" s="8">
        <v>64.900000000000006</v>
      </c>
      <c r="BJ964" s="13" t="s">
        <v>349</v>
      </c>
      <c r="BK964" s="15">
        <v>0.8</v>
      </c>
      <c r="BL964" s="16">
        <f t="shared" si="447"/>
        <v>64.900000000000006</v>
      </c>
      <c r="BM964" s="18">
        <f>'PFAS Properties'!$U$46</f>
        <v>10.39</v>
      </c>
      <c r="BN964" s="8">
        <f t="shared" si="448"/>
        <v>422.21837977288902</v>
      </c>
      <c r="BO964" s="24">
        <f t="shared" si="449"/>
        <v>40.636995165821851</v>
      </c>
      <c r="BP964" s="11"/>
      <c r="BQ964" s="11"/>
    </row>
    <row r="965" spans="1:69" x14ac:dyDescent="0.3">
      <c r="A965" s="20">
        <v>986</v>
      </c>
      <c r="B965" s="2" t="s">
        <v>189</v>
      </c>
      <c r="C965" s="2">
        <v>2021</v>
      </c>
      <c r="D965" s="2" t="s">
        <v>510</v>
      </c>
      <c r="E965" s="41" t="s">
        <v>804</v>
      </c>
      <c r="F965" s="20" t="s">
        <v>29</v>
      </c>
      <c r="G965" s="2" t="s">
        <v>476</v>
      </c>
      <c r="H965" s="2" t="str">
        <f>'PFAS Properties'!$B$46</f>
        <v>PFOS</v>
      </c>
      <c r="I965" s="2" t="str">
        <f>'PFAS Properties'!$C$46</f>
        <v>PFSA</v>
      </c>
      <c r="J965" s="2" t="str">
        <f>'PFAS Properties'!$D$46</f>
        <v>C8HF17O3S</v>
      </c>
      <c r="K965" s="25">
        <f>'PFAS Properties'!$P$46</f>
        <v>499.93739999999997</v>
      </c>
      <c r="L965" s="2">
        <f>'PFAS Properties'!$X$46</f>
        <v>0.1</v>
      </c>
      <c r="M965" s="2" t="str">
        <f>'PFAS Properties'!$Y$46</f>
        <v>-</v>
      </c>
      <c r="N965" s="33">
        <v>0</v>
      </c>
      <c r="O965" s="33">
        <v>0</v>
      </c>
      <c r="P965" s="33">
        <v>0</v>
      </c>
      <c r="Q965" s="33">
        <f t="shared" si="450"/>
        <v>0.99998378216204897</v>
      </c>
      <c r="R965" s="33">
        <v>0</v>
      </c>
      <c r="S965" s="33">
        <f t="shared" si="451"/>
        <v>1.6217837951055827E-5</v>
      </c>
      <c r="T965" s="8">
        <f t="shared" si="436"/>
        <v>1</v>
      </c>
      <c r="U965" s="33">
        <f t="shared" si="452"/>
        <v>0</v>
      </c>
      <c r="V965" s="33">
        <f t="shared" si="453"/>
        <v>-0.99998378216204897</v>
      </c>
      <c r="W965" s="33">
        <f t="shared" si="454"/>
        <v>498.93741621783789</v>
      </c>
      <c r="X965" s="33">
        <v>96485</v>
      </c>
      <c r="Y965" s="16">
        <f t="shared" si="455"/>
        <v>-193.37783073735298</v>
      </c>
      <c r="Z965" s="16">
        <v>8</v>
      </c>
      <c r="AA965" s="16">
        <v>17</v>
      </c>
      <c r="AB965" s="8">
        <f t="shared" si="456"/>
        <v>0.29721362229102166</v>
      </c>
      <c r="AC965" s="16">
        <f t="shared" si="438"/>
        <v>64.60808893273439</v>
      </c>
      <c r="AD965" s="20">
        <f>'PFAS Properties'!$W$46</f>
        <v>8</v>
      </c>
      <c r="AE965" s="8">
        <f>'PFAS Properties'!$S$46</f>
        <v>2.0166155475571776</v>
      </c>
      <c r="AF965" s="15">
        <f>'PFAS Properties'!$V$46</f>
        <v>5</v>
      </c>
      <c r="AG965" s="26">
        <v>4.8899999999999997</v>
      </c>
      <c r="AH965" s="1" t="s">
        <v>190</v>
      </c>
      <c r="AI965" s="39">
        <f t="shared" si="440"/>
        <v>0</v>
      </c>
      <c r="AJ965" s="1">
        <v>0</v>
      </c>
      <c r="AK965" s="8">
        <f t="shared" si="441"/>
        <v>0</v>
      </c>
      <c r="AL965" s="39">
        <f t="shared" si="442"/>
        <v>23.68844</v>
      </c>
      <c r="AM965" s="1">
        <v>878</v>
      </c>
      <c r="AN965" s="8">
        <f t="shared" si="443"/>
        <v>2.3688440000000002</v>
      </c>
      <c r="AO965" s="3" t="s">
        <v>93</v>
      </c>
      <c r="AP965" s="3">
        <v>7.6</v>
      </c>
      <c r="AQ965" s="3" t="s">
        <v>661</v>
      </c>
      <c r="AR965" s="4">
        <v>32.9</v>
      </c>
      <c r="AS965" s="4">
        <v>23.6</v>
      </c>
      <c r="AT965" s="4">
        <v>43.5</v>
      </c>
      <c r="AU965" s="3" t="s">
        <v>661</v>
      </c>
      <c r="AV965" s="16">
        <f t="shared" si="437"/>
        <v>100</v>
      </c>
      <c r="AW965" s="7">
        <v>2.9</v>
      </c>
      <c r="AX965" s="1">
        <f t="shared" si="444"/>
        <v>2.8999999999999998E-2</v>
      </c>
      <c r="AY965" s="1" t="s">
        <v>511</v>
      </c>
      <c r="AZ965" s="1">
        <f t="shared" si="445"/>
        <v>100</v>
      </c>
      <c r="BA965" s="1" t="s">
        <v>55</v>
      </c>
      <c r="BB965" s="1">
        <v>5</v>
      </c>
      <c r="BC965" s="1">
        <v>500</v>
      </c>
      <c r="BD965" s="26">
        <f t="shared" si="446"/>
        <v>65.550374906290855</v>
      </c>
      <c r="BE965" s="16">
        <f t="shared" si="439"/>
        <v>2260.3577553893401</v>
      </c>
      <c r="BF965" s="16">
        <f t="shared" si="457"/>
        <v>3.3541771820213917</v>
      </c>
      <c r="BG965" s="8">
        <f t="shared" si="435"/>
        <v>1.8165751799203478</v>
      </c>
      <c r="BH965" s="13" t="s">
        <v>782</v>
      </c>
      <c r="BI965" s="8">
        <v>132.30000000000001</v>
      </c>
      <c r="BJ965" s="13" t="s">
        <v>349</v>
      </c>
      <c r="BK965" s="15">
        <v>0.7</v>
      </c>
      <c r="BL965" s="16">
        <f t="shared" si="447"/>
        <v>132.30000000000001</v>
      </c>
      <c r="BM965" s="18">
        <f>'PFAS Properties'!$U$46</f>
        <v>10.39</v>
      </c>
      <c r="BN965" s="8">
        <f t="shared" si="448"/>
        <v>681.06839527636203</v>
      </c>
      <c r="BO965" s="24">
        <f t="shared" si="449"/>
        <v>65.550374906290855</v>
      </c>
      <c r="BP965" s="11"/>
      <c r="BQ965" s="11"/>
    </row>
    <row r="966" spans="1:69" x14ac:dyDescent="0.3">
      <c r="A966" s="20">
        <v>987</v>
      </c>
      <c r="B966" s="2" t="s">
        <v>189</v>
      </c>
      <c r="C966" s="2">
        <v>2021</v>
      </c>
      <c r="D966" s="2" t="s">
        <v>510</v>
      </c>
      <c r="E966" s="41" t="s">
        <v>804</v>
      </c>
      <c r="F966" s="20" t="s">
        <v>29</v>
      </c>
      <c r="G966" s="2" t="s">
        <v>477</v>
      </c>
      <c r="H966" s="2" t="str">
        <f>'PFAS Properties'!$B$46</f>
        <v>PFOS</v>
      </c>
      <c r="I966" s="2" t="str">
        <f>'PFAS Properties'!$C$46</f>
        <v>PFSA</v>
      </c>
      <c r="J966" s="2" t="str">
        <f>'PFAS Properties'!$D$46</f>
        <v>C8HF17O3S</v>
      </c>
      <c r="K966" s="25">
        <f>'PFAS Properties'!$P$46</f>
        <v>499.93739999999997</v>
      </c>
      <c r="L966" s="2">
        <f>'PFAS Properties'!$X$46</f>
        <v>0.1</v>
      </c>
      <c r="M966" s="2" t="str">
        <f>'PFAS Properties'!$Y$46</f>
        <v>-</v>
      </c>
      <c r="N966" s="33">
        <v>0</v>
      </c>
      <c r="O966" s="33">
        <v>0</v>
      </c>
      <c r="P966" s="33">
        <v>0</v>
      </c>
      <c r="Q966" s="33">
        <f t="shared" si="450"/>
        <v>0.99998554581121912</v>
      </c>
      <c r="R966" s="33">
        <v>0</v>
      </c>
      <c r="S966" s="33">
        <f t="shared" si="451"/>
        <v>1.4454188780866049E-5</v>
      </c>
      <c r="T966" s="8">
        <f t="shared" si="436"/>
        <v>1</v>
      </c>
      <c r="U966" s="33">
        <f t="shared" si="452"/>
        <v>0</v>
      </c>
      <c r="V966" s="33">
        <f t="shared" si="453"/>
        <v>-0.99998554581121912</v>
      </c>
      <c r="W966" s="33">
        <f t="shared" si="454"/>
        <v>498.93741445418874</v>
      </c>
      <c r="X966" s="33">
        <v>96485</v>
      </c>
      <c r="Y966" s="16">
        <f t="shared" si="455"/>
        <v>-193.37817247709006</v>
      </c>
      <c r="Z966" s="16">
        <v>8</v>
      </c>
      <c r="AA966" s="16">
        <v>17</v>
      </c>
      <c r="AB966" s="8">
        <f t="shared" si="456"/>
        <v>0.29721362229102166</v>
      </c>
      <c r="AC966" s="16">
        <f t="shared" si="438"/>
        <v>64.60808893273439</v>
      </c>
      <c r="AD966" s="20">
        <f>'PFAS Properties'!$W$46</f>
        <v>8</v>
      </c>
      <c r="AE966" s="8">
        <f>'PFAS Properties'!$S$46</f>
        <v>2.0166155475571776</v>
      </c>
      <c r="AF966" s="15">
        <f>'PFAS Properties'!$V$46</f>
        <v>5</v>
      </c>
      <c r="AG966" s="26">
        <v>4.9400000000000004</v>
      </c>
      <c r="AH966" s="1" t="s">
        <v>190</v>
      </c>
      <c r="AI966" s="39">
        <f t="shared" si="440"/>
        <v>112.02507</v>
      </c>
      <c r="AJ966" s="1">
        <v>2006</v>
      </c>
      <c r="AK966" s="8">
        <f t="shared" si="441"/>
        <v>11.202507000000001</v>
      </c>
      <c r="AL966" s="39">
        <f t="shared" si="442"/>
        <v>22.798099999999998</v>
      </c>
      <c r="AM966" s="1">
        <v>845</v>
      </c>
      <c r="AN966" s="8">
        <f t="shared" si="443"/>
        <v>2.2798099999999999</v>
      </c>
      <c r="AO966" s="3" t="s">
        <v>93</v>
      </c>
      <c r="AP966" s="3">
        <v>18</v>
      </c>
      <c r="AQ966" s="3" t="s">
        <v>661</v>
      </c>
      <c r="AR966" s="4">
        <v>23.3</v>
      </c>
      <c r="AS966" s="4">
        <v>28.5</v>
      </c>
      <c r="AT966" s="4">
        <v>48.2</v>
      </c>
      <c r="AU966" s="3" t="s">
        <v>661</v>
      </c>
      <c r="AV966" s="16">
        <f t="shared" si="437"/>
        <v>100</v>
      </c>
      <c r="AW966" s="7">
        <v>2.4</v>
      </c>
      <c r="AX966" s="1">
        <f t="shared" si="444"/>
        <v>2.4E-2</v>
      </c>
      <c r="AY966" s="1" t="s">
        <v>511</v>
      </c>
      <c r="AZ966" s="1">
        <f t="shared" si="445"/>
        <v>100</v>
      </c>
      <c r="BA966" s="1" t="s">
        <v>55</v>
      </c>
      <c r="BB966" s="1">
        <v>5</v>
      </c>
      <c r="BC966" s="1">
        <v>500</v>
      </c>
      <c r="BD966" s="26">
        <f t="shared" si="446"/>
        <v>48.060365577552624</v>
      </c>
      <c r="BE966" s="16">
        <f t="shared" si="439"/>
        <v>2002.515232398026</v>
      </c>
      <c r="BF966" s="16">
        <f t="shared" si="457"/>
        <v>3.3015758282874854</v>
      </c>
      <c r="BG966" s="8">
        <f t="shared" si="435"/>
        <v>1.6817870699990916</v>
      </c>
      <c r="BH966" s="13" t="s">
        <v>782</v>
      </c>
      <c r="BI966" s="8">
        <v>97</v>
      </c>
      <c r="BJ966" s="13" t="s">
        <v>349</v>
      </c>
      <c r="BK966" s="15">
        <v>0.7</v>
      </c>
      <c r="BL966" s="16">
        <f t="shared" si="447"/>
        <v>97</v>
      </c>
      <c r="BM966" s="18">
        <f>'PFAS Properties'!$U$46</f>
        <v>10.39</v>
      </c>
      <c r="BN966" s="8">
        <f t="shared" si="448"/>
        <v>499.34719835077181</v>
      </c>
      <c r="BO966" s="24">
        <f t="shared" si="449"/>
        <v>48.060365577552624</v>
      </c>
      <c r="BP966" s="11"/>
      <c r="BQ966" s="11"/>
    </row>
    <row r="967" spans="1:69" x14ac:dyDescent="0.3">
      <c r="A967" s="20">
        <v>988</v>
      </c>
      <c r="B967" s="2" t="s">
        <v>189</v>
      </c>
      <c r="C967" s="2">
        <v>2021</v>
      </c>
      <c r="D967" s="2" t="s">
        <v>510</v>
      </c>
      <c r="E967" s="41" t="s">
        <v>804</v>
      </c>
      <c r="F967" s="20" t="s">
        <v>29</v>
      </c>
      <c r="G967" s="2" t="s">
        <v>478</v>
      </c>
      <c r="H967" s="2" t="str">
        <f>'PFAS Properties'!$B$46</f>
        <v>PFOS</v>
      </c>
      <c r="I967" s="2" t="str">
        <f>'PFAS Properties'!$C$46</f>
        <v>PFSA</v>
      </c>
      <c r="J967" s="2" t="str">
        <f>'PFAS Properties'!$D$46</f>
        <v>C8HF17O3S</v>
      </c>
      <c r="K967" s="25">
        <f>'PFAS Properties'!$P$46</f>
        <v>499.93739999999997</v>
      </c>
      <c r="L967" s="2">
        <f>'PFAS Properties'!$X$46</f>
        <v>0.1</v>
      </c>
      <c r="M967" s="2" t="str">
        <f>'PFAS Properties'!$Y$46</f>
        <v>-</v>
      </c>
      <c r="N967" s="33">
        <v>0</v>
      </c>
      <c r="O967" s="33">
        <v>0</v>
      </c>
      <c r="P967" s="33">
        <v>0</v>
      </c>
      <c r="Q967" s="33">
        <f t="shared" si="450"/>
        <v>0.99999943765899102</v>
      </c>
      <c r="R967" s="33">
        <v>0</v>
      </c>
      <c r="S967" s="33">
        <f t="shared" si="451"/>
        <v>5.6234100896276051E-7</v>
      </c>
      <c r="T967" s="8">
        <f t="shared" si="436"/>
        <v>1</v>
      </c>
      <c r="U967" s="33">
        <f t="shared" si="452"/>
        <v>0</v>
      </c>
      <c r="V967" s="33">
        <f t="shared" si="453"/>
        <v>-0.99999943765899102</v>
      </c>
      <c r="W967" s="33">
        <f t="shared" si="454"/>
        <v>498.93740056234094</v>
      </c>
      <c r="X967" s="33">
        <v>96485</v>
      </c>
      <c r="Y967" s="16">
        <f t="shared" si="455"/>
        <v>-193.38086428033213</v>
      </c>
      <c r="Z967" s="16">
        <v>8</v>
      </c>
      <c r="AA967" s="16">
        <v>17</v>
      </c>
      <c r="AB967" s="8">
        <f t="shared" si="456"/>
        <v>0.29721362229102166</v>
      </c>
      <c r="AC967" s="16">
        <f t="shared" si="438"/>
        <v>64.60808893273439</v>
      </c>
      <c r="AD967" s="20">
        <f>'PFAS Properties'!$W$46</f>
        <v>8</v>
      </c>
      <c r="AE967" s="8">
        <f>'PFAS Properties'!$S$46</f>
        <v>2.0166155475571776</v>
      </c>
      <c r="AF967" s="15">
        <f>'PFAS Properties'!$V$46</f>
        <v>5</v>
      </c>
      <c r="AG967" s="26">
        <v>6.35</v>
      </c>
      <c r="AH967" s="1" t="s">
        <v>190</v>
      </c>
      <c r="AI967" s="39">
        <f t="shared" si="440"/>
        <v>53.611199999999997</v>
      </c>
      <c r="AJ967" s="1">
        <v>960</v>
      </c>
      <c r="AK967" s="8">
        <f t="shared" si="441"/>
        <v>5.3611199999999997</v>
      </c>
      <c r="AL967" s="39">
        <f t="shared" si="442"/>
        <v>5.98956</v>
      </c>
      <c r="AM967" s="1">
        <v>222</v>
      </c>
      <c r="AN967" s="8">
        <f t="shared" si="443"/>
        <v>0.59895600000000004</v>
      </c>
      <c r="AO967" s="3" t="s">
        <v>93</v>
      </c>
      <c r="AP967" s="3">
        <v>35.4</v>
      </c>
      <c r="AQ967" s="3" t="s">
        <v>661</v>
      </c>
      <c r="AR967" s="4">
        <v>29.6</v>
      </c>
      <c r="AS967" s="4">
        <v>43</v>
      </c>
      <c r="AT967" s="4">
        <v>27.4</v>
      </c>
      <c r="AU967" s="3" t="s">
        <v>661</v>
      </c>
      <c r="AV967" s="16">
        <f t="shared" si="437"/>
        <v>100</v>
      </c>
      <c r="AW967" s="7">
        <v>1.6</v>
      </c>
      <c r="AX967" s="1">
        <f t="shared" si="444"/>
        <v>1.6E-2</v>
      </c>
      <c r="AY967" s="1" t="s">
        <v>511</v>
      </c>
      <c r="AZ967" s="1">
        <f t="shared" si="445"/>
        <v>100</v>
      </c>
      <c r="BA967" s="1" t="s">
        <v>55</v>
      </c>
      <c r="BB967" s="1">
        <v>5</v>
      </c>
      <c r="BC967" s="1">
        <v>500</v>
      </c>
      <c r="BD967" s="26">
        <f t="shared" si="446"/>
        <v>37.631485507949044</v>
      </c>
      <c r="BE967" s="16">
        <f t="shared" si="439"/>
        <v>2351.9678442468153</v>
      </c>
      <c r="BF967" s="16">
        <f t="shared" si="457"/>
        <v>3.3714313798353794</v>
      </c>
      <c r="BG967" s="8">
        <f t="shared" si="435"/>
        <v>1.575551362491304</v>
      </c>
      <c r="BH967" s="13" t="s">
        <v>782</v>
      </c>
      <c r="BI967" s="8">
        <v>60.1</v>
      </c>
      <c r="BJ967" s="13" t="s">
        <v>349</v>
      </c>
      <c r="BK967" s="15">
        <v>0.8</v>
      </c>
      <c r="BL967" s="16">
        <f t="shared" si="447"/>
        <v>60.1</v>
      </c>
      <c r="BM967" s="18">
        <f>'PFAS Properties'!$U$46</f>
        <v>10.39</v>
      </c>
      <c r="BN967" s="8">
        <f t="shared" si="448"/>
        <v>390.99113442759062</v>
      </c>
      <c r="BO967" s="24">
        <f t="shared" si="449"/>
        <v>37.631485507949044</v>
      </c>
      <c r="BP967" s="11"/>
      <c r="BQ967" s="11"/>
    </row>
    <row r="968" spans="1:69" x14ac:dyDescent="0.3">
      <c r="A968" s="20">
        <v>989</v>
      </c>
      <c r="B968" s="2" t="s">
        <v>189</v>
      </c>
      <c r="C968" s="2">
        <v>2021</v>
      </c>
      <c r="D968" s="2" t="s">
        <v>510</v>
      </c>
      <c r="E968" s="41" t="s">
        <v>804</v>
      </c>
      <c r="F968" s="20" t="s">
        <v>29</v>
      </c>
      <c r="G968" s="2" t="s">
        <v>479</v>
      </c>
      <c r="H968" s="2" t="str">
        <f>'PFAS Properties'!$B$46</f>
        <v>PFOS</v>
      </c>
      <c r="I968" s="2" t="str">
        <f>'PFAS Properties'!$C$46</f>
        <v>PFSA</v>
      </c>
      <c r="J968" s="2" t="str">
        <f>'PFAS Properties'!$D$46</f>
        <v>C8HF17O3S</v>
      </c>
      <c r="K968" s="25">
        <f>'PFAS Properties'!$P$46</f>
        <v>499.93739999999997</v>
      </c>
      <c r="L968" s="2">
        <f>'PFAS Properties'!$X$46</f>
        <v>0.1</v>
      </c>
      <c r="M968" s="2" t="str">
        <f>'PFAS Properties'!$Y$46</f>
        <v>-</v>
      </c>
      <c r="N968" s="33">
        <v>0</v>
      </c>
      <c r="O968" s="33">
        <v>0</v>
      </c>
      <c r="P968" s="33">
        <v>0</v>
      </c>
      <c r="Q968" s="33">
        <f t="shared" si="450"/>
        <v>0.99999841510931942</v>
      </c>
      <c r="R968" s="33">
        <v>0</v>
      </c>
      <c r="S968" s="33">
        <f t="shared" si="451"/>
        <v>1.5848906805786579E-6</v>
      </c>
      <c r="T968" s="8">
        <f t="shared" si="436"/>
        <v>1</v>
      </c>
      <c r="U968" s="33">
        <f t="shared" si="452"/>
        <v>0</v>
      </c>
      <c r="V968" s="33">
        <f t="shared" si="453"/>
        <v>-0.99999841510931942</v>
      </c>
      <c r="W968" s="33">
        <f t="shared" si="454"/>
        <v>498.93740158489061</v>
      </c>
      <c r="X968" s="33">
        <v>96485</v>
      </c>
      <c r="Y968" s="16">
        <f t="shared" si="455"/>
        <v>-193.38066614235672</v>
      </c>
      <c r="Z968" s="16">
        <v>8</v>
      </c>
      <c r="AA968" s="16">
        <v>17</v>
      </c>
      <c r="AB968" s="8">
        <f t="shared" si="456"/>
        <v>0.29721362229102166</v>
      </c>
      <c r="AC968" s="16">
        <f t="shared" si="438"/>
        <v>64.60808893273439</v>
      </c>
      <c r="AD968" s="20">
        <f>'PFAS Properties'!$W$46</f>
        <v>8</v>
      </c>
      <c r="AE968" s="8">
        <f>'PFAS Properties'!$S$46</f>
        <v>2.0166155475571776</v>
      </c>
      <c r="AF968" s="15">
        <f>'PFAS Properties'!$V$46</f>
        <v>5</v>
      </c>
      <c r="AG968" s="26">
        <v>5.9</v>
      </c>
      <c r="AH968" s="1" t="s">
        <v>190</v>
      </c>
      <c r="AI968" s="39">
        <f t="shared" si="440"/>
        <v>154.80233999999999</v>
      </c>
      <c r="AJ968" s="1">
        <v>2772</v>
      </c>
      <c r="AK968" s="8">
        <f t="shared" si="441"/>
        <v>15.480233999999999</v>
      </c>
      <c r="AL968" s="39">
        <f t="shared" si="442"/>
        <v>14.7041</v>
      </c>
      <c r="AM968" s="1">
        <v>545</v>
      </c>
      <c r="AN968" s="8">
        <f t="shared" si="443"/>
        <v>1.47041</v>
      </c>
      <c r="AO968" s="3" t="s">
        <v>93</v>
      </c>
      <c r="AP968" s="3">
        <v>41.9</v>
      </c>
      <c r="AQ968" s="3" t="s">
        <v>661</v>
      </c>
      <c r="AR968" s="4">
        <v>23.3</v>
      </c>
      <c r="AS968" s="4">
        <v>42</v>
      </c>
      <c r="AT968" s="4">
        <v>34.799999999999997</v>
      </c>
      <c r="AU968" s="3" t="s">
        <v>661</v>
      </c>
      <c r="AV968" s="16">
        <f t="shared" si="437"/>
        <v>100.1</v>
      </c>
      <c r="AW968" s="7">
        <v>2.5</v>
      </c>
      <c r="AX968" s="1">
        <f t="shared" si="444"/>
        <v>2.5000000000000001E-2</v>
      </c>
      <c r="AY968" s="1" t="s">
        <v>511</v>
      </c>
      <c r="AZ968" s="1">
        <f t="shared" si="445"/>
        <v>100</v>
      </c>
      <c r="BA968" s="1" t="s">
        <v>55</v>
      </c>
      <c r="BB968" s="1">
        <v>5</v>
      </c>
      <c r="BC968" s="1">
        <v>500</v>
      </c>
      <c r="BD968" s="26">
        <f t="shared" si="446"/>
        <v>30.917183629270966</v>
      </c>
      <c r="BE968" s="16">
        <f t="shared" si="439"/>
        <v>1236.6873451708386</v>
      </c>
      <c r="BF968" s="16">
        <f t="shared" si="457"/>
        <v>3.0922599167432332</v>
      </c>
      <c r="BG968" s="8">
        <f t="shared" si="435"/>
        <v>1.4901999254152707</v>
      </c>
      <c r="BH968" s="13" t="s">
        <v>782</v>
      </c>
      <c r="BI968" s="8">
        <v>62.4</v>
      </c>
      <c r="BJ968" s="13" t="s">
        <v>349</v>
      </c>
      <c r="BK968" s="15">
        <v>0.7</v>
      </c>
      <c r="BL968" s="16">
        <f t="shared" si="447"/>
        <v>62.4</v>
      </c>
      <c r="BM968" s="18">
        <f>'PFAS Properties'!$U$46</f>
        <v>10.39</v>
      </c>
      <c r="BN968" s="8">
        <f t="shared" si="448"/>
        <v>321.22953790812534</v>
      </c>
      <c r="BO968" s="24">
        <f t="shared" si="449"/>
        <v>30.917183629270966</v>
      </c>
      <c r="BP968" s="11"/>
      <c r="BQ968" s="11"/>
    </row>
    <row r="969" spans="1:69" x14ac:dyDescent="0.3">
      <c r="A969" s="20">
        <v>990</v>
      </c>
      <c r="B969" s="2" t="s">
        <v>189</v>
      </c>
      <c r="C969" s="2">
        <v>2021</v>
      </c>
      <c r="D969" s="2" t="s">
        <v>510</v>
      </c>
      <c r="E969" s="41" t="s">
        <v>804</v>
      </c>
      <c r="F969" s="20" t="s">
        <v>29</v>
      </c>
      <c r="G969" s="2" t="s">
        <v>480</v>
      </c>
      <c r="H969" s="2" t="str">
        <f>'PFAS Properties'!$B$46</f>
        <v>PFOS</v>
      </c>
      <c r="I969" s="2" t="str">
        <f>'PFAS Properties'!$C$46</f>
        <v>PFSA</v>
      </c>
      <c r="J969" s="2" t="str">
        <f>'PFAS Properties'!$D$46</f>
        <v>C8HF17O3S</v>
      </c>
      <c r="K969" s="25">
        <f>'PFAS Properties'!$P$46</f>
        <v>499.93739999999997</v>
      </c>
      <c r="L969" s="2">
        <f>'PFAS Properties'!$X$46</f>
        <v>0.1</v>
      </c>
      <c r="M969" s="2" t="str">
        <f>'PFAS Properties'!$Y$46</f>
        <v>-</v>
      </c>
      <c r="N969" s="33">
        <v>0</v>
      </c>
      <c r="O969" s="33">
        <v>0</v>
      </c>
      <c r="P969" s="33">
        <v>0</v>
      </c>
      <c r="Q969" s="33">
        <f t="shared" si="450"/>
        <v>0.99999935434618781</v>
      </c>
      <c r="R969" s="33">
        <v>0</v>
      </c>
      <c r="S969" s="33">
        <f t="shared" si="451"/>
        <v>6.4565381216553922E-7</v>
      </c>
      <c r="T969" s="8">
        <f t="shared" si="436"/>
        <v>1</v>
      </c>
      <c r="U969" s="33">
        <f t="shared" si="452"/>
        <v>0</v>
      </c>
      <c r="V969" s="33">
        <f t="shared" si="453"/>
        <v>-0.99999935434618781</v>
      </c>
      <c r="W969" s="33">
        <f t="shared" si="454"/>
        <v>498.93740064565378</v>
      </c>
      <c r="X969" s="33">
        <v>96485</v>
      </c>
      <c r="Y969" s="16">
        <f t="shared" si="455"/>
        <v>-193.38084813693033</v>
      </c>
      <c r="Z969" s="16">
        <v>8</v>
      </c>
      <c r="AA969" s="16">
        <v>17</v>
      </c>
      <c r="AB969" s="8">
        <f t="shared" si="456"/>
        <v>0.29721362229102166</v>
      </c>
      <c r="AC969" s="16">
        <f t="shared" si="438"/>
        <v>64.60808893273439</v>
      </c>
      <c r="AD969" s="20">
        <f>'PFAS Properties'!$W$46</f>
        <v>8</v>
      </c>
      <c r="AE969" s="8">
        <f>'PFAS Properties'!$S$46</f>
        <v>2.0166155475571776</v>
      </c>
      <c r="AF969" s="15">
        <f>'PFAS Properties'!$V$46</f>
        <v>5</v>
      </c>
      <c r="AG969" s="26">
        <v>6.29</v>
      </c>
      <c r="AH969" s="1" t="s">
        <v>190</v>
      </c>
      <c r="AI969" s="39">
        <f t="shared" si="440"/>
        <v>61.820415000000004</v>
      </c>
      <c r="AJ969" s="1">
        <v>1107</v>
      </c>
      <c r="AK969" s="8">
        <f t="shared" si="441"/>
        <v>6.1820415000000004</v>
      </c>
      <c r="AL969" s="39">
        <f t="shared" si="442"/>
        <v>8.3907800000000012</v>
      </c>
      <c r="AM969" s="1">
        <v>311</v>
      </c>
      <c r="AN969" s="8">
        <f t="shared" si="443"/>
        <v>0.8390780000000001</v>
      </c>
      <c r="AO969" s="3" t="s">
        <v>93</v>
      </c>
      <c r="AP969" s="3">
        <v>35.1</v>
      </c>
      <c r="AQ969" s="3" t="s">
        <v>661</v>
      </c>
      <c r="AR969" s="4">
        <v>27.5</v>
      </c>
      <c r="AS969" s="4">
        <v>36.1</v>
      </c>
      <c r="AT969" s="4">
        <v>36.5</v>
      </c>
      <c r="AU969" s="3" t="s">
        <v>661</v>
      </c>
      <c r="AV969" s="16">
        <f t="shared" si="437"/>
        <v>100.1</v>
      </c>
      <c r="AW969" s="7">
        <v>1.6</v>
      </c>
      <c r="AX969" s="1">
        <f t="shared" si="444"/>
        <v>1.6E-2</v>
      </c>
      <c r="AY969" s="1" t="s">
        <v>511</v>
      </c>
      <c r="AZ969" s="1">
        <f t="shared" si="445"/>
        <v>100</v>
      </c>
      <c r="BA969" s="1" t="s">
        <v>55</v>
      </c>
      <c r="BB969" s="1">
        <v>5</v>
      </c>
      <c r="BC969" s="1">
        <v>500</v>
      </c>
      <c r="BD969" s="26">
        <f t="shared" si="446"/>
        <v>30.994318346813273</v>
      </c>
      <c r="BE969" s="16">
        <f t="shared" si="439"/>
        <v>1937.1448966758296</v>
      </c>
      <c r="BF969" s="16">
        <f t="shared" si="457"/>
        <v>3.2871621067662087</v>
      </c>
      <c r="BG969" s="8">
        <f t="shared" si="435"/>
        <v>1.4912820894221333</v>
      </c>
      <c r="BH969" s="13" t="s">
        <v>782</v>
      </c>
      <c r="BI969" s="8">
        <v>49.5</v>
      </c>
      <c r="BJ969" s="13" t="s">
        <v>349</v>
      </c>
      <c r="BK969" s="15">
        <v>0.8</v>
      </c>
      <c r="BL969" s="16">
        <f t="shared" si="447"/>
        <v>49.5</v>
      </c>
      <c r="BM969" s="18">
        <f>'PFAS Properties'!$U$46</f>
        <v>10.39</v>
      </c>
      <c r="BN969" s="8">
        <f t="shared" si="448"/>
        <v>322.03096762338993</v>
      </c>
      <c r="BO969" s="24">
        <f t="shared" si="449"/>
        <v>30.994318346813273</v>
      </c>
      <c r="BP969" s="11"/>
      <c r="BQ969" s="11"/>
    </row>
    <row r="970" spans="1:69" x14ac:dyDescent="0.3">
      <c r="A970" s="20">
        <v>991</v>
      </c>
      <c r="B970" s="2" t="s">
        <v>189</v>
      </c>
      <c r="C970" s="2">
        <v>2021</v>
      </c>
      <c r="D970" s="2" t="s">
        <v>510</v>
      </c>
      <c r="E970" s="41" t="s">
        <v>804</v>
      </c>
      <c r="F970" s="20" t="s">
        <v>29</v>
      </c>
      <c r="G970" s="2" t="s">
        <v>481</v>
      </c>
      <c r="H970" s="2" t="str">
        <f>'PFAS Properties'!$B$46</f>
        <v>PFOS</v>
      </c>
      <c r="I970" s="2" t="str">
        <f>'PFAS Properties'!$C$46</f>
        <v>PFSA</v>
      </c>
      <c r="J970" s="2" t="str">
        <f>'PFAS Properties'!$D$46</f>
        <v>C8HF17O3S</v>
      </c>
      <c r="K970" s="25">
        <f>'PFAS Properties'!$P$46</f>
        <v>499.93739999999997</v>
      </c>
      <c r="L970" s="2">
        <f>'PFAS Properties'!$X$46</f>
        <v>0.1</v>
      </c>
      <c r="M970" s="2" t="str">
        <f>'PFAS Properties'!$Y$46</f>
        <v>-</v>
      </c>
      <c r="N970" s="33">
        <v>0</v>
      </c>
      <c r="O970" s="33">
        <v>0</v>
      </c>
      <c r="P970" s="33">
        <v>0</v>
      </c>
      <c r="Q970" s="33">
        <f t="shared" si="450"/>
        <v>0.99999960189298798</v>
      </c>
      <c r="R970" s="33">
        <v>0</v>
      </c>
      <c r="S970" s="33">
        <f t="shared" si="451"/>
        <v>3.9810701206424001E-7</v>
      </c>
      <c r="T970" s="8">
        <f t="shared" si="436"/>
        <v>1</v>
      </c>
      <c r="U970" s="33">
        <f t="shared" si="452"/>
        <v>0</v>
      </c>
      <c r="V970" s="33">
        <f t="shared" si="453"/>
        <v>-0.99999960189298798</v>
      </c>
      <c r="W970" s="33">
        <f t="shared" si="454"/>
        <v>498.937400398107</v>
      </c>
      <c r="X970" s="33">
        <v>96485</v>
      </c>
      <c r="Y970" s="16">
        <f t="shared" si="455"/>
        <v>-193.38089610371694</v>
      </c>
      <c r="Z970" s="16">
        <v>8</v>
      </c>
      <c r="AA970" s="16">
        <v>17</v>
      </c>
      <c r="AB970" s="8">
        <f t="shared" si="456"/>
        <v>0.29721362229102166</v>
      </c>
      <c r="AC970" s="16">
        <f t="shared" si="438"/>
        <v>64.60808893273439</v>
      </c>
      <c r="AD970" s="20">
        <f>'PFAS Properties'!$W$46</f>
        <v>8</v>
      </c>
      <c r="AE970" s="8">
        <f>'PFAS Properties'!$S$46</f>
        <v>2.0166155475571776</v>
      </c>
      <c r="AF970" s="15">
        <f>'PFAS Properties'!$V$46</f>
        <v>5</v>
      </c>
      <c r="AG970" s="26">
        <v>6.5</v>
      </c>
      <c r="AH970" s="1" t="s">
        <v>190</v>
      </c>
      <c r="AI970" s="39">
        <f t="shared" si="440"/>
        <v>158.82317999999998</v>
      </c>
      <c r="AJ970" s="1">
        <v>2844</v>
      </c>
      <c r="AK970" s="8">
        <f t="shared" si="441"/>
        <v>15.882317999999998</v>
      </c>
      <c r="AL970" s="39">
        <f t="shared" si="442"/>
        <v>15.891219999999999</v>
      </c>
      <c r="AM970" s="1">
        <v>589</v>
      </c>
      <c r="AN970" s="8">
        <f t="shared" si="443"/>
        <v>1.5891219999999999</v>
      </c>
      <c r="AO970" s="3" t="s">
        <v>93</v>
      </c>
      <c r="AP970" s="3">
        <v>39.9</v>
      </c>
      <c r="AQ970" s="3" t="s">
        <v>661</v>
      </c>
      <c r="AR970" s="4">
        <v>50.8</v>
      </c>
      <c r="AS970" s="4">
        <v>16</v>
      </c>
      <c r="AT970" s="4">
        <v>33.299999999999997</v>
      </c>
      <c r="AU970" s="3" t="s">
        <v>661</v>
      </c>
      <c r="AV970" s="16">
        <f t="shared" si="437"/>
        <v>100.1</v>
      </c>
      <c r="AW970" s="7">
        <v>2.2000000000000002</v>
      </c>
      <c r="AX970" s="1">
        <f t="shared" si="444"/>
        <v>2.2000000000000002E-2</v>
      </c>
      <c r="AY970" s="1" t="s">
        <v>511</v>
      </c>
      <c r="AZ970" s="1">
        <f t="shared" si="445"/>
        <v>100</v>
      </c>
      <c r="BA970" s="1" t="s">
        <v>55</v>
      </c>
      <c r="BB970" s="1">
        <v>5</v>
      </c>
      <c r="BC970" s="1">
        <v>500</v>
      </c>
      <c r="BD970" s="26">
        <f t="shared" si="446"/>
        <v>40.826537356601413</v>
      </c>
      <c r="BE970" s="16">
        <f t="shared" si="439"/>
        <v>1855.7516980273367</v>
      </c>
      <c r="BF970" s="16">
        <f t="shared" si="457"/>
        <v>3.2685198666077562</v>
      </c>
      <c r="BG970" s="8">
        <f t="shared" si="435"/>
        <v>1.6109425474299626</v>
      </c>
      <c r="BH970" s="13" t="s">
        <v>782</v>
      </c>
      <c r="BI970" s="8">
        <v>82.4</v>
      </c>
      <c r="BJ970" s="13" t="s">
        <v>349</v>
      </c>
      <c r="BK970" s="15">
        <v>0.7</v>
      </c>
      <c r="BL970" s="16">
        <f t="shared" si="447"/>
        <v>82.4</v>
      </c>
      <c r="BM970" s="18">
        <f>'PFAS Properties'!$U$46</f>
        <v>10.39</v>
      </c>
      <c r="BN970" s="8">
        <f t="shared" si="448"/>
        <v>424.18772313508867</v>
      </c>
      <c r="BO970" s="24">
        <f t="shared" si="449"/>
        <v>40.826537356601413</v>
      </c>
      <c r="BP970" s="11"/>
      <c r="BQ970" s="11"/>
    </row>
    <row r="971" spans="1:69" x14ac:dyDescent="0.3">
      <c r="A971" s="20">
        <v>992</v>
      </c>
      <c r="B971" s="2" t="s">
        <v>189</v>
      </c>
      <c r="C971" s="2">
        <v>2021</v>
      </c>
      <c r="D971" s="2" t="s">
        <v>510</v>
      </c>
      <c r="E971" s="41" t="s">
        <v>804</v>
      </c>
      <c r="F971" s="20" t="s">
        <v>29</v>
      </c>
      <c r="G971" s="2" t="s">
        <v>482</v>
      </c>
      <c r="H971" s="2" t="str">
        <f>'PFAS Properties'!$B$46</f>
        <v>PFOS</v>
      </c>
      <c r="I971" s="2" t="str">
        <f>'PFAS Properties'!$C$46</f>
        <v>PFSA</v>
      </c>
      <c r="J971" s="2" t="str">
        <f>'PFAS Properties'!$D$46</f>
        <v>C8HF17O3S</v>
      </c>
      <c r="K971" s="25">
        <f>'PFAS Properties'!$P$46</f>
        <v>499.93739999999997</v>
      </c>
      <c r="L971" s="2">
        <f>'PFAS Properties'!$X$46</f>
        <v>0.1</v>
      </c>
      <c r="M971" s="2" t="str">
        <f>'PFAS Properties'!$Y$46</f>
        <v>-</v>
      </c>
      <c r="N971" s="33">
        <v>0</v>
      </c>
      <c r="O971" s="33">
        <v>0</v>
      </c>
      <c r="P971" s="33">
        <v>0</v>
      </c>
      <c r="Q971" s="33">
        <f t="shared" si="450"/>
        <v>0.99999958313079029</v>
      </c>
      <c r="R971" s="33">
        <v>0</v>
      </c>
      <c r="S971" s="33">
        <f t="shared" si="451"/>
        <v>4.1686920969032374E-7</v>
      </c>
      <c r="T971" s="8">
        <f t="shared" si="436"/>
        <v>1</v>
      </c>
      <c r="U971" s="33">
        <f t="shared" si="452"/>
        <v>0</v>
      </c>
      <c r="V971" s="33">
        <f t="shared" si="453"/>
        <v>-0.99999958313079029</v>
      </c>
      <c r="W971" s="33">
        <f t="shared" si="454"/>
        <v>498.9374004168692</v>
      </c>
      <c r="X971" s="33">
        <v>96485</v>
      </c>
      <c r="Y971" s="16">
        <f t="shared" si="455"/>
        <v>-193.38089246819291</v>
      </c>
      <c r="Z971" s="16">
        <v>8</v>
      </c>
      <c r="AA971" s="16">
        <v>17</v>
      </c>
      <c r="AB971" s="8">
        <f t="shared" si="456"/>
        <v>0.29721362229102166</v>
      </c>
      <c r="AC971" s="16">
        <f t="shared" si="438"/>
        <v>64.60808893273439</v>
      </c>
      <c r="AD971" s="20">
        <f>'PFAS Properties'!$W$46</f>
        <v>8</v>
      </c>
      <c r="AE971" s="8">
        <f>'PFAS Properties'!$S$46</f>
        <v>2.0166155475571776</v>
      </c>
      <c r="AF971" s="15">
        <f>'PFAS Properties'!$V$46</f>
        <v>5</v>
      </c>
      <c r="AG971" s="26">
        <v>6.48</v>
      </c>
      <c r="AH971" s="1" t="s">
        <v>190</v>
      </c>
      <c r="AI971" s="39">
        <f t="shared" si="440"/>
        <v>158.82317999999998</v>
      </c>
      <c r="AJ971" s="1">
        <v>2844</v>
      </c>
      <c r="AK971" s="8">
        <f t="shared" si="441"/>
        <v>15.882317999999998</v>
      </c>
      <c r="AL971" s="39">
        <f t="shared" si="442"/>
        <v>15.891219999999999</v>
      </c>
      <c r="AM971" s="1">
        <v>589</v>
      </c>
      <c r="AN971" s="8">
        <f t="shared" si="443"/>
        <v>1.5891219999999999</v>
      </c>
      <c r="AO971" s="3" t="s">
        <v>93</v>
      </c>
      <c r="AP971" s="3">
        <v>39.9</v>
      </c>
      <c r="AQ971" s="3" t="s">
        <v>661</v>
      </c>
      <c r="AR971" s="4">
        <v>32.200000000000003</v>
      </c>
      <c r="AS971" s="4">
        <v>34.1</v>
      </c>
      <c r="AT971" s="4">
        <v>33.700000000000003</v>
      </c>
      <c r="AU971" s="3" t="s">
        <v>661</v>
      </c>
      <c r="AV971" s="16">
        <f t="shared" si="437"/>
        <v>100.00000000000001</v>
      </c>
      <c r="AW971" s="7">
        <v>2.2000000000000002</v>
      </c>
      <c r="AX971" s="1">
        <f t="shared" si="444"/>
        <v>2.2000000000000002E-2</v>
      </c>
      <c r="AY971" s="1" t="s">
        <v>511</v>
      </c>
      <c r="AZ971" s="1">
        <f t="shared" si="445"/>
        <v>100</v>
      </c>
      <c r="BA971" s="1" t="s">
        <v>55</v>
      </c>
      <c r="BB971" s="1">
        <v>5</v>
      </c>
      <c r="BC971" s="1">
        <v>500</v>
      </c>
      <c r="BD971" s="26">
        <f t="shared" si="446"/>
        <v>25.985135583691932</v>
      </c>
      <c r="BE971" s="16">
        <f t="shared" si="439"/>
        <v>1181.1425265314513</v>
      </c>
      <c r="BF971" s="16">
        <f t="shared" si="457"/>
        <v>3.0723023063784507</v>
      </c>
      <c r="BG971" s="8">
        <f t="shared" si="435"/>
        <v>1.4147249872006571</v>
      </c>
      <c r="BH971" s="13" t="s">
        <v>782</v>
      </c>
      <c r="BI971" s="8">
        <v>41.5</v>
      </c>
      <c r="BJ971" s="13" t="s">
        <v>349</v>
      </c>
      <c r="BK971" s="15">
        <v>0.8</v>
      </c>
      <c r="BL971" s="16">
        <f t="shared" si="447"/>
        <v>41.5</v>
      </c>
      <c r="BM971" s="18">
        <f>'PFAS Properties'!$U$46</f>
        <v>10.39</v>
      </c>
      <c r="BN971" s="8">
        <f t="shared" si="448"/>
        <v>269.9855587145592</v>
      </c>
      <c r="BO971" s="24">
        <f t="shared" si="449"/>
        <v>25.985135583691932</v>
      </c>
      <c r="BP971" s="11"/>
      <c r="BQ971" s="11"/>
    </row>
    <row r="972" spans="1:69" x14ac:dyDescent="0.3">
      <c r="A972" s="20">
        <v>993</v>
      </c>
      <c r="B972" s="2" t="s">
        <v>189</v>
      </c>
      <c r="C972" s="2">
        <v>2021</v>
      </c>
      <c r="D972" s="2" t="s">
        <v>510</v>
      </c>
      <c r="E972" s="41" t="s">
        <v>804</v>
      </c>
      <c r="F972" s="20" t="s">
        <v>29</v>
      </c>
      <c r="G972" s="2" t="s">
        <v>483</v>
      </c>
      <c r="H972" s="2" t="str">
        <f>'PFAS Properties'!$B$46</f>
        <v>PFOS</v>
      </c>
      <c r="I972" s="2" t="str">
        <f>'PFAS Properties'!$C$46</f>
        <v>PFSA</v>
      </c>
      <c r="J972" s="2" t="str">
        <f>'PFAS Properties'!$D$46</f>
        <v>C8HF17O3S</v>
      </c>
      <c r="K972" s="25">
        <f>'PFAS Properties'!$P$46</f>
        <v>499.93739999999997</v>
      </c>
      <c r="L972" s="2">
        <f>'PFAS Properties'!$X$46</f>
        <v>0.1</v>
      </c>
      <c r="M972" s="2" t="str">
        <f>'PFAS Properties'!$Y$46</f>
        <v>-</v>
      </c>
      <c r="N972" s="33">
        <v>0</v>
      </c>
      <c r="O972" s="33">
        <v>0</v>
      </c>
      <c r="P972" s="33">
        <v>0</v>
      </c>
      <c r="Q972" s="33">
        <f t="shared" si="450"/>
        <v>0.99999978620383678</v>
      </c>
      <c r="R972" s="33">
        <v>0</v>
      </c>
      <c r="S972" s="33">
        <f t="shared" si="451"/>
        <v>2.137961632414136E-7</v>
      </c>
      <c r="T972" s="8">
        <f t="shared" si="436"/>
        <v>1</v>
      </c>
      <c r="U972" s="33">
        <f t="shared" si="452"/>
        <v>0</v>
      </c>
      <c r="V972" s="33">
        <f t="shared" si="453"/>
        <v>-0.99999978620383678</v>
      </c>
      <c r="W972" s="33">
        <f t="shared" si="454"/>
        <v>498.93740021379614</v>
      </c>
      <c r="X972" s="33">
        <v>96485</v>
      </c>
      <c r="Y972" s="16">
        <f t="shared" si="455"/>
        <v>-193.38093181736446</v>
      </c>
      <c r="Z972" s="16">
        <v>8</v>
      </c>
      <c r="AA972" s="16">
        <v>17</v>
      </c>
      <c r="AB972" s="8">
        <f t="shared" si="456"/>
        <v>0.29721362229102166</v>
      </c>
      <c r="AC972" s="16">
        <f t="shared" si="438"/>
        <v>64.60808893273439</v>
      </c>
      <c r="AD972" s="20">
        <f>'PFAS Properties'!$W$46</f>
        <v>8</v>
      </c>
      <c r="AE972" s="8">
        <f>'PFAS Properties'!$S$46</f>
        <v>2.0166155475571776</v>
      </c>
      <c r="AF972" s="15">
        <f>'PFAS Properties'!$V$46</f>
        <v>5</v>
      </c>
      <c r="AG972" s="26">
        <v>6.77</v>
      </c>
      <c r="AH972" s="1" t="s">
        <v>190</v>
      </c>
      <c r="AI972" s="39">
        <f t="shared" si="440"/>
        <v>80.807715000000002</v>
      </c>
      <c r="AJ972" s="1">
        <v>1447</v>
      </c>
      <c r="AK972" s="8">
        <f t="shared" si="441"/>
        <v>8.0807715000000009</v>
      </c>
      <c r="AL972" s="39">
        <f t="shared" si="442"/>
        <v>10.49522</v>
      </c>
      <c r="AM972" s="1">
        <v>389</v>
      </c>
      <c r="AN972" s="8">
        <f t="shared" si="443"/>
        <v>1.0495220000000001</v>
      </c>
      <c r="AO972" s="3" t="s">
        <v>93</v>
      </c>
      <c r="AP972" s="3">
        <v>50.9</v>
      </c>
      <c r="AQ972" s="3" t="s">
        <v>661</v>
      </c>
      <c r="AR972" s="4">
        <v>24</v>
      </c>
      <c r="AS972" s="4">
        <v>37</v>
      </c>
      <c r="AT972" s="4">
        <v>39.1</v>
      </c>
      <c r="AU972" s="3" t="s">
        <v>661</v>
      </c>
      <c r="AV972" s="16">
        <f t="shared" si="437"/>
        <v>100.1</v>
      </c>
      <c r="AW972" s="7">
        <v>2.2000000000000002</v>
      </c>
      <c r="AX972" s="1">
        <f t="shared" si="444"/>
        <v>2.2000000000000002E-2</v>
      </c>
      <c r="AY972" s="1" t="s">
        <v>511</v>
      </c>
      <c r="AZ972" s="1">
        <f t="shared" si="445"/>
        <v>100</v>
      </c>
      <c r="BA972" s="1" t="s">
        <v>55</v>
      </c>
      <c r="BB972" s="1">
        <v>5</v>
      </c>
      <c r="BC972" s="1">
        <v>500</v>
      </c>
      <c r="BD972" s="26">
        <f t="shared" si="446"/>
        <v>18.972279715322067</v>
      </c>
      <c r="BE972" s="16">
        <f t="shared" si="439"/>
        <v>862.37635069645751</v>
      </c>
      <c r="BF972" s="16">
        <f t="shared" si="457"/>
        <v>2.9356968381686634</v>
      </c>
      <c r="BG972" s="8">
        <f t="shared" si="435"/>
        <v>1.2781195189908696</v>
      </c>
      <c r="BH972" s="13" t="s">
        <v>782</v>
      </c>
      <c r="BI972" s="8">
        <v>30.3</v>
      </c>
      <c r="BJ972" s="13" t="s">
        <v>349</v>
      </c>
      <c r="BK972" s="15">
        <v>0.8</v>
      </c>
      <c r="BL972" s="16">
        <f t="shared" si="447"/>
        <v>30.3</v>
      </c>
      <c r="BM972" s="18">
        <f>'PFAS Properties'!$U$46</f>
        <v>10.39</v>
      </c>
      <c r="BN972" s="8">
        <f t="shared" si="448"/>
        <v>197.12198624219627</v>
      </c>
      <c r="BO972" s="24">
        <f t="shared" si="449"/>
        <v>18.972279715322067</v>
      </c>
      <c r="BP972" s="11"/>
      <c r="BQ972" s="11"/>
    </row>
    <row r="973" spans="1:69" x14ac:dyDescent="0.3">
      <c r="A973" s="20">
        <v>994</v>
      </c>
      <c r="B973" s="2" t="s">
        <v>189</v>
      </c>
      <c r="C973" s="2">
        <v>2021</v>
      </c>
      <c r="D973" s="2" t="s">
        <v>510</v>
      </c>
      <c r="E973" s="41" t="s">
        <v>804</v>
      </c>
      <c r="F973" s="20" t="s">
        <v>29</v>
      </c>
      <c r="G973" s="2" t="s">
        <v>484</v>
      </c>
      <c r="H973" s="2" t="str">
        <f>'PFAS Properties'!$B$46</f>
        <v>PFOS</v>
      </c>
      <c r="I973" s="2" t="str">
        <f>'PFAS Properties'!$C$46</f>
        <v>PFSA</v>
      </c>
      <c r="J973" s="2" t="str">
        <f>'PFAS Properties'!$D$46</f>
        <v>C8HF17O3S</v>
      </c>
      <c r="K973" s="25">
        <f>'PFAS Properties'!$P$46</f>
        <v>499.93739999999997</v>
      </c>
      <c r="L973" s="2">
        <f>'PFAS Properties'!$X$46</f>
        <v>0.1</v>
      </c>
      <c r="M973" s="2" t="str">
        <f>'PFAS Properties'!$Y$46</f>
        <v>-</v>
      </c>
      <c r="N973" s="33">
        <v>0</v>
      </c>
      <c r="O973" s="33">
        <v>0</v>
      </c>
      <c r="P973" s="33">
        <v>0</v>
      </c>
      <c r="Q973" s="33">
        <f t="shared" si="450"/>
        <v>0.99999927556456469</v>
      </c>
      <c r="R973" s="33">
        <v>0</v>
      </c>
      <c r="S973" s="33">
        <f t="shared" si="451"/>
        <v>7.2443543526790742E-7</v>
      </c>
      <c r="T973" s="8">
        <f t="shared" si="436"/>
        <v>1</v>
      </c>
      <c r="U973" s="33">
        <f t="shared" si="452"/>
        <v>0</v>
      </c>
      <c r="V973" s="33">
        <f t="shared" si="453"/>
        <v>-0.99999927556456469</v>
      </c>
      <c r="W973" s="33">
        <f t="shared" si="454"/>
        <v>498.93740072443541</v>
      </c>
      <c r="X973" s="33">
        <v>96485</v>
      </c>
      <c r="Y973" s="16">
        <f t="shared" si="455"/>
        <v>-193.38083287152875</v>
      </c>
      <c r="Z973" s="16">
        <v>8</v>
      </c>
      <c r="AA973" s="16">
        <v>17</v>
      </c>
      <c r="AB973" s="8">
        <f t="shared" si="456"/>
        <v>0.29721362229102166</v>
      </c>
      <c r="AC973" s="16">
        <f t="shared" si="438"/>
        <v>64.60808893273439</v>
      </c>
      <c r="AD973" s="20">
        <f>'PFAS Properties'!$W$46</f>
        <v>8</v>
      </c>
      <c r="AE973" s="8">
        <f>'PFAS Properties'!$S$46</f>
        <v>2.0166155475571776</v>
      </c>
      <c r="AF973" s="15">
        <f>'PFAS Properties'!$V$46</f>
        <v>5</v>
      </c>
      <c r="AG973" s="26">
        <v>6.24</v>
      </c>
      <c r="AH973" s="1" t="s">
        <v>190</v>
      </c>
      <c r="AI973" s="39">
        <f t="shared" si="440"/>
        <v>148.603545</v>
      </c>
      <c r="AJ973" s="1">
        <v>2661</v>
      </c>
      <c r="AK973" s="8">
        <f t="shared" si="441"/>
        <v>14.8603545</v>
      </c>
      <c r="AL973" s="39">
        <f t="shared" si="442"/>
        <v>17.698880000000003</v>
      </c>
      <c r="AM973" s="1">
        <v>656</v>
      </c>
      <c r="AN973" s="8">
        <f t="shared" si="443"/>
        <v>1.7698880000000003</v>
      </c>
      <c r="AO973" s="3" t="s">
        <v>93</v>
      </c>
      <c r="AP973" s="3">
        <v>43.3</v>
      </c>
      <c r="AQ973" s="3" t="s">
        <v>661</v>
      </c>
      <c r="AR973" s="4">
        <v>17.600000000000001</v>
      </c>
      <c r="AS973" s="4">
        <v>33.1</v>
      </c>
      <c r="AT973" s="4">
        <v>49.3</v>
      </c>
      <c r="AU973" s="3" t="s">
        <v>661</v>
      </c>
      <c r="AV973" s="16">
        <f t="shared" si="437"/>
        <v>100</v>
      </c>
      <c r="AW973" s="7">
        <v>2.8</v>
      </c>
      <c r="AX973" s="1">
        <f t="shared" si="444"/>
        <v>2.7999999999999997E-2</v>
      </c>
      <c r="AY973" s="1" t="s">
        <v>511</v>
      </c>
      <c r="AZ973" s="1">
        <f t="shared" si="445"/>
        <v>100</v>
      </c>
      <c r="BA973" s="1" t="s">
        <v>55</v>
      </c>
      <c r="BB973" s="1">
        <v>5</v>
      </c>
      <c r="BC973" s="1">
        <v>500</v>
      </c>
      <c r="BD973" s="26">
        <f t="shared" si="446"/>
        <v>21.226411958726665</v>
      </c>
      <c r="BE973" s="16">
        <f t="shared" si="439"/>
        <v>758.0861413830952</v>
      </c>
      <c r="BF973" s="16">
        <f t="shared" si="457"/>
        <v>2.8797185573494275</v>
      </c>
      <c r="BG973" s="8">
        <f t="shared" si="435"/>
        <v>1.3268765886916467</v>
      </c>
      <c r="BH973" s="13" t="s">
        <v>782</v>
      </c>
      <c r="BI973" s="8">
        <v>33.9</v>
      </c>
      <c r="BJ973" s="13" t="s">
        <v>349</v>
      </c>
      <c r="BK973" s="15">
        <v>0.8</v>
      </c>
      <c r="BL973" s="16">
        <f t="shared" si="447"/>
        <v>33.9</v>
      </c>
      <c r="BM973" s="18">
        <f>'PFAS Properties'!$U$46</f>
        <v>10.39</v>
      </c>
      <c r="BN973" s="8">
        <f t="shared" si="448"/>
        <v>220.54242025117006</v>
      </c>
      <c r="BO973" s="24">
        <f t="shared" si="449"/>
        <v>21.226411958726665</v>
      </c>
      <c r="BP973" s="11"/>
      <c r="BQ973" s="11"/>
    </row>
    <row r="974" spans="1:69" x14ac:dyDescent="0.3">
      <c r="A974" s="20">
        <v>995</v>
      </c>
      <c r="B974" s="2" t="s">
        <v>189</v>
      </c>
      <c r="C974" s="2">
        <v>2021</v>
      </c>
      <c r="D974" s="2" t="s">
        <v>510</v>
      </c>
      <c r="E974" s="41" t="s">
        <v>804</v>
      </c>
      <c r="F974" s="20" t="s">
        <v>29</v>
      </c>
      <c r="G974" s="2" t="s">
        <v>485</v>
      </c>
      <c r="H974" s="2" t="str">
        <f>'PFAS Properties'!$B$46</f>
        <v>PFOS</v>
      </c>
      <c r="I974" s="2" t="str">
        <f>'PFAS Properties'!$C$46</f>
        <v>PFSA</v>
      </c>
      <c r="J974" s="2" t="str">
        <f>'PFAS Properties'!$D$46</f>
        <v>C8HF17O3S</v>
      </c>
      <c r="K974" s="25">
        <f>'PFAS Properties'!$P$46</f>
        <v>499.93739999999997</v>
      </c>
      <c r="L974" s="2">
        <f>'PFAS Properties'!$X$46</f>
        <v>0.1</v>
      </c>
      <c r="M974" s="2" t="str">
        <f>'PFAS Properties'!$Y$46</f>
        <v>-</v>
      </c>
      <c r="N974" s="33">
        <v>0</v>
      </c>
      <c r="O974" s="33">
        <v>0</v>
      </c>
      <c r="P974" s="33">
        <v>0</v>
      </c>
      <c r="Q974" s="33">
        <f t="shared" si="450"/>
        <v>0.99999996369219579</v>
      </c>
      <c r="R974" s="33">
        <v>0</v>
      </c>
      <c r="S974" s="33">
        <f t="shared" si="451"/>
        <v>3.6307804158753317E-8</v>
      </c>
      <c r="T974" s="8">
        <f t="shared" si="436"/>
        <v>1</v>
      </c>
      <c r="U974" s="33">
        <f t="shared" si="452"/>
        <v>0</v>
      </c>
      <c r="V974" s="33">
        <f t="shared" si="453"/>
        <v>-0.99999996369219579</v>
      </c>
      <c r="W974" s="33">
        <f t="shared" si="454"/>
        <v>498.93740003630774</v>
      </c>
      <c r="X974" s="33">
        <v>96485</v>
      </c>
      <c r="Y974" s="16">
        <f t="shared" si="455"/>
        <v>-193.380966209028</v>
      </c>
      <c r="Z974" s="16">
        <v>8</v>
      </c>
      <c r="AA974" s="16">
        <v>17</v>
      </c>
      <c r="AB974" s="8">
        <f t="shared" si="456"/>
        <v>0.29721362229102166</v>
      </c>
      <c r="AC974" s="16">
        <f t="shared" si="438"/>
        <v>64.60808893273439</v>
      </c>
      <c r="AD974" s="20">
        <f>'PFAS Properties'!$W$46</f>
        <v>8</v>
      </c>
      <c r="AE974" s="8">
        <f>'PFAS Properties'!$S$46</f>
        <v>2.0166155475571776</v>
      </c>
      <c r="AF974" s="15">
        <f>'PFAS Properties'!$V$46</f>
        <v>5</v>
      </c>
      <c r="AG974" s="26">
        <v>7.54</v>
      </c>
      <c r="AH974" s="1" t="s">
        <v>190</v>
      </c>
      <c r="AI974" s="39">
        <f t="shared" si="440"/>
        <v>57.017744999999998</v>
      </c>
      <c r="AJ974" s="1">
        <v>1021</v>
      </c>
      <c r="AK974" s="8">
        <f t="shared" si="441"/>
        <v>5.7017745</v>
      </c>
      <c r="AL974" s="39">
        <f t="shared" si="442"/>
        <v>9.6048800000000014</v>
      </c>
      <c r="AM974" s="1">
        <v>356</v>
      </c>
      <c r="AN974" s="8">
        <f t="shared" si="443"/>
        <v>0.96048800000000012</v>
      </c>
      <c r="AO974" s="3" t="s">
        <v>93</v>
      </c>
      <c r="AP974" s="3">
        <v>39.9</v>
      </c>
      <c r="AQ974" s="3" t="s">
        <v>661</v>
      </c>
      <c r="AR974" s="4">
        <v>49.7</v>
      </c>
      <c r="AS974" s="4">
        <v>23</v>
      </c>
      <c r="AT974" s="4">
        <v>27.3</v>
      </c>
      <c r="AU974" s="3" t="s">
        <v>661</v>
      </c>
      <c r="AV974" s="16">
        <f t="shared" si="437"/>
        <v>100</v>
      </c>
      <c r="AW974" s="7">
        <v>1.9</v>
      </c>
      <c r="AX974" s="1">
        <f t="shared" si="444"/>
        <v>1.9E-2</v>
      </c>
      <c r="AY974" s="1" t="s">
        <v>511</v>
      </c>
      <c r="AZ974" s="1">
        <f t="shared" si="445"/>
        <v>100</v>
      </c>
      <c r="BA974" s="1" t="s">
        <v>55</v>
      </c>
      <c r="BB974" s="1">
        <v>5</v>
      </c>
      <c r="BC974" s="1">
        <v>500</v>
      </c>
      <c r="BD974" s="26">
        <f t="shared" si="446"/>
        <v>21.839743192272518</v>
      </c>
      <c r="BE974" s="16">
        <f t="shared" si="439"/>
        <v>1149.460168014343</v>
      </c>
      <c r="BF974" s="16">
        <f t="shared" si="457"/>
        <v>3.0604939263566711</v>
      </c>
      <c r="BG974" s="8">
        <f t="shared" si="435"/>
        <v>1.3392475273094999</v>
      </c>
      <c r="BH974" s="13" t="s">
        <v>782</v>
      </c>
      <c r="BI974" s="8">
        <v>27.6</v>
      </c>
      <c r="BJ974" s="13" t="s">
        <v>349</v>
      </c>
      <c r="BK974" s="15">
        <v>0.9</v>
      </c>
      <c r="BL974" s="16">
        <f t="shared" si="447"/>
        <v>27.6</v>
      </c>
      <c r="BM974" s="18">
        <f>'PFAS Properties'!$U$46</f>
        <v>10.39</v>
      </c>
      <c r="BN974" s="8">
        <f t="shared" si="448"/>
        <v>226.91493176771149</v>
      </c>
      <c r="BO974" s="24">
        <f t="shared" si="449"/>
        <v>21.839743192272518</v>
      </c>
      <c r="BP974" s="11"/>
      <c r="BQ974" s="11"/>
    </row>
    <row r="975" spans="1:69" x14ac:dyDescent="0.3">
      <c r="A975" s="20">
        <v>996</v>
      </c>
      <c r="B975" s="2" t="s">
        <v>189</v>
      </c>
      <c r="C975" s="2">
        <v>2021</v>
      </c>
      <c r="D975" s="2" t="s">
        <v>510</v>
      </c>
      <c r="E975" s="41" t="s">
        <v>804</v>
      </c>
      <c r="F975" s="20" t="s">
        <v>29</v>
      </c>
      <c r="G975" s="2" t="s">
        <v>486</v>
      </c>
      <c r="H975" s="2" t="str">
        <f>'PFAS Properties'!$B$46</f>
        <v>PFOS</v>
      </c>
      <c r="I975" s="2" t="str">
        <f>'PFAS Properties'!$C$46</f>
        <v>PFSA</v>
      </c>
      <c r="J975" s="2" t="str">
        <f>'PFAS Properties'!$D$46</f>
        <v>C8HF17O3S</v>
      </c>
      <c r="K975" s="25">
        <f>'PFAS Properties'!$P$46</f>
        <v>499.93739999999997</v>
      </c>
      <c r="L975" s="2">
        <f>'PFAS Properties'!$X$46</f>
        <v>0.1</v>
      </c>
      <c r="M975" s="2" t="str">
        <f>'PFAS Properties'!$Y$46</f>
        <v>-</v>
      </c>
      <c r="N975" s="33">
        <v>0</v>
      </c>
      <c r="O975" s="33">
        <v>0</v>
      </c>
      <c r="P975" s="33">
        <v>0</v>
      </c>
      <c r="Q975" s="33">
        <f t="shared" si="450"/>
        <v>0.99999998004737722</v>
      </c>
      <c r="R975" s="33">
        <v>0</v>
      </c>
      <c r="S975" s="33">
        <f t="shared" si="451"/>
        <v>1.995262275158161E-8</v>
      </c>
      <c r="T975" s="8">
        <f t="shared" si="436"/>
        <v>1</v>
      </c>
      <c r="U975" s="33">
        <f t="shared" si="452"/>
        <v>0</v>
      </c>
      <c r="V975" s="33">
        <f t="shared" si="453"/>
        <v>-0.99999998004737722</v>
      </c>
      <c r="W975" s="33">
        <f t="shared" si="454"/>
        <v>498.93740001995263</v>
      </c>
      <c r="X975" s="33">
        <v>96485</v>
      </c>
      <c r="Y975" s="16">
        <f t="shared" si="455"/>
        <v>-193.38096937814788</v>
      </c>
      <c r="Z975" s="16">
        <v>8</v>
      </c>
      <c r="AA975" s="16">
        <v>17</v>
      </c>
      <c r="AB975" s="8">
        <f t="shared" si="456"/>
        <v>0.29721362229102166</v>
      </c>
      <c r="AC975" s="16">
        <f t="shared" si="438"/>
        <v>64.60808893273439</v>
      </c>
      <c r="AD975" s="20">
        <f>'PFAS Properties'!$W$46</f>
        <v>8</v>
      </c>
      <c r="AE975" s="8">
        <f>'PFAS Properties'!$S$46</f>
        <v>2.0166155475571776</v>
      </c>
      <c r="AF975" s="15">
        <f>'PFAS Properties'!$V$46</f>
        <v>5</v>
      </c>
      <c r="AG975" s="26">
        <v>7.8</v>
      </c>
      <c r="AH975" s="1" t="s">
        <v>190</v>
      </c>
      <c r="AI975" s="39">
        <f t="shared" si="440"/>
        <v>59.195699999999995</v>
      </c>
      <c r="AJ975" s="1">
        <v>1060</v>
      </c>
      <c r="AK975" s="8">
        <f t="shared" si="441"/>
        <v>5.9195699999999993</v>
      </c>
      <c r="AL975" s="39">
        <f t="shared" si="442"/>
        <v>9.9016599999999997</v>
      </c>
      <c r="AM975" s="1">
        <v>367</v>
      </c>
      <c r="AN975" s="8">
        <f t="shared" si="443"/>
        <v>0.99016599999999999</v>
      </c>
      <c r="AO975" s="3" t="s">
        <v>93</v>
      </c>
      <c r="AP975" s="3">
        <v>40.1</v>
      </c>
      <c r="AQ975" s="3" t="s">
        <v>661</v>
      </c>
      <c r="AR975" s="4">
        <v>42.6</v>
      </c>
      <c r="AS975" s="4">
        <v>4.8</v>
      </c>
      <c r="AT975" s="4">
        <v>52.6</v>
      </c>
      <c r="AU975" s="3" t="s">
        <v>661</v>
      </c>
      <c r="AV975" s="16">
        <f t="shared" si="437"/>
        <v>100</v>
      </c>
      <c r="AW975" s="26">
        <v>1.6</v>
      </c>
      <c r="AX975" s="1">
        <f t="shared" si="444"/>
        <v>1.6E-2</v>
      </c>
      <c r="AY975" s="1" t="s">
        <v>511</v>
      </c>
      <c r="AZ975" s="1">
        <f t="shared" si="445"/>
        <v>100</v>
      </c>
      <c r="BA975" s="1" t="s">
        <v>55</v>
      </c>
      <c r="BB975" s="1">
        <v>5</v>
      </c>
      <c r="BC975" s="1">
        <v>500</v>
      </c>
      <c r="BD975" s="26">
        <f t="shared" si="446"/>
        <v>19.410583207095179</v>
      </c>
      <c r="BE975" s="16">
        <f t="shared" si="439"/>
        <v>1213.1614504434488</v>
      </c>
      <c r="BF975" s="16">
        <f t="shared" si="457"/>
        <v>3.0839186016669125</v>
      </c>
      <c r="BG975" s="8">
        <f t="shared" si="435"/>
        <v>1.2880385843228372</v>
      </c>
      <c r="BH975" s="13" t="s">
        <v>782</v>
      </c>
      <c r="BI975" s="8">
        <v>31</v>
      </c>
      <c r="BJ975" s="13" t="s">
        <v>349</v>
      </c>
      <c r="BK975" s="15">
        <v>0.8</v>
      </c>
      <c r="BL975" s="16">
        <f t="shared" si="447"/>
        <v>31</v>
      </c>
      <c r="BM975" s="18">
        <f>'PFAS Properties'!$U$46</f>
        <v>10.39</v>
      </c>
      <c r="BN975" s="8">
        <f t="shared" si="448"/>
        <v>201.67595952171894</v>
      </c>
      <c r="BO975" s="24">
        <f t="shared" si="449"/>
        <v>19.410583207095179</v>
      </c>
      <c r="BP975" s="11"/>
      <c r="BQ975" s="11"/>
    </row>
    <row r="976" spans="1:69" x14ac:dyDescent="0.3">
      <c r="A976" s="20">
        <v>997</v>
      </c>
      <c r="B976" s="2" t="s">
        <v>189</v>
      </c>
      <c r="C976" s="2">
        <v>2021</v>
      </c>
      <c r="D976" s="2" t="s">
        <v>510</v>
      </c>
      <c r="E976" s="41" t="s">
        <v>804</v>
      </c>
      <c r="F976" s="20" t="s">
        <v>29</v>
      </c>
      <c r="G976" s="2" t="s">
        <v>487</v>
      </c>
      <c r="H976" s="2" t="str">
        <f>'PFAS Properties'!$B$46</f>
        <v>PFOS</v>
      </c>
      <c r="I976" s="2" t="str">
        <f>'PFAS Properties'!$C$46</f>
        <v>PFSA</v>
      </c>
      <c r="J976" s="2" t="str">
        <f>'PFAS Properties'!$D$46</f>
        <v>C8HF17O3S</v>
      </c>
      <c r="K976" s="25">
        <f>'PFAS Properties'!$P$46</f>
        <v>499.93739999999997</v>
      </c>
      <c r="L976" s="2">
        <f>'PFAS Properties'!$X$46</f>
        <v>0.1</v>
      </c>
      <c r="M976" s="2" t="str">
        <f>'PFAS Properties'!$Y$46</f>
        <v>-</v>
      </c>
      <c r="N976" s="33">
        <v>0</v>
      </c>
      <c r="O976" s="33">
        <v>0</v>
      </c>
      <c r="P976" s="33">
        <v>0</v>
      </c>
      <c r="Q976" s="33">
        <f t="shared" si="450"/>
        <v>0.99999462971087649</v>
      </c>
      <c r="R976" s="33">
        <v>0</v>
      </c>
      <c r="S976" s="33">
        <f t="shared" si="451"/>
        <v>5.3702891235423617E-6</v>
      </c>
      <c r="T976" s="8">
        <f t="shared" si="436"/>
        <v>1</v>
      </c>
      <c r="U976" s="33">
        <f t="shared" si="452"/>
        <v>0</v>
      </c>
      <c r="V976" s="33">
        <f t="shared" si="453"/>
        <v>-0.99999462971087649</v>
      </c>
      <c r="W976" s="33">
        <f t="shared" si="454"/>
        <v>498.93740537028913</v>
      </c>
      <c r="X976" s="33">
        <v>96485</v>
      </c>
      <c r="Y976" s="16">
        <f t="shared" si="455"/>
        <v>-193.3799326511658</v>
      </c>
      <c r="Z976" s="16">
        <v>8</v>
      </c>
      <c r="AA976" s="16">
        <v>17</v>
      </c>
      <c r="AB976" s="8">
        <f t="shared" si="456"/>
        <v>0.29721362229102166</v>
      </c>
      <c r="AC976" s="16">
        <f t="shared" si="438"/>
        <v>64.60808893273439</v>
      </c>
      <c r="AD976" s="20">
        <f>'PFAS Properties'!$W$46</f>
        <v>8</v>
      </c>
      <c r="AE976" s="8">
        <f>'PFAS Properties'!$S$46</f>
        <v>2.0166155475571776</v>
      </c>
      <c r="AF976" s="15">
        <f>'PFAS Properties'!$V$46</f>
        <v>5</v>
      </c>
      <c r="AG976" s="26">
        <v>5.37</v>
      </c>
      <c r="AH976" s="1" t="s">
        <v>190</v>
      </c>
      <c r="AI976" s="39">
        <f t="shared" si="440"/>
        <v>115.37577</v>
      </c>
      <c r="AJ976" s="1">
        <v>2066</v>
      </c>
      <c r="AK976" s="8">
        <f t="shared" si="441"/>
        <v>11.537577000000001</v>
      </c>
      <c r="AL976" s="39">
        <f t="shared" si="442"/>
        <v>15.00088</v>
      </c>
      <c r="AM976" s="1">
        <v>556</v>
      </c>
      <c r="AN976" s="8">
        <f t="shared" si="443"/>
        <v>1.5000880000000001</v>
      </c>
      <c r="AO976" s="3" t="s">
        <v>93</v>
      </c>
      <c r="AP976" s="3">
        <v>33.9</v>
      </c>
      <c r="AQ976" s="3" t="s">
        <v>661</v>
      </c>
      <c r="AR976" s="4">
        <v>19.8</v>
      </c>
      <c r="AS976" s="4">
        <v>30.8</v>
      </c>
      <c r="AT976" s="4">
        <v>49.4</v>
      </c>
      <c r="AU976" s="3" t="s">
        <v>661</v>
      </c>
      <c r="AV976" s="16">
        <f t="shared" si="437"/>
        <v>100</v>
      </c>
      <c r="AW976" s="26">
        <v>2</v>
      </c>
      <c r="AX976" s="1">
        <f t="shared" si="444"/>
        <v>0.02</v>
      </c>
      <c r="AY976" s="1" t="s">
        <v>511</v>
      </c>
      <c r="AZ976" s="1">
        <f t="shared" si="445"/>
        <v>100</v>
      </c>
      <c r="BA976" s="1" t="s">
        <v>55</v>
      </c>
      <c r="BB976" s="1">
        <v>5</v>
      </c>
      <c r="BC976" s="1">
        <v>500</v>
      </c>
      <c r="BD976" s="26">
        <f t="shared" si="446"/>
        <v>33.624139297451975</v>
      </c>
      <c r="BE976" s="16">
        <f t="shared" si="439"/>
        <v>1681.2069648725987</v>
      </c>
      <c r="BF976" s="16">
        <f t="shared" si="457"/>
        <v>3.225621180524139</v>
      </c>
      <c r="BG976" s="8">
        <f t="shared" si="435"/>
        <v>1.5266511761881201</v>
      </c>
      <c r="BH976" s="13" t="s">
        <v>782</v>
      </c>
      <c r="BI976" s="8">
        <v>53.7</v>
      </c>
      <c r="BJ976" s="13" t="s">
        <v>349</v>
      </c>
      <c r="BK976" s="15">
        <v>0.8</v>
      </c>
      <c r="BL976" s="16">
        <f t="shared" si="447"/>
        <v>53.7</v>
      </c>
      <c r="BM976" s="18">
        <f>'PFAS Properties'!$U$46</f>
        <v>10.39</v>
      </c>
      <c r="BN976" s="8">
        <f t="shared" si="448"/>
        <v>349.35480730052603</v>
      </c>
      <c r="BO976" s="24">
        <f t="shared" si="449"/>
        <v>33.624139297451975</v>
      </c>
      <c r="BP976" s="11"/>
      <c r="BQ976" s="11"/>
    </row>
    <row r="977" spans="1:69" x14ac:dyDescent="0.3">
      <c r="A977" s="20">
        <v>998</v>
      </c>
      <c r="B977" s="2" t="s">
        <v>189</v>
      </c>
      <c r="C977" s="2">
        <v>2021</v>
      </c>
      <c r="D977" s="2" t="s">
        <v>510</v>
      </c>
      <c r="E977" s="41" t="s">
        <v>804</v>
      </c>
      <c r="F977" s="20" t="s">
        <v>29</v>
      </c>
      <c r="G977" s="2" t="s">
        <v>488</v>
      </c>
      <c r="H977" s="2" t="str">
        <f>'PFAS Properties'!$B$46</f>
        <v>PFOS</v>
      </c>
      <c r="I977" s="2" t="str">
        <f>'PFAS Properties'!$C$46</f>
        <v>PFSA</v>
      </c>
      <c r="J977" s="2" t="str">
        <f>'PFAS Properties'!$D$46</f>
        <v>C8HF17O3S</v>
      </c>
      <c r="K977" s="25">
        <f>'PFAS Properties'!$P$46</f>
        <v>499.93739999999997</v>
      </c>
      <c r="L977" s="2">
        <f>'PFAS Properties'!$X$46</f>
        <v>0.1</v>
      </c>
      <c r="M977" s="2" t="str">
        <f>'PFAS Properties'!$Y$46</f>
        <v>-</v>
      </c>
      <c r="N977" s="33">
        <v>0</v>
      </c>
      <c r="O977" s="33">
        <v>0</v>
      </c>
      <c r="P977" s="33">
        <v>0</v>
      </c>
      <c r="Q977" s="33">
        <f t="shared" si="450"/>
        <v>0.99999718162501194</v>
      </c>
      <c r="R977" s="33">
        <v>0</v>
      </c>
      <c r="S977" s="33">
        <f t="shared" si="451"/>
        <v>2.8183749880044879E-6</v>
      </c>
      <c r="T977" s="8">
        <f t="shared" si="436"/>
        <v>1</v>
      </c>
      <c r="U977" s="33">
        <f t="shared" si="452"/>
        <v>0</v>
      </c>
      <c r="V977" s="33">
        <f t="shared" si="453"/>
        <v>-0.99999718162501194</v>
      </c>
      <c r="W977" s="33">
        <f t="shared" si="454"/>
        <v>498.93740281837495</v>
      </c>
      <c r="X977" s="33">
        <v>96485</v>
      </c>
      <c r="Y977" s="16">
        <f t="shared" si="455"/>
        <v>-193.3804271318821</v>
      </c>
      <c r="Z977" s="16">
        <v>8</v>
      </c>
      <c r="AA977" s="16">
        <v>17</v>
      </c>
      <c r="AB977" s="8">
        <f t="shared" si="456"/>
        <v>0.29721362229102166</v>
      </c>
      <c r="AC977" s="16">
        <f t="shared" si="438"/>
        <v>64.60808893273439</v>
      </c>
      <c r="AD977" s="20">
        <f>'PFAS Properties'!$W$46</f>
        <v>8</v>
      </c>
      <c r="AE977" s="8">
        <f>'PFAS Properties'!$S$46</f>
        <v>2.0166155475571776</v>
      </c>
      <c r="AF977" s="15">
        <f>'PFAS Properties'!$V$46</f>
        <v>5</v>
      </c>
      <c r="AG977" s="26">
        <v>5.65</v>
      </c>
      <c r="AH977" s="1" t="s">
        <v>190</v>
      </c>
      <c r="AI977" s="39">
        <f t="shared" si="440"/>
        <v>122.18886000000001</v>
      </c>
      <c r="AJ977" s="1">
        <v>2188</v>
      </c>
      <c r="AK977" s="8">
        <f t="shared" si="441"/>
        <v>12.218886000000001</v>
      </c>
      <c r="AL977" s="39">
        <f t="shared" si="442"/>
        <v>15.29766</v>
      </c>
      <c r="AM977" s="1">
        <v>567</v>
      </c>
      <c r="AN977" s="8">
        <f t="shared" si="443"/>
        <v>1.529766</v>
      </c>
      <c r="AO977" s="3" t="s">
        <v>93</v>
      </c>
      <c r="AP977" s="3">
        <v>33.5</v>
      </c>
      <c r="AQ977" s="3" t="s">
        <v>661</v>
      </c>
      <c r="AR977" s="4">
        <v>25.6</v>
      </c>
      <c r="AS977" s="4">
        <v>30.1</v>
      </c>
      <c r="AT977" s="4">
        <v>44.2</v>
      </c>
      <c r="AU977" s="3" t="s">
        <v>661</v>
      </c>
      <c r="AV977" s="16">
        <f t="shared" si="437"/>
        <v>99.9</v>
      </c>
      <c r="AW977" s="26">
        <v>1.9</v>
      </c>
      <c r="AX977" s="1">
        <f t="shared" si="444"/>
        <v>1.9E-2</v>
      </c>
      <c r="AY977" s="1" t="s">
        <v>511</v>
      </c>
      <c r="AZ977" s="1">
        <f t="shared" si="445"/>
        <v>100</v>
      </c>
      <c r="BA977" s="1" t="s">
        <v>55</v>
      </c>
      <c r="BB977" s="1">
        <v>5</v>
      </c>
      <c r="BC977" s="1">
        <v>500</v>
      </c>
      <c r="BD977" s="26">
        <f t="shared" si="446"/>
        <v>30.669449786087707</v>
      </c>
      <c r="BE977" s="16">
        <f t="shared" si="439"/>
        <v>1614.1815676888268</v>
      </c>
      <c r="BF977" s="16">
        <f t="shared" si="457"/>
        <v>3.2079523838001358</v>
      </c>
      <c r="BG977" s="8">
        <f t="shared" si="435"/>
        <v>1.4867059847529647</v>
      </c>
      <c r="BH977" s="13" t="s">
        <v>782</v>
      </c>
      <c r="BI977" s="8">
        <v>61.9</v>
      </c>
      <c r="BJ977" s="13" t="s">
        <v>349</v>
      </c>
      <c r="BK977" s="15">
        <v>0.7</v>
      </c>
      <c r="BL977" s="16">
        <f t="shared" si="447"/>
        <v>61.9</v>
      </c>
      <c r="BM977" s="18">
        <f>'PFAS Properties'!$U$46</f>
        <v>10.39</v>
      </c>
      <c r="BN977" s="8">
        <f t="shared" si="448"/>
        <v>318.65558327745129</v>
      </c>
      <c r="BO977" s="24">
        <f t="shared" si="449"/>
        <v>30.669449786087707</v>
      </c>
      <c r="BP977" s="11"/>
      <c r="BQ977" s="11"/>
    </row>
    <row r="978" spans="1:69" x14ac:dyDescent="0.3">
      <c r="A978" s="20">
        <v>999</v>
      </c>
      <c r="B978" s="2" t="s">
        <v>189</v>
      </c>
      <c r="C978" s="2">
        <v>2021</v>
      </c>
      <c r="D978" s="2" t="s">
        <v>510</v>
      </c>
      <c r="E978" s="41" t="s">
        <v>804</v>
      </c>
      <c r="F978" s="20" t="s">
        <v>29</v>
      </c>
      <c r="G978" s="2" t="s">
        <v>489</v>
      </c>
      <c r="H978" s="2" t="str">
        <f>'PFAS Properties'!$B$46</f>
        <v>PFOS</v>
      </c>
      <c r="I978" s="2" t="str">
        <f>'PFAS Properties'!$C$46</f>
        <v>PFSA</v>
      </c>
      <c r="J978" s="2" t="str">
        <f>'PFAS Properties'!$D$46</f>
        <v>C8HF17O3S</v>
      </c>
      <c r="K978" s="25">
        <f>'PFAS Properties'!$P$46</f>
        <v>499.93739999999997</v>
      </c>
      <c r="L978" s="2">
        <f>'PFAS Properties'!$X$46</f>
        <v>0.1</v>
      </c>
      <c r="M978" s="2" t="str">
        <f>'PFAS Properties'!$Y$46</f>
        <v>-</v>
      </c>
      <c r="N978" s="33">
        <v>0</v>
      </c>
      <c r="O978" s="33">
        <v>0</v>
      </c>
      <c r="P978" s="33">
        <v>0</v>
      </c>
      <c r="Q978" s="33">
        <f t="shared" si="450"/>
        <v>0.99999967640644782</v>
      </c>
      <c r="R978" s="33">
        <v>0</v>
      </c>
      <c r="S978" s="33">
        <f t="shared" si="451"/>
        <v>3.2359355221680673E-7</v>
      </c>
      <c r="T978" s="8">
        <f t="shared" si="436"/>
        <v>1</v>
      </c>
      <c r="U978" s="33">
        <f t="shared" si="452"/>
        <v>0</v>
      </c>
      <c r="V978" s="33">
        <f t="shared" si="453"/>
        <v>-0.99999967640644782</v>
      </c>
      <c r="W978" s="33">
        <f t="shared" si="454"/>
        <v>498.93740032359358</v>
      </c>
      <c r="X978" s="33">
        <v>96485</v>
      </c>
      <c r="Y978" s="16">
        <f t="shared" si="455"/>
        <v>-193.38091054208263</v>
      </c>
      <c r="Z978" s="16">
        <v>8</v>
      </c>
      <c r="AA978" s="16">
        <v>17</v>
      </c>
      <c r="AB978" s="8">
        <f t="shared" si="456"/>
        <v>0.29721362229102166</v>
      </c>
      <c r="AC978" s="16">
        <f t="shared" si="438"/>
        <v>64.60808893273439</v>
      </c>
      <c r="AD978" s="20">
        <f>'PFAS Properties'!$W$46</f>
        <v>8</v>
      </c>
      <c r="AE978" s="8">
        <f>'PFAS Properties'!$S$46</f>
        <v>2.0166155475571776</v>
      </c>
      <c r="AF978" s="15">
        <f>'PFAS Properties'!$V$46</f>
        <v>5</v>
      </c>
      <c r="AG978" s="26">
        <v>6.59</v>
      </c>
      <c r="AH978" s="1" t="s">
        <v>190</v>
      </c>
      <c r="AI978" s="39">
        <f t="shared" si="440"/>
        <v>148.99446</v>
      </c>
      <c r="AJ978" s="1">
        <v>2668</v>
      </c>
      <c r="AK978" s="8">
        <f t="shared" si="441"/>
        <v>14.899446000000001</v>
      </c>
      <c r="AL978" s="39">
        <f t="shared" si="442"/>
        <v>31.809420000000003</v>
      </c>
      <c r="AM978" s="1">
        <v>1179</v>
      </c>
      <c r="AN978" s="8">
        <f t="shared" si="443"/>
        <v>3.1809420000000004</v>
      </c>
      <c r="AO978" s="3" t="s">
        <v>93</v>
      </c>
      <c r="AP978" s="3">
        <v>24.4</v>
      </c>
      <c r="AQ978" s="3" t="s">
        <v>661</v>
      </c>
      <c r="AR978" s="4">
        <v>69</v>
      </c>
      <c r="AS978" s="4">
        <v>13.6</v>
      </c>
      <c r="AT978" s="4">
        <v>17.399999999999999</v>
      </c>
      <c r="AU978" s="3" t="s">
        <v>661</v>
      </c>
      <c r="AV978" s="16">
        <f t="shared" si="437"/>
        <v>100</v>
      </c>
      <c r="AW978" s="26">
        <v>1.5</v>
      </c>
      <c r="AX978" s="1">
        <f t="shared" si="444"/>
        <v>1.4999999999999999E-2</v>
      </c>
      <c r="AY978" s="1" t="s">
        <v>511</v>
      </c>
      <c r="AZ978" s="1">
        <f t="shared" si="445"/>
        <v>100</v>
      </c>
      <c r="BA978" s="1" t="s">
        <v>55</v>
      </c>
      <c r="BB978" s="1">
        <v>5</v>
      </c>
      <c r="BC978" s="1">
        <v>500</v>
      </c>
      <c r="BD978" s="26">
        <f t="shared" si="446"/>
        <v>16.405073549222376</v>
      </c>
      <c r="BE978" s="16">
        <f t="shared" si="439"/>
        <v>1093.6715699481583</v>
      </c>
      <c r="BF978" s="16">
        <f t="shared" si="457"/>
        <v>3.0388869227526287</v>
      </c>
      <c r="BG978" s="8">
        <f t="shared" si="435"/>
        <v>1.2149781818083099</v>
      </c>
      <c r="BH978" s="13" t="s">
        <v>782</v>
      </c>
      <c r="BI978" s="8">
        <v>26.2</v>
      </c>
      <c r="BJ978" s="13" t="s">
        <v>349</v>
      </c>
      <c r="BK978" s="15">
        <v>0.8</v>
      </c>
      <c r="BL978" s="16">
        <f t="shared" si="447"/>
        <v>26.2</v>
      </c>
      <c r="BM978" s="18">
        <f>'PFAS Properties'!$U$46</f>
        <v>10.39</v>
      </c>
      <c r="BN978" s="8">
        <f t="shared" si="448"/>
        <v>170.44871417642051</v>
      </c>
      <c r="BO978" s="24">
        <f t="shared" si="449"/>
        <v>16.405073549222376</v>
      </c>
      <c r="BP978" s="11"/>
      <c r="BQ978" s="11"/>
    </row>
    <row r="979" spans="1:69" x14ac:dyDescent="0.3">
      <c r="A979" s="20">
        <v>1000</v>
      </c>
      <c r="B979" s="2" t="s">
        <v>189</v>
      </c>
      <c r="C979" s="2">
        <v>2021</v>
      </c>
      <c r="D979" s="2" t="s">
        <v>510</v>
      </c>
      <c r="E979" s="41" t="s">
        <v>804</v>
      </c>
      <c r="F979" s="20" t="s">
        <v>29</v>
      </c>
      <c r="G979" s="2" t="s">
        <v>490</v>
      </c>
      <c r="H979" s="2" t="str">
        <f>'PFAS Properties'!$B$46</f>
        <v>PFOS</v>
      </c>
      <c r="I979" s="2" t="str">
        <f>'PFAS Properties'!$C$46</f>
        <v>PFSA</v>
      </c>
      <c r="J979" s="2" t="str">
        <f>'PFAS Properties'!$D$46</f>
        <v>C8HF17O3S</v>
      </c>
      <c r="K979" s="25">
        <f>'PFAS Properties'!$P$46</f>
        <v>499.93739999999997</v>
      </c>
      <c r="L979" s="2">
        <f>'PFAS Properties'!$X$46</f>
        <v>0.1</v>
      </c>
      <c r="M979" s="2" t="str">
        <f>'PFAS Properties'!$Y$46</f>
        <v>-</v>
      </c>
      <c r="N979" s="33">
        <v>0</v>
      </c>
      <c r="O979" s="33">
        <v>0</v>
      </c>
      <c r="P979" s="33">
        <v>0</v>
      </c>
      <c r="Q979" s="33">
        <f t="shared" si="450"/>
        <v>0.99999969800491917</v>
      </c>
      <c r="R979" s="33">
        <v>0</v>
      </c>
      <c r="S979" s="33">
        <f t="shared" si="451"/>
        <v>3.0199508083914471E-7</v>
      </c>
      <c r="T979" s="8">
        <f t="shared" si="436"/>
        <v>1</v>
      </c>
      <c r="U979" s="33">
        <f t="shared" si="452"/>
        <v>0</v>
      </c>
      <c r="V979" s="33">
        <f t="shared" si="453"/>
        <v>-0.99999969800491917</v>
      </c>
      <c r="W979" s="33">
        <f t="shared" si="454"/>
        <v>498.93740030199507</v>
      </c>
      <c r="X979" s="33">
        <v>96485</v>
      </c>
      <c r="Y979" s="16">
        <f t="shared" si="455"/>
        <v>-193.3809147271873</v>
      </c>
      <c r="Z979" s="16">
        <v>8</v>
      </c>
      <c r="AA979" s="16">
        <v>17</v>
      </c>
      <c r="AB979" s="8">
        <f t="shared" si="456"/>
        <v>0.29721362229102166</v>
      </c>
      <c r="AC979" s="16">
        <f t="shared" si="438"/>
        <v>64.60808893273439</v>
      </c>
      <c r="AD979" s="20">
        <f>'PFAS Properties'!$W$46</f>
        <v>8</v>
      </c>
      <c r="AE979" s="8">
        <f>'PFAS Properties'!$S$46</f>
        <v>2.0166155475571776</v>
      </c>
      <c r="AF979" s="15">
        <f>'PFAS Properties'!$V$46</f>
        <v>5</v>
      </c>
      <c r="AG979" s="26">
        <v>6.62</v>
      </c>
      <c r="AH979" s="1" t="s">
        <v>190</v>
      </c>
      <c r="AI979" s="39">
        <f t="shared" si="440"/>
        <v>156.58938000000001</v>
      </c>
      <c r="AJ979" s="1">
        <v>2804</v>
      </c>
      <c r="AK979" s="8">
        <f t="shared" si="441"/>
        <v>15.658938000000001</v>
      </c>
      <c r="AL979" s="39">
        <f t="shared" si="442"/>
        <v>33.293320000000001</v>
      </c>
      <c r="AM979" s="1">
        <v>1234</v>
      </c>
      <c r="AN979" s="8">
        <f t="shared" si="443"/>
        <v>3.329332</v>
      </c>
      <c r="AO979" s="3" t="s">
        <v>93</v>
      </c>
      <c r="AP979" s="3">
        <v>12.9</v>
      </c>
      <c r="AQ979" s="3" t="s">
        <v>661</v>
      </c>
      <c r="AR979" s="4">
        <v>68.7</v>
      </c>
      <c r="AS979" s="4">
        <v>12.4</v>
      </c>
      <c r="AT979" s="4">
        <v>19</v>
      </c>
      <c r="AU979" s="3" t="s">
        <v>661</v>
      </c>
      <c r="AV979" s="16">
        <f t="shared" si="437"/>
        <v>100.10000000000001</v>
      </c>
      <c r="AW979" s="26">
        <v>1.3</v>
      </c>
      <c r="AX979" s="1">
        <f t="shared" si="444"/>
        <v>1.3000000000000001E-2</v>
      </c>
      <c r="AY979" s="1" t="s">
        <v>511</v>
      </c>
      <c r="AZ979" s="1">
        <f t="shared" si="445"/>
        <v>100</v>
      </c>
      <c r="BA979" s="1" t="s">
        <v>55</v>
      </c>
      <c r="BB979" s="1">
        <v>5</v>
      </c>
      <c r="BC979" s="1">
        <v>500</v>
      </c>
      <c r="BD979" s="26">
        <f t="shared" si="446"/>
        <v>13.775252598583677</v>
      </c>
      <c r="BE979" s="16">
        <f t="shared" si="439"/>
        <v>1059.6348152756673</v>
      </c>
      <c r="BF979" s="16">
        <f t="shared" si="457"/>
        <v>3.0251562190039341</v>
      </c>
      <c r="BG979" s="8">
        <f t="shared" si="435"/>
        <v>1.1390995713107708</v>
      </c>
      <c r="BH979" s="13" t="s">
        <v>782</v>
      </c>
      <c r="BI979" s="8">
        <v>22</v>
      </c>
      <c r="BJ979" s="13" t="s">
        <v>349</v>
      </c>
      <c r="BK979" s="15">
        <v>0.8</v>
      </c>
      <c r="BL979" s="16">
        <f t="shared" si="447"/>
        <v>22</v>
      </c>
      <c r="BM979" s="18">
        <f>'PFAS Properties'!$U$46</f>
        <v>10.39</v>
      </c>
      <c r="BN979" s="8">
        <f t="shared" si="448"/>
        <v>143.1248744992844</v>
      </c>
      <c r="BO979" s="24">
        <f t="shared" si="449"/>
        <v>13.775252598583677</v>
      </c>
      <c r="BP979" s="11"/>
      <c r="BQ979" s="11"/>
    </row>
    <row r="980" spans="1:69" x14ac:dyDescent="0.3">
      <c r="A980" s="20">
        <v>1001</v>
      </c>
      <c r="B980" s="2" t="s">
        <v>189</v>
      </c>
      <c r="C980" s="2">
        <v>2021</v>
      </c>
      <c r="D980" s="2" t="s">
        <v>510</v>
      </c>
      <c r="E980" s="41" t="s">
        <v>804</v>
      </c>
      <c r="F980" s="20" t="s">
        <v>29</v>
      </c>
      <c r="G980" s="2" t="s">
        <v>491</v>
      </c>
      <c r="H980" s="2" t="str">
        <f>'PFAS Properties'!$B$46</f>
        <v>PFOS</v>
      </c>
      <c r="I980" s="2" t="str">
        <f>'PFAS Properties'!$C$46</f>
        <v>PFSA</v>
      </c>
      <c r="J980" s="2" t="str">
        <f>'PFAS Properties'!$D$46</f>
        <v>C8HF17O3S</v>
      </c>
      <c r="K980" s="25">
        <f>'PFAS Properties'!$P$46</f>
        <v>499.93739999999997</v>
      </c>
      <c r="L980" s="2">
        <f>'PFAS Properties'!$X$46</f>
        <v>0.1</v>
      </c>
      <c r="M980" s="2" t="str">
        <f>'PFAS Properties'!$Y$46</f>
        <v>-</v>
      </c>
      <c r="N980" s="33">
        <v>0</v>
      </c>
      <c r="O980" s="33">
        <v>0</v>
      </c>
      <c r="P980" s="33">
        <v>0</v>
      </c>
      <c r="Q980" s="33">
        <f t="shared" si="450"/>
        <v>0.99997958303741419</v>
      </c>
      <c r="R980" s="33">
        <v>0</v>
      </c>
      <c r="S980" s="33">
        <f t="shared" si="451"/>
        <v>2.0416962585823003E-5</v>
      </c>
      <c r="T980" s="8">
        <f t="shared" si="436"/>
        <v>1</v>
      </c>
      <c r="U980" s="33">
        <f t="shared" si="452"/>
        <v>0</v>
      </c>
      <c r="V980" s="33">
        <f t="shared" si="453"/>
        <v>-0.99997958303741419</v>
      </c>
      <c r="W980" s="33">
        <f t="shared" si="454"/>
        <v>498.93742041696254</v>
      </c>
      <c r="X980" s="33">
        <v>96485</v>
      </c>
      <c r="Y980" s="16">
        <f t="shared" si="455"/>
        <v>-193.37701707908366</v>
      </c>
      <c r="Z980" s="16">
        <v>8</v>
      </c>
      <c r="AA980" s="16">
        <v>17</v>
      </c>
      <c r="AB980" s="8">
        <f t="shared" si="456"/>
        <v>0.29721362229102166</v>
      </c>
      <c r="AC980" s="16">
        <f t="shared" si="438"/>
        <v>64.60808893273439</v>
      </c>
      <c r="AD980" s="20">
        <f>'PFAS Properties'!$W$46</f>
        <v>8</v>
      </c>
      <c r="AE980" s="8">
        <f>'PFAS Properties'!$S$46</f>
        <v>2.0166155475571776</v>
      </c>
      <c r="AF980" s="15">
        <f>'PFAS Properties'!$V$46</f>
        <v>5</v>
      </c>
      <c r="AG980" s="26">
        <v>4.79</v>
      </c>
      <c r="AH980" s="1" t="s">
        <v>190</v>
      </c>
      <c r="AI980" s="39">
        <f t="shared" si="440"/>
        <v>89.798760000000001</v>
      </c>
      <c r="AJ980" s="1">
        <v>1608</v>
      </c>
      <c r="AK980" s="8">
        <f t="shared" si="441"/>
        <v>8.9798760000000009</v>
      </c>
      <c r="AL980" s="39">
        <f t="shared" si="442"/>
        <v>19.506540000000001</v>
      </c>
      <c r="AM980" s="1">
        <v>723</v>
      </c>
      <c r="AN980" s="8">
        <f t="shared" si="443"/>
        <v>1.9506540000000001</v>
      </c>
      <c r="AO980" s="3" t="s">
        <v>93</v>
      </c>
      <c r="AP980" s="3">
        <v>8.1999999999999993</v>
      </c>
      <c r="AQ980" s="3" t="s">
        <v>661</v>
      </c>
      <c r="AR980" s="4">
        <v>76.3</v>
      </c>
      <c r="AS980" s="4">
        <v>19.3</v>
      </c>
      <c r="AT980" s="4">
        <v>4.4000000000000004</v>
      </c>
      <c r="AU980" s="3" t="s">
        <v>661</v>
      </c>
      <c r="AV980" s="16">
        <f t="shared" si="437"/>
        <v>100</v>
      </c>
      <c r="AW980" s="26">
        <v>1</v>
      </c>
      <c r="AX980" s="1">
        <f t="shared" si="444"/>
        <v>0.01</v>
      </c>
      <c r="AY980" s="1" t="s">
        <v>511</v>
      </c>
      <c r="AZ980" s="1">
        <f t="shared" si="445"/>
        <v>100</v>
      </c>
      <c r="BA980" s="1" t="s">
        <v>55</v>
      </c>
      <c r="BB980" s="1">
        <v>5</v>
      </c>
      <c r="BC980" s="1">
        <v>500</v>
      </c>
      <c r="BD980" s="26">
        <f t="shared" si="446"/>
        <v>23.042240710358147</v>
      </c>
      <c r="BE980" s="16">
        <f t="shared" si="439"/>
        <v>2304.2240710358146</v>
      </c>
      <c r="BF980" s="16">
        <f t="shared" si="457"/>
        <v>3.362524709162082</v>
      </c>
      <c r="BG980" s="8">
        <f t="shared" si="435"/>
        <v>1.362524709162082</v>
      </c>
      <c r="BH980" s="13" t="s">
        <v>782</v>
      </c>
      <c r="BI980" s="8">
        <v>36.799999999999997</v>
      </c>
      <c r="BJ980" s="13" t="s">
        <v>349</v>
      </c>
      <c r="BK980" s="15">
        <v>0.8</v>
      </c>
      <c r="BL980" s="16">
        <f t="shared" si="447"/>
        <v>36.799999999999997</v>
      </c>
      <c r="BM980" s="18">
        <f>'PFAS Properties'!$U$46</f>
        <v>10.39</v>
      </c>
      <c r="BN980" s="8">
        <f t="shared" si="448"/>
        <v>239.40888098062118</v>
      </c>
      <c r="BO980" s="24">
        <f t="shared" si="449"/>
        <v>23.042240710358147</v>
      </c>
      <c r="BP980" s="11"/>
      <c r="BQ980" s="11"/>
    </row>
    <row r="981" spans="1:69" x14ac:dyDescent="0.3">
      <c r="A981" s="20">
        <v>1002</v>
      </c>
      <c r="B981" s="2" t="s">
        <v>189</v>
      </c>
      <c r="C981" s="2">
        <v>2021</v>
      </c>
      <c r="D981" s="2" t="s">
        <v>510</v>
      </c>
      <c r="E981" s="41" t="s">
        <v>804</v>
      </c>
      <c r="F981" s="20" t="s">
        <v>29</v>
      </c>
      <c r="G981" s="2" t="s">
        <v>492</v>
      </c>
      <c r="H981" s="2" t="str">
        <f>'PFAS Properties'!$B$46</f>
        <v>PFOS</v>
      </c>
      <c r="I981" s="2" t="str">
        <f>'PFAS Properties'!$C$46</f>
        <v>PFSA</v>
      </c>
      <c r="J981" s="2" t="str">
        <f>'PFAS Properties'!$D$46</f>
        <v>C8HF17O3S</v>
      </c>
      <c r="K981" s="25">
        <f>'PFAS Properties'!$P$46</f>
        <v>499.93739999999997</v>
      </c>
      <c r="L981" s="2">
        <f>'PFAS Properties'!$X$46</f>
        <v>0.1</v>
      </c>
      <c r="M981" s="2" t="str">
        <f>'PFAS Properties'!$Y$46</f>
        <v>-</v>
      </c>
      <c r="N981" s="33">
        <v>0</v>
      </c>
      <c r="O981" s="33">
        <v>0</v>
      </c>
      <c r="P981" s="33">
        <v>0</v>
      </c>
      <c r="Q981" s="33">
        <f t="shared" si="450"/>
        <v>0.99997761328979029</v>
      </c>
      <c r="R981" s="33">
        <v>0</v>
      </c>
      <c r="S981" s="33">
        <f t="shared" si="451"/>
        <v>2.2386710209669665E-5</v>
      </c>
      <c r="T981" s="8">
        <f t="shared" si="436"/>
        <v>1</v>
      </c>
      <c r="U981" s="33">
        <f t="shared" si="452"/>
        <v>0</v>
      </c>
      <c r="V981" s="33">
        <f t="shared" si="453"/>
        <v>-0.99997761328979029</v>
      </c>
      <c r="W981" s="33">
        <f t="shared" si="454"/>
        <v>498.93742238671013</v>
      </c>
      <c r="X981" s="33">
        <v>96485</v>
      </c>
      <c r="Y981" s="16">
        <f t="shared" si="455"/>
        <v>-193.37663540395798</v>
      </c>
      <c r="Z981" s="16">
        <v>8</v>
      </c>
      <c r="AA981" s="16">
        <v>17</v>
      </c>
      <c r="AB981" s="8">
        <f t="shared" si="456"/>
        <v>0.29721362229102166</v>
      </c>
      <c r="AC981" s="16">
        <f t="shared" si="438"/>
        <v>64.60808893273439</v>
      </c>
      <c r="AD981" s="20">
        <f>'PFAS Properties'!$W$46</f>
        <v>8</v>
      </c>
      <c r="AE981" s="8">
        <f>'PFAS Properties'!$S$46</f>
        <v>2.0166155475571776</v>
      </c>
      <c r="AF981" s="15">
        <f>'PFAS Properties'!$V$46</f>
        <v>5</v>
      </c>
      <c r="AG981" s="26">
        <v>4.75</v>
      </c>
      <c r="AH981" s="1" t="s">
        <v>190</v>
      </c>
      <c r="AI981" s="39">
        <f t="shared" si="440"/>
        <v>93.987134999999995</v>
      </c>
      <c r="AJ981" s="1">
        <v>1683</v>
      </c>
      <c r="AK981" s="8">
        <f t="shared" si="441"/>
        <v>9.3987134999999995</v>
      </c>
      <c r="AL981" s="39">
        <f t="shared" si="442"/>
        <v>20.396879999999999</v>
      </c>
      <c r="AM981" s="1">
        <v>756</v>
      </c>
      <c r="AN981" s="8">
        <f t="shared" si="443"/>
        <v>2.0396879999999999</v>
      </c>
      <c r="AO981" s="3" t="s">
        <v>93</v>
      </c>
      <c r="AP981" s="3">
        <v>8</v>
      </c>
      <c r="AQ981" s="3" t="s">
        <v>661</v>
      </c>
      <c r="AR981" s="4">
        <v>68.2</v>
      </c>
      <c r="AS981" s="4">
        <v>19</v>
      </c>
      <c r="AT981" s="4">
        <v>12.8</v>
      </c>
      <c r="AU981" s="3" t="s">
        <v>661</v>
      </c>
      <c r="AV981" s="16">
        <f t="shared" si="437"/>
        <v>100</v>
      </c>
      <c r="AW981" s="26">
        <v>1.1000000000000001</v>
      </c>
      <c r="AX981" s="1">
        <f t="shared" si="444"/>
        <v>1.1000000000000001E-2</v>
      </c>
      <c r="AY981" s="1" t="s">
        <v>511</v>
      </c>
      <c r="AZ981" s="1">
        <f t="shared" si="445"/>
        <v>100</v>
      </c>
      <c r="BA981" s="1" t="s">
        <v>55</v>
      </c>
      <c r="BB981" s="1">
        <v>5</v>
      </c>
      <c r="BC981" s="1">
        <v>500</v>
      </c>
      <c r="BD981" s="26">
        <f t="shared" si="446"/>
        <v>18.972279715322067</v>
      </c>
      <c r="BE981" s="16">
        <f t="shared" si="439"/>
        <v>1724.752701392915</v>
      </c>
      <c r="BF981" s="16">
        <f t="shared" si="457"/>
        <v>3.2367268338326447</v>
      </c>
      <c r="BG981" s="8">
        <f t="shared" si="435"/>
        <v>1.2781195189908696</v>
      </c>
      <c r="BH981" s="13" t="s">
        <v>782</v>
      </c>
      <c r="BI981" s="8">
        <v>30.3</v>
      </c>
      <c r="BJ981" s="13" t="s">
        <v>349</v>
      </c>
      <c r="BK981" s="15">
        <v>0.8</v>
      </c>
      <c r="BL981" s="16">
        <f t="shared" si="447"/>
        <v>30.3</v>
      </c>
      <c r="BM981" s="18">
        <f>'PFAS Properties'!$U$46</f>
        <v>10.39</v>
      </c>
      <c r="BN981" s="8">
        <f t="shared" si="448"/>
        <v>197.12198624219627</v>
      </c>
      <c r="BO981" s="24">
        <f t="shared" si="449"/>
        <v>18.972279715322067</v>
      </c>
      <c r="BP981" s="11"/>
      <c r="BQ981" s="11"/>
    </row>
    <row r="982" spans="1:69" x14ac:dyDescent="0.3">
      <c r="A982" s="20">
        <v>1003</v>
      </c>
      <c r="B982" s="2" t="s">
        <v>189</v>
      </c>
      <c r="C982" s="2">
        <v>2021</v>
      </c>
      <c r="D982" s="2" t="s">
        <v>510</v>
      </c>
      <c r="E982" s="41" t="s">
        <v>804</v>
      </c>
      <c r="F982" s="20" t="s">
        <v>29</v>
      </c>
      <c r="G982" s="2" t="s">
        <v>493</v>
      </c>
      <c r="H982" s="2" t="str">
        <f>'PFAS Properties'!$B$46</f>
        <v>PFOS</v>
      </c>
      <c r="I982" s="2" t="str">
        <f>'PFAS Properties'!$C$46</f>
        <v>PFSA</v>
      </c>
      <c r="J982" s="2" t="str">
        <f>'PFAS Properties'!$D$46</f>
        <v>C8HF17O3S</v>
      </c>
      <c r="K982" s="25">
        <f>'PFAS Properties'!$P$46</f>
        <v>499.93739999999997</v>
      </c>
      <c r="L982" s="2">
        <f>'PFAS Properties'!$X$46</f>
        <v>0.1</v>
      </c>
      <c r="M982" s="2" t="str">
        <f>'PFAS Properties'!$Y$46</f>
        <v>-</v>
      </c>
      <c r="N982" s="33">
        <v>0</v>
      </c>
      <c r="O982" s="33">
        <v>0</v>
      </c>
      <c r="P982" s="33">
        <v>0</v>
      </c>
      <c r="Q982" s="33">
        <f t="shared" si="450"/>
        <v>0.99999929205471683</v>
      </c>
      <c r="R982" s="33">
        <v>0</v>
      </c>
      <c r="S982" s="33">
        <f t="shared" si="451"/>
        <v>7.0794528319725796E-7</v>
      </c>
      <c r="T982" s="8">
        <f t="shared" si="436"/>
        <v>1</v>
      </c>
      <c r="U982" s="33">
        <f t="shared" si="452"/>
        <v>0</v>
      </c>
      <c r="V982" s="33">
        <f t="shared" si="453"/>
        <v>-0.99999929205471683</v>
      </c>
      <c r="W982" s="33">
        <f t="shared" si="454"/>
        <v>498.93740070794524</v>
      </c>
      <c r="X982" s="33">
        <v>96485</v>
      </c>
      <c r="Y982" s="16">
        <f t="shared" si="455"/>
        <v>-193.38083606680181</v>
      </c>
      <c r="Z982" s="16">
        <v>8</v>
      </c>
      <c r="AA982" s="16">
        <v>17</v>
      </c>
      <c r="AB982" s="8">
        <f t="shared" si="456"/>
        <v>0.29721362229102166</v>
      </c>
      <c r="AC982" s="16">
        <f t="shared" si="438"/>
        <v>64.60808893273439</v>
      </c>
      <c r="AD982" s="20">
        <f>'PFAS Properties'!$W$46</f>
        <v>8</v>
      </c>
      <c r="AE982" s="8">
        <f>'PFAS Properties'!$S$46</f>
        <v>2.0166155475571776</v>
      </c>
      <c r="AF982" s="15">
        <f>'PFAS Properties'!$V$46</f>
        <v>5</v>
      </c>
      <c r="AG982" s="26">
        <v>6.25</v>
      </c>
      <c r="AH982" s="1" t="s">
        <v>190</v>
      </c>
      <c r="AI982" s="39">
        <f t="shared" si="440"/>
        <v>272.57944500000002</v>
      </c>
      <c r="AJ982" s="1">
        <v>4881</v>
      </c>
      <c r="AK982" s="8">
        <f t="shared" si="441"/>
        <v>27.257944500000001</v>
      </c>
      <c r="AL982" s="39">
        <f t="shared" si="442"/>
        <v>53.096640000000001</v>
      </c>
      <c r="AM982" s="1">
        <v>1968</v>
      </c>
      <c r="AN982" s="8">
        <f t="shared" si="443"/>
        <v>5.3096639999999997</v>
      </c>
      <c r="AO982" s="3" t="s">
        <v>93</v>
      </c>
      <c r="AP982" s="3">
        <v>24.3</v>
      </c>
      <c r="AQ982" s="3" t="s">
        <v>661</v>
      </c>
      <c r="AR982" s="4">
        <v>27</v>
      </c>
      <c r="AS982" s="4">
        <v>43.5</v>
      </c>
      <c r="AT982" s="4">
        <v>29.5</v>
      </c>
      <c r="AU982" s="3" t="s">
        <v>661</v>
      </c>
      <c r="AV982" s="16">
        <f t="shared" si="437"/>
        <v>100</v>
      </c>
      <c r="AW982" s="26">
        <v>2.4</v>
      </c>
      <c r="AX982" s="1">
        <f t="shared" si="444"/>
        <v>2.4E-2</v>
      </c>
      <c r="AY982" s="1" t="s">
        <v>511</v>
      </c>
      <c r="AZ982" s="1">
        <f t="shared" si="445"/>
        <v>100</v>
      </c>
      <c r="BA982" s="1" t="s">
        <v>55</v>
      </c>
      <c r="BB982" s="1">
        <v>5</v>
      </c>
      <c r="BC982" s="1">
        <v>500</v>
      </c>
      <c r="BD982" s="26">
        <f t="shared" si="446"/>
        <v>32.872761882983774</v>
      </c>
      <c r="BE982" s="16">
        <f t="shared" si="439"/>
        <v>1369.6984117909906</v>
      </c>
      <c r="BF982" s="16">
        <f t="shared" si="457"/>
        <v>3.1366249521829155</v>
      </c>
      <c r="BG982" s="8">
        <f t="shared" si="435"/>
        <v>1.5168361938945214</v>
      </c>
      <c r="BH982" s="13" t="s">
        <v>782</v>
      </c>
      <c r="BI982" s="8">
        <v>52.5</v>
      </c>
      <c r="BJ982" s="13" t="s">
        <v>349</v>
      </c>
      <c r="BK982" s="15">
        <v>0.8</v>
      </c>
      <c r="BL982" s="16">
        <f t="shared" si="447"/>
        <v>52.5</v>
      </c>
      <c r="BM982" s="18">
        <f>'PFAS Properties'!$U$46</f>
        <v>10.39</v>
      </c>
      <c r="BN982" s="8">
        <f t="shared" si="448"/>
        <v>341.54799596420145</v>
      </c>
      <c r="BO982" s="24">
        <f t="shared" si="449"/>
        <v>32.872761882983774</v>
      </c>
      <c r="BP982" s="11"/>
      <c r="BQ982" s="11"/>
    </row>
    <row r="983" spans="1:69" x14ac:dyDescent="0.3">
      <c r="A983" s="20">
        <v>1004</v>
      </c>
      <c r="B983" s="2" t="s">
        <v>189</v>
      </c>
      <c r="C983" s="2">
        <v>2021</v>
      </c>
      <c r="D983" s="2" t="s">
        <v>510</v>
      </c>
      <c r="E983" s="41" t="s">
        <v>804</v>
      </c>
      <c r="F983" s="20" t="s">
        <v>29</v>
      </c>
      <c r="G983" s="2" t="s">
        <v>494</v>
      </c>
      <c r="H983" s="2" t="str">
        <f>'PFAS Properties'!$B$46</f>
        <v>PFOS</v>
      </c>
      <c r="I983" s="2" t="str">
        <f>'PFAS Properties'!$C$46</f>
        <v>PFSA</v>
      </c>
      <c r="J983" s="2" t="str">
        <f>'PFAS Properties'!$D$46</f>
        <v>C8HF17O3S</v>
      </c>
      <c r="K983" s="25">
        <f>'PFAS Properties'!$P$46</f>
        <v>499.93739999999997</v>
      </c>
      <c r="L983" s="2">
        <f>'PFAS Properties'!$X$46</f>
        <v>0.1</v>
      </c>
      <c r="M983" s="2" t="str">
        <f>'PFAS Properties'!$Y$46</f>
        <v>-</v>
      </c>
      <c r="N983" s="33">
        <v>0</v>
      </c>
      <c r="O983" s="33">
        <v>0</v>
      </c>
      <c r="P983" s="33">
        <v>0</v>
      </c>
      <c r="Q983" s="33">
        <f t="shared" si="450"/>
        <v>0.99999865103893715</v>
      </c>
      <c r="R983" s="33">
        <v>0</v>
      </c>
      <c r="S983" s="33">
        <f t="shared" si="451"/>
        <v>1.3489610628932487E-6</v>
      </c>
      <c r="T983" s="8">
        <f t="shared" si="436"/>
        <v>1</v>
      </c>
      <c r="U983" s="33">
        <f t="shared" si="452"/>
        <v>0</v>
      </c>
      <c r="V983" s="33">
        <f t="shared" si="453"/>
        <v>-0.99999865103893715</v>
      </c>
      <c r="W983" s="33">
        <f t="shared" si="454"/>
        <v>498.93740134896103</v>
      </c>
      <c r="X983" s="33">
        <v>96485</v>
      </c>
      <c r="Y983" s="16">
        <f t="shared" si="455"/>
        <v>-193.38071185809846</v>
      </c>
      <c r="Z983" s="16">
        <v>8</v>
      </c>
      <c r="AA983" s="16">
        <v>17</v>
      </c>
      <c r="AB983" s="8">
        <f t="shared" si="456"/>
        <v>0.29721362229102166</v>
      </c>
      <c r="AC983" s="16">
        <f t="shared" si="438"/>
        <v>64.60808893273439</v>
      </c>
      <c r="AD983" s="20">
        <f>'PFAS Properties'!$W$46</f>
        <v>8</v>
      </c>
      <c r="AE983" s="8">
        <f>'PFAS Properties'!$S$46</f>
        <v>2.0166155475571776</v>
      </c>
      <c r="AF983" s="15">
        <f>'PFAS Properties'!$V$46</f>
        <v>5</v>
      </c>
      <c r="AG983" s="26">
        <v>5.97</v>
      </c>
      <c r="AH983" s="1" t="s">
        <v>190</v>
      </c>
      <c r="AI983" s="39">
        <f t="shared" si="440"/>
        <v>215.00325000000001</v>
      </c>
      <c r="AJ983" s="1">
        <v>3850</v>
      </c>
      <c r="AK983" s="8">
        <f t="shared" si="441"/>
        <v>21.500325</v>
      </c>
      <c r="AL983" s="39">
        <f t="shared" si="442"/>
        <v>47.107080000000003</v>
      </c>
      <c r="AM983" s="1">
        <v>1746</v>
      </c>
      <c r="AN983" s="8">
        <f t="shared" si="443"/>
        <v>4.7107080000000003</v>
      </c>
      <c r="AO983" s="3" t="s">
        <v>93</v>
      </c>
      <c r="AP983" s="3">
        <v>19.3</v>
      </c>
      <c r="AQ983" s="3" t="s">
        <v>661</v>
      </c>
      <c r="AR983" s="4">
        <v>12.1</v>
      </c>
      <c r="AS983" s="4">
        <v>53.5</v>
      </c>
      <c r="AT983" s="4">
        <v>34.4</v>
      </c>
      <c r="AU983" s="3" t="s">
        <v>661</v>
      </c>
      <c r="AV983" s="16">
        <f t="shared" si="437"/>
        <v>100</v>
      </c>
      <c r="AW983" s="26">
        <v>1</v>
      </c>
      <c r="AX983" s="1">
        <f t="shared" si="444"/>
        <v>0.01</v>
      </c>
      <c r="AY983" s="1" t="s">
        <v>511</v>
      </c>
      <c r="AZ983" s="1">
        <f t="shared" si="445"/>
        <v>100</v>
      </c>
      <c r="BA983" s="1" t="s">
        <v>55</v>
      </c>
      <c r="BB983" s="1">
        <v>5</v>
      </c>
      <c r="BC983" s="1">
        <v>500</v>
      </c>
      <c r="BD983" s="26">
        <f t="shared" si="446"/>
        <v>22.393649722511313</v>
      </c>
      <c r="BE983" s="16">
        <f t="shared" si="439"/>
        <v>2239.3649722511313</v>
      </c>
      <c r="BF983" s="16">
        <f t="shared" si="457"/>
        <v>3.3501248807685724</v>
      </c>
      <c r="BG983" s="8">
        <f t="shared" si="435"/>
        <v>1.3501248807685724</v>
      </c>
      <c r="BH983" s="13" t="s">
        <v>782</v>
      </c>
      <c r="BI983" s="8">
        <v>28.3</v>
      </c>
      <c r="BJ983" s="13" t="s">
        <v>349</v>
      </c>
      <c r="BK983" s="15">
        <v>0.9</v>
      </c>
      <c r="BL983" s="16">
        <f t="shared" si="447"/>
        <v>28.3</v>
      </c>
      <c r="BM983" s="18">
        <f>'PFAS Properties'!$U$46</f>
        <v>10.39</v>
      </c>
      <c r="BN983" s="8">
        <f t="shared" si="448"/>
        <v>232.67002061689257</v>
      </c>
      <c r="BO983" s="24">
        <f t="shared" si="449"/>
        <v>22.393649722511313</v>
      </c>
      <c r="BP983" s="11"/>
      <c r="BQ983" s="11"/>
    </row>
    <row r="984" spans="1:69" x14ac:dyDescent="0.3">
      <c r="A984" s="20">
        <v>1005</v>
      </c>
      <c r="B984" s="2" t="s">
        <v>189</v>
      </c>
      <c r="C984" s="2">
        <v>2021</v>
      </c>
      <c r="D984" s="2" t="s">
        <v>510</v>
      </c>
      <c r="E984" s="41" t="s">
        <v>804</v>
      </c>
      <c r="F984" s="20" t="s">
        <v>29</v>
      </c>
      <c r="G984" s="2" t="s">
        <v>495</v>
      </c>
      <c r="H984" s="2" t="str">
        <f>'PFAS Properties'!$B$46</f>
        <v>PFOS</v>
      </c>
      <c r="I984" s="2" t="str">
        <f>'PFAS Properties'!$C$46</f>
        <v>PFSA</v>
      </c>
      <c r="J984" s="2" t="str">
        <f>'PFAS Properties'!$D$46</f>
        <v>C8HF17O3S</v>
      </c>
      <c r="K984" s="25">
        <f>'PFAS Properties'!$P$46</f>
        <v>499.93739999999997</v>
      </c>
      <c r="L984" s="2">
        <f>'PFAS Properties'!$X$46</f>
        <v>0.1</v>
      </c>
      <c r="M984" s="2" t="str">
        <f>'PFAS Properties'!$Y$46</f>
        <v>-</v>
      </c>
      <c r="N984" s="33">
        <v>0</v>
      </c>
      <c r="O984" s="33">
        <v>0</v>
      </c>
      <c r="P984" s="33">
        <v>0</v>
      </c>
      <c r="Q984" s="33">
        <f t="shared" si="450"/>
        <v>0.99998554581121912</v>
      </c>
      <c r="R984" s="33">
        <v>0</v>
      </c>
      <c r="S984" s="33">
        <f t="shared" si="451"/>
        <v>1.4454188780866049E-5</v>
      </c>
      <c r="T984" s="8">
        <f t="shared" si="436"/>
        <v>1</v>
      </c>
      <c r="U984" s="33">
        <f t="shared" si="452"/>
        <v>0</v>
      </c>
      <c r="V984" s="33">
        <f t="shared" si="453"/>
        <v>-0.99998554581121912</v>
      </c>
      <c r="W984" s="33">
        <f t="shared" si="454"/>
        <v>498.93741445418874</v>
      </c>
      <c r="X984" s="33">
        <v>96485</v>
      </c>
      <c r="Y984" s="16">
        <f t="shared" si="455"/>
        <v>-193.37817247709006</v>
      </c>
      <c r="Z984" s="16">
        <v>8</v>
      </c>
      <c r="AA984" s="16">
        <v>17</v>
      </c>
      <c r="AB984" s="8">
        <f t="shared" si="456"/>
        <v>0.29721362229102166</v>
      </c>
      <c r="AC984" s="16">
        <f t="shared" si="438"/>
        <v>64.60808893273439</v>
      </c>
      <c r="AD984" s="20">
        <f>'PFAS Properties'!$W$46</f>
        <v>8</v>
      </c>
      <c r="AE984" s="8">
        <f>'PFAS Properties'!$S$46</f>
        <v>2.0166155475571776</v>
      </c>
      <c r="AF984" s="15">
        <f>'PFAS Properties'!$V$46</f>
        <v>5</v>
      </c>
      <c r="AG984" s="26">
        <v>4.9400000000000004</v>
      </c>
      <c r="AH984" s="1" t="s">
        <v>190</v>
      </c>
      <c r="AI984" s="39">
        <f t="shared" si="440"/>
        <v>237.620475</v>
      </c>
      <c r="AJ984" s="1">
        <v>4255</v>
      </c>
      <c r="AK984" s="8">
        <f t="shared" si="441"/>
        <v>23.762047500000001</v>
      </c>
      <c r="AL984" s="39">
        <f t="shared" si="442"/>
        <v>50.101860000000002</v>
      </c>
      <c r="AM984" s="1">
        <v>1857</v>
      </c>
      <c r="AN984" s="8">
        <f t="shared" si="443"/>
        <v>5.010186</v>
      </c>
      <c r="AO984" s="3" t="s">
        <v>93</v>
      </c>
      <c r="AP984" s="3">
        <v>14.1</v>
      </c>
      <c r="AQ984" s="3" t="s">
        <v>661</v>
      </c>
      <c r="AR984" s="4">
        <v>12.7</v>
      </c>
      <c r="AS984" s="4">
        <v>52.1</v>
      </c>
      <c r="AT984" s="4">
        <v>35.200000000000003</v>
      </c>
      <c r="AU984" s="3" t="s">
        <v>661</v>
      </c>
      <c r="AV984" s="16">
        <f t="shared" si="437"/>
        <v>100</v>
      </c>
      <c r="AW984" s="26">
        <v>2.4</v>
      </c>
      <c r="AX984" s="1">
        <f t="shared" si="444"/>
        <v>2.4E-2</v>
      </c>
      <c r="AY984" s="1" t="s">
        <v>511</v>
      </c>
      <c r="AZ984" s="1">
        <f t="shared" si="445"/>
        <v>100</v>
      </c>
      <c r="BA984" s="1" t="s">
        <v>55</v>
      </c>
      <c r="BB984" s="1">
        <v>5</v>
      </c>
      <c r="BC984" s="1">
        <v>500</v>
      </c>
      <c r="BD984" s="26">
        <f t="shared" si="446"/>
        <v>43.016356978304479</v>
      </c>
      <c r="BE984" s="16">
        <f t="shared" si="439"/>
        <v>1792.3482074293534</v>
      </c>
      <c r="BF984" s="16">
        <f t="shared" si="457"/>
        <v>3.253422385836509</v>
      </c>
      <c r="BG984" s="8">
        <f t="shared" ref="BG984:BG1047" si="458">LOG(BD984)</f>
        <v>1.6336336275481149</v>
      </c>
      <c r="BH984" s="13" t="s">
        <v>782</v>
      </c>
      <c r="BI984" s="8">
        <v>68.7</v>
      </c>
      <c r="BJ984" s="13" t="s">
        <v>349</v>
      </c>
      <c r="BK984" s="15">
        <v>0.8</v>
      </c>
      <c r="BL984" s="16">
        <f t="shared" si="447"/>
        <v>68.7</v>
      </c>
      <c r="BM984" s="18">
        <f>'PFAS Properties'!$U$46</f>
        <v>10.39</v>
      </c>
      <c r="BN984" s="8">
        <f t="shared" si="448"/>
        <v>446.93994900458358</v>
      </c>
      <c r="BO984" s="24">
        <f t="shared" si="449"/>
        <v>43.016356978304479</v>
      </c>
      <c r="BP984" s="11"/>
      <c r="BQ984" s="11"/>
    </row>
    <row r="985" spans="1:69" x14ac:dyDescent="0.3">
      <c r="A985" s="20">
        <v>1006</v>
      </c>
      <c r="B985" s="2" t="s">
        <v>189</v>
      </c>
      <c r="C985" s="2">
        <v>2021</v>
      </c>
      <c r="D985" s="2" t="s">
        <v>510</v>
      </c>
      <c r="E985" s="41" t="s">
        <v>804</v>
      </c>
      <c r="F985" s="20" t="s">
        <v>29</v>
      </c>
      <c r="G985" s="2" t="s">
        <v>496</v>
      </c>
      <c r="H985" s="2" t="str">
        <f>'PFAS Properties'!$B$46</f>
        <v>PFOS</v>
      </c>
      <c r="I985" s="2" t="str">
        <f>'PFAS Properties'!$C$46</f>
        <v>PFSA</v>
      </c>
      <c r="J985" s="2" t="str">
        <f>'PFAS Properties'!$D$46</f>
        <v>C8HF17O3S</v>
      </c>
      <c r="K985" s="25">
        <f>'PFAS Properties'!$P$46</f>
        <v>499.93739999999997</v>
      </c>
      <c r="L985" s="2">
        <f>'PFAS Properties'!$X$46</f>
        <v>0.1</v>
      </c>
      <c r="M985" s="2" t="str">
        <f>'PFAS Properties'!$Y$46</f>
        <v>-</v>
      </c>
      <c r="N985" s="33">
        <v>0</v>
      </c>
      <c r="O985" s="33">
        <v>0</v>
      </c>
      <c r="P985" s="33">
        <v>0</v>
      </c>
      <c r="Q985" s="33">
        <f t="shared" si="450"/>
        <v>0.99999818030245269</v>
      </c>
      <c r="R985" s="33">
        <v>0</v>
      </c>
      <c r="S985" s="33">
        <f t="shared" si="451"/>
        <v>1.8196975473047906E-6</v>
      </c>
      <c r="T985" s="8">
        <f t="shared" si="436"/>
        <v>1</v>
      </c>
      <c r="U985" s="33">
        <f t="shared" si="452"/>
        <v>0</v>
      </c>
      <c r="V985" s="33">
        <f t="shared" si="453"/>
        <v>-0.99999818030245269</v>
      </c>
      <c r="W985" s="33">
        <f t="shared" si="454"/>
        <v>498.93740181969753</v>
      </c>
      <c r="X985" s="33">
        <v>96485</v>
      </c>
      <c r="Y985" s="16">
        <f t="shared" si="455"/>
        <v>-193.38062064416883</v>
      </c>
      <c r="Z985" s="16">
        <v>8</v>
      </c>
      <c r="AA985" s="16">
        <v>17</v>
      </c>
      <c r="AB985" s="8">
        <f t="shared" si="456"/>
        <v>0.29721362229102166</v>
      </c>
      <c r="AC985" s="16">
        <f t="shared" si="438"/>
        <v>64.60808893273439</v>
      </c>
      <c r="AD985" s="20">
        <f>'PFAS Properties'!$W$46</f>
        <v>8</v>
      </c>
      <c r="AE985" s="8">
        <f>'PFAS Properties'!$S$46</f>
        <v>2.0166155475571776</v>
      </c>
      <c r="AF985" s="15">
        <f>'PFAS Properties'!$V$46</f>
        <v>5</v>
      </c>
      <c r="AG985" s="26">
        <v>5.84</v>
      </c>
      <c r="AH985" s="1" t="s">
        <v>190</v>
      </c>
      <c r="AI985" s="39">
        <f t="shared" si="440"/>
        <v>148.603545</v>
      </c>
      <c r="AJ985" s="1">
        <v>2661</v>
      </c>
      <c r="AK985" s="8">
        <f t="shared" si="441"/>
        <v>14.8603545</v>
      </c>
      <c r="AL985" s="39">
        <f t="shared" si="442"/>
        <v>22.204540000000001</v>
      </c>
      <c r="AM985" s="1">
        <v>823</v>
      </c>
      <c r="AN985" s="8">
        <f t="shared" si="443"/>
        <v>2.2204540000000001</v>
      </c>
      <c r="AO985" s="3" t="s">
        <v>93</v>
      </c>
      <c r="AP985" s="3">
        <v>19.5</v>
      </c>
      <c r="AQ985" s="3" t="s">
        <v>661</v>
      </c>
      <c r="AR985" s="4">
        <v>27.5</v>
      </c>
      <c r="AS985" s="4">
        <v>44.6</v>
      </c>
      <c r="AT985" s="4">
        <v>27.8</v>
      </c>
      <c r="AU985" s="3" t="s">
        <v>661</v>
      </c>
      <c r="AV985" s="16">
        <f t="shared" si="437"/>
        <v>99.899999999999991</v>
      </c>
      <c r="AW985" s="26">
        <v>2.9</v>
      </c>
      <c r="AX985" s="1">
        <f t="shared" si="444"/>
        <v>2.8999999999999998E-2</v>
      </c>
      <c r="AY985" s="1" t="s">
        <v>511</v>
      </c>
      <c r="AZ985" s="1">
        <f t="shared" si="445"/>
        <v>100</v>
      </c>
      <c r="BA985" s="1" t="s">
        <v>55</v>
      </c>
      <c r="BB985" s="1">
        <v>5</v>
      </c>
      <c r="BC985" s="1">
        <v>500</v>
      </c>
      <c r="BD985" s="26">
        <f t="shared" si="446"/>
        <v>31.370007054047374</v>
      </c>
      <c r="BE985" s="16">
        <f t="shared" si="439"/>
        <v>1081.7243811740475</v>
      </c>
      <c r="BF985" s="16">
        <f t="shared" si="457"/>
        <v>3.0341166184568542</v>
      </c>
      <c r="BG985" s="8">
        <f t="shared" si="458"/>
        <v>1.4965146163558103</v>
      </c>
      <c r="BH985" s="13" t="s">
        <v>782</v>
      </c>
      <c r="BI985" s="8">
        <v>50.1</v>
      </c>
      <c r="BJ985" s="13" t="s">
        <v>349</v>
      </c>
      <c r="BK985" s="15">
        <v>0.8</v>
      </c>
      <c r="BL985" s="16">
        <f t="shared" si="447"/>
        <v>50.1</v>
      </c>
      <c r="BM985" s="18">
        <f>'PFAS Properties'!$U$46</f>
        <v>10.39</v>
      </c>
      <c r="BN985" s="8">
        <f t="shared" si="448"/>
        <v>325.93437329155222</v>
      </c>
      <c r="BO985" s="24">
        <f t="shared" si="449"/>
        <v>31.370007054047374</v>
      </c>
      <c r="BP985" s="11"/>
      <c r="BQ985" s="11"/>
    </row>
    <row r="986" spans="1:69" x14ac:dyDescent="0.3">
      <c r="A986" s="20">
        <v>1007</v>
      </c>
      <c r="B986" s="2" t="s">
        <v>189</v>
      </c>
      <c r="C986" s="2">
        <v>2021</v>
      </c>
      <c r="D986" s="2" t="s">
        <v>510</v>
      </c>
      <c r="E986" s="41" t="s">
        <v>804</v>
      </c>
      <c r="F986" s="20" t="s">
        <v>29</v>
      </c>
      <c r="G986" s="2" t="s">
        <v>497</v>
      </c>
      <c r="H986" s="2" t="str">
        <f>'PFAS Properties'!$B$46</f>
        <v>PFOS</v>
      </c>
      <c r="I986" s="2" t="str">
        <f>'PFAS Properties'!$C$46</f>
        <v>PFSA</v>
      </c>
      <c r="J986" s="2" t="str">
        <f>'PFAS Properties'!$D$46</f>
        <v>C8HF17O3S</v>
      </c>
      <c r="K986" s="25">
        <f>'PFAS Properties'!$P$46</f>
        <v>499.93739999999997</v>
      </c>
      <c r="L986" s="2">
        <f>'PFAS Properties'!$X$46</f>
        <v>0.1</v>
      </c>
      <c r="M986" s="2" t="str">
        <f>'PFAS Properties'!$Y$46</f>
        <v>-</v>
      </c>
      <c r="N986" s="33">
        <v>0</v>
      </c>
      <c r="O986" s="33">
        <v>0</v>
      </c>
      <c r="P986" s="33">
        <v>0</v>
      </c>
      <c r="Q986" s="33">
        <f t="shared" si="450"/>
        <v>0.99999922375348593</v>
      </c>
      <c r="R986" s="33">
        <v>0</v>
      </c>
      <c r="S986" s="33">
        <f t="shared" si="451"/>
        <v>7.7624651406957183E-7</v>
      </c>
      <c r="T986" s="8">
        <f t="shared" si="436"/>
        <v>1</v>
      </c>
      <c r="U986" s="33">
        <f t="shared" si="452"/>
        <v>0</v>
      </c>
      <c r="V986" s="33">
        <f t="shared" si="453"/>
        <v>-0.99999922375348593</v>
      </c>
      <c r="W986" s="33">
        <f t="shared" si="454"/>
        <v>498.93740077624648</v>
      </c>
      <c r="X986" s="33">
        <v>96485</v>
      </c>
      <c r="Y986" s="16">
        <f t="shared" si="455"/>
        <v>-193.38082283217074</v>
      </c>
      <c r="Z986" s="16">
        <v>8</v>
      </c>
      <c r="AA986" s="16">
        <v>17</v>
      </c>
      <c r="AB986" s="8">
        <f t="shared" si="456"/>
        <v>0.29721362229102166</v>
      </c>
      <c r="AC986" s="16">
        <f t="shared" si="438"/>
        <v>64.60808893273439</v>
      </c>
      <c r="AD986" s="20">
        <f>'PFAS Properties'!$W$46</f>
        <v>8</v>
      </c>
      <c r="AE986" s="8">
        <f>'PFAS Properties'!$S$46</f>
        <v>2.0166155475571776</v>
      </c>
      <c r="AF986" s="15">
        <f>'PFAS Properties'!$V$46</f>
        <v>5</v>
      </c>
      <c r="AG986" s="26">
        <v>6.21</v>
      </c>
      <c r="AH986" s="1" t="s">
        <v>190</v>
      </c>
      <c r="AI986" s="39">
        <f t="shared" si="440"/>
        <v>232.98534000000001</v>
      </c>
      <c r="AJ986" s="1">
        <v>4172</v>
      </c>
      <c r="AK986" s="8">
        <f t="shared" si="441"/>
        <v>23.298534</v>
      </c>
      <c r="AL986" s="39">
        <f t="shared" si="442"/>
        <v>26.089659999999999</v>
      </c>
      <c r="AM986" s="1">
        <v>967</v>
      </c>
      <c r="AN986" s="8">
        <f t="shared" si="443"/>
        <v>2.6089659999999997</v>
      </c>
      <c r="AO986" s="3" t="s">
        <v>93</v>
      </c>
      <c r="AP986" s="3">
        <v>22.1</v>
      </c>
      <c r="AQ986" s="3" t="s">
        <v>661</v>
      </c>
      <c r="AR986" s="4">
        <v>15.2</v>
      </c>
      <c r="AS986" s="4">
        <v>50.2</v>
      </c>
      <c r="AT986" s="4">
        <v>34.6</v>
      </c>
      <c r="AU986" s="3" t="s">
        <v>661</v>
      </c>
      <c r="AV986" s="16">
        <f t="shared" si="437"/>
        <v>100</v>
      </c>
      <c r="AW986" s="26">
        <v>1.9</v>
      </c>
      <c r="AX986" s="1">
        <f t="shared" si="444"/>
        <v>1.9E-2</v>
      </c>
      <c r="AY986" s="1" t="s">
        <v>511</v>
      </c>
      <c r="AZ986" s="1">
        <f t="shared" si="445"/>
        <v>100</v>
      </c>
      <c r="BA986" s="1" t="s">
        <v>55</v>
      </c>
      <c r="BB986" s="1">
        <v>5</v>
      </c>
      <c r="BC986" s="1">
        <v>500</v>
      </c>
      <c r="BD986" s="26">
        <f t="shared" si="446"/>
        <v>18.784435361705015</v>
      </c>
      <c r="BE986" s="16">
        <f t="shared" si="439"/>
        <v>988.65449272131661</v>
      </c>
      <c r="BF986" s="16">
        <f t="shared" si="457"/>
        <v>2.9950445442553981</v>
      </c>
      <c r="BG986" s="8">
        <f t="shared" si="458"/>
        <v>1.273798145208227</v>
      </c>
      <c r="BH986" s="13" t="s">
        <v>782</v>
      </c>
      <c r="BI986" s="8">
        <v>30</v>
      </c>
      <c r="BJ986" s="13" t="s">
        <v>349</v>
      </c>
      <c r="BK986" s="15">
        <v>0.8</v>
      </c>
      <c r="BL986" s="16">
        <f t="shared" si="447"/>
        <v>30</v>
      </c>
      <c r="BM986" s="18">
        <f>'PFAS Properties'!$U$46</f>
        <v>10.39</v>
      </c>
      <c r="BN986" s="8">
        <f t="shared" si="448"/>
        <v>195.1702834081151</v>
      </c>
      <c r="BO986" s="24">
        <f t="shared" si="449"/>
        <v>18.784435361705015</v>
      </c>
      <c r="BP986" s="11"/>
      <c r="BQ986" s="11"/>
    </row>
    <row r="987" spans="1:69" x14ac:dyDescent="0.3">
      <c r="A987" s="20">
        <v>1008</v>
      </c>
      <c r="B987" s="2" t="s">
        <v>189</v>
      </c>
      <c r="C987" s="2">
        <v>2021</v>
      </c>
      <c r="D987" s="2" t="s">
        <v>510</v>
      </c>
      <c r="E987" s="41" t="s">
        <v>804</v>
      </c>
      <c r="F987" s="20" t="s">
        <v>29</v>
      </c>
      <c r="G987" s="2" t="s">
        <v>498</v>
      </c>
      <c r="H987" s="2" t="str">
        <f>'PFAS Properties'!$B$46</f>
        <v>PFOS</v>
      </c>
      <c r="I987" s="2" t="str">
        <f>'PFAS Properties'!$C$46</f>
        <v>PFSA</v>
      </c>
      <c r="J987" s="2" t="str">
        <f>'PFAS Properties'!$D$46</f>
        <v>C8HF17O3S</v>
      </c>
      <c r="K987" s="25">
        <f>'PFAS Properties'!$P$46</f>
        <v>499.93739999999997</v>
      </c>
      <c r="L987" s="2">
        <f>'PFAS Properties'!$X$46</f>
        <v>0.1</v>
      </c>
      <c r="M987" s="2" t="str">
        <f>'PFAS Properties'!$Y$46</f>
        <v>-</v>
      </c>
      <c r="N987" s="33">
        <v>0</v>
      </c>
      <c r="O987" s="33">
        <v>0</v>
      </c>
      <c r="P987" s="33">
        <v>0</v>
      </c>
      <c r="Q987" s="33">
        <f t="shared" si="450"/>
        <v>0.99999952137013681</v>
      </c>
      <c r="R987" s="33">
        <v>0</v>
      </c>
      <c r="S987" s="33">
        <f t="shared" si="451"/>
        <v>4.7862986323598187E-7</v>
      </c>
      <c r="T987" s="8">
        <f t="shared" si="436"/>
        <v>1</v>
      </c>
      <c r="U987" s="33">
        <f t="shared" si="452"/>
        <v>0</v>
      </c>
      <c r="V987" s="33">
        <f t="shared" si="453"/>
        <v>-0.99999952137013681</v>
      </c>
      <c r="W987" s="33">
        <f t="shared" si="454"/>
        <v>498.93740047862985</v>
      </c>
      <c r="X987" s="33">
        <v>96485</v>
      </c>
      <c r="Y987" s="16">
        <f t="shared" si="455"/>
        <v>-193.38088050092014</v>
      </c>
      <c r="Z987" s="16">
        <v>8</v>
      </c>
      <c r="AA987" s="16">
        <v>17</v>
      </c>
      <c r="AB987" s="8">
        <f t="shared" si="456"/>
        <v>0.29721362229102166</v>
      </c>
      <c r="AC987" s="16">
        <f t="shared" si="438"/>
        <v>64.60808893273439</v>
      </c>
      <c r="AD987" s="20">
        <f>'PFAS Properties'!$W$46</f>
        <v>8</v>
      </c>
      <c r="AE987" s="8">
        <f>'PFAS Properties'!$S$46</f>
        <v>2.0166155475571776</v>
      </c>
      <c r="AF987" s="15">
        <f>'PFAS Properties'!$V$46</f>
        <v>5</v>
      </c>
      <c r="AG987" s="26">
        <v>6.42</v>
      </c>
      <c r="AH987" s="1" t="s">
        <v>190</v>
      </c>
      <c r="AI987" s="39">
        <f t="shared" si="440"/>
        <v>27.587430000000001</v>
      </c>
      <c r="AJ987" s="1">
        <v>494</v>
      </c>
      <c r="AK987" s="8">
        <f t="shared" si="441"/>
        <v>2.7587429999999999</v>
      </c>
      <c r="AL987" s="39">
        <f t="shared" si="442"/>
        <v>9.0113199999999996</v>
      </c>
      <c r="AM987" s="1">
        <v>334</v>
      </c>
      <c r="AN987" s="8">
        <f t="shared" si="443"/>
        <v>0.90113199999999993</v>
      </c>
      <c r="AO987" s="3" t="s">
        <v>93</v>
      </c>
      <c r="AP987" s="3">
        <v>34.9</v>
      </c>
      <c r="AQ987" s="3" t="s">
        <v>661</v>
      </c>
      <c r="AR987" s="4">
        <v>34.299999999999997</v>
      </c>
      <c r="AS987" s="4">
        <v>23</v>
      </c>
      <c r="AT987" s="4">
        <v>42.7</v>
      </c>
      <c r="AU987" s="3" t="s">
        <v>661</v>
      </c>
      <c r="AV987" s="16">
        <f t="shared" si="437"/>
        <v>100</v>
      </c>
      <c r="AW987" s="26">
        <v>1.4</v>
      </c>
      <c r="AX987" s="1">
        <f t="shared" si="444"/>
        <v>1.3999999999999999E-2</v>
      </c>
      <c r="AY987" s="1" t="s">
        <v>511</v>
      </c>
      <c r="AZ987" s="1">
        <f t="shared" si="445"/>
        <v>100</v>
      </c>
      <c r="BA987" s="1" t="s">
        <v>55</v>
      </c>
      <c r="BB987" s="1">
        <v>5</v>
      </c>
      <c r="BC987" s="1">
        <v>500</v>
      </c>
      <c r="BD987" s="26">
        <f t="shared" si="446"/>
        <v>17.09197293308284</v>
      </c>
      <c r="BE987" s="16">
        <f t="shared" si="439"/>
        <v>1220.8552095059172</v>
      </c>
      <c r="BF987" s="16">
        <f t="shared" si="457"/>
        <v>3.0866641607169751</v>
      </c>
      <c r="BG987" s="8">
        <f t="shared" si="458"/>
        <v>1.2327921963952131</v>
      </c>
      <c r="BH987" s="13" t="s">
        <v>782</v>
      </c>
      <c r="BI987" s="8">
        <v>21.6</v>
      </c>
      <c r="BJ987" s="13" t="s">
        <v>349</v>
      </c>
      <c r="BK987" s="15">
        <v>0.9</v>
      </c>
      <c r="BL987" s="16">
        <f t="shared" si="447"/>
        <v>21.6</v>
      </c>
      <c r="BM987" s="18">
        <f>'PFAS Properties'!$U$46</f>
        <v>10.39</v>
      </c>
      <c r="BN987" s="8">
        <f t="shared" si="448"/>
        <v>177.58559877473073</v>
      </c>
      <c r="BO987" s="24">
        <f t="shared" si="449"/>
        <v>17.09197293308284</v>
      </c>
      <c r="BP987" s="11"/>
      <c r="BQ987" s="11"/>
    </row>
    <row r="988" spans="1:69" x14ac:dyDescent="0.3">
      <c r="A988" s="20">
        <v>1009</v>
      </c>
      <c r="B988" s="2" t="s">
        <v>189</v>
      </c>
      <c r="C988" s="2">
        <v>2021</v>
      </c>
      <c r="D988" s="2" t="s">
        <v>510</v>
      </c>
      <c r="E988" s="41" t="s">
        <v>804</v>
      </c>
      <c r="F988" s="20" t="s">
        <v>29</v>
      </c>
      <c r="G988" s="2" t="s">
        <v>499</v>
      </c>
      <c r="H988" s="2" t="str">
        <f>'PFAS Properties'!$B$46</f>
        <v>PFOS</v>
      </c>
      <c r="I988" s="2" t="str">
        <f>'PFAS Properties'!$C$46</f>
        <v>PFSA</v>
      </c>
      <c r="J988" s="2" t="str">
        <f>'PFAS Properties'!$D$46</f>
        <v>C8HF17O3S</v>
      </c>
      <c r="K988" s="25">
        <f>'PFAS Properties'!$P$46</f>
        <v>499.93739999999997</v>
      </c>
      <c r="L988" s="2">
        <f>'PFAS Properties'!$X$46</f>
        <v>0.1</v>
      </c>
      <c r="M988" s="2" t="str">
        <f>'PFAS Properties'!$Y$46</f>
        <v>-</v>
      </c>
      <c r="N988" s="33">
        <v>0</v>
      </c>
      <c r="O988" s="33">
        <v>0</v>
      </c>
      <c r="P988" s="33">
        <v>0</v>
      </c>
      <c r="Q988" s="33">
        <f t="shared" si="450"/>
        <v>0.99999383408800013</v>
      </c>
      <c r="R988" s="33">
        <v>0</v>
      </c>
      <c r="S988" s="33">
        <f t="shared" si="451"/>
        <v>6.1659119999096004E-6</v>
      </c>
      <c r="T988" s="8">
        <f t="shared" si="436"/>
        <v>1</v>
      </c>
      <c r="U988" s="33">
        <f t="shared" si="452"/>
        <v>0</v>
      </c>
      <c r="V988" s="33">
        <f t="shared" si="453"/>
        <v>-0.99999383408800013</v>
      </c>
      <c r="W988" s="33">
        <f t="shared" si="454"/>
        <v>498.93740616591202</v>
      </c>
      <c r="X988" s="33">
        <v>96485</v>
      </c>
      <c r="Y988" s="16">
        <f t="shared" si="455"/>
        <v>-193.37977848447119</v>
      </c>
      <c r="Z988" s="16">
        <v>8</v>
      </c>
      <c r="AA988" s="16">
        <v>17</v>
      </c>
      <c r="AB988" s="8">
        <f t="shared" si="456"/>
        <v>0.29721362229102166</v>
      </c>
      <c r="AC988" s="16">
        <f t="shared" si="438"/>
        <v>64.60808893273439</v>
      </c>
      <c r="AD988" s="20">
        <f>'PFAS Properties'!$W$46</f>
        <v>8</v>
      </c>
      <c r="AE988" s="8">
        <f>'PFAS Properties'!$S$46</f>
        <v>2.0166155475571776</v>
      </c>
      <c r="AF988" s="15">
        <f>'PFAS Properties'!$V$46</f>
        <v>5</v>
      </c>
      <c r="AG988" s="26">
        <v>5.31</v>
      </c>
      <c r="AH988" s="1" t="s">
        <v>190</v>
      </c>
      <c r="AI988" s="39">
        <f t="shared" si="440"/>
        <v>55.621619999999993</v>
      </c>
      <c r="AJ988" s="1">
        <v>996</v>
      </c>
      <c r="AK988" s="8">
        <f t="shared" si="441"/>
        <v>5.5621619999999989</v>
      </c>
      <c r="AL988" s="39">
        <f t="shared" si="442"/>
        <v>15.29766</v>
      </c>
      <c r="AM988" s="1">
        <v>567</v>
      </c>
      <c r="AN988" s="8">
        <f t="shared" si="443"/>
        <v>1.529766</v>
      </c>
      <c r="AO988" s="3" t="s">
        <v>93</v>
      </c>
      <c r="AP988" s="3">
        <v>30.4</v>
      </c>
      <c r="AQ988" s="3" t="s">
        <v>661</v>
      </c>
      <c r="AR988" s="4">
        <v>70.2</v>
      </c>
      <c r="AS988" s="4">
        <v>1.1000000000000001</v>
      </c>
      <c r="AT988" s="4">
        <v>28.7</v>
      </c>
      <c r="AU988" s="3" t="s">
        <v>661</v>
      </c>
      <c r="AV988" s="16">
        <f t="shared" si="437"/>
        <v>100</v>
      </c>
      <c r="AW988" s="26">
        <v>1.3</v>
      </c>
      <c r="AX988" s="1">
        <f t="shared" si="444"/>
        <v>1.3000000000000001E-2</v>
      </c>
      <c r="AY988" s="1" t="s">
        <v>511</v>
      </c>
      <c r="AZ988" s="1">
        <f t="shared" si="445"/>
        <v>100</v>
      </c>
      <c r="BA988" s="1" t="s">
        <v>55</v>
      </c>
      <c r="BB988" s="1">
        <v>5</v>
      </c>
      <c r="BC988" s="1">
        <v>500</v>
      </c>
      <c r="BD988" s="26">
        <f t="shared" si="446"/>
        <v>29.992481794189008</v>
      </c>
      <c r="BE988" s="16">
        <f t="shared" si="439"/>
        <v>2307.1139841683848</v>
      </c>
      <c r="BF988" s="16">
        <f t="shared" si="457"/>
        <v>3.3630690515962911</v>
      </c>
      <c r="BG988" s="8">
        <f t="shared" si="458"/>
        <v>1.4770124039031278</v>
      </c>
      <c r="BH988" s="13" t="s">
        <v>782</v>
      </c>
      <c r="BI988" s="8">
        <v>47.9</v>
      </c>
      <c r="BJ988" s="13" t="s">
        <v>349</v>
      </c>
      <c r="BK988" s="15">
        <v>0.8</v>
      </c>
      <c r="BL988" s="16">
        <f t="shared" si="447"/>
        <v>47.9</v>
      </c>
      <c r="BM988" s="18">
        <f>'PFAS Properties'!$U$46</f>
        <v>10.39</v>
      </c>
      <c r="BN988" s="8">
        <f t="shared" si="448"/>
        <v>311.62188584162379</v>
      </c>
      <c r="BO988" s="24">
        <f t="shared" si="449"/>
        <v>29.992481794189008</v>
      </c>
      <c r="BP988" s="11"/>
      <c r="BQ988" s="11"/>
    </row>
    <row r="989" spans="1:69" x14ac:dyDescent="0.3">
      <c r="A989" s="20">
        <v>1010</v>
      </c>
      <c r="B989" s="2" t="s">
        <v>189</v>
      </c>
      <c r="C989" s="2">
        <v>2021</v>
      </c>
      <c r="D989" s="2" t="s">
        <v>510</v>
      </c>
      <c r="E989" s="41" t="s">
        <v>804</v>
      </c>
      <c r="F989" s="20" t="s">
        <v>29</v>
      </c>
      <c r="G989" s="2" t="s">
        <v>500</v>
      </c>
      <c r="H989" s="2" t="str">
        <f>'PFAS Properties'!$B$46</f>
        <v>PFOS</v>
      </c>
      <c r="I989" s="2" t="str">
        <f>'PFAS Properties'!$C$46</f>
        <v>PFSA</v>
      </c>
      <c r="J989" s="2" t="str">
        <f>'PFAS Properties'!$D$46</f>
        <v>C8HF17O3S</v>
      </c>
      <c r="K989" s="25">
        <f>'PFAS Properties'!$P$46</f>
        <v>499.93739999999997</v>
      </c>
      <c r="L989" s="2">
        <f>'PFAS Properties'!$X$46</f>
        <v>0.1</v>
      </c>
      <c r="M989" s="2" t="str">
        <f>'PFAS Properties'!$Y$46</f>
        <v>-</v>
      </c>
      <c r="N989" s="33">
        <v>0</v>
      </c>
      <c r="O989" s="33">
        <v>0</v>
      </c>
      <c r="P989" s="33">
        <v>0</v>
      </c>
      <c r="Q989" s="33">
        <f t="shared" si="450"/>
        <v>0.99999563486073217</v>
      </c>
      <c r="R989" s="33">
        <v>0</v>
      </c>
      <c r="S989" s="33">
        <f t="shared" si="451"/>
        <v>4.3651392678776466E-6</v>
      </c>
      <c r="T989" s="8">
        <f t="shared" si="436"/>
        <v>1</v>
      </c>
      <c r="U989" s="33">
        <f t="shared" si="452"/>
        <v>0</v>
      </c>
      <c r="V989" s="33">
        <f t="shared" si="453"/>
        <v>-0.99999563486073217</v>
      </c>
      <c r="W989" s="33">
        <f t="shared" si="454"/>
        <v>498.93740436513929</v>
      </c>
      <c r="X989" s="33">
        <v>96485</v>
      </c>
      <c r="Y989" s="16">
        <f t="shared" si="455"/>
        <v>-193.38012741760102</v>
      </c>
      <c r="Z989" s="16">
        <v>8</v>
      </c>
      <c r="AA989" s="16">
        <v>17</v>
      </c>
      <c r="AB989" s="8">
        <f t="shared" si="456"/>
        <v>0.29721362229102166</v>
      </c>
      <c r="AC989" s="16">
        <f t="shared" si="438"/>
        <v>64.60808893273439</v>
      </c>
      <c r="AD989" s="20">
        <f>'PFAS Properties'!$W$46</f>
        <v>8</v>
      </c>
      <c r="AE989" s="8">
        <f>'PFAS Properties'!$S$46</f>
        <v>2.0166155475571776</v>
      </c>
      <c r="AF989" s="15">
        <f>'PFAS Properties'!$V$46</f>
        <v>5</v>
      </c>
      <c r="AG989" s="26">
        <v>5.46</v>
      </c>
      <c r="AH989" s="1" t="s">
        <v>190</v>
      </c>
      <c r="AI989" s="39">
        <f t="shared" si="440"/>
        <v>314.18396999999999</v>
      </c>
      <c r="AJ989" s="1">
        <v>5626</v>
      </c>
      <c r="AK989" s="8">
        <f t="shared" si="441"/>
        <v>31.418396999999999</v>
      </c>
      <c r="AL989" s="39">
        <f t="shared" si="442"/>
        <v>52.206300000000006</v>
      </c>
      <c r="AM989" s="1">
        <v>1935</v>
      </c>
      <c r="AN989" s="8">
        <f t="shared" si="443"/>
        <v>5.2206300000000008</v>
      </c>
      <c r="AO989" s="3" t="s">
        <v>93</v>
      </c>
      <c r="AP989" s="3">
        <v>9.6</v>
      </c>
      <c r="AQ989" s="3" t="s">
        <v>661</v>
      </c>
      <c r="AR989" s="4">
        <v>28</v>
      </c>
      <c r="AS989" s="4">
        <v>13.7</v>
      </c>
      <c r="AT989" s="4">
        <v>58.3</v>
      </c>
      <c r="AU989" s="3" t="s">
        <v>661</v>
      </c>
      <c r="AV989" s="16">
        <f t="shared" si="437"/>
        <v>100</v>
      </c>
      <c r="AW989" s="26">
        <v>3</v>
      </c>
      <c r="AX989" s="1">
        <f t="shared" si="444"/>
        <v>0.03</v>
      </c>
      <c r="AY989" s="1" t="s">
        <v>511</v>
      </c>
      <c r="AZ989" s="1">
        <f t="shared" si="445"/>
        <v>100</v>
      </c>
      <c r="BA989" s="1" t="s">
        <v>55</v>
      </c>
      <c r="BB989" s="1">
        <v>5</v>
      </c>
      <c r="BC989" s="1">
        <v>500</v>
      </c>
      <c r="BD989" s="26">
        <f t="shared" si="446"/>
        <v>34.12505757376411</v>
      </c>
      <c r="BE989" s="16">
        <f t="shared" si="439"/>
        <v>1137.5019191254703</v>
      </c>
      <c r="BF989" s="16">
        <f t="shared" si="457"/>
        <v>3.0559521380455443</v>
      </c>
      <c r="BG989" s="8">
        <f t="shared" si="458"/>
        <v>1.5330733927652069</v>
      </c>
      <c r="BH989" s="13" t="s">
        <v>782</v>
      </c>
      <c r="BI989" s="8">
        <v>54.5</v>
      </c>
      <c r="BJ989" s="13" t="s">
        <v>349</v>
      </c>
      <c r="BK989" s="15">
        <v>0.8</v>
      </c>
      <c r="BL989" s="16">
        <f t="shared" si="447"/>
        <v>54.5</v>
      </c>
      <c r="BM989" s="18">
        <f>'PFAS Properties'!$U$46</f>
        <v>10.39</v>
      </c>
      <c r="BN989" s="8">
        <f t="shared" si="448"/>
        <v>354.55934819140913</v>
      </c>
      <c r="BO989" s="24">
        <f t="shared" si="449"/>
        <v>34.12505757376411</v>
      </c>
      <c r="BP989" s="11"/>
      <c r="BQ989" s="11"/>
    </row>
    <row r="990" spans="1:69" x14ac:dyDescent="0.3">
      <c r="A990" s="20">
        <v>1011</v>
      </c>
      <c r="B990" s="2" t="s">
        <v>189</v>
      </c>
      <c r="C990" s="2">
        <v>2021</v>
      </c>
      <c r="D990" s="2" t="s">
        <v>510</v>
      </c>
      <c r="E990" s="41" t="s">
        <v>804</v>
      </c>
      <c r="F990" s="20" t="s">
        <v>29</v>
      </c>
      <c r="G990" s="2" t="s">
        <v>501</v>
      </c>
      <c r="H990" s="2" t="str">
        <f>'PFAS Properties'!$B$46</f>
        <v>PFOS</v>
      </c>
      <c r="I990" s="2" t="str">
        <f>'PFAS Properties'!$C$46</f>
        <v>PFSA</v>
      </c>
      <c r="J990" s="2" t="str">
        <f>'PFAS Properties'!$D$46</f>
        <v>C8HF17O3S</v>
      </c>
      <c r="K990" s="25">
        <f>'PFAS Properties'!$P$46</f>
        <v>499.93739999999997</v>
      </c>
      <c r="L990" s="2">
        <f>'PFAS Properties'!$X$46</f>
        <v>0.1</v>
      </c>
      <c r="M990" s="2" t="str">
        <f>'PFAS Properties'!$Y$46</f>
        <v>-</v>
      </c>
      <c r="N990" s="33">
        <v>0</v>
      </c>
      <c r="O990" s="33">
        <v>0</v>
      </c>
      <c r="P990" s="33">
        <v>0</v>
      </c>
      <c r="Q990" s="33">
        <f t="shared" si="450"/>
        <v>0.99999258695254067</v>
      </c>
      <c r="R990" s="33">
        <v>0</v>
      </c>
      <c r="S990" s="33">
        <f t="shared" si="451"/>
        <v>7.4130474593291472E-6</v>
      </c>
      <c r="T990" s="8">
        <f t="shared" si="436"/>
        <v>1</v>
      </c>
      <c r="U990" s="33">
        <f t="shared" si="452"/>
        <v>0</v>
      </c>
      <c r="V990" s="33">
        <f t="shared" si="453"/>
        <v>-0.99999258695254067</v>
      </c>
      <c r="W990" s="33">
        <f t="shared" si="454"/>
        <v>498.93740741304742</v>
      </c>
      <c r="X990" s="33">
        <v>96485</v>
      </c>
      <c r="Y990" s="16">
        <f t="shared" si="455"/>
        <v>-193.37953682883705</v>
      </c>
      <c r="Z990" s="16">
        <v>8</v>
      </c>
      <c r="AA990" s="16">
        <v>17</v>
      </c>
      <c r="AB990" s="8">
        <f t="shared" si="456"/>
        <v>0.29721362229102166</v>
      </c>
      <c r="AC990" s="16">
        <f t="shared" si="438"/>
        <v>64.60808893273439</v>
      </c>
      <c r="AD990" s="20">
        <f>'PFAS Properties'!$W$46</f>
        <v>8</v>
      </c>
      <c r="AE990" s="8">
        <f>'PFAS Properties'!$S$46</f>
        <v>2.0166155475571776</v>
      </c>
      <c r="AF990" s="15">
        <f>'PFAS Properties'!$V$46</f>
        <v>5</v>
      </c>
      <c r="AG990" s="26">
        <v>5.23</v>
      </c>
      <c r="AH990" s="1" t="s">
        <v>190</v>
      </c>
      <c r="AI990" s="39">
        <f t="shared" si="440"/>
        <v>387.62014500000004</v>
      </c>
      <c r="AJ990" s="1">
        <v>6941</v>
      </c>
      <c r="AK990" s="8">
        <f t="shared" si="441"/>
        <v>38.762014500000006</v>
      </c>
      <c r="AL990" s="39">
        <f t="shared" si="442"/>
        <v>61.48742</v>
      </c>
      <c r="AM990" s="1">
        <v>2279</v>
      </c>
      <c r="AN990" s="8">
        <f t="shared" si="443"/>
        <v>6.1487420000000004</v>
      </c>
      <c r="AO990" s="3" t="s">
        <v>93</v>
      </c>
      <c r="AP990" s="3">
        <v>9.8000000000000007</v>
      </c>
      <c r="AQ990" s="3" t="s">
        <v>661</v>
      </c>
      <c r="AR990" s="4">
        <v>51.4</v>
      </c>
      <c r="AS990" s="4">
        <v>6.6</v>
      </c>
      <c r="AT990" s="4">
        <v>42</v>
      </c>
      <c r="AU990" s="3" t="s">
        <v>661</v>
      </c>
      <c r="AV990" s="16">
        <f t="shared" si="437"/>
        <v>100</v>
      </c>
      <c r="AW990" s="26">
        <v>2.2000000000000002</v>
      </c>
      <c r="AX990" s="1">
        <f t="shared" si="444"/>
        <v>2.2000000000000002E-2</v>
      </c>
      <c r="AY990" s="1" t="s">
        <v>511</v>
      </c>
      <c r="AZ990" s="1">
        <f t="shared" si="445"/>
        <v>100</v>
      </c>
      <c r="BA990" s="1" t="s">
        <v>55</v>
      </c>
      <c r="BB990" s="1">
        <v>5</v>
      </c>
      <c r="BC990" s="1">
        <v>500</v>
      </c>
      <c r="BD990" s="26">
        <f t="shared" si="446"/>
        <v>34.975240909363961</v>
      </c>
      <c r="BE990" s="16">
        <f t="shared" si="439"/>
        <v>1589.7836776983618</v>
      </c>
      <c r="BF990" s="16">
        <f t="shared" si="457"/>
        <v>3.2013380337711679</v>
      </c>
      <c r="BG990" s="8">
        <f t="shared" si="458"/>
        <v>1.5437607145933743</v>
      </c>
      <c r="BH990" s="13" t="s">
        <v>782</v>
      </c>
      <c r="BI990" s="8">
        <v>44.2</v>
      </c>
      <c r="BJ990" s="13" t="s">
        <v>349</v>
      </c>
      <c r="BK990" s="15">
        <v>0.9</v>
      </c>
      <c r="BL990" s="16">
        <f t="shared" si="447"/>
        <v>44.2</v>
      </c>
      <c r="BM990" s="18">
        <f>'PFAS Properties'!$U$46</f>
        <v>10.39</v>
      </c>
      <c r="BN990" s="8">
        <f t="shared" si="448"/>
        <v>363.39275304829158</v>
      </c>
      <c r="BO990" s="24">
        <f t="shared" si="449"/>
        <v>34.975240909363961</v>
      </c>
      <c r="BP990" s="11"/>
      <c r="BQ990" s="11"/>
    </row>
    <row r="991" spans="1:69" x14ac:dyDescent="0.3">
      <c r="A991" s="20">
        <v>1012</v>
      </c>
      <c r="B991" s="2" t="s">
        <v>189</v>
      </c>
      <c r="C991" s="2">
        <v>2021</v>
      </c>
      <c r="D991" s="2" t="s">
        <v>510</v>
      </c>
      <c r="E991" s="41" t="s">
        <v>804</v>
      </c>
      <c r="F991" s="20" t="s">
        <v>29</v>
      </c>
      <c r="G991" s="2" t="s">
        <v>502</v>
      </c>
      <c r="H991" s="2" t="str">
        <f>'PFAS Properties'!$B$46</f>
        <v>PFOS</v>
      </c>
      <c r="I991" s="2" t="str">
        <f>'PFAS Properties'!$C$46</f>
        <v>PFSA</v>
      </c>
      <c r="J991" s="2" t="str">
        <f>'PFAS Properties'!$D$46</f>
        <v>C8HF17O3S</v>
      </c>
      <c r="K991" s="25">
        <f>'PFAS Properties'!$P$46</f>
        <v>499.93739999999997</v>
      </c>
      <c r="L991" s="2">
        <f>'PFAS Properties'!$X$46</f>
        <v>0.1</v>
      </c>
      <c r="M991" s="2" t="str">
        <f>'PFAS Properties'!$Y$46</f>
        <v>-</v>
      </c>
      <c r="N991" s="33">
        <v>0</v>
      </c>
      <c r="O991" s="33">
        <v>0</v>
      </c>
      <c r="P991" s="33">
        <v>0</v>
      </c>
      <c r="Q991" s="33">
        <f t="shared" si="450"/>
        <v>0.99996284785742329</v>
      </c>
      <c r="R991" s="33">
        <v>0</v>
      </c>
      <c r="S991" s="33">
        <f t="shared" si="451"/>
        <v>3.7152142576736807E-5</v>
      </c>
      <c r="T991" s="8">
        <f t="shared" si="436"/>
        <v>1</v>
      </c>
      <c r="U991" s="33">
        <f t="shared" si="452"/>
        <v>0</v>
      </c>
      <c r="V991" s="33">
        <f t="shared" si="453"/>
        <v>-0.99996284785742329</v>
      </c>
      <c r="W991" s="33">
        <f t="shared" si="454"/>
        <v>498.93743715214259</v>
      </c>
      <c r="X991" s="33">
        <v>96485</v>
      </c>
      <c r="Y991" s="16">
        <f t="shared" si="455"/>
        <v>-193.37377432774821</v>
      </c>
      <c r="Z991" s="16">
        <v>8</v>
      </c>
      <c r="AA991" s="16">
        <v>17</v>
      </c>
      <c r="AB991" s="8">
        <f t="shared" si="456"/>
        <v>0.29721362229102166</v>
      </c>
      <c r="AC991" s="16">
        <f t="shared" si="438"/>
        <v>64.60808893273439</v>
      </c>
      <c r="AD991" s="20">
        <f>'PFAS Properties'!$W$46</f>
        <v>8</v>
      </c>
      <c r="AE991" s="8">
        <f>'PFAS Properties'!$S$46</f>
        <v>2.0166155475571776</v>
      </c>
      <c r="AF991" s="15">
        <f>'PFAS Properties'!$V$46</f>
        <v>5</v>
      </c>
      <c r="AG991" s="26">
        <v>4.53</v>
      </c>
      <c r="AH991" s="1" t="s">
        <v>190</v>
      </c>
      <c r="AI991" s="39">
        <f t="shared" si="440"/>
        <v>372.59783999999996</v>
      </c>
      <c r="AJ991" s="1">
        <v>6672</v>
      </c>
      <c r="AK991" s="8">
        <f t="shared" si="441"/>
        <v>37.259783999999996</v>
      </c>
      <c r="AL991" s="39">
        <f t="shared" si="442"/>
        <v>68.124499999999998</v>
      </c>
      <c r="AM991" s="1">
        <v>2525</v>
      </c>
      <c r="AN991" s="8">
        <f t="shared" si="443"/>
        <v>6.8124500000000001</v>
      </c>
      <c r="AO991" s="3" t="s">
        <v>93</v>
      </c>
      <c r="AP991" s="3">
        <v>9.4</v>
      </c>
      <c r="AQ991" s="3" t="s">
        <v>661</v>
      </c>
      <c r="AR991" s="4">
        <v>34.799999999999997</v>
      </c>
      <c r="AS991" s="4">
        <v>18</v>
      </c>
      <c r="AT991" s="4">
        <v>47.2</v>
      </c>
      <c r="AU991" s="3" t="s">
        <v>661</v>
      </c>
      <c r="AV991" s="16">
        <f t="shared" si="437"/>
        <v>100</v>
      </c>
      <c r="AW991" s="26">
        <v>3.4</v>
      </c>
      <c r="AX991" s="1">
        <f t="shared" si="444"/>
        <v>3.4000000000000002E-2</v>
      </c>
      <c r="AY991" s="1" t="s">
        <v>511</v>
      </c>
      <c r="AZ991" s="1">
        <f t="shared" si="445"/>
        <v>100</v>
      </c>
      <c r="BA991" s="1" t="s">
        <v>55</v>
      </c>
      <c r="BB991" s="1">
        <v>5</v>
      </c>
      <c r="BC991" s="1">
        <v>500</v>
      </c>
      <c r="BD991" s="26">
        <f t="shared" si="446"/>
        <v>46.961088404262533</v>
      </c>
      <c r="BE991" s="16">
        <f t="shared" si="439"/>
        <v>1381.2084824783096</v>
      </c>
      <c r="BF991" s="16">
        <f t="shared" si="457"/>
        <v>3.1402592368380096</v>
      </c>
      <c r="BG991" s="8">
        <f t="shared" si="458"/>
        <v>1.6717381538802645</v>
      </c>
      <c r="BH991" s="13" t="s">
        <v>782</v>
      </c>
      <c r="BI991" s="8">
        <v>75</v>
      </c>
      <c r="BJ991" s="13" t="s">
        <v>349</v>
      </c>
      <c r="BK991" s="15">
        <v>0.8</v>
      </c>
      <c r="BL991" s="16">
        <f t="shared" si="447"/>
        <v>75</v>
      </c>
      <c r="BM991" s="18">
        <f>'PFAS Properties'!$U$46</f>
        <v>10.39</v>
      </c>
      <c r="BN991" s="8">
        <f t="shared" si="448"/>
        <v>487.92570852028774</v>
      </c>
      <c r="BO991" s="24">
        <f t="shared" si="449"/>
        <v>46.961088404262533</v>
      </c>
      <c r="BP991" s="11"/>
      <c r="BQ991" s="11"/>
    </row>
    <row r="992" spans="1:69" x14ac:dyDescent="0.3">
      <c r="A992" s="20">
        <v>1013</v>
      </c>
      <c r="B992" s="2" t="s">
        <v>189</v>
      </c>
      <c r="C992" s="2">
        <v>2021</v>
      </c>
      <c r="D992" s="2" t="s">
        <v>510</v>
      </c>
      <c r="E992" s="41" t="s">
        <v>804</v>
      </c>
      <c r="F992" s="20" t="s">
        <v>29</v>
      </c>
      <c r="G992" s="2" t="s">
        <v>503</v>
      </c>
      <c r="H992" s="2" t="str">
        <f>'PFAS Properties'!$B$46</f>
        <v>PFOS</v>
      </c>
      <c r="I992" s="2" t="str">
        <f>'PFAS Properties'!$C$46</f>
        <v>PFSA</v>
      </c>
      <c r="J992" s="2" t="str">
        <f>'PFAS Properties'!$D$46</f>
        <v>C8HF17O3S</v>
      </c>
      <c r="K992" s="25">
        <f>'PFAS Properties'!$P$46</f>
        <v>499.93739999999997</v>
      </c>
      <c r="L992" s="2">
        <f>'PFAS Properties'!$X$46</f>
        <v>0.1</v>
      </c>
      <c r="M992" s="2" t="str">
        <f>'PFAS Properties'!$Y$46</f>
        <v>-</v>
      </c>
      <c r="N992" s="33">
        <v>0</v>
      </c>
      <c r="O992" s="33">
        <v>0</v>
      </c>
      <c r="P992" s="33">
        <v>0</v>
      </c>
      <c r="Q992" s="33">
        <f t="shared" si="450"/>
        <v>0.9999661167325008</v>
      </c>
      <c r="R992" s="33">
        <v>0</v>
      </c>
      <c r="S992" s="33">
        <f t="shared" si="451"/>
        <v>3.3883267499201894E-5</v>
      </c>
      <c r="T992" s="8">
        <f t="shared" si="436"/>
        <v>1</v>
      </c>
      <c r="U992" s="33">
        <f t="shared" si="452"/>
        <v>0</v>
      </c>
      <c r="V992" s="33">
        <f t="shared" si="453"/>
        <v>-0.9999661167325008</v>
      </c>
      <c r="W992" s="33">
        <f t="shared" si="454"/>
        <v>498.93743388326749</v>
      </c>
      <c r="X992" s="33">
        <v>96485</v>
      </c>
      <c r="Y992" s="16">
        <f t="shared" si="455"/>
        <v>-193.37440773287102</v>
      </c>
      <c r="Z992" s="16">
        <v>8</v>
      </c>
      <c r="AA992" s="16">
        <v>17</v>
      </c>
      <c r="AB992" s="8">
        <f t="shared" si="456"/>
        <v>0.29721362229102166</v>
      </c>
      <c r="AC992" s="16">
        <f t="shared" si="438"/>
        <v>64.60808893273439</v>
      </c>
      <c r="AD992" s="20">
        <f>'PFAS Properties'!$W$46</f>
        <v>8</v>
      </c>
      <c r="AE992" s="8">
        <f>'PFAS Properties'!$S$46</f>
        <v>2.0166155475571776</v>
      </c>
      <c r="AF992" s="15">
        <f>'PFAS Properties'!$V$46</f>
        <v>5</v>
      </c>
      <c r="AG992" s="26">
        <v>4.57</v>
      </c>
      <c r="AH992" s="1" t="s">
        <v>190</v>
      </c>
      <c r="AI992" s="39">
        <f t="shared" si="440"/>
        <v>397.00210499999997</v>
      </c>
      <c r="AJ992" s="1">
        <v>7109</v>
      </c>
      <c r="AK992" s="8">
        <f t="shared" si="441"/>
        <v>39.700210499999997</v>
      </c>
      <c r="AL992" s="39">
        <f t="shared" si="442"/>
        <v>66.586640000000003</v>
      </c>
      <c r="AM992" s="1">
        <v>2468</v>
      </c>
      <c r="AN992" s="8">
        <f t="shared" si="443"/>
        <v>6.6586639999999999</v>
      </c>
      <c r="AO992" s="3" t="s">
        <v>93</v>
      </c>
      <c r="AP992" s="3">
        <v>9.4</v>
      </c>
      <c r="AQ992" s="3" t="s">
        <v>661</v>
      </c>
      <c r="AR992" s="4">
        <v>53.1</v>
      </c>
      <c r="AS992" s="4">
        <v>9.8000000000000007</v>
      </c>
      <c r="AT992" s="4">
        <v>37.1</v>
      </c>
      <c r="AU992" s="3" t="s">
        <v>661</v>
      </c>
      <c r="AV992" s="16">
        <f t="shared" si="437"/>
        <v>100</v>
      </c>
      <c r="AW992" s="26">
        <v>3.2</v>
      </c>
      <c r="AX992" s="1">
        <f t="shared" si="444"/>
        <v>3.2000000000000001E-2</v>
      </c>
      <c r="AY992" s="1" t="s">
        <v>511</v>
      </c>
      <c r="AZ992" s="1">
        <f t="shared" si="445"/>
        <v>100</v>
      </c>
      <c r="BA992" s="1" t="s">
        <v>55</v>
      </c>
      <c r="BB992" s="1">
        <v>5</v>
      </c>
      <c r="BC992" s="1">
        <v>500</v>
      </c>
      <c r="BD992" s="26">
        <f t="shared" si="446"/>
        <v>56.973243110276137</v>
      </c>
      <c r="BE992" s="16">
        <f t="shared" si="439"/>
        <v>1780.4138471961292</v>
      </c>
      <c r="BF992" s="16">
        <f t="shared" si="457"/>
        <v>3.2505209633556449</v>
      </c>
      <c r="BG992" s="8">
        <f t="shared" si="458"/>
        <v>1.7556709416755507</v>
      </c>
      <c r="BH992" s="13" t="s">
        <v>782</v>
      </c>
      <c r="BI992" s="8">
        <v>72</v>
      </c>
      <c r="BJ992" s="13" t="s">
        <v>349</v>
      </c>
      <c r="BK992" s="15">
        <v>0.9</v>
      </c>
      <c r="BL992" s="16">
        <f t="shared" si="447"/>
        <v>72</v>
      </c>
      <c r="BM992" s="18">
        <f>'PFAS Properties'!$U$46</f>
        <v>10.39</v>
      </c>
      <c r="BN992" s="8">
        <f t="shared" si="448"/>
        <v>591.95199591576909</v>
      </c>
      <c r="BO992" s="24">
        <f t="shared" si="449"/>
        <v>56.973243110276137</v>
      </c>
      <c r="BP992" s="11"/>
      <c r="BQ992" s="11"/>
    </row>
    <row r="993" spans="1:69" x14ac:dyDescent="0.3">
      <c r="A993" s="20">
        <v>1014</v>
      </c>
      <c r="B993" s="2" t="s">
        <v>189</v>
      </c>
      <c r="C993" s="2">
        <v>2021</v>
      </c>
      <c r="D993" s="2" t="s">
        <v>510</v>
      </c>
      <c r="E993" s="41" t="s">
        <v>804</v>
      </c>
      <c r="F993" s="20" t="s">
        <v>29</v>
      </c>
      <c r="G993" s="2" t="s">
        <v>504</v>
      </c>
      <c r="H993" s="2" t="str">
        <f>'PFAS Properties'!$B$46</f>
        <v>PFOS</v>
      </c>
      <c r="I993" s="2" t="str">
        <f>'PFAS Properties'!$C$46</f>
        <v>PFSA</v>
      </c>
      <c r="J993" s="2" t="str">
        <f>'PFAS Properties'!$D$46</f>
        <v>C8HF17O3S</v>
      </c>
      <c r="K993" s="25">
        <f>'PFAS Properties'!$P$46</f>
        <v>499.93739999999997</v>
      </c>
      <c r="L993" s="2">
        <f>'PFAS Properties'!$X$46</f>
        <v>0.1</v>
      </c>
      <c r="M993" s="2" t="str">
        <f>'PFAS Properties'!$Y$46</f>
        <v>-</v>
      </c>
      <c r="N993" s="33">
        <v>0</v>
      </c>
      <c r="O993" s="33">
        <v>0</v>
      </c>
      <c r="P993" s="33">
        <v>0</v>
      </c>
      <c r="Q993" s="33">
        <f t="shared" si="450"/>
        <v>0.99998378216204897</v>
      </c>
      <c r="R993" s="33">
        <v>0</v>
      </c>
      <c r="S993" s="33">
        <f t="shared" si="451"/>
        <v>1.6217837951055827E-5</v>
      </c>
      <c r="T993" s="8">
        <f t="shared" si="436"/>
        <v>1</v>
      </c>
      <c r="U993" s="33">
        <f t="shared" si="452"/>
        <v>0</v>
      </c>
      <c r="V993" s="33">
        <f t="shared" si="453"/>
        <v>-0.99998378216204897</v>
      </c>
      <c r="W993" s="33">
        <f t="shared" si="454"/>
        <v>498.93741621783789</v>
      </c>
      <c r="X993" s="33">
        <v>96485</v>
      </c>
      <c r="Y993" s="16">
        <f t="shared" si="455"/>
        <v>-193.37783073735298</v>
      </c>
      <c r="Z993" s="16">
        <v>8</v>
      </c>
      <c r="AA993" s="16">
        <v>17</v>
      </c>
      <c r="AB993" s="8">
        <f t="shared" si="456"/>
        <v>0.29721362229102166</v>
      </c>
      <c r="AC993" s="16">
        <f t="shared" si="438"/>
        <v>64.60808893273439</v>
      </c>
      <c r="AD993" s="20">
        <f>'PFAS Properties'!$W$46</f>
        <v>8</v>
      </c>
      <c r="AE993" s="8">
        <f>'PFAS Properties'!$S$46</f>
        <v>2.0166155475571776</v>
      </c>
      <c r="AF993" s="15">
        <f>'PFAS Properties'!$V$46</f>
        <v>5</v>
      </c>
      <c r="AG993" s="26">
        <v>4.8899999999999997</v>
      </c>
      <c r="AH993" s="1" t="s">
        <v>190</v>
      </c>
      <c r="AI993" s="39">
        <f t="shared" si="440"/>
        <v>258.45066000000003</v>
      </c>
      <c r="AJ993" s="1">
        <v>4628</v>
      </c>
      <c r="AK993" s="8">
        <f t="shared" si="441"/>
        <v>25.845066000000003</v>
      </c>
      <c r="AL993" s="39">
        <f t="shared" si="442"/>
        <v>37.79898</v>
      </c>
      <c r="AM993" s="1">
        <v>1401</v>
      </c>
      <c r="AN993" s="8">
        <f t="shared" si="443"/>
        <v>3.7798980000000002</v>
      </c>
      <c r="AO993" s="3" t="s">
        <v>93</v>
      </c>
      <c r="AP993" s="3">
        <v>15.8</v>
      </c>
      <c r="AQ993" s="3" t="s">
        <v>661</v>
      </c>
      <c r="AR993" s="4">
        <v>31.3</v>
      </c>
      <c r="AS993" s="4">
        <v>32.200000000000003</v>
      </c>
      <c r="AT993" s="4">
        <v>36.5</v>
      </c>
      <c r="AU993" s="3" t="s">
        <v>661</v>
      </c>
      <c r="AV993" s="16">
        <f t="shared" si="437"/>
        <v>100</v>
      </c>
      <c r="AW993" s="26">
        <v>2</v>
      </c>
      <c r="AX993" s="1">
        <f t="shared" si="444"/>
        <v>0.02</v>
      </c>
      <c r="AY993" s="1" t="s">
        <v>511</v>
      </c>
      <c r="AZ993" s="1">
        <f t="shared" si="445"/>
        <v>100</v>
      </c>
      <c r="BA993" s="1" t="s">
        <v>55</v>
      </c>
      <c r="BB993" s="1">
        <v>5</v>
      </c>
      <c r="BC993" s="1">
        <v>500</v>
      </c>
      <c r="BD993" s="26">
        <f t="shared" si="446"/>
        <v>44.233392914783835</v>
      </c>
      <c r="BE993" s="16">
        <f t="shared" si="439"/>
        <v>2211.6696457391918</v>
      </c>
      <c r="BF993" s="16">
        <f t="shared" si="457"/>
        <v>3.3447202574667245</v>
      </c>
      <c r="BG993" s="8">
        <f t="shared" si="458"/>
        <v>1.6457502531307056</v>
      </c>
      <c r="BH993" s="13" t="s">
        <v>782</v>
      </c>
      <c r="BI993" s="8">
        <v>55.9</v>
      </c>
      <c r="BJ993" s="13" t="s">
        <v>349</v>
      </c>
      <c r="BK993" s="15">
        <v>0.9</v>
      </c>
      <c r="BL993" s="16">
        <f t="shared" si="447"/>
        <v>55.9</v>
      </c>
      <c r="BM993" s="18">
        <f>'PFAS Properties'!$U$46</f>
        <v>10.39</v>
      </c>
      <c r="BN993" s="8">
        <f t="shared" si="448"/>
        <v>459.58495238460404</v>
      </c>
      <c r="BO993" s="24">
        <f t="shared" si="449"/>
        <v>44.233392914783835</v>
      </c>
      <c r="BP993" s="11"/>
      <c r="BQ993" s="11"/>
    </row>
    <row r="994" spans="1:69" x14ac:dyDescent="0.3">
      <c r="A994" s="20">
        <v>1015</v>
      </c>
      <c r="B994" s="2" t="s">
        <v>189</v>
      </c>
      <c r="C994" s="2">
        <v>2021</v>
      </c>
      <c r="D994" s="2" t="s">
        <v>510</v>
      </c>
      <c r="E994" s="41" t="s">
        <v>804</v>
      </c>
      <c r="F994" s="20" t="s">
        <v>29</v>
      </c>
      <c r="G994" s="2" t="s">
        <v>505</v>
      </c>
      <c r="H994" s="2" t="str">
        <f>'PFAS Properties'!$B$46</f>
        <v>PFOS</v>
      </c>
      <c r="I994" s="2" t="str">
        <f>'PFAS Properties'!$C$46</f>
        <v>PFSA</v>
      </c>
      <c r="J994" s="2" t="str">
        <f>'PFAS Properties'!$D$46</f>
        <v>C8HF17O3S</v>
      </c>
      <c r="K994" s="25">
        <f>'PFAS Properties'!$P$46</f>
        <v>499.93739999999997</v>
      </c>
      <c r="L994" s="2">
        <f>'PFAS Properties'!$X$46</f>
        <v>0.1</v>
      </c>
      <c r="M994" s="2" t="str">
        <f>'PFAS Properties'!$Y$46</f>
        <v>-</v>
      </c>
      <c r="N994" s="33">
        <v>0</v>
      </c>
      <c r="O994" s="33">
        <v>0</v>
      </c>
      <c r="P994" s="33">
        <v>0</v>
      </c>
      <c r="Q994" s="33">
        <f t="shared" si="450"/>
        <v>0.99998378216204897</v>
      </c>
      <c r="R994" s="33">
        <v>0</v>
      </c>
      <c r="S994" s="33">
        <f t="shared" si="451"/>
        <v>1.6217837951055827E-5</v>
      </c>
      <c r="T994" s="8">
        <f t="shared" si="436"/>
        <v>1</v>
      </c>
      <c r="U994" s="33">
        <f t="shared" si="452"/>
        <v>0</v>
      </c>
      <c r="V994" s="33">
        <f t="shared" si="453"/>
        <v>-0.99998378216204897</v>
      </c>
      <c r="W994" s="33">
        <f t="shared" si="454"/>
        <v>498.93741621783789</v>
      </c>
      <c r="X994" s="33">
        <v>96485</v>
      </c>
      <c r="Y994" s="16">
        <f t="shared" si="455"/>
        <v>-193.37783073735298</v>
      </c>
      <c r="Z994" s="16">
        <v>8</v>
      </c>
      <c r="AA994" s="16">
        <v>17</v>
      </c>
      <c r="AB994" s="8">
        <f t="shared" si="456"/>
        <v>0.29721362229102166</v>
      </c>
      <c r="AC994" s="16">
        <f t="shared" si="438"/>
        <v>64.60808893273439</v>
      </c>
      <c r="AD994" s="20">
        <f>'PFAS Properties'!$W$46</f>
        <v>8</v>
      </c>
      <c r="AE994" s="8">
        <f>'PFAS Properties'!$S$46</f>
        <v>2.0166155475571776</v>
      </c>
      <c r="AF994" s="15">
        <f>'PFAS Properties'!$V$46</f>
        <v>5</v>
      </c>
      <c r="AG994" s="26">
        <v>4.8899999999999997</v>
      </c>
      <c r="AH994" s="1" t="s">
        <v>190</v>
      </c>
      <c r="AI994" s="39">
        <f t="shared" si="440"/>
        <v>388.40197499999999</v>
      </c>
      <c r="AJ994" s="1">
        <v>6955</v>
      </c>
      <c r="AK994" s="8">
        <f t="shared" si="441"/>
        <v>38.840197500000002</v>
      </c>
      <c r="AL994" s="39">
        <f t="shared" si="442"/>
        <v>40.496980000000001</v>
      </c>
      <c r="AM994" s="1">
        <v>1501</v>
      </c>
      <c r="AN994" s="8">
        <f t="shared" si="443"/>
        <v>4.0496980000000002</v>
      </c>
      <c r="AO994" s="3" t="s">
        <v>93</v>
      </c>
      <c r="AP994" s="3">
        <v>14.9</v>
      </c>
      <c r="AQ994" s="3" t="s">
        <v>661</v>
      </c>
      <c r="AR994" s="4">
        <v>30.5</v>
      </c>
      <c r="AS994" s="4">
        <v>25.8</v>
      </c>
      <c r="AT994" s="4">
        <v>43.7</v>
      </c>
      <c r="AU994" s="3" t="s">
        <v>661</v>
      </c>
      <c r="AV994" s="16">
        <f t="shared" si="437"/>
        <v>100</v>
      </c>
      <c r="AW994" s="26">
        <v>2</v>
      </c>
      <c r="AX994" s="1">
        <f t="shared" si="444"/>
        <v>0.02</v>
      </c>
      <c r="AY994" s="1" t="s">
        <v>511</v>
      </c>
      <c r="AZ994" s="1">
        <f t="shared" si="445"/>
        <v>100</v>
      </c>
      <c r="BA994" s="1" t="s">
        <v>55</v>
      </c>
      <c r="BB994" s="1">
        <v>5</v>
      </c>
      <c r="BC994" s="1">
        <v>500</v>
      </c>
      <c r="BD994" s="26">
        <f t="shared" si="446"/>
        <v>32.443096771129468</v>
      </c>
      <c r="BE994" s="16">
        <f t="shared" si="439"/>
        <v>1622.1548385564734</v>
      </c>
      <c r="BF994" s="16">
        <f t="shared" si="457"/>
        <v>3.2100923063000368</v>
      </c>
      <c r="BG994" s="8">
        <f t="shared" si="458"/>
        <v>1.5111223019640179</v>
      </c>
      <c r="BH994" s="13" t="s">
        <v>782</v>
      </c>
      <c r="BI994" s="8">
        <v>41</v>
      </c>
      <c r="BJ994" s="13" t="s">
        <v>349</v>
      </c>
      <c r="BK994" s="15">
        <v>0.9</v>
      </c>
      <c r="BL994" s="16">
        <f t="shared" si="447"/>
        <v>41</v>
      </c>
      <c r="BM994" s="18">
        <f>'PFAS Properties'!$U$46</f>
        <v>10.39</v>
      </c>
      <c r="BN994" s="8">
        <f t="shared" si="448"/>
        <v>337.08377545203518</v>
      </c>
      <c r="BO994" s="24">
        <f t="shared" si="449"/>
        <v>32.443096771129468</v>
      </c>
      <c r="BP994" s="11"/>
      <c r="BQ994" s="11"/>
    </row>
    <row r="995" spans="1:69" x14ac:dyDescent="0.3">
      <c r="A995" s="20">
        <v>1016</v>
      </c>
      <c r="B995" s="2" t="s">
        <v>189</v>
      </c>
      <c r="C995" s="2">
        <v>2021</v>
      </c>
      <c r="D995" s="2" t="s">
        <v>510</v>
      </c>
      <c r="E995" s="41" t="s">
        <v>804</v>
      </c>
      <c r="F995" s="20" t="s">
        <v>29</v>
      </c>
      <c r="G995" s="2" t="s">
        <v>506</v>
      </c>
      <c r="H995" s="2" t="str">
        <f>'PFAS Properties'!$B$46</f>
        <v>PFOS</v>
      </c>
      <c r="I995" s="2" t="str">
        <f>'PFAS Properties'!$C$46</f>
        <v>PFSA</v>
      </c>
      <c r="J995" s="2" t="str">
        <f>'PFAS Properties'!$D$46</f>
        <v>C8HF17O3S</v>
      </c>
      <c r="K995" s="25">
        <f>'PFAS Properties'!$P$46</f>
        <v>499.93739999999997</v>
      </c>
      <c r="L995" s="2">
        <f>'PFAS Properties'!$X$46</f>
        <v>0.1</v>
      </c>
      <c r="M995" s="2" t="str">
        <f>'PFAS Properties'!$Y$46</f>
        <v>-</v>
      </c>
      <c r="N995" s="33">
        <v>0</v>
      </c>
      <c r="O995" s="33">
        <v>0</v>
      </c>
      <c r="P995" s="33">
        <v>0</v>
      </c>
      <c r="Q995" s="33">
        <f t="shared" si="450"/>
        <v>0.99994504893239999</v>
      </c>
      <c r="R995" s="33">
        <v>0</v>
      </c>
      <c r="S995" s="33">
        <f t="shared" si="451"/>
        <v>5.4951067599991519E-5</v>
      </c>
      <c r="T995" s="8">
        <f t="shared" si="436"/>
        <v>1</v>
      </c>
      <c r="U995" s="33">
        <f t="shared" si="452"/>
        <v>0</v>
      </c>
      <c r="V995" s="33">
        <f t="shared" si="453"/>
        <v>-0.99994504893239999</v>
      </c>
      <c r="W995" s="33">
        <f t="shared" si="454"/>
        <v>498.93745495106754</v>
      </c>
      <c r="X995" s="33">
        <v>96485</v>
      </c>
      <c r="Y995" s="16">
        <f t="shared" si="455"/>
        <v>-193.37032545633338</v>
      </c>
      <c r="Z995" s="16">
        <v>8</v>
      </c>
      <c r="AA995" s="16">
        <v>17</v>
      </c>
      <c r="AB995" s="8">
        <f t="shared" si="456"/>
        <v>0.29721362229102166</v>
      </c>
      <c r="AC995" s="16">
        <f t="shared" si="438"/>
        <v>64.60808893273439</v>
      </c>
      <c r="AD995" s="20">
        <f>'PFAS Properties'!$W$46</f>
        <v>8</v>
      </c>
      <c r="AE995" s="8">
        <f>'PFAS Properties'!$S$46</f>
        <v>2.0166155475571776</v>
      </c>
      <c r="AF995" s="15">
        <f>'PFAS Properties'!$V$46</f>
        <v>5</v>
      </c>
      <c r="AG995" s="26">
        <v>4.3600000000000003</v>
      </c>
      <c r="AH995" s="1" t="s">
        <v>190</v>
      </c>
      <c r="AI995" s="39">
        <f t="shared" si="440"/>
        <v>27.810809999999996</v>
      </c>
      <c r="AJ995" s="1">
        <v>498</v>
      </c>
      <c r="AK995" s="8">
        <f t="shared" si="441"/>
        <v>2.7810809999999995</v>
      </c>
      <c r="AL995" s="39">
        <f t="shared" si="442"/>
        <v>9.9016599999999997</v>
      </c>
      <c r="AM995" s="1">
        <v>367</v>
      </c>
      <c r="AN995" s="8">
        <f t="shared" si="443"/>
        <v>0.99016599999999999</v>
      </c>
      <c r="AO995" s="3" t="s">
        <v>93</v>
      </c>
      <c r="AP995" s="3">
        <v>8.8000000000000007</v>
      </c>
      <c r="AQ995" s="3" t="s">
        <v>661</v>
      </c>
      <c r="AR995" s="4">
        <v>54.1</v>
      </c>
      <c r="AS995" s="4">
        <v>31.6</v>
      </c>
      <c r="AT995" s="4">
        <v>14.4</v>
      </c>
      <c r="AU995" s="3" t="s">
        <v>661</v>
      </c>
      <c r="AV995" s="16">
        <f t="shared" si="437"/>
        <v>100.10000000000001</v>
      </c>
      <c r="AW995" s="26">
        <v>1.7</v>
      </c>
      <c r="AX995" s="1">
        <f t="shared" si="444"/>
        <v>1.7000000000000001E-2</v>
      </c>
      <c r="AY995" s="1" t="s">
        <v>511</v>
      </c>
      <c r="AZ995" s="1">
        <f t="shared" si="445"/>
        <v>100</v>
      </c>
      <c r="BA995" s="1" t="s">
        <v>55</v>
      </c>
      <c r="BB995" s="1">
        <v>5</v>
      </c>
      <c r="BC995" s="1">
        <v>500</v>
      </c>
      <c r="BD995" s="26">
        <f t="shared" si="446"/>
        <v>13.9</v>
      </c>
      <c r="BE995" s="16">
        <f t="shared" si="439"/>
        <v>817.64705882352939</v>
      </c>
      <c r="BF995" s="16">
        <f t="shared" si="457"/>
        <v>2.9125658788758213</v>
      </c>
      <c r="BG995" s="8">
        <f t="shared" si="458"/>
        <v>1.1430148002540952</v>
      </c>
      <c r="BH995" s="13" t="s">
        <v>782</v>
      </c>
      <c r="BI995" s="8">
        <v>13.9</v>
      </c>
      <c r="BJ995" s="13" t="s">
        <v>349</v>
      </c>
      <c r="BK995" s="15">
        <v>1</v>
      </c>
      <c r="BL995" s="16">
        <f t="shared" si="447"/>
        <v>13.9</v>
      </c>
      <c r="BM995" s="18">
        <f>'PFAS Properties'!$U$46</f>
        <v>10.39</v>
      </c>
      <c r="BN995" s="8">
        <f t="shared" si="448"/>
        <v>144.42100000000002</v>
      </c>
      <c r="BO995" s="24">
        <f t="shared" si="449"/>
        <v>13.9</v>
      </c>
      <c r="BP995" s="11"/>
      <c r="BQ995" s="11"/>
    </row>
    <row r="996" spans="1:69" x14ac:dyDescent="0.3">
      <c r="A996" s="20">
        <v>1017</v>
      </c>
      <c r="B996" s="2" t="s">
        <v>189</v>
      </c>
      <c r="C996" s="2">
        <v>2021</v>
      </c>
      <c r="D996" s="2" t="s">
        <v>510</v>
      </c>
      <c r="E996" s="41" t="s">
        <v>804</v>
      </c>
      <c r="F996" s="20" t="s">
        <v>29</v>
      </c>
      <c r="G996" s="2" t="s">
        <v>507</v>
      </c>
      <c r="H996" s="2" t="str">
        <f>'PFAS Properties'!$B$46</f>
        <v>PFOS</v>
      </c>
      <c r="I996" s="2" t="str">
        <f>'PFAS Properties'!$C$46</f>
        <v>PFSA</v>
      </c>
      <c r="J996" s="2" t="str">
        <f>'PFAS Properties'!$D$46</f>
        <v>C8HF17O3S</v>
      </c>
      <c r="K996" s="25">
        <f>'PFAS Properties'!$P$46</f>
        <v>499.93739999999997</v>
      </c>
      <c r="L996" s="2">
        <f>'PFAS Properties'!$X$46</f>
        <v>0.1</v>
      </c>
      <c r="M996" s="2" t="str">
        <f>'PFAS Properties'!$Y$46</f>
        <v>-</v>
      </c>
      <c r="N996" s="33">
        <v>0</v>
      </c>
      <c r="O996" s="33">
        <v>0</v>
      </c>
      <c r="P996" s="33">
        <v>0</v>
      </c>
      <c r="Q996" s="33">
        <f t="shared" si="450"/>
        <v>0.99996837822336671</v>
      </c>
      <c r="R996" s="33">
        <v>0</v>
      </c>
      <c r="S996" s="33">
        <f t="shared" si="451"/>
        <v>3.1621776633305525E-5</v>
      </c>
      <c r="T996" s="8">
        <f t="shared" si="436"/>
        <v>1</v>
      </c>
      <c r="U996" s="33">
        <f t="shared" si="452"/>
        <v>0</v>
      </c>
      <c r="V996" s="33">
        <f t="shared" si="453"/>
        <v>-0.99996837822336671</v>
      </c>
      <c r="W996" s="33">
        <f t="shared" si="454"/>
        <v>498.93743162177657</v>
      </c>
      <c r="X996" s="33">
        <v>96485</v>
      </c>
      <c r="Y996" s="16">
        <f t="shared" si="455"/>
        <v>-193.37484593863954</v>
      </c>
      <c r="Z996" s="16">
        <v>8</v>
      </c>
      <c r="AA996" s="16">
        <v>17</v>
      </c>
      <c r="AB996" s="8">
        <f t="shared" si="456"/>
        <v>0.29721362229102166</v>
      </c>
      <c r="AC996" s="16">
        <f t="shared" si="438"/>
        <v>64.60808893273439</v>
      </c>
      <c r="AD996" s="20">
        <f>'PFAS Properties'!$W$46</f>
        <v>8</v>
      </c>
      <c r="AE996" s="8">
        <f>'PFAS Properties'!$S$46</f>
        <v>2.0166155475571776</v>
      </c>
      <c r="AF996" s="15">
        <f>'PFAS Properties'!$V$46</f>
        <v>5</v>
      </c>
      <c r="AG996" s="26">
        <v>4.5999999999999996</v>
      </c>
      <c r="AH996" s="1" t="s">
        <v>190</v>
      </c>
      <c r="AI996" s="39">
        <f t="shared" si="440"/>
        <v>51.377400000000002</v>
      </c>
      <c r="AJ996" s="1">
        <v>920</v>
      </c>
      <c r="AK996" s="8">
        <f t="shared" si="441"/>
        <v>5.13774</v>
      </c>
      <c r="AL996" s="39">
        <f t="shared" si="442"/>
        <v>6.9068800000000001</v>
      </c>
      <c r="AM996" s="1">
        <v>256</v>
      </c>
      <c r="AN996" s="8">
        <f t="shared" si="443"/>
        <v>0.69068799999999997</v>
      </c>
      <c r="AO996" s="3" t="s">
        <v>93</v>
      </c>
      <c r="AP996" s="3">
        <v>13.7</v>
      </c>
      <c r="AQ996" s="3" t="s">
        <v>661</v>
      </c>
      <c r="AR996" s="4">
        <v>33.700000000000003</v>
      </c>
      <c r="AS996" s="4">
        <v>30</v>
      </c>
      <c r="AT996" s="4">
        <v>36.4</v>
      </c>
      <c r="AU996" s="3" t="s">
        <v>661</v>
      </c>
      <c r="AV996" s="16">
        <f t="shared" si="437"/>
        <v>100.1</v>
      </c>
      <c r="AW996" s="26">
        <v>1.3</v>
      </c>
      <c r="AX996" s="1">
        <f t="shared" si="444"/>
        <v>1.3000000000000001E-2</v>
      </c>
      <c r="AY996" s="1" t="s">
        <v>511</v>
      </c>
      <c r="AZ996" s="1">
        <f t="shared" si="445"/>
        <v>100</v>
      </c>
      <c r="BA996" s="1" t="s">
        <v>55</v>
      </c>
      <c r="BB996" s="1">
        <v>5</v>
      </c>
      <c r="BC996" s="1">
        <v>500</v>
      </c>
      <c r="BD996" s="26">
        <f t="shared" si="446"/>
        <v>24.767534852106152</v>
      </c>
      <c r="BE996" s="16">
        <f t="shared" si="439"/>
        <v>1905.19498862355</v>
      </c>
      <c r="BF996" s="16">
        <f t="shared" si="457"/>
        <v>3.279939430483894</v>
      </c>
      <c r="BG996" s="8">
        <f t="shared" si="458"/>
        <v>1.3938827827907307</v>
      </c>
      <c r="BH996" s="13" t="s">
        <v>782</v>
      </c>
      <c r="BI996" s="8">
        <v>31.3</v>
      </c>
      <c r="BJ996" s="13" t="s">
        <v>349</v>
      </c>
      <c r="BK996" s="15">
        <v>0.9</v>
      </c>
      <c r="BL996" s="16">
        <f t="shared" si="447"/>
        <v>31.3</v>
      </c>
      <c r="BM996" s="18">
        <f>'PFAS Properties'!$U$46</f>
        <v>10.39</v>
      </c>
      <c r="BN996" s="8">
        <f t="shared" si="448"/>
        <v>257.33468711338293</v>
      </c>
      <c r="BO996" s="24">
        <f t="shared" si="449"/>
        <v>24.767534852106152</v>
      </c>
      <c r="BP996" s="11"/>
      <c r="BQ996" s="11"/>
    </row>
    <row r="997" spans="1:69" x14ac:dyDescent="0.3">
      <c r="A997" s="20">
        <v>1018</v>
      </c>
      <c r="B997" s="2" t="s">
        <v>189</v>
      </c>
      <c r="C997" s="2">
        <v>2021</v>
      </c>
      <c r="D997" s="2" t="s">
        <v>510</v>
      </c>
      <c r="E997" s="41" t="s">
        <v>804</v>
      </c>
      <c r="F997" s="20" t="s">
        <v>29</v>
      </c>
      <c r="G997" s="2" t="s">
        <v>508</v>
      </c>
      <c r="H997" s="2" t="str">
        <f>'PFAS Properties'!$B$46</f>
        <v>PFOS</v>
      </c>
      <c r="I997" s="2" t="str">
        <f>'PFAS Properties'!$C$46</f>
        <v>PFSA</v>
      </c>
      <c r="J997" s="2" t="str">
        <f>'PFAS Properties'!$D$46</f>
        <v>C8HF17O3S</v>
      </c>
      <c r="K997" s="25">
        <f>'PFAS Properties'!$P$46</f>
        <v>499.93739999999997</v>
      </c>
      <c r="L997" s="2">
        <f>'PFAS Properties'!$X$46</f>
        <v>0.1</v>
      </c>
      <c r="M997" s="2" t="str">
        <f>'PFAS Properties'!$Y$46</f>
        <v>-</v>
      </c>
      <c r="N997" s="33">
        <v>0</v>
      </c>
      <c r="O997" s="33">
        <v>0</v>
      </c>
      <c r="P997" s="33">
        <v>0</v>
      </c>
      <c r="Q997" s="33">
        <f t="shared" si="450"/>
        <v>0.9999964518786969</v>
      </c>
      <c r="R997" s="33">
        <v>0</v>
      </c>
      <c r="S997" s="33">
        <f t="shared" si="451"/>
        <v>3.5481213031263005E-6</v>
      </c>
      <c r="T997" s="8">
        <f t="shared" si="436"/>
        <v>1</v>
      </c>
      <c r="U997" s="33">
        <f t="shared" si="452"/>
        <v>0</v>
      </c>
      <c r="V997" s="33">
        <f t="shared" si="453"/>
        <v>-0.9999964518786969</v>
      </c>
      <c r="W997" s="33">
        <f t="shared" si="454"/>
        <v>498.93740354812127</v>
      </c>
      <c r="X997" s="33">
        <v>96485</v>
      </c>
      <c r="Y997" s="16">
        <f t="shared" si="455"/>
        <v>-193.38028572999212</v>
      </c>
      <c r="Z997" s="16">
        <v>8</v>
      </c>
      <c r="AA997" s="16">
        <v>17</v>
      </c>
      <c r="AB997" s="8">
        <f t="shared" si="456"/>
        <v>0.29721362229102166</v>
      </c>
      <c r="AC997" s="16">
        <f t="shared" si="438"/>
        <v>64.60808893273439</v>
      </c>
      <c r="AD997" s="20">
        <f>'PFAS Properties'!$W$46</f>
        <v>8</v>
      </c>
      <c r="AE997" s="8">
        <f>'PFAS Properties'!$S$46</f>
        <v>2.0166155475571776</v>
      </c>
      <c r="AF997" s="15">
        <f>'PFAS Properties'!$V$46</f>
        <v>5</v>
      </c>
      <c r="AG997" s="26">
        <v>5.55</v>
      </c>
      <c r="AH997" s="1" t="s">
        <v>190</v>
      </c>
      <c r="AI997" s="39">
        <f t="shared" si="440"/>
        <v>106.21719</v>
      </c>
      <c r="AJ997" s="1">
        <v>1902</v>
      </c>
      <c r="AK997" s="8">
        <f t="shared" si="441"/>
        <v>10.621719000000001</v>
      </c>
      <c r="AL997" s="39">
        <f t="shared" si="442"/>
        <v>8.3907800000000012</v>
      </c>
      <c r="AM997" s="1">
        <v>311</v>
      </c>
      <c r="AN997" s="8">
        <f t="shared" si="443"/>
        <v>0.8390780000000001</v>
      </c>
      <c r="AO997" s="3" t="s">
        <v>93</v>
      </c>
      <c r="AP997" s="3">
        <v>24.2</v>
      </c>
      <c r="AQ997" s="3" t="s">
        <v>661</v>
      </c>
      <c r="AR997" s="4">
        <v>13.8</v>
      </c>
      <c r="AS997" s="4">
        <v>57.4</v>
      </c>
      <c r="AT997" s="4">
        <v>28.8</v>
      </c>
      <c r="AU997" s="3" t="s">
        <v>661</v>
      </c>
      <c r="AV997" s="16">
        <f t="shared" si="437"/>
        <v>100</v>
      </c>
      <c r="AW997" s="26">
        <v>1.9</v>
      </c>
      <c r="AX997" s="1">
        <f t="shared" si="444"/>
        <v>1.9E-2</v>
      </c>
      <c r="AY997" s="1" t="s">
        <v>511</v>
      </c>
      <c r="AZ997" s="1">
        <f t="shared" si="445"/>
        <v>100</v>
      </c>
      <c r="BA997" s="1" t="s">
        <v>55</v>
      </c>
      <c r="BB997" s="1">
        <v>5</v>
      </c>
      <c r="BC997" s="1">
        <v>500</v>
      </c>
      <c r="BD997" s="26">
        <f t="shared" si="446"/>
        <v>25.796218408263918</v>
      </c>
      <c r="BE997" s="16">
        <f t="shared" si="439"/>
        <v>1357.6957056981009</v>
      </c>
      <c r="BF997" s="16">
        <f t="shared" si="457"/>
        <v>3.1328024443593923</v>
      </c>
      <c r="BG997" s="8">
        <f t="shared" si="458"/>
        <v>1.4115560453122213</v>
      </c>
      <c r="BH997" s="13" t="s">
        <v>782</v>
      </c>
      <c r="BI997" s="8">
        <v>32.6</v>
      </c>
      <c r="BJ997" s="13" t="s">
        <v>349</v>
      </c>
      <c r="BK997" s="15">
        <v>0.9</v>
      </c>
      <c r="BL997" s="16">
        <f t="shared" si="447"/>
        <v>32.6</v>
      </c>
      <c r="BM997" s="18">
        <f>'PFAS Properties'!$U$46</f>
        <v>10.39</v>
      </c>
      <c r="BN997" s="8">
        <f t="shared" si="448"/>
        <v>268.02270926186213</v>
      </c>
      <c r="BO997" s="24">
        <f t="shared" si="449"/>
        <v>25.796218408263918</v>
      </c>
      <c r="BP997" s="11"/>
      <c r="BQ997" s="11"/>
    </row>
    <row r="998" spans="1:69" x14ac:dyDescent="0.3">
      <c r="A998" s="20">
        <v>1019</v>
      </c>
      <c r="B998" s="2" t="s">
        <v>189</v>
      </c>
      <c r="C998" s="2">
        <v>2021</v>
      </c>
      <c r="D998" s="2" t="s">
        <v>510</v>
      </c>
      <c r="E998" s="41" t="s">
        <v>804</v>
      </c>
      <c r="F998" s="20" t="s">
        <v>29</v>
      </c>
      <c r="G998" s="2" t="s">
        <v>509</v>
      </c>
      <c r="H998" s="2" t="str">
        <f>'PFAS Properties'!$B$46</f>
        <v>PFOS</v>
      </c>
      <c r="I998" s="2" t="str">
        <f>'PFAS Properties'!$C$46</f>
        <v>PFSA</v>
      </c>
      <c r="J998" s="2" t="str">
        <f>'PFAS Properties'!$D$46</f>
        <v>C8HF17O3S</v>
      </c>
      <c r="K998" s="25">
        <f>'PFAS Properties'!$P$46</f>
        <v>499.93739999999997</v>
      </c>
      <c r="L998" s="2">
        <f>'PFAS Properties'!$X$46</f>
        <v>0.1</v>
      </c>
      <c r="M998" s="2" t="str">
        <f>'PFAS Properties'!$Y$46</f>
        <v>-</v>
      </c>
      <c r="N998" s="33">
        <v>0</v>
      </c>
      <c r="O998" s="33">
        <v>0</v>
      </c>
      <c r="P998" s="33">
        <v>0</v>
      </c>
      <c r="Q998" s="33">
        <f t="shared" si="450"/>
        <v>0.99980051357127842</v>
      </c>
      <c r="R998" s="33">
        <v>0</v>
      </c>
      <c r="S998" s="33">
        <f t="shared" si="451"/>
        <v>1.9948642872153033E-4</v>
      </c>
      <c r="T998" s="8">
        <f t="shared" si="436"/>
        <v>1</v>
      </c>
      <c r="U998" s="33">
        <f t="shared" si="452"/>
        <v>0</v>
      </c>
      <c r="V998" s="33">
        <f t="shared" si="453"/>
        <v>-0.99980051357127842</v>
      </c>
      <c r="W998" s="33">
        <f t="shared" si="454"/>
        <v>498.93759948642861</v>
      </c>
      <c r="X998" s="33">
        <v>96485</v>
      </c>
      <c r="Y998" s="16">
        <f t="shared" si="455"/>
        <v>-193.34231906198264</v>
      </c>
      <c r="Z998" s="16">
        <v>8</v>
      </c>
      <c r="AA998" s="16">
        <v>17</v>
      </c>
      <c r="AB998" s="8">
        <f t="shared" si="456"/>
        <v>0.29721362229102166</v>
      </c>
      <c r="AC998" s="16">
        <f t="shared" si="438"/>
        <v>64.60808893273439</v>
      </c>
      <c r="AD998" s="20">
        <f>'PFAS Properties'!$W$46</f>
        <v>8</v>
      </c>
      <c r="AE998" s="8">
        <f>'PFAS Properties'!$S$46</f>
        <v>2.0166155475571776</v>
      </c>
      <c r="AF998" s="15">
        <f>'PFAS Properties'!$V$46</f>
        <v>5</v>
      </c>
      <c r="AG998" s="26">
        <v>3.8</v>
      </c>
      <c r="AH998" s="1" t="s">
        <v>190</v>
      </c>
      <c r="AI998" s="39">
        <f t="shared" si="440"/>
        <v>306.97996499999999</v>
      </c>
      <c r="AJ998" s="1">
        <v>5497</v>
      </c>
      <c r="AK998" s="8">
        <f t="shared" si="441"/>
        <v>30.697996499999999</v>
      </c>
      <c r="AL998" s="39">
        <f t="shared" si="442"/>
        <v>25.496100000000002</v>
      </c>
      <c r="AM998" s="1">
        <v>945</v>
      </c>
      <c r="AN998" s="8">
        <f t="shared" si="443"/>
        <v>2.5496100000000004</v>
      </c>
      <c r="AO998" s="3" t="s">
        <v>93</v>
      </c>
      <c r="AP998" s="3">
        <v>22.5</v>
      </c>
      <c r="AQ998" s="3" t="s">
        <v>661</v>
      </c>
      <c r="AR998" s="4">
        <v>22.4</v>
      </c>
      <c r="AS998" s="4">
        <v>46</v>
      </c>
      <c r="AT998" s="4">
        <v>31.6</v>
      </c>
      <c r="AU998" s="3" t="s">
        <v>661</v>
      </c>
      <c r="AV998" s="16">
        <f t="shared" si="437"/>
        <v>100</v>
      </c>
      <c r="AW998" s="26">
        <v>2.6</v>
      </c>
      <c r="AX998" s="1">
        <f t="shared" si="444"/>
        <v>2.6000000000000002E-2</v>
      </c>
      <c r="AY998" s="1" t="s">
        <v>511</v>
      </c>
      <c r="AZ998" s="1">
        <f t="shared" si="445"/>
        <v>100</v>
      </c>
      <c r="BA998" s="1" t="s">
        <v>55</v>
      </c>
      <c r="BB998" s="1">
        <v>5</v>
      </c>
      <c r="BC998" s="1">
        <v>500</v>
      </c>
      <c r="BD998" s="26">
        <f t="shared" si="446"/>
        <v>49.6</v>
      </c>
      <c r="BE998" s="16">
        <f t="shared" si="439"/>
        <v>1907.6923076923076</v>
      </c>
      <c r="BF998" s="16">
        <f t="shared" si="457"/>
        <v>3.2805083285193795</v>
      </c>
      <c r="BG998" s="8">
        <f t="shared" si="458"/>
        <v>1.6954816764901974</v>
      </c>
      <c r="BH998" s="13" t="s">
        <v>782</v>
      </c>
      <c r="BI998" s="8">
        <v>49.6</v>
      </c>
      <c r="BJ998" s="13" t="s">
        <v>349</v>
      </c>
      <c r="BK998" s="15">
        <v>1</v>
      </c>
      <c r="BL998" s="16">
        <f t="shared" si="447"/>
        <v>49.6</v>
      </c>
      <c r="BM998" s="18">
        <f>'PFAS Properties'!$U$46</f>
        <v>10.39</v>
      </c>
      <c r="BN998" s="8">
        <f t="shared" si="448"/>
        <v>515.34400000000005</v>
      </c>
      <c r="BO998" s="24">
        <f t="shared" si="449"/>
        <v>49.6</v>
      </c>
      <c r="BP998" s="11"/>
      <c r="BQ998" s="11"/>
    </row>
    <row r="999" spans="1:69" s="14" customFormat="1" x14ac:dyDescent="0.3">
      <c r="A999" s="20">
        <v>1020</v>
      </c>
      <c r="B999" s="2" t="s">
        <v>269</v>
      </c>
      <c r="C999" s="2">
        <v>2020</v>
      </c>
      <c r="D999" s="2" t="s">
        <v>270</v>
      </c>
      <c r="E999" s="10" t="s">
        <v>805</v>
      </c>
      <c r="F999" s="20" t="s">
        <v>29</v>
      </c>
      <c r="G999" s="2" t="s">
        <v>169</v>
      </c>
      <c r="H999" s="2" t="str">
        <f>'PFAS Properties'!$B$46</f>
        <v>PFOS</v>
      </c>
      <c r="I999" s="2" t="str">
        <f>'PFAS Properties'!$C$46</f>
        <v>PFSA</v>
      </c>
      <c r="J999" s="2" t="str">
        <f>'PFAS Properties'!$D$46</f>
        <v>C8HF17O3S</v>
      </c>
      <c r="K999" s="25">
        <f>'PFAS Properties'!$P$46</f>
        <v>499.93739999999997</v>
      </c>
      <c r="L999" s="2">
        <f>'PFAS Properties'!$X$46</f>
        <v>0.1</v>
      </c>
      <c r="M999" s="2" t="str">
        <f>'PFAS Properties'!$Y$46</f>
        <v>-</v>
      </c>
      <c r="N999" s="33">
        <v>0</v>
      </c>
      <c r="O999" s="33">
        <v>0</v>
      </c>
      <c r="P999" s="33">
        <v>0</v>
      </c>
      <c r="Q999" s="33">
        <f t="shared" si="450"/>
        <v>0.99999809454291277</v>
      </c>
      <c r="R999" s="33">
        <v>0</v>
      </c>
      <c r="S999" s="33">
        <f t="shared" si="451"/>
        <v>1.9054570871896133E-6</v>
      </c>
      <c r="T999" s="8">
        <f t="shared" si="436"/>
        <v>1</v>
      </c>
      <c r="U999" s="33">
        <f t="shared" si="452"/>
        <v>0</v>
      </c>
      <c r="V999" s="33">
        <f t="shared" si="453"/>
        <v>-0.99999809454291277</v>
      </c>
      <c r="W999" s="33">
        <f t="shared" si="454"/>
        <v>498.93740190545702</v>
      </c>
      <c r="X999" s="33">
        <v>96485</v>
      </c>
      <c r="Y999" s="16">
        <f t="shared" si="455"/>
        <v>-193.3806040266665</v>
      </c>
      <c r="Z999" s="16">
        <v>8</v>
      </c>
      <c r="AA999" s="16">
        <v>17</v>
      </c>
      <c r="AB999" s="8">
        <f t="shared" si="456"/>
        <v>0.29721362229102166</v>
      </c>
      <c r="AC999" s="16">
        <f t="shared" si="438"/>
        <v>64.60808893273439</v>
      </c>
      <c r="AD999" s="20">
        <f>'PFAS Properties'!$W$46</f>
        <v>8</v>
      </c>
      <c r="AE999" s="8">
        <f>'PFAS Properties'!$S$46</f>
        <v>2.0166155475571776</v>
      </c>
      <c r="AF999" s="15">
        <f>'PFAS Properties'!$V$46</f>
        <v>5</v>
      </c>
      <c r="AG999" s="24">
        <v>5.82</v>
      </c>
      <c r="AH999" s="15" t="s">
        <v>170</v>
      </c>
      <c r="AI999" s="2" t="s">
        <v>661</v>
      </c>
      <c r="AJ999" s="2" t="s">
        <v>661</v>
      </c>
      <c r="AK999" s="2" t="s">
        <v>661</v>
      </c>
      <c r="AL999" s="2" t="s">
        <v>661</v>
      </c>
      <c r="AM999" s="2" t="s">
        <v>661</v>
      </c>
      <c r="AN999" s="2" t="s">
        <v>661</v>
      </c>
      <c r="AO999" s="2" t="s">
        <v>661</v>
      </c>
      <c r="AP999" s="15">
        <v>2.3199999999999998</v>
      </c>
      <c r="AQ999" s="3" t="s">
        <v>661</v>
      </c>
      <c r="AR999" s="2">
        <v>95.4</v>
      </c>
      <c r="AS999" s="2">
        <v>0.2</v>
      </c>
      <c r="AT999" s="2">
        <v>4.4000000000000004</v>
      </c>
      <c r="AU999" s="3" t="s">
        <v>661</v>
      </c>
      <c r="AV999" s="16">
        <f t="shared" si="437"/>
        <v>100.00000000000001</v>
      </c>
      <c r="AW999" s="20">
        <v>0.37</v>
      </c>
      <c r="AX999" s="8">
        <f t="shared" si="444"/>
        <v>3.7000000000000002E-3</v>
      </c>
      <c r="AY999" s="8" t="s">
        <v>395</v>
      </c>
      <c r="AZ999" s="16">
        <f t="shared" ref="AZ999:AZ1006" si="459">1/0.03</f>
        <v>33.333333333333336</v>
      </c>
      <c r="BA999" s="16" t="s">
        <v>55</v>
      </c>
      <c r="BB999" s="16">
        <v>15</v>
      </c>
      <c r="BC999" s="16">
        <v>560</v>
      </c>
      <c r="BD999" s="18">
        <f t="shared" si="446"/>
        <v>14.891608583335721</v>
      </c>
      <c r="BE999" s="16">
        <f t="shared" si="439"/>
        <v>4024.7590765772215</v>
      </c>
      <c r="BF999" s="16">
        <f t="shared" si="457"/>
        <v>3.6047398884691901</v>
      </c>
      <c r="BG999" s="8">
        <f t="shared" si="458"/>
        <v>1.1729416125361851</v>
      </c>
      <c r="BH999" s="13" t="s">
        <v>868</v>
      </c>
      <c r="BI999" s="8">
        <v>4.2999999999999997E-2</v>
      </c>
      <c r="BJ999" s="13" t="s">
        <v>349</v>
      </c>
      <c r="BK999" s="15">
        <v>0.54700000000000004</v>
      </c>
      <c r="BL999" s="16">
        <f t="shared" ref="BL999:BL1006" si="460">BI999*(1000/1)</f>
        <v>43</v>
      </c>
      <c r="BM999" s="18">
        <f>'PFAS Properties'!$U$46</f>
        <v>10.39</v>
      </c>
      <c r="BN999" s="8">
        <f t="shared" si="448"/>
        <v>154.72381318085814</v>
      </c>
      <c r="BO999" s="24">
        <f t="shared" si="449"/>
        <v>14.891608583335721</v>
      </c>
    </row>
    <row r="1000" spans="1:69" s="14" customFormat="1" x14ac:dyDescent="0.3">
      <c r="A1000" s="20">
        <v>1021</v>
      </c>
      <c r="B1000" s="2" t="s">
        <v>269</v>
      </c>
      <c r="C1000" s="2">
        <v>2020</v>
      </c>
      <c r="D1000" s="2" t="s">
        <v>270</v>
      </c>
      <c r="E1000" s="22" t="s">
        <v>805</v>
      </c>
      <c r="F1000" s="20" t="s">
        <v>29</v>
      </c>
      <c r="G1000" s="2" t="s">
        <v>171</v>
      </c>
      <c r="H1000" s="2" t="str">
        <f>'PFAS Properties'!$B$46</f>
        <v>PFOS</v>
      </c>
      <c r="I1000" s="2" t="str">
        <f>'PFAS Properties'!$C$46</f>
        <v>PFSA</v>
      </c>
      <c r="J1000" s="2" t="str">
        <f>'PFAS Properties'!$D$46</f>
        <v>C8HF17O3S</v>
      </c>
      <c r="K1000" s="25">
        <f>'PFAS Properties'!$P$46</f>
        <v>499.93739999999997</v>
      </c>
      <c r="L1000" s="2">
        <f>'PFAS Properties'!$X$46</f>
        <v>0.1</v>
      </c>
      <c r="M1000" s="2" t="str">
        <f>'PFAS Properties'!$Y$46</f>
        <v>-</v>
      </c>
      <c r="N1000" s="33">
        <v>0</v>
      </c>
      <c r="O1000" s="33">
        <v>0</v>
      </c>
      <c r="P1000" s="33">
        <v>0</v>
      </c>
      <c r="Q1000" s="33">
        <f t="shared" si="450"/>
        <v>0.99999424563373951</v>
      </c>
      <c r="R1000" s="33">
        <v>0</v>
      </c>
      <c r="S1000" s="33">
        <f t="shared" si="451"/>
        <v>5.7543662604499578E-6</v>
      </c>
      <c r="T1000" s="8">
        <f t="shared" si="436"/>
        <v>1</v>
      </c>
      <c r="U1000" s="33">
        <f t="shared" si="452"/>
        <v>0</v>
      </c>
      <c r="V1000" s="33">
        <f t="shared" si="453"/>
        <v>-0.99999424563373951</v>
      </c>
      <c r="W1000" s="33">
        <f t="shared" si="454"/>
        <v>498.93740575436618</v>
      </c>
      <c r="X1000" s="33">
        <v>96485</v>
      </c>
      <c r="Y1000" s="16">
        <f t="shared" si="455"/>
        <v>-193.37985822909414</v>
      </c>
      <c r="Z1000" s="16">
        <v>8</v>
      </c>
      <c r="AA1000" s="16">
        <v>17</v>
      </c>
      <c r="AB1000" s="8">
        <f t="shared" si="456"/>
        <v>0.29721362229102166</v>
      </c>
      <c r="AC1000" s="16">
        <f t="shared" si="438"/>
        <v>64.60808893273439</v>
      </c>
      <c r="AD1000" s="20">
        <f>'PFAS Properties'!$W$46</f>
        <v>8</v>
      </c>
      <c r="AE1000" s="8">
        <f>'PFAS Properties'!$S$46</f>
        <v>2.0166155475571776</v>
      </c>
      <c r="AF1000" s="15">
        <f>'PFAS Properties'!$V$46</f>
        <v>5</v>
      </c>
      <c r="AG1000" s="24">
        <v>5.34</v>
      </c>
      <c r="AH1000" s="15" t="s">
        <v>170</v>
      </c>
      <c r="AI1000" s="2" t="s">
        <v>661</v>
      </c>
      <c r="AJ1000" s="2" t="s">
        <v>661</v>
      </c>
      <c r="AK1000" s="2" t="s">
        <v>661</v>
      </c>
      <c r="AL1000" s="2" t="s">
        <v>661</v>
      </c>
      <c r="AM1000" s="2" t="s">
        <v>661</v>
      </c>
      <c r="AN1000" s="2" t="s">
        <v>661</v>
      </c>
      <c r="AO1000" s="2" t="s">
        <v>661</v>
      </c>
      <c r="AP1000" s="15">
        <v>2.16</v>
      </c>
      <c r="AQ1000" s="3" t="s">
        <v>661</v>
      </c>
      <c r="AR1000" s="2">
        <v>93.2</v>
      </c>
      <c r="AS1000" s="2">
        <v>5.6</v>
      </c>
      <c r="AT1000" s="2">
        <v>1.2</v>
      </c>
      <c r="AU1000" s="3" t="s">
        <v>661</v>
      </c>
      <c r="AV1000" s="16">
        <f t="shared" si="437"/>
        <v>100</v>
      </c>
      <c r="AW1000" s="20">
        <v>1.35</v>
      </c>
      <c r="AX1000" s="8">
        <f t="shared" si="444"/>
        <v>1.3500000000000002E-2</v>
      </c>
      <c r="AY1000" s="8" t="s">
        <v>395</v>
      </c>
      <c r="AZ1000" s="16">
        <f t="shared" si="459"/>
        <v>33.333333333333336</v>
      </c>
      <c r="BA1000" s="16" t="s">
        <v>55</v>
      </c>
      <c r="BB1000" s="16">
        <v>15</v>
      </c>
      <c r="BC1000" s="16">
        <v>560</v>
      </c>
      <c r="BD1000" s="18">
        <f t="shared" si="446"/>
        <v>16.472620713738735</v>
      </c>
      <c r="BE1000" s="16">
        <f t="shared" si="439"/>
        <v>1220.1941269436099</v>
      </c>
      <c r="BF1000" s="16">
        <f t="shared" si="457"/>
        <v>3.0864289303087857</v>
      </c>
      <c r="BG1000" s="8">
        <f t="shared" si="458"/>
        <v>1.2167626988037921</v>
      </c>
      <c r="BH1000" s="13" t="s">
        <v>868</v>
      </c>
      <c r="BI1000" s="8">
        <v>0.04</v>
      </c>
      <c r="BJ1000" s="13" t="s">
        <v>349</v>
      </c>
      <c r="BK1000" s="15">
        <v>0.621</v>
      </c>
      <c r="BL1000" s="16">
        <f t="shared" si="460"/>
        <v>40</v>
      </c>
      <c r="BM1000" s="18">
        <f>'PFAS Properties'!$U$46</f>
        <v>10.39</v>
      </c>
      <c r="BN1000" s="8">
        <f t="shared" si="448"/>
        <v>171.15052921574548</v>
      </c>
      <c r="BO1000" s="24">
        <f t="shared" si="449"/>
        <v>16.472620713738735</v>
      </c>
    </row>
    <row r="1001" spans="1:69" s="14" customFormat="1" x14ac:dyDescent="0.3">
      <c r="A1001" s="20">
        <v>1022</v>
      </c>
      <c r="B1001" s="2" t="s">
        <v>269</v>
      </c>
      <c r="C1001" s="2">
        <v>2020</v>
      </c>
      <c r="D1001" s="2" t="s">
        <v>270</v>
      </c>
      <c r="E1001" s="10" t="s">
        <v>805</v>
      </c>
      <c r="F1001" s="20" t="s">
        <v>29</v>
      </c>
      <c r="G1001" s="2" t="s">
        <v>172</v>
      </c>
      <c r="H1001" s="2" t="str">
        <f>'PFAS Properties'!$B$46</f>
        <v>PFOS</v>
      </c>
      <c r="I1001" s="2" t="str">
        <f>'PFAS Properties'!$C$46</f>
        <v>PFSA</v>
      </c>
      <c r="J1001" s="2" t="str">
        <f>'PFAS Properties'!$D$46</f>
        <v>C8HF17O3S</v>
      </c>
      <c r="K1001" s="25">
        <f>'PFAS Properties'!$P$46</f>
        <v>499.93739999999997</v>
      </c>
      <c r="L1001" s="2">
        <f>'PFAS Properties'!$X$46</f>
        <v>0.1</v>
      </c>
      <c r="M1001" s="2" t="str">
        <f>'PFAS Properties'!$Y$46</f>
        <v>-</v>
      </c>
      <c r="N1001" s="33">
        <v>0</v>
      </c>
      <c r="O1001" s="33">
        <v>0</v>
      </c>
      <c r="P1001" s="33">
        <v>0</v>
      </c>
      <c r="Q1001" s="33">
        <f t="shared" si="450"/>
        <v>0.9999986196176408</v>
      </c>
      <c r="R1001" s="33">
        <v>0</v>
      </c>
      <c r="S1001" s="33">
        <f t="shared" si="451"/>
        <v>1.3803823591447935E-6</v>
      </c>
      <c r="T1001" s="8">
        <f t="shared" si="436"/>
        <v>1</v>
      </c>
      <c r="U1001" s="33">
        <f t="shared" si="452"/>
        <v>0</v>
      </c>
      <c r="V1001" s="33">
        <f t="shared" si="453"/>
        <v>-0.9999986196176408</v>
      </c>
      <c r="W1001" s="33">
        <f t="shared" si="454"/>
        <v>498.93740138038225</v>
      </c>
      <c r="X1001" s="33">
        <v>96485</v>
      </c>
      <c r="Y1001" s="16">
        <f t="shared" si="455"/>
        <v>-193.38070576963921</v>
      </c>
      <c r="Z1001" s="16">
        <v>8</v>
      </c>
      <c r="AA1001" s="16">
        <v>17</v>
      </c>
      <c r="AB1001" s="8">
        <f t="shared" si="456"/>
        <v>0.29721362229102166</v>
      </c>
      <c r="AC1001" s="16">
        <f t="shared" si="438"/>
        <v>64.60808893273439</v>
      </c>
      <c r="AD1001" s="20">
        <f>'PFAS Properties'!$W$46</f>
        <v>8</v>
      </c>
      <c r="AE1001" s="8">
        <f>'PFAS Properties'!$S$46</f>
        <v>2.0166155475571776</v>
      </c>
      <c r="AF1001" s="15">
        <f>'PFAS Properties'!$V$46</f>
        <v>5</v>
      </c>
      <c r="AG1001" s="24">
        <v>5.96</v>
      </c>
      <c r="AH1001" s="15" t="s">
        <v>170</v>
      </c>
      <c r="AI1001" s="2" t="s">
        <v>661</v>
      </c>
      <c r="AJ1001" s="2" t="s">
        <v>661</v>
      </c>
      <c r="AK1001" s="2" t="s">
        <v>661</v>
      </c>
      <c r="AL1001" s="2" t="s">
        <v>661</v>
      </c>
      <c r="AM1001" s="2" t="s">
        <v>661</v>
      </c>
      <c r="AN1001" s="2" t="s">
        <v>661</v>
      </c>
      <c r="AO1001" s="2" t="s">
        <v>661</v>
      </c>
      <c r="AP1001" s="15">
        <v>38.700000000000003</v>
      </c>
      <c r="AQ1001" s="3" t="s">
        <v>661</v>
      </c>
      <c r="AR1001" s="2">
        <v>53</v>
      </c>
      <c r="AS1001" s="2">
        <v>16.100000000000001</v>
      </c>
      <c r="AT1001" s="2">
        <v>30.9</v>
      </c>
      <c r="AU1001" s="3" t="s">
        <v>661</v>
      </c>
      <c r="AV1001" s="16">
        <f t="shared" si="437"/>
        <v>100</v>
      </c>
      <c r="AW1001" s="20">
        <v>3.27</v>
      </c>
      <c r="AX1001" s="8">
        <f t="shared" si="444"/>
        <v>3.27E-2</v>
      </c>
      <c r="AY1001" s="8" t="s">
        <v>395</v>
      </c>
      <c r="AZ1001" s="16">
        <f t="shared" si="459"/>
        <v>33.333333333333336</v>
      </c>
      <c r="BA1001" s="16" t="s">
        <v>55</v>
      </c>
      <c r="BB1001" s="16">
        <v>15</v>
      </c>
      <c r="BC1001" s="16">
        <v>560</v>
      </c>
      <c r="BD1001" s="18">
        <f t="shared" si="446"/>
        <v>44.850585259786328</v>
      </c>
      <c r="BE1001" s="16">
        <f t="shared" si="439"/>
        <v>1371.5775308803159</v>
      </c>
      <c r="BF1001" s="16">
        <f t="shared" si="457"/>
        <v>3.1372203619090624</v>
      </c>
      <c r="BG1001" s="8">
        <f t="shared" si="458"/>
        <v>1.6517681145693484</v>
      </c>
      <c r="BH1001" s="13" t="s">
        <v>868</v>
      </c>
      <c r="BI1001" s="8">
        <v>0.10199999999999999</v>
      </c>
      <c r="BJ1001" s="13" t="s">
        <v>349</v>
      </c>
      <c r="BK1001" s="15">
        <v>0.64900000000000002</v>
      </c>
      <c r="BL1001" s="16">
        <f t="shared" si="460"/>
        <v>102</v>
      </c>
      <c r="BM1001" s="18">
        <f>'PFAS Properties'!$U$46</f>
        <v>10.39</v>
      </c>
      <c r="BN1001" s="8">
        <f t="shared" si="448"/>
        <v>465.99758084917994</v>
      </c>
      <c r="BO1001" s="24">
        <f t="shared" si="449"/>
        <v>44.850585259786328</v>
      </c>
    </row>
    <row r="1002" spans="1:69" s="14" customFormat="1" x14ac:dyDescent="0.3">
      <c r="A1002" s="20">
        <v>1023</v>
      </c>
      <c r="B1002" s="2" t="s">
        <v>269</v>
      </c>
      <c r="C1002" s="2">
        <v>2020</v>
      </c>
      <c r="D1002" s="2" t="s">
        <v>270</v>
      </c>
      <c r="E1002" s="10" t="s">
        <v>805</v>
      </c>
      <c r="F1002" s="20" t="s">
        <v>29</v>
      </c>
      <c r="G1002" s="2" t="s">
        <v>173</v>
      </c>
      <c r="H1002" s="2" t="str">
        <f>'PFAS Properties'!$B$46</f>
        <v>PFOS</v>
      </c>
      <c r="I1002" s="2" t="str">
        <f>'PFAS Properties'!$C$46</f>
        <v>PFSA</v>
      </c>
      <c r="J1002" s="2" t="str">
        <f>'PFAS Properties'!$D$46</f>
        <v>C8HF17O3S</v>
      </c>
      <c r="K1002" s="25">
        <f>'PFAS Properties'!$P$46</f>
        <v>499.93739999999997</v>
      </c>
      <c r="L1002" s="2">
        <f>'PFAS Properties'!$X$46</f>
        <v>0.1</v>
      </c>
      <c r="M1002" s="2" t="str">
        <f>'PFAS Properties'!$Y$46</f>
        <v>-</v>
      </c>
      <c r="N1002" s="33">
        <v>0</v>
      </c>
      <c r="O1002" s="33">
        <v>0</v>
      </c>
      <c r="P1002" s="33">
        <v>0</v>
      </c>
      <c r="Q1002" s="33">
        <f t="shared" si="450"/>
        <v>0.99998877994134816</v>
      </c>
      <c r="R1002" s="33">
        <v>0</v>
      </c>
      <c r="S1002" s="33">
        <f t="shared" si="451"/>
        <v>1.1220058651890969E-5</v>
      </c>
      <c r="T1002" s="8">
        <f t="shared" si="436"/>
        <v>1</v>
      </c>
      <c r="U1002" s="33">
        <f t="shared" si="452"/>
        <v>0</v>
      </c>
      <c r="V1002" s="33">
        <f t="shared" si="453"/>
        <v>-0.99998877994134816</v>
      </c>
      <c r="W1002" s="33">
        <f t="shared" si="454"/>
        <v>498.93741122005866</v>
      </c>
      <c r="X1002" s="33">
        <v>96485</v>
      </c>
      <c r="Y1002" s="16">
        <f t="shared" si="455"/>
        <v>-193.37879914979217</v>
      </c>
      <c r="Z1002" s="16">
        <v>8</v>
      </c>
      <c r="AA1002" s="16">
        <v>17</v>
      </c>
      <c r="AB1002" s="8">
        <f t="shared" si="456"/>
        <v>0.29721362229102166</v>
      </c>
      <c r="AC1002" s="16">
        <f t="shared" si="438"/>
        <v>64.60808893273439</v>
      </c>
      <c r="AD1002" s="20">
        <f>'PFAS Properties'!$W$46</f>
        <v>8</v>
      </c>
      <c r="AE1002" s="8">
        <f>'PFAS Properties'!$S$46</f>
        <v>2.0166155475571776</v>
      </c>
      <c r="AF1002" s="15">
        <f>'PFAS Properties'!$V$46</f>
        <v>5</v>
      </c>
      <c r="AG1002" s="24">
        <v>5.05</v>
      </c>
      <c r="AH1002" s="15" t="s">
        <v>170</v>
      </c>
      <c r="AI1002" s="2" t="s">
        <v>661</v>
      </c>
      <c r="AJ1002" s="2" t="s">
        <v>661</v>
      </c>
      <c r="AK1002" s="2" t="s">
        <v>661</v>
      </c>
      <c r="AL1002" s="2" t="s">
        <v>661</v>
      </c>
      <c r="AM1002" s="2" t="s">
        <v>661</v>
      </c>
      <c r="AN1002" s="2" t="s">
        <v>661</v>
      </c>
      <c r="AO1002" s="2" t="s">
        <v>661</v>
      </c>
      <c r="AP1002" s="15">
        <v>6.37</v>
      </c>
      <c r="AQ1002" s="3" t="s">
        <v>661</v>
      </c>
      <c r="AR1002" s="2">
        <v>62</v>
      </c>
      <c r="AS1002" s="2">
        <v>16.8</v>
      </c>
      <c r="AT1002" s="2">
        <v>21.2</v>
      </c>
      <c r="AU1002" s="3" t="s">
        <v>661</v>
      </c>
      <c r="AV1002" s="16">
        <f t="shared" si="437"/>
        <v>100</v>
      </c>
      <c r="AW1002" s="20">
        <v>7.5</v>
      </c>
      <c r="AX1002" s="8">
        <f t="shared" si="444"/>
        <v>7.4999999999999997E-2</v>
      </c>
      <c r="AY1002" s="8" t="s">
        <v>395</v>
      </c>
      <c r="AZ1002" s="16">
        <f t="shared" si="459"/>
        <v>33.333333333333336</v>
      </c>
      <c r="BA1002" s="16" t="s">
        <v>55</v>
      </c>
      <c r="BB1002" s="16">
        <v>15</v>
      </c>
      <c r="BC1002" s="16">
        <v>560</v>
      </c>
      <c r="BD1002" s="18">
        <f t="shared" si="446"/>
        <v>64.69895178517713</v>
      </c>
      <c r="BE1002" s="16">
        <f t="shared" si="439"/>
        <v>862.65269046902847</v>
      </c>
      <c r="BF1002" s="16">
        <f t="shared" si="457"/>
        <v>2.9358359811471533</v>
      </c>
      <c r="BG1002" s="8">
        <f t="shared" si="458"/>
        <v>1.8108972445388531</v>
      </c>
      <c r="BH1002" s="13" t="s">
        <v>868</v>
      </c>
      <c r="BI1002" s="8">
        <v>9.7000000000000003E-2</v>
      </c>
      <c r="BJ1002" s="13" t="s">
        <v>349</v>
      </c>
      <c r="BK1002" s="15">
        <v>0.82699999999999996</v>
      </c>
      <c r="BL1002" s="16">
        <f t="shared" si="460"/>
        <v>97</v>
      </c>
      <c r="BM1002" s="18">
        <f>'PFAS Properties'!$U$46</f>
        <v>10.39</v>
      </c>
      <c r="BN1002" s="8">
        <f t="shared" si="448"/>
        <v>672.22210904799044</v>
      </c>
      <c r="BO1002" s="24">
        <f t="shared" si="449"/>
        <v>64.69895178517713</v>
      </c>
    </row>
    <row r="1003" spans="1:69" s="14" customFormat="1" x14ac:dyDescent="0.3">
      <c r="A1003" s="20">
        <v>1024</v>
      </c>
      <c r="B1003" s="2" t="s">
        <v>269</v>
      </c>
      <c r="C1003" s="2">
        <v>2020</v>
      </c>
      <c r="D1003" s="2" t="s">
        <v>270</v>
      </c>
      <c r="E1003" s="10" t="s">
        <v>805</v>
      </c>
      <c r="F1003" s="20" t="s">
        <v>29</v>
      </c>
      <c r="G1003" s="2" t="s">
        <v>174</v>
      </c>
      <c r="H1003" s="2" t="str">
        <f>'PFAS Properties'!$B$46</f>
        <v>PFOS</v>
      </c>
      <c r="I1003" s="2" t="str">
        <f>'PFAS Properties'!$C$46</f>
        <v>PFSA</v>
      </c>
      <c r="J1003" s="2" t="str">
        <f>'PFAS Properties'!$D$46</f>
        <v>C8HF17O3S</v>
      </c>
      <c r="K1003" s="25">
        <f>'PFAS Properties'!$P$46</f>
        <v>499.93739999999997</v>
      </c>
      <c r="L1003" s="2">
        <f>'PFAS Properties'!$X$46</f>
        <v>0.1</v>
      </c>
      <c r="M1003" s="2" t="str">
        <f>'PFAS Properties'!$Y$46</f>
        <v>-</v>
      </c>
      <c r="N1003" s="33">
        <v>0</v>
      </c>
      <c r="O1003" s="33">
        <v>0</v>
      </c>
      <c r="P1003" s="33">
        <v>0</v>
      </c>
      <c r="Q1003" s="33">
        <f t="shared" si="450"/>
        <v>0.99998976717478893</v>
      </c>
      <c r="R1003" s="33">
        <v>0</v>
      </c>
      <c r="S1003" s="33">
        <f t="shared" si="451"/>
        <v>1.0232825211024223E-5</v>
      </c>
      <c r="T1003" s="8">
        <f t="shared" ref="T1003:T1062" si="461">SUM(N1003:S1003)</f>
        <v>1</v>
      </c>
      <c r="U1003" s="33">
        <f t="shared" si="452"/>
        <v>0</v>
      </c>
      <c r="V1003" s="33">
        <f t="shared" si="453"/>
        <v>-0.99998976717478893</v>
      </c>
      <c r="W1003" s="33">
        <f t="shared" si="454"/>
        <v>498.93741023282513</v>
      </c>
      <c r="X1003" s="33">
        <v>96485</v>
      </c>
      <c r="Y1003" s="16">
        <f t="shared" si="455"/>
        <v>-193.37899044458507</v>
      </c>
      <c r="Z1003" s="16">
        <v>8</v>
      </c>
      <c r="AA1003" s="16">
        <v>17</v>
      </c>
      <c r="AB1003" s="8">
        <f t="shared" si="456"/>
        <v>0.29721362229102166</v>
      </c>
      <c r="AC1003" s="16">
        <f t="shared" si="438"/>
        <v>64.60808893273439</v>
      </c>
      <c r="AD1003" s="20">
        <f>'PFAS Properties'!$W$46</f>
        <v>8</v>
      </c>
      <c r="AE1003" s="8">
        <f>'PFAS Properties'!$S$46</f>
        <v>2.0166155475571776</v>
      </c>
      <c r="AF1003" s="15">
        <f>'PFAS Properties'!$V$46</f>
        <v>5</v>
      </c>
      <c r="AG1003" s="24">
        <v>5.09</v>
      </c>
      <c r="AH1003" s="15" t="s">
        <v>170</v>
      </c>
      <c r="AI1003" s="2" t="s">
        <v>661</v>
      </c>
      <c r="AJ1003" s="2" t="s">
        <v>661</v>
      </c>
      <c r="AK1003" s="2" t="s">
        <v>661</v>
      </c>
      <c r="AL1003" s="2" t="s">
        <v>661</v>
      </c>
      <c r="AM1003" s="2" t="s">
        <v>661</v>
      </c>
      <c r="AN1003" s="2" t="s">
        <v>661</v>
      </c>
      <c r="AO1003" s="2" t="s">
        <v>661</v>
      </c>
      <c r="AP1003" s="15">
        <v>7.91</v>
      </c>
      <c r="AQ1003" s="3" t="s">
        <v>661</v>
      </c>
      <c r="AR1003" s="2">
        <v>68.099999999999994</v>
      </c>
      <c r="AS1003" s="2">
        <v>21.2</v>
      </c>
      <c r="AT1003" s="2">
        <v>10.7</v>
      </c>
      <c r="AU1003" s="3" t="s">
        <v>661</v>
      </c>
      <c r="AV1003" s="16">
        <f t="shared" ref="AV1003:AV1062" si="462">SUM(AR1003:AT1003)</f>
        <v>100</v>
      </c>
      <c r="AW1003" s="20">
        <v>5.0599999999999996</v>
      </c>
      <c r="AX1003" s="8">
        <f t="shared" si="444"/>
        <v>5.0599999999999999E-2</v>
      </c>
      <c r="AY1003" s="8" t="s">
        <v>395</v>
      </c>
      <c r="AZ1003" s="16">
        <f t="shared" si="459"/>
        <v>33.333333333333336</v>
      </c>
      <c r="BA1003" s="16" t="s">
        <v>55</v>
      </c>
      <c r="BB1003" s="16">
        <v>15</v>
      </c>
      <c r="BC1003" s="16">
        <v>560</v>
      </c>
      <c r="BD1003" s="18">
        <f t="shared" si="446"/>
        <v>68.939471870425336</v>
      </c>
      <c r="BE1003" s="16">
        <f t="shared" si="439"/>
        <v>1362.4401555420027</v>
      </c>
      <c r="BF1003" s="16">
        <f t="shared" si="457"/>
        <v>3.1343174352138741</v>
      </c>
      <c r="BG1003" s="8">
        <f t="shared" si="458"/>
        <v>1.8384679520536731</v>
      </c>
      <c r="BH1003" s="13" t="s">
        <v>868</v>
      </c>
      <c r="BI1003" s="8">
        <v>0.186</v>
      </c>
      <c r="BJ1003" s="13" t="s">
        <v>349</v>
      </c>
      <c r="BK1003" s="15">
        <v>0.57599999999999996</v>
      </c>
      <c r="BL1003" s="16">
        <f t="shared" si="460"/>
        <v>186</v>
      </c>
      <c r="BM1003" s="18">
        <f>'PFAS Properties'!$U$46</f>
        <v>10.39</v>
      </c>
      <c r="BN1003" s="8">
        <f t="shared" si="448"/>
        <v>716.28111273371928</v>
      </c>
      <c r="BO1003" s="24">
        <f t="shared" si="449"/>
        <v>68.939471870425336</v>
      </c>
    </row>
    <row r="1004" spans="1:69" s="14" customFormat="1" x14ac:dyDescent="0.3">
      <c r="A1004" s="20">
        <v>1025</v>
      </c>
      <c r="B1004" s="2" t="s">
        <v>269</v>
      </c>
      <c r="C1004" s="2">
        <v>2020</v>
      </c>
      <c r="D1004" s="2" t="s">
        <v>270</v>
      </c>
      <c r="E1004" s="10" t="s">
        <v>805</v>
      </c>
      <c r="F1004" s="20" t="s">
        <v>29</v>
      </c>
      <c r="G1004" s="2" t="s">
        <v>175</v>
      </c>
      <c r="H1004" s="2" t="str">
        <f>'PFAS Properties'!$B$46</f>
        <v>PFOS</v>
      </c>
      <c r="I1004" s="2" t="str">
        <f>'PFAS Properties'!$C$46</f>
        <v>PFSA</v>
      </c>
      <c r="J1004" s="2" t="str">
        <f>'PFAS Properties'!$D$46</f>
        <v>C8HF17O3S</v>
      </c>
      <c r="K1004" s="25">
        <f>'PFAS Properties'!$P$46</f>
        <v>499.93739999999997</v>
      </c>
      <c r="L1004" s="2">
        <f>'PFAS Properties'!$X$46</f>
        <v>0.1</v>
      </c>
      <c r="M1004" s="2" t="str">
        <f>'PFAS Properties'!$Y$46</f>
        <v>-</v>
      </c>
      <c r="N1004" s="33">
        <v>0</v>
      </c>
      <c r="O1004" s="33">
        <v>0</v>
      </c>
      <c r="P1004" s="33">
        <v>0</v>
      </c>
      <c r="Q1004" s="33">
        <f t="shared" si="450"/>
        <v>0.99999918717014458</v>
      </c>
      <c r="R1004" s="33">
        <v>0</v>
      </c>
      <c r="S1004" s="33">
        <f t="shared" si="451"/>
        <v>8.1282985547118639E-7</v>
      </c>
      <c r="T1004" s="8">
        <f t="shared" si="461"/>
        <v>1</v>
      </c>
      <c r="U1004" s="33">
        <f t="shared" si="452"/>
        <v>0</v>
      </c>
      <c r="V1004" s="33">
        <f t="shared" si="453"/>
        <v>-0.99999918717014458</v>
      </c>
      <c r="W1004" s="33">
        <f t="shared" si="454"/>
        <v>498.93740081282982</v>
      </c>
      <c r="X1004" s="33">
        <v>96485</v>
      </c>
      <c r="Y1004" s="16">
        <f t="shared" si="455"/>
        <v>-193.38081574346941</v>
      </c>
      <c r="Z1004" s="16">
        <v>8</v>
      </c>
      <c r="AA1004" s="16">
        <v>17</v>
      </c>
      <c r="AB1004" s="8">
        <f t="shared" si="456"/>
        <v>0.29721362229102166</v>
      </c>
      <c r="AC1004" s="16">
        <f t="shared" ref="AC1004:AC1062" si="463">((AA1004*19)/K1004)*100</f>
        <v>64.60808893273439</v>
      </c>
      <c r="AD1004" s="20">
        <f>'PFAS Properties'!$W$46</f>
        <v>8</v>
      </c>
      <c r="AE1004" s="8">
        <f>'PFAS Properties'!$S$46</f>
        <v>2.0166155475571776</v>
      </c>
      <c r="AF1004" s="15">
        <f>'PFAS Properties'!$V$46</f>
        <v>5</v>
      </c>
      <c r="AG1004" s="24">
        <v>6.19</v>
      </c>
      <c r="AH1004" s="15" t="s">
        <v>170</v>
      </c>
      <c r="AI1004" s="2" t="s">
        <v>661</v>
      </c>
      <c r="AJ1004" s="2" t="s">
        <v>661</v>
      </c>
      <c r="AK1004" s="2" t="s">
        <v>661</v>
      </c>
      <c r="AL1004" s="2" t="s">
        <v>661</v>
      </c>
      <c r="AM1004" s="2" t="s">
        <v>661</v>
      </c>
      <c r="AN1004" s="2" t="s">
        <v>661</v>
      </c>
      <c r="AO1004" s="2" t="s">
        <v>661</v>
      </c>
      <c r="AP1004" s="15">
        <v>6.4</v>
      </c>
      <c r="AQ1004" s="3" t="s">
        <v>661</v>
      </c>
      <c r="AR1004" s="2">
        <v>80.7</v>
      </c>
      <c r="AS1004" s="2">
        <v>11.2</v>
      </c>
      <c r="AT1004" s="2">
        <v>8.1</v>
      </c>
      <c r="AU1004" s="3" t="s">
        <v>661</v>
      </c>
      <c r="AV1004" s="16">
        <f t="shared" si="462"/>
        <v>100</v>
      </c>
      <c r="AW1004" s="20">
        <v>0.96</v>
      </c>
      <c r="AX1004" s="8">
        <f t="shared" si="444"/>
        <v>9.5999999999999992E-3</v>
      </c>
      <c r="AY1004" s="8" t="s">
        <v>395</v>
      </c>
      <c r="AZ1004" s="16">
        <f t="shared" si="459"/>
        <v>33.333333333333336</v>
      </c>
      <c r="BA1004" s="16" t="s">
        <v>55</v>
      </c>
      <c r="BB1004" s="16">
        <v>15</v>
      </c>
      <c r="BC1004" s="16">
        <v>560</v>
      </c>
      <c r="BD1004" s="18">
        <f t="shared" si="446"/>
        <v>31.353363716067875</v>
      </c>
      <c r="BE1004" s="16">
        <f t="shared" ref="BE1004:BE1062" si="464">BD1004/AX1004</f>
        <v>3265.9753870904037</v>
      </c>
      <c r="BF1004" s="16">
        <f t="shared" si="457"/>
        <v>3.5140129075007414</v>
      </c>
      <c r="BG1004" s="8">
        <f t="shared" si="458"/>
        <v>1.49628414054031</v>
      </c>
      <c r="BH1004" s="13" t="s">
        <v>868</v>
      </c>
      <c r="BI1004" s="8">
        <v>8.4000000000000005E-2</v>
      </c>
      <c r="BJ1004" s="13" t="s">
        <v>349</v>
      </c>
      <c r="BK1004" s="15">
        <v>0.57899999999999996</v>
      </c>
      <c r="BL1004" s="16">
        <f t="shared" si="460"/>
        <v>84</v>
      </c>
      <c r="BM1004" s="18">
        <f>'PFAS Properties'!$U$46</f>
        <v>10.39</v>
      </c>
      <c r="BN1004" s="8">
        <f t="shared" si="448"/>
        <v>325.76144900994524</v>
      </c>
      <c r="BO1004" s="24">
        <f t="shared" si="449"/>
        <v>31.353363716067875</v>
      </c>
    </row>
    <row r="1005" spans="1:69" s="14" customFormat="1" x14ac:dyDescent="0.3">
      <c r="A1005" s="20">
        <v>1026</v>
      </c>
      <c r="B1005" s="2" t="s">
        <v>269</v>
      </c>
      <c r="C1005" s="2">
        <v>2020</v>
      </c>
      <c r="D1005" s="2" t="s">
        <v>270</v>
      </c>
      <c r="E1005" s="10" t="s">
        <v>805</v>
      </c>
      <c r="F1005" s="20" t="s">
        <v>29</v>
      </c>
      <c r="G1005" s="2" t="s">
        <v>176</v>
      </c>
      <c r="H1005" s="2" t="str">
        <f>'PFAS Properties'!$B$46</f>
        <v>PFOS</v>
      </c>
      <c r="I1005" s="2" t="str">
        <f>'PFAS Properties'!$C$46</f>
        <v>PFSA</v>
      </c>
      <c r="J1005" s="2" t="str">
        <f>'PFAS Properties'!$D$46</f>
        <v>C8HF17O3S</v>
      </c>
      <c r="K1005" s="25">
        <f>'PFAS Properties'!$P$46</f>
        <v>499.93739999999997</v>
      </c>
      <c r="L1005" s="2">
        <f>'PFAS Properties'!$X$46</f>
        <v>0.1</v>
      </c>
      <c r="M1005" s="2" t="str">
        <f>'PFAS Properties'!$Y$46</f>
        <v>-</v>
      </c>
      <c r="N1005" s="33">
        <v>0</v>
      </c>
      <c r="O1005" s="33">
        <v>0</v>
      </c>
      <c r="P1005" s="33">
        <v>0</v>
      </c>
      <c r="Q1005" s="33">
        <f t="shared" si="450"/>
        <v>0.99999855456231856</v>
      </c>
      <c r="R1005" s="33">
        <v>0</v>
      </c>
      <c r="S1005" s="33">
        <f t="shared" si="451"/>
        <v>1.4454376814528125E-6</v>
      </c>
      <c r="T1005" s="8">
        <f t="shared" si="461"/>
        <v>1</v>
      </c>
      <c r="U1005" s="33">
        <f t="shared" si="452"/>
        <v>0</v>
      </c>
      <c r="V1005" s="33">
        <f t="shared" si="453"/>
        <v>-0.99999855456231856</v>
      </c>
      <c r="W1005" s="33">
        <f t="shared" si="454"/>
        <v>498.93740144543762</v>
      </c>
      <c r="X1005" s="33">
        <v>96485</v>
      </c>
      <c r="Y1005" s="16">
        <f t="shared" si="455"/>
        <v>-193.38069316396323</v>
      </c>
      <c r="Z1005" s="16">
        <v>8</v>
      </c>
      <c r="AA1005" s="16">
        <v>17</v>
      </c>
      <c r="AB1005" s="8">
        <f t="shared" si="456"/>
        <v>0.29721362229102166</v>
      </c>
      <c r="AC1005" s="16">
        <f t="shared" si="463"/>
        <v>64.60808893273439</v>
      </c>
      <c r="AD1005" s="20">
        <f>'PFAS Properties'!$W$46</f>
        <v>8</v>
      </c>
      <c r="AE1005" s="8">
        <f>'PFAS Properties'!$S$46</f>
        <v>2.0166155475571776</v>
      </c>
      <c r="AF1005" s="15">
        <f>'PFAS Properties'!$V$46</f>
        <v>5</v>
      </c>
      <c r="AG1005" s="24">
        <v>5.94</v>
      </c>
      <c r="AH1005" s="15" t="s">
        <v>170</v>
      </c>
      <c r="AI1005" s="2" t="s">
        <v>661</v>
      </c>
      <c r="AJ1005" s="2" t="s">
        <v>661</v>
      </c>
      <c r="AK1005" s="2" t="s">
        <v>661</v>
      </c>
      <c r="AL1005" s="2" t="s">
        <v>661</v>
      </c>
      <c r="AM1005" s="2" t="s">
        <v>661</v>
      </c>
      <c r="AN1005" s="2" t="s">
        <v>661</v>
      </c>
      <c r="AO1005" s="2" t="s">
        <v>661</v>
      </c>
      <c r="AP1005" s="15">
        <v>4.7300000000000004</v>
      </c>
      <c r="AQ1005" s="3" t="s">
        <v>661</v>
      </c>
      <c r="AR1005" s="2">
        <v>78.2</v>
      </c>
      <c r="AS1005" s="2">
        <v>16.2</v>
      </c>
      <c r="AT1005" s="2">
        <v>5.6</v>
      </c>
      <c r="AU1005" s="3" t="s">
        <v>661</v>
      </c>
      <c r="AV1005" s="16">
        <f t="shared" si="462"/>
        <v>100</v>
      </c>
      <c r="AW1005" s="20">
        <v>0.78</v>
      </c>
      <c r="AX1005" s="8">
        <f t="shared" si="444"/>
        <v>7.8000000000000005E-3</v>
      </c>
      <c r="AY1005" s="8" t="s">
        <v>395</v>
      </c>
      <c r="AZ1005" s="16">
        <f t="shared" si="459"/>
        <v>33.333333333333336</v>
      </c>
      <c r="BA1005" s="16" t="s">
        <v>55</v>
      </c>
      <c r="BB1005" s="16">
        <v>15</v>
      </c>
      <c r="BC1005" s="16">
        <v>560</v>
      </c>
      <c r="BD1005" s="18">
        <f t="shared" si="446"/>
        <v>34.677155813274517</v>
      </c>
      <c r="BE1005" s="16">
        <f t="shared" si="464"/>
        <v>4445.7892068300662</v>
      </c>
      <c r="BF1005" s="16">
        <f t="shared" si="457"/>
        <v>3.6479488671617157</v>
      </c>
      <c r="BG1005" s="8">
        <f t="shared" si="458"/>
        <v>1.5400434698521961</v>
      </c>
      <c r="BH1005" s="13" t="s">
        <v>868</v>
      </c>
      <c r="BI1005" s="8">
        <v>9.6000000000000002E-2</v>
      </c>
      <c r="BJ1005" s="13" t="s">
        <v>349</v>
      </c>
      <c r="BK1005" s="15">
        <v>0.56499999999999995</v>
      </c>
      <c r="BL1005" s="16">
        <f t="shared" si="460"/>
        <v>96</v>
      </c>
      <c r="BM1005" s="18">
        <f>'PFAS Properties'!$U$46</f>
        <v>10.39</v>
      </c>
      <c r="BN1005" s="8">
        <f t="shared" si="448"/>
        <v>360.29564889992224</v>
      </c>
      <c r="BO1005" s="24">
        <f t="shared" si="449"/>
        <v>34.677155813274517</v>
      </c>
    </row>
    <row r="1006" spans="1:69" s="14" customFormat="1" x14ac:dyDescent="0.3">
      <c r="A1006" s="20">
        <v>1027</v>
      </c>
      <c r="B1006" s="2" t="s">
        <v>269</v>
      </c>
      <c r="C1006" s="2">
        <v>2020</v>
      </c>
      <c r="D1006" s="2" t="s">
        <v>270</v>
      </c>
      <c r="E1006" s="10" t="s">
        <v>805</v>
      </c>
      <c r="F1006" s="20" t="s">
        <v>29</v>
      </c>
      <c r="G1006" s="2" t="s">
        <v>177</v>
      </c>
      <c r="H1006" s="2" t="str">
        <f>'PFAS Properties'!$B$46</f>
        <v>PFOS</v>
      </c>
      <c r="I1006" s="2" t="str">
        <f>'PFAS Properties'!$C$46</f>
        <v>PFSA</v>
      </c>
      <c r="J1006" s="2" t="str">
        <f>'PFAS Properties'!$D$46</f>
        <v>C8HF17O3S</v>
      </c>
      <c r="K1006" s="25">
        <f>'PFAS Properties'!$P$46</f>
        <v>499.93739999999997</v>
      </c>
      <c r="L1006" s="2">
        <f>'PFAS Properties'!$X$46</f>
        <v>0.1</v>
      </c>
      <c r="M1006" s="2" t="str">
        <f>'PFAS Properties'!$Y$46</f>
        <v>-</v>
      </c>
      <c r="N1006" s="33">
        <v>0</v>
      </c>
      <c r="O1006" s="33">
        <v>0</v>
      </c>
      <c r="P1006" s="33">
        <v>0</v>
      </c>
      <c r="Q1006" s="33">
        <f t="shared" si="450"/>
        <v>0.99999998340413121</v>
      </c>
      <c r="R1006" s="33">
        <v>0</v>
      </c>
      <c r="S1006" s="33">
        <f t="shared" si="451"/>
        <v>1.6595868798952677E-8</v>
      </c>
      <c r="T1006" s="8">
        <f t="shared" si="461"/>
        <v>1</v>
      </c>
      <c r="U1006" s="33">
        <f t="shared" si="452"/>
        <v>0</v>
      </c>
      <c r="V1006" s="33">
        <f t="shared" si="453"/>
        <v>-0.99999998340413121</v>
      </c>
      <c r="W1006" s="33">
        <f t="shared" si="454"/>
        <v>498.9374000165958</v>
      </c>
      <c r="X1006" s="33">
        <v>96485</v>
      </c>
      <c r="Y1006" s="16">
        <f t="shared" si="455"/>
        <v>-193.38097002858132</v>
      </c>
      <c r="Z1006" s="16">
        <v>8</v>
      </c>
      <c r="AA1006" s="16">
        <v>17</v>
      </c>
      <c r="AB1006" s="8">
        <f t="shared" si="456"/>
        <v>0.29721362229102166</v>
      </c>
      <c r="AC1006" s="16">
        <f t="shared" si="463"/>
        <v>64.60808893273439</v>
      </c>
      <c r="AD1006" s="20">
        <f>'PFAS Properties'!$W$46</f>
        <v>8</v>
      </c>
      <c r="AE1006" s="8">
        <f>'PFAS Properties'!$S$46</f>
        <v>2.0166155475571776</v>
      </c>
      <c r="AF1006" s="15">
        <f>'PFAS Properties'!$V$46</f>
        <v>5</v>
      </c>
      <c r="AG1006" s="24">
        <v>7.88</v>
      </c>
      <c r="AH1006" s="15" t="s">
        <v>170</v>
      </c>
      <c r="AI1006" s="2" t="s">
        <v>661</v>
      </c>
      <c r="AJ1006" s="2" t="s">
        <v>661</v>
      </c>
      <c r="AK1006" s="2" t="s">
        <v>661</v>
      </c>
      <c r="AL1006" s="2" t="s">
        <v>661</v>
      </c>
      <c r="AM1006" s="2" t="s">
        <v>661</v>
      </c>
      <c r="AN1006" s="2" t="s">
        <v>661</v>
      </c>
      <c r="AO1006" s="2" t="s">
        <v>661</v>
      </c>
      <c r="AP1006" s="15">
        <v>11.95</v>
      </c>
      <c r="AQ1006" s="3" t="s">
        <v>661</v>
      </c>
      <c r="AR1006" s="2">
        <v>58.8</v>
      </c>
      <c r="AS1006" s="2">
        <v>11.2</v>
      </c>
      <c r="AT1006" s="2">
        <v>30</v>
      </c>
      <c r="AU1006" s="3" t="s">
        <v>661</v>
      </c>
      <c r="AV1006" s="16">
        <f t="shared" si="462"/>
        <v>100</v>
      </c>
      <c r="AW1006" s="20">
        <v>0.82</v>
      </c>
      <c r="AX1006" s="8">
        <f t="shared" si="444"/>
        <v>8.199999999999999E-3</v>
      </c>
      <c r="AY1006" s="8" t="s">
        <v>395</v>
      </c>
      <c r="AZ1006" s="16">
        <f t="shared" si="459"/>
        <v>33.333333333333336</v>
      </c>
      <c r="BA1006" s="16" t="s">
        <v>55</v>
      </c>
      <c r="BB1006" s="16">
        <v>15</v>
      </c>
      <c r="BC1006" s="16">
        <v>560</v>
      </c>
      <c r="BD1006" s="18">
        <f t="shared" si="446"/>
        <v>35.441717115070212</v>
      </c>
      <c r="BE1006" s="16">
        <f t="shared" si="464"/>
        <v>4322.160623789051</v>
      </c>
      <c r="BF1006" s="16">
        <f t="shared" si="457"/>
        <v>3.6357009024660165</v>
      </c>
      <c r="BG1006" s="8">
        <f t="shared" si="458"/>
        <v>1.5495147548497332</v>
      </c>
      <c r="BH1006" s="13" t="s">
        <v>868</v>
      </c>
      <c r="BI1006" s="8">
        <v>0.108</v>
      </c>
      <c r="BJ1006" s="13" t="s">
        <v>349</v>
      </c>
      <c r="BK1006" s="15">
        <v>0.52400000000000002</v>
      </c>
      <c r="BL1006" s="16">
        <f t="shared" si="460"/>
        <v>108</v>
      </c>
      <c r="BM1006" s="18">
        <f>'PFAS Properties'!$U$46</f>
        <v>10.39</v>
      </c>
      <c r="BN1006" s="8">
        <f t="shared" si="448"/>
        <v>368.23944082557955</v>
      </c>
      <c r="BO1006" s="24">
        <f t="shared" si="449"/>
        <v>35.441717115070212</v>
      </c>
    </row>
    <row r="1007" spans="1:69" s="14" customFormat="1" x14ac:dyDescent="0.3">
      <c r="A1007" s="20">
        <v>1028</v>
      </c>
      <c r="B1007" s="2" t="s">
        <v>219</v>
      </c>
      <c r="C1007" s="2">
        <v>2020</v>
      </c>
      <c r="D1007" s="2" t="s">
        <v>205</v>
      </c>
      <c r="E1007" s="22" t="s">
        <v>802</v>
      </c>
      <c r="F1007" s="20" t="s">
        <v>29</v>
      </c>
      <c r="G1007" s="2">
        <v>1</v>
      </c>
      <c r="H1007" s="2" t="str">
        <f>'PFAS Properties'!$B$46</f>
        <v>PFOS</v>
      </c>
      <c r="I1007" s="2" t="str">
        <f>'PFAS Properties'!$C$46</f>
        <v>PFSA</v>
      </c>
      <c r="J1007" s="2" t="str">
        <f>'PFAS Properties'!$D$46</f>
        <v>C8HF17O3S</v>
      </c>
      <c r="K1007" s="25">
        <f>'PFAS Properties'!$P$46</f>
        <v>499.93739999999997</v>
      </c>
      <c r="L1007" s="2">
        <f>'PFAS Properties'!$X$46</f>
        <v>0.1</v>
      </c>
      <c r="M1007" s="2" t="str">
        <f>'PFAS Properties'!$Y$46</f>
        <v>-</v>
      </c>
      <c r="N1007" s="33">
        <v>0</v>
      </c>
      <c r="O1007" s="33">
        <v>0</v>
      </c>
      <c r="P1007" s="33">
        <v>0</v>
      </c>
      <c r="Q1007" s="33">
        <f t="shared" si="450"/>
        <v>0.99999968377233395</v>
      </c>
      <c r="R1007" s="33">
        <v>0</v>
      </c>
      <c r="S1007" s="33">
        <f t="shared" si="451"/>
        <v>3.1622766601686895E-7</v>
      </c>
      <c r="T1007" s="8">
        <f t="shared" si="461"/>
        <v>1</v>
      </c>
      <c r="U1007" s="33">
        <f t="shared" si="452"/>
        <v>0</v>
      </c>
      <c r="V1007" s="33">
        <f t="shared" si="453"/>
        <v>-0.99999968377233395</v>
      </c>
      <c r="W1007" s="33">
        <f t="shared" si="454"/>
        <v>498.93740031622758</v>
      </c>
      <c r="X1007" s="33">
        <v>96485</v>
      </c>
      <c r="Y1007" s="16">
        <f t="shared" si="455"/>
        <v>-193.3809119693598</v>
      </c>
      <c r="Z1007" s="16">
        <v>8</v>
      </c>
      <c r="AA1007" s="16">
        <v>17</v>
      </c>
      <c r="AB1007" s="8">
        <f t="shared" si="456"/>
        <v>0.29721362229102166</v>
      </c>
      <c r="AC1007" s="16">
        <f t="shared" si="463"/>
        <v>64.60808893273439</v>
      </c>
      <c r="AD1007" s="20">
        <f>'PFAS Properties'!$W$46</f>
        <v>8</v>
      </c>
      <c r="AE1007" s="8">
        <f>'PFAS Properties'!$S$46</f>
        <v>2.0166155475571776</v>
      </c>
      <c r="AF1007" s="15">
        <f>'PFAS Properties'!$V$46</f>
        <v>5</v>
      </c>
      <c r="AG1007" s="24">
        <v>6.6</v>
      </c>
      <c r="AH1007" s="2" t="s">
        <v>85</v>
      </c>
      <c r="AI1007" s="2">
        <v>4.17</v>
      </c>
      <c r="AJ1007" s="15">
        <f t="shared" ref="AJ1007:AJ1032" si="465">AI1007*1000/55.845</f>
        <v>74.67096427612141</v>
      </c>
      <c r="AK1007" s="8">
        <f t="shared" ref="AK1007:AK1032" si="466">AI1007/10</f>
        <v>0.41699999999999998</v>
      </c>
      <c r="AL1007" s="2">
        <v>2.58</v>
      </c>
      <c r="AM1007" s="15">
        <f t="shared" ref="AM1007:AM1032" si="467">AL1007*1000/26.98</f>
        <v>95.626389918458116</v>
      </c>
      <c r="AN1007" s="8">
        <f t="shared" ref="AN1007:AN1032" si="468">AL1007/10</f>
        <v>0.25800000000000001</v>
      </c>
      <c r="AO1007" s="15" t="s">
        <v>86</v>
      </c>
      <c r="AP1007" s="15">
        <v>10</v>
      </c>
      <c r="AQ1007" s="15" t="s">
        <v>711</v>
      </c>
      <c r="AR1007" s="16">
        <v>43</v>
      </c>
      <c r="AS1007" s="2">
        <v>12</v>
      </c>
      <c r="AT1007" s="2">
        <v>45</v>
      </c>
      <c r="AU1007" s="15" t="s">
        <v>664</v>
      </c>
      <c r="AV1007" s="16">
        <f t="shared" si="462"/>
        <v>100</v>
      </c>
      <c r="AW1007" s="20">
        <v>1.8</v>
      </c>
      <c r="AX1007" s="8">
        <f t="shared" si="444"/>
        <v>1.8000000000000002E-2</v>
      </c>
      <c r="AY1007" s="8" t="s">
        <v>87</v>
      </c>
      <c r="AZ1007" s="16">
        <v>20</v>
      </c>
      <c r="BA1007" s="16" t="s">
        <v>55</v>
      </c>
      <c r="BB1007" s="16" t="s">
        <v>391</v>
      </c>
      <c r="BC1007" s="16" t="s">
        <v>55</v>
      </c>
      <c r="BD1007" s="20">
        <v>4.2300000000000004</v>
      </c>
      <c r="BE1007" s="16">
        <f t="shared" si="464"/>
        <v>235</v>
      </c>
      <c r="BF1007" s="16">
        <f t="shared" si="457"/>
        <v>2.3710678622717363</v>
      </c>
      <c r="BG1007" s="8">
        <f t="shared" si="458"/>
        <v>0.6263403673750424</v>
      </c>
      <c r="BH1007" s="13" t="s">
        <v>859</v>
      </c>
      <c r="BI1007" s="13"/>
      <c r="BJ1007" s="13"/>
      <c r="BK1007" s="13"/>
      <c r="BL1007" s="13"/>
      <c r="BM1007" s="17"/>
      <c r="BN1007" s="17"/>
      <c r="BO1007" s="2"/>
    </row>
    <row r="1008" spans="1:69" s="14" customFormat="1" x14ac:dyDescent="0.3">
      <c r="A1008" s="20">
        <v>1029</v>
      </c>
      <c r="B1008" s="2" t="s">
        <v>219</v>
      </c>
      <c r="C1008" s="2">
        <v>2020</v>
      </c>
      <c r="D1008" s="2" t="s">
        <v>205</v>
      </c>
      <c r="E1008" s="10" t="s">
        <v>802</v>
      </c>
      <c r="F1008" s="20" t="s">
        <v>29</v>
      </c>
      <c r="G1008" s="2">
        <v>2</v>
      </c>
      <c r="H1008" s="2" t="str">
        <f>'PFAS Properties'!$B$46</f>
        <v>PFOS</v>
      </c>
      <c r="I1008" s="2" t="str">
        <f>'PFAS Properties'!$C$46</f>
        <v>PFSA</v>
      </c>
      <c r="J1008" s="2" t="str">
        <f>'PFAS Properties'!$D$46</f>
        <v>C8HF17O3S</v>
      </c>
      <c r="K1008" s="25">
        <f>'PFAS Properties'!$P$46</f>
        <v>499.93739999999997</v>
      </c>
      <c r="L1008" s="2">
        <f>'PFAS Properties'!$X$46</f>
        <v>0.1</v>
      </c>
      <c r="M1008" s="2" t="str">
        <f>'PFAS Properties'!$Y$46</f>
        <v>-</v>
      </c>
      <c r="N1008" s="33">
        <v>0</v>
      </c>
      <c r="O1008" s="33">
        <v>0</v>
      </c>
      <c r="P1008" s="33">
        <v>0</v>
      </c>
      <c r="Q1008" s="33">
        <f t="shared" si="450"/>
        <v>0.99999968377233395</v>
      </c>
      <c r="R1008" s="33">
        <v>0</v>
      </c>
      <c r="S1008" s="33">
        <f t="shared" si="451"/>
        <v>3.1622766601686895E-7</v>
      </c>
      <c r="T1008" s="8">
        <f t="shared" si="461"/>
        <v>1</v>
      </c>
      <c r="U1008" s="33">
        <f t="shared" si="452"/>
        <v>0</v>
      </c>
      <c r="V1008" s="33">
        <f t="shared" si="453"/>
        <v>-0.99999968377233395</v>
      </c>
      <c r="W1008" s="33">
        <f t="shared" si="454"/>
        <v>498.93740031622758</v>
      </c>
      <c r="X1008" s="33">
        <v>96485</v>
      </c>
      <c r="Y1008" s="16">
        <f t="shared" si="455"/>
        <v>-193.3809119693598</v>
      </c>
      <c r="Z1008" s="16">
        <v>8</v>
      </c>
      <c r="AA1008" s="16">
        <v>17</v>
      </c>
      <c r="AB1008" s="8">
        <f t="shared" si="456"/>
        <v>0.29721362229102166</v>
      </c>
      <c r="AC1008" s="16">
        <f t="shared" si="463"/>
        <v>64.60808893273439</v>
      </c>
      <c r="AD1008" s="20">
        <f>'PFAS Properties'!$W$46</f>
        <v>8</v>
      </c>
      <c r="AE1008" s="8">
        <f>'PFAS Properties'!$S$46</f>
        <v>2.0166155475571776</v>
      </c>
      <c r="AF1008" s="15">
        <f>'PFAS Properties'!$V$46</f>
        <v>5</v>
      </c>
      <c r="AG1008" s="24">
        <v>6.6</v>
      </c>
      <c r="AH1008" s="2" t="s">
        <v>85</v>
      </c>
      <c r="AI1008" s="2">
        <v>6.06</v>
      </c>
      <c r="AJ1008" s="15">
        <f t="shared" si="465"/>
        <v>108.51463873220521</v>
      </c>
      <c r="AK1008" s="8">
        <f t="shared" si="466"/>
        <v>0.60599999999999998</v>
      </c>
      <c r="AL1008" s="2">
        <v>3.75</v>
      </c>
      <c r="AM1008" s="15">
        <f t="shared" si="467"/>
        <v>138.99184581171238</v>
      </c>
      <c r="AN1008" s="8">
        <f t="shared" si="468"/>
        <v>0.375</v>
      </c>
      <c r="AO1008" s="15" t="s">
        <v>86</v>
      </c>
      <c r="AP1008" s="15">
        <v>9.5399999999999991</v>
      </c>
      <c r="AQ1008" s="15" t="s">
        <v>711</v>
      </c>
      <c r="AR1008" s="16">
        <v>36</v>
      </c>
      <c r="AS1008" s="16">
        <v>23</v>
      </c>
      <c r="AT1008" s="16">
        <v>41</v>
      </c>
      <c r="AU1008" s="15" t="s">
        <v>664</v>
      </c>
      <c r="AV1008" s="16">
        <f t="shared" si="462"/>
        <v>100</v>
      </c>
      <c r="AW1008" s="20">
        <v>2.1</v>
      </c>
      <c r="AX1008" s="8">
        <f t="shared" si="444"/>
        <v>2.1000000000000001E-2</v>
      </c>
      <c r="AY1008" s="8" t="s">
        <v>87</v>
      </c>
      <c r="AZ1008" s="16">
        <v>20</v>
      </c>
      <c r="BA1008" s="16" t="s">
        <v>55</v>
      </c>
      <c r="BB1008" s="16" t="s">
        <v>391</v>
      </c>
      <c r="BC1008" s="16" t="s">
        <v>55</v>
      </c>
      <c r="BD1008" s="20">
        <v>3.99</v>
      </c>
      <c r="BE1008" s="16">
        <f t="shared" si="464"/>
        <v>190</v>
      </c>
      <c r="BF1008" s="16">
        <f t="shared" si="457"/>
        <v>2.2787536009528289</v>
      </c>
      <c r="BG1008" s="8">
        <f t="shared" si="458"/>
        <v>0.60097289568674828</v>
      </c>
      <c r="BH1008" s="13" t="s">
        <v>859</v>
      </c>
      <c r="BI1008" s="13"/>
      <c r="BJ1008" s="13"/>
      <c r="BK1008" s="13"/>
      <c r="BL1008" s="13"/>
      <c r="BM1008" s="17"/>
      <c r="BN1008" s="17"/>
      <c r="BO1008" s="2"/>
    </row>
    <row r="1009" spans="1:67" s="14" customFormat="1" x14ac:dyDescent="0.3">
      <c r="A1009" s="20">
        <v>1030</v>
      </c>
      <c r="B1009" s="2" t="s">
        <v>219</v>
      </c>
      <c r="C1009" s="2">
        <v>2020</v>
      </c>
      <c r="D1009" s="2" t="s">
        <v>205</v>
      </c>
      <c r="E1009" s="10" t="s">
        <v>802</v>
      </c>
      <c r="F1009" s="20" t="s">
        <v>29</v>
      </c>
      <c r="G1009" s="2">
        <v>3</v>
      </c>
      <c r="H1009" s="2" t="str">
        <f>'PFAS Properties'!$B$46</f>
        <v>PFOS</v>
      </c>
      <c r="I1009" s="2" t="str">
        <f>'PFAS Properties'!$C$46</f>
        <v>PFSA</v>
      </c>
      <c r="J1009" s="2" t="str">
        <f>'PFAS Properties'!$D$46</f>
        <v>C8HF17O3S</v>
      </c>
      <c r="K1009" s="25">
        <f>'PFAS Properties'!$P$46</f>
        <v>499.93739999999997</v>
      </c>
      <c r="L1009" s="2">
        <f>'PFAS Properties'!$X$46</f>
        <v>0.1</v>
      </c>
      <c r="M1009" s="2" t="str">
        <f>'PFAS Properties'!$Y$46</f>
        <v>-</v>
      </c>
      <c r="N1009" s="33">
        <v>0</v>
      </c>
      <c r="O1009" s="33">
        <v>0</v>
      </c>
      <c r="P1009" s="33">
        <v>0</v>
      </c>
      <c r="Q1009" s="33">
        <f t="shared" si="450"/>
        <v>0.99999936904305364</v>
      </c>
      <c r="R1009" s="33">
        <v>0</v>
      </c>
      <c r="S1009" s="33">
        <f t="shared" si="451"/>
        <v>6.309569463732732E-7</v>
      </c>
      <c r="T1009" s="8">
        <f t="shared" si="461"/>
        <v>1</v>
      </c>
      <c r="U1009" s="33">
        <f t="shared" si="452"/>
        <v>0</v>
      </c>
      <c r="V1009" s="33">
        <f t="shared" si="453"/>
        <v>-0.99999936904305364</v>
      </c>
      <c r="W1009" s="33">
        <f t="shared" si="454"/>
        <v>498.93740063095692</v>
      </c>
      <c r="X1009" s="33">
        <v>96485</v>
      </c>
      <c r="Y1009" s="16">
        <f t="shared" si="455"/>
        <v>-193.38085098472084</v>
      </c>
      <c r="Z1009" s="16">
        <v>8</v>
      </c>
      <c r="AA1009" s="16">
        <v>17</v>
      </c>
      <c r="AB1009" s="8">
        <f t="shared" si="456"/>
        <v>0.29721362229102166</v>
      </c>
      <c r="AC1009" s="16">
        <f t="shared" si="463"/>
        <v>64.60808893273439</v>
      </c>
      <c r="AD1009" s="20">
        <f>'PFAS Properties'!$W$46</f>
        <v>8</v>
      </c>
      <c r="AE1009" s="8">
        <f>'PFAS Properties'!$S$46</f>
        <v>2.0166155475571776</v>
      </c>
      <c r="AF1009" s="15">
        <f>'PFAS Properties'!$V$46</f>
        <v>5</v>
      </c>
      <c r="AG1009" s="24">
        <v>6.3</v>
      </c>
      <c r="AH1009" s="2" t="s">
        <v>85</v>
      </c>
      <c r="AI1009" s="2">
        <v>0.46600000000000003</v>
      </c>
      <c r="AJ1009" s="15">
        <f t="shared" si="465"/>
        <v>8.3445250246217206</v>
      </c>
      <c r="AK1009" s="8">
        <f t="shared" si="466"/>
        <v>4.6600000000000003E-2</v>
      </c>
      <c r="AL1009" s="2">
        <v>0.185</v>
      </c>
      <c r="AM1009" s="15">
        <f t="shared" si="467"/>
        <v>6.8569310600444773</v>
      </c>
      <c r="AN1009" s="8">
        <f t="shared" si="468"/>
        <v>1.8499999999999999E-2</v>
      </c>
      <c r="AO1009" s="15" t="s">
        <v>86</v>
      </c>
      <c r="AP1009" s="15">
        <v>2.83</v>
      </c>
      <c r="AQ1009" s="15" t="s">
        <v>711</v>
      </c>
      <c r="AR1009" s="16">
        <v>91</v>
      </c>
      <c r="AS1009" s="16">
        <v>2</v>
      </c>
      <c r="AT1009" s="16">
        <v>7</v>
      </c>
      <c r="AU1009" s="15" t="s">
        <v>664</v>
      </c>
      <c r="AV1009" s="16">
        <f t="shared" si="462"/>
        <v>100</v>
      </c>
      <c r="AW1009" s="20">
        <v>0.6</v>
      </c>
      <c r="AX1009" s="8">
        <f t="shared" si="444"/>
        <v>6.0000000000000001E-3</v>
      </c>
      <c r="AY1009" s="8" t="s">
        <v>87</v>
      </c>
      <c r="AZ1009" s="16">
        <v>20</v>
      </c>
      <c r="BA1009" s="16" t="s">
        <v>55</v>
      </c>
      <c r="BB1009" s="16" t="s">
        <v>391</v>
      </c>
      <c r="BC1009" s="16" t="s">
        <v>55</v>
      </c>
      <c r="BD1009" s="20">
        <v>22.41</v>
      </c>
      <c r="BE1009" s="16">
        <f t="shared" si="464"/>
        <v>3735</v>
      </c>
      <c r="BF1009" s="16">
        <f t="shared" si="457"/>
        <v>3.5722906061514177</v>
      </c>
      <c r="BG1009" s="8">
        <f t="shared" si="458"/>
        <v>1.3504418565350613</v>
      </c>
      <c r="BH1009" s="13" t="s">
        <v>859</v>
      </c>
      <c r="BI1009" s="13"/>
      <c r="BJ1009" s="13"/>
      <c r="BK1009" s="13"/>
      <c r="BL1009" s="13"/>
      <c r="BM1009" s="17"/>
      <c r="BN1009" s="17"/>
      <c r="BO1009" s="2"/>
    </row>
    <row r="1010" spans="1:67" s="14" customFormat="1" x14ac:dyDescent="0.3">
      <c r="A1010" s="20">
        <v>1031</v>
      </c>
      <c r="B1010" s="2" t="s">
        <v>219</v>
      </c>
      <c r="C1010" s="2">
        <v>2020</v>
      </c>
      <c r="D1010" s="2" t="s">
        <v>205</v>
      </c>
      <c r="E1010" s="10" t="s">
        <v>802</v>
      </c>
      <c r="F1010" s="20" t="s">
        <v>29</v>
      </c>
      <c r="G1010" s="2">
        <v>4</v>
      </c>
      <c r="H1010" s="2" t="str">
        <f>'PFAS Properties'!$B$46</f>
        <v>PFOS</v>
      </c>
      <c r="I1010" s="2" t="str">
        <f>'PFAS Properties'!$C$46</f>
        <v>PFSA</v>
      </c>
      <c r="J1010" s="2" t="str">
        <f>'PFAS Properties'!$D$46</f>
        <v>C8HF17O3S</v>
      </c>
      <c r="K1010" s="25">
        <f>'PFAS Properties'!$P$46</f>
        <v>499.93739999999997</v>
      </c>
      <c r="L1010" s="2">
        <f>'PFAS Properties'!$X$46</f>
        <v>0.1</v>
      </c>
      <c r="M1010" s="2" t="str">
        <f>'PFAS Properties'!$Y$46</f>
        <v>-</v>
      </c>
      <c r="N1010" s="33">
        <v>0</v>
      </c>
      <c r="O1010" s="33">
        <v>0</v>
      </c>
      <c r="P1010" s="33">
        <v>0</v>
      </c>
      <c r="Q1010" s="33">
        <f t="shared" si="450"/>
        <v>0.99999993690426958</v>
      </c>
      <c r="R1010" s="33">
        <v>0</v>
      </c>
      <c r="S1010" s="33">
        <f t="shared" si="451"/>
        <v>6.3095730466947729E-8</v>
      </c>
      <c r="T1010" s="8">
        <f t="shared" si="461"/>
        <v>1</v>
      </c>
      <c r="U1010" s="33">
        <f t="shared" si="452"/>
        <v>0</v>
      </c>
      <c r="V1010" s="33">
        <f t="shared" si="453"/>
        <v>-0.99999993690426958</v>
      </c>
      <c r="W1010" s="33">
        <f t="shared" si="454"/>
        <v>498.93740006309571</v>
      </c>
      <c r="X1010" s="33">
        <v>96485</v>
      </c>
      <c r="Y1010" s="16">
        <f t="shared" si="455"/>
        <v>-193.38096101837013</v>
      </c>
      <c r="Z1010" s="16">
        <v>8</v>
      </c>
      <c r="AA1010" s="16">
        <v>17</v>
      </c>
      <c r="AB1010" s="8">
        <f t="shared" si="456"/>
        <v>0.29721362229102166</v>
      </c>
      <c r="AC1010" s="16">
        <f t="shared" si="463"/>
        <v>64.60808893273439</v>
      </c>
      <c r="AD1010" s="20">
        <f>'PFAS Properties'!$W$46</f>
        <v>8</v>
      </c>
      <c r="AE1010" s="8">
        <f>'PFAS Properties'!$S$46</f>
        <v>2.0166155475571776</v>
      </c>
      <c r="AF1010" s="15">
        <f>'PFAS Properties'!$V$46</f>
        <v>5</v>
      </c>
      <c r="AG1010" s="24">
        <v>7.3</v>
      </c>
      <c r="AH1010" s="2" t="s">
        <v>85</v>
      </c>
      <c r="AI1010" s="2">
        <v>7.87</v>
      </c>
      <c r="AJ1010" s="15">
        <f t="shared" si="465"/>
        <v>140.92577670337542</v>
      </c>
      <c r="AK1010" s="8">
        <f t="shared" si="466"/>
        <v>0.78700000000000003</v>
      </c>
      <c r="AL1010" s="2">
        <v>2.4</v>
      </c>
      <c r="AM1010" s="15">
        <f t="shared" si="467"/>
        <v>88.954781319495922</v>
      </c>
      <c r="AN1010" s="8">
        <f t="shared" si="468"/>
        <v>0.24</v>
      </c>
      <c r="AO1010" s="15" t="s">
        <v>86</v>
      </c>
      <c r="AP1010" s="15">
        <v>27.69</v>
      </c>
      <c r="AQ1010" s="15" t="s">
        <v>711</v>
      </c>
      <c r="AR1010" s="16">
        <v>27</v>
      </c>
      <c r="AS1010" s="16">
        <v>21</v>
      </c>
      <c r="AT1010" s="16">
        <v>52</v>
      </c>
      <c r="AU1010" s="15" t="s">
        <v>664</v>
      </c>
      <c r="AV1010" s="16">
        <f t="shared" si="462"/>
        <v>100</v>
      </c>
      <c r="AW1010" s="20">
        <v>1.8</v>
      </c>
      <c r="AX1010" s="8">
        <f t="shared" si="444"/>
        <v>1.8000000000000002E-2</v>
      </c>
      <c r="AY1010" s="8" t="s">
        <v>87</v>
      </c>
      <c r="AZ1010" s="16">
        <v>20</v>
      </c>
      <c r="BA1010" s="16" t="s">
        <v>55</v>
      </c>
      <c r="BB1010" s="16" t="s">
        <v>391</v>
      </c>
      <c r="BC1010" s="16" t="s">
        <v>55</v>
      </c>
      <c r="BD1010" s="20">
        <v>8.67</v>
      </c>
      <c r="BE1010" s="16">
        <f t="shared" si="464"/>
        <v>481.66666666666663</v>
      </c>
      <c r="BF1010" s="16">
        <f t="shared" si="457"/>
        <v>2.6827465923729044</v>
      </c>
      <c r="BG1010" s="8">
        <f t="shared" si="458"/>
        <v>0.93801909747621026</v>
      </c>
      <c r="BH1010" s="13" t="s">
        <v>859</v>
      </c>
      <c r="BI1010" s="13"/>
      <c r="BJ1010" s="13"/>
      <c r="BK1010" s="13"/>
      <c r="BL1010" s="13"/>
      <c r="BM1010" s="17"/>
      <c r="BN1010" s="17"/>
      <c r="BO1010" s="2"/>
    </row>
    <row r="1011" spans="1:67" s="14" customFormat="1" x14ac:dyDescent="0.3">
      <c r="A1011" s="20">
        <v>1032</v>
      </c>
      <c r="B1011" s="2" t="s">
        <v>219</v>
      </c>
      <c r="C1011" s="2">
        <v>2020</v>
      </c>
      <c r="D1011" s="2" t="s">
        <v>205</v>
      </c>
      <c r="E1011" s="10" t="s">
        <v>802</v>
      </c>
      <c r="F1011" s="20" t="s">
        <v>29</v>
      </c>
      <c r="G1011" s="2">
        <v>5</v>
      </c>
      <c r="H1011" s="2" t="str">
        <f>'PFAS Properties'!$B$46</f>
        <v>PFOS</v>
      </c>
      <c r="I1011" s="2" t="str">
        <f>'PFAS Properties'!$C$46</f>
        <v>PFSA</v>
      </c>
      <c r="J1011" s="2" t="str">
        <f>'PFAS Properties'!$D$46</f>
        <v>C8HF17O3S</v>
      </c>
      <c r="K1011" s="25">
        <f>'PFAS Properties'!$P$46</f>
        <v>499.93739999999997</v>
      </c>
      <c r="L1011" s="2">
        <f>'PFAS Properties'!$X$46</f>
        <v>0.1</v>
      </c>
      <c r="M1011" s="2" t="str">
        <f>'PFAS Properties'!$Y$46</f>
        <v>-</v>
      </c>
      <c r="N1011" s="33">
        <v>0</v>
      </c>
      <c r="O1011" s="33">
        <v>0</v>
      </c>
      <c r="P1011" s="33">
        <v>0</v>
      </c>
      <c r="Q1011" s="33">
        <f t="shared" si="450"/>
        <v>0.99999936904305364</v>
      </c>
      <c r="R1011" s="33">
        <v>0</v>
      </c>
      <c r="S1011" s="33">
        <f t="shared" si="451"/>
        <v>6.309569463732732E-7</v>
      </c>
      <c r="T1011" s="8">
        <f t="shared" si="461"/>
        <v>1</v>
      </c>
      <c r="U1011" s="33">
        <f t="shared" si="452"/>
        <v>0</v>
      </c>
      <c r="V1011" s="33">
        <f t="shared" si="453"/>
        <v>-0.99999936904305364</v>
      </c>
      <c r="W1011" s="33">
        <f t="shared" si="454"/>
        <v>498.93740063095692</v>
      </c>
      <c r="X1011" s="33">
        <v>96485</v>
      </c>
      <c r="Y1011" s="16">
        <f t="shared" si="455"/>
        <v>-193.38085098472084</v>
      </c>
      <c r="Z1011" s="16">
        <v>8</v>
      </c>
      <c r="AA1011" s="16">
        <v>17</v>
      </c>
      <c r="AB1011" s="8">
        <f t="shared" si="456"/>
        <v>0.29721362229102166</v>
      </c>
      <c r="AC1011" s="16">
        <f t="shared" si="463"/>
        <v>64.60808893273439</v>
      </c>
      <c r="AD1011" s="20">
        <f>'PFAS Properties'!$W$46</f>
        <v>8</v>
      </c>
      <c r="AE1011" s="8">
        <f>'PFAS Properties'!$S$46</f>
        <v>2.0166155475571776</v>
      </c>
      <c r="AF1011" s="15">
        <f>'PFAS Properties'!$V$46</f>
        <v>5</v>
      </c>
      <c r="AG1011" s="24">
        <v>6.3</v>
      </c>
      <c r="AH1011" s="2" t="s">
        <v>85</v>
      </c>
      <c r="AI1011" s="2">
        <v>4.12</v>
      </c>
      <c r="AJ1011" s="15">
        <f t="shared" si="465"/>
        <v>73.775628973050402</v>
      </c>
      <c r="AK1011" s="8">
        <f t="shared" si="466"/>
        <v>0.41200000000000003</v>
      </c>
      <c r="AL1011" s="2">
        <v>2.57</v>
      </c>
      <c r="AM1011" s="15">
        <f t="shared" si="467"/>
        <v>95.255744996293544</v>
      </c>
      <c r="AN1011" s="8">
        <f t="shared" si="468"/>
        <v>0.25700000000000001</v>
      </c>
      <c r="AO1011" s="15" t="s">
        <v>86</v>
      </c>
      <c r="AP1011" s="15">
        <v>7.18</v>
      </c>
      <c r="AQ1011" s="15" t="s">
        <v>711</v>
      </c>
      <c r="AR1011" s="16">
        <v>40</v>
      </c>
      <c r="AS1011" s="16">
        <v>12</v>
      </c>
      <c r="AT1011" s="16">
        <v>48</v>
      </c>
      <c r="AU1011" s="15" t="s">
        <v>664</v>
      </c>
      <c r="AV1011" s="16">
        <f t="shared" si="462"/>
        <v>100</v>
      </c>
      <c r="AW1011" s="20">
        <v>1.5</v>
      </c>
      <c r="AX1011" s="8">
        <f t="shared" si="444"/>
        <v>1.4999999999999999E-2</v>
      </c>
      <c r="AY1011" s="8" t="s">
        <v>87</v>
      </c>
      <c r="AZ1011" s="16">
        <v>20</v>
      </c>
      <c r="BA1011" s="16" t="s">
        <v>55</v>
      </c>
      <c r="BB1011" s="16" t="s">
        <v>391</v>
      </c>
      <c r="BC1011" s="16" t="s">
        <v>55</v>
      </c>
      <c r="BD1011" s="20">
        <v>2.42</v>
      </c>
      <c r="BE1011" s="16">
        <f t="shared" si="464"/>
        <v>161.33333333333334</v>
      </c>
      <c r="BF1011" s="16">
        <f t="shared" si="457"/>
        <v>2.2077241069247502</v>
      </c>
      <c r="BG1011" s="8">
        <f t="shared" si="458"/>
        <v>0.38381536598043126</v>
      </c>
      <c r="BH1011" s="13" t="s">
        <v>859</v>
      </c>
      <c r="BI1011" s="13"/>
      <c r="BJ1011" s="13"/>
      <c r="BK1011" s="13"/>
      <c r="BL1011" s="13"/>
      <c r="BM1011" s="17"/>
      <c r="BN1011" s="17"/>
      <c r="BO1011" s="2"/>
    </row>
    <row r="1012" spans="1:67" s="14" customFormat="1" x14ac:dyDescent="0.3">
      <c r="A1012" s="20">
        <v>1033</v>
      </c>
      <c r="B1012" s="2" t="s">
        <v>219</v>
      </c>
      <c r="C1012" s="2">
        <v>2020</v>
      </c>
      <c r="D1012" s="2" t="s">
        <v>205</v>
      </c>
      <c r="E1012" s="10" t="s">
        <v>802</v>
      </c>
      <c r="F1012" s="20" t="s">
        <v>29</v>
      </c>
      <c r="G1012" s="2">
        <v>6</v>
      </c>
      <c r="H1012" s="2" t="str">
        <f>'PFAS Properties'!$B$46</f>
        <v>PFOS</v>
      </c>
      <c r="I1012" s="2" t="str">
        <f>'PFAS Properties'!$C$46</f>
        <v>PFSA</v>
      </c>
      <c r="J1012" s="2" t="str">
        <f>'PFAS Properties'!$D$46</f>
        <v>C8HF17O3S</v>
      </c>
      <c r="K1012" s="25">
        <f>'PFAS Properties'!$P$46</f>
        <v>499.93739999999997</v>
      </c>
      <c r="L1012" s="2">
        <f>'PFAS Properties'!$X$46</f>
        <v>0.1</v>
      </c>
      <c r="M1012" s="2" t="str">
        <f>'PFAS Properties'!$Y$46</f>
        <v>-</v>
      </c>
      <c r="N1012" s="33">
        <v>0</v>
      </c>
      <c r="O1012" s="33">
        <v>0</v>
      </c>
      <c r="P1012" s="33">
        <v>0</v>
      </c>
      <c r="Q1012" s="33">
        <f t="shared" si="450"/>
        <v>0.99999000009999905</v>
      </c>
      <c r="R1012" s="33">
        <v>0</v>
      </c>
      <c r="S1012" s="33">
        <f t="shared" si="451"/>
        <v>9.9999000009999908E-6</v>
      </c>
      <c r="T1012" s="8">
        <f t="shared" si="461"/>
        <v>1</v>
      </c>
      <c r="U1012" s="33">
        <f t="shared" si="452"/>
        <v>0</v>
      </c>
      <c r="V1012" s="33">
        <f t="shared" si="453"/>
        <v>-0.99999000009999905</v>
      </c>
      <c r="W1012" s="33">
        <f t="shared" si="454"/>
        <v>498.93740999989996</v>
      </c>
      <c r="X1012" s="33">
        <v>96485</v>
      </c>
      <c r="Y1012" s="16">
        <f t="shared" si="455"/>
        <v>-193.37903557816551</v>
      </c>
      <c r="Z1012" s="16">
        <v>8</v>
      </c>
      <c r="AA1012" s="16">
        <v>17</v>
      </c>
      <c r="AB1012" s="8">
        <f t="shared" si="456"/>
        <v>0.29721362229102166</v>
      </c>
      <c r="AC1012" s="16">
        <f t="shared" si="463"/>
        <v>64.60808893273439</v>
      </c>
      <c r="AD1012" s="20">
        <f>'PFAS Properties'!$W$46</f>
        <v>8</v>
      </c>
      <c r="AE1012" s="8">
        <f>'PFAS Properties'!$S$46</f>
        <v>2.0166155475571776</v>
      </c>
      <c r="AF1012" s="15">
        <f>'PFAS Properties'!$V$46</f>
        <v>5</v>
      </c>
      <c r="AG1012" s="24">
        <v>5.0999999999999996</v>
      </c>
      <c r="AH1012" s="2" t="s">
        <v>85</v>
      </c>
      <c r="AI1012" s="2">
        <v>2.35</v>
      </c>
      <c r="AJ1012" s="15">
        <f t="shared" si="465"/>
        <v>42.080759244337003</v>
      </c>
      <c r="AK1012" s="8">
        <f t="shared" si="466"/>
        <v>0.23500000000000001</v>
      </c>
      <c r="AL1012" s="2">
        <v>0.92900000000000005</v>
      </c>
      <c r="AM1012" s="15">
        <f t="shared" si="467"/>
        <v>34.43291326908821</v>
      </c>
      <c r="AN1012" s="8">
        <f t="shared" si="468"/>
        <v>9.290000000000001E-2</v>
      </c>
      <c r="AO1012" s="15" t="s">
        <v>86</v>
      </c>
      <c r="AP1012" s="15">
        <v>3.64</v>
      </c>
      <c r="AQ1012" s="15" t="s">
        <v>711</v>
      </c>
      <c r="AR1012" s="16">
        <v>48</v>
      </c>
      <c r="AS1012" s="16">
        <v>22</v>
      </c>
      <c r="AT1012" s="16">
        <v>30</v>
      </c>
      <c r="AU1012" s="15" t="s">
        <v>664</v>
      </c>
      <c r="AV1012" s="16">
        <f t="shared" si="462"/>
        <v>100</v>
      </c>
      <c r="AW1012" s="20">
        <v>0.9</v>
      </c>
      <c r="AX1012" s="8">
        <f t="shared" si="444"/>
        <v>9.0000000000000011E-3</v>
      </c>
      <c r="AY1012" s="8" t="s">
        <v>87</v>
      </c>
      <c r="AZ1012" s="16">
        <v>20</v>
      </c>
      <c r="BA1012" s="16" t="s">
        <v>55</v>
      </c>
      <c r="BB1012" s="16" t="s">
        <v>391</v>
      </c>
      <c r="BC1012" s="16" t="s">
        <v>55</v>
      </c>
      <c r="BD1012" s="20">
        <v>4.1900000000000004</v>
      </c>
      <c r="BE1012" s="16">
        <f t="shared" si="464"/>
        <v>465.55555555555554</v>
      </c>
      <c r="BF1012" s="16">
        <f t="shared" si="457"/>
        <v>2.6679715135269704</v>
      </c>
      <c r="BG1012" s="8">
        <f t="shared" si="458"/>
        <v>0.62221402296629535</v>
      </c>
      <c r="BH1012" s="13" t="s">
        <v>859</v>
      </c>
      <c r="BI1012" s="13"/>
      <c r="BJ1012" s="13"/>
      <c r="BK1012" s="13"/>
      <c r="BL1012" s="13"/>
      <c r="BM1012" s="17"/>
      <c r="BN1012" s="17"/>
      <c r="BO1012" s="2"/>
    </row>
    <row r="1013" spans="1:67" s="14" customFormat="1" x14ac:dyDescent="0.3">
      <c r="A1013" s="20">
        <v>1034</v>
      </c>
      <c r="B1013" s="2" t="s">
        <v>219</v>
      </c>
      <c r="C1013" s="2">
        <v>2020</v>
      </c>
      <c r="D1013" s="2" t="s">
        <v>205</v>
      </c>
      <c r="E1013" s="10" t="s">
        <v>802</v>
      </c>
      <c r="F1013" s="20" t="s">
        <v>29</v>
      </c>
      <c r="G1013" s="2">
        <v>7</v>
      </c>
      <c r="H1013" s="2" t="str">
        <f>'PFAS Properties'!$B$46</f>
        <v>PFOS</v>
      </c>
      <c r="I1013" s="2" t="str">
        <f>'PFAS Properties'!$C$46</f>
        <v>PFSA</v>
      </c>
      <c r="J1013" s="2" t="str">
        <f>'PFAS Properties'!$D$46</f>
        <v>C8HF17O3S</v>
      </c>
      <c r="K1013" s="25">
        <f>'PFAS Properties'!$P$46</f>
        <v>499.93739999999997</v>
      </c>
      <c r="L1013" s="2">
        <f>'PFAS Properties'!$X$46</f>
        <v>0.1</v>
      </c>
      <c r="M1013" s="2" t="str">
        <f>'PFAS Properties'!$Y$46</f>
        <v>-</v>
      </c>
      <c r="N1013" s="33">
        <v>0</v>
      </c>
      <c r="O1013" s="33">
        <v>0</v>
      </c>
      <c r="P1013" s="33">
        <v>0</v>
      </c>
      <c r="Q1013" s="33">
        <f t="shared" si="450"/>
        <v>0.99999949881301753</v>
      </c>
      <c r="R1013" s="33">
        <v>0</v>
      </c>
      <c r="S1013" s="33">
        <f t="shared" si="451"/>
        <v>5.0118698243875318E-7</v>
      </c>
      <c r="T1013" s="8">
        <f t="shared" si="461"/>
        <v>1</v>
      </c>
      <c r="U1013" s="33">
        <f t="shared" si="452"/>
        <v>0</v>
      </c>
      <c r="V1013" s="33">
        <f t="shared" si="453"/>
        <v>-0.99999949881301753</v>
      </c>
      <c r="W1013" s="33">
        <f t="shared" si="454"/>
        <v>498.93740050118691</v>
      </c>
      <c r="X1013" s="33">
        <v>96485</v>
      </c>
      <c r="Y1013" s="16">
        <f t="shared" si="455"/>
        <v>-193.38087613005968</v>
      </c>
      <c r="Z1013" s="16">
        <v>8</v>
      </c>
      <c r="AA1013" s="16">
        <v>17</v>
      </c>
      <c r="AB1013" s="8">
        <f t="shared" si="456"/>
        <v>0.29721362229102166</v>
      </c>
      <c r="AC1013" s="16">
        <f t="shared" si="463"/>
        <v>64.60808893273439</v>
      </c>
      <c r="AD1013" s="20">
        <f>'PFAS Properties'!$W$46</f>
        <v>8</v>
      </c>
      <c r="AE1013" s="8">
        <f>'PFAS Properties'!$S$46</f>
        <v>2.0166155475571776</v>
      </c>
      <c r="AF1013" s="15">
        <f>'PFAS Properties'!$V$46</f>
        <v>5</v>
      </c>
      <c r="AG1013" s="24">
        <v>6.4</v>
      </c>
      <c r="AH1013" s="2" t="s">
        <v>85</v>
      </c>
      <c r="AI1013" s="2">
        <v>2.2599999999999998</v>
      </c>
      <c r="AJ1013" s="15">
        <f t="shared" si="465"/>
        <v>40.469155698809203</v>
      </c>
      <c r="AK1013" s="8">
        <f t="shared" si="466"/>
        <v>0.22599999999999998</v>
      </c>
      <c r="AL1013" s="2">
        <v>2.06</v>
      </c>
      <c r="AM1013" s="15">
        <f t="shared" si="467"/>
        <v>76.352853965900664</v>
      </c>
      <c r="AN1013" s="8">
        <f t="shared" si="468"/>
        <v>0.20600000000000002</v>
      </c>
      <c r="AO1013" s="15" t="s">
        <v>86</v>
      </c>
      <c r="AP1013" s="15">
        <v>5.83</v>
      </c>
      <c r="AQ1013" s="15" t="s">
        <v>711</v>
      </c>
      <c r="AR1013" s="16">
        <v>66</v>
      </c>
      <c r="AS1013" s="16">
        <v>11</v>
      </c>
      <c r="AT1013" s="16">
        <v>22</v>
      </c>
      <c r="AU1013" s="15" t="s">
        <v>664</v>
      </c>
      <c r="AV1013" s="16">
        <f t="shared" si="462"/>
        <v>99</v>
      </c>
      <c r="AW1013" s="20">
        <v>0.9</v>
      </c>
      <c r="AX1013" s="8">
        <f t="shared" ref="AX1013:AX1036" si="469">AW1013/100</f>
        <v>9.0000000000000011E-3</v>
      </c>
      <c r="AY1013" s="8" t="s">
        <v>87</v>
      </c>
      <c r="AZ1013" s="16">
        <v>20</v>
      </c>
      <c r="BA1013" s="16" t="s">
        <v>55</v>
      </c>
      <c r="BB1013" s="16" t="s">
        <v>391</v>
      </c>
      <c r="BC1013" s="16" t="s">
        <v>55</v>
      </c>
      <c r="BD1013" s="20">
        <v>2.33</v>
      </c>
      <c r="BE1013" s="16">
        <f t="shared" si="464"/>
        <v>258.88888888888886</v>
      </c>
      <c r="BF1013" s="16">
        <f t="shared" si="457"/>
        <v>2.4131134115866941</v>
      </c>
      <c r="BG1013" s="8">
        <f t="shared" si="458"/>
        <v>0.36735592102601899</v>
      </c>
      <c r="BH1013" s="13" t="s">
        <v>859</v>
      </c>
      <c r="BI1013" s="13"/>
      <c r="BJ1013" s="13"/>
      <c r="BK1013" s="13"/>
      <c r="BL1013" s="13"/>
      <c r="BM1013" s="17"/>
      <c r="BN1013" s="17"/>
      <c r="BO1013" s="2"/>
    </row>
    <row r="1014" spans="1:67" s="14" customFormat="1" x14ac:dyDescent="0.3">
      <c r="A1014" s="20">
        <v>1035</v>
      </c>
      <c r="B1014" s="2" t="s">
        <v>219</v>
      </c>
      <c r="C1014" s="2">
        <v>2020</v>
      </c>
      <c r="D1014" s="2" t="s">
        <v>205</v>
      </c>
      <c r="E1014" s="10" t="s">
        <v>802</v>
      </c>
      <c r="F1014" s="20" t="s">
        <v>29</v>
      </c>
      <c r="G1014" s="2">
        <v>8</v>
      </c>
      <c r="H1014" s="2" t="str">
        <f>'PFAS Properties'!$B$46</f>
        <v>PFOS</v>
      </c>
      <c r="I1014" s="2" t="str">
        <f>'PFAS Properties'!$C$46</f>
        <v>PFSA</v>
      </c>
      <c r="J1014" s="2" t="str">
        <f>'PFAS Properties'!$D$46</f>
        <v>C8HF17O3S</v>
      </c>
      <c r="K1014" s="25">
        <f>'PFAS Properties'!$P$46</f>
        <v>499.93739999999997</v>
      </c>
      <c r="L1014" s="2">
        <f>'PFAS Properties'!$X$46</f>
        <v>0.1</v>
      </c>
      <c r="M1014" s="2" t="str">
        <f>'PFAS Properties'!$Y$46</f>
        <v>-</v>
      </c>
      <c r="N1014" s="33">
        <v>0</v>
      </c>
      <c r="O1014" s="33">
        <v>0</v>
      </c>
      <c r="P1014" s="33">
        <v>0</v>
      </c>
      <c r="Q1014" s="33">
        <f t="shared" si="450"/>
        <v>0.99999980047380832</v>
      </c>
      <c r="R1014" s="33">
        <v>0</v>
      </c>
      <c r="S1014" s="33">
        <f t="shared" si="451"/>
        <v>1.9952619168617852E-7</v>
      </c>
      <c r="T1014" s="8">
        <f t="shared" si="461"/>
        <v>1</v>
      </c>
      <c r="U1014" s="33">
        <f t="shared" si="452"/>
        <v>0</v>
      </c>
      <c r="V1014" s="33">
        <f t="shared" si="453"/>
        <v>-0.99999980047380832</v>
      </c>
      <c r="W1014" s="33">
        <f t="shared" si="454"/>
        <v>498.93740019952617</v>
      </c>
      <c r="X1014" s="33">
        <v>96485</v>
      </c>
      <c r="Y1014" s="16">
        <f t="shared" si="455"/>
        <v>-193.38093458243628</v>
      </c>
      <c r="Z1014" s="16">
        <v>8</v>
      </c>
      <c r="AA1014" s="16">
        <v>17</v>
      </c>
      <c r="AB1014" s="8">
        <f t="shared" si="456"/>
        <v>0.29721362229102166</v>
      </c>
      <c r="AC1014" s="16">
        <f t="shared" si="463"/>
        <v>64.60808893273439</v>
      </c>
      <c r="AD1014" s="20">
        <f>'PFAS Properties'!$W$46</f>
        <v>8</v>
      </c>
      <c r="AE1014" s="8">
        <f>'PFAS Properties'!$S$46</f>
        <v>2.0166155475571776</v>
      </c>
      <c r="AF1014" s="15">
        <f>'PFAS Properties'!$V$46</f>
        <v>5</v>
      </c>
      <c r="AG1014" s="24">
        <v>6.8</v>
      </c>
      <c r="AH1014" s="2" t="s">
        <v>85</v>
      </c>
      <c r="AI1014" s="2">
        <v>4.41</v>
      </c>
      <c r="AJ1014" s="15">
        <f t="shared" si="465"/>
        <v>78.968573730862204</v>
      </c>
      <c r="AK1014" s="8">
        <f t="shared" si="466"/>
        <v>0.441</v>
      </c>
      <c r="AL1014" s="2">
        <v>1.85</v>
      </c>
      <c r="AM1014" s="15">
        <f t="shared" si="467"/>
        <v>68.56931060044478</v>
      </c>
      <c r="AN1014" s="8">
        <f t="shared" si="468"/>
        <v>0.185</v>
      </c>
      <c r="AO1014" s="15" t="s">
        <v>86</v>
      </c>
      <c r="AP1014" s="15">
        <v>10.86</v>
      </c>
      <c r="AQ1014" s="15" t="s">
        <v>711</v>
      </c>
      <c r="AR1014" s="16">
        <v>54</v>
      </c>
      <c r="AS1014" s="16">
        <v>21</v>
      </c>
      <c r="AT1014" s="16">
        <v>25</v>
      </c>
      <c r="AU1014" s="15" t="s">
        <v>664</v>
      </c>
      <c r="AV1014" s="16">
        <f t="shared" si="462"/>
        <v>100</v>
      </c>
      <c r="AW1014" s="20">
        <v>1.1000000000000001</v>
      </c>
      <c r="AX1014" s="8">
        <f t="shared" si="469"/>
        <v>1.1000000000000001E-2</v>
      </c>
      <c r="AY1014" s="8" t="s">
        <v>87</v>
      </c>
      <c r="AZ1014" s="16">
        <v>20</v>
      </c>
      <c r="BA1014" s="16" t="s">
        <v>55</v>
      </c>
      <c r="BB1014" s="16" t="s">
        <v>391</v>
      </c>
      <c r="BC1014" s="16" t="s">
        <v>55</v>
      </c>
      <c r="BD1014" s="20">
        <v>5.0999999999999996</v>
      </c>
      <c r="BE1014" s="16">
        <f t="shared" si="464"/>
        <v>463.63636363636357</v>
      </c>
      <c r="BF1014" s="16">
        <f t="shared" si="457"/>
        <v>2.6661774909397113</v>
      </c>
      <c r="BG1014" s="8">
        <f t="shared" si="458"/>
        <v>0.70757017609793638</v>
      </c>
      <c r="BH1014" s="13" t="s">
        <v>859</v>
      </c>
      <c r="BI1014" s="13"/>
      <c r="BJ1014" s="13"/>
      <c r="BK1014" s="13"/>
      <c r="BL1014" s="13"/>
      <c r="BM1014" s="17"/>
      <c r="BN1014" s="17"/>
      <c r="BO1014" s="2"/>
    </row>
    <row r="1015" spans="1:67" s="14" customFormat="1" x14ac:dyDescent="0.3">
      <c r="A1015" s="20">
        <v>1036</v>
      </c>
      <c r="B1015" s="2" t="s">
        <v>219</v>
      </c>
      <c r="C1015" s="2">
        <v>2020</v>
      </c>
      <c r="D1015" s="2" t="s">
        <v>205</v>
      </c>
      <c r="E1015" s="10" t="s">
        <v>802</v>
      </c>
      <c r="F1015" s="20" t="s">
        <v>29</v>
      </c>
      <c r="G1015" s="2">
        <v>9</v>
      </c>
      <c r="H1015" s="2" t="str">
        <f>'PFAS Properties'!$B$46</f>
        <v>PFOS</v>
      </c>
      <c r="I1015" s="2" t="str">
        <f>'PFAS Properties'!$C$46</f>
        <v>PFSA</v>
      </c>
      <c r="J1015" s="2" t="str">
        <f>'PFAS Properties'!$D$46</f>
        <v>C8HF17O3S</v>
      </c>
      <c r="K1015" s="25">
        <f>'PFAS Properties'!$P$46</f>
        <v>499.93739999999997</v>
      </c>
      <c r="L1015" s="2">
        <f>'PFAS Properties'!$X$46</f>
        <v>0.1</v>
      </c>
      <c r="M1015" s="2" t="str">
        <f>'PFAS Properties'!$Y$46</f>
        <v>-</v>
      </c>
      <c r="N1015" s="33">
        <v>0</v>
      </c>
      <c r="O1015" s="33">
        <v>0</v>
      </c>
      <c r="P1015" s="33">
        <v>0</v>
      </c>
      <c r="Q1015" s="33">
        <f t="shared" si="450"/>
        <v>0.99999990000001004</v>
      </c>
      <c r="R1015" s="33">
        <v>0</v>
      </c>
      <c r="S1015" s="33">
        <f t="shared" si="451"/>
        <v>9.9999990000001005E-8</v>
      </c>
      <c r="T1015" s="8">
        <f t="shared" si="461"/>
        <v>1</v>
      </c>
      <c r="U1015" s="33">
        <f t="shared" si="452"/>
        <v>0</v>
      </c>
      <c r="V1015" s="33">
        <f t="shared" si="453"/>
        <v>-0.99999990000001004</v>
      </c>
      <c r="W1015" s="33">
        <f t="shared" si="454"/>
        <v>498.93740009999999</v>
      </c>
      <c r="X1015" s="33">
        <v>96485</v>
      </c>
      <c r="Y1015" s="16">
        <f t="shared" si="455"/>
        <v>-193.38095386748492</v>
      </c>
      <c r="Z1015" s="16">
        <v>8</v>
      </c>
      <c r="AA1015" s="16">
        <v>17</v>
      </c>
      <c r="AB1015" s="8">
        <f t="shared" si="456"/>
        <v>0.29721362229102166</v>
      </c>
      <c r="AC1015" s="16">
        <f t="shared" si="463"/>
        <v>64.60808893273439</v>
      </c>
      <c r="AD1015" s="20">
        <f>'PFAS Properties'!$W$46</f>
        <v>8</v>
      </c>
      <c r="AE1015" s="8">
        <f>'PFAS Properties'!$S$46</f>
        <v>2.0166155475571776</v>
      </c>
      <c r="AF1015" s="15">
        <f>'PFAS Properties'!$V$46</f>
        <v>5</v>
      </c>
      <c r="AG1015" s="24">
        <v>7.1</v>
      </c>
      <c r="AH1015" s="2" t="s">
        <v>85</v>
      </c>
      <c r="AI1015" s="2">
        <v>33.700000000000003</v>
      </c>
      <c r="AJ1015" s="15">
        <f t="shared" si="465"/>
        <v>603.45599426985405</v>
      </c>
      <c r="AK1015" s="8">
        <f t="shared" si="466"/>
        <v>3.37</v>
      </c>
      <c r="AL1015" s="2">
        <v>1.47</v>
      </c>
      <c r="AM1015" s="15">
        <f t="shared" si="467"/>
        <v>54.484803558191253</v>
      </c>
      <c r="AN1015" s="8">
        <f t="shared" si="468"/>
        <v>0.14699999999999999</v>
      </c>
      <c r="AO1015" s="15" t="s">
        <v>86</v>
      </c>
      <c r="AP1015" s="15">
        <v>15.69</v>
      </c>
      <c r="AQ1015" s="15" t="s">
        <v>711</v>
      </c>
      <c r="AR1015" s="16">
        <v>60</v>
      </c>
      <c r="AS1015" s="16">
        <v>16</v>
      </c>
      <c r="AT1015" s="16">
        <v>24</v>
      </c>
      <c r="AU1015" s="15" t="s">
        <v>664</v>
      </c>
      <c r="AV1015" s="16">
        <f t="shared" si="462"/>
        <v>100</v>
      </c>
      <c r="AW1015" s="20">
        <v>1.6</v>
      </c>
      <c r="AX1015" s="8">
        <f t="shared" si="469"/>
        <v>1.6E-2</v>
      </c>
      <c r="AY1015" s="8" t="s">
        <v>87</v>
      </c>
      <c r="AZ1015" s="16">
        <v>20</v>
      </c>
      <c r="BA1015" s="16" t="s">
        <v>55</v>
      </c>
      <c r="BB1015" s="16" t="s">
        <v>391</v>
      </c>
      <c r="BC1015" s="16" t="s">
        <v>55</v>
      </c>
      <c r="BD1015" s="20">
        <v>4.7300000000000004</v>
      </c>
      <c r="BE1015" s="16">
        <f t="shared" si="464"/>
        <v>295.625</v>
      </c>
      <c r="BF1015" s="16">
        <f t="shared" si="457"/>
        <v>2.470741158081887</v>
      </c>
      <c r="BG1015" s="8">
        <f t="shared" si="458"/>
        <v>0.67486114073781156</v>
      </c>
      <c r="BH1015" s="13" t="s">
        <v>859</v>
      </c>
      <c r="BI1015" s="13"/>
      <c r="BJ1015" s="13"/>
      <c r="BK1015" s="13"/>
      <c r="BL1015" s="13"/>
      <c r="BM1015" s="17"/>
      <c r="BN1015" s="17"/>
      <c r="BO1015" s="2"/>
    </row>
    <row r="1016" spans="1:67" s="14" customFormat="1" x14ac:dyDescent="0.3">
      <c r="A1016" s="20">
        <v>1037</v>
      </c>
      <c r="B1016" s="2" t="s">
        <v>219</v>
      </c>
      <c r="C1016" s="2">
        <v>2020</v>
      </c>
      <c r="D1016" s="2" t="s">
        <v>205</v>
      </c>
      <c r="E1016" s="10" t="s">
        <v>802</v>
      </c>
      <c r="F1016" s="20" t="s">
        <v>29</v>
      </c>
      <c r="G1016" s="2">
        <v>10</v>
      </c>
      <c r="H1016" s="2" t="str">
        <f>'PFAS Properties'!$B$46</f>
        <v>PFOS</v>
      </c>
      <c r="I1016" s="2" t="str">
        <f>'PFAS Properties'!$C$46</f>
        <v>PFSA</v>
      </c>
      <c r="J1016" s="2" t="str">
        <f>'PFAS Properties'!$D$46</f>
        <v>C8HF17O3S</v>
      </c>
      <c r="K1016" s="25">
        <f>'PFAS Properties'!$P$46</f>
        <v>499.93739999999997</v>
      </c>
      <c r="L1016" s="2">
        <f>'PFAS Properties'!$X$46</f>
        <v>0.1</v>
      </c>
      <c r="M1016" s="2" t="str">
        <f>'PFAS Properties'!$Y$46</f>
        <v>-</v>
      </c>
      <c r="N1016" s="33">
        <v>0</v>
      </c>
      <c r="O1016" s="33">
        <v>0</v>
      </c>
      <c r="P1016" s="33">
        <v>0</v>
      </c>
      <c r="Q1016" s="33">
        <f t="shared" si="450"/>
        <v>0.99999683773233983</v>
      </c>
      <c r="R1016" s="33">
        <v>0</v>
      </c>
      <c r="S1016" s="33">
        <f t="shared" si="451"/>
        <v>3.1622676601999995E-6</v>
      </c>
      <c r="T1016" s="8">
        <f t="shared" si="461"/>
        <v>1</v>
      </c>
      <c r="U1016" s="33">
        <f t="shared" si="452"/>
        <v>0</v>
      </c>
      <c r="V1016" s="33">
        <f t="shared" si="453"/>
        <v>-0.99999683773233983</v>
      </c>
      <c r="W1016" s="33">
        <f t="shared" si="454"/>
        <v>498.93740316226763</v>
      </c>
      <c r="X1016" s="33">
        <v>96485</v>
      </c>
      <c r="Y1016" s="16">
        <f t="shared" si="455"/>
        <v>-193.38036049629545</v>
      </c>
      <c r="Z1016" s="16">
        <v>8</v>
      </c>
      <c r="AA1016" s="16">
        <v>17</v>
      </c>
      <c r="AB1016" s="8">
        <f t="shared" si="456"/>
        <v>0.29721362229102166</v>
      </c>
      <c r="AC1016" s="16">
        <f t="shared" si="463"/>
        <v>64.60808893273439</v>
      </c>
      <c r="AD1016" s="20">
        <f>'PFAS Properties'!$W$46</f>
        <v>8</v>
      </c>
      <c r="AE1016" s="8">
        <f>'PFAS Properties'!$S$46</f>
        <v>2.0166155475571776</v>
      </c>
      <c r="AF1016" s="15">
        <f>'PFAS Properties'!$V$46</f>
        <v>5</v>
      </c>
      <c r="AG1016" s="24">
        <v>5.6</v>
      </c>
      <c r="AH1016" s="2" t="s">
        <v>85</v>
      </c>
      <c r="AI1016" s="2">
        <v>8.5</v>
      </c>
      <c r="AJ1016" s="15">
        <f t="shared" si="465"/>
        <v>152.20700152207002</v>
      </c>
      <c r="AK1016" s="8">
        <f t="shared" si="466"/>
        <v>0.85</v>
      </c>
      <c r="AL1016" s="2">
        <v>37.299999999999997</v>
      </c>
      <c r="AM1016" s="15">
        <f t="shared" si="467"/>
        <v>1382.5055596738325</v>
      </c>
      <c r="AN1016" s="8">
        <f t="shared" si="468"/>
        <v>3.7299999999999995</v>
      </c>
      <c r="AO1016" s="15" t="s">
        <v>86</v>
      </c>
      <c r="AP1016" s="15">
        <v>15.2</v>
      </c>
      <c r="AQ1016" s="15" t="s">
        <v>711</v>
      </c>
      <c r="AR1016" s="16">
        <v>44</v>
      </c>
      <c r="AS1016" s="16">
        <v>0</v>
      </c>
      <c r="AT1016" s="16">
        <v>56</v>
      </c>
      <c r="AU1016" s="15" t="s">
        <v>664</v>
      </c>
      <c r="AV1016" s="16">
        <f t="shared" si="462"/>
        <v>100</v>
      </c>
      <c r="AW1016" s="20">
        <v>1.6</v>
      </c>
      <c r="AX1016" s="8">
        <f t="shared" si="469"/>
        <v>1.6E-2</v>
      </c>
      <c r="AY1016" s="8" t="s">
        <v>87</v>
      </c>
      <c r="AZ1016" s="16">
        <v>20</v>
      </c>
      <c r="BA1016" s="16" t="s">
        <v>55</v>
      </c>
      <c r="BB1016" s="16" t="s">
        <v>391</v>
      </c>
      <c r="BC1016" s="16" t="s">
        <v>55</v>
      </c>
      <c r="BD1016" s="20">
        <v>6.11</v>
      </c>
      <c r="BE1016" s="16">
        <f t="shared" si="464"/>
        <v>381.875</v>
      </c>
      <c r="BF1016" s="16">
        <f t="shared" si="457"/>
        <v>2.5819212275866295</v>
      </c>
      <c r="BG1016" s="8">
        <f t="shared" si="458"/>
        <v>0.78604121024255424</v>
      </c>
      <c r="BH1016" s="13" t="s">
        <v>859</v>
      </c>
      <c r="BI1016" s="13"/>
      <c r="BJ1016" s="13"/>
      <c r="BK1016" s="13"/>
      <c r="BL1016" s="13"/>
      <c r="BM1016" s="17"/>
      <c r="BN1016" s="17"/>
      <c r="BO1016" s="2"/>
    </row>
    <row r="1017" spans="1:67" s="14" customFormat="1" x14ac:dyDescent="0.3">
      <c r="A1017" s="20">
        <v>1038</v>
      </c>
      <c r="B1017" s="2" t="s">
        <v>219</v>
      </c>
      <c r="C1017" s="2">
        <v>2020</v>
      </c>
      <c r="D1017" s="2" t="s">
        <v>205</v>
      </c>
      <c r="E1017" s="10" t="s">
        <v>802</v>
      </c>
      <c r="F1017" s="20" t="s">
        <v>29</v>
      </c>
      <c r="G1017" s="2">
        <v>11</v>
      </c>
      <c r="H1017" s="2" t="str">
        <f>'PFAS Properties'!$B$46</f>
        <v>PFOS</v>
      </c>
      <c r="I1017" s="2" t="str">
        <f>'PFAS Properties'!$C$46</f>
        <v>PFSA</v>
      </c>
      <c r="J1017" s="2" t="str">
        <f>'PFAS Properties'!$D$46</f>
        <v>C8HF17O3S</v>
      </c>
      <c r="K1017" s="25">
        <f>'PFAS Properties'!$P$46</f>
        <v>499.93739999999997</v>
      </c>
      <c r="L1017" s="2">
        <f>'PFAS Properties'!$X$46</f>
        <v>0.1</v>
      </c>
      <c r="M1017" s="2" t="str">
        <f>'PFAS Properties'!$Y$46</f>
        <v>-</v>
      </c>
      <c r="N1017" s="33">
        <v>0</v>
      </c>
      <c r="O1017" s="33">
        <v>0</v>
      </c>
      <c r="P1017" s="33">
        <v>0</v>
      </c>
      <c r="Q1017" s="33">
        <f t="shared" ref="Q1017:Q1062" si="470">(10^(AG1017-L1017))/(1+(10^(AG1017-L1017)))</f>
        <v>0.99999498815278243</v>
      </c>
      <c r="R1017" s="33">
        <v>0</v>
      </c>
      <c r="S1017" s="33">
        <f t="shared" ref="S1017:S1062" si="471">(1/(1+(10^(AG1017-L1017))))</f>
        <v>5.011847217534286E-6</v>
      </c>
      <c r="T1017" s="8">
        <f t="shared" si="461"/>
        <v>1</v>
      </c>
      <c r="U1017" s="33">
        <f t="shared" si="452"/>
        <v>0</v>
      </c>
      <c r="V1017" s="33">
        <f t="shared" si="453"/>
        <v>-0.99999498815278243</v>
      </c>
      <c r="W1017" s="33">
        <f t="shared" si="454"/>
        <v>498.93740501184715</v>
      </c>
      <c r="X1017" s="33">
        <v>96485</v>
      </c>
      <c r="Y1017" s="16">
        <f t="shared" si="455"/>
        <v>-193.38000210593594</v>
      </c>
      <c r="Z1017" s="16">
        <v>8</v>
      </c>
      <c r="AA1017" s="16">
        <v>17</v>
      </c>
      <c r="AB1017" s="8">
        <f t="shared" si="456"/>
        <v>0.29721362229102166</v>
      </c>
      <c r="AC1017" s="16">
        <f t="shared" si="463"/>
        <v>64.60808893273439</v>
      </c>
      <c r="AD1017" s="20">
        <f>'PFAS Properties'!$W$46</f>
        <v>8</v>
      </c>
      <c r="AE1017" s="8">
        <f>'PFAS Properties'!$S$46</f>
        <v>2.0166155475571776</v>
      </c>
      <c r="AF1017" s="15">
        <f>'PFAS Properties'!$V$46</f>
        <v>5</v>
      </c>
      <c r="AG1017" s="24">
        <v>5.4</v>
      </c>
      <c r="AH1017" s="2" t="s">
        <v>85</v>
      </c>
      <c r="AI1017" s="2">
        <v>2.72</v>
      </c>
      <c r="AJ1017" s="15">
        <f t="shared" si="465"/>
        <v>48.706240487062409</v>
      </c>
      <c r="AK1017" s="8">
        <f t="shared" si="466"/>
        <v>0.27200000000000002</v>
      </c>
      <c r="AL1017" s="2">
        <v>2.65</v>
      </c>
      <c r="AM1017" s="15">
        <f t="shared" si="467"/>
        <v>98.220904373610082</v>
      </c>
      <c r="AN1017" s="8">
        <f t="shared" si="468"/>
        <v>0.26500000000000001</v>
      </c>
      <c r="AO1017" s="15" t="s">
        <v>86</v>
      </c>
      <c r="AP1017" s="15">
        <v>7.61</v>
      </c>
      <c r="AQ1017" s="15" t="s">
        <v>711</v>
      </c>
      <c r="AR1017" s="16">
        <v>34</v>
      </c>
      <c r="AS1017" s="16">
        <v>22</v>
      </c>
      <c r="AT1017" s="16">
        <v>44</v>
      </c>
      <c r="AU1017" s="15" t="s">
        <v>664</v>
      </c>
      <c r="AV1017" s="16">
        <f t="shared" si="462"/>
        <v>100</v>
      </c>
      <c r="AW1017" s="20">
        <v>1.7</v>
      </c>
      <c r="AX1017" s="8">
        <f t="shared" si="469"/>
        <v>1.7000000000000001E-2</v>
      </c>
      <c r="AY1017" s="8" t="s">
        <v>87</v>
      </c>
      <c r="AZ1017" s="16">
        <v>20</v>
      </c>
      <c r="BA1017" s="16" t="s">
        <v>55</v>
      </c>
      <c r="BB1017" s="16" t="s">
        <v>391</v>
      </c>
      <c r="BC1017" s="16" t="s">
        <v>55</v>
      </c>
      <c r="BD1017" s="20">
        <v>3.7</v>
      </c>
      <c r="BE1017" s="16">
        <f t="shared" si="464"/>
        <v>217.64705882352942</v>
      </c>
      <c r="BF1017" s="16">
        <f t="shared" si="457"/>
        <v>2.3377528026887209</v>
      </c>
      <c r="BG1017" s="8">
        <f t="shared" si="458"/>
        <v>0.56820172406699498</v>
      </c>
      <c r="BH1017" s="13" t="s">
        <v>859</v>
      </c>
      <c r="BI1017" s="13"/>
      <c r="BJ1017" s="13"/>
      <c r="BK1017" s="13"/>
      <c r="BL1017" s="13"/>
      <c r="BM1017" s="17"/>
      <c r="BN1017" s="17"/>
      <c r="BO1017" s="2"/>
    </row>
    <row r="1018" spans="1:67" s="14" customFormat="1" x14ac:dyDescent="0.3">
      <c r="A1018" s="20">
        <v>1039</v>
      </c>
      <c r="B1018" s="2" t="s">
        <v>219</v>
      </c>
      <c r="C1018" s="2">
        <v>2020</v>
      </c>
      <c r="D1018" s="2" t="s">
        <v>205</v>
      </c>
      <c r="E1018" s="10" t="s">
        <v>802</v>
      </c>
      <c r="F1018" s="20" t="s">
        <v>29</v>
      </c>
      <c r="G1018" s="2">
        <v>12</v>
      </c>
      <c r="H1018" s="2" t="str">
        <f>'PFAS Properties'!$B$46</f>
        <v>PFOS</v>
      </c>
      <c r="I1018" s="2" t="str">
        <f>'PFAS Properties'!$C$46</f>
        <v>PFSA</v>
      </c>
      <c r="J1018" s="2" t="str">
        <f>'PFAS Properties'!$D$46</f>
        <v>C8HF17O3S</v>
      </c>
      <c r="K1018" s="25">
        <f>'PFAS Properties'!$P$46</f>
        <v>499.93739999999997</v>
      </c>
      <c r="L1018" s="2">
        <f>'PFAS Properties'!$X$46</f>
        <v>0.1</v>
      </c>
      <c r="M1018" s="2" t="str">
        <f>'PFAS Properties'!$Y$46</f>
        <v>-</v>
      </c>
      <c r="N1018" s="33">
        <v>0</v>
      </c>
      <c r="O1018" s="33">
        <v>0</v>
      </c>
      <c r="P1018" s="33">
        <v>0</v>
      </c>
      <c r="Q1018" s="33">
        <f t="shared" si="470"/>
        <v>0.99999974881141995</v>
      </c>
      <c r="R1018" s="33">
        <v>0</v>
      </c>
      <c r="S1018" s="33">
        <f t="shared" si="471"/>
        <v>2.5118858005523878E-7</v>
      </c>
      <c r="T1018" s="8">
        <f t="shared" si="461"/>
        <v>1</v>
      </c>
      <c r="U1018" s="33">
        <f t="shared" si="452"/>
        <v>0</v>
      </c>
      <c r="V1018" s="33">
        <f t="shared" si="453"/>
        <v>-0.99999974881141995</v>
      </c>
      <c r="W1018" s="33">
        <f t="shared" si="454"/>
        <v>498.93740025118859</v>
      </c>
      <c r="X1018" s="33">
        <v>96485</v>
      </c>
      <c r="Y1018" s="16">
        <f t="shared" si="455"/>
        <v>-193.38092457188972</v>
      </c>
      <c r="Z1018" s="16">
        <v>8</v>
      </c>
      <c r="AA1018" s="16">
        <v>17</v>
      </c>
      <c r="AB1018" s="8">
        <f t="shared" si="456"/>
        <v>0.29721362229102166</v>
      </c>
      <c r="AC1018" s="16">
        <f t="shared" si="463"/>
        <v>64.60808893273439</v>
      </c>
      <c r="AD1018" s="20">
        <f>'PFAS Properties'!$W$46</f>
        <v>8</v>
      </c>
      <c r="AE1018" s="8">
        <f>'PFAS Properties'!$S$46</f>
        <v>2.0166155475571776</v>
      </c>
      <c r="AF1018" s="15">
        <f>'PFAS Properties'!$V$46</f>
        <v>5</v>
      </c>
      <c r="AG1018" s="24">
        <v>6.7</v>
      </c>
      <c r="AH1018" s="2" t="s">
        <v>85</v>
      </c>
      <c r="AI1018" s="2">
        <v>3.45</v>
      </c>
      <c r="AJ1018" s="15">
        <f t="shared" si="465"/>
        <v>61.778135911899007</v>
      </c>
      <c r="AK1018" s="8">
        <f t="shared" si="466"/>
        <v>0.34500000000000003</v>
      </c>
      <c r="AL1018" s="2">
        <v>2.15</v>
      </c>
      <c r="AM1018" s="15">
        <f t="shared" si="467"/>
        <v>79.688658265381761</v>
      </c>
      <c r="AN1018" s="8">
        <f t="shared" si="468"/>
        <v>0.215</v>
      </c>
      <c r="AO1018" s="15" t="s">
        <v>86</v>
      </c>
      <c r="AP1018" s="15">
        <v>12.76</v>
      </c>
      <c r="AQ1018" s="15" t="s">
        <v>711</v>
      </c>
      <c r="AR1018" s="16">
        <v>54</v>
      </c>
      <c r="AS1018" s="16">
        <v>19</v>
      </c>
      <c r="AT1018" s="16">
        <v>28</v>
      </c>
      <c r="AU1018" s="15" t="s">
        <v>664</v>
      </c>
      <c r="AV1018" s="16">
        <f t="shared" si="462"/>
        <v>101</v>
      </c>
      <c r="AW1018" s="20">
        <v>1.3</v>
      </c>
      <c r="AX1018" s="8">
        <f t="shared" si="469"/>
        <v>1.3000000000000001E-2</v>
      </c>
      <c r="AY1018" s="8" t="s">
        <v>87</v>
      </c>
      <c r="AZ1018" s="16">
        <v>20</v>
      </c>
      <c r="BA1018" s="16" t="s">
        <v>55</v>
      </c>
      <c r="BB1018" s="16" t="s">
        <v>391</v>
      </c>
      <c r="BC1018" s="16" t="s">
        <v>55</v>
      </c>
      <c r="BD1018" s="20">
        <v>4.0999999999999996</v>
      </c>
      <c r="BE1018" s="16">
        <f t="shared" si="464"/>
        <v>315.3846153846153</v>
      </c>
      <c r="BF1018" s="16">
        <f t="shared" si="457"/>
        <v>2.4988405044128985</v>
      </c>
      <c r="BG1018" s="8">
        <f t="shared" si="458"/>
        <v>0.61278385671973545</v>
      </c>
      <c r="BH1018" s="13" t="s">
        <v>859</v>
      </c>
      <c r="BI1018" s="13"/>
      <c r="BJ1018" s="13"/>
      <c r="BK1018" s="13"/>
      <c r="BL1018" s="13"/>
      <c r="BM1018" s="17"/>
      <c r="BN1018" s="17"/>
      <c r="BO1018" s="2"/>
    </row>
    <row r="1019" spans="1:67" s="14" customFormat="1" x14ac:dyDescent="0.3">
      <c r="A1019" s="20">
        <v>1040</v>
      </c>
      <c r="B1019" s="2" t="s">
        <v>219</v>
      </c>
      <c r="C1019" s="2">
        <v>2020</v>
      </c>
      <c r="D1019" s="2" t="s">
        <v>205</v>
      </c>
      <c r="E1019" s="10" t="s">
        <v>802</v>
      </c>
      <c r="F1019" s="20" t="s">
        <v>29</v>
      </c>
      <c r="G1019" s="2">
        <v>13</v>
      </c>
      <c r="H1019" s="2" t="str">
        <f>'PFAS Properties'!$B$46</f>
        <v>PFOS</v>
      </c>
      <c r="I1019" s="2" t="str">
        <f>'PFAS Properties'!$C$46</f>
        <v>PFSA</v>
      </c>
      <c r="J1019" s="2" t="str">
        <f>'PFAS Properties'!$D$46</f>
        <v>C8HF17O3S</v>
      </c>
      <c r="K1019" s="25">
        <f>'PFAS Properties'!$P$46</f>
        <v>499.93739999999997</v>
      </c>
      <c r="L1019" s="2">
        <f>'PFAS Properties'!$X$46</f>
        <v>0.1</v>
      </c>
      <c r="M1019" s="2" t="str">
        <f>'PFAS Properties'!$Y$46</f>
        <v>-</v>
      </c>
      <c r="N1019" s="33">
        <v>0</v>
      </c>
      <c r="O1019" s="33">
        <v>0</v>
      </c>
      <c r="P1019" s="33">
        <v>0</v>
      </c>
      <c r="Q1019" s="33">
        <f t="shared" si="470"/>
        <v>0.9999992056723962</v>
      </c>
      <c r="R1019" s="33">
        <v>0</v>
      </c>
      <c r="S1019" s="33">
        <f t="shared" si="471"/>
        <v>7.9432760376743655E-7</v>
      </c>
      <c r="T1019" s="8">
        <f t="shared" si="461"/>
        <v>1</v>
      </c>
      <c r="U1019" s="33">
        <f t="shared" si="452"/>
        <v>0</v>
      </c>
      <c r="V1019" s="33">
        <f t="shared" si="453"/>
        <v>-0.9999992056723962</v>
      </c>
      <c r="W1019" s="33">
        <f t="shared" si="454"/>
        <v>498.93740079432757</v>
      </c>
      <c r="X1019" s="33">
        <v>96485</v>
      </c>
      <c r="Y1019" s="16">
        <f t="shared" si="455"/>
        <v>-193.38081932862406</v>
      </c>
      <c r="Z1019" s="16">
        <v>8</v>
      </c>
      <c r="AA1019" s="16">
        <v>17</v>
      </c>
      <c r="AB1019" s="8">
        <f t="shared" si="456"/>
        <v>0.29721362229102166</v>
      </c>
      <c r="AC1019" s="16">
        <f t="shared" si="463"/>
        <v>64.60808893273439</v>
      </c>
      <c r="AD1019" s="20">
        <f>'PFAS Properties'!$W$46</f>
        <v>8</v>
      </c>
      <c r="AE1019" s="8">
        <f>'PFAS Properties'!$S$46</f>
        <v>2.0166155475571776</v>
      </c>
      <c r="AF1019" s="15">
        <f>'PFAS Properties'!$V$46</f>
        <v>5</v>
      </c>
      <c r="AG1019" s="24">
        <v>6.2</v>
      </c>
      <c r="AH1019" s="2" t="s">
        <v>85</v>
      </c>
      <c r="AI1019" s="2">
        <v>2.71</v>
      </c>
      <c r="AJ1019" s="15">
        <f t="shared" si="465"/>
        <v>48.527173426448208</v>
      </c>
      <c r="AK1019" s="8">
        <f t="shared" si="466"/>
        <v>0.27100000000000002</v>
      </c>
      <c r="AL1019" s="2">
        <v>1.63</v>
      </c>
      <c r="AM1019" s="15">
        <f t="shared" si="467"/>
        <v>60.415122312824316</v>
      </c>
      <c r="AN1019" s="8">
        <f t="shared" si="468"/>
        <v>0.16299999999999998</v>
      </c>
      <c r="AO1019" s="15" t="s">
        <v>86</v>
      </c>
      <c r="AP1019" s="15">
        <v>5.24</v>
      </c>
      <c r="AQ1019" s="15" t="s">
        <v>711</v>
      </c>
      <c r="AR1019" s="16">
        <v>55</v>
      </c>
      <c r="AS1019" s="16">
        <v>13</v>
      </c>
      <c r="AT1019" s="16">
        <v>32</v>
      </c>
      <c r="AU1019" s="15" t="s">
        <v>664</v>
      </c>
      <c r="AV1019" s="16">
        <f t="shared" si="462"/>
        <v>100</v>
      </c>
      <c r="AW1019" s="20">
        <v>1.6</v>
      </c>
      <c r="AX1019" s="8">
        <f t="shared" si="469"/>
        <v>1.6E-2</v>
      </c>
      <c r="AY1019" s="8" t="s">
        <v>87</v>
      </c>
      <c r="AZ1019" s="16">
        <v>20</v>
      </c>
      <c r="BA1019" s="16" t="s">
        <v>55</v>
      </c>
      <c r="BB1019" s="16" t="s">
        <v>391</v>
      </c>
      <c r="BC1019" s="16" t="s">
        <v>55</v>
      </c>
      <c r="BD1019" s="20">
        <v>3.8</v>
      </c>
      <c r="BE1019" s="16">
        <f t="shared" si="464"/>
        <v>237.49999999999997</v>
      </c>
      <c r="BF1019" s="16">
        <f t="shared" si="457"/>
        <v>2.3756636139608855</v>
      </c>
      <c r="BG1019" s="8">
        <f t="shared" si="458"/>
        <v>0.57978359661681012</v>
      </c>
      <c r="BH1019" s="13" t="s">
        <v>859</v>
      </c>
      <c r="BI1019" s="13"/>
      <c r="BJ1019" s="13"/>
      <c r="BK1019" s="13"/>
      <c r="BL1019" s="13"/>
      <c r="BM1019" s="17"/>
      <c r="BN1019" s="17"/>
      <c r="BO1019" s="2"/>
    </row>
    <row r="1020" spans="1:67" s="14" customFormat="1" x14ac:dyDescent="0.3">
      <c r="A1020" s="20">
        <v>1041</v>
      </c>
      <c r="B1020" s="2" t="s">
        <v>219</v>
      </c>
      <c r="C1020" s="2">
        <v>2020</v>
      </c>
      <c r="D1020" s="2" t="s">
        <v>205</v>
      </c>
      <c r="E1020" s="10" t="s">
        <v>802</v>
      </c>
      <c r="F1020" s="20" t="s">
        <v>29</v>
      </c>
      <c r="G1020" s="2">
        <v>14</v>
      </c>
      <c r="H1020" s="2" t="str">
        <f>'PFAS Properties'!$B$46</f>
        <v>PFOS</v>
      </c>
      <c r="I1020" s="2" t="str">
        <f>'PFAS Properties'!$C$46</f>
        <v>PFSA</v>
      </c>
      <c r="J1020" s="2" t="str">
        <f>'PFAS Properties'!$D$46</f>
        <v>C8HF17O3S</v>
      </c>
      <c r="K1020" s="25">
        <f>'PFAS Properties'!$P$46</f>
        <v>499.93739999999997</v>
      </c>
      <c r="L1020" s="2">
        <f>'PFAS Properties'!$X$46</f>
        <v>0.1</v>
      </c>
      <c r="M1020" s="2" t="str">
        <f>'PFAS Properties'!$Y$46</f>
        <v>-</v>
      </c>
      <c r="N1020" s="33">
        <v>0</v>
      </c>
      <c r="O1020" s="33">
        <v>0</v>
      </c>
      <c r="P1020" s="33">
        <v>0</v>
      </c>
      <c r="Q1020" s="33">
        <f t="shared" si="470"/>
        <v>0.99999987410747471</v>
      </c>
      <c r="R1020" s="33">
        <v>0</v>
      </c>
      <c r="S1020" s="33">
        <f t="shared" si="471"/>
        <v>1.2589252533048661E-7</v>
      </c>
      <c r="T1020" s="8">
        <f t="shared" si="461"/>
        <v>1</v>
      </c>
      <c r="U1020" s="33">
        <f t="shared" si="452"/>
        <v>0</v>
      </c>
      <c r="V1020" s="33">
        <f t="shared" si="453"/>
        <v>-0.99999987410747471</v>
      </c>
      <c r="W1020" s="33">
        <f t="shared" si="454"/>
        <v>498.93740012589251</v>
      </c>
      <c r="X1020" s="33">
        <v>96485</v>
      </c>
      <c r="Y1020" s="16">
        <f t="shared" si="455"/>
        <v>-193.38094885032569</v>
      </c>
      <c r="Z1020" s="16">
        <v>8</v>
      </c>
      <c r="AA1020" s="16">
        <v>17</v>
      </c>
      <c r="AB1020" s="8">
        <f t="shared" si="456"/>
        <v>0.29721362229102166</v>
      </c>
      <c r="AC1020" s="16">
        <f t="shared" si="463"/>
        <v>64.60808893273439</v>
      </c>
      <c r="AD1020" s="20">
        <f>'PFAS Properties'!$W$46</f>
        <v>8</v>
      </c>
      <c r="AE1020" s="8">
        <f>'PFAS Properties'!$S$46</f>
        <v>2.0166155475571776</v>
      </c>
      <c r="AF1020" s="15">
        <f>'PFAS Properties'!$V$46</f>
        <v>5</v>
      </c>
      <c r="AG1020" s="24">
        <v>7</v>
      </c>
      <c r="AH1020" s="2" t="s">
        <v>85</v>
      </c>
      <c r="AI1020" s="2">
        <v>3.22</v>
      </c>
      <c r="AJ1020" s="15">
        <f t="shared" si="465"/>
        <v>57.659593517772407</v>
      </c>
      <c r="AK1020" s="8">
        <f t="shared" si="466"/>
        <v>0.32200000000000001</v>
      </c>
      <c r="AL1020" s="2">
        <v>1.79</v>
      </c>
      <c r="AM1020" s="15">
        <f t="shared" si="467"/>
        <v>66.345441067457372</v>
      </c>
      <c r="AN1020" s="8">
        <f t="shared" si="468"/>
        <v>0.17899999999999999</v>
      </c>
      <c r="AO1020" s="15" t="s">
        <v>86</v>
      </c>
      <c r="AP1020" s="15">
        <v>17.75</v>
      </c>
      <c r="AQ1020" s="15" t="s">
        <v>711</v>
      </c>
      <c r="AR1020" s="16">
        <v>36</v>
      </c>
      <c r="AS1020" s="16">
        <v>8</v>
      </c>
      <c r="AT1020" s="16">
        <v>56</v>
      </c>
      <c r="AU1020" s="15" t="s">
        <v>664</v>
      </c>
      <c r="AV1020" s="16">
        <f t="shared" si="462"/>
        <v>100</v>
      </c>
      <c r="AW1020" s="20">
        <v>1.2</v>
      </c>
      <c r="AX1020" s="8">
        <f t="shared" si="469"/>
        <v>1.2E-2</v>
      </c>
      <c r="AY1020" s="8" t="s">
        <v>87</v>
      </c>
      <c r="AZ1020" s="16">
        <v>20</v>
      </c>
      <c r="BA1020" s="16" t="s">
        <v>55</v>
      </c>
      <c r="BB1020" s="16" t="s">
        <v>391</v>
      </c>
      <c r="BC1020" s="16" t="s">
        <v>55</v>
      </c>
      <c r="BD1020" s="20">
        <v>3.77</v>
      </c>
      <c r="BE1020" s="16">
        <f t="shared" si="464"/>
        <v>314.16666666666669</v>
      </c>
      <c r="BF1020" s="16">
        <f t="shared" si="457"/>
        <v>2.4971601041581679</v>
      </c>
      <c r="BG1020" s="8">
        <f t="shared" si="458"/>
        <v>0.57634135020579291</v>
      </c>
      <c r="BH1020" s="13" t="s">
        <v>859</v>
      </c>
      <c r="BI1020" s="13"/>
      <c r="BJ1020" s="13"/>
      <c r="BK1020" s="13"/>
      <c r="BL1020" s="13"/>
      <c r="BM1020" s="17"/>
      <c r="BN1020" s="17"/>
      <c r="BO1020" s="2"/>
    </row>
    <row r="1021" spans="1:67" s="14" customFormat="1" x14ac:dyDescent="0.3">
      <c r="A1021" s="20">
        <v>1042</v>
      </c>
      <c r="B1021" s="2" t="s">
        <v>219</v>
      </c>
      <c r="C1021" s="2">
        <v>2020</v>
      </c>
      <c r="D1021" s="2" t="s">
        <v>205</v>
      </c>
      <c r="E1021" s="10" t="s">
        <v>802</v>
      </c>
      <c r="F1021" s="20" t="s">
        <v>29</v>
      </c>
      <c r="G1021" s="2">
        <v>15</v>
      </c>
      <c r="H1021" s="2" t="str">
        <f>'PFAS Properties'!$B$46</f>
        <v>PFOS</v>
      </c>
      <c r="I1021" s="2" t="str">
        <f>'PFAS Properties'!$C$46</f>
        <v>PFSA</v>
      </c>
      <c r="J1021" s="2" t="str">
        <f>'PFAS Properties'!$D$46</f>
        <v>C8HF17O3S</v>
      </c>
      <c r="K1021" s="25">
        <f>'PFAS Properties'!$P$46</f>
        <v>499.93739999999997</v>
      </c>
      <c r="L1021" s="2">
        <f>'PFAS Properties'!$X$46</f>
        <v>0.1</v>
      </c>
      <c r="M1021" s="2" t="str">
        <f>'PFAS Properties'!$Y$46</f>
        <v>-</v>
      </c>
      <c r="N1021" s="33">
        <v>0</v>
      </c>
      <c r="O1021" s="33">
        <v>0</v>
      </c>
      <c r="P1021" s="33">
        <v>0</v>
      </c>
      <c r="Q1021" s="33">
        <f t="shared" si="470"/>
        <v>0.99999992056718279</v>
      </c>
      <c r="R1021" s="33">
        <v>0</v>
      </c>
      <c r="S1021" s="33">
        <f t="shared" si="471"/>
        <v>7.9432817162854954E-8</v>
      </c>
      <c r="T1021" s="8">
        <f t="shared" si="461"/>
        <v>1</v>
      </c>
      <c r="U1021" s="33">
        <f t="shared" si="452"/>
        <v>0</v>
      </c>
      <c r="V1021" s="33">
        <f t="shared" si="453"/>
        <v>-0.99999992056718279</v>
      </c>
      <c r="W1021" s="33">
        <f t="shared" si="454"/>
        <v>498.93740007943279</v>
      </c>
      <c r="X1021" s="33">
        <v>96485</v>
      </c>
      <c r="Y1021" s="16">
        <f t="shared" si="455"/>
        <v>-193.38095785275635</v>
      </c>
      <c r="Z1021" s="16">
        <v>8</v>
      </c>
      <c r="AA1021" s="16">
        <v>17</v>
      </c>
      <c r="AB1021" s="8">
        <f t="shared" si="456"/>
        <v>0.29721362229102166</v>
      </c>
      <c r="AC1021" s="16">
        <f t="shared" si="463"/>
        <v>64.60808893273439</v>
      </c>
      <c r="AD1021" s="20">
        <f>'PFAS Properties'!$W$46</f>
        <v>8</v>
      </c>
      <c r="AE1021" s="8">
        <f>'PFAS Properties'!$S$46</f>
        <v>2.0166155475571776</v>
      </c>
      <c r="AF1021" s="15">
        <f>'PFAS Properties'!$V$46</f>
        <v>5</v>
      </c>
      <c r="AG1021" s="24">
        <v>7.2</v>
      </c>
      <c r="AH1021" s="2" t="s">
        <v>85</v>
      </c>
      <c r="AI1021" s="2">
        <v>2.4300000000000002</v>
      </c>
      <c r="AJ1021" s="15">
        <f t="shared" si="465"/>
        <v>43.513295729250608</v>
      </c>
      <c r="AK1021" s="8">
        <f t="shared" si="466"/>
        <v>0.24300000000000002</v>
      </c>
      <c r="AL1021" s="2">
        <v>2.08</v>
      </c>
      <c r="AM1021" s="15">
        <f t="shared" si="467"/>
        <v>77.094143810229795</v>
      </c>
      <c r="AN1021" s="8">
        <f t="shared" si="468"/>
        <v>0.20800000000000002</v>
      </c>
      <c r="AO1021" s="15" t="s">
        <v>86</v>
      </c>
      <c r="AP1021" s="15">
        <v>10.81</v>
      </c>
      <c r="AQ1021" s="15" t="s">
        <v>711</v>
      </c>
      <c r="AR1021" s="16">
        <v>67</v>
      </c>
      <c r="AS1021" s="16">
        <v>4</v>
      </c>
      <c r="AT1021" s="16">
        <v>29</v>
      </c>
      <c r="AU1021" s="15" t="s">
        <v>664</v>
      </c>
      <c r="AV1021" s="16">
        <f t="shared" si="462"/>
        <v>100</v>
      </c>
      <c r="AW1021" s="20">
        <v>1.5</v>
      </c>
      <c r="AX1021" s="8">
        <f t="shared" si="469"/>
        <v>1.4999999999999999E-2</v>
      </c>
      <c r="AY1021" s="8" t="s">
        <v>87</v>
      </c>
      <c r="AZ1021" s="16">
        <v>20</v>
      </c>
      <c r="BA1021" s="16" t="s">
        <v>55</v>
      </c>
      <c r="BB1021" s="16" t="s">
        <v>391</v>
      </c>
      <c r="BC1021" s="16" t="s">
        <v>55</v>
      </c>
      <c r="BD1021" s="20">
        <v>12.07</v>
      </c>
      <c r="BE1021" s="16">
        <f t="shared" si="464"/>
        <v>804.66666666666674</v>
      </c>
      <c r="BF1021" s="16">
        <f t="shared" si="457"/>
        <v>2.9056160110416682</v>
      </c>
      <c r="BG1021" s="8">
        <f t="shared" si="458"/>
        <v>1.0817072700973491</v>
      </c>
      <c r="BH1021" s="13" t="s">
        <v>859</v>
      </c>
      <c r="BI1021" s="13"/>
      <c r="BJ1021" s="13"/>
      <c r="BK1021" s="13"/>
      <c r="BL1021" s="13"/>
      <c r="BM1021" s="17"/>
      <c r="BN1021" s="17"/>
      <c r="BO1021" s="2"/>
    </row>
    <row r="1022" spans="1:67" s="14" customFormat="1" x14ac:dyDescent="0.3">
      <c r="A1022" s="20">
        <v>1043</v>
      </c>
      <c r="B1022" s="2" t="s">
        <v>219</v>
      </c>
      <c r="C1022" s="2">
        <v>2020</v>
      </c>
      <c r="D1022" s="2" t="s">
        <v>205</v>
      </c>
      <c r="E1022" s="10" t="s">
        <v>802</v>
      </c>
      <c r="F1022" s="20" t="s">
        <v>29</v>
      </c>
      <c r="G1022" s="2">
        <v>16</v>
      </c>
      <c r="H1022" s="2" t="str">
        <f>'PFAS Properties'!$B$46</f>
        <v>PFOS</v>
      </c>
      <c r="I1022" s="2" t="str">
        <f>'PFAS Properties'!$C$46</f>
        <v>PFSA</v>
      </c>
      <c r="J1022" s="2" t="str">
        <f>'PFAS Properties'!$D$46</f>
        <v>C8HF17O3S</v>
      </c>
      <c r="K1022" s="25">
        <f>'PFAS Properties'!$P$46</f>
        <v>499.93739999999997</v>
      </c>
      <c r="L1022" s="2">
        <f>'PFAS Properties'!$X$46</f>
        <v>0.1</v>
      </c>
      <c r="M1022" s="2" t="str">
        <f>'PFAS Properties'!$Y$46</f>
        <v>-</v>
      </c>
      <c r="N1022" s="33">
        <v>0</v>
      </c>
      <c r="O1022" s="33">
        <v>0</v>
      </c>
      <c r="P1022" s="33">
        <v>0</v>
      </c>
      <c r="Q1022" s="33">
        <f t="shared" si="470"/>
        <v>0.99999990000001004</v>
      </c>
      <c r="R1022" s="33">
        <v>0</v>
      </c>
      <c r="S1022" s="33">
        <f t="shared" si="471"/>
        <v>9.9999990000001005E-8</v>
      </c>
      <c r="T1022" s="8">
        <f t="shared" si="461"/>
        <v>1</v>
      </c>
      <c r="U1022" s="33">
        <f t="shared" si="452"/>
        <v>0</v>
      </c>
      <c r="V1022" s="33">
        <f t="shared" si="453"/>
        <v>-0.99999990000001004</v>
      </c>
      <c r="W1022" s="33">
        <f t="shared" si="454"/>
        <v>498.93740009999999</v>
      </c>
      <c r="X1022" s="33">
        <v>96485</v>
      </c>
      <c r="Y1022" s="16">
        <f t="shared" si="455"/>
        <v>-193.38095386748492</v>
      </c>
      <c r="Z1022" s="16">
        <v>8</v>
      </c>
      <c r="AA1022" s="16">
        <v>17</v>
      </c>
      <c r="AB1022" s="8">
        <f t="shared" si="456"/>
        <v>0.29721362229102166</v>
      </c>
      <c r="AC1022" s="16">
        <f t="shared" si="463"/>
        <v>64.60808893273439</v>
      </c>
      <c r="AD1022" s="20">
        <f>'PFAS Properties'!$W$46</f>
        <v>8</v>
      </c>
      <c r="AE1022" s="8">
        <f>'PFAS Properties'!$S$46</f>
        <v>2.0166155475571776</v>
      </c>
      <c r="AF1022" s="15">
        <f>'PFAS Properties'!$V$46</f>
        <v>5</v>
      </c>
      <c r="AG1022" s="24">
        <v>7.1</v>
      </c>
      <c r="AH1022" s="2" t="s">
        <v>85</v>
      </c>
      <c r="AI1022" s="2">
        <v>1.82</v>
      </c>
      <c r="AJ1022" s="15">
        <f t="shared" si="465"/>
        <v>32.590205031784407</v>
      </c>
      <c r="AK1022" s="8">
        <f t="shared" si="466"/>
        <v>0.182</v>
      </c>
      <c r="AL1022" s="2">
        <v>1.61</v>
      </c>
      <c r="AM1022" s="15">
        <f t="shared" si="467"/>
        <v>59.673832468495178</v>
      </c>
      <c r="AN1022" s="8">
        <f t="shared" si="468"/>
        <v>0.161</v>
      </c>
      <c r="AO1022" s="15" t="s">
        <v>86</v>
      </c>
      <c r="AP1022" s="15">
        <v>14.74</v>
      </c>
      <c r="AQ1022" s="15" t="s">
        <v>711</v>
      </c>
      <c r="AR1022" s="16">
        <v>60</v>
      </c>
      <c r="AS1022" s="16">
        <v>9</v>
      </c>
      <c r="AT1022" s="16">
        <v>31</v>
      </c>
      <c r="AU1022" s="15" t="s">
        <v>664</v>
      </c>
      <c r="AV1022" s="16">
        <f t="shared" si="462"/>
        <v>100</v>
      </c>
      <c r="AW1022" s="20">
        <v>1</v>
      </c>
      <c r="AX1022" s="8">
        <f t="shared" si="469"/>
        <v>0.01</v>
      </c>
      <c r="AY1022" s="8" t="s">
        <v>87</v>
      </c>
      <c r="AZ1022" s="16">
        <v>20</v>
      </c>
      <c r="BA1022" s="16" t="s">
        <v>55</v>
      </c>
      <c r="BB1022" s="16" t="s">
        <v>391</v>
      </c>
      <c r="BC1022" s="16" t="s">
        <v>55</v>
      </c>
      <c r="BD1022" s="20">
        <v>7.49</v>
      </c>
      <c r="BE1022" s="16">
        <f t="shared" si="464"/>
        <v>749</v>
      </c>
      <c r="BF1022" s="16">
        <f t="shared" si="457"/>
        <v>2.8744818176994666</v>
      </c>
      <c r="BG1022" s="8">
        <f t="shared" si="458"/>
        <v>0.87448181769946653</v>
      </c>
      <c r="BH1022" s="13" t="s">
        <v>859</v>
      </c>
      <c r="BI1022" s="13"/>
      <c r="BJ1022" s="13"/>
      <c r="BK1022" s="13"/>
      <c r="BL1022" s="13"/>
      <c r="BM1022" s="17"/>
      <c r="BN1022" s="17"/>
      <c r="BO1022" s="2"/>
    </row>
    <row r="1023" spans="1:67" s="14" customFormat="1" x14ac:dyDescent="0.3">
      <c r="A1023" s="20">
        <v>1044</v>
      </c>
      <c r="B1023" s="2" t="s">
        <v>219</v>
      </c>
      <c r="C1023" s="2">
        <v>2020</v>
      </c>
      <c r="D1023" s="2" t="s">
        <v>205</v>
      </c>
      <c r="E1023" s="22" t="s">
        <v>802</v>
      </c>
      <c r="F1023" s="20" t="s">
        <v>29</v>
      </c>
      <c r="G1023" s="2">
        <v>17</v>
      </c>
      <c r="H1023" s="2" t="str">
        <f>'PFAS Properties'!$B$46</f>
        <v>PFOS</v>
      </c>
      <c r="I1023" s="2" t="str">
        <f>'PFAS Properties'!$C$46</f>
        <v>PFSA</v>
      </c>
      <c r="J1023" s="2" t="str">
        <f>'PFAS Properties'!$D$46</f>
        <v>C8HF17O3S</v>
      </c>
      <c r="K1023" s="25">
        <f>'PFAS Properties'!$P$46</f>
        <v>499.93739999999997</v>
      </c>
      <c r="L1023" s="2">
        <f>'PFAS Properties'!$X$46</f>
        <v>0.1</v>
      </c>
      <c r="M1023" s="2" t="str">
        <f>'PFAS Properties'!$Y$46</f>
        <v>-</v>
      </c>
      <c r="N1023" s="33">
        <v>0</v>
      </c>
      <c r="O1023" s="33">
        <v>0</v>
      </c>
      <c r="P1023" s="33">
        <v>0</v>
      </c>
      <c r="Q1023" s="33">
        <f t="shared" si="470"/>
        <v>0.99998741090436938</v>
      </c>
      <c r="R1023" s="33">
        <v>0</v>
      </c>
      <c r="S1023" s="33">
        <f t="shared" si="471"/>
        <v>1.258909563061765E-5</v>
      </c>
      <c r="T1023" s="8">
        <f t="shared" si="461"/>
        <v>1</v>
      </c>
      <c r="U1023" s="33">
        <f t="shared" ref="U1023:U1062" si="472">((1*N1023)+(1*O1023)+(1*P1023))</f>
        <v>0</v>
      </c>
      <c r="V1023" s="33">
        <f t="shared" ref="V1023:V1062" si="473">-((1*O1023)+(2*P1023)+(1*Q1023)+(2*R1023))</f>
        <v>-0.99998741090436938</v>
      </c>
      <c r="W1023" s="33">
        <f t="shared" ref="W1023:W1062" si="474">(N1023*(K1023+1))+(O1023*K1023)+(P1023*(K1023-1))+(Q1023*(K1023-1))+(R1023*(K1023-2))+(S1023*K1023)</f>
        <v>498.93741258909557</v>
      </c>
      <c r="X1023" s="33">
        <v>96485</v>
      </c>
      <c r="Y1023" s="16">
        <f t="shared" ref="Y1023:Y1062" si="475">((V1023+U1023)/W1023)*X1023</f>
        <v>-193.37853387348241</v>
      </c>
      <c r="Z1023" s="16">
        <v>8</v>
      </c>
      <c r="AA1023" s="16">
        <v>17</v>
      </c>
      <c r="AB1023" s="8">
        <f t="shared" ref="AB1023:AB1062" si="476">(Z1023/AA1023)*(12/19)</f>
        <v>0.29721362229102166</v>
      </c>
      <c r="AC1023" s="16">
        <f t="shared" si="463"/>
        <v>64.60808893273439</v>
      </c>
      <c r="AD1023" s="20">
        <f>'PFAS Properties'!$W$46</f>
        <v>8</v>
      </c>
      <c r="AE1023" s="8">
        <f>'PFAS Properties'!$S$46</f>
        <v>2.0166155475571776</v>
      </c>
      <c r="AF1023" s="15">
        <f>'PFAS Properties'!$V$46</f>
        <v>5</v>
      </c>
      <c r="AG1023" s="24">
        <v>5</v>
      </c>
      <c r="AH1023" s="2" t="s">
        <v>85</v>
      </c>
      <c r="AI1023" s="2">
        <v>3.66</v>
      </c>
      <c r="AJ1023" s="15">
        <f t="shared" si="465"/>
        <v>65.538544184797203</v>
      </c>
      <c r="AK1023" s="8">
        <f t="shared" si="466"/>
        <v>0.36599999999999999</v>
      </c>
      <c r="AL1023" s="2">
        <v>2.37</v>
      </c>
      <c r="AM1023" s="15">
        <f t="shared" si="467"/>
        <v>87.842846553002218</v>
      </c>
      <c r="AN1023" s="8">
        <f t="shared" si="468"/>
        <v>0.23700000000000002</v>
      </c>
      <c r="AO1023" s="15" t="s">
        <v>86</v>
      </c>
      <c r="AP1023" s="15">
        <v>5.42</v>
      </c>
      <c r="AQ1023" s="15" t="s">
        <v>711</v>
      </c>
      <c r="AR1023" s="16">
        <v>38</v>
      </c>
      <c r="AS1023" s="16">
        <v>16</v>
      </c>
      <c r="AT1023" s="16">
        <v>46</v>
      </c>
      <c r="AU1023" s="15" t="s">
        <v>664</v>
      </c>
      <c r="AV1023" s="16">
        <f t="shared" si="462"/>
        <v>100</v>
      </c>
      <c r="AW1023" s="20">
        <v>1.6</v>
      </c>
      <c r="AX1023" s="8">
        <f t="shared" si="469"/>
        <v>1.6E-2</v>
      </c>
      <c r="AY1023" s="8" t="s">
        <v>87</v>
      </c>
      <c r="AZ1023" s="16">
        <v>20</v>
      </c>
      <c r="BA1023" s="16" t="s">
        <v>55</v>
      </c>
      <c r="BB1023" s="16" t="s">
        <v>391</v>
      </c>
      <c r="BC1023" s="16" t="s">
        <v>55</v>
      </c>
      <c r="BD1023" s="20">
        <v>5.44</v>
      </c>
      <c r="BE1023" s="16">
        <f t="shared" si="464"/>
        <v>340</v>
      </c>
      <c r="BF1023" s="16">
        <f t="shared" ref="BF1023:BF1062" si="477">LOG(BE1023)</f>
        <v>2.5314789170422549</v>
      </c>
      <c r="BG1023" s="8">
        <f t="shared" si="458"/>
        <v>0.73559889969817993</v>
      </c>
      <c r="BH1023" s="13" t="s">
        <v>859</v>
      </c>
      <c r="BI1023" s="13"/>
      <c r="BJ1023" s="13"/>
      <c r="BK1023" s="13"/>
      <c r="BL1023" s="13"/>
      <c r="BM1023" s="17"/>
      <c r="BN1023" s="17"/>
      <c r="BO1023" s="2"/>
    </row>
    <row r="1024" spans="1:67" s="14" customFormat="1" x14ac:dyDescent="0.3">
      <c r="A1024" s="20">
        <v>1045</v>
      </c>
      <c r="B1024" s="2" t="s">
        <v>219</v>
      </c>
      <c r="C1024" s="2">
        <v>2020</v>
      </c>
      <c r="D1024" s="2" t="s">
        <v>205</v>
      </c>
      <c r="E1024" s="10" t="s">
        <v>802</v>
      </c>
      <c r="F1024" s="20" t="s">
        <v>29</v>
      </c>
      <c r="G1024" s="2">
        <v>18</v>
      </c>
      <c r="H1024" s="2" t="str">
        <f>'PFAS Properties'!$B$46</f>
        <v>PFOS</v>
      </c>
      <c r="I1024" s="2" t="str">
        <f>'PFAS Properties'!$C$46</f>
        <v>PFSA</v>
      </c>
      <c r="J1024" s="2" t="str">
        <f>'PFAS Properties'!$D$46</f>
        <v>C8HF17O3S</v>
      </c>
      <c r="K1024" s="25">
        <f>'PFAS Properties'!$P$46</f>
        <v>499.93739999999997</v>
      </c>
      <c r="L1024" s="2">
        <f>'PFAS Properties'!$X$46</f>
        <v>0.1</v>
      </c>
      <c r="M1024" s="2" t="str">
        <f>'PFAS Properties'!$Y$46</f>
        <v>-</v>
      </c>
      <c r="N1024" s="33">
        <v>0</v>
      </c>
      <c r="O1024" s="33">
        <v>0</v>
      </c>
      <c r="P1024" s="33">
        <v>0</v>
      </c>
      <c r="Q1024" s="33">
        <f t="shared" si="470"/>
        <v>0.99998741090436938</v>
      </c>
      <c r="R1024" s="33">
        <v>0</v>
      </c>
      <c r="S1024" s="33">
        <f t="shared" si="471"/>
        <v>1.258909563061765E-5</v>
      </c>
      <c r="T1024" s="8">
        <f t="shared" si="461"/>
        <v>1</v>
      </c>
      <c r="U1024" s="33">
        <f t="shared" si="472"/>
        <v>0</v>
      </c>
      <c r="V1024" s="33">
        <f t="shared" si="473"/>
        <v>-0.99998741090436938</v>
      </c>
      <c r="W1024" s="33">
        <f t="shared" si="474"/>
        <v>498.93741258909557</v>
      </c>
      <c r="X1024" s="33">
        <v>96485</v>
      </c>
      <c r="Y1024" s="16">
        <f t="shared" si="475"/>
        <v>-193.37853387348241</v>
      </c>
      <c r="Z1024" s="16">
        <v>8</v>
      </c>
      <c r="AA1024" s="16">
        <v>17</v>
      </c>
      <c r="AB1024" s="8">
        <f t="shared" si="476"/>
        <v>0.29721362229102166</v>
      </c>
      <c r="AC1024" s="16">
        <f t="shared" si="463"/>
        <v>64.60808893273439</v>
      </c>
      <c r="AD1024" s="20">
        <f>'PFAS Properties'!$W$46</f>
        <v>8</v>
      </c>
      <c r="AE1024" s="8">
        <f>'PFAS Properties'!$S$46</f>
        <v>2.0166155475571776</v>
      </c>
      <c r="AF1024" s="15">
        <f>'PFAS Properties'!$V$46</f>
        <v>5</v>
      </c>
      <c r="AG1024" s="24">
        <v>5</v>
      </c>
      <c r="AH1024" s="2" t="s">
        <v>85</v>
      </c>
      <c r="AI1024" s="2">
        <v>4.32</v>
      </c>
      <c r="AJ1024" s="15">
        <f t="shared" si="465"/>
        <v>77.356970185334404</v>
      </c>
      <c r="AK1024" s="8">
        <f t="shared" si="466"/>
        <v>0.43200000000000005</v>
      </c>
      <c r="AL1024" s="2">
        <v>19.399999999999999</v>
      </c>
      <c r="AM1024" s="15">
        <f t="shared" si="467"/>
        <v>719.05114899925866</v>
      </c>
      <c r="AN1024" s="8">
        <f t="shared" si="468"/>
        <v>1.94</v>
      </c>
      <c r="AO1024" s="15" t="s">
        <v>86</v>
      </c>
      <c r="AP1024" s="15">
        <v>17.3</v>
      </c>
      <c r="AQ1024" s="15" t="s">
        <v>711</v>
      </c>
      <c r="AR1024" s="16">
        <v>49</v>
      </c>
      <c r="AS1024" s="16">
        <v>38</v>
      </c>
      <c r="AT1024" s="16">
        <v>13</v>
      </c>
      <c r="AU1024" s="15" t="s">
        <v>664</v>
      </c>
      <c r="AV1024" s="16">
        <f t="shared" si="462"/>
        <v>100</v>
      </c>
      <c r="AW1024" s="20">
        <v>4.8</v>
      </c>
      <c r="AX1024" s="8">
        <f t="shared" si="469"/>
        <v>4.8000000000000001E-2</v>
      </c>
      <c r="AY1024" s="8" t="s">
        <v>87</v>
      </c>
      <c r="AZ1024" s="16">
        <v>20</v>
      </c>
      <c r="BA1024" s="16" t="s">
        <v>55</v>
      </c>
      <c r="BB1024" s="16" t="s">
        <v>391</v>
      </c>
      <c r="BC1024" s="16" t="s">
        <v>55</v>
      </c>
      <c r="BD1024" s="20">
        <v>31.6</v>
      </c>
      <c r="BE1024" s="16">
        <f t="shared" si="464"/>
        <v>658.33333333333337</v>
      </c>
      <c r="BF1024" s="16">
        <f t="shared" si="477"/>
        <v>2.8184458452428167</v>
      </c>
      <c r="BG1024" s="8">
        <f t="shared" si="458"/>
        <v>1.4996870826184039</v>
      </c>
      <c r="BH1024" s="13" t="s">
        <v>859</v>
      </c>
      <c r="BI1024" s="13"/>
      <c r="BJ1024" s="13"/>
      <c r="BK1024" s="13"/>
      <c r="BL1024" s="13"/>
      <c r="BM1024" s="17"/>
      <c r="BN1024" s="17"/>
      <c r="BO1024" s="2"/>
    </row>
    <row r="1025" spans="1:67" s="14" customFormat="1" x14ac:dyDescent="0.3">
      <c r="A1025" s="20">
        <v>1046</v>
      </c>
      <c r="B1025" s="2" t="s">
        <v>219</v>
      </c>
      <c r="C1025" s="2">
        <v>2020</v>
      </c>
      <c r="D1025" s="2" t="s">
        <v>205</v>
      </c>
      <c r="E1025" s="10" t="s">
        <v>802</v>
      </c>
      <c r="F1025" s="20" t="s">
        <v>29</v>
      </c>
      <c r="G1025" s="2">
        <v>19</v>
      </c>
      <c r="H1025" s="2" t="str">
        <f>'PFAS Properties'!$B$46</f>
        <v>PFOS</v>
      </c>
      <c r="I1025" s="2" t="str">
        <f>'PFAS Properties'!$C$46</f>
        <v>PFSA</v>
      </c>
      <c r="J1025" s="2" t="str">
        <f>'PFAS Properties'!$D$46</f>
        <v>C8HF17O3S</v>
      </c>
      <c r="K1025" s="25">
        <f>'PFAS Properties'!$P$46</f>
        <v>499.93739999999997</v>
      </c>
      <c r="L1025" s="2">
        <f>'PFAS Properties'!$X$46</f>
        <v>0.1</v>
      </c>
      <c r="M1025" s="2" t="str">
        <f>'PFAS Properties'!$Y$46</f>
        <v>-</v>
      </c>
      <c r="N1025" s="33">
        <v>0</v>
      </c>
      <c r="O1025" s="33">
        <v>0</v>
      </c>
      <c r="P1025" s="33">
        <v>0</v>
      </c>
      <c r="Q1025" s="33">
        <f t="shared" si="470"/>
        <v>0.99999800474166611</v>
      </c>
      <c r="R1025" s="33">
        <v>0</v>
      </c>
      <c r="S1025" s="33">
        <f t="shared" si="471"/>
        <v>1.9952583339051124E-6</v>
      </c>
      <c r="T1025" s="8">
        <f t="shared" si="461"/>
        <v>1</v>
      </c>
      <c r="U1025" s="33">
        <f t="shared" si="472"/>
        <v>0</v>
      </c>
      <c r="V1025" s="33">
        <f t="shared" si="473"/>
        <v>-0.99999800474166611</v>
      </c>
      <c r="W1025" s="33">
        <f t="shared" si="474"/>
        <v>498.93740199525831</v>
      </c>
      <c r="X1025" s="33">
        <v>96485</v>
      </c>
      <c r="Y1025" s="16">
        <f t="shared" si="475"/>
        <v>-193.38058662600847</v>
      </c>
      <c r="Z1025" s="16">
        <v>8</v>
      </c>
      <c r="AA1025" s="16">
        <v>17</v>
      </c>
      <c r="AB1025" s="8">
        <f t="shared" si="476"/>
        <v>0.29721362229102166</v>
      </c>
      <c r="AC1025" s="16">
        <f t="shared" si="463"/>
        <v>64.60808893273439</v>
      </c>
      <c r="AD1025" s="20">
        <f>'PFAS Properties'!$W$46</f>
        <v>8</v>
      </c>
      <c r="AE1025" s="8">
        <f>'PFAS Properties'!$S$46</f>
        <v>2.0166155475571776</v>
      </c>
      <c r="AF1025" s="15">
        <f>'PFAS Properties'!$V$46</f>
        <v>5</v>
      </c>
      <c r="AG1025" s="24">
        <v>5.8</v>
      </c>
      <c r="AH1025" s="2" t="s">
        <v>85</v>
      </c>
      <c r="AI1025" s="2">
        <v>1.58</v>
      </c>
      <c r="AJ1025" s="15">
        <f t="shared" si="465"/>
        <v>28.292595577043603</v>
      </c>
      <c r="AK1025" s="8">
        <f t="shared" si="466"/>
        <v>0.158</v>
      </c>
      <c r="AL1025" s="2">
        <v>0.65500000000000003</v>
      </c>
      <c r="AM1025" s="15">
        <f t="shared" si="467"/>
        <v>24.277242401779095</v>
      </c>
      <c r="AN1025" s="8">
        <f t="shared" si="468"/>
        <v>6.5500000000000003E-2</v>
      </c>
      <c r="AO1025" s="15" t="s">
        <v>86</v>
      </c>
      <c r="AP1025" s="15">
        <v>4.34</v>
      </c>
      <c r="AQ1025" s="15" t="s">
        <v>711</v>
      </c>
      <c r="AR1025" s="16">
        <v>74</v>
      </c>
      <c r="AS1025" s="16">
        <v>5</v>
      </c>
      <c r="AT1025" s="16">
        <v>21</v>
      </c>
      <c r="AU1025" s="15" t="s">
        <v>664</v>
      </c>
      <c r="AV1025" s="16">
        <f t="shared" si="462"/>
        <v>100</v>
      </c>
      <c r="AW1025" s="20">
        <v>0.8</v>
      </c>
      <c r="AX1025" s="8">
        <f t="shared" si="469"/>
        <v>8.0000000000000002E-3</v>
      </c>
      <c r="AY1025" s="8" t="s">
        <v>87</v>
      </c>
      <c r="AZ1025" s="16">
        <v>20</v>
      </c>
      <c r="BA1025" s="16" t="s">
        <v>55</v>
      </c>
      <c r="BB1025" s="16" t="s">
        <v>391</v>
      </c>
      <c r="BC1025" s="16" t="s">
        <v>55</v>
      </c>
      <c r="BD1025" s="20">
        <v>7.01</v>
      </c>
      <c r="BE1025" s="16">
        <f t="shared" si="464"/>
        <v>876.25</v>
      </c>
      <c r="BF1025" s="16">
        <f t="shared" si="477"/>
        <v>2.9426280309747153</v>
      </c>
      <c r="BG1025" s="8">
        <f t="shared" si="458"/>
        <v>0.84571801796665869</v>
      </c>
      <c r="BH1025" s="13" t="s">
        <v>859</v>
      </c>
      <c r="BI1025" s="13"/>
      <c r="BJ1025" s="13"/>
      <c r="BK1025" s="13"/>
      <c r="BL1025" s="13"/>
      <c r="BM1025" s="17"/>
      <c r="BN1025" s="17"/>
      <c r="BO1025" s="2"/>
    </row>
    <row r="1026" spans="1:67" s="14" customFormat="1" x14ac:dyDescent="0.3">
      <c r="A1026" s="20">
        <v>1047</v>
      </c>
      <c r="B1026" s="2" t="s">
        <v>219</v>
      </c>
      <c r="C1026" s="2">
        <v>2020</v>
      </c>
      <c r="D1026" s="2" t="s">
        <v>205</v>
      </c>
      <c r="E1026" s="10" t="s">
        <v>802</v>
      </c>
      <c r="F1026" s="20" t="s">
        <v>29</v>
      </c>
      <c r="G1026" s="2">
        <v>20</v>
      </c>
      <c r="H1026" s="2" t="str">
        <f>'PFAS Properties'!$B$46</f>
        <v>PFOS</v>
      </c>
      <c r="I1026" s="2" t="str">
        <f>'PFAS Properties'!$C$46</f>
        <v>PFSA</v>
      </c>
      <c r="J1026" s="2" t="str">
        <f>'PFAS Properties'!$D$46</f>
        <v>C8HF17O3S</v>
      </c>
      <c r="K1026" s="25">
        <f>'PFAS Properties'!$P$46</f>
        <v>499.93739999999997</v>
      </c>
      <c r="L1026" s="2">
        <f>'PFAS Properties'!$X$46</f>
        <v>0.1</v>
      </c>
      <c r="M1026" s="2" t="str">
        <f>'PFAS Properties'!$Y$46</f>
        <v>-</v>
      </c>
      <c r="N1026" s="33">
        <v>0</v>
      </c>
      <c r="O1026" s="33">
        <v>0</v>
      </c>
      <c r="P1026" s="33">
        <v>0</v>
      </c>
      <c r="Q1026" s="33">
        <f t="shared" si="470"/>
        <v>0.99999601894414336</v>
      </c>
      <c r="R1026" s="33">
        <v>0</v>
      </c>
      <c r="S1026" s="33">
        <f t="shared" si="471"/>
        <v>3.981055856666137E-6</v>
      </c>
      <c r="T1026" s="8">
        <f t="shared" si="461"/>
        <v>1</v>
      </c>
      <c r="U1026" s="33">
        <f t="shared" si="472"/>
        <v>0</v>
      </c>
      <c r="V1026" s="33">
        <f t="shared" si="473"/>
        <v>-0.99999601894414336</v>
      </c>
      <c r="W1026" s="33">
        <f t="shared" si="474"/>
        <v>498.93740398105581</v>
      </c>
      <c r="X1026" s="33">
        <v>96485</v>
      </c>
      <c r="Y1026" s="16">
        <f t="shared" si="475"/>
        <v>-193.38020184088887</v>
      </c>
      <c r="Z1026" s="16">
        <v>8</v>
      </c>
      <c r="AA1026" s="16">
        <v>17</v>
      </c>
      <c r="AB1026" s="8">
        <f t="shared" si="476"/>
        <v>0.29721362229102166</v>
      </c>
      <c r="AC1026" s="16">
        <f t="shared" si="463"/>
        <v>64.60808893273439</v>
      </c>
      <c r="AD1026" s="20">
        <f>'PFAS Properties'!$W$46</f>
        <v>8</v>
      </c>
      <c r="AE1026" s="8">
        <f>'PFAS Properties'!$S$46</f>
        <v>2.0166155475571776</v>
      </c>
      <c r="AF1026" s="15">
        <f>'PFAS Properties'!$V$46</f>
        <v>5</v>
      </c>
      <c r="AG1026" s="24">
        <v>5.5</v>
      </c>
      <c r="AH1026" s="2" t="s">
        <v>85</v>
      </c>
      <c r="AI1026" s="2">
        <v>2.91</v>
      </c>
      <c r="AJ1026" s="15">
        <f t="shared" si="465"/>
        <v>52.10851463873221</v>
      </c>
      <c r="AK1026" s="8">
        <f t="shared" si="466"/>
        <v>0.29100000000000004</v>
      </c>
      <c r="AL1026" s="2">
        <v>2.72</v>
      </c>
      <c r="AM1026" s="15">
        <f t="shared" si="467"/>
        <v>100.81541882876205</v>
      </c>
      <c r="AN1026" s="8">
        <f t="shared" si="468"/>
        <v>0.27200000000000002</v>
      </c>
      <c r="AO1026" s="15" t="s">
        <v>86</v>
      </c>
      <c r="AP1026" s="15">
        <v>16.3</v>
      </c>
      <c r="AQ1026" s="15" t="s">
        <v>711</v>
      </c>
      <c r="AR1026" s="16">
        <v>21</v>
      </c>
      <c r="AS1026" s="16">
        <v>21</v>
      </c>
      <c r="AT1026" s="16">
        <v>58</v>
      </c>
      <c r="AU1026" s="15" t="s">
        <v>664</v>
      </c>
      <c r="AV1026" s="16">
        <f t="shared" si="462"/>
        <v>100</v>
      </c>
      <c r="AW1026" s="20">
        <v>1</v>
      </c>
      <c r="AX1026" s="8">
        <f t="shared" si="469"/>
        <v>0.01</v>
      </c>
      <c r="AY1026" s="8" t="s">
        <v>87</v>
      </c>
      <c r="AZ1026" s="16">
        <v>20</v>
      </c>
      <c r="BA1026" s="16" t="s">
        <v>55</v>
      </c>
      <c r="BB1026" s="16" t="s">
        <v>391</v>
      </c>
      <c r="BC1026" s="16" t="s">
        <v>55</v>
      </c>
      <c r="BD1026" s="20">
        <v>19.96</v>
      </c>
      <c r="BE1026" s="16">
        <f t="shared" si="464"/>
        <v>1996</v>
      </c>
      <c r="BF1026" s="16">
        <f t="shared" si="477"/>
        <v>3.3001605369513523</v>
      </c>
      <c r="BG1026" s="8">
        <f t="shared" si="458"/>
        <v>1.3001605369513523</v>
      </c>
      <c r="BH1026" s="13" t="s">
        <v>859</v>
      </c>
      <c r="BI1026" s="13"/>
      <c r="BJ1026" s="13"/>
      <c r="BK1026" s="13"/>
      <c r="BL1026" s="13"/>
      <c r="BM1026" s="17"/>
      <c r="BN1026" s="17"/>
      <c r="BO1026" s="2"/>
    </row>
    <row r="1027" spans="1:67" s="14" customFormat="1" x14ac:dyDescent="0.3">
      <c r="A1027" s="20">
        <v>1048</v>
      </c>
      <c r="B1027" s="2" t="s">
        <v>219</v>
      </c>
      <c r="C1027" s="2">
        <v>2020</v>
      </c>
      <c r="D1027" s="2" t="s">
        <v>205</v>
      </c>
      <c r="E1027" s="10" t="s">
        <v>802</v>
      </c>
      <c r="F1027" s="20" t="s">
        <v>29</v>
      </c>
      <c r="G1027" s="2">
        <v>21</v>
      </c>
      <c r="H1027" s="2" t="str">
        <f>'PFAS Properties'!$B$46</f>
        <v>PFOS</v>
      </c>
      <c r="I1027" s="2" t="str">
        <f>'PFAS Properties'!$C$46</f>
        <v>PFSA</v>
      </c>
      <c r="J1027" s="2" t="str">
        <f>'PFAS Properties'!$D$46</f>
        <v>C8HF17O3S</v>
      </c>
      <c r="K1027" s="25">
        <f>'PFAS Properties'!$P$46</f>
        <v>499.93739999999997</v>
      </c>
      <c r="L1027" s="2">
        <f>'PFAS Properties'!$X$46</f>
        <v>0.1</v>
      </c>
      <c r="M1027" s="2" t="str">
        <f>'PFAS Properties'!$Y$46</f>
        <v>-</v>
      </c>
      <c r="N1027" s="33">
        <v>0</v>
      </c>
      <c r="O1027" s="33">
        <v>0</v>
      </c>
      <c r="P1027" s="33">
        <v>0</v>
      </c>
      <c r="Q1027" s="33">
        <f t="shared" si="470"/>
        <v>0.9999974881198781</v>
      </c>
      <c r="R1027" s="33">
        <v>0</v>
      </c>
      <c r="S1027" s="33">
        <f t="shared" si="471"/>
        <v>2.5118801219519806E-6</v>
      </c>
      <c r="T1027" s="8">
        <f t="shared" si="461"/>
        <v>1</v>
      </c>
      <c r="U1027" s="33">
        <f t="shared" si="472"/>
        <v>0</v>
      </c>
      <c r="V1027" s="33">
        <f t="shared" si="473"/>
        <v>-0.9999974881198781</v>
      </c>
      <c r="W1027" s="33">
        <f t="shared" si="474"/>
        <v>498.93740251188012</v>
      </c>
      <c r="X1027" s="33">
        <v>96485</v>
      </c>
      <c r="Y1027" s="16">
        <f t="shared" si="475"/>
        <v>-193.38048652094997</v>
      </c>
      <c r="Z1027" s="16">
        <v>8</v>
      </c>
      <c r="AA1027" s="16">
        <v>17</v>
      </c>
      <c r="AB1027" s="8">
        <f t="shared" si="476"/>
        <v>0.29721362229102166</v>
      </c>
      <c r="AC1027" s="16">
        <f t="shared" si="463"/>
        <v>64.60808893273439</v>
      </c>
      <c r="AD1027" s="20">
        <f>'PFAS Properties'!$W$46</f>
        <v>8</v>
      </c>
      <c r="AE1027" s="8">
        <f>'PFAS Properties'!$S$46</f>
        <v>2.0166155475571776</v>
      </c>
      <c r="AF1027" s="15">
        <f>'PFAS Properties'!$V$46</f>
        <v>5</v>
      </c>
      <c r="AG1027" s="24">
        <v>5.7</v>
      </c>
      <c r="AH1027" s="2" t="s">
        <v>85</v>
      </c>
      <c r="AI1027" s="2">
        <v>2.2599999999999998</v>
      </c>
      <c r="AJ1027" s="15">
        <f t="shared" si="465"/>
        <v>40.469155698809203</v>
      </c>
      <c r="AK1027" s="8">
        <f t="shared" si="466"/>
        <v>0.22599999999999998</v>
      </c>
      <c r="AL1027" s="2">
        <v>5.72</v>
      </c>
      <c r="AM1027" s="15">
        <f t="shared" si="467"/>
        <v>212.00889547813193</v>
      </c>
      <c r="AN1027" s="8">
        <f t="shared" si="468"/>
        <v>0.57199999999999995</v>
      </c>
      <c r="AO1027" s="15" t="s">
        <v>86</v>
      </c>
      <c r="AP1027" s="15">
        <v>9.98</v>
      </c>
      <c r="AQ1027" s="15" t="s">
        <v>711</v>
      </c>
      <c r="AR1027" s="16">
        <v>70</v>
      </c>
      <c r="AS1027" s="16">
        <v>8</v>
      </c>
      <c r="AT1027" s="16">
        <v>22</v>
      </c>
      <c r="AU1027" s="15" t="s">
        <v>664</v>
      </c>
      <c r="AV1027" s="16">
        <f t="shared" si="462"/>
        <v>100</v>
      </c>
      <c r="AW1027" s="20">
        <v>3.5</v>
      </c>
      <c r="AX1027" s="8">
        <f t="shared" si="469"/>
        <v>3.5000000000000003E-2</v>
      </c>
      <c r="AY1027" s="8" t="s">
        <v>87</v>
      </c>
      <c r="AZ1027" s="16">
        <v>20</v>
      </c>
      <c r="BA1027" s="16" t="s">
        <v>55</v>
      </c>
      <c r="BB1027" s="16" t="s">
        <v>391</v>
      </c>
      <c r="BC1027" s="16" t="s">
        <v>55</v>
      </c>
      <c r="BD1027" s="20">
        <v>7.36</v>
      </c>
      <c r="BE1027" s="16">
        <f t="shared" si="464"/>
        <v>210.28571428571428</v>
      </c>
      <c r="BF1027" s="16">
        <f t="shared" si="477"/>
        <v>2.3228097699872232</v>
      </c>
      <c r="BG1027" s="8">
        <f t="shared" si="458"/>
        <v>0.86687781433749889</v>
      </c>
      <c r="BH1027" s="13" t="s">
        <v>859</v>
      </c>
      <c r="BI1027" s="13"/>
      <c r="BJ1027" s="13"/>
      <c r="BK1027" s="13"/>
      <c r="BL1027" s="13"/>
      <c r="BM1027" s="17"/>
      <c r="BN1027" s="17"/>
      <c r="BO1027" s="2"/>
    </row>
    <row r="1028" spans="1:67" s="14" customFormat="1" x14ac:dyDescent="0.3">
      <c r="A1028" s="20">
        <v>1049</v>
      </c>
      <c r="B1028" s="2" t="s">
        <v>219</v>
      </c>
      <c r="C1028" s="2">
        <v>2020</v>
      </c>
      <c r="D1028" s="2" t="s">
        <v>205</v>
      </c>
      <c r="E1028" s="10" t="s">
        <v>802</v>
      </c>
      <c r="F1028" s="20" t="s">
        <v>29</v>
      </c>
      <c r="G1028" s="2">
        <v>22</v>
      </c>
      <c r="H1028" s="2" t="str">
        <f>'PFAS Properties'!$B$46</f>
        <v>PFOS</v>
      </c>
      <c r="I1028" s="2" t="str">
        <f>'PFAS Properties'!$C$46</f>
        <v>PFSA</v>
      </c>
      <c r="J1028" s="2" t="str">
        <f>'PFAS Properties'!$D$46</f>
        <v>C8HF17O3S</v>
      </c>
      <c r="K1028" s="25">
        <f>'PFAS Properties'!$P$46</f>
        <v>499.93739999999997</v>
      </c>
      <c r="L1028" s="2">
        <f>'PFAS Properties'!$X$46</f>
        <v>0.1</v>
      </c>
      <c r="M1028" s="2" t="str">
        <f>'PFAS Properties'!$Y$46</f>
        <v>-</v>
      </c>
      <c r="N1028" s="33">
        <v>0</v>
      </c>
      <c r="O1028" s="33">
        <v>0</v>
      </c>
      <c r="P1028" s="33">
        <v>0</v>
      </c>
      <c r="Q1028" s="33">
        <f t="shared" si="470"/>
        <v>0.99999987410747471</v>
      </c>
      <c r="R1028" s="33">
        <v>0</v>
      </c>
      <c r="S1028" s="33">
        <f t="shared" si="471"/>
        <v>1.2589252533048661E-7</v>
      </c>
      <c r="T1028" s="8">
        <f t="shared" si="461"/>
        <v>1</v>
      </c>
      <c r="U1028" s="33">
        <f t="shared" si="472"/>
        <v>0</v>
      </c>
      <c r="V1028" s="33">
        <f t="shared" si="473"/>
        <v>-0.99999987410747471</v>
      </c>
      <c r="W1028" s="33">
        <f t="shared" si="474"/>
        <v>498.93740012589251</v>
      </c>
      <c r="X1028" s="33">
        <v>96485</v>
      </c>
      <c r="Y1028" s="16">
        <f t="shared" si="475"/>
        <v>-193.38094885032569</v>
      </c>
      <c r="Z1028" s="16">
        <v>8</v>
      </c>
      <c r="AA1028" s="16">
        <v>17</v>
      </c>
      <c r="AB1028" s="8">
        <f t="shared" si="476"/>
        <v>0.29721362229102166</v>
      </c>
      <c r="AC1028" s="16">
        <f t="shared" si="463"/>
        <v>64.60808893273439</v>
      </c>
      <c r="AD1028" s="20">
        <f>'PFAS Properties'!$W$46</f>
        <v>8</v>
      </c>
      <c r="AE1028" s="8">
        <f>'PFAS Properties'!$S$46</f>
        <v>2.0166155475571776</v>
      </c>
      <c r="AF1028" s="15">
        <f>'PFAS Properties'!$V$46</f>
        <v>5</v>
      </c>
      <c r="AG1028" s="24">
        <v>7</v>
      </c>
      <c r="AH1028" s="2" t="s">
        <v>85</v>
      </c>
      <c r="AI1028" s="2">
        <v>3.78</v>
      </c>
      <c r="AJ1028" s="15">
        <f t="shared" si="465"/>
        <v>67.687348912167607</v>
      </c>
      <c r="AK1028" s="8">
        <f t="shared" si="466"/>
        <v>0.378</v>
      </c>
      <c r="AL1028" s="2">
        <v>2.46</v>
      </c>
      <c r="AM1028" s="15">
        <f t="shared" si="467"/>
        <v>91.178650852483315</v>
      </c>
      <c r="AN1028" s="8">
        <f t="shared" si="468"/>
        <v>0.246</v>
      </c>
      <c r="AO1028" s="15" t="s">
        <v>86</v>
      </c>
      <c r="AP1028" s="15">
        <v>19.12</v>
      </c>
      <c r="AQ1028" s="15" t="s">
        <v>711</v>
      </c>
      <c r="AR1028" s="16">
        <v>35</v>
      </c>
      <c r="AS1028" s="16">
        <v>13</v>
      </c>
      <c r="AT1028" s="16">
        <v>52</v>
      </c>
      <c r="AU1028" s="15" t="s">
        <v>664</v>
      </c>
      <c r="AV1028" s="16">
        <f t="shared" si="462"/>
        <v>100</v>
      </c>
      <c r="AW1028" s="20">
        <v>1.1000000000000001</v>
      </c>
      <c r="AX1028" s="8">
        <f t="shared" si="469"/>
        <v>1.1000000000000001E-2</v>
      </c>
      <c r="AY1028" s="8" t="s">
        <v>87</v>
      </c>
      <c r="AZ1028" s="16">
        <v>20</v>
      </c>
      <c r="BA1028" s="16" t="s">
        <v>55</v>
      </c>
      <c r="BB1028" s="16" t="s">
        <v>391</v>
      </c>
      <c r="BC1028" s="16" t="s">
        <v>55</v>
      </c>
      <c r="BD1028" s="20">
        <v>5.18</v>
      </c>
      <c r="BE1028" s="16">
        <f t="shared" si="464"/>
        <v>470.90909090909082</v>
      </c>
      <c r="BF1028" s="16">
        <f t="shared" si="477"/>
        <v>2.6729370745870078</v>
      </c>
      <c r="BG1028" s="8">
        <f t="shared" si="458"/>
        <v>0.71432975974523305</v>
      </c>
      <c r="BH1028" s="13" t="s">
        <v>859</v>
      </c>
      <c r="BI1028" s="13"/>
      <c r="BJ1028" s="13"/>
      <c r="BK1028" s="13"/>
      <c r="BL1028" s="13"/>
      <c r="BM1028" s="17"/>
      <c r="BN1028" s="17"/>
      <c r="BO1028" s="2"/>
    </row>
    <row r="1029" spans="1:67" s="14" customFormat="1" x14ac:dyDescent="0.3">
      <c r="A1029" s="20">
        <v>1050</v>
      </c>
      <c r="B1029" s="2" t="s">
        <v>219</v>
      </c>
      <c r="C1029" s="2">
        <v>2020</v>
      </c>
      <c r="D1029" s="2" t="s">
        <v>205</v>
      </c>
      <c r="E1029" s="10" t="s">
        <v>802</v>
      </c>
      <c r="F1029" s="20" t="s">
        <v>29</v>
      </c>
      <c r="G1029" s="2">
        <v>23</v>
      </c>
      <c r="H1029" s="2" t="str">
        <f>'PFAS Properties'!$B$46</f>
        <v>PFOS</v>
      </c>
      <c r="I1029" s="2" t="str">
        <f>'PFAS Properties'!$C$46</f>
        <v>PFSA</v>
      </c>
      <c r="J1029" s="2" t="str">
        <f>'PFAS Properties'!$D$46</f>
        <v>C8HF17O3S</v>
      </c>
      <c r="K1029" s="25">
        <f>'PFAS Properties'!$P$46</f>
        <v>499.93739999999997</v>
      </c>
      <c r="L1029" s="2">
        <f>'PFAS Properties'!$X$46</f>
        <v>0.1</v>
      </c>
      <c r="M1029" s="2" t="str">
        <f>'PFAS Properties'!$Y$46</f>
        <v>-</v>
      </c>
      <c r="N1029" s="33">
        <v>0</v>
      </c>
      <c r="O1029" s="33">
        <v>0</v>
      </c>
      <c r="P1029" s="33">
        <v>0</v>
      </c>
      <c r="Q1029" s="33">
        <f t="shared" si="470"/>
        <v>0.99999960189298798</v>
      </c>
      <c r="R1029" s="33">
        <v>0</v>
      </c>
      <c r="S1029" s="33">
        <f t="shared" si="471"/>
        <v>3.9810701206424001E-7</v>
      </c>
      <c r="T1029" s="8">
        <f t="shared" si="461"/>
        <v>1</v>
      </c>
      <c r="U1029" s="33">
        <f t="shared" si="472"/>
        <v>0</v>
      </c>
      <c r="V1029" s="33">
        <f t="shared" si="473"/>
        <v>-0.99999960189298798</v>
      </c>
      <c r="W1029" s="33">
        <f t="shared" si="474"/>
        <v>498.937400398107</v>
      </c>
      <c r="X1029" s="33">
        <v>96485</v>
      </c>
      <c r="Y1029" s="16">
        <f t="shared" si="475"/>
        <v>-193.38089610371694</v>
      </c>
      <c r="Z1029" s="16">
        <v>8</v>
      </c>
      <c r="AA1029" s="16">
        <v>17</v>
      </c>
      <c r="AB1029" s="8">
        <f t="shared" si="476"/>
        <v>0.29721362229102166</v>
      </c>
      <c r="AC1029" s="16">
        <f t="shared" si="463"/>
        <v>64.60808893273439</v>
      </c>
      <c r="AD1029" s="20">
        <f>'PFAS Properties'!$W$46</f>
        <v>8</v>
      </c>
      <c r="AE1029" s="8">
        <f>'PFAS Properties'!$S$46</f>
        <v>2.0166155475571776</v>
      </c>
      <c r="AF1029" s="15">
        <f>'PFAS Properties'!$V$46</f>
        <v>5</v>
      </c>
      <c r="AG1029" s="24">
        <v>6.5</v>
      </c>
      <c r="AH1029" s="2" t="s">
        <v>85</v>
      </c>
      <c r="AI1029" s="2">
        <v>2.0299999999999998</v>
      </c>
      <c r="AJ1029" s="15">
        <f t="shared" si="465"/>
        <v>36.350613304682604</v>
      </c>
      <c r="AK1029" s="8">
        <f t="shared" si="466"/>
        <v>0.20299999999999999</v>
      </c>
      <c r="AL1029" s="2">
        <v>1.53</v>
      </c>
      <c r="AM1029" s="15">
        <f t="shared" si="467"/>
        <v>56.708673091178653</v>
      </c>
      <c r="AN1029" s="8">
        <f t="shared" si="468"/>
        <v>0.153</v>
      </c>
      <c r="AO1029" s="15" t="s">
        <v>86</v>
      </c>
      <c r="AP1029" s="15">
        <v>7.1</v>
      </c>
      <c r="AQ1029" s="15" t="s">
        <v>711</v>
      </c>
      <c r="AR1029" s="16">
        <v>60</v>
      </c>
      <c r="AS1029" s="16">
        <v>16</v>
      </c>
      <c r="AT1029" s="16">
        <v>24</v>
      </c>
      <c r="AU1029" s="15" t="s">
        <v>664</v>
      </c>
      <c r="AV1029" s="16">
        <f t="shared" si="462"/>
        <v>100</v>
      </c>
      <c r="AW1029" s="20">
        <v>1.3</v>
      </c>
      <c r="AX1029" s="8">
        <f t="shared" si="469"/>
        <v>1.3000000000000001E-2</v>
      </c>
      <c r="AY1029" s="8" t="s">
        <v>87</v>
      </c>
      <c r="AZ1029" s="16">
        <v>20</v>
      </c>
      <c r="BA1029" s="16" t="s">
        <v>55</v>
      </c>
      <c r="BB1029" s="16" t="s">
        <v>391</v>
      </c>
      <c r="BC1029" s="16" t="s">
        <v>55</v>
      </c>
      <c r="BD1029" s="20">
        <v>2.69</v>
      </c>
      <c r="BE1029" s="16">
        <f t="shared" si="464"/>
        <v>206.92307692307691</v>
      </c>
      <c r="BF1029" s="16">
        <f t="shared" si="477"/>
        <v>2.3158089276955711</v>
      </c>
      <c r="BG1029" s="8">
        <f t="shared" si="458"/>
        <v>0.42975228000240795</v>
      </c>
      <c r="BH1029" s="13" t="s">
        <v>859</v>
      </c>
      <c r="BI1029" s="13"/>
      <c r="BJ1029" s="13"/>
      <c r="BK1029" s="13"/>
      <c r="BL1029" s="13"/>
      <c r="BM1029" s="17"/>
      <c r="BN1029" s="17"/>
      <c r="BO1029" s="2"/>
    </row>
    <row r="1030" spans="1:67" s="14" customFormat="1" x14ac:dyDescent="0.3">
      <c r="A1030" s="20">
        <v>1051</v>
      </c>
      <c r="B1030" s="2" t="s">
        <v>219</v>
      </c>
      <c r="C1030" s="2">
        <v>2020</v>
      </c>
      <c r="D1030" s="2" t="s">
        <v>205</v>
      </c>
      <c r="E1030" s="10" t="s">
        <v>802</v>
      </c>
      <c r="F1030" s="20" t="s">
        <v>29</v>
      </c>
      <c r="G1030" s="2">
        <v>26</v>
      </c>
      <c r="H1030" s="2" t="str">
        <f>'PFAS Properties'!$B$46</f>
        <v>PFOS</v>
      </c>
      <c r="I1030" s="2" t="str">
        <f>'PFAS Properties'!$C$46</f>
        <v>PFSA</v>
      </c>
      <c r="J1030" s="2" t="str">
        <f>'PFAS Properties'!$D$46</f>
        <v>C8HF17O3S</v>
      </c>
      <c r="K1030" s="25">
        <f>'PFAS Properties'!$P$46</f>
        <v>499.93739999999997</v>
      </c>
      <c r="L1030" s="2">
        <f>'PFAS Properties'!$X$46</f>
        <v>0.1</v>
      </c>
      <c r="M1030" s="2" t="str">
        <f>'PFAS Properties'!$Y$46</f>
        <v>-</v>
      </c>
      <c r="N1030" s="33">
        <v>0</v>
      </c>
      <c r="O1030" s="33">
        <v>0</v>
      </c>
      <c r="P1030" s="33">
        <v>0</v>
      </c>
      <c r="Q1030" s="33">
        <f t="shared" si="470"/>
        <v>0.99999960189298798</v>
      </c>
      <c r="R1030" s="33">
        <v>0</v>
      </c>
      <c r="S1030" s="33">
        <f t="shared" si="471"/>
        <v>3.9810701206424001E-7</v>
      </c>
      <c r="T1030" s="8">
        <f t="shared" si="461"/>
        <v>1</v>
      </c>
      <c r="U1030" s="33">
        <f t="shared" si="472"/>
        <v>0</v>
      </c>
      <c r="V1030" s="33">
        <f t="shared" si="473"/>
        <v>-0.99999960189298798</v>
      </c>
      <c r="W1030" s="33">
        <f t="shared" si="474"/>
        <v>498.937400398107</v>
      </c>
      <c r="X1030" s="33">
        <v>96485</v>
      </c>
      <c r="Y1030" s="16">
        <f t="shared" si="475"/>
        <v>-193.38089610371694</v>
      </c>
      <c r="Z1030" s="16">
        <v>8</v>
      </c>
      <c r="AA1030" s="16">
        <v>17</v>
      </c>
      <c r="AB1030" s="8">
        <f t="shared" si="476"/>
        <v>0.29721362229102166</v>
      </c>
      <c r="AC1030" s="16">
        <f t="shared" si="463"/>
        <v>64.60808893273439</v>
      </c>
      <c r="AD1030" s="20">
        <f>'PFAS Properties'!$W$46</f>
        <v>8</v>
      </c>
      <c r="AE1030" s="8">
        <f>'PFAS Properties'!$S$46</f>
        <v>2.0166155475571776</v>
      </c>
      <c r="AF1030" s="15">
        <f>'PFAS Properties'!$V$46</f>
        <v>5</v>
      </c>
      <c r="AG1030" s="24">
        <v>6.5</v>
      </c>
      <c r="AH1030" s="2" t="s">
        <v>85</v>
      </c>
      <c r="AI1030" s="2">
        <v>3.27</v>
      </c>
      <c r="AJ1030" s="15">
        <f t="shared" si="465"/>
        <v>58.554928820843408</v>
      </c>
      <c r="AK1030" s="8">
        <f t="shared" si="466"/>
        <v>0.32700000000000001</v>
      </c>
      <c r="AL1030" s="2">
        <v>1.42</v>
      </c>
      <c r="AM1030" s="15">
        <f t="shared" si="467"/>
        <v>52.631578947368418</v>
      </c>
      <c r="AN1030" s="8">
        <f t="shared" si="468"/>
        <v>0.14199999999999999</v>
      </c>
      <c r="AO1030" s="15" t="s">
        <v>86</v>
      </c>
      <c r="AP1030" s="15">
        <v>12.67</v>
      </c>
      <c r="AQ1030" s="15" t="s">
        <v>711</v>
      </c>
      <c r="AR1030" s="16">
        <v>49</v>
      </c>
      <c r="AS1030" s="16">
        <v>8</v>
      </c>
      <c r="AT1030" s="16">
        <v>43</v>
      </c>
      <c r="AU1030" s="15" t="s">
        <v>664</v>
      </c>
      <c r="AV1030" s="16">
        <f t="shared" si="462"/>
        <v>100</v>
      </c>
      <c r="AW1030" s="20">
        <v>1.3</v>
      </c>
      <c r="AX1030" s="8">
        <f t="shared" si="469"/>
        <v>1.3000000000000001E-2</v>
      </c>
      <c r="AY1030" s="8" t="s">
        <v>87</v>
      </c>
      <c r="AZ1030" s="16">
        <v>20</v>
      </c>
      <c r="BA1030" s="16" t="s">
        <v>55</v>
      </c>
      <c r="BB1030" s="16" t="s">
        <v>391</v>
      </c>
      <c r="BC1030" s="16" t="s">
        <v>55</v>
      </c>
      <c r="BD1030" s="20">
        <v>1.3</v>
      </c>
      <c r="BE1030" s="16">
        <f t="shared" si="464"/>
        <v>100</v>
      </c>
      <c r="BF1030" s="16">
        <f t="shared" si="477"/>
        <v>2</v>
      </c>
      <c r="BG1030" s="8">
        <f t="shared" si="458"/>
        <v>0.11394335230683679</v>
      </c>
      <c r="BH1030" s="13" t="s">
        <v>859</v>
      </c>
      <c r="BI1030" s="2"/>
      <c r="BJ1030" s="2"/>
      <c r="BK1030" s="2"/>
      <c r="BL1030" s="2"/>
      <c r="BM1030" s="2"/>
      <c r="BN1030" s="2"/>
      <c r="BO1030" s="2"/>
    </row>
    <row r="1031" spans="1:67" s="14" customFormat="1" x14ac:dyDescent="0.3">
      <c r="A1031" s="20">
        <v>1052</v>
      </c>
      <c r="B1031" s="2" t="s">
        <v>219</v>
      </c>
      <c r="C1031" s="2">
        <v>2020</v>
      </c>
      <c r="D1031" s="2" t="s">
        <v>205</v>
      </c>
      <c r="E1031" s="10" t="s">
        <v>802</v>
      </c>
      <c r="F1031" s="20" t="s">
        <v>29</v>
      </c>
      <c r="G1031" s="2">
        <v>27</v>
      </c>
      <c r="H1031" s="2" t="str">
        <f>'PFAS Properties'!$B$46</f>
        <v>PFOS</v>
      </c>
      <c r="I1031" s="2" t="str">
        <f>'PFAS Properties'!$C$46</f>
        <v>PFSA</v>
      </c>
      <c r="J1031" s="2" t="str">
        <f>'PFAS Properties'!$D$46</f>
        <v>C8HF17O3S</v>
      </c>
      <c r="K1031" s="25">
        <f>'PFAS Properties'!$P$46</f>
        <v>499.93739999999997</v>
      </c>
      <c r="L1031" s="2">
        <f>'PFAS Properties'!$X$46</f>
        <v>0.1</v>
      </c>
      <c r="M1031" s="2" t="str">
        <f>'PFAS Properties'!$Y$46</f>
        <v>-</v>
      </c>
      <c r="N1031" s="33">
        <v>0</v>
      </c>
      <c r="O1031" s="33">
        <v>0</v>
      </c>
      <c r="P1031" s="33">
        <v>0</v>
      </c>
      <c r="Q1031" s="33">
        <f t="shared" si="470"/>
        <v>0.99998741090436938</v>
      </c>
      <c r="R1031" s="33">
        <v>0</v>
      </c>
      <c r="S1031" s="33">
        <f t="shared" si="471"/>
        <v>1.258909563061765E-5</v>
      </c>
      <c r="T1031" s="8">
        <f t="shared" si="461"/>
        <v>1</v>
      </c>
      <c r="U1031" s="33">
        <f t="shared" si="472"/>
        <v>0</v>
      </c>
      <c r="V1031" s="33">
        <f t="shared" si="473"/>
        <v>-0.99998741090436938</v>
      </c>
      <c r="W1031" s="33">
        <f t="shared" si="474"/>
        <v>498.93741258909557</v>
      </c>
      <c r="X1031" s="33">
        <v>96485</v>
      </c>
      <c r="Y1031" s="16">
        <f t="shared" si="475"/>
        <v>-193.37853387348241</v>
      </c>
      <c r="Z1031" s="16">
        <v>8</v>
      </c>
      <c r="AA1031" s="16">
        <v>17</v>
      </c>
      <c r="AB1031" s="8">
        <f t="shared" si="476"/>
        <v>0.29721362229102166</v>
      </c>
      <c r="AC1031" s="16">
        <f t="shared" si="463"/>
        <v>64.60808893273439</v>
      </c>
      <c r="AD1031" s="20">
        <f>'PFAS Properties'!$W$46</f>
        <v>8</v>
      </c>
      <c r="AE1031" s="8">
        <f>'PFAS Properties'!$S$46</f>
        <v>2.0166155475571776</v>
      </c>
      <c r="AF1031" s="15">
        <f>'PFAS Properties'!$V$46</f>
        <v>5</v>
      </c>
      <c r="AG1031" s="24">
        <v>5</v>
      </c>
      <c r="AH1031" s="2" t="s">
        <v>85</v>
      </c>
      <c r="AI1031" s="2">
        <v>10.4</v>
      </c>
      <c r="AJ1031" s="15">
        <f t="shared" si="465"/>
        <v>186.22974303876802</v>
      </c>
      <c r="AK1031" s="8">
        <f t="shared" si="466"/>
        <v>1.04</v>
      </c>
      <c r="AL1031" s="2">
        <v>4.1500000000000004</v>
      </c>
      <c r="AM1031" s="15">
        <f t="shared" si="467"/>
        <v>153.81764269829503</v>
      </c>
      <c r="AN1031" s="8">
        <f t="shared" si="468"/>
        <v>0.41500000000000004</v>
      </c>
      <c r="AO1031" s="15" t="s">
        <v>86</v>
      </c>
      <c r="AP1031" s="15">
        <v>6.82</v>
      </c>
      <c r="AQ1031" s="15" t="s">
        <v>711</v>
      </c>
      <c r="AR1031" s="16">
        <v>24</v>
      </c>
      <c r="AS1031" s="16">
        <v>29</v>
      </c>
      <c r="AT1031" s="16">
        <v>47</v>
      </c>
      <c r="AU1031" s="15" t="s">
        <v>664</v>
      </c>
      <c r="AV1031" s="16">
        <f t="shared" si="462"/>
        <v>100</v>
      </c>
      <c r="AW1031" s="20">
        <v>2</v>
      </c>
      <c r="AX1031" s="8">
        <f t="shared" si="469"/>
        <v>0.02</v>
      </c>
      <c r="AY1031" s="8" t="s">
        <v>87</v>
      </c>
      <c r="AZ1031" s="16">
        <v>20</v>
      </c>
      <c r="BA1031" s="16" t="s">
        <v>55</v>
      </c>
      <c r="BB1031" s="16" t="s">
        <v>391</v>
      </c>
      <c r="BC1031" s="16" t="s">
        <v>55</v>
      </c>
      <c r="BD1031" s="20">
        <v>3.36</v>
      </c>
      <c r="BE1031" s="16">
        <f t="shared" si="464"/>
        <v>168</v>
      </c>
      <c r="BF1031" s="16">
        <f t="shared" si="477"/>
        <v>2.2253092817258628</v>
      </c>
      <c r="BG1031" s="8">
        <f t="shared" si="458"/>
        <v>0.52633927738984398</v>
      </c>
      <c r="BH1031" s="13" t="s">
        <v>859</v>
      </c>
      <c r="BI1031" s="13"/>
      <c r="BJ1031" s="13"/>
      <c r="BK1031" s="13"/>
      <c r="BL1031" s="13"/>
      <c r="BM1031" s="17"/>
      <c r="BN1031" s="17"/>
      <c r="BO1031" s="2"/>
    </row>
    <row r="1032" spans="1:67" s="14" customFormat="1" x14ac:dyDescent="0.3">
      <c r="A1032" s="20">
        <v>1053</v>
      </c>
      <c r="B1032" s="2" t="s">
        <v>219</v>
      </c>
      <c r="C1032" s="2">
        <v>2020</v>
      </c>
      <c r="D1032" s="2" t="s">
        <v>205</v>
      </c>
      <c r="E1032" s="10" t="s">
        <v>802</v>
      </c>
      <c r="F1032" s="20" t="s">
        <v>29</v>
      </c>
      <c r="G1032" s="2">
        <v>28</v>
      </c>
      <c r="H1032" s="2" t="str">
        <f>'PFAS Properties'!$B$46</f>
        <v>PFOS</v>
      </c>
      <c r="I1032" s="2" t="str">
        <f>'PFAS Properties'!$C$46</f>
        <v>PFSA</v>
      </c>
      <c r="J1032" s="2" t="str">
        <f>'PFAS Properties'!$D$46</f>
        <v>C8HF17O3S</v>
      </c>
      <c r="K1032" s="25">
        <f>'PFAS Properties'!$P$46</f>
        <v>499.93739999999997</v>
      </c>
      <c r="L1032" s="2">
        <f>'PFAS Properties'!$X$46</f>
        <v>0.1</v>
      </c>
      <c r="M1032" s="2" t="str">
        <f>'PFAS Properties'!$Y$46</f>
        <v>-</v>
      </c>
      <c r="N1032" s="33">
        <v>0</v>
      </c>
      <c r="O1032" s="33">
        <v>0</v>
      </c>
      <c r="P1032" s="33">
        <v>0</v>
      </c>
      <c r="Q1032" s="33">
        <f t="shared" si="470"/>
        <v>0.99999984151070587</v>
      </c>
      <c r="R1032" s="33">
        <v>0</v>
      </c>
      <c r="S1032" s="33">
        <f t="shared" si="471"/>
        <v>1.584892941272506E-7</v>
      </c>
      <c r="T1032" s="8">
        <f t="shared" si="461"/>
        <v>1</v>
      </c>
      <c r="U1032" s="33">
        <f t="shared" si="472"/>
        <v>0</v>
      </c>
      <c r="V1032" s="33">
        <f t="shared" si="473"/>
        <v>-0.99999984151070587</v>
      </c>
      <c r="W1032" s="33">
        <f t="shared" si="474"/>
        <v>498.93740015848931</v>
      </c>
      <c r="X1032" s="33">
        <v>96485</v>
      </c>
      <c r="Y1032" s="16">
        <f t="shared" si="475"/>
        <v>-193.38094253409676</v>
      </c>
      <c r="Z1032" s="16">
        <v>8</v>
      </c>
      <c r="AA1032" s="16">
        <v>17</v>
      </c>
      <c r="AB1032" s="8">
        <f t="shared" si="476"/>
        <v>0.29721362229102166</v>
      </c>
      <c r="AC1032" s="16">
        <f t="shared" si="463"/>
        <v>64.60808893273439</v>
      </c>
      <c r="AD1032" s="20">
        <f>'PFAS Properties'!$W$46</f>
        <v>8</v>
      </c>
      <c r="AE1032" s="8">
        <f>'PFAS Properties'!$S$46</f>
        <v>2.0166155475571776</v>
      </c>
      <c r="AF1032" s="15">
        <f>'PFAS Properties'!$V$46</f>
        <v>5</v>
      </c>
      <c r="AG1032" s="24">
        <v>6.9</v>
      </c>
      <c r="AH1032" s="2" t="s">
        <v>85</v>
      </c>
      <c r="AI1032" s="2">
        <v>4.2</v>
      </c>
      <c r="AJ1032" s="15">
        <f t="shared" si="465"/>
        <v>75.208165457964014</v>
      </c>
      <c r="AK1032" s="8">
        <f t="shared" si="466"/>
        <v>0.42000000000000004</v>
      </c>
      <c r="AL1032" s="2">
        <v>1.48</v>
      </c>
      <c r="AM1032" s="15">
        <f t="shared" si="467"/>
        <v>54.855448480355818</v>
      </c>
      <c r="AN1032" s="8">
        <f t="shared" si="468"/>
        <v>0.14799999999999999</v>
      </c>
      <c r="AO1032" s="15" t="s">
        <v>86</v>
      </c>
      <c r="AP1032" s="15">
        <v>20.41</v>
      </c>
      <c r="AQ1032" s="15" t="s">
        <v>711</v>
      </c>
      <c r="AR1032" s="16">
        <v>42</v>
      </c>
      <c r="AS1032" s="16">
        <v>6</v>
      </c>
      <c r="AT1032" s="16">
        <v>52</v>
      </c>
      <c r="AU1032" s="15" t="s">
        <v>664</v>
      </c>
      <c r="AV1032" s="16">
        <f t="shared" si="462"/>
        <v>100</v>
      </c>
      <c r="AW1032" s="20">
        <v>1.8</v>
      </c>
      <c r="AX1032" s="8">
        <f t="shared" si="469"/>
        <v>1.8000000000000002E-2</v>
      </c>
      <c r="AY1032" s="8" t="s">
        <v>87</v>
      </c>
      <c r="AZ1032" s="16">
        <v>20</v>
      </c>
      <c r="BA1032" s="16" t="s">
        <v>55</v>
      </c>
      <c r="BB1032" s="16" t="s">
        <v>391</v>
      </c>
      <c r="BC1032" s="16" t="s">
        <v>55</v>
      </c>
      <c r="BD1032" s="20">
        <v>7.47</v>
      </c>
      <c r="BE1032" s="16">
        <f t="shared" si="464"/>
        <v>414.99999999999994</v>
      </c>
      <c r="BF1032" s="16">
        <f t="shared" si="477"/>
        <v>2.6180480967120925</v>
      </c>
      <c r="BG1032" s="8">
        <f t="shared" si="458"/>
        <v>0.87332060181539872</v>
      </c>
      <c r="BH1032" s="13" t="s">
        <v>859</v>
      </c>
      <c r="BI1032" s="2"/>
      <c r="BJ1032" s="2"/>
      <c r="BK1032" s="2"/>
      <c r="BL1032" s="2"/>
      <c r="BM1032" s="2"/>
      <c r="BN1032" s="2"/>
      <c r="BO1032" s="2"/>
    </row>
    <row r="1033" spans="1:67" s="14" customFormat="1" x14ac:dyDescent="0.3">
      <c r="A1033" s="20">
        <v>1054</v>
      </c>
      <c r="B1033" s="2" t="s">
        <v>268</v>
      </c>
      <c r="C1033" s="2">
        <v>2020</v>
      </c>
      <c r="D1033" s="2" t="s">
        <v>229</v>
      </c>
      <c r="E1033" s="22" t="s">
        <v>806</v>
      </c>
      <c r="F1033" s="20" t="s">
        <v>29</v>
      </c>
      <c r="G1033" s="2" t="s">
        <v>124</v>
      </c>
      <c r="H1033" s="2" t="str">
        <f>'PFAS Properties'!$B$46</f>
        <v>PFOS</v>
      </c>
      <c r="I1033" s="2" t="str">
        <f>'PFAS Properties'!$C$46</f>
        <v>PFSA</v>
      </c>
      <c r="J1033" s="2" t="str">
        <f>'PFAS Properties'!$D$46</f>
        <v>C8HF17O3S</v>
      </c>
      <c r="K1033" s="25">
        <f>'PFAS Properties'!$P$46</f>
        <v>499.93739999999997</v>
      </c>
      <c r="L1033" s="2">
        <f>'PFAS Properties'!$X$46</f>
        <v>0.1</v>
      </c>
      <c r="M1033" s="2" t="str">
        <f>'PFAS Properties'!$Y$46</f>
        <v>-</v>
      </c>
      <c r="N1033" s="33">
        <v>0</v>
      </c>
      <c r="O1033" s="33">
        <v>0</v>
      </c>
      <c r="P1033" s="33">
        <v>0</v>
      </c>
      <c r="Q1033" s="33">
        <f t="shared" si="470"/>
        <v>0.99999952137013681</v>
      </c>
      <c r="R1033" s="33">
        <v>0</v>
      </c>
      <c r="S1033" s="33">
        <f t="shared" si="471"/>
        <v>4.7862986323598187E-7</v>
      </c>
      <c r="T1033" s="8">
        <f t="shared" si="461"/>
        <v>1</v>
      </c>
      <c r="U1033" s="33">
        <f t="shared" si="472"/>
        <v>0</v>
      </c>
      <c r="V1033" s="33">
        <f t="shared" si="473"/>
        <v>-0.99999952137013681</v>
      </c>
      <c r="W1033" s="33">
        <f t="shared" si="474"/>
        <v>498.93740047862985</v>
      </c>
      <c r="X1033" s="33">
        <v>96485</v>
      </c>
      <c r="Y1033" s="16">
        <f t="shared" si="475"/>
        <v>-193.38088050092014</v>
      </c>
      <c r="Z1033" s="16">
        <v>8</v>
      </c>
      <c r="AA1033" s="16">
        <v>17</v>
      </c>
      <c r="AB1033" s="8">
        <f t="shared" si="476"/>
        <v>0.29721362229102166</v>
      </c>
      <c r="AC1033" s="16">
        <f t="shared" si="463"/>
        <v>64.60808893273439</v>
      </c>
      <c r="AD1033" s="20">
        <f>'PFAS Properties'!$W$46</f>
        <v>8</v>
      </c>
      <c r="AE1033" s="8">
        <f>'PFAS Properties'!$S$46</f>
        <v>2.0166155475571776</v>
      </c>
      <c r="AF1033" s="15">
        <f>'PFAS Properties'!$V$46</f>
        <v>5</v>
      </c>
      <c r="AG1033" s="24">
        <v>6.42</v>
      </c>
      <c r="AH1033" s="2" t="s">
        <v>661</v>
      </c>
      <c r="AI1033" s="2" t="s">
        <v>661</v>
      </c>
      <c r="AJ1033" s="2" t="s">
        <v>661</v>
      </c>
      <c r="AK1033" s="2" t="s">
        <v>661</v>
      </c>
      <c r="AL1033" s="2" t="s">
        <v>661</v>
      </c>
      <c r="AM1033" s="2" t="s">
        <v>661</v>
      </c>
      <c r="AN1033" s="2" t="s">
        <v>661</v>
      </c>
      <c r="AO1033" s="2" t="s">
        <v>661</v>
      </c>
      <c r="AP1033" s="71">
        <v>9.9537166666666668</v>
      </c>
      <c r="AQ1033" s="70" t="s">
        <v>752</v>
      </c>
      <c r="AR1033" s="2">
        <f>31.9+29.6</f>
        <v>61.5</v>
      </c>
      <c r="AS1033" s="2">
        <f>17.1+11</f>
        <v>28.1</v>
      </c>
      <c r="AT1033" s="2">
        <v>8.6</v>
      </c>
      <c r="AU1033" s="2" t="s">
        <v>661</v>
      </c>
      <c r="AV1033" s="16">
        <f t="shared" si="462"/>
        <v>98.199999999999989</v>
      </c>
      <c r="AW1033" s="20">
        <v>1.38</v>
      </c>
      <c r="AX1033" s="8">
        <f t="shared" si="469"/>
        <v>1.38E-2</v>
      </c>
      <c r="AY1033" s="12" t="s">
        <v>125</v>
      </c>
      <c r="AZ1033" s="16">
        <f>1/0.02</f>
        <v>50</v>
      </c>
      <c r="BA1033" s="16" t="s">
        <v>55</v>
      </c>
      <c r="BB1033" s="16">
        <v>10</v>
      </c>
      <c r="BC1033" s="16">
        <v>1000</v>
      </c>
      <c r="BD1033" s="24">
        <f>BO1033</f>
        <v>55.707171041158894</v>
      </c>
      <c r="BE1033" s="16">
        <f t="shared" si="464"/>
        <v>4036.7515247216588</v>
      </c>
      <c r="BF1033" s="16">
        <f t="shared" si="477"/>
        <v>3.6060320179851582</v>
      </c>
      <c r="BG1033" s="8">
        <f t="shared" si="458"/>
        <v>1.7459111043863946</v>
      </c>
      <c r="BH1033" s="13" t="s">
        <v>782</v>
      </c>
      <c r="BI1033" s="8">
        <v>70.400000000000006</v>
      </c>
      <c r="BJ1033" s="13" t="s">
        <v>349</v>
      </c>
      <c r="BK1033" s="15">
        <v>0.9</v>
      </c>
      <c r="BL1033" s="16">
        <f>BI1033</f>
        <v>70.400000000000006</v>
      </c>
      <c r="BM1033" s="18">
        <f>'PFAS Properties'!$U$46</f>
        <v>10.39</v>
      </c>
      <c r="BN1033" s="8">
        <f>(BL1033*(BM1033^BK1033))</f>
        <v>578.79750711764098</v>
      </c>
      <c r="BO1033" s="24">
        <f>BN1033/BM1033</f>
        <v>55.707171041158894</v>
      </c>
    </row>
    <row r="1034" spans="1:67" s="14" customFormat="1" x14ac:dyDescent="0.3">
      <c r="A1034" s="20">
        <v>1055</v>
      </c>
      <c r="B1034" s="2" t="s">
        <v>267</v>
      </c>
      <c r="C1034" s="2">
        <v>2017</v>
      </c>
      <c r="D1034" s="2" t="s">
        <v>199</v>
      </c>
      <c r="E1034" s="22" t="s">
        <v>815</v>
      </c>
      <c r="F1034" s="20" t="s">
        <v>29</v>
      </c>
      <c r="G1034" s="2" t="s">
        <v>62</v>
      </c>
      <c r="H1034" s="2" t="str">
        <f>'PFAS Properties'!$B$46</f>
        <v>PFOS</v>
      </c>
      <c r="I1034" s="2" t="str">
        <f>'PFAS Properties'!$C$46</f>
        <v>PFSA</v>
      </c>
      <c r="J1034" s="2" t="str">
        <f>'PFAS Properties'!$D$46</f>
        <v>C8HF17O3S</v>
      </c>
      <c r="K1034" s="25">
        <f>'PFAS Properties'!$P$46</f>
        <v>499.93739999999997</v>
      </c>
      <c r="L1034" s="2">
        <f>'PFAS Properties'!$X$46</f>
        <v>0.1</v>
      </c>
      <c r="M1034" s="2" t="str">
        <f>'PFAS Properties'!$Y$46</f>
        <v>-</v>
      </c>
      <c r="N1034" s="33">
        <v>0</v>
      </c>
      <c r="O1034" s="33">
        <v>0</v>
      </c>
      <c r="P1034" s="33">
        <v>0</v>
      </c>
      <c r="Q1034" s="33">
        <f t="shared" si="470"/>
        <v>0.99999902276373409</v>
      </c>
      <c r="R1034" s="33">
        <v>0</v>
      </c>
      <c r="S1034" s="33">
        <f t="shared" si="471"/>
        <v>9.7723626596415504E-7</v>
      </c>
      <c r="T1034" s="8">
        <f t="shared" si="461"/>
        <v>1</v>
      </c>
      <c r="U1034" s="33">
        <f t="shared" si="472"/>
        <v>0</v>
      </c>
      <c r="V1034" s="33">
        <f t="shared" si="473"/>
        <v>-0.99999902276373409</v>
      </c>
      <c r="W1034" s="33">
        <f t="shared" si="474"/>
        <v>498.93740097723622</v>
      </c>
      <c r="X1034" s="33">
        <v>96485</v>
      </c>
      <c r="Y1034" s="16">
        <f t="shared" si="475"/>
        <v>-193.38078388667631</v>
      </c>
      <c r="Z1034" s="16">
        <v>8</v>
      </c>
      <c r="AA1034" s="16">
        <v>17</v>
      </c>
      <c r="AB1034" s="8">
        <f t="shared" si="476"/>
        <v>0.29721362229102166</v>
      </c>
      <c r="AC1034" s="16">
        <f t="shared" si="463"/>
        <v>64.60808893273439</v>
      </c>
      <c r="AD1034" s="20">
        <f>'PFAS Properties'!$W$46</f>
        <v>8</v>
      </c>
      <c r="AE1034" s="8">
        <f>'PFAS Properties'!$S$46</f>
        <v>2.0166155475571776</v>
      </c>
      <c r="AF1034" s="15">
        <f>'PFAS Properties'!$V$46</f>
        <v>5</v>
      </c>
      <c r="AG1034" s="24">
        <v>6.11</v>
      </c>
      <c r="AH1034" s="2" t="s">
        <v>661</v>
      </c>
      <c r="AI1034" s="2">
        <v>38.82</v>
      </c>
      <c r="AJ1034" s="15">
        <f>AI1034*1000/55.845</f>
        <v>695.13832930432443</v>
      </c>
      <c r="AK1034" s="15">
        <f>AI1034/10</f>
        <v>3.8820000000000001</v>
      </c>
      <c r="AL1034" s="2" t="s">
        <v>661</v>
      </c>
      <c r="AM1034" s="2" t="s">
        <v>661</v>
      </c>
      <c r="AN1034" s="2" t="s">
        <v>661</v>
      </c>
      <c r="AO1034" s="15" t="s">
        <v>93</v>
      </c>
      <c r="AP1034" s="72">
        <v>11.357100000000001</v>
      </c>
      <c r="AQ1034" s="70" t="s">
        <v>752</v>
      </c>
      <c r="AR1034" s="72">
        <v>38.426100000000012</v>
      </c>
      <c r="AS1034" s="72">
        <v>36.2271</v>
      </c>
      <c r="AT1034" s="72">
        <v>25.5412</v>
      </c>
      <c r="AU1034" s="70" t="s">
        <v>752</v>
      </c>
      <c r="AV1034" s="16">
        <f t="shared" si="462"/>
        <v>100.19440000000002</v>
      </c>
      <c r="AW1034" s="24">
        <f>0.491/2</f>
        <v>0.2455</v>
      </c>
      <c r="AX1034" s="8">
        <f t="shared" si="469"/>
        <v>2.4550000000000002E-3</v>
      </c>
      <c r="AY1034" s="12" t="s">
        <v>127</v>
      </c>
      <c r="AZ1034" s="16">
        <v>40</v>
      </c>
      <c r="BA1034" s="16" t="s">
        <v>55</v>
      </c>
      <c r="BB1034" s="16">
        <v>1000</v>
      </c>
      <c r="BC1034" s="16">
        <v>20000</v>
      </c>
      <c r="BD1034" s="24">
        <f>BO1034</f>
        <v>14.111334630934246</v>
      </c>
      <c r="BE1034" s="16">
        <f t="shared" si="464"/>
        <v>5747.9978130078389</v>
      </c>
      <c r="BF1034" s="16">
        <f t="shared" si="477"/>
        <v>3.7595165942223119</v>
      </c>
      <c r="BG1034" s="8">
        <f t="shared" si="458"/>
        <v>1.1495680906812993</v>
      </c>
      <c r="BH1034" s="13" t="s">
        <v>782</v>
      </c>
      <c r="BI1034" s="8">
        <v>23.13</v>
      </c>
      <c r="BJ1034" s="13" t="s">
        <v>372</v>
      </c>
      <c r="BK1034" s="15">
        <v>0.78890000000000005</v>
      </c>
      <c r="BL1034" s="16">
        <f>BI1034</f>
        <v>23.13</v>
      </c>
      <c r="BM1034" s="18">
        <f>'PFAS Properties'!$U$46</f>
        <v>10.39</v>
      </c>
      <c r="BN1034" s="8">
        <f>(BL1034*(BM1034^BK1034))</f>
        <v>146.61676681540683</v>
      </c>
      <c r="BO1034" s="24">
        <f>BN1034/BM1034</f>
        <v>14.111334630934246</v>
      </c>
    </row>
    <row r="1035" spans="1:67" s="14" customFormat="1" x14ac:dyDescent="0.3">
      <c r="A1035" s="20">
        <v>1056</v>
      </c>
      <c r="B1035" s="2" t="s">
        <v>214</v>
      </c>
      <c r="C1035" s="2">
        <v>2022</v>
      </c>
      <c r="D1035" s="2" t="s">
        <v>201</v>
      </c>
      <c r="E1035" s="22" t="s">
        <v>808</v>
      </c>
      <c r="F1035" s="20" t="s">
        <v>29</v>
      </c>
      <c r="G1035" s="2" t="s">
        <v>215</v>
      </c>
      <c r="H1035" s="2" t="str">
        <f>'PFAS Properties'!$B$47</f>
        <v>PFNS</v>
      </c>
      <c r="I1035" s="2" t="str">
        <f>'PFAS Properties'!$C$47</f>
        <v>PFSA</v>
      </c>
      <c r="J1035" s="2" t="str">
        <f>'PFAS Properties'!$D$47</f>
        <v>C9HF19O3S</v>
      </c>
      <c r="K1035" s="25">
        <f>'PFAS Properties'!$P$47</f>
        <v>549.93420000000003</v>
      </c>
      <c r="L1035" s="2">
        <f>'PFAS Properties'!$X$47</f>
        <v>0.1</v>
      </c>
      <c r="M1035" s="2" t="str">
        <f>'PFAS Properties'!$Y$47</f>
        <v>-</v>
      </c>
      <c r="N1035" s="33">
        <v>0</v>
      </c>
      <c r="O1035" s="33">
        <v>0</v>
      </c>
      <c r="P1035" s="33">
        <v>0</v>
      </c>
      <c r="Q1035" s="33">
        <f t="shared" si="470"/>
        <v>0.99998004777494953</v>
      </c>
      <c r="R1035" s="33">
        <v>0</v>
      </c>
      <c r="S1035" s="33">
        <f t="shared" si="471"/>
        <v>1.9952225050461341E-5</v>
      </c>
      <c r="T1035" s="8">
        <f t="shared" si="461"/>
        <v>1</v>
      </c>
      <c r="U1035" s="33">
        <f t="shared" si="472"/>
        <v>0</v>
      </c>
      <c r="V1035" s="33">
        <f t="shared" si="473"/>
        <v>-0.99998004777494953</v>
      </c>
      <c r="W1035" s="33">
        <f t="shared" si="474"/>
        <v>548.93421995222502</v>
      </c>
      <c r="X1035" s="33">
        <v>96485</v>
      </c>
      <c r="Y1035" s="16">
        <f t="shared" si="475"/>
        <v>-175.76436557000062</v>
      </c>
      <c r="Z1035" s="16">
        <v>9</v>
      </c>
      <c r="AA1035" s="16">
        <v>19</v>
      </c>
      <c r="AB1035" s="8">
        <f t="shared" si="476"/>
        <v>0.29916897506925205</v>
      </c>
      <c r="AC1035" s="16">
        <f t="shared" si="463"/>
        <v>65.644217071787864</v>
      </c>
      <c r="AD1035" s="20">
        <f>'PFAS Properties'!$W$47</f>
        <v>9</v>
      </c>
      <c r="AE1035" s="8">
        <f>'PFAS Properties'!$S$47</f>
        <v>1.1238516409670858</v>
      </c>
      <c r="AF1035" s="15">
        <f>'PFAS Properties'!$V$47</f>
        <v>5.6</v>
      </c>
      <c r="AG1035" s="24">
        <v>4.8</v>
      </c>
      <c r="AH1035" s="2" t="s">
        <v>216</v>
      </c>
      <c r="AI1035" s="2">
        <v>8.3000000000000007</v>
      </c>
      <c r="AJ1035" s="15">
        <f>AI1035*1000/55.845</f>
        <v>148.62566030978601</v>
      </c>
      <c r="AK1035" s="15">
        <f>AI1035/10</f>
        <v>0.83000000000000007</v>
      </c>
      <c r="AL1035" s="15">
        <v>7.85</v>
      </c>
      <c r="AM1035" s="15">
        <f>AL1035*1000/26.98</f>
        <v>290.95626389918459</v>
      </c>
      <c r="AN1035" s="15">
        <f>AL1035/10</f>
        <v>0.78499999999999992</v>
      </c>
      <c r="AO1035" s="15" t="s">
        <v>217</v>
      </c>
      <c r="AP1035" s="72">
        <v>15.34083666666667</v>
      </c>
      <c r="AQ1035" s="70" t="s">
        <v>752</v>
      </c>
      <c r="AR1035" s="16">
        <v>32</v>
      </c>
      <c r="AS1035" s="16">
        <v>40</v>
      </c>
      <c r="AT1035" s="16">
        <v>28</v>
      </c>
      <c r="AU1035" s="2" t="s">
        <v>661</v>
      </c>
      <c r="AV1035" s="16">
        <f t="shared" si="462"/>
        <v>100</v>
      </c>
      <c r="AW1035" s="20">
        <v>4.9000000000000004</v>
      </c>
      <c r="AX1035" s="8">
        <f t="shared" si="469"/>
        <v>4.9000000000000002E-2</v>
      </c>
      <c r="AY1035" s="8" t="s">
        <v>218</v>
      </c>
      <c r="AZ1035" s="16">
        <f>1.5/0.075</f>
        <v>20</v>
      </c>
      <c r="BA1035" s="16" t="s">
        <v>55</v>
      </c>
      <c r="BB1035" s="16">
        <v>10</v>
      </c>
      <c r="BC1035" s="16" t="s">
        <v>55</v>
      </c>
      <c r="BD1035" s="20">
        <v>46.55</v>
      </c>
      <c r="BE1035" s="16">
        <f t="shared" si="464"/>
        <v>949.99999999999989</v>
      </c>
      <c r="BF1035" s="16">
        <f t="shared" si="477"/>
        <v>2.9777236052888476</v>
      </c>
      <c r="BG1035" s="8">
        <f t="shared" si="458"/>
        <v>1.6679196853173615</v>
      </c>
      <c r="BH1035" s="2" t="s">
        <v>374</v>
      </c>
      <c r="BI1035" s="2"/>
      <c r="BJ1035" s="2"/>
      <c r="BK1035" s="2"/>
      <c r="BL1035" s="2"/>
      <c r="BM1035" s="20"/>
      <c r="BN1035" s="20"/>
      <c r="BO1035" s="2"/>
    </row>
    <row r="1036" spans="1:67" s="14" customFormat="1" x14ac:dyDescent="0.3">
      <c r="A1036" s="20">
        <v>1057</v>
      </c>
      <c r="B1036" s="2" t="s">
        <v>214</v>
      </c>
      <c r="C1036" s="2">
        <v>2022</v>
      </c>
      <c r="D1036" s="2" t="s">
        <v>201</v>
      </c>
      <c r="E1036" s="10" t="s">
        <v>808</v>
      </c>
      <c r="F1036" s="20" t="s">
        <v>29</v>
      </c>
      <c r="G1036" s="2" t="s">
        <v>233</v>
      </c>
      <c r="H1036" s="2" t="str">
        <f>'PFAS Properties'!$B$47</f>
        <v>PFNS</v>
      </c>
      <c r="I1036" s="2" t="str">
        <f>'PFAS Properties'!$C$47</f>
        <v>PFSA</v>
      </c>
      <c r="J1036" s="2" t="str">
        <f>'PFAS Properties'!$D$47</f>
        <v>C9HF19O3S</v>
      </c>
      <c r="K1036" s="25">
        <f>'PFAS Properties'!$P$47</f>
        <v>549.93420000000003</v>
      </c>
      <c r="L1036" s="2">
        <f>'PFAS Properties'!$X$47</f>
        <v>0.1</v>
      </c>
      <c r="M1036" s="2" t="str">
        <f>'PFAS Properties'!$Y$47</f>
        <v>-</v>
      </c>
      <c r="N1036" s="33">
        <v>0</v>
      </c>
      <c r="O1036" s="33">
        <v>0</v>
      </c>
      <c r="P1036" s="33">
        <v>0</v>
      </c>
      <c r="Q1036" s="33">
        <f t="shared" si="470"/>
        <v>0.99999841510931942</v>
      </c>
      <c r="R1036" s="33">
        <v>0</v>
      </c>
      <c r="S1036" s="33">
        <f t="shared" si="471"/>
        <v>1.5848906805786579E-6</v>
      </c>
      <c r="T1036" s="8">
        <f t="shared" si="461"/>
        <v>1</v>
      </c>
      <c r="U1036" s="33">
        <f t="shared" si="472"/>
        <v>0</v>
      </c>
      <c r="V1036" s="33">
        <f t="shared" si="473"/>
        <v>-0.99999841510931942</v>
      </c>
      <c r="W1036" s="33">
        <f t="shared" si="474"/>
        <v>548.93420158489062</v>
      </c>
      <c r="X1036" s="33">
        <v>96485</v>
      </c>
      <c r="Y1036" s="16">
        <f t="shared" si="475"/>
        <v>-175.76759983846929</v>
      </c>
      <c r="Z1036" s="16">
        <v>9</v>
      </c>
      <c r="AA1036" s="16">
        <v>19</v>
      </c>
      <c r="AB1036" s="8">
        <f t="shared" si="476"/>
        <v>0.29916897506925205</v>
      </c>
      <c r="AC1036" s="16">
        <f t="shared" si="463"/>
        <v>65.644217071787864</v>
      </c>
      <c r="AD1036" s="20">
        <f>'PFAS Properties'!$W$47</f>
        <v>9</v>
      </c>
      <c r="AE1036" s="8">
        <f>'PFAS Properties'!$S$47</f>
        <v>1.1238516409670858</v>
      </c>
      <c r="AF1036" s="15">
        <f>'PFAS Properties'!$V$47</f>
        <v>5.6</v>
      </c>
      <c r="AG1036" s="24">
        <v>5.9</v>
      </c>
      <c r="AH1036" s="2" t="s">
        <v>216</v>
      </c>
      <c r="AI1036" s="2">
        <v>1.4</v>
      </c>
      <c r="AJ1036" s="15">
        <f>AI1036*1000/55.845</f>
        <v>25.069388485988004</v>
      </c>
      <c r="AK1036" s="15">
        <f>AI1036/10</f>
        <v>0.13999999999999999</v>
      </c>
      <c r="AL1036" s="15">
        <v>0.92</v>
      </c>
      <c r="AM1036" s="15">
        <f>AL1036*1000/26.98</f>
        <v>34.099332839140104</v>
      </c>
      <c r="AN1036" s="15">
        <f>AL1036/10</f>
        <v>9.1999999999999998E-2</v>
      </c>
      <c r="AO1036" s="15" t="s">
        <v>217</v>
      </c>
      <c r="AP1036" s="72">
        <v>15.34083666666667</v>
      </c>
      <c r="AQ1036" s="70" t="s">
        <v>752</v>
      </c>
      <c r="AR1036" s="16">
        <v>37</v>
      </c>
      <c r="AS1036" s="16">
        <v>22</v>
      </c>
      <c r="AT1036" s="16">
        <v>41</v>
      </c>
      <c r="AU1036" s="2" t="s">
        <v>661</v>
      </c>
      <c r="AV1036" s="16">
        <f t="shared" si="462"/>
        <v>100</v>
      </c>
      <c r="AW1036" s="20">
        <v>2.6</v>
      </c>
      <c r="AX1036" s="8">
        <f t="shared" si="469"/>
        <v>2.6000000000000002E-2</v>
      </c>
      <c r="AY1036" s="8" t="s">
        <v>218</v>
      </c>
      <c r="AZ1036" s="16">
        <f>1.5/0.075</f>
        <v>20</v>
      </c>
      <c r="BA1036" s="16" t="s">
        <v>55</v>
      </c>
      <c r="BB1036" s="16">
        <v>10</v>
      </c>
      <c r="BC1036" s="16" t="s">
        <v>55</v>
      </c>
      <c r="BD1036" s="20">
        <v>16.21</v>
      </c>
      <c r="BE1036" s="16">
        <f t="shared" si="464"/>
        <v>623.46153846153845</v>
      </c>
      <c r="BF1036" s="16">
        <f t="shared" si="477"/>
        <v>2.7948096668776969</v>
      </c>
      <c r="BG1036" s="8">
        <f t="shared" si="458"/>
        <v>1.2097830148485149</v>
      </c>
      <c r="BH1036" s="2" t="s">
        <v>374</v>
      </c>
      <c r="BI1036" s="2"/>
      <c r="BJ1036" s="2"/>
      <c r="BK1036" s="2"/>
      <c r="BL1036" s="2"/>
      <c r="BM1036" s="20"/>
      <c r="BN1036" s="20"/>
      <c r="BO1036" s="2"/>
    </row>
    <row r="1037" spans="1:67" s="46" customFormat="1" x14ac:dyDescent="0.3">
      <c r="A1037" s="20">
        <v>1058</v>
      </c>
      <c r="B1037" s="2" t="s">
        <v>181</v>
      </c>
      <c r="C1037" s="2">
        <v>2020</v>
      </c>
      <c r="D1037" s="2" t="s">
        <v>203</v>
      </c>
      <c r="E1037" s="10" t="s">
        <v>787</v>
      </c>
      <c r="F1037" s="20" t="s">
        <v>29</v>
      </c>
      <c r="G1037" s="2" t="s">
        <v>62</v>
      </c>
      <c r="H1037" s="2" t="str">
        <f>'PFAS Properties'!$B$47</f>
        <v>PFNS</v>
      </c>
      <c r="I1037" s="2" t="str">
        <f>'PFAS Properties'!$C$47</f>
        <v>PFSA</v>
      </c>
      <c r="J1037" s="2" t="str">
        <f>'PFAS Properties'!$D$47</f>
        <v>C9HF19O3S</v>
      </c>
      <c r="K1037" s="25">
        <f>'PFAS Properties'!$P$47</f>
        <v>549.93420000000003</v>
      </c>
      <c r="L1037" s="2">
        <f>'PFAS Properties'!$X$47</f>
        <v>0.1</v>
      </c>
      <c r="M1037" s="2" t="str">
        <f>'PFAS Properties'!$Y$47</f>
        <v>-</v>
      </c>
      <c r="N1037" s="33">
        <v>0</v>
      </c>
      <c r="O1037" s="33">
        <v>0</v>
      </c>
      <c r="P1037" s="33">
        <v>0</v>
      </c>
      <c r="Q1037" s="33">
        <f t="shared" si="470"/>
        <v>0.9999999601892845</v>
      </c>
      <c r="R1037" s="33">
        <v>0</v>
      </c>
      <c r="S1037" s="33">
        <f t="shared" si="471"/>
        <v>3.9810715470456442E-8</v>
      </c>
      <c r="T1037" s="8">
        <f t="shared" si="461"/>
        <v>1</v>
      </c>
      <c r="U1037" s="33">
        <f t="shared" si="472"/>
        <v>0</v>
      </c>
      <c r="V1037" s="33">
        <f t="shared" si="473"/>
        <v>-0.9999999601892845</v>
      </c>
      <c r="W1037" s="33">
        <f t="shared" si="474"/>
        <v>548.93420003981066</v>
      </c>
      <c r="X1037" s="33">
        <v>96485</v>
      </c>
      <c r="Y1037" s="16">
        <f t="shared" si="475"/>
        <v>-175.7678719086289</v>
      </c>
      <c r="Z1037" s="16">
        <v>9</v>
      </c>
      <c r="AA1037" s="16">
        <v>19</v>
      </c>
      <c r="AB1037" s="8">
        <f t="shared" si="476"/>
        <v>0.29916897506925205</v>
      </c>
      <c r="AC1037" s="16">
        <f t="shared" si="463"/>
        <v>65.644217071787864</v>
      </c>
      <c r="AD1037" s="20">
        <f>'PFAS Properties'!$W$47</f>
        <v>9</v>
      </c>
      <c r="AE1037" s="8">
        <f>'PFAS Properties'!$S$47</f>
        <v>1.1238516409670858</v>
      </c>
      <c r="AF1037" s="15">
        <f>'PFAS Properties'!$V$47</f>
        <v>5.6</v>
      </c>
      <c r="AG1037" s="24">
        <v>7.5</v>
      </c>
      <c r="AH1037" s="2" t="s">
        <v>183</v>
      </c>
      <c r="AI1037" s="2" t="s">
        <v>661</v>
      </c>
      <c r="AJ1037" s="2" t="s">
        <v>661</v>
      </c>
      <c r="AK1037" s="2" t="s">
        <v>661</v>
      </c>
      <c r="AL1037" s="2" t="s">
        <v>661</v>
      </c>
      <c r="AM1037" s="2" t="s">
        <v>661</v>
      </c>
      <c r="AN1037" s="2" t="s">
        <v>661</v>
      </c>
      <c r="AO1037" s="2" t="s">
        <v>661</v>
      </c>
      <c r="AP1037" s="15">
        <v>41.4</v>
      </c>
      <c r="AQ1037" s="2" t="s">
        <v>661</v>
      </c>
      <c r="AR1037" s="16">
        <v>16.899999999999999</v>
      </c>
      <c r="AS1037" s="16">
        <v>17.5</v>
      </c>
      <c r="AT1037" s="16">
        <v>65.599999999999994</v>
      </c>
      <c r="AU1037" s="2" t="s">
        <v>661</v>
      </c>
      <c r="AV1037" s="16">
        <f t="shared" si="462"/>
        <v>100</v>
      </c>
      <c r="AW1037" s="20">
        <v>0.7</v>
      </c>
      <c r="AX1037" s="8">
        <v>6.9999999999999993E-3</v>
      </c>
      <c r="AY1037" s="13" t="s">
        <v>184</v>
      </c>
      <c r="AZ1037" s="16">
        <v>100</v>
      </c>
      <c r="BA1037" s="16" t="s">
        <v>55</v>
      </c>
      <c r="BB1037" s="16">
        <v>5</v>
      </c>
      <c r="BC1037" s="16" t="s">
        <v>55</v>
      </c>
      <c r="BD1037" s="20">
        <v>15.54</v>
      </c>
      <c r="BE1037" s="16">
        <f t="shared" si="464"/>
        <v>2220</v>
      </c>
      <c r="BF1037" s="16">
        <f t="shared" si="477"/>
        <v>3.3463529744506388</v>
      </c>
      <c r="BG1037" s="8">
        <f t="shared" si="458"/>
        <v>1.1914510144648955</v>
      </c>
      <c r="BH1037" s="13" t="s">
        <v>841</v>
      </c>
      <c r="BI1037" s="9"/>
      <c r="BJ1037" s="13"/>
      <c r="BK1037" s="9"/>
      <c r="BL1037" s="9"/>
      <c r="BM1037" s="19"/>
      <c r="BN1037" s="19"/>
      <c r="BO1037" s="129"/>
    </row>
    <row r="1038" spans="1:67" s="46" customFormat="1" x14ac:dyDescent="0.3">
      <c r="A1038" s="20">
        <v>1059</v>
      </c>
      <c r="B1038" s="2" t="s">
        <v>181</v>
      </c>
      <c r="C1038" s="2">
        <v>2020</v>
      </c>
      <c r="D1038" s="2" t="s">
        <v>203</v>
      </c>
      <c r="E1038" s="10" t="s">
        <v>787</v>
      </c>
      <c r="F1038" s="20" t="s">
        <v>29</v>
      </c>
      <c r="G1038" s="2" t="s">
        <v>57</v>
      </c>
      <c r="H1038" s="2" t="str">
        <f>'PFAS Properties'!$B$47</f>
        <v>PFNS</v>
      </c>
      <c r="I1038" s="2" t="str">
        <f>'PFAS Properties'!$C$47</f>
        <v>PFSA</v>
      </c>
      <c r="J1038" s="2" t="str">
        <f>'PFAS Properties'!$D$47</f>
        <v>C9HF19O3S</v>
      </c>
      <c r="K1038" s="25">
        <f>'PFAS Properties'!$P$47</f>
        <v>549.93420000000003</v>
      </c>
      <c r="L1038" s="2">
        <f>'PFAS Properties'!$X$47</f>
        <v>0.1</v>
      </c>
      <c r="M1038" s="2" t="str">
        <f>'PFAS Properties'!$Y$47</f>
        <v>-</v>
      </c>
      <c r="N1038" s="33">
        <v>0</v>
      </c>
      <c r="O1038" s="33">
        <v>0</v>
      </c>
      <c r="P1038" s="33">
        <v>0</v>
      </c>
      <c r="Q1038" s="33">
        <f t="shared" si="470"/>
        <v>0.99999980047380832</v>
      </c>
      <c r="R1038" s="33">
        <v>0</v>
      </c>
      <c r="S1038" s="33">
        <f t="shared" si="471"/>
        <v>1.9952619168617852E-7</v>
      </c>
      <c r="T1038" s="8">
        <f t="shared" si="461"/>
        <v>1</v>
      </c>
      <c r="U1038" s="33">
        <f t="shared" si="472"/>
        <v>0</v>
      </c>
      <c r="V1038" s="33">
        <f t="shared" si="473"/>
        <v>-0.99999980047380832</v>
      </c>
      <c r="W1038" s="33">
        <f t="shared" si="474"/>
        <v>548.93420019952623</v>
      </c>
      <c r="X1038" s="33">
        <v>96485</v>
      </c>
      <c r="Y1038" s="16">
        <f t="shared" si="475"/>
        <v>-175.76784378463776</v>
      </c>
      <c r="Z1038" s="16">
        <v>9</v>
      </c>
      <c r="AA1038" s="16">
        <v>19</v>
      </c>
      <c r="AB1038" s="8">
        <f t="shared" si="476"/>
        <v>0.29916897506925205</v>
      </c>
      <c r="AC1038" s="16">
        <f t="shared" si="463"/>
        <v>65.644217071787864</v>
      </c>
      <c r="AD1038" s="20">
        <f>'PFAS Properties'!$W$47</f>
        <v>9</v>
      </c>
      <c r="AE1038" s="8">
        <f>'PFAS Properties'!$S$47</f>
        <v>1.1238516409670858</v>
      </c>
      <c r="AF1038" s="15">
        <f>'PFAS Properties'!$V$47</f>
        <v>5.6</v>
      </c>
      <c r="AG1038" s="24">
        <v>6.8</v>
      </c>
      <c r="AH1038" s="2" t="s">
        <v>183</v>
      </c>
      <c r="AI1038" s="2" t="s">
        <v>661</v>
      </c>
      <c r="AJ1038" s="2" t="s">
        <v>661</v>
      </c>
      <c r="AK1038" s="2" t="s">
        <v>661</v>
      </c>
      <c r="AL1038" s="2" t="s">
        <v>661</v>
      </c>
      <c r="AM1038" s="2" t="s">
        <v>661</v>
      </c>
      <c r="AN1038" s="2" t="s">
        <v>661</v>
      </c>
      <c r="AO1038" s="2" t="s">
        <v>661</v>
      </c>
      <c r="AP1038" s="15">
        <v>7.1</v>
      </c>
      <c r="AQ1038" s="2" t="s">
        <v>661</v>
      </c>
      <c r="AR1038" s="16">
        <v>48.9</v>
      </c>
      <c r="AS1038" s="16">
        <v>27</v>
      </c>
      <c r="AT1038" s="16">
        <v>24.2</v>
      </c>
      <c r="AU1038" s="2" t="s">
        <v>661</v>
      </c>
      <c r="AV1038" s="16">
        <f t="shared" si="462"/>
        <v>100.10000000000001</v>
      </c>
      <c r="AW1038" s="20">
        <v>0.37</v>
      </c>
      <c r="AX1038" s="8">
        <v>3.7000000000000002E-3</v>
      </c>
      <c r="AY1038" s="13" t="s">
        <v>184</v>
      </c>
      <c r="AZ1038" s="16">
        <v>100</v>
      </c>
      <c r="BA1038" s="16" t="s">
        <v>55</v>
      </c>
      <c r="BB1038" s="16">
        <v>5</v>
      </c>
      <c r="BC1038" s="16" t="s">
        <v>55</v>
      </c>
      <c r="BD1038" s="20">
        <v>25.22</v>
      </c>
      <c r="BE1038" s="16">
        <f t="shared" si="464"/>
        <v>6816.2162162162158</v>
      </c>
      <c r="BF1038" s="16">
        <f t="shared" si="477"/>
        <v>3.833543358170068</v>
      </c>
      <c r="BG1038" s="8">
        <f t="shared" si="458"/>
        <v>1.4017450822370627</v>
      </c>
      <c r="BH1038" s="13" t="s">
        <v>841</v>
      </c>
      <c r="BI1038" s="9"/>
      <c r="BJ1038" s="13"/>
      <c r="BK1038" s="9"/>
      <c r="BL1038" s="9"/>
      <c r="BM1038" s="19"/>
      <c r="BN1038" s="19"/>
      <c r="BO1038" s="129"/>
    </row>
    <row r="1039" spans="1:67" s="46" customFormat="1" x14ac:dyDescent="0.3">
      <c r="A1039" s="20">
        <v>1060</v>
      </c>
      <c r="B1039" s="2" t="s">
        <v>181</v>
      </c>
      <c r="C1039" s="2">
        <v>2020</v>
      </c>
      <c r="D1039" s="2" t="s">
        <v>203</v>
      </c>
      <c r="E1039" s="10" t="s">
        <v>787</v>
      </c>
      <c r="F1039" s="20" t="s">
        <v>29</v>
      </c>
      <c r="G1039" s="2" t="s">
        <v>58</v>
      </c>
      <c r="H1039" s="2" t="str">
        <f>'PFAS Properties'!$B$47</f>
        <v>PFNS</v>
      </c>
      <c r="I1039" s="2" t="str">
        <f>'PFAS Properties'!$C$47</f>
        <v>PFSA</v>
      </c>
      <c r="J1039" s="2" t="str">
        <f>'PFAS Properties'!$D$47</f>
        <v>C9HF19O3S</v>
      </c>
      <c r="K1039" s="25">
        <f>'PFAS Properties'!$P$47</f>
        <v>549.93420000000003</v>
      </c>
      <c r="L1039" s="2">
        <f>'PFAS Properties'!$X$47</f>
        <v>0.1</v>
      </c>
      <c r="M1039" s="2" t="str">
        <f>'PFAS Properties'!$Y$47</f>
        <v>-</v>
      </c>
      <c r="N1039" s="33">
        <v>0</v>
      </c>
      <c r="O1039" s="33">
        <v>0</v>
      </c>
      <c r="P1039" s="33">
        <v>0</v>
      </c>
      <c r="Q1039" s="33">
        <f t="shared" si="470"/>
        <v>0.9999992056723962</v>
      </c>
      <c r="R1039" s="33">
        <v>0</v>
      </c>
      <c r="S1039" s="33">
        <f t="shared" si="471"/>
        <v>7.9432760376743655E-7</v>
      </c>
      <c r="T1039" s="8">
        <f t="shared" si="461"/>
        <v>1</v>
      </c>
      <c r="U1039" s="33">
        <f t="shared" si="472"/>
        <v>0</v>
      </c>
      <c r="V1039" s="33">
        <f t="shared" si="473"/>
        <v>-0.9999992056723962</v>
      </c>
      <c r="W1039" s="33">
        <f t="shared" si="474"/>
        <v>548.93420079432769</v>
      </c>
      <c r="X1039" s="33">
        <v>96485</v>
      </c>
      <c r="Y1039" s="16">
        <f t="shared" si="475"/>
        <v>-175.76773904720085</v>
      </c>
      <c r="Z1039" s="16">
        <v>9</v>
      </c>
      <c r="AA1039" s="16">
        <v>19</v>
      </c>
      <c r="AB1039" s="8">
        <f t="shared" si="476"/>
        <v>0.29916897506925205</v>
      </c>
      <c r="AC1039" s="16">
        <f t="shared" si="463"/>
        <v>65.644217071787864</v>
      </c>
      <c r="AD1039" s="20">
        <f>'PFAS Properties'!$W$47</f>
        <v>9</v>
      </c>
      <c r="AE1039" s="8">
        <f>'PFAS Properties'!$S$47</f>
        <v>1.1238516409670858</v>
      </c>
      <c r="AF1039" s="15">
        <f>'PFAS Properties'!$V$47</f>
        <v>5.6</v>
      </c>
      <c r="AG1039" s="24">
        <v>6.2</v>
      </c>
      <c r="AH1039" s="2" t="s">
        <v>183</v>
      </c>
      <c r="AI1039" s="2" t="s">
        <v>661</v>
      </c>
      <c r="AJ1039" s="2" t="s">
        <v>661</v>
      </c>
      <c r="AK1039" s="2" t="s">
        <v>661</v>
      </c>
      <c r="AL1039" s="2" t="s">
        <v>661</v>
      </c>
      <c r="AM1039" s="2" t="s">
        <v>661</v>
      </c>
      <c r="AN1039" s="2" t="s">
        <v>661</v>
      </c>
      <c r="AO1039" s="2" t="s">
        <v>661</v>
      </c>
      <c r="AP1039" s="15">
        <v>8</v>
      </c>
      <c r="AQ1039" s="2" t="s">
        <v>661</v>
      </c>
      <c r="AR1039" s="16">
        <v>51.44</v>
      </c>
      <c r="AS1039" s="16">
        <v>10.17</v>
      </c>
      <c r="AT1039" s="16">
        <v>38.380000000000003</v>
      </c>
      <c r="AU1039" s="2" t="s">
        <v>661</v>
      </c>
      <c r="AV1039" s="16">
        <f t="shared" si="462"/>
        <v>99.990000000000009</v>
      </c>
      <c r="AW1039" s="20">
        <v>0.08</v>
      </c>
      <c r="AX1039" s="8">
        <v>8.0000000000000004E-4</v>
      </c>
      <c r="AY1039" s="8" t="s">
        <v>184</v>
      </c>
      <c r="AZ1039" s="16">
        <v>100</v>
      </c>
      <c r="BA1039" s="16" t="s">
        <v>55</v>
      </c>
      <c r="BB1039" s="16">
        <v>5</v>
      </c>
      <c r="BC1039" s="16" t="s">
        <v>55</v>
      </c>
      <c r="BD1039" s="20">
        <v>12.2</v>
      </c>
      <c r="BE1039" s="16">
        <f t="shared" si="464"/>
        <v>15249.999999999998</v>
      </c>
      <c r="BF1039" s="16">
        <f t="shared" si="477"/>
        <v>4.1832698436828046</v>
      </c>
      <c r="BG1039" s="8">
        <f t="shared" si="458"/>
        <v>1.0863598306747482</v>
      </c>
      <c r="BH1039" s="13" t="s">
        <v>841</v>
      </c>
      <c r="BI1039" s="9"/>
      <c r="BJ1039" s="13"/>
      <c r="BK1039" s="9"/>
      <c r="BL1039" s="9"/>
      <c r="BM1039" s="19"/>
      <c r="BN1039" s="19"/>
      <c r="BO1039" s="129"/>
    </row>
    <row r="1040" spans="1:67" s="46" customFormat="1" x14ac:dyDescent="0.3">
      <c r="A1040" s="20">
        <v>1061</v>
      </c>
      <c r="B1040" s="2" t="s">
        <v>181</v>
      </c>
      <c r="C1040" s="2">
        <v>2020</v>
      </c>
      <c r="D1040" s="2" t="s">
        <v>203</v>
      </c>
      <c r="E1040" s="10" t="s">
        <v>787</v>
      </c>
      <c r="F1040" s="20" t="s">
        <v>29</v>
      </c>
      <c r="G1040" s="2" t="s">
        <v>59</v>
      </c>
      <c r="H1040" s="2" t="str">
        <f>'PFAS Properties'!$B$47</f>
        <v>PFNS</v>
      </c>
      <c r="I1040" s="2" t="str">
        <f>'PFAS Properties'!$C$47</f>
        <v>PFSA</v>
      </c>
      <c r="J1040" s="2" t="str">
        <f>'PFAS Properties'!$D$47</f>
        <v>C9HF19O3S</v>
      </c>
      <c r="K1040" s="25">
        <f>'PFAS Properties'!$P$47</f>
        <v>549.93420000000003</v>
      </c>
      <c r="L1040" s="2">
        <f>'PFAS Properties'!$X$47</f>
        <v>0.1</v>
      </c>
      <c r="M1040" s="2" t="str">
        <f>'PFAS Properties'!$Y$47</f>
        <v>-</v>
      </c>
      <c r="N1040" s="33">
        <v>0</v>
      </c>
      <c r="O1040" s="33">
        <v>0</v>
      </c>
      <c r="P1040" s="33">
        <v>0</v>
      </c>
      <c r="Q1040" s="33">
        <f t="shared" si="470"/>
        <v>0.99999997488113634</v>
      </c>
      <c r="R1040" s="33">
        <v>0</v>
      </c>
      <c r="S1040" s="33">
        <f t="shared" si="471"/>
        <v>2.5118863684138424E-8</v>
      </c>
      <c r="T1040" s="8">
        <f t="shared" si="461"/>
        <v>1</v>
      </c>
      <c r="U1040" s="33">
        <f t="shared" si="472"/>
        <v>0</v>
      </c>
      <c r="V1040" s="33">
        <f t="shared" si="473"/>
        <v>-0.99999997488113634</v>
      </c>
      <c r="W1040" s="33">
        <f t="shared" si="474"/>
        <v>548.93420002511891</v>
      </c>
      <c r="X1040" s="33">
        <v>96485</v>
      </c>
      <c r="Y1040" s="16">
        <f t="shared" si="475"/>
        <v>-175.7678744956888</v>
      </c>
      <c r="Z1040" s="16">
        <v>9</v>
      </c>
      <c r="AA1040" s="16">
        <v>19</v>
      </c>
      <c r="AB1040" s="8">
        <f t="shared" si="476"/>
        <v>0.29916897506925205</v>
      </c>
      <c r="AC1040" s="16">
        <f t="shared" si="463"/>
        <v>65.644217071787864</v>
      </c>
      <c r="AD1040" s="20">
        <f>'PFAS Properties'!$W$47</f>
        <v>9</v>
      </c>
      <c r="AE1040" s="8">
        <f>'PFAS Properties'!$S$47</f>
        <v>1.1238516409670858</v>
      </c>
      <c r="AF1040" s="15">
        <f>'PFAS Properties'!$V$47</f>
        <v>5.6</v>
      </c>
      <c r="AG1040" s="24">
        <v>7.7</v>
      </c>
      <c r="AH1040" s="2" t="s">
        <v>183</v>
      </c>
      <c r="AI1040" s="2" t="s">
        <v>661</v>
      </c>
      <c r="AJ1040" s="2" t="s">
        <v>661</v>
      </c>
      <c r="AK1040" s="2" t="s">
        <v>661</v>
      </c>
      <c r="AL1040" s="2" t="s">
        <v>661</v>
      </c>
      <c r="AM1040" s="2" t="s">
        <v>661</v>
      </c>
      <c r="AN1040" s="2" t="s">
        <v>661</v>
      </c>
      <c r="AO1040" s="2" t="s">
        <v>661</v>
      </c>
      <c r="AP1040" s="15">
        <v>4.8</v>
      </c>
      <c r="AQ1040" s="2" t="s">
        <v>661</v>
      </c>
      <c r="AR1040" s="16">
        <v>46</v>
      </c>
      <c r="AS1040" s="16">
        <v>37</v>
      </c>
      <c r="AT1040" s="16">
        <v>17</v>
      </c>
      <c r="AU1040" s="2" t="s">
        <v>661</v>
      </c>
      <c r="AV1040" s="16">
        <f t="shared" si="462"/>
        <v>100</v>
      </c>
      <c r="AW1040" s="20">
        <v>0.25</v>
      </c>
      <c r="AX1040" s="8">
        <v>2.5000000000000001E-3</v>
      </c>
      <c r="AY1040" s="13" t="s">
        <v>184</v>
      </c>
      <c r="AZ1040" s="16">
        <v>100</v>
      </c>
      <c r="BA1040" s="16" t="s">
        <v>55</v>
      </c>
      <c r="BB1040" s="16">
        <v>5</v>
      </c>
      <c r="BC1040" s="16" t="s">
        <v>55</v>
      </c>
      <c r="BD1040" s="18">
        <v>5.88</v>
      </c>
      <c r="BE1040" s="16">
        <f t="shared" si="464"/>
        <v>2352</v>
      </c>
      <c r="BF1040" s="16">
        <f t="shared" si="477"/>
        <v>3.371437317404101</v>
      </c>
      <c r="BG1040" s="8">
        <f t="shared" si="458"/>
        <v>0.76937732607613851</v>
      </c>
      <c r="BH1040" s="13" t="s">
        <v>841</v>
      </c>
      <c r="BI1040" s="9"/>
      <c r="BJ1040" s="13"/>
      <c r="BK1040" s="9"/>
      <c r="BL1040" s="9"/>
      <c r="BM1040" s="19"/>
      <c r="BN1040" s="19"/>
      <c r="BO1040" s="129"/>
    </row>
    <row r="1041" spans="1:69" s="46" customFormat="1" x14ac:dyDescent="0.3">
      <c r="A1041" s="20">
        <v>1062</v>
      </c>
      <c r="B1041" s="2" t="s">
        <v>181</v>
      </c>
      <c r="C1041" s="2">
        <v>2020</v>
      </c>
      <c r="D1041" s="2" t="s">
        <v>203</v>
      </c>
      <c r="E1041" s="10" t="s">
        <v>787</v>
      </c>
      <c r="F1041" s="20" t="s">
        <v>29</v>
      </c>
      <c r="G1041" s="2" t="s">
        <v>61</v>
      </c>
      <c r="H1041" s="2" t="str">
        <f>'PFAS Properties'!$B$47</f>
        <v>PFNS</v>
      </c>
      <c r="I1041" s="2" t="str">
        <f>'PFAS Properties'!$C$47</f>
        <v>PFSA</v>
      </c>
      <c r="J1041" s="2" t="str">
        <f>'PFAS Properties'!$D$47</f>
        <v>C9HF19O3S</v>
      </c>
      <c r="K1041" s="25">
        <f>'PFAS Properties'!$P$47</f>
        <v>549.93420000000003</v>
      </c>
      <c r="L1041" s="2">
        <f>'PFAS Properties'!$X$47</f>
        <v>0.1</v>
      </c>
      <c r="M1041" s="2" t="str">
        <f>'PFAS Properties'!$Y$47</f>
        <v>-</v>
      </c>
      <c r="N1041" s="33">
        <v>0</v>
      </c>
      <c r="O1041" s="33">
        <v>0</v>
      </c>
      <c r="P1041" s="33">
        <v>0</v>
      </c>
      <c r="Q1041" s="33">
        <f t="shared" si="470"/>
        <v>0.99999994988127916</v>
      </c>
      <c r="R1041" s="33">
        <v>0</v>
      </c>
      <c r="S1041" s="33">
        <f t="shared" si="471"/>
        <v>5.0118720850840682E-8</v>
      </c>
      <c r="T1041" s="8">
        <f t="shared" si="461"/>
        <v>1</v>
      </c>
      <c r="U1041" s="33">
        <f t="shared" si="472"/>
        <v>0</v>
      </c>
      <c r="V1041" s="33">
        <f t="shared" si="473"/>
        <v>-0.99999994988127916</v>
      </c>
      <c r="W1041" s="33">
        <f t="shared" si="474"/>
        <v>548.93420005011876</v>
      </c>
      <c r="X1041" s="33">
        <v>96485</v>
      </c>
      <c r="Y1041" s="16">
        <f t="shared" si="475"/>
        <v>-175.76787009351204</v>
      </c>
      <c r="Z1041" s="16">
        <v>9</v>
      </c>
      <c r="AA1041" s="16">
        <v>19</v>
      </c>
      <c r="AB1041" s="8">
        <f t="shared" si="476"/>
        <v>0.29916897506925205</v>
      </c>
      <c r="AC1041" s="16">
        <f t="shared" si="463"/>
        <v>65.644217071787864</v>
      </c>
      <c r="AD1041" s="20">
        <f>'PFAS Properties'!$W$47</f>
        <v>9</v>
      </c>
      <c r="AE1041" s="8">
        <f>'PFAS Properties'!$S$47</f>
        <v>1.1238516409670858</v>
      </c>
      <c r="AF1041" s="15">
        <f>'PFAS Properties'!$V$47</f>
        <v>5.6</v>
      </c>
      <c r="AG1041" s="24">
        <v>7.4</v>
      </c>
      <c r="AH1041" s="2" t="s">
        <v>183</v>
      </c>
      <c r="AI1041" s="2" t="s">
        <v>661</v>
      </c>
      <c r="AJ1041" s="2" t="s">
        <v>661</v>
      </c>
      <c r="AK1041" s="2" t="s">
        <v>661</v>
      </c>
      <c r="AL1041" s="2" t="s">
        <v>661</v>
      </c>
      <c r="AM1041" s="2" t="s">
        <v>661</v>
      </c>
      <c r="AN1041" s="2" t="s">
        <v>661</v>
      </c>
      <c r="AO1041" s="2" t="s">
        <v>661</v>
      </c>
      <c r="AP1041" s="15">
        <v>29.6</v>
      </c>
      <c r="AQ1041" s="2" t="s">
        <v>661</v>
      </c>
      <c r="AR1041" s="16">
        <v>39.799999999999997</v>
      </c>
      <c r="AS1041" s="16">
        <v>7.7</v>
      </c>
      <c r="AT1041" s="16">
        <v>52.5</v>
      </c>
      <c r="AU1041" s="2" t="s">
        <v>661</v>
      </c>
      <c r="AV1041" s="16">
        <f t="shared" si="462"/>
        <v>100</v>
      </c>
      <c r="AW1041" s="20">
        <v>2.23</v>
      </c>
      <c r="AX1041" s="8">
        <v>2.23E-2</v>
      </c>
      <c r="AY1041" s="8" t="s">
        <v>184</v>
      </c>
      <c r="AZ1041" s="16">
        <v>100</v>
      </c>
      <c r="BA1041" s="16" t="s">
        <v>55</v>
      </c>
      <c r="BB1041" s="16">
        <v>5</v>
      </c>
      <c r="BC1041" s="16" t="s">
        <v>55</v>
      </c>
      <c r="BD1041" s="20">
        <v>13.73</v>
      </c>
      <c r="BE1041" s="16">
        <f t="shared" si="464"/>
        <v>615.69506726457405</v>
      </c>
      <c r="BF1041" s="16">
        <f t="shared" si="477"/>
        <v>2.7893656741885944</v>
      </c>
      <c r="BG1041" s="8">
        <f t="shared" si="458"/>
        <v>1.137670537236755</v>
      </c>
      <c r="BH1041" s="13" t="s">
        <v>841</v>
      </c>
      <c r="BI1041" s="9"/>
      <c r="BJ1041" s="13"/>
      <c r="BK1041" s="9"/>
      <c r="BL1041" s="9"/>
      <c r="BM1041" s="19"/>
      <c r="BN1041" s="19"/>
      <c r="BO1041" s="129"/>
    </row>
    <row r="1042" spans="1:69" s="46" customFormat="1" x14ac:dyDescent="0.3">
      <c r="A1042" s="20">
        <v>1063</v>
      </c>
      <c r="B1042" s="2" t="s">
        <v>181</v>
      </c>
      <c r="C1042" s="2">
        <v>2020</v>
      </c>
      <c r="D1042" s="2" t="s">
        <v>203</v>
      </c>
      <c r="E1042" s="10" t="s">
        <v>787</v>
      </c>
      <c r="F1042" s="20" t="s">
        <v>29</v>
      </c>
      <c r="G1042" s="2" t="s">
        <v>60</v>
      </c>
      <c r="H1042" s="2" t="str">
        <f>'PFAS Properties'!$B$47</f>
        <v>PFNS</v>
      </c>
      <c r="I1042" s="2" t="str">
        <f>'PFAS Properties'!$C$47</f>
        <v>PFSA</v>
      </c>
      <c r="J1042" s="2" t="str">
        <f>'PFAS Properties'!$D$47</f>
        <v>C9HF19O3S</v>
      </c>
      <c r="K1042" s="25">
        <f>'PFAS Properties'!$P$47</f>
        <v>549.93420000000003</v>
      </c>
      <c r="L1042" s="2">
        <f>'PFAS Properties'!$X$47</f>
        <v>0.1</v>
      </c>
      <c r="M1042" s="2" t="str">
        <f>'PFAS Properties'!$Y$47</f>
        <v>-</v>
      </c>
      <c r="N1042" s="33">
        <v>0</v>
      </c>
      <c r="O1042" s="33">
        <v>0</v>
      </c>
      <c r="P1042" s="33">
        <v>0</v>
      </c>
      <c r="Q1042" s="33">
        <f t="shared" si="470"/>
        <v>0.99999997488113634</v>
      </c>
      <c r="R1042" s="33">
        <v>0</v>
      </c>
      <c r="S1042" s="33">
        <f t="shared" si="471"/>
        <v>2.5118863684138424E-8</v>
      </c>
      <c r="T1042" s="8">
        <f t="shared" si="461"/>
        <v>1</v>
      </c>
      <c r="U1042" s="33">
        <f t="shared" si="472"/>
        <v>0</v>
      </c>
      <c r="V1042" s="33">
        <f t="shared" si="473"/>
        <v>-0.99999997488113634</v>
      </c>
      <c r="W1042" s="33">
        <f t="shared" si="474"/>
        <v>548.93420002511891</v>
      </c>
      <c r="X1042" s="33">
        <v>96485</v>
      </c>
      <c r="Y1042" s="16">
        <f t="shared" si="475"/>
        <v>-175.7678744956888</v>
      </c>
      <c r="Z1042" s="16">
        <v>9</v>
      </c>
      <c r="AA1042" s="16">
        <v>19</v>
      </c>
      <c r="AB1042" s="8">
        <f t="shared" si="476"/>
        <v>0.29916897506925205</v>
      </c>
      <c r="AC1042" s="16">
        <f t="shared" si="463"/>
        <v>65.644217071787864</v>
      </c>
      <c r="AD1042" s="20">
        <f>'PFAS Properties'!$W$47</f>
        <v>9</v>
      </c>
      <c r="AE1042" s="8">
        <f>'PFAS Properties'!$S$47</f>
        <v>1.1238516409670858</v>
      </c>
      <c r="AF1042" s="15">
        <f>'PFAS Properties'!$V$47</f>
        <v>5.6</v>
      </c>
      <c r="AG1042" s="24">
        <v>7.7</v>
      </c>
      <c r="AH1042" s="2" t="s">
        <v>183</v>
      </c>
      <c r="AI1042" s="2" t="s">
        <v>661</v>
      </c>
      <c r="AJ1042" s="2" t="s">
        <v>661</v>
      </c>
      <c r="AK1042" s="2" t="s">
        <v>661</v>
      </c>
      <c r="AL1042" s="2" t="s">
        <v>661</v>
      </c>
      <c r="AM1042" s="2" t="s">
        <v>661</v>
      </c>
      <c r="AN1042" s="2" t="s">
        <v>661</v>
      </c>
      <c r="AO1042" s="2" t="s">
        <v>661</v>
      </c>
      <c r="AP1042" s="15">
        <v>21.63</v>
      </c>
      <c r="AQ1042" s="2" t="s">
        <v>661</v>
      </c>
      <c r="AR1042" s="16">
        <v>70</v>
      </c>
      <c r="AS1042" s="16">
        <v>11</v>
      </c>
      <c r="AT1042" s="16">
        <v>19</v>
      </c>
      <c r="AU1042" s="2" t="s">
        <v>661</v>
      </c>
      <c r="AV1042" s="16">
        <f t="shared" si="462"/>
        <v>100</v>
      </c>
      <c r="AW1042" s="20">
        <v>4.9000000000000004</v>
      </c>
      <c r="AX1042" s="8">
        <v>4.9000000000000002E-2</v>
      </c>
      <c r="AY1042" s="8" t="s">
        <v>184</v>
      </c>
      <c r="AZ1042" s="16">
        <v>100</v>
      </c>
      <c r="BA1042" s="16" t="s">
        <v>55</v>
      </c>
      <c r="BB1042" s="16">
        <v>5</v>
      </c>
      <c r="BC1042" s="16" t="s">
        <v>55</v>
      </c>
      <c r="BD1042" s="20">
        <v>119.76</v>
      </c>
      <c r="BE1042" s="16">
        <f t="shared" si="464"/>
        <v>2444.0816326530612</v>
      </c>
      <c r="BF1042" s="16">
        <f t="shared" si="477"/>
        <v>3.3881157073064823</v>
      </c>
      <c r="BG1042" s="8">
        <f t="shared" si="458"/>
        <v>2.0783117873349961</v>
      </c>
      <c r="BH1042" s="13" t="s">
        <v>841</v>
      </c>
      <c r="BI1042" s="9"/>
      <c r="BJ1042" s="13"/>
      <c r="BK1042" s="9"/>
      <c r="BL1042" s="9"/>
      <c r="BM1042" s="19"/>
      <c r="BN1042" s="19"/>
      <c r="BO1042" s="129"/>
    </row>
    <row r="1043" spans="1:69" s="46" customFormat="1" x14ac:dyDescent="0.3">
      <c r="A1043" s="20">
        <v>1064</v>
      </c>
      <c r="B1043" s="2" t="s">
        <v>181</v>
      </c>
      <c r="C1043" s="2">
        <v>2020</v>
      </c>
      <c r="D1043" s="2" t="s">
        <v>203</v>
      </c>
      <c r="E1043" s="10" t="s">
        <v>787</v>
      </c>
      <c r="F1043" s="20" t="s">
        <v>29</v>
      </c>
      <c r="G1043" s="2" t="s">
        <v>77</v>
      </c>
      <c r="H1043" s="2" t="str">
        <f>'PFAS Properties'!$B$47</f>
        <v>PFNS</v>
      </c>
      <c r="I1043" s="2" t="str">
        <f>'PFAS Properties'!$C$47</f>
        <v>PFSA</v>
      </c>
      <c r="J1043" s="2" t="str">
        <f>'PFAS Properties'!$D$47</f>
        <v>C9HF19O3S</v>
      </c>
      <c r="K1043" s="25">
        <f>'PFAS Properties'!$P$47</f>
        <v>549.93420000000003</v>
      </c>
      <c r="L1043" s="2">
        <f>'PFAS Properties'!$X$47</f>
        <v>0.1</v>
      </c>
      <c r="M1043" s="2" t="str">
        <f>'PFAS Properties'!$Y$47</f>
        <v>-</v>
      </c>
      <c r="N1043" s="33">
        <v>0</v>
      </c>
      <c r="O1043" s="33">
        <v>0</v>
      </c>
      <c r="P1043" s="33">
        <v>0</v>
      </c>
      <c r="Q1043" s="33">
        <f t="shared" si="470"/>
        <v>0.99999997488113634</v>
      </c>
      <c r="R1043" s="33">
        <v>0</v>
      </c>
      <c r="S1043" s="33">
        <f t="shared" si="471"/>
        <v>2.5118863684138424E-8</v>
      </c>
      <c r="T1043" s="8">
        <f t="shared" si="461"/>
        <v>1</v>
      </c>
      <c r="U1043" s="33">
        <f t="shared" si="472"/>
        <v>0</v>
      </c>
      <c r="V1043" s="33">
        <f t="shared" si="473"/>
        <v>-0.99999997488113634</v>
      </c>
      <c r="W1043" s="33">
        <f t="shared" si="474"/>
        <v>548.93420002511891</v>
      </c>
      <c r="X1043" s="33">
        <v>96485</v>
      </c>
      <c r="Y1043" s="16">
        <f t="shared" si="475"/>
        <v>-175.7678744956888</v>
      </c>
      <c r="Z1043" s="16">
        <v>9</v>
      </c>
      <c r="AA1043" s="16">
        <v>19</v>
      </c>
      <c r="AB1043" s="8">
        <f t="shared" si="476"/>
        <v>0.29916897506925205</v>
      </c>
      <c r="AC1043" s="16">
        <f t="shared" si="463"/>
        <v>65.644217071787864</v>
      </c>
      <c r="AD1043" s="20">
        <f>'PFAS Properties'!$W$47</f>
        <v>9</v>
      </c>
      <c r="AE1043" s="8">
        <f>'PFAS Properties'!$S$47</f>
        <v>1.1238516409670858</v>
      </c>
      <c r="AF1043" s="15">
        <f>'PFAS Properties'!$V$47</f>
        <v>5.6</v>
      </c>
      <c r="AG1043" s="24">
        <v>7.7</v>
      </c>
      <c r="AH1043" s="2" t="s">
        <v>183</v>
      </c>
      <c r="AI1043" s="2" t="s">
        <v>661</v>
      </c>
      <c r="AJ1043" s="2" t="s">
        <v>661</v>
      </c>
      <c r="AK1043" s="2" t="s">
        <v>661</v>
      </c>
      <c r="AL1043" s="2" t="s">
        <v>661</v>
      </c>
      <c r="AM1043" s="2" t="s">
        <v>661</v>
      </c>
      <c r="AN1043" s="2" t="s">
        <v>661</v>
      </c>
      <c r="AO1043" s="2" t="s">
        <v>661</v>
      </c>
      <c r="AP1043" s="15">
        <v>7.8</v>
      </c>
      <c r="AQ1043" s="2" t="s">
        <v>661</v>
      </c>
      <c r="AR1043" s="16">
        <v>48.9</v>
      </c>
      <c r="AS1043" s="16">
        <v>32.6</v>
      </c>
      <c r="AT1043" s="16">
        <v>18.5</v>
      </c>
      <c r="AU1043" s="2" t="s">
        <v>661</v>
      </c>
      <c r="AV1043" s="16">
        <f t="shared" si="462"/>
        <v>100</v>
      </c>
      <c r="AW1043" s="20">
        <v>0.13</v>
      </c>
      <c r="AX1043" s="8">
        <v>1.2999999999999999E-3</v>
      </c>
      <c r="AY1043" s="8" t="s">
        <v>184</v>
      </c>
      <c r="AZ1043" s="16">
        <v>100</v>
      </c>
      <c r="BA1043" s="16" t="s">
        <v>55</v>
      </c>
      <c r="BB1043" s="16">
        <v>5</v>
      </c>
      <c r="BC1043" s="16" t="s">
        <v>55</v>
      </c>
      <c r="BD1043" s="20">
        <v>9.4600000000000009</v>
      </c>
      <c r="BE1043" s="16">
        <f t="shared" si="464"/>
        <v>7276.923076923078</v>
      </c>
      <c r="BF1043" s="16">
        <f t="shared" si="477"/>
        <v>3.8619477840949559</v>
      </c>
      <c r="BG1043" s="8">
        <f t="shared" si="458"/>
        <v>0.97589113640179281</v>
      </c>
      <c r="BH1043" s="13" t="s">
        <v>841</v>
      </c>
      <c r="BI1043" s="9"/>
      <c r="BJ1043" s="13"/>
      <c r="BK1043" s="9"/>
      <c r="BL1043" s="9"/>
      <c r="BM1043" s="19"/>
      <c r="BN1043" s="19"/>
      <c r="BO1043" s="129"/>
    </row>
    <row r="1044" spans="1:69" s="46" customFormat="1" x14ac:dyDescent="0.3">
      <c r="A1044" s="20">
        <v>1065</v>
      </c>
      <c r="B1044" s="2" t="s">
        <v>181</v>
      </c>
      <c r="C1044" s="2">
        <v>2020</v>
      </c>
      <c r="D1044" s="2" t="s">
        <v>203</v>
      </c>
      <c r="E1044" s="10" t="s">
        <v>787</v>
      </c>
      <c r="F1044" s="20" t="s">
        <v>29</v>
      </c>
      <c r="G1044" s="2" t="s">
        <v>182</v>
      </c>
      <c r="H1044" s="2" t="str">
        <f>'PFAS Properties'!$B$47</f>
        <v>PFNS</v>
      </c>
      <c r="I1044" s="2" t="str">
        <f>'PFAS Properties'!$C$47</f>
        <v>PFSA</v>
      </c>
      <c r="J1044" s="2" t="str">
        <f>'PFAS Properties'!$D$47</f>
        <v>C9HF19O3S</v>
      </c>
      <c r="K1044" s="25">
        <f>'PFAS Properties'!$P$47</f>
        <v>549.93420000000003</v>
      </c>
      <c r="L1044" s="2">
        <f>'PFAS Properties'!$X$47</f>
        <v>0.1</v>
      </c>
      <c r="M1044" s="2" t="str">
        <f>'PFAS Properties'!$Y$47</f>
        <v>-</v>
      </c>
      <c r="N1044" s="33">
        <v>0</v>
      </c>
      <c r="O1044" s="33">
        <v>0</v>
      </c>
      <c r="P1044" s="33">
        <v>0</v>
      </c>
      <c r="Q1044" s="33">
        <f t="shared" si="470"/>
        <v>0.9999999601892845</v>
      </c>
      <c r="R1044" s="33">
        <v>0</v>
      </c>
      <c r="S1044" s="33">
        <f t="shared" si="471"/>
        <v>3.9810715470456442E-8</v>
      </c>
      <c r="T1044" s="8">
        <f t="shared" si="461"/>
        <v>1</v>
      </c>
      <c r="U1044" s="33">
        <f t="shared" si="472"/>
        <v>0</v>
      </c>
      <c r="V1044" s="33">
        <f t="shared" si="473"/>
        <v>-0.9999999601892845</v>
      </c>
      <c r="W1044" s="33">
        <f t="shared" si="474"/>
        <v>548.93420003981066</v>
      </c>
      <c r="X1044" s="33">
        <v>96485</v>
      </c>
      <c r="Y1044" s="16">
        <f t="shared" si="475"/>
        <v>-175.7678719086289</v>
      </c>
      <c r="Z1044" s="16">
        <v>9</v>
      </c>
      <c r="AA1044" s="16">
        <v>19</v>
      </c>
      <c r="AB1044" s="8">
        <f t="shared" si="476"/>
        <v>0.29916897506925205</v>
      </c>
      <c r="AC1044" s="16">
        <f t="shared" si="463"/>
        <v>65.644217071787864</v>
      </c>
      <c r="AD1044" s="20">
        <f>'PFAS Properties'!$W$47</f>
        <v>9</v>
      </c>
      <c r="AE1044" s="8">
        <f>'PFAS Properties'!$S$47</f>
        <v>1.1238516409670858</v>
      </c>
      <c r="AF1044" s="15">
        <f>'PFAS Properties'!$V$47</f>
        <v>5.6</v>
      </c>
      <c r="AG1044" s="24">
        <v>7.5</v>
      </c>
      <c r="AH1044" s="2" t="s">
        <v>183</v>
      </c>
      <c r="AI1044" s="2" t="s">
        <v>661</v>
      </c>
      <c r="AJ1044" s="2" t="s">
        <v>661</v>
      </c>
      <c r="AK1044" s="2" t="s">
        <v>661</v>
      </c>
      <c r="AL1044" s="2" t="s">
        <v>661</v>
      </c>
      <c r="AM1044" s="2" t="s">
        <v>661</v>
      </c>
      <c r="AN1044" s="2" t="s">
        <v>661</v>
      </c>
      <c r="AO1044" s="2" t="s">
        <v>661</v>
      </c>
      <c r="AP1044" s="15">
        <v>2.2799999999999998</v>
      </c>
      <c r="AQ1044" s="2" t="s">
        <v>661</v>
      </c>
      <c r="AR1044" s="16">
        <v>93</v>
      </c>
      <c r="AS1044" s="16">
        <v>1</v>
      </c>
      <c r="AT1044" s="16">
        <v>5</v>
      </c>
      <c r="AU1044" s="2" t="s">
        <v>661</v>
      </c>
      <c r="AV1044" s="16">
        <f t="shared" si="462"/>
        <v>99</v>
      </c>
      <c r="AW1044" s="20">
        <v>0.4</v>
      </c>
      <c r="AX1044" s="8">
        <v>4.0000000000000001E-3</v>
      </c>
      <c r="AY1044" s="8" t="s">
        <v>184</v>
      </c>
      <c r="AZ1044" s="16">
        <v>100</v>
      </c>
      <c r="BA1044" s="16" t="s">
        <v>55</v>
      </c>
      <c r="BB1044" s="16">
        <v>5</v>
      </c>
      <c r="BC1044" s="16" t="s">
        <v>55</v>
      </c>
      <c r="BD1044" s="20">
        <v>6.26</v>
      </c>
      <c r="BE1044" s="16">
        <f t="shared" si="464"/>
        <v>1565</v>
      </c>
      <c r="BF1044" s="16">
        <f t="shared" si="477"/>
        <v>3.1945143418824671</v>
      </c>
      <c r="BG1044" s="8">
        <f t="shared" si="458"/>
        <v>0.7965743332104297</v>
      </c>
      <c r="BH1044" s="13" t="s">
        <v>841</v>
      </c>
      <c r="BI1044" s="9"/>
      <c r="BJ1044" s="13"/>
      <c r="BK1044" s="9"/>
      <c r="BL1044" s="9"/>
      <c r="BM1044" s="19"/>
      <c r="BN1044" s="19"/>
      <c r="BO1044" s="129"/>
    </row>
    <row r="1045" spans="1:69" s="46" customFormat="1" x14ac:dyDescent="0.3">
      <c r="A1045" s="20">
        <v>1066</v>
      </c>
      <c r="B1045" s="2" t="s">
        <v>181</v>
      </c>
      <c r="C1045" s="2">
        <v>2020</v>
      </c>
      <c r="D1045" s="2" t="s">
        <v>203</v>
      </c>
      <c r="E1045" s="10" t="s">
        <v>787</v>
      </c>
      <c r="F1045" s="20" t="s">
        <v>29</v>
      </c>
      <c r="G1045" s="2" t="s">
        <v>78</v>
      </c>
      <c r="H1045" s="2" t="str">
        <f>'PFAS Properties'!$B$47</f>
        <v>PFNS</v>
      </c>
      <c r="I1045" s="2" t="str">
        <f>'PFAS Properties'!$C$47</f>
        <v>PFSA</v>
      </c>
      <c r="J1045" s="2" t="str">
        <f>'PFAS Properties'!$D$47</f>
        <v>C9HF19O3S</v>
      </c>
      <c r="K1045" s="25">
        <f>'PFAS Properties'!$P$47</f>
        <v>549.93420000000003</v>
      </c>
      <c r="L1045" s="2">
        <f>'PFAS Properties'!$X$47</f>
        <v>0.1</v>
      </c>
      <c r="M1045" s="2" t="str">
        <f>'PFAS Properties'!$Y$47</f>
        <v>-</v>
      </c>
      <c r="N1045" s="33">
        <v>0</v>
      </c>
      <c r="O1045" s="33">
        <v>0</v>
      </c>
      <c r="P1045" s="33">
        <v>0</v>
      </c>
      <c r="Q1045" s="33">
        <f t="shared" si="470"/>
        <v>0.99999990000001004</v>
      </c>
      <c r="R1045" s="33">
        <v>0</v>
      </c>
      <c r="S1045" s="33">
        <f t="shared" si="471"/>
        <v>9.9999990000001005E-8</v>
      </c>
      <c r="T1045" s="8">
        <f t="shared" si="461"/>
        <v>1</v>
      </c>
      <c r="U1045" s="33">
        <f t="shared" si="472"/>
        <v>0</v>
      </c>
      <c r="V1045" s="33">
        <f t="shared" si="473"/>
        <v>-0.99999990000001004</v>
      </c>
      <c r="W1045" s="33">
        <f t="shared" si="474"/>
        <v>548.93420010000011</v>
      </c>
      <c r="X1045" s="33">
        <v>96485</v>
      </c>
      <c r="Y1045" s="16">
        <f t="shared" si="475"/>
        <v>-175.76786131001523</v>
      </c>
      <c r="Z1045" s="16">
        <v>9</v>
      </c>
      <c r="AA1045" s="16">
        <v>19</v>
      </c>
      <c r="AB1045" s="8">
        <f t="shared" si="476"/>
        <v>0.29916897506925205</v>
      </c>
      <c r="AC1045" s="16">
        <f t="shared" si="463"/>
        <v>65.644217071787864</v>
      </c>
      <c r="AD1045" s="20">
        <f>'PFAS Properties'!$W$47</f>
        <v>9</v>
      </c>
      <c r="AE1045" s="8">
        <f>'PFAS Properties'!$S$47</f>
        <v>1.1238516409670858</v>
      </c>
      <c r="AF1045" s="15">
        <f>'PFAS Properties'!$V$47</f>
        <v>5.6</v>
      </c>
      <c r="AG1045" s="24">
        <v>7.1</v>
      </c>
      <c r="AH1045" s="2" t="s">
        <v>183</v>
      </c>
      <c r="AI1045" s="2" t="s">
        <v>661</v>
      </c>
      <c r="AJ1045" s="2" t="s">
        <v>661</v>
      </c>
      <c r="AK1045" s="2" t="s">
        <v>661</v>
      </c>
      <c r="AL1045" s="2" t="s">
        <v>661</v>
      </c>
      <c r="AM1045" s="2" t="s">
        <v>661</v>
      </c>
      <c r="AN1045" s="2" t="s">
        <v>661</v>
      </c>
      <c r="AO1045" s="2" t="s">
        <v>661</v>
      </c>
      <c r="AP1045" s="15">
        <v>17.420000000000002</v>
      </c>
      <c r="AQ1045" s="2" t="s">
        <v>661</v>
      </c>
      <c r="AR1045" s="16">
        <v>48.86</v>
      </c>
      <c r="AS1045" s="16">
        <v>16.05</v>
      </c>
      <c r="AT1045" s="16">
        <v>35.090000000000003</v>
      </c>
      <c r="AU1045" s="2" t="s">
        <v>661</v>
      </c>
      <c r="AV1045" s="16">
        <f t="shared" si="462"/>
        <v>100</v>
      </c>
      <c r="AW1045" s="20">
        <v>1.19</v>
      </c>
      <c r="AX1045" s="8">
        <v>1.1899999999999999E-2</v>
      </c>
      <c r="AY1045" s="8" t="s">
        <v>184</v>
      </c>
      <c r="AZ1045" s="16">
        <v>100</v>
      </c>
      <c r="BA1045" s="16" t="s">
        <v>55</v>
      </c>
      <c r="BB1045" s="16">
        <v>5</v>
      </c>
      <c r="BC1045" s="16" t="s">
        <v>55</v>
      </c>
      <c r="BD1045" s="20">
        <v>21.39</v>
      </c>
      <c r="BE1045" s="16">
        <f t="shared" si="464"/>
        <v>1797.4789915966389</v>
      </c>
      <c r="BF1045" s="16">
        <f t="shared" si="477"/>
        <v>3.2546638231789973</v>
      </c>
      <c r="BG1045" s="8">
        <f t="shared" si="458"/>
        <v>1.3302107845715281</v>
      </c>
      <c r="BH1045" s="13" t="s">
        <v>841</v>
      </c>
      <c r="BI1045" s="9"/>
      <c r="BJ1045" s="13"/>
      <c r="BK1045" s="9"/>
      <c r="BL1045" s="9"/>
      <c r="BM1045" s="19"/>
      <c r="BN1045" s="19"/>
      <c r="BO1045" s="129"/>
    </row>
    <row r="1046" spans="1:69" s="46" customFormat="1" x14ac:dyDescent="0.3">
      <c r="A1046" s="20">
        <v>1067</v>
      </c>
      <c r="B1046" s="2" t="s">
        <v>181</v>
      </c>
      <c r="C1046" s="2">
        <v>2020</v>
      </c>
      <c r="D1046" s="2" t="s">
        <v>203</v>
      </c>
      <c r="E1046" s="10" t="s">
        <v>787</v>
      </c>
      <c r="F1046" s="20" t="s">
        <v>29</v>
      </c>
      <c r="G1046" s="2" t="s">
        <v>98</v>
      </c>
      <c r="H1046" s="2" t="str">
        <f>'PFAS Properties'!$B$47</f>
        <v>PFNS</v>
      </c>
      <c r="I1046" s="2" t="str">
        <f>'PFAS Properties'!$C$47</f>
        <v>PFSA</v>
      </c>
      <c r="J1046" s="2" t="str">
        <f>'PFAS Properties'!$D$47</f>
        <v>C9HF19O3S</v>
      </c>
      <c r="K1046" s="25">
        <f>'PFAS Properties'!$P$47</f>
        <v>549.93420000000003</v>
      </c>
      <c r="L1046" s="2">
        <f>'PFAS Properties'!$X$47</f>
        <v>0.1</v>
      </c>
      <c r="M1046" s="2" t="str">
        <f>'PFAS Properties'!$Y$47</f>
        <v>-</v>
      </c>
      <c r="N1046" s="33">
        <v>0</v>
      </c>
      <c r="O1046" s="33">
        <v>0</v>
      </c>
      <c r="P1046" s="33">
        <v>0</v>
      </c>
      <c r="Q1046" s="33">
        <f t="shared" si="470"/>
        <v>0.99999949881301753</v>
      </c>
      <c r="R1046" s="33">
        <v>0</v>
      </c>
      <c r="S1046" s="33">
        <f t="shared" si="471"/>
        <v>5.0118698243875318E-7</v>
      </c>
      <c r="T1046" s="8">
        <f t="shared" si="461"/>
        <v>1</v>
      </c>
      <c r="U1046" s="33">
        <f t="shared" si="472"/>
        <v>0</v>
      </c>
      <c r="V1046" s="33">
        <f t="shared" si="473"/>
        <v>-0.99999949881301753</v>
      </c>
      <c r="W1046" s="33">
        <f t="shared" si="474"/>
        <v>548.93420050118698</v>
      </c>
      <c r="X1046" s="33">
        <v>96485</v>
      </c>
      <c r="Y1046" s="16">
        <f t="shared" si="475"/>
        <v>-175.76779066576918</v>
      </c>
      <c r="Z1046" s="16">
        <v>9</v>
      </c>
      <c r="AA1046" s="16">
        <v>19</v>
      </c>
      <c r="AB1046" s="8">
        <f t="shared" si="476"/>
        <v>0.29916897506925205</v>
      </c>
      <c r="AC1046" s="16">
        <f t="shared" si="463"/>
        <v>65.644217071787864</v>
      </c>
      <c r="AD1046" s="20">
        <f>'PFAS Properties'!$W$47</f>
        <v>9</v>
      </c>
      <c r="AE1046" s="8">
        <f>'PFAS Properties'!$S$47</f>
        <v>1.1238516409670858</v>
      </c>
      <c r="AF1046" s="15">
        <f>'PFAS Properties'!$V$47</f>
        <v>5.6</v>
      </c>
      <c r="AG1046" s="24">
        <v>6.4</v>
      </c>
      <c r="AH1046" s="2" t="s">
        <v>183</v>
      </c>
      <c r="AI1046" s="2" t="s">
        <v>661</v>
      </c>
      <c r="AJ1046" s="15" t="s">
        <v>661</v>
      </c>
      <c r="AK1046" s="8" t="s">
        <v>661</v>
      </c>
      <c r="AL1046" s="2" t="s">
        <v>661</v>
      </c>
      <c r="AM1046" s="15" t="s">
        <v>661</v>
      </c>
      <c r="AN1046" s="8" t="s">
        <v>661</v>
      </c>
      <c r="AO1046" s="15" t="s">
        <v>661</v>
      </c>
      <c r="AP1046" s="15">
        <v>16.54</v>
      </c>
      <c r="AQ1046" s="13" t="s">
        <v>661</v>
      </c>
      <c r="AR1046" s="16">
        <v>29.38</v>
      </c>
      <c r="AS1046" s="16">
        <v>13.9</v>
      </c>
      <c r="AT1046" s="16">
        <v>56.71</v>
      </c>
      <c r="AU1046" s="15" t="s">
        <v>661</v>
      </c>
      <c r="AV1046" s="16">
        <f t="shared" si="462"/>
        <v>99.990000000000009</v>
      </c>
      <c r="AW1046" s="20">
        <v>0.17</v>
      </c>
      <c r="AX1046" s="8">
        <v>1.7000000000000001E-3</v>
      </c>
      <c r="AY1046" s="8" t="s">
        <v>184</v>
      </c>
      <c r="AZ1046" s="16">
        <v>100</v>
      </c>
      <c r="BA1046" s="16" t="s">
        <v>55</v>
      </c>
      <c r="BB1046" s="16">
        <v>5</v>
      </c>
      <c r="BC1046" s="16" t="s">
        <v>55</v>
      </c>
      <c r="BD1046" s="20">
        <v>9.57</v>
      </c>
      <c r="BE1046" s="16">
        <f t="shared" si="464"/>
        <v>5629.411764705882</v>
      </c>
      <c r="BF1046" s="16">
        <f t="shared" si="477"/>
        <v>3.7504630163985695</v>
      </c>
      <c r="BG1046" s="8">
        <f t="shared" si="458"/>
        <v>0.9809119377768436</v>
      </c>
      <c r="BH1046" s="13" t="s">
        <v>841</v>
      </c>
      <c r="BI1046" s="9"/>
      <c r="BJ1046" s="13"/>
      <c r="BK1046" s="9"/>
      <c r="BL1046" s="9"/>
      <c r="BM1046" s="19"/>
      <c r="BN1046" s="19"/>
      <c r="BO1046" s="129"/>
    </row>
    <row r="1047" spans="1:69" x14ac:dyDescent="0.3">
      <c r="A1047" s="20">
        <v>1068</v>
      </c>
      <c r="B1047" s="1" t="s">
        <v>873</v>
      </c>
      <c r="C1047" s="1">
        <v>2007</v>
      </c>
      <c r="D1047" s="1" t="s">
        <v>203</v>
      </c>
      <c r="E1047" s="10" t="s">
        <v>225</v>
      </c>
      <c r="F1047" s="7" t="s">
        <v>63</v>
      </c>
      <c r="G1047" s="4">
        <v>1</v>
      </c>
      <c r="H1047" s="2" t="str">
        <f>'PFAS Properties'!$B$48</f>
        <v>PFDS</v>
      </c>
      <c r="I1047" s="2" t="str">
        <f>'PFAS Properties'!$C$48</f>
        <v>PFSA</v>
      </c>
      <c r="J1047" s="2" t="str">
        <f>'PFAS Properties'!$D$48</f>
        <v>C10HF21O3S</v>
      </c>
      <c r="K1047" s="25">
        <f>'PFAS Properties'!$P$48</f>
        <v>599.93099999999993</v>
      </c>
      <c r="L1047" s="2">
        <f>'PFAS Properties'!$X$48</f>
        <v>0.1</v>
      </c>
      <c r="M1047" s="2" t="str">
        <f>'PFAS Properties'!$Y$48</f>
        <v>-</v>
      </c>
      <c r="N1047" s="33">
        <v>0</v>
      </c>
      <c r="O1047" s="33">
        <v>0</v>
      </c>
      <c r="P1047" s="33">
        <v>0</v>
      </c>
      <c r="Q1047" s="33">
        <f t="shared" si="470"/>
        <v>0.99999987410747471</v>
      </c>
      <c r="R1047" s="33">
        <v>0</v>
      </c>
      <c r="S1047" s="33">
        <f t="shared" si="471"/>
        <v>1.2589252533048661E-7</v>
      </c>
      <c r="T1047" s="8">
        <f t="shared" si="461"/>
        <v>1</v>
      </c>
      <c r="U1047" s="33">
        <f t="shared" si="472"/>
        <v>0</v>
      </c>
      <c r="V1047" s="33">
        <f t="shared" si="473"/>
        <v>-0.99999987410747471</v>
      </c>
      <c r="W1047" s="33">
        <f t="shared" si="474"/>
        <v>598.93100012589241</v>
      </c>
      <c r="X1047" s="33">
        <v>96485</v>
      </c>
      <c r="Y1047" s="16">
        <f t="shared" si="475"/>
        <v>-161.09533123678526</v>
      </c>
      <c r="Z1047" s="16">
        <v>10</v>
      </c>
      <c r="AA1047" s="16">
        <v>21</v>
      </c>
      <c r="AB1047" s="8">
        <f t="shared" si="476"/>
        <v>0.3007518796992481</v>
      </c>
      <c r="AC1047" s="16">
        <f t="shared" si="463"/>
        <v>66.507648379563662</v>
      </c>
      <c r="AD1047" s="20">
        <f>'PFAS Properties'!$W$48</f>
        <v>10</v>
      </c>
      <c r="AE1047" s="8">
        <f>'PFAS Properties'!$S$48</f>
        <v>0.22530928172586284</v>
      </c>
      <c r="AF1047" s="15">
        <f>'PFAS Properties'!$V$48</f>
        <v>6.4</v>
      </c>
      <c r="AG1047" s="26">
        <v>7</v>
      </c>
      <c r="AH1047" s="1" t="s">
        <v>363</v>
      </c>
      <c r="AI1047" s="6">
        <f>334*55.85/1000</f>
        <v>18.6539</v>
      </c>
      <c r="AJ1047" s="3">
        <f>AI1047*1000/55.845</f>
        <v>334.0299041991226</v>
      </c>
      <c r="AK1047" s="8">
        <f>AI1047/10</f>
        <v>1.8653900000000001</v>
      </c>
      <c r="AL1047" s="6">
        <f>41*26.98/1000</f>
        <v>1.1061800000000002</v>
      </c>
      <c r="AM1047" s="3">
        <f>AL1047*1000/26.98</f>
        <v>41</v>
      </c>
      <c r="AN1047" s="8">
        <f>AL1047/10</f>
        <v>0.11061800000000002</v>
      </c>
      <c r="AO1047" s="3" t="s">
        <v>93</v>
      </c>
      <c r="AP1047" s="15">
        <v>38.6</v>
      </c>
      <c r="AQ1047" s="1" t="s">
        <v>363</v>
      </c>
      <c r="AR1047" s="4">
        <v>11</v>
      </c>
      <c r="AS1047" s="4">
        <v>36</v>
      </c>
      <c r="AT1047" s="4">
        <v>53</v>
      </c>
      <c r="AU1047" s="1" t="s">
        <v>363</v>
      </c>
      <c r="AV1047" s="16">
        <f t="shared" si="462"/>
        <v>100</v>
      </c>
      <c r="AW1047" s="7">
        <v>2.48</v>
      </c>
      <c r="AX1047" s="31">
        <f>AW1047/100</f>
        <v>2.4799999999999999E-2</v>
      </c>
      <c r="AY1047" s="5" t="s">
        <v>87</v>
      </c>
      <c r="AZ1047" s="39">
        <f>5/0.05</f>
        <v>100</v>
      </c>
      <c r="BA1047" s="30" t="s">
        <v>55</v>
      </c>
      <c r="BB1047" s="15">
        <f>1*K1047/1000</f>
        <v>0.59993099999999988</v>
      </c>
      <c r="BC1047" s="16">
        <f>200*K1047/1000</f>
        <v>119.98619999999998</v>
      </c>
      <c r="BD1047" s="26">
        <v>177.07</v>
      </c>
      <c r="BE1047" s="16">
        <f t="shared" si="464"/>
        <v>7139.9193548387093</v>
      </c>
      <c r="BF1047" s="16">
        <f t="shared" si="477"/>
        <v>3.8536933064615617</v>
      </c>
      <c r="BG1047" s="8">
        <f t="shared" si="458"/>
        <v>2.2481449872877777</v>
      </c>
      <c r="BH1047" s="5" t="s">
        <v>844</v>
      </c>
      <c r="BI1047" s="13"/>
      <c r="BJ1047" s="13"/>
      <c r="BK1047" s="8"/>
      <c r="BL1047" s="8"/>
      <c r="BM1047" s="18"/>
      <c r="BN1047" s="8"/>
      <c r="BO1047" s="24"/>
      <c r="BP1047" s="11"/>
      <c r="BQ1047" s="11"/>
    </row>
    <row r="1048" spans="1:69" x14ac:dyDescent="0.3">
      <c r="A1048" s="20">
        <v>1069</v>
      </c>
      <c r="B1048" s="1" t="s">
        <v>873</v>
      </c>
      <c r="C1048" s="1">
        <v>2007</v>
      </c>
      <c r="D1048" s="1" t="s">
        <v>203</v>
      </c>
      <c r="E1048" s="10" t="s">
        <v>225</v>
      </c>
      <c r="F1048" s="7" t="s">
        <v>63</v>
      </c>
      <c r="G1048" s="4">
        <v>2</v>
      </c>
      <c r="H1048" s="2" t="str">
        <f>'PFAS Properties'!$B$48</f>
        <v>PFDS</v>
      </c>
      <c r="I1048" s="2" t="str">
        <f>'PFAS Properties'!$C$48</f>
        <v>PFSA</v>
      </c>
      <c r="J1048" s="2" t="str">
        <f>'PFAS Properties'!$D$48</f>
        <v>C10HF21O3S</v>
      </c>
      <c r="K1048" s="25">
        <f>'PFAS Properties'!$P$48</f>
        <v>599.93099999999993</v>
      </c>
      <c r="L1048" s="2">
        <f>'PFAS Properties'!$X$48</f>
        <v>0.1</v>
      </c>
      <c r="M1048" s="2" t="str">
        <f>'PFAS Properties'!$Y$48</f>
        <v>-</v>
      </c>
      <c r="N1048" s="33">
        <v>0</v>
      </c>
      <c r="O1048" s="33">
        <v>0</v>
      </c>
      <c r="P1048" s="33">
        <v>0</v>
      </c>
      <c r="Q1048" s="33">
        <f t="shared" si="470"/>
        <v>0.9999999601892845</v>
      </c>
      <c r="R1048" s="33">
        <v>0</v>
      </c>
      <c r="S1048" s="33">
        <f t="shared" si="471"/>
        <v>3.9810715470456442E-8</v>
      </c>
      <c r="T1048" s="8">
        <f t="shared" si="461"/>
        <v>1</v>
      </c>
      <c r="U1048" s="33">
        <f t="shared" si="472"/>
        <v>0</v>
      </c>
      <c r="V1048" s="33">
        <f t="shared" si="473"/>
        <v>-0.9999999601892845</v>
      </c>
      <c r="W1048" s="33">
        <f t="shared" si="474"/>
        <v>598.93100003981067</v>
      </c>
      <c r="X1048" s="33">
        <v>96485</v>
      </c>
      <c r="Y1048" s="16">
        <f t="shared" si="475"/>
        <v>-161.09534512731818</v>
      </c>
      <c r="Z1048" s="16">
        <v>10</v>
      </c>
      <c r="AA1048" s="16">
        <v>21</v>
      </c>
      <c r="AB1048" s="8">
        <f t="shared" si="476"/>
        <v>0.3007518796992481</v>
      </c>
      <c r="AC1048" s="16">
        <f t="shared" si="463"/>
        <v>66.507648379563662</v>
      </c>
      <c r="AD1048" s="20">
        <f>'PFAS Properties'!$W$48</f>
        <v>10</v>
      </c>
      <c r="AE1048" s="8">
        <f>'PFAS Properties'!$S$48</f>
        <v>0.22530928172586284</v>
      </c>
      <c r="AF1048" s="15">
        <f>'PFAS Properties'!$V$48</f>
        <v>6.4</v>
      </c>
      <c r="AG1048" s="26">
        <v>7.5</v>
      </c>
      <c r="AH1048" s="1" t="s">
        <v>363</v>
      </c>
      <c r="AI1048" s="6">
        <f>116*55.845/1000</f>
        <v>6.4780199999999999</v>
      </c>
      <c r="AJ1048" s="3">
        <f>AI1048*1000/55.845</f>
        <v>116</v>
      </c>
      <c r="AK1048" s="8">
        <f>AI1048/10</f>
        <v>0.64780199999999999</v>
      </c>
      <c r="AL1048" s="6">
        <f>7*26.98/1000</f>
        <v>0.18886</v>
      </c>
      <c r="AM1048" s="3">
        <f>AL1048*1000/26.98</f>
        <v>7</v>
      </c>
      <c r="AN1048" s="8">
        <f>AL1048/10</f>
        <v>1.8886E-2</v>
      </c>
      <c r="AO1048" s="3" t="s">
        <v>93</v>
      </c>
      <c r="AP1048" s="15">
        <v>30</v>
      </c>
      <c r="AQ1048" s="1" t="s">
        <v>363</v>
      </c>
      <c r="AR1048" s="4">
        <v>49</v>
      </c>
      <c r="AS1048" s="4">
        <v>25</v>
      </c>
      <c r="AT1048" s="4">
        <v>26</v>
      </c>
      <c r="AU1048" s="1" t="s">
        <v>363</v>
      </c>
      <c r="AV1048" s="16">
        <f t="shared" si="462"/>
        <v>100</v>
      </c>
      <c r="AW1048" s="7">
        <v>1.02</v>
      </c>
      <c r="AX1048" s="6">
        <f>AW1048/100</f>
        <v>1.0200000000000001E-2</v>
      </c>
      <c r="AY1048" s="5" t="s">
        <v>87</v>
      </c>
      <c r="AZ1048" s="39">
        <f>5/0.05</f>
        <v>100</v>
      </c>
      <c r="BA1048" s="30" t="s">
        <v>55</v>
      </c>
      <c r="BB1048" s="15">
        <f>1*K1048/1000</f>
        <v>0.59993099999999988</v>
      </c>
      <c r="BC1048" s="16">
        <f>200*K1048/1000</f>
        <v>119.98619999999998</v>
      </c>
      <c r="BD1048" s="26">
        <v>13.31</v>
      </c>
      <c r="BE1048" s="16">
        <f t="shared" si="464"/>
        <v>1304.9019607843136</v>
      </c>
      <c r="BF1048" s="16">
        <f t="shared" si="477"/>
        <v>3.1155778837127577</v>
      </c>
      <c r="BG1048" s="8">
        <f t="shared" ref="BG1048:BG1062" si="478">LOG(BD1048)</f>
        <v>1.1241780554746752</v>
      </c>
      <c r="BH1048" s="5" t="s">
        <v>844</v>
      </c>
      <c r="BI1048" s="13"/>
      <c r="BJ1048" s="13"/>
      <c r="BK1048" s="8"/>
      <c r="BL1048" s="8"/>
      <c r="BM1048" s="18"/>
      <c r="BN1048" s="8"/>
      <c r="BO1048" s="24"/>
      <c r="BP1048" s="11"/>
      <c r="BQ1048" s="11"/>
    </row>
    <row r="1049" spans="1:69" x14ac:dyDescent="0.3">
      <c r="A1049" s="20">
        <v>1070</v>
      </c>
      <c r="B1049" s="1" t="s">
        <v>873</v>
      </c>
      <c r="C1049" s="1">
        <v>2007</v>
      </c>
      <c r="D1049" s="1" t="s">
        <v>203</v>
      </c>
      <c r="E1049" s="10" t="s">
        <v>225</v>
      </c>
      <c r="F1049" s="7" t="s">
        <v>63</v>
      </c>
      <c r="G1049" s="4">
        <v>3</v>
      </c>
      <c r="H1049" s="2" t="str">
        <f>'PFAS Properties'!$B$48</f>
        <v>PFDS</v>
      </c>
      <c r="I1049" s="2" t="str">
        <f>'PFAS Properties'!$C$48</f>
        <v>PFSA</v>
      </c>
      <c r="J1049" s="2" t="str">
        <f>'PFAS Properties'!$D$48</f>
        <v>C10HF21O3S</v>
      </c>
      <c r="K1049" s="25">
        <f>'PFAS Properties'!$P$48</f>
        <v>599.93099999999993</v>
      </c>
      <c r="L1049" s="2">
        <f>'PFAS Properties'!$X$48</f>
        <v>0.1</v>
      </c>
      <c r="M1049" s="2" t="str">
        <f>'PFAS Properties'!$Y$48</f>
        <v>-</v>
      </c>
      <c r="N1049" s="33">
        <v>0</v>
      </c>
      <c r="O1049" s="33">
        <v>0</v>
      </c>
      <c r="P1049" s="33">
        <v>0</v>
      </c>
      <c r="Q1049" s="33">
        <f t="shared" si="470"/>
        <v>0.99999996837722438</v>
      </c>
      <c r="R1049" s="33">
        <v>0</v>
      </c>
      <c r="S1049" s="33">
        <f t="shared" si="471"/>
        <v>3.1622775601683729E-8</v>
      </c>
      <c r="T1049" s="8">
        <f t="shared" si="461"/>
        <v>1</v>
      </c>
      <c r="U1049" s="33">
        <f t="shared" si="472"/>
        <v>0</v>
      </c>
      <c r="V1049" s="33">
        <f t="shared" si="473"/>
        <v>-0.99999996837722438</v>
      </c>
      <c r="W1049" s="33">
        <f t="shared" si="474"/>
        <v>598.93100003162272</v>
      </c>
      <c r="X1049" s="33">
        <v>96485</v>
      </c>
      <c r="Y1049" s="16">
        <f t="shared" si="475"/>
        <v>-161.09534644855955</v>
      </c>
      <c r="Z1049" s="16">
        <v>10</v>
      </c>
      <c r="AA1049" s="16">
        <v>21</v>
      </c>
      <c r="AB1049" s="8">
        <f t="shared" si="476"/>
        <v>0.3007518796992481</v>
      </c>
      <c r="AC1049" s="16">
        <f t="shared" si="463"/>
        <v>66.507648379563662</v>
      </c>
      <c r="AD1049" s="20">
        <f>'PFAS Properties'!$W$48</f>
        <v>10</v>
      </c>
      <c r="AE1049" s="8">
        <f>'PFAS Properties'!$S$48</f>
        <v>0.22530928172586284</v>
      </c>
      <c r="AF1049" s="15">
        <f>'PFAS Properties'!$V$48</f>
        <v>6.4</v>
      </c>
      <c r="AG1049" s="26">
        <v>7.6</v>
      </c>
      <c r="AH1049" s="1" t="s">
        <v>363</v>
      </c>
      <c r="AI1049" s="6">
        <f>121*55.85/1000</f>
        <v>6.7578500000000004</v>
      </c>
      <c r="AJ1049" s="3">
        <f>AI1049*1000/55.845</f>
        <v>121.01083355716717</v>
      </c>
      <c r="AK1049" s="8">
        <f>AI1049/10</f>
        <v>0.67578500000000008</v>
      </c>
      <c r="AL1049" s="6">
        <f>14*26.98/1000</f>
        <v>0.37772</v>
      </c>
      <c r="AM1049" s="3">
        <f>AL1049*1000/26.98</f>
        <v>14</v>
      </c>
      <c r="AN1049" s="8">
        <f>AL1049/10</f>
        <v>3.7772E-2</v>
      </c>
      <c r="AO1049" s="3" t="s">
        <v>93</v>
      </c>
      <c r="AP1049" s="15">
        <v>32.1</v>
      </c>
      <c r="AQ1049" s="1" t="s">
        <v>363</v>
      </c>
      <c r="AR1049" s="4">
        <v>31</v>
      </c>
      <c r="AS1049" s="4">
        <v>38</v>
      </c>
      <c r="AT1049" s="4">
        <v>31</v>
      </c>
      <c r="AU1049" s="1" t="s">
        <v>363</v>
      </c>
      <c r="AV1049" s="16">
        <f t="shared" si="462"/>
        <v>100</v>
      </c>
      <c r="AW1049" s="7">
        <v>4.34</v>
      </c>
      <c r="AX1049" s="6">
        <f>AW1049/100</f>
        <v>4.3400000000000001E-2</v>
      </c>
      <c r="AY1049" s="5" t="s">
        <v>87</v>
      </c>
      <c r="AZ1049" s="39">
        <f>5/0.05</f>
        <v>100</v>
      </c>
      <c r="BA1049" s="30" t="s">
        <v>55</v>
      </c>
      <c r="BB1049" s="15">
        <f>1*K1049/1000</f>
        <v>0.59993099999999988</v>
      </c>
      <c r="BC1049" s="16">
        <f>200*K1049/1000</f>
        <v>119.98619999999998</v>
      </c>
      <c r="BD1049" s="26">
        <v>101.59</v>
      </c>
      <c r="BE1049" s="16">
        <f t="shared" si="464"/>
        <v>2340.7834101382487</v>
      </c>
      <c r="BF1049" s="16">
        <f t="shared" si="477"/>
        <v>3.3693612308117613</v>
      </c>
      <c r="BG1049" s="8">
        <f t="shared" si="478"/>
        <v>2.0068509603242721</v>
      </c>
      <c r="BH1049" s="5" t="s">
        <v>844</v>
      </c>
      <c r="BI1049" s="13"/>
      <c r="BJ1049" s="13"/>
      <c r="BK1049" s="8"/>
      <c r="BL1049" s="8"/>
      <c r="BM1049" s="18"/>
      <c r="BN1049" s="8"/>
      <c r="BO1049" s="24"/>
      <c r="BP1049" s="11"/>
      <c r="BQ1049" s="11"/>
    </row>
    <row r="1050" spans="1:69" x14ac:dyDescent="0.3">
      <c r="A1050" s="20">
        <v>1071</v>
      </c>
      <c r="B1050" s="1" t="s">
        <v>873</v>
      </c>
      <c r="C1050" s="1">
        <v>2007</v>
      </c>
      <c r="D1050" s="1" t="s">
        <v>203</v>
      </c>
      <c r="E1050" s="10" t="s">
        <v>225</v>
      </c>
      <c r="F1050" s="7" t="s">
        <v>63</v>
      </c>
      <c r="G1050" s="4">
        <v>4</v>
      </c>
      <c r="H1050" s="2" t="str">
        <f>'PFAS Properties'!$B$48</f>
        <v>PFDS</v>
      </c>
      <c r="I1050" s="2" t="str">
        <f>'PFAS Properties'!$C$48</f>
        <v>PFSA</v>
      </c>
      <c r="J1050" s="2" t="str">
        <f>'PFAS Properties'!$D$48</f>
        <v>C10HF21O3S</v>
      </c>
      <c r="K1050" s="25">
        <f>'PFAS Properties'!$P$48</f>
        <v>599.93099999999993</v>
      </c>
      <c r="L1050" s="2">
        <f>'PFAS Properties'!$X$48</f>
        <v>0.1</v>
      </c>
      <c r="M1050" s="2" t="str">
        <f>'PFAS Properties'!$Y$48</f>
        <v>-</v>
      </c>
      <c r="N1050" s="33">
        <v>0</v>
      </c>
      <c r="O1050" s="33">
        <v>0</v>
      </c>
      <c r="P1050" s="33">
        <v>0</v>
      </c>
      <c r="Q1050" s="33">
        <f t="shared" si="470"/>
        <v>0.99999949881301753</v>
      </c>
      <c r="R1050" s="33">
        <v>0</v>
      </c>
      <c r="S1050" s="33">
        <f t="shared" si="471"/>
        <v>5.0118698243875318E-7</v>
      </c>
      <c r="T1050" s="8">
        <f t="shared" si="461"/>
        <v>1</v>
      </c>
      <c r="U1050" s="33">
        <f t="shared" si="472"/>
        <v>0</v>
      </c>
      <c r="V1050" s="33">
        <f t="shared" si="473"/>
        <v>-0.99999949881301753</v>
      </c>
      <c r="W1050" s="33">
        <f t="shared" si="474"/>
        <v>598.93100050118687</v>
      </c>
      <c r="X1050" s="33">
        <v>96485</v>
      </c>
      <c r="Y1050" s="16">
        <f t="shared" si="475"/>
        <v>-161.0952706776493</v>
      </c>
      <c r="Z1050" s="16">
        <v>10</v>
      </c>
      <c r="AA1050" s="16">
        <v>21</v>
      </c>
      <c r="AB1050" s="8">
        <f t="shared" si="476"/>
        <v>0.3007518796992481</v>
      </c>
      <c r="AC1050" s="16">
        <f t="shared" si="463"/>
        <v>66.507648379563662</v>
      </c>
      <c r="AD1050" s="20">
        <f>'PFAS Properties'!$W$48</f>
        <v>10</v>
      </c>
      <c r="AE1050" s="8">
        <f>'PFAS Properties'!$S$48</f>
        <v>0.22530928172586284</v>
      </c>
      <c r="AF1050" s="15">
        <f>'PFAS Properties'!$V$48</f>
        <v>6.4</v>
      </c>
      <c r="AG1050" s="26">
        <v>6.4</v>
      </c>
      <c r="AH1050" s="1" t="s">
        <v>363</v>
      </c>
      <c r="AI1050" s="6">
        <f>1025*55.874/1000</f>
        <v>57.270850000000003</v>
      </c>
      <c r="AJ1050" s="3">
        <f>AI1050*1000/55.845</f>
        <v>1025.5322768376759</v>
      </c>
      <c r="AK1050" s="8">
        <f>AI1050/10</f>
        <v>5.7270850000000006</v>
      </c>
      <c r="AL1050" s="6">
        <f>171*26.98/1000</f>
        <v>4.6135799999999998</v>
      </c>
      <c r="AM1050" s="3">
        <f>AL1050*1000/26.98</f>
        <v>171</v>
      </c>
      <c r="AN1050" s="8">
        <f>AL1050/10</f>
        <v>0.46135799999999999</v>
      </c>
      <c r="AO1050" s="3" t="s">
        <v>93</v>
      </c>
      <c r="AP1050" s="15">
        <v>32.1</v>
      </c>
      <c r="AQ1050" s="1" t="s">
        <v>363</v>
      </c>
      <c r="AR1050" s="4">
        <v>65</v>
      </c>
      <c r="AS1050" s="4">
        <v>22</v>
      </c>
      <c r="AT1050" s="4">
        <v>13</v>
      </c>
      <c r="AU1050" s="1" t="s">
        <v>363</v>
      </c>
      <c r="AV1050" s="16">
        <f t="shared" si="462"/>
        <v>100</v>
      </c>
      <c r="AW1050" s="7">
        <v>0.56000000000000005</v>
      </c>
      <c r="AX1050" s="6">
        <f>AW1050/100</f>
        <v>5.6000000000000008E-3</v>
      </c>
      <c r="AY1050" s="5" t="s">
        <v>87</v>
      </c>
      <c r="AZ1050" s="39">
        <f>5/0.05</f>
        <v>100</v>
      </c>
      <c r="BA1050" s="30" t="s">
        <v>55</v>
      </c>
      <c r="BB1050" s="15">
        <f>1*K1050/1000</f>
        <v>0.59993099999999988</v>
      </c>
      <c r="BC1050" s="16">
        <f>200*K1050/1000</f>
        <v>119.98619999999998</v>
      </c>
      <c r="BD1050" s="26">
        <v>9.1999999999999993</v>
      </c>
      <c r="BE1050" s="16">
        <f t="shared" si="464"/>
        <v>1642.8571428571424</v>
      </c>
      <c r="BF1050" s="16">
        <f t="shared" si="477"/>
        <v>3.2155998003393549</v>
      </c>
      <c r="BG1050" s="8">
        <f t="shared" si="478"/>
        <v>0.96378782734555524</v>
      </c>
      <c r="BH1050" s="5" t="s">
        <v>844</v>
      </c>
      <c r="BI1050" s="13"/>
      <c r="BJ1050" s="13"/>
      <c r="BK1050" s="8"/>
      <c r="BL1050" s="8"/>
      <c r="BM1050" s="18"/>
      <c r="BN1050" s="8"/>
      <c r="BO1050" s="24"/>
      <c r="BP1050" s="11"/>
      <c r="BQ1050" s="11"/>
    </row>
    <row r="1051" spans="1:69" x14ac:dyDescent="0.3">
      <c r="A1051" s="20">
        <v>1072</v>
      </c>
      <c r="B1051" s="1" t="s">
        <v>873</v>
      </c>
      <c r="C1051" s="1">
        <v>2007</v>
      </c>
      <c r="D1051" s="1" t="s">
        <v>203</v>
      </c>
      <c r="E1051" s="10" t="s">
        <v>225</v>
      </c>
      <c r="F1051" s="7" t="s">
        <v>63</v>
      </c>
      <c r="G1051" s="4">
        <v>5</v>
      </c>
      <c r="H1051" s="2" t="str">
        <f>'PFAS Properties'!$B$48</f>
        <v>PFDS</v>
      </c>
      <c r="I1051" s="2" t="str">
        <f>'PFAS Properties'!$C$48</f>
        <v>PFSA</v>
      </c>
      <c r="J1051" s="2" t="str">
        <f>'PFAS Properties'!$D$48</f>
        <v>C10HF21O3S</v>
      </c>
      <c r="K1051" s="25">
        <f>'PFAS Properties'!$P$48</f>
        <v>599.93099999999993</v>
      </c>
      <c r="L1051" s="2">
        <f>'PFAS Properties'!$X$48</f>
        <v>0.1</v>
      </c>
      <c r="M1051" s="2" t="str">
        <f>'PFAS Properties'!$Y$48</f>
        <v>-</v>
      </c>
      <c r="N1051" s="33">
        <v>0</v>
      </c>
      <c r="O1051" s="33">
        <v>0</v>
      </c>
      <c r="P1051" s="33">
        <v>0</v>
      </c>
      <c r="Q1051" s="33">
        <f t="shared" si="470"/>
        <v>0.9999974881198781</v>
      </c>
      <c r="R1051" s="33">
        <v>0</v>
      </c>
      <c r="S1051" s="33">
        <f t="shared" si="471"/>
        <v>2.5118801219519806E-6</v>
      </c>
      <c r="T1051" s="8">
        <f t="shared" si="461"/>
        <v>1</v>
      </c>
      <c r="U1051" s="33">
        <f t="shared" si="472"/>
        <v>0</v>
      </c>
      <c r="V1051" s="33">
        <f t="shared" si="473"/>
        <v>-0.9999974881198781</v>
      </c>
      <c r="W1051" s="33">
        <f t="shared" si="474"/>
        <v>598.93100251188014</v>
      </c>
      <c r="X1051" s="33">
        <v>96485</v>
      </c>
      <c r="Y1051" s="16">
        <f t="shared" si="475"/>
        <v>-161.09494622351363</v>
      </c>
      <c r="Z1051" s="16">
        <v>10</v>
      </c>
      <c r="AA1051" s="16">
        <v>21</v>
      </c>
      <c r="AB1051" s="8">
        <f t="shared" si="476"/>
        <v>0.3007518796992481</v>
      </c>
      <c r="AC1051" s="16">
        <f t="shared" si="463"/>
        <v>66.507648379563662</v>
      </c>
      <c r="AD1051" s="20">
        <f>'PFAS Properties'!$W$48</f>
        <v>10</v>
      </c>
      <c r="AE1051" s="8">
        <f>'PFAS Properties'!$S$48</f>
        <v>0.22530928172586284</v>
      </c>
      <c r="AF1051" s="15">
        <f>'PFAS Properties'!$V$48</f>
        <v>6.4</v>
      </c>
      <c r="AG1051" s="26">
        <v>5.7</v>
      </c>
      <c r="AH1051" s="1" t="s">
        <v>363</v>
      </c>
      <c r="AI1051" s="6">
        <f>268*55.85/1000</f>
        <v>14.9678</v>
      </c>
      <c r="AJ1051" s="3">
        <f>AI1051*1000/55.845</f>
        <v>268.02399498612232</v>
      </c>
      <c r="AK1051" s="8">
        <f>AI1051/10</f>
        <v>1.49678</v>
      </c>
      <c r="AL1051" s="6">
        <f>90*26.98/1000</f>
        <v>2.4281999999999999</v>
      </c>
      <c r="AM1051" s="3">
        <f>AL1051*1000/26.98</f>
        <v>89.999999999999986</v>
      </c>
      <c r="AN1051" s="8">
        <f>AL1051/10</f>
        <v>0.24281999999999998</v>
      </c>
      <c r="AO1051" s="3" t="s">
        <v>93</v>
      </c>
      <c r="AP1051" s="15">
        <v>22</v>
      </c>
      <c r="AQ1051" s="1" t="s">
        <v>363</v>
      </c>
      <c r="AR1051" s="4">
        <v>80</v>
      </c>
      <c r="AS1051" s="4">
        <v>15</v>
      </c>
      <c r="AT1051" s="4">
        <v>5</v>
      </c>
      <c r="AU1051" s="1" t="s">
        <v>363</v>
      </c>
      <c r="AV1051" s="16">
        <f t="shared" si="462"/>
        <v>100</v>
      </c>
      <c r="AW1051" s="7">
        <v>9.66</v>
      </c>
      <c r="AX1051" s="6">
        <f>AW1051/100</f>
        <v>9.6600000000000005E-2</v>
      </c>
      <c r="AY1051" s="5" t="s">
        <v>87</v>
      </c>
      <c r="AZ1051" s="39">
        <f>5/0.05</f>
        <v>100</v>
      </c>
      <c r="BA1051" s="30" t="s">
        <v>55</v>
      </c>
      <c r="BB1051" s="15">
        <f>1*K1051/1000</f>
        <v>0.59993099999999988</v>
      </c>
      <c r="BC1051" s="16">
        <f>200*K1051/1000</f>
        <v>119.98619999999998</v>
      </c>
      <c r="BD1051" s="26">
        <v>438.9</v>
      </c>
      <c r="BE1051" s="16">
        <f t="shared" si="464"/>
        <v>4543.478260869565</v>
      </c>
      <c r="BF1051" s="16">
        <f t="shared" si="477"/>
        <v>3.6573884544294799</v>
      </c>
      <c r="BG1051" s="8">
        <f t="shared" si="478"/>
        <v>2.6423655808449733</v>
      </c>
      <c r="BH1051" s="5" t="s">
        <v>844</v>
      </c>
      <c r="BI1051" s="16"/>
      <c r="BJ1051" s="13"/>
      <c r="BK1051" s="8"/>
      <c r="BL1051" s="8"/>
      <c r="BM1051" s="18"/>
      <c r="BN1051" s="8"/>
      <c r="BO1051" s="24"/>
      <c r="BP1051" s="11"/>
      <c r="BQ1051" s="11"/>
    </row>
    <row r="1052" spans="1:69" s="14" customFormat="1" x14ac:dyDescent="0.3">
      <c r="A1052" s="20">
        <v>1073</v>
      </c>
      <c r="B1052" s="2" t="s">
        <v>234</v>
      </c>
      <c r="C1052" s="2">
        <v>2022</v>
      </c>
      <c r="D1052" s="2" t="s">
        <v>205</v>
      </c>
      <c r="E1052" s="10" t="s">
        <v>799</v>
      </c>
      <c r="F1052" s="20" t="s">
        <v>63</v>
      </c>
      <c r="G1052" s="2" t="s">
        <v>63</v>
      </c>
      <c r="H1052" s="2" t="str">
        <f>'PFAS Properties'!$B$48</f>
        <v>PFDS</v>
      </c>
      <c r="I1052" s="2" t="str">
        <f>'PFAS Properties'!$C$48</f>
        <v>PFSA</v>
      </c>
      <c r="J1052" s="2" t="str">
        <f>'PFAS Properties'!$D$48</f>
        <v>C10HF21O3S</v>
      </c>
      <c r="K1052" s="25">
        <f>'PFAS Properties'!$P$48</f>
        <v>599.93099999999993</v>
      </c>
      <c r="L1052" s="2">
        <f>'PFAS Properties'!$X$48</f>
        <v>0.1</v>
      </c>
      <c r="M1052" s="2" t="str">
        <f>'PFAS Properties'!$Y$48</f>
        <v>-</v>
      </c>
      <c r="N1052" s="33">
        <v>0</v>
      </c>
      <c r="O1052" s="33">
        <v>0</v>
      </c>
      <c r="P1052" s="33">
        <v>0</v>
      </c>
      <c r="Q1052" s="33">
        <f t="shared" si="470"/>
        <v>0.99999998797735579</v>
      </c>
      <c r="R1052" s="33">
        <v>0</v>
      </c>
      <c r="S1052" s="33">
        <f t="shared" si="471"/>
        <v>1.2022644201630123E-8</v>
      </c>
      <c r="T1052" s="8">
        <f t="shared" si="461"/>
        <v>1</v>
      </c>
      <c r="U1052" s="33">
        <f t="shared" si="472"/>
        <v>0</v>
      </c>
      <c r="V1052" s="33">
        <f t="shared" si="473"/>
        <v>-0.99999998797735579</v>
      </c>
      <c r="W1052" s="33">
        <f t="shared" si="474"/>
        <v>598.93100001202254</v>
      </c>
      <c r="X1052" s="33">
        <v>96485</v>
      </c>
      <c r="Y1052" s="16">
        <f t="shared" si="475"/>
        <v>-161.0953496113215</v>
      </c>
      <c r="Z1052" s="16">
        <v>10</v>
      </c>
      <c r="AA1052" s="16">
        <v>21</v>
      </c>
      <c r="AB1052" s="8">
        <f t="shared" si="476"/>
        <v>0.3007518796992481</v>
      </c>
      <c r="AC1052" s="16">
        <f t="shared" si="463"/>
        <v>66.507648379563662</v>
      </c>
      <c r="AD1052" s="20">
        <f>'PFAS Properties'!$W$48</f>
        <v>10</v>
      </c>
      <c r="AE1052" s="8">
        <f>'PFAS Properties'!$S$48</f>
        <v>0.22530928172586284</v>
      </c>
      <c r="AF1052" s="15">
        <f>'PFAS Properties'!$V$48</f>
        <v>6.4</v>
      </c>
      <c r="AG1052" s="24">
        <v>8.02</v>
      </c>
      <c r="AH1052" s="1" t="s">
        <v>363</v>
      </c>
      <c r="AI1052" s="1" t="s">
        <v>363</v>
      </c>
      <c r="AJ1052" s="1" t="s">
        <v>363</v>
      </c>
      <c r="AK1052" s="1" t="s">
        <v>363</v>
      </c>
      <c r="AL1052" s="1" t="s">
        <v>363</v>
      </c>
      <c r="AM1052" s="1" t="s">
        <v>363</v>
      </c>
      <c r="AN1052" s="1" t="s">
        <v>363</v>
      </c>
      <c r="AO1052" s="1" t="s">
        <v>363</v>
      </c>
      <c r="AP1052" s="72">
        <v>11.934691666666669</v>
      </c>
      <c r="AQ1052" s="70" t="s">
        <v>752</v>
      </c>
      <c r="AR1052" s="16">
        <v>6.34</v>
      </c>
      <c r="AS1052" s="16">
        <v>85.56</v>
      </c>
      <c r="AT1052" s="16">
        <v>8.08</v>
      </c>
      <c r="AU1052" s="2" t="s">
        <v>661</v>
      </c>
      <c r="AV1052" s="16">
        <f t="shared" si="462"/>
        <v>99.98</v>
      </c>
      <c r="AW1052" s="20">
        <v>0.37</v>
      </c>
      <c r="AX1052" s="8">
        <v>3.7000000000000002E-3</v>
      </c>
      <c r="AY1052" s="13" t="s">
        <v>392</v>
      </c>
      <c r="AZ1052" s="16">
        <f>1/0.02</f>
        <v>50</v>
      </c>
      <c r="BA1052" s="16" t="s">
        <v>55</v>
      </c>
      <c r="BB1052" s="16">
        <v>10</v>
      </c>
      <c r="BC1052" s="16" t="s">
        <v>55</v>
      </c>
      <c r="BD1052" s="18">
        <f>BO1052</f>
        <v>191.48682646544191</v>
      </c>
      <c r="BE1052" s="16">
        <f t="shared" si="464"/>
        <v>51753.196342011324</v>
      </c>
      <c r="BF1052" s="16">
        <f t="shared" si="477"/>
        <v>4.7139371775266339</v>
      </c>
      <c r="BG1052" s="8">
        <f t="shared" si="478"/>
        <v>2.2821389015936289</v>
      </c>
      <c r="BH1052" s="13" t="s">
        <v>782</v>
      </c>
      <c r="BI1052" s="8">
        <v>131.66</v>
      </c>
      <c r="BJ1052" s="13" t="s">
        <v>366</v>
      </c>
      <c r="BK1052" s="8">
        <v>0.79</v>
      </c>
      <c r="BL1052" s="8">
        <f>BI1052</f>
        <v>131.66</v>
      </c>
      <c r="BM1052" s="18">
        <f>'PFAS Properties'!$U$48</f>
        <v>0.16800000000000001</v>
      </c>
      <c r="BN1052" s="8">
        <f>(BL1052*(BM1052^BK1052))</f>
        <v>32.169786846194242</v>
      </c>
      <c r="BO1052" s="24">
        <f>BN1052/BM1052</f>
        <v>191.48682646544191</v>
      </c>
    </row>
    <row r="1053" spans="1:69" x14ac:dyDescent="0.3">
      <c r="A1053" s="20">
        <v>1074</v>
      </c>
      <c r="B1053" s="2" t="s">
        <v>181</v>
      </c>
      <c r="C1053" s="2">
        <v>2020</v>
      </c>
      <c r="D1053" s="2" t="s">
        <v>203</v>
      </c>
      <c r="E1053" s="10" t="s">
        <v>787</v>
      </c>
      <c r="F1053" s="20" t="s">
        <v>29</v>
      </c>
      <c r="G1053" s="2" t="s">
        <v>62</v>
      </c>
      <c r="H1053" s="2" t="str">
        <f>'PFAS Properties'!$B$48</f>
        <v>PFDS</v>
      </c>
      <c r="I1053" s="2" t="str">
        <f>'PFAS Properties'!$C$48</f>
        <v>PFSA</v>
      </c>
      <c r="J1053" s="2" t="str">
        <f>'PFAS Properties'!$D$48</f>
        <v>C10HF21O3S</v>
      </c>
      <c r="K1053" s="25">
        <f>'PFAS Properties'!$P$48</f>
        <v>599.93099999999993</v>
      </c>
      <c r="L1053" s="2">
        <f>'PFAS Properties'!$X$48</f>
        <v>0.1</v>
      </c>
      <c r="M1053" s="2" t="str">
        <f>'PFAS Properties'!$Y$48</f>
        <v>-</v>
      </c>
      <c r="N1053" s="33">
        <v>0</v>
      </c>
      <c r="O1053" s="33">
        <v>0</v>
      </c>
      <c r="P1053" s="33">
        <v>0</v>
      </c>
      <c r="Q1053" s="33">
        <f t="shared" si="470"/>
        <v>0.9999999601892845</v>
      </c>
      <c r="R1053" s="33">
        <v>0</v>
      </c>
      <c r="S1053" s="33">
        <f t="shared" si="471"/>
        <v>3.9810715470456442E-8</v>
      </c>
      <c r="T1053" s="8">
        <f t="shared" si="461"/>
        <v>1</v>
      </c>
      <c r="U1053" s="33">
        <f t="shared" si="472"/>
        <v>0</v>
      </c>
      <c r="V1053" s="33">
        <f t="shared" si="473"/>
        <v>-0.9999999601892845</v>
      </c>
      <c r="W1053" s="33">
        <f t="shared" si="474"/>
        <v>598.93100003981067</v>
      </c>
      <c r="X1053" s="33">
        <v>96485</v>
      </c>
      <c r="Y1053" s="16">
        <f t="shared" si="475"/>
        <v>-161.09534512731818</v>
      </c>
      <c r="Z1053" s="16">
        <v>10</v>
      </c>
      <c r="AA1053" s="16">
        <v>21</v>
      </c>
      <c r="AB1053" s="8">
        <f t="shared" si="476"/>
        <v>0.3007518796992481</v>
      </c>
      <c r="AC1053" s="16">
        <f t="shared" si="463"/>
        <v>66.507648379563662</v>
      </c>
      <c r="AD1053" s="20">
        <f>'PFAS Properties'!$W$48</f>
        <v>10</v>
      </c>
      <c r="AE1053" s="8">
        <f>'PFAS Properties'!$S$48</f>
        <v>0.22530928172586284</v>
      </c>
      <c r="AF1053" s="15">
        <f>'PFAS Properties'!$V$48</f>
        <v>6.4</v>
      </c>
      <c r="AG1053" s="24">
        <v>7.5</v>
      </c>
      <c r="AH1053" s="2" t="s">
        <v>183</v>
      </c>
      <c r="AI1053" s="2" t="s">
        <v>661</v>
      </c>
      <c r="AJ1053" s="2" t="s">
        <v>661</v>
      </c>
      <c r="AK1053" s="2" t="s">
        <v>661</v>
      </c>
      <c r="AL1053" s="2" t="s">
        <v>661</v>
      </c>
      <c r="AM1053" s="2" t="s">
        <v>661</v>
      </c>
      <c r="AN1053" s="2" t="s">
        <v>661</v>
      </c>
      <c r="AO1053" s="2" t="s">
        <v>661</v>
      </c>
      <c r="AP1053" s="15">
        <v>41.4</v>
      </c>
      <c r="AQ1053" s="2" t="s">
        <v>661</v>
      </c>
      <c r="AR1053" s="16">
        <v>16.899999999999999</v>
      </c>
      <c r="AS1053" s="16">
        <v>17.5</v>
      </c>
      <c r="AT1053" s="16">
        <v>65.599999999999994</v>
      </c>
      <c r="AU1053" s="2" t="s">
        <v>661</v>
      </c>
      <c r="AV1053" s="16">
        <f t="shared" si="462"/>
        <v>100</v>
      </c>
      <c r="AW1053" s="20">
        <v>0.7</v>
      </c>
      <c r="AX1053" s="8">
        <v>6.9999999999999993E-3</v>
      </c>
      <c r="AY1053" s="13" t="s">
        <v>184</v>
      </c>
      <c r="AZ1053" s="16">
        <v>100</v>
      </c>
      <c r="BA1053" s="16" t="s">
        <v>55</v>
      </c>
      <c r="BB1053" s="16">
        <v>5</v>
      </c>
      <c r="BC1053" s="16" t="s">
        <v>55</v>
      </c>
      <c r="BD1053" s="27">
        <v>41.98</v>
      </c>
      <c r="BE1053" s="16">
        <f t="shared" si="464"/>
        <v>5997.1428571428569</v>
      </c>
      <c r="BF1053" s="16">
        <f t="shared" si="477"/>
        <v>3.7779443942321249</v>
      </c>
      <c r="BG1053" s="8">
        <f t="shared" si="478"/>
        <v>1.6230424342463816</v>
      </c>
      <c r="BH1053" s="5" t="s">
        <v>841</v>
      </c>
      <c r="BI1053" s="5"/>
      <c r="BJ1053" s="13"/>
      <c r="BK1053" s="5"/>
      <c r="BL1053" s="5"/>
      <c r="BM1053" s="21"/>
      <c r="BN1053" s="21"/>
      <c r="BO1053" s="1"/>
      <c r="BP1053" s="11"/>
      <c r="BQ1053" s="11"/>
    </row>
    <row r="1054" spans="1:69" x14ac:dyDescent="0.3">
      <c r="A1054" s="20">
        <v>1075</v>
      </c>
      <c r="B1054" s="2" t="s">
        <v>181</v>
      </c>
      <c r="C1054" s="2">
        <v>2020</v>
      </c>
      <c r="D1054" s="2" t="s">
        <v>203</v>
      </c>
      <c r="E1054" s="10" t="s">
        <v>787</v>
      </c>
      <c r="F1054" s="20" t="s">
        <v>29</v>
      </c>
      <c r="G1054" s="2" t="s">
        <v>57</v>
      </c>
      <c r="H1054" s="2" t="str">
        <f>'PFAS Properties'!$B$48</f>
        <v>PFDS</v>
      </c>
      <c r="I1054" s="2" t="str">
        <f>'PFAS Properties'!$C$48</f>
        <v>PFSA</v>
      </c>
      <c r="J1054" s="2" t="str">
        <f>'PFAS Properties'!$D$48</f>
        <v>C10HF21O3S</v>
      </c>
      <c r="K1054" s="25">
        <f>'PFAS Properties'!$P$48</f>
        <v>599.93099999999993</v>
      </c>
      <c r="L1054" s="2">
        <f>'PFAS Properties'!$X$48</f>
        <v>0.1</v>
      </c>
      <c r="M1054" s="2" t="str">
        <f>'PFAS Properties'!$Y$48</f>
        <v>-</v>
      </c>
      <c r="N1054" s="33">
        <v>0</v>
      </c>
      <c r="O1054" s="33">
        <v>0</v>
      </c>
      <c r="P1054" s="33">
        <v>0</v>
      </c>
      <c r="Q1054" s="33">
        <f t="shared" si="470"/>
        <v>0.99999980047380832</v>
      </c>
      <c r="R1054" s="33">
        <v>0</v>
      </c>
      <c r="S1054" s="33">
        <f t="shared" si="471"/>
        <v>1.9952619168617852E-7</v>
      </c>
      <c r="T1054" s="8">
        <f t="shared" si="461"/>
        <v>1</v>
      </c>
      <c r="U1054" s="33">
        <f t="shared" si="472"/>
        <v>0</v>
      </c>
      <c r="V1054" s="33">
        <f t="shared" si="473"/>
        <v>-0.99999980047380832</v>
      </c>
      <c r="W1054" s="33">
        <f t="shared" si="474"/>
        <v>598.93100019952612</v>
      </c>
      <c r="X1054" s="33">
        <v>96485</v>
      </c>
      <c r="Y1054" s="16">
        <f t="shared" si="475"/>
        <v>-161.09531935493851</v>
      </c>
      <c r="Z1054" s="16">
        <v>10</v>
      </c>
      <c r="AA1054" s="16">
        <v>21</v>
      </c>
      <c r="AB1054" s="8">
        <f t="shared" si="476"/>
        <v>0.3007518796992481</v>
      </c>
      <c r="AC1054" s="16">
        <f t="shared" si="463"/>
        <v>66.507648379563662</v>
      </c>
      <c r="AD1054" s="20">
        <f>'PFAS Properties'!$W$48</f>
        <v>10</v>
      </c>
      <c r="AE1054" s="8">
        <f>'PFAS Properties'!$S$48</f>
        <v>0.22530928172586284</v>
      </c>
      <c r="AF1054" s="15">
        <f>'PFAS Properties'!$V$48</f>
        <v>6.4</v>
      </c>
      <c r="AG1054" s="24">
        <v>6.8</v>
      </c>
      <c r="AH1054" s="2" t="s">
        <v>183</v>
      </c>
      <c r="AI1054" s="2" t="s">
        <v>661</v>
      </c>
      <c r="AJ1054" s="2" t="s">
        <v>661</v>
      </c>
      <c r="AK1054" s="2" t="s">
        <v>661</v>
      </c>
      <c r="AL1054" s="2" t="s">
        <v>661</v>
      </c>
      <c r="AM1054" s="2" t="s">
        <v>661</v>
      </c>
      <c r="AN1054" s="2" t="s">
        <v>661</v>
      </c>
      <c r="AO1054" s="2" t="s">
        <v>661</v>
      </c>
      <c r="AP1054" s="15">
        <v>7.1</v>
      </c>
      <c r="AQ1054" s="2" t="s">
        <v>661</v>
      </c>
      <c r="AR1054" s="16">
        <v>48.9</v>
      </c>
      <c r="AS1054" s="16">
        <v>27</v>
      </c>
      <c r="AT1054" s="16">
        <v>24.2</v>
      </c>
      <c r="AU1054" s="2" t="s">
        <v>661</v>
      </c>
      <c r="AV1054" s="16">
        <f t="shared" si="462"/>
        <v>100.10000000000001</v>
      </c>
      <c r="AW1054" s="20">
        <v>0.37</v>
      </c>
      <c r="AX1054" s="8">
        <v>3.7000000000000002E-3</v>
      </c>
      <c r="AY1054" s="13" t="s">
        <v>184</v>
      </c>
      <c r="AZ1054" s="16">
        <v>100</v>
      </c>
      <c r="BA1054" s="16" t="s">
        <v>55</v>
      </c>
      <c r="BB1054" s="16">
        <v>5</v>
      </c>
      <c r="BC1054" s="16" t="s">
        <v>55</v>
      </c>
      <c r="BD1054" s="7">
        <v>124.51</v>
      </c>
      <c r="BE1054" s="16">
        <f t="shared" si="464"/>
        <v>33651.351351351354</v>
      </c>
      <c r="BF1054" s="16">
        <f t="shared" si="477"/>
        <v>4.5270025090548236</v>
      </c>
      <c r="BG1054" s="8">
        <f t="shared" si="478"/>
        <v>2.0952042331218186</v>
      </c>
      <c r="BH1054" s="5" t="s">
        <v>841</v>
      </c>
      <c r="BI1054" s="5"/>
      <c r="BJ1054" s="13"/>
      <c r="BK1054" s="5"/>
      <c r="BL1054" s="5"/>
      <c r="BM1054" s="21"/>
      <c r="BN1054" s="21"/>
      <c r="BO1054" s="1"/>
      <c r="BP1054" s="11"/>
      <c r="BQ1054" s="11"/>
    </row>
    <row r="1055" spans="1:69" x14ac:dyDescent="0.3">
      <c r="A1055" s="20">
        <v>1076</v>
      </c>
      <c r="B1055" s="2" t="s">
        <v>181</v>
      </c>
      <c r="C1055" s="2">
        <v>2020</v>
      </c>
      <c r="D1055" s="2" t="s">
        <v>203</v>
      </c>
      <c r="E1055" s="10" t="s">
        <v>787</v>
      </c>
      <c r="F1055" s="20" t="s">
        <v>29</v>
      </c>
      <c r="G1055" s="2" t="s">
        <v>58</v>
      </c>
      <c r="H1055" s="2" t="str">
        <f>'PFAS Properties'!$B$48</f>
        <v>PFDS</v>
      </c>
      <c r="I1055" s="2" t="str">
        <f>'PFAS Properties'!$C$48</f>
        <v>PFSA</v>
      </c>
      <c r="J1055" s="2" t="str">
        <f>'PFAS Properties'!$D$48</f>
        <v>C10HF21O3S</v>
      </c>
      <c r="K1055" s="25">
        <f>'PFAS Properties'!$P$48</f>
        <v>599.93099999999993</v>
      </c>
      <c r="L1055" s="2">
        <f>'PFAS Properties'!$X$48</f>
        <v>0.1</v>
      </c>
      <c r="M1055" s="2" t="str">
        <f>'PFAS Properties'!$Y$48</f>
        <v>-</v>
      </c>
      <c r="N1055" s="33">
        <v>0</v>
      </c>
      <c r="O1055" s="33">
        <v>0</v>
      </c>
      <c r="P1055" s="33">
        <v>0</v>
      </c>
      <c r="Q1055" s="33">
        <f t="shared" si="470"/>
        <v>0.9999992056723962</v>
      </c>
      <c r="R1055" s="33">
        <v>0</v>
      </c>
      <c r="S1055" s="33">
        <f t="shared" si="471"/>
        <v>7.9432760376743655E-7</v>
      </c>
      <c r="T1055" s="8">
        <f t="shared" si="461"/>
        <v>1</v>
      </c>
      <c r="U1055" s="33">
        <f t="shared" si="472"/>
        <v>0</v>
      </c>
      <c r="V1055" s="33">
        <f t="shared" si="473"/>
        <v>-0.9999992056723962</v>
      </c>
      <c r="W1055" s="33">
        <f t="shared" si="474"/>
        <v>598.93100079432747</v>
      </c>
      <c r="X1055" s="33">
        <v>96485</v>
      </c>
      <c r="Y1055" s="16">
        <f t="shared" si="475"/>
        <v>-161.09522337521148</v>
      </c>
      <c r="Z1055" s="16">
        <v>10</v>
      </c>
      <c r="AA1055" s="16">
        <v>21</v>
      </c>
      <c r="AB1055" s="8">
        <f t="shared" si="476"/>
        <v>0.3007518796992481</v>
      </c>
      <c r="AC1055" s="16">
        <f t="shared" si="463"/>
        <v>66.507648379563662</v>
      </c>
      <c r="AD1055" s="20">
        <f>'PFAS Properties'!$W$48</f>
        <v>10</v>
      </c>
      <c r="AE1055" s="8">
        <f>'PFAS Properties'!$S$48</f>
        <v>0.22530928172586284</v>
      </c>
      <c r="AF1055" s="15">
        <f>'PFAS Properties'!$V$48</f>
        <v>6.4</v>
      </c>
      <c r="AG1055" s="24">
        <v>6.2</v>
      </c>
      <c r="AH1055" s="2" t="s">
        <v>183</v>
      </c>
      <c r="AI1055" s="2" t="s">
        <v>661</v>
      </c>
      <c r="AJ1055" s="2" t="s">
        <v>661</v>
      </c>
      <c r="AK1055" s="2" t="s">
        <v>661</v>
      </c>
      <c r="AL1055" s="2" t="s">
        <v>661</v>
      </c>
      <c r="AM1055" s="2" t="s">
        <v>661</v>
      </c>
      <c r="AN1055" s="2" t="s">
        <v>661</v>
      </c>
      <c r="AO1055" s="2" t="s">
        <v>661</v>
      </c>
      <c r="AP1055" s="15">
        <v>8</v>
      </c>
      <c r="AQ1055" s="2" t="s">
        <v>661</v>
      </c>
      <c r="AR1055" s="16">
        <v>51.44</v>
      </c>
      <c r="AS1055" s="16">
        <v>10.17</v>
      </c>
      <c r="AT1055" s="16">
        <v>38.380000000000003</v>
      </c>
      <c r="AU1055" s="2" t="s">
        <v>661</v>
      </c>
      <c r="AV1055" s="16">
        <f t="shared" si="462"/>
        <v>99.990000000000009</v>
      </c>
      <c r="AW1055" s="20">
        <v>0.08</v>
      </c>
      <c r="AX1055" s="8">
        <v>8.0000000000000004E-4</v>
      </c>
      <c r="AY1055" s="8" t="s">
        <v>184</v>
      </c>
      <c r="AZ1055" s="16">
        <v>100</v>
      </c>
      <c r="BA1055" s="16" t="s">
        <v>55</v>
      </c>
      <c r="BB1055" s="16">
        <v>5</v>
      </c>
      <c r="BC1055" s="16" t="s">
        <v>55</v>
      </c>
      <c r="BD1055" s="7">
        <v>56.23</v>
      </c>
      <c r="BE1055" s="16">
        <f t="shared" si="464"/>
        <v>70287.499999999985</v>
      </c>
      <c r="BF1055" s="16">
        <f t="shared" si="477"/>
        <v>4.8468780965174592</v>
      </c>
      <c r="BG1055" s="8">
        <f t="shared" si="478"/>
        <v>1.7499680835094029</v>
      </c>
      <c r="BH1055" s="5" t="s">
        <v>841</v>
      </c>
      <c r="BI1055" s="5"/>
      <c r="BJ1055" s="13"/>
      <c r="BK1055" s="5"/>
      <c r="BL1055" s="5"/>
      <c r="BM1055" s="21"/>
      <c r="BN1055" s="21"/>
      <c r="BO1055" s="1"/>
      <c r="BP1055" s="11"/>
      <c r="BQ1055" s="11"/>
    </row>
    <row r="1056" spans="1:69" x14ac:dyDescent="0.3">
      <c r="A1056" s="20">
        <v>1077</v>
      </c>
      <c r="B1056" s="2" t="s">
        <v>181</v>
      </c>
      <c r="C1056" s="2">
        <v>2020</v>
      </c>
      <c r="D1056" s="2" t="s">
        <v>203</v>
      </c>
      <c r="E1056" s="10" t="s">
        <v>787</v>
      </c>
      <c r="F1056" s="20" t="s">
        <v>29</v>
      </c>
      <c r="G1056" s="2" t="s">
        <v>59</v>
      </c>
      <c r="H1056" s="2" t="str">
        <f>'PFAS Properties'!$B$48</f>
        <v>PFDS</v>
      </c>
      <c r="I1056" s="2" t="str">
        <f>'PFAS Properties'!$C$48</f>
        <v>PFSA</v>
      </c>
      <c r="J1056" s="2" t="str">
        <f>'PFAS Properties'!$D$48</f>
        <v>C10HF21O3S</v>
      </c>
      <c r="K1056" s="25">
        <f>'PFAS Properties'!$P$48</f>
        <v>599.93099999999993</v>
      </c>
      <c r="L1056" s="2">
        <f>'PFAS Properties'!$X$48</f>
        <v>0.1</v>
      </c>
      <c r="M1056" s="2" t="str">
        <f>'PFAS Properties'!$Y$48</f>
        <v>-</v>
      </c>
      <c r="N1056" s="33">
        <v>0</v>
      </c>
      <c r="O1056" s="33">
        <v>0</v>
      </c>
      <c r="P1056" s="33">
        <v>0</v>
      </c>
      <c r="Q1056" s="33">
        <f t="shared" si="470"/>
        <v>0.99999997488113634</v>
      </c>
      <c r="R1056" s="33">
        <v>0</v>
      </c>
      <c r="S1056" s="33">
        <f t="shared" si="471"/>
        <v>2.5118863684138424E-8</v>
      </c>
      <c r="T1056" s="8">
        <f t="shared" si="461"/>
        <v>1</v>
      </c>
      <c r="U1056" s="33">
        <f t="shared" si="472"/>
        <v>0</v>
      </c>
      <c r="V1056" s="33">
        <f t="shared" si="473"/>
        <v>-0.99999997488113634</v>
      </c>
      <c r="W1056" s="33">
        <f t="shared" si="474"/>
        <v>598.93100002511881</v>
      </c>
      <c r="X1056" s="33">
        <v>96485</v>
      </c>
      <c r="Y1056" s="16">
        <f t="shared" si="475"/>
        <v>-161.09534749805891</v>
      </c>
      <c r="Z1056" s="16">
        <v>10</v>
      </c>
      <c r="AA1056" s="16">
        <v>21</v>
      </c>
      <c r="AB1056" s="8">
        <f t="shared" si="476"/>
        <v>0.3007518796992481</v>
      </c>
      <c r="AC1056" s="16">
        <f t="shared" si="463"/>
        <v>66.507648379563662</v>
      </c>
      <c r="AD1056" s="20">
        <f>'PFAS Properties'!$W$48</f>
        <v>10</v>
      </c>
      <c r="AE1056" s="8">
        <f>'PFAS Properties'!$S$48</f>
        <v>0.22530928172586284</v>
      </c>
      <c r="AF1056" s="15">
        <f>'PFAS Properties'!$V$48</f>
        <v>6.4</v>
      </c>
      <c r="AG1056" s="24">
        <v>7.7</v>
      </c>
      <c r="AH1056" s="2" t="s">
        <v>183</v>
      </c>
      <c r="AI1056" s="2" t="s">
        <v>661</v>
      </c>
      <c r="AJ1056" s="2" t="s">
        <v>661</v>
      </c>
      <c r="AK1056" s="2" t="s">
        <v>661</v>
      </c>
      <c r="AL1056" s="2" t="s">
        <v>661</v>
      </c>
      <c r="AM1056" s="2" t="s">
        <v>661</v>
      </c>
      <c r="AN1056" s="2" t="s">
        <v>661</v>
      </c>
      <c r="AO1056" s="2" t="s">
        <v>661</v>
      </c>
      <c r="AP1056" s="15">
        <v>4.8</v>
      </c>
      <c r="AQ1056" s="2" t="s">
        <v>661</v>
      </c>
      <c r="AR1056" s="16">
        <v>46</v>
      </c>
      <c r="AS1056" s="16">
        <v>37</v>
      </c>
      <c r="AT1056" s="16">
        <v>17</v>
      </c>
      <c r="AU1056" s="2" t="s">
        <v>661</v>
      </c>
      <c r="AV1056" s="16">
        <f t="shared" si="462"/>
        <v>100</v>
      </c>
      <c r="AW1056" s="20">
        <v>0.25</v>
      </c>
      <c r="AX1056" s="8">
        <v>2.5000000000000001E-3</v>
      </c>
      <c r="AY1056" s="13" t="s">
        <v>184</v>
      </c>
      <c r="AZ1056" s="16">
        <v>100</v>
      </c>
      <c r="BA1056" s="16" t="s">
        <v>55</v>
      </c>
      <c r="BB1056" s="16">
        <v>5</v>
      </c>
      <c r="BC1056" s="16" t="s">
        <v>55</v>
      </c>
      <c r="BD1056" s="27">
        <v>10.36</v>
      </c>
      <c r="BE1056" s="16">
        <f t="shared" si="464"/>
        <v>4144</v>
      </c>
      <c r="BF1056" s="16">
        <f t="shared" si="477"/>
        <v>3.6174197467371765</v>
      </c>
      <c r="BG1056" s="8">
        <f t="shared" si="478"/>
        <v>1.0153597554092142</v>
      </c>
      <c r="BH1056" s="5" t="s">
        <v>841</v>
      </c>
      <c r="BI1056" s="5"/>
      <c r="BJ1056" s="13"/>
      <c r="BK1056" s="5"/>
      <c r="BL1056" s="5"/>
      <c r="BM1056" s="21"/>
      <c r="BN1056" s="21"/>
      <c r="BO1056" s="1"/>
      <c r="BP1056" s="11"/>
      <c r="BQ1056" s="11"/>
    </row>
    <row r="1057" spans="1:69" x14ac:dyDescent="0.3">
      <c r="A1057" s="20">
        <v>1078</v>
      </c>
      <c r="B1057" s="2" t="s">
        <v>181</v>
      </c>
      <c r="C1057" s="2">
        <v>2020</v>
      </c>
      <c r="D1057" s="2" t="s">
        <v>203</v>
      </c>
      <c r="E1057" s="10" t="s">
        <v>787</v>
      </c>
      <c r="F1057" s="20" t="s">
        <v>29</v>
      </c>
      <c r="G1057" s="2" t="s">
        <v>61</v>
      </c>
      <c r="H1057" s="2" t="str">
        <f>'PFAS Properties'!$B$48</f>
        <v>PFDS</v>
      </c>
      <c r="I1057" s="2" t="str">
        <f>'PFAS Properties'!$C$48</f>
        <v>PFSA</v>
      </c>
      <c r="J1057" s="2" t="str">
        <f>'PFAS Properties'!$D$48</f>
        <v>C10HF21O3S</v>
      </c>
      <c r="K1057" s="25">
        <f>'PFAS Properties'!$P$48</f>
        <v>599.93099999999993</v>
      </c>
      <c r="L1057" s="2">
        <f>'PFAS Properties'!$X$48</f>
        <v>0.1</v>
      </c>
      <c r="M1057" s="2" t="str">
        <f>'PFAS Properties'!$Y$48</f>
        <v>-</v>
      </c>
      <c r="N1057" s="33">
        <v>0</v>
      </c>
      <c r="O1057" s="33">
        <v>0</v>
      </c>
      <c r="P1057" s="33">
        <v>0</v>
      </c>
      <c r="Q1057" s="33">
        <f t="shared" si="470"/>
        <v>0.99999994988127916</v>
      </c>
      <c r="R1057" s="33">
        <v>0</v>
      </c>
      <c r="S1057" s="33">
        <f t="shared" si="471"/>
        <v>5.0118720850840682E-8</v>
      </c>
      <c r="T1057" s="8">
        <f t="shared" si="461"/>
        <v>1</v>
      </c>
      <c r="U1057" s="33">
        <f t="shared" si="472"/>
        <v>0</v>
      </c>
      <c r="V1057" s="33">
        <f t="shared" si="473"/>
        <v>-0.99999994988127916</v>
      </c>
      <c r="W1057" s="33">
        <f t="shared" si="474"/>
        <v>598.93100005011866</v>
      </c>
      <c r="X1057" s="33">
        <v>96485</v>
      </c>
      <c r="Y1057" s="16">
        <f t="shared" si="475"/>
        <v>-161.09534346397388</v>
      </c>
      <c r="Z1057" s="16">
        <v>10</v>
      </c>
      <c r="AA1057" s="16">
        <v>21</v>
      </c>
      <c r="AB1057" s="8">
        <f t="shared" si="476"/>
        <v>0.3007518796992481</v>
      </c>
      <c r="AC1057" s="16">
        <f t="shared" si="463"/>
        <v>66.507648379563662</v>
      </c>
      <c r="AD1057" s="20">
        <f>'PFAS Properties'!$W$48</f>
        <v>10</v>
      </c>
      <c r="AE1057" s="8">
        <f>'PFAS Properties'!$S$48</f>
        <v>0.22530928172586284</v>
      </c>
      <c r="AF1057" s="15">
        <f>'PFAS Properties'!$V$48</f>
        <v>6.4</v>
      </c>
      <c r="AG1057" s="24">
        <v>7.4</v>
      </c>
      <c r="AH1057" s="2" t="s">
        <v>183</v>
      </c>
      <c r="AI1057" s="2" t="s">
        <v>661</v>
      </c>
      <c r="AJ1057" s="2" t="s">
        <v>661</v>
      </c>
      <c r="AK1057" s="2" t="s">
        <v>661</v>
      </c>
      <c r="AL1057" s="2" t="s">
        <v>661</v>
      </c>
      <c r="AM1057" s="2" t="s">
        <v>661</v>
      </c>
      <c r="AN1057" s="2" t="s">
        <v>661</v>
      </c>
      <c r="AO1057" s="2" t="s">
        <v>661</v>
      </c>
      <c r="AP1057" s="15">
        <v>29.6</v>
      </c>
      <c r="AQ1057" s="2" t="s">
        <v>661</v>
      </c>
      <c r="AR1057" s="16">
        <v>39.799999999999997</v>
      </c>
      <c r="AS1057" s="16">
        <v>7.7</v>
      </c>
      <c r="AT1057" s="16">
        <v>52.5</v>
      </c>
      <c r="AU1057" s="2" t="s">
        <v>661</v>
      </c>
      <c r="AV1057" s="16">
        <f t="shared" si="462"/>
        <v>100</v>
      </c>
      <c r="AW1057" s="20">
        <v>2.23</v>
      </c>
      <c r="AX1057" s="8">
        <v>2.23E-2</v>
      </c>
      <c r="AY1057" s="8" t="s">
        <v>184</v>
      </c>
      <c r="AZ1057" s="16">
        <v>100</v>
      </c>
      <c r="BA1057" s="16" t="s">
        <v>55</v>
      </c>
      <c r="BB1057" s="16">
        <v>5</v>
      </c>
      <c r="BC1057" s="16" t="s">
        <v>55</v>
      </c>
      <c r="BD1057" s="7">
        <v>66.5</v>
      </c>
      <c r="BE1057" s="16">
        <f t="shared" si="464"/>
        <v>2982.0627802690583</v>
      </c>
      <c r="BF1057" s="16">
        <f t="shared" si="477"/>
        <v>3.4745167822549439</v>
      </c>
      <c r="BG1057" s="8">
        <f t="shared" si="478"/>
        <v>1.8228216453031045</v>
      </c>
      <c r="BH1057" s="5" t="s">
        <v>841</v>
      </c>
      <c r="BI1057" s="5"/>
      <c r="BJ1057" s="13"/>
      <c r="BK1057" s="5"/>
      <c r="BL1057" s="5"/>
      <c r="BM1057" s="21"/>
      <c r="BN1057" s="21"/>
      <c r="BO1057" s="1"/>
      <c r="BP1057" s="11"/>
      <c r="BQ1057" s="11"/>
    </row>
    <row r="1058" spans="1:69" x14ac:dyDescent="0.3">
      <c r="A1058" s="20">
        <v>1079</v>
      </c>
      <c r="B1058" s="2" t="s">
        <v>181</v>
      </c>
      <c r="C1058" s="2">
        <v>2020</v>
      </c>
      <c r="D1058" s="2" t="s">
        <v>203</v>
      </c>
      <c r="E1058" s="10" t="s">
        <v>787</v>
      </c>
      <c r="F1058" s="20" t="s">
        <v>29</v>
      </c>
      <c r="G1058" s="2" t="s">
        <v>60</v>
      </c>
      <c r="H1058" s="2" t="str">
        <f>'PFAS Properties'!$B$48</f>
        <v>PFDS</v>
      </c>
      <c r="I1058" s="2" t="str">
        <f>'PFAS Properties'!$C$48</f>
        <v>PFSA</v>
      </c>
      <c r="J1058" s="2" t="str">
        <f>'PFAS Properties'!$D$48</f>
        <v>C10HF21O3S</v>
      </c>
      <c r="K1058" s="25">
        <f>'PFAS Properties'!$P$48</f>
        <v>599.93099999999993</v>
      </c>
      <c r="L1058" s="2">
        <f>'PFAS Properties'!$X$48</f>
        <v>0.1</v>
      </c>
      <c r="M1058" s="2" t="str">
        <f>'PFAS Properties'!$Y$48</f>
        <v>-</v>
      </c>
      <c r="N1058" s="33">
        <v>0</v>
      </c>
      <c r="O1058" s="33">
        <v>0</v>
      </c>
      <c r="P1058" s="33">
        <v>0</v>
      </c>
      <c r="Q1058" s="33">
        <f t="shared" si="470"/>
        <v>0.99999997488113634</v>
      </c>
      <c r="R1058" s="33">
        <v>0</v>
      </c>
      <c r="S1058" s="33">
        <f t="shared" si="471"/>
        <v>2.5118863684138424E-8</v>
      </c>
      <c r="T1058" s="8">
        <f t="shared" si="461"/>
        <v>1</v>
      </c>
      <c r="U1058" s="33">
        <f t="shared" si="472"/>
        <v>0</v>
      </c>
      <c r="V1058" s="33">
        <f t="shared" si="473"/>
        <v>-0.99999997488113634</v>
      </c>
      <c r="W1058" s="33">
        <f t="shared" si="474"/>
        <v>598.93100002511881</v>
      </c>
      <c r="X1058" s="33">
        <v>96485</v>
      </c>
      <c r="Y1058" s="16">
        <f t="shared" si="475"/>
        <v>-161.09534749805891</v>
      </c>
      <c r="Z1058" s="16">
        <v>10</v>
      </c>
      <c r="AA1058" s="16">
        <v>21</v>
      </c>
      <c r="AB1058" s="8">
        <f t="shared" si="476"/>
        <v>0.3007518796992481</v>
      </c>
      <c r="AC1058" s="16">
        <f t="shared" si="463"/>
        <v>66.507648379563662</v>
      </c>
      <c r="AD1058" s="20">
        <f>'PFAS Properties'!$W$48</f>
        <v>10</v>
      </c>
      <c r="AE1058" s="8">
        <f>'PFAS Properties'!$S$48</f>
        <v>0.22530928172586284</v>
      </c>
      <c r="AF1058" s="15">
        <f>'PFAS Properties'!$V$48</f>
        <v>6.4</v>
      </c>
      <c r="AG1058" s="24">
        <v>7.7</v>
      </c>
      <c r="AH1058" s="2" t="s">
        <v>183</v>
      </c>
      <c r="AI1058" s="2" t="s">
        <v>661</v>
      </c>
      <c r="AJ1058" s="2" t="s">
        <v>661</v>
      </c>
      <c r="AK1058" s="2" t="s">
        <v>661</v>
      </c>
      <c r="AL1058" s="2" t="s">
        <v>661</v>
      </c>
      <c r="AM1058" s="2" t="s">
        <v>661</v>
      </c>
      <c r="AN1058" s="2" t="s">
        <v>661</v>
      </c>
      <c r="AO1058" s="2" t="s">
        <v>661</v>
      </c>
      <c r="AP1058" s="15">
        <v>21.63</v>
      </c>
      <c r="AQ1058" s="2" t="s">
        <v>661</v>
      </c>
      <c r="AR1058" s="16">
        <v>70</v>
      </c>
      <c r="AS1058" s="16">
        <v>11</v>
      </c>
      <c r="AT1058" s="16">
        <v>19</v>
      </c>
      <c r="AU1058" s="2" t="s">
        <v>661</v>
      </c>
      <c r="AV1058" s="16">
        <f t="shared" si="462"/>
        <v>100</v>
      </c>
      <c r="AW1058" s="20">
        <v>4.9000000000000004</v>
      </c>
      <c r="AX1058" s="8">
        <v>4.9000000000000002E-2</v>
      </c>
      <c r="AY1058" s="8" t="s">
        <v>184</v>
      </c>
      <c r="AZ1058" s="16">
        <v>100</v>
      </c>
      <c r="BA1058" s="16" t="s">
        <v>55</v>
      </c>
      <c r="BB1058" s="16">
        <v>5</v>
      </c>
      <c r="BC1058" s="16" t="s">
        <v>55</v>
      </c>
      <c r="BD1058" s="7">
        <v>324.98</v>
      </c>
      <c r="BE1058" s="16">
        <f t="shared" si="464"/>
        <v>6632.2448979591836</v>
      </c>
      <c r="BF1058" s="16">
        <f t="shared" si="477"/>
        <v>3.8216605543137234</v>
      </c>
      <c r="BG1058" s="8">
        <f t="shared" si="478"/>
        <v>2.5118566343422368</v>
      </c>
      <c r="BH1058" s="5" t="s">
        <v>841</v>
      </c>
      <c r="BI1058" s="5"/>
      <c r="BJ1058" s="13"/>
      <c r="BK1058" s="5"/>
      <c r="BL1058" s="5"/>
      <c r="BM1058" s="21"/>
      <c r="BN1058" s="21"/>
      <c r="BO1058" s="1"/>
      <c r="BP1058" s="11"/>
      <c r="BQ1058" s="11"/>
    </row>
    <row r="1059" spans="1:69" x14ac:dyDescent="0.3">
      <c r="A1059" s="20">
        <v>1080</v>
      </c>
      <c r="B1059" s="2" t="s">
        <v>181</v>
      </c>
      <c r="C1059" s="2">
        <v>2020</v>
      </c>
      <c r="D1059" s="2" t="s">
        <v>203</v>
      </c>
      <c r="E1059" s="10" t="s">
        <v>787</v>
      </c>
      <c r="F1059" s="20" t="s">
        <v>29</v>
      </c>
      <c r="G1059" s="2" t="s">
        <v>77</v>
      </c>
      <c r="H1059" s="2" t="str">
        <f>'PFAS Properties'!$B$48</f>
        <v>PFDS</v>
      </c>
      <c r="I1059" s="2" t="str">
        <f>'PFAS Properties'!$C$48</f>
        <v>PFSA</v>
      </c>
      <c r="J1059" s="2" t="str">
        <f>'PFAS Properties'!$D$48</f>
        <v>C10HF21O3S</v>
      </c>
      <c r="K1059" s="25">
        <f>'PFAS Properties'!$P$48</f>
        <v>599.93099999999993</v>
      </c>
      <c r="L1059" s="2">
        <f>'PFAS Properties'!$X$48</f>
        <v>0.1</v>
      </c>
      <c r="M1059" s="2" t="str">
        <f>'PFAS Properties'!$Y$48</f>
        <v>-</v>
      </c>
      <c r="N1059" s="33">
        <v>0</v>
      </c>
      <c r="O1059" s="33">
        <v>0</v>
      </c>
      <c r="P1059" s="33">
        <v>0</v>
      </c>
      <c r="Q1059" s="33">
        <f t="shared" si="470"/>
        <v>0.99999997488113634</v>
      </c>
      <c r="R1059" s="33">
        <v>0</v>
      </c>
      <c r="S1059" s="33">
        <f t="shared" si="471"/>
        <v>2.5118863684138424E-8</v>
      </c>
      <c r="T1059" s="8">
        <f t="shared" si="461"/>
        <v>1</v>
      </c>
      <c r="U1059" s="33">
        <f t="shared" si="472"/>
        <v>0</v>
      </c>
      <c r="V1059" s="33">
        <f t="shared" si="473"/>
        <v>-0.99999997488113634</v>
      </c>
      <c r="W1059" s="33">
        <f t="shared" si="474"/>
        <v>598.93100002511881</v>
      </c>
      <c r="X1059" s="33">
        <v>96485</v>
      </c>
      <c r="Y1059" s="16">
        <f t="shared" si="475"/>
        <v>-161.09534749805891</v>
      </c>
      <c r="Z1059" s="16">
        <v>10</v>
      </c>
      <c r="AA1059" s="16">
        <v>21</v>
      </c>
      <c r="AB1059" s="8">
        <f t="shared" si="476"/>
        <v>0.3007518796992481</v>
      </c>
      <c r="AC1059" s="16">
        <f t="shared" si="463"/>
        <v>66.507648379563662</v>
      </c>
      <c r="AD1059" s="20">
        <f>'PFAS Properties'!$W$48</f>
        <v>10</v>
      </c>
      <c r="AE1059" s="8">
        <f>'PFAS Properties'!$S$48</f>
        <v>0.22530928172586284</v>
      </c>
      <c r="AF1059" s="15">
        <f>'PFAS Properties'!$V$48</f>
        <v>6.4</v>
      </c>
      <c r="AG1059" s="24">
        <v>7.7</v>
      </c>
      <c r="AH1059" s="2" t="s">
        <v>183</v>
      </c>
      <c r="AI1059" s="2" t="s">
        <v>661</v>
      </c>
      <c r="AJ1059" s="2" t="s">
        <v>661</v>
      </c>
      <c r="AK1059" s="2" t="s">
        <v>661</v>
      </c>
      <c r="AL1059" s="2" t="s">
        <v>661</v>
      </c>
      <c r="AM1059" s="2" t="s">
        <v>661</v>
      </c>
      <c r="AN1059" s="2" t="s">
        <v>661</v>
      </c>
      <c r="AO1059" s="2" t="s">
        <v>661</v>
      </c>
      <c r="AP1059" s="15">
        <v>7.8</v>
      </c>
      <c r="AQ1059" s="2" t="s">
        <v>661</v>
      </c>
      <c r="AR1059" s="16">
        <v>48.9</v>
      </c>
      <c r="AS1059" s="16">
        <v>32.6</v>
      </c>
      <c r="AT1059" s="16">
        <v>18.5</v>
      </c>
      <c r="AU1059" s="2" t="s">
        <v>661</v>
      </c>
      <c r="AV1059" s="16">
        <f t="shared" si="462"/>
        <v>100</v>
      </c>
      <c r="AW1059" s="20">
        <v>0.13</v>
      </c>
      <c r="AX1059" s="8">
        <v>1.2999999999999999E-3</v>
      </c>
      <c r="AY1059" s="8" t="s">
        <v>184</v>
      </c>
      <c r="AZ1059" s="16">
        <v>100</v>
      </c>
      <c r="BA1059" s="16" t="s">
        <v>55</v>
      </c>
      <c r="BB1059" s="16">
        <v>5</v>
      </c>
      <c r="BC1059" s="16" t="s">
        <v>55</v>
      </c>
      <c r="BD1059" s="7">
        <v>28.93</v>
      </c>
      <c r="BE1059" s="16">
        <f t="shared" si="464"/>
        <v>22253.846153846156</v>
      </c>
      <c r="BF1059" s="16">
        <f t="shared" si="477"/>
        <v>4.3474050813411464</v>
      </c>
      <c r="BG1059" s="8">
        <f t="shared" si="478"/>
        <v>1.4613484336479829</v>
      </c>
      <c r="BH1059" s="5" t="s">
        <v>841</v>
      </c>
      <c r="BI1059" s="5"/>
      <c r="BJ1059" s="13"/>
      <c r="BK1059" s="5"/>
      <c r="BL1059" s="5"/>
      <c r="BM1059" s="21"/>
      <c r="BN1059" s="21"/>
      <c r="BO1059" s="1"/>
      <c r="BP1059" s="11"/>
      <c r="BQ1059" s="11"/>
    </row>
    <row r="1060" spans="1:69" x14ac:dyDescent="0.3">
      <c r="A1060" s="20">
        <v>1081</v>
      </c>
      <c r="B1060" s="2" t="s">
        <v>181</v>
      </c>
      <c r="C1060" s="2">
        <v>2020</v>
      </c>
      <c r="D1060" s="2" t="s">
        <v>203</v>
      </c>
      <c r="E1060" s="10" t="s">
        <v>787</v>
      </c>
      <c r="F1060" s="20" t="s">
        <v>29</v>
      </c>
      <c r="G1060" s="2" t="s">
        <v>182</v>
      </c>
      <c r="H1060" s="2" t="str">
        <f>'PFAS Properties'!$B$48</f>
        <v>PFDS</v>
      </c>
      <c r="I1060" s="2" t="str">
        <f>'PFAS Properties'!$C$48</f>
        <v>PFSA</v>
      </c>
      <c r="J1060" s="2" t="str">
        <f>'PFAS Properties'!$D$48</f>
        <v>C10HF21O3S</v>
      </c>
      <c r="K1060" s="25">
        <f>'PFAS Properties'!$P$48</f>
        <v>599.93099999999993</v>
      </c>
      <c r="L1060" s="2">
        <f>'PFAS Properties'!$X$48</f>
        <v>0.1</v>
      </c>
      <c r="M1060" s="2" t="str">
        <f>'PFAS Properties'!$Y$48</f>
        <v>-</v>
      </c>
      <c r="N1060" s="33">
        <v>0</v>
      </c>
      <c r="O1060" s="33">
        <v>0</v>
      </c>
      <c r="P1060" s="33">
        <v>0</v>
      </c>
      <c r="Q1060" s="33">
        <f t="shared" si="470"/>
        <v>0.9999999601892845</v>
      </c>
      <c r="R1060" s="33">
        <v>0</v>
      </c>
      <c r="S1060" s="33">
        <f t="shared" si="471"/>
        <v>3.9810715470456442E-8</v>
      </c>
      <c r="T1060" s="8">
        <f t="shared" si="461"/>
        <v>1</v>
      </c>
      <c r="U1060" s="33">
        <f t="shared" si="472"/>
        <v>0</v>
      </c>
      <c r="V1060" s="33">
        <f t="shared" si="473"/>
        <v>-0.9999999601892845</v>
      </c>
      <c r="W1060" s="33">
        <f t="shared" si="474"/>
        <v>598.93100003981067</v>
      </c>
      <c r="X1060" s="33">
        <v>96485</v>
      </c>
      <c r="Y1060" s="16">
        <f t="shared" si="475"/>
        <v>-161.09534512731818</v>
      </c>
      <c r="Z1060" s="16">
        <v>10</v>
      </c>
      <c r="AA1060" s="16">
        <v>21</v>
      </c>
      <c r="AB1060" s="8">
        <f t="shared" si="476"/>
        <v>0.3007518796992481</v>
      </c>
      <c r="AC1060" s="16">
        <f t="shared" si="463"/>
        <v>66.507648379563662</v>
      </c>
      <c r="AD1060" s="20">
        <f>'PFAS Properties'!$W$48</f>
        <v>10</v>
      </c>
      <c r="AE1060" s="8">
        <f>'PFAS Properties'!$S$48</f>
        <v>0.22530928172586284</v>
      </c>
      <c r="AF1060" s="15">
        <f>'PFAS Properties'!$V$48</f>
        <v>6.4</v>
      </c>
      <c r="AG1060" s="24">
        <v>7.5</v>
      </c>
      <c r="AH1060" s="2" t="s">
        <v>183</v>
      </c>
      <c r="AI1060" s="2" t="s">
        <v>661</v>
      </c>
      <c r="AJ1060" s="2" t="s">
        <v>661</v>
      </c>
      <c r="AK1060" s="2" t="s">
        <v>661</v>
      </c>
      <c r="AL1060" s="2" t="s">
        <v>661</v>
      </c>
      <c r="AM1060" s="2" t="s">
        <v>661</v>
      </c>
      <c r="AN1060" s="2" t="s">
        <v>661</v>
      </c>
      <c r="AO1060" s="2" t="s">
        <v>661</v>
      </c>
      <c r="AP1060" s="15">
        <v>2.2799999999999998</v>
      </c>
      <c r="AQ1060" s="2" t="s">
        <v>661</v>
      </c>
      <c r="AR1060" s="16">
        <v>93</v>
      </c>
      <c r="AS1060" s="16">
        <v>1</v>
      </c>
      <c r="AT1060" s="16">
        <v>5</v>
      </c>
      <c r="AU1060" s="2" t="s">
        <v>661</v>
      </c>
      <c r="AV1060" s="16">
        <f t="shared" si="462"/>
        <v>99</v>
      </c>
      <c r="AW1060" s="20">
        <v>0.4</v>
      </c>
      <c r="AX1060" s="8">
        <v>4.0000000000000001E-3</v>
      </c>
      <c r="AY1060" s="8" t="s">
        <v>184</v>
      </c>
      <c r="AZ1060" s="16">
        <v>100</v>
      </c>
      <c r="BA1060" s="16" t="s">
        <v>55</v>
      </c>
      <c r="BB1060" s="16">
        <v>5</v>
      </c>
      <c r="BC1060" s="16" t="s">
        <v>55</v>
      </c>
      <c r="BD1060" s="7">
        <v>27.34</v>
      </c>
      <c r="BE1060" s="16">
        <f t="shared" si="464"/>
        <v>6835</v>
      </c>
      <c r="BF1060" s="16">
        <f t="shared" si="477"/>
        <v>3.834738518903841</v>
      </c>
      <c r="BG1060" s="8">
        <f t="shared" si="478"/>
        <v>1.4367985102318035</v>
      </c>
      <c r="BH1060" s="5" t="s">
        <v>841</v>
      </c>
      <c r="BI1060" s="5"/>
      <c r="BJ1060" s="13"/>
      <c r="BK1060" s="5"/>
      <c r="BL1060" s="5"/>
      <c r="BM1060" s="21"/>
      <c r="BN1060" s="21"/>
      <c r="BO1060" s="1"/>
      <c r="BP1060" s="11"/>
      <c r="BQ1060" s="11"/>
    </row>
    <row r="1061" spans="1:69" x14ac:dyDescent="0.3">
      <c r="A1061" s="20">
        <v>1082</v>
      </c>
      <c r="B1061" s="2" t="s">
        <v>181</v>
      </c>
      <c r="C1061" s="2">
        <v>2020</v>
      </c>
      <c r="D1061" s="2" t="s">
        <v>203</v>
      </c>
      <c r="E1061" s="10" t="s">
        <v>787</v>
      </c>
      <c r="F1061" s="20" t="s">
        <v>29</v>
      </c>
      <c r="G1061" s="2" t="s">
        <v>78</v>
      </c>
      <c r="H1061" s="2" t="str">
        <f>'PFAS Properties'!$B$48</f>
        <v>PFDS</v>
      </c>
      <c r="I1061" s="2" t="str">
        <f>'PFAS Properties'!$C$48</f>
        <v>PFSA</v>
      </c>
      <c r="J1061" s="2" t="str">
        <f>'PFAS Properties'!$D$48</f>
        <v>C10HF21O3S</v>
      </c>
      <c r="K1061" s="25">
        <f>'PFAS Properties'!$P$48</f>
        <v>599.93099999999993</v>
      </c>
      <c r="L1061" s="2">
        <f>'PFAS Properties'!$X$48</f>
        <v>0.1</v>
      </c>
      <c r="M1061" s="2" t="str">
        <f>'PFAS Properties'!$Y$48</f>
        <v>-</v>
      </c>
      <c r="N1061" s="33">
        <v>0</v>
      </c>
      <c r="O1061" s="33">
        <v>0</v>
      </c>
      <c r="P1061" s="33">
        <v>0</v>
      </c>
      <c r="Q1061" s="33">
        <f t="shared" si="470"/>
        <v>0.99999990000001004</v>
      </c>
      <c r="R1061" s="33">
        <v>0</v>
      </c>
      <c r="S1061" s="33">
        <f t="shared" si="471"/>
        <v>9.9999990000001005E-8</v>
      </c>
      <c r="T1061" s="8">
        <f t="shared" si="461"/>
        <v>1</v>
      </c>
      <c r="U1061" s="33">
        <f t="shared" si="472"/>
        <v>0</v>
      </c>
      <c r="V1061" s="33">
        <f t="shared" si="473"/>
        <v>-0.99999990000001004</v>
      </c>
      <c r="W1061" s="33">
        <f t="shared" si="474"/>
        <v>598.93100010000001</v>
      </c>
      <c r="X1061" s="33">
        <v>96485</v>
      </c>
      <c r="Y1061" s="16">
        <f t="shared" si="475"/>
        <v>-161.09533541491663</v>
      </c>
      <c r="Z1061" s="16">
        <v>10</v>
      </c>
      <c r="AA1061" s="16">
        <v>21</v>
      </c>
      <c r="AB1061" s="8">
        <f t="shared" si="476"/>
        <v>0.3007518796992481</v>
      </c>
      <c r="AC1061" s="16">
        <f t="shared" si="463"/>
        <v>66.507648379563662</v>
      </c>
      <c r="AD1061" s="20">
        <f>'PFAS Properties'!$W$48</f>
        <v>10</v>
      </c>
      <c r="AE1061" s="8">
        <f>'PFAS Properties'!$S$48</f>
        <v>0.22530928172586284</v>
      </c>
      <c r="AF1061" s="15">
        <f>'PFAS Properties'!$V$48</f>
        <v>6.4</v>
      </c>
      <c r="AG1061" s="24">
        <v>7.1</v>
      </c>
      <c r="AH1061" s="2" t="s">
        <v>183</v>
      </c>
      <c r="AI1061" s="2" t="s">
        <v>661</v>
      </c>
      <c r="AJ1061" s="2" t="s">
        <v>661</v>
      </c>
      <c r="AK1061" s="2" t="s">
        <v>661</v>
      </c>
      <c r="AL1061" s="2" t="s">
        <v>661</v>
      </c>
      <c r="AM1061" s="2" t="s">
        <v>661</v>
      </c>
      <c r="AN1061" s="2" t="s">
        <v>661</v>
      </c>
      <c r="AO1061" s="2" t="s">
        <v>661</v>
      </c>
      <c r="AP1061" s="15">
        <v>17.420000000000002</v>
      </c>
      <c r="AQ1061" s="2" t="s">
        <v>661</v>
      </c>
      <c r="AR1061" s="16">
        <v>48.86</v>
      </c>
      <c r="AS1061" s="16">
        <v>16.05</v>
      </c>
      <c r="AT1061" s="16">
        <v>35.090000000000003</v>
      </c>
      <c r="AU1061" s="2" t="s">
        <v>661</v>
      </c>
      <c r="AV1061" s="16">
        <f t="shared" si="462"/>
        <v>100</v>
      </c>
      <c r="AW1061" s="20">
        <v>1.19</v>
      </c>
      <c r="AX1061" s="8">
        <v>1.1899999999999999E-2</v>
      </c>
      <c r="AY1061" s="8" t="s">
        <v>184</v>
      </c>
      <c r="AZ1061" s="16">
        <v>100</v>
      </c>
      <c r="BA1061" s="16" t="s">
        <v>55</v>
      </c>
      <c r="BB1061" s="16">
        <v>5</v>
      </c>
      <c r="BC1061" s="16" t="s">
        <v>55</v>
      </c>
      <c r="BD1061" s="7">
        <v>76.739999999999995</v>
      </c>
      <c r="BE1061" s="16">
        <f t="shared" si="464"/>
        <v>6448.7394957983197</v>
      </c>
      <c r="BF1061" s="16">
        <f t="shared" si="477"/>
        <v>3.8094748334697668</v>
      </c>
      <c r="BG1061" s="8">
        <f t="shared" si="478"/>
        <v>1.8850217948622976</v>
      </c>
      <c r="BH1061" s="5" t="s">
        <v>841</v>
      </c>
      <c r="BI1061" s="5"/>
      <c r="BJ1061" s="13"/>
      <c r="BK1061" s="5"/>
      <c r="BL1061" s="5"/>
      <c r="BM1061" s="21"/>
      <c r="BN1061" s="21"/>
      <c r="BO1061" s="1"/>
      <c r="BP1061" s="11"/>
      <c r="BQ1061" s="11"/>
    </row>
    <row r="1062" spans="1:69" x14ac:dyDescent="0.3">
      <c r="A1062" s="20">
        <v>1083</v>
      </c>
      <c r="B1062" s="2" t="s">
        <v>181</v>
      </c>
      <c r="C1062" s="2">
        <v>2020</v>
      </c>
      <c r="D1062" s="2" t="s">
        <v>203</v>
      </c>
      <c r="E1062" s="10" t="s">
        <v>787</v>
      </c>
      <c r="F1062" s="20" t="s">
        <v>29</v>
      </c>
      <c r="G1062" s="2" t="s">
        <v>98</v>
      </c>
      <c r="H1062" s="2" t="str">
        <f>'PFAS Properties'!$B$48</f>
        <v>PFDS</v>
      </c>
      <c r="I1062" s="2" t="str">
        <f>'PFAS Properties'!$C$48</f>
        <v>PFSA</v>
      </c>
      <c r="J1062" s="2" t="str">
        <f>'PFAS Properties'!$D$48</f>
        <v>C10HF21O3S</v>
      </c>
      <c r="K1062" s="25">
        <f>'PFAS Properties'!$P$48</f>
        <v>599.93099999999993</v>
      </c>
      <c r="L1062" s="2">
        <f>'PFAS Properties'!$X$48</f>
        <v>0.1</v>
      </c>
      <c r="M1062" s="2" t="str">
        <f>'PFAS Properties'!$Y$48</f>
        <v>-</v>
      </c>
      <c r="N1062" s="33">
        <v>0</v>
      </c>
      <c r="O1062" s="33">
        <v>0</v>
      </c>
      <c r="P1062" s="33">
        <v>0</v>
      </c>
      <c r="Q1062" s="33">
        <f t="shared" si="470"/>
        <v>0.99999949881301753</v>
      </c>
      <c r="R1062" s="33">
        <v>0</v>
      </c>
      <c r="S1062" s="33">
        <f t="shared" si="471"/>
        <v>5.0118698243875318E-7</v>
      </c>
      <c r="T1062" s="8">
        <f t="shared" si="461"/>
        <v>1</v>
      </c>
      <c r="U1062" s="33">
        <f t="shared" si="472"/>
        <v>0</v>
      </c>
      <c r="V1062" s="33">
        <f t="shared" si="473"/>
        <v>-0.99999949881301753</v>
      </c>
      <c r="W1062" s="33">
        <f t="shared" si="474"/>
        <v>598.93100050118687</v>
      </c>
      <c r="X1062" s="33">
        <v>96485</v>
      </c>
      <c r="Y1062" s="16">
        <f t="shared" si="475"/>
        <v>-161.0952706776493</v>
      </c>
      <c r="Z1062" s="16">
        <v>10</v>
      </c>
      <c r="AA1062" s="16">
        <v>21</v>
      </c>
      <c r="AB1062" s="8">
        <f t="shared" si="476"/>
        <v>0.3007518796992481</v>
      </c>
      <c r="AC1062" s="16">
        <f t="shared" si="463"/>
        <v>66.507648379563662</v>
      </c>
      <c r="AD1062" s="20">
        <f>'PFAS Properties'!$W$48</f>
        <v>10</v>
      </c>
      <c r="AE1062" s="8">
        <f>'PFAS Properties'!$S$48</f>
        <v>0.22530928172586284</v>
      </c>
      <c r="AF1062" s="15">
        <f>'PFAS Properties'!$V$48</f>
        <v>6.4</v>
      </c>
      <c r="AG1062" s="24">
        <v>6.4</v>
      </c>
      <c r="AH1062" s="2" t="s">
        <v>183</v>
      </c>
      <c r="AI1062" s="2" t="s">
        <v>661</v>
      </c>
      <c r="AJ1062" s="15" t="s">
        <v>661</v>
      </c>
      <c r="AK1062" s="8" t="s">
        <v>661</v>
      </c>
      <c r="AL1062" s="2" t="s">
        <v>661</v>
      </c>
      <c r="AM1062" s="15" t="s">
        <v>661</v>
      </c>
      <c r="AN1062" s="8" t="s">
        <v>661</v>
      </c>
      <c r="AO1062" s="15" t="s">
        <v>661</v>
      </c>
      <c r="AP1062" s="15">
        <v>16.54</v>
      </c>
      <c r="AQ1062" s="13" t="s">
        <v>661</v>
      </c>
      <c r="AR1062" s="16">
        <v>29.38</v>
      </c>
      <c r="AS1062" s="16">
        <v>13.9</v>
      </c>
      <c r="AT1062" s="16">
        <v>56.71</v>
      </c>
      <c r="AU1062" s="15" t="s">
        <v>661</v>
      </c>
      <c r="AV1062" s="16">
        <f t="shared" si="462"/>
        <v>99.990000000000009</v>
      </c>
      <c r="AW1062" s="20">
        <v>0.17</v>
      </c>
      <c r="AX1062" s="8">
        <v>1.7000000000000001E-3</v>
      </c>
      <c r="AY1062" s="8" t="s">
        <v>184</v>
      </c>
      <c r="AZ1062" s="16">
        <v>100</v>
      </c>
      <c r="BA1062" s="16" t="s">
        <v>55</v>
      </c>
      <c r="BB1062" s="16">
        <v>5</v>
      </c>
      <c r="BC1062" s="16" t="s">
        <v>55</v>
      </c>
      <c r="BD1062" s="7">
        <v>13.61</v>
      </c>
      <c r="BE1062" s="16">
        <f t="shared" si="464"/>
        <v>8005.8823529411757</v>
      </c>
      <c r="BF1062" s="16">
        <f t="shared" si="477"/>
        <v>3.9034092038250607</v>
      </c>
      <c r="BG1062" s="8">
        <f t="shared" si="478"/>
        <v>1.1338581252033346</v>
      </c>
      <c r="BH1062" s="5" t="s">
        <v>841</v>
      </c>
      <c r="BI1062" s="5"/>
      <c r="BJ1062" s="13"/>
      <c r="BK1062" s="5"/>
      <c r="BL1062" s="5"/>
      <c r="BM1062" s="21"/>
      <c r="BN1062" s="21"/>
      <c r="BO1062" s="1"/>
      <c r="BP1062" s="11"/>
      <c r="BQ1062" s="11"/>
    </row>
    <row r="1063" spans="1:69" s="14" customFormat="1" x14ac:dyDescent="0.3">
      <c r="A1063" s="20">
        <v>1084</v>
      </c>
      <c r="B1063" s="2" t="s">
        <v>181</v>
      </c>
      <c r="C1063" s="2">
        <v>2020</v>
      </c>
      <c r="D1063" s="2" t="s">
        <v>203</v>
      </c>
      <c r="E1063" s="10" t="s">
        <v>787</v>
      </c>
      <c r="F1063" s="20" t="s">
        <v>29</v>
      </c>
      <c r="G1063" s="2" t="s">
        <v>62</v>
      </c>
      <c r="H1063" s="2" t="str">
        <f>'PFAS Properties'!$B$49</f>
        <v>PFEtCHxS</v>
      </c>
      <c r="I1063" s="2" t="str">
        <f>'PFAS Properties'!$C$49</f>
        <v>PFSA</v>
      </c>
      <c r="J1063" s="2" t="str">
        <f>'PFAS Properties'!$D$49</f>
        <v>C8HF15O3S</v>
      </c>
      <c r="K1063" s="25">
        <f>'PFAS Properties'!$P$49</f>
        <v>461.94059999999996</v>
      </c>
      <c r="L1063" s="2">
        <f>'PFAS Properties'!$X$49</f>
        <v>0.1</v>
      </c>
      <c r="M1063" s="2" t="str">
        <f>'PFAS Properties'!$Y$49</f>
        <v>-</v>
      </c>
      <c r="N1063" s="33">
        <v>0</v>
      </c>
      <c r="O1063" s="33">
        <v>0</v>
      </c>
      <c r="P1063" s="33">
        <v>0</v>
      </c>
      <c r="Q1063" s="33">
        <f t="shared" ref="Q1063:Q1078" si="479">(10^(AG1063-L1063))/(1+(10^(AG1063-L1063)))</f>
        <v>0.9999999601892845</v>
      </c>
      <c r="R1063" s="33">
        <v>0</v>
      </c>
      <c r="S1063" s="33">
        <f t="shared" ref="S1063:S1078" si="480">(1/(1+(10^(AG1063-L1063))))</f>
        <v>3.9810715470456442E-8</v>
      </c>
      <c r="T1063" s="8">
        <f t="shared" ref="T1063:T1072" si="481">SUM(N1063:S1063)</f>
        <v>1</v>
      </c>
      <c r="U1063" s="33">
        <f t="shared" ref="U1063:U1072" si="482">((1*N1063)+(1*O1063)+(1*P1063))</f>
        <v>0</v>
      </c>
      <c r="V1063" s="33">
        <f t="shared" ref="V1063:V1072" si="483">-((1*O1063)+(2*P1063)+(1*Q1063)+(2*R1063))</f>
        <v>-0.9999999601892845</v>
      </c>
      <c r="W1063" s="33">
        <f t="shared" ref="W1063:W1072" si="484">(N1063*(K1063+1))+(O1063*K1063)+(P1063*(K1063-1))+(Q1063*(K1063-1))+(R1063*(K1063-2))+(S1063*K1063)</f>
        <v>460.94060003981065</v>
      </c>
      <c r="X1063" s="33">
        <v>96485</v>
      </c>
      <c r="Y1063" s="16">
        <f t="shared" ref="Y1063:Y1072" si="485">((V1063+U1063)/W1063)*X1063</f>
        <v>-209.32197370014674</v>
      </c>
      <c r="Z1063" s="16">
        <v>8</v>
      </c>
      <c r="AA1063" s="16">
        <v>15</v>
      </c>
      <c r="AB1063" s="8">
        <f t="shared" ref="AB1063:AB1072" si="486">(Z1063/AA1063)*(12/19)</f>
        <v>0.33684210526315789</v>
      </c>
      <c r="AC1063" s="16">
        <f t="shared" ref="AC1063:AC1094" si="487">((AA1063*19)/K1063)*100</f>
        <v>61.69624406254831</v>
      </c>
      <c r="AD1063" s="20">
        <f>'PFAS Properties'!$W$49</f>
        <v>8</v>
      </c>
      <c r="AE1063" s="8">
        <f>'PFAS Properties'!$S$49</f>
        <v>2.3222192947339191</v>
      </c>
      <c r="AF1063" s="2">
        <f>'PFAS Properties'!$V$49</f>
        <v>3.9</v>
      </c>
      <c r="AG1063" s="24">
        <v>7.5</v>
      </c>
      <c r="AH1063" s="2" t="s">
        <v>183</v>
      </c>
      <c r="AI1063" s="2" t="s">
        <v>661</v>
      </c>
      <c r="AJ1063" s="2" t="s">
        <v>661</v>
      </c>
      <c r="AK1063" s="2" t="s">
        <v>661</v>
      </c>
      <c r="AL1063" s="2" t="s">
        <v>661</v>
      </c>
      <c r="AM1063" s="2" t="s">
        <v>661</v>
      </c>
      <c r="AN1063" s="2" t="s">
        <v>661</v>
      </c>
      <c r="AO1063" s="2" t="s">
        <v>661</v>
      </c>
      <c r="AP1063" s="15">
        <v>41.4</v>
      </c>
      <c r="AQ1063" s="2" t="s">
        <v>661</v>
      </c>
      <c r="AR1063" s="16">
        <v>16.899999999999999</v>
      </c>
      <c r="AS1063" s="16">
        <v>17.5</v>
      </c>
      <c r="AT1063" s="16">
        <v>65.599999999999994</v>
      </c>
      <c r="AU1063" s="2" t="s">
        <v>661</v>
      </c>
      <c r="AV1063" s="16">
        <f t="shared" ref="AV1063:AV1072" si="488">SUM(AR1063:AT1063)</f>
        <v>100</v>
      </c>
      <c r="AW1063" s="20">
        <v>0.7</v>
      </c>
      <c r="AX1063" s="8">
        <f t="shared" ref="AX1063:AX1087" si="489">AW1063/100</f>
        <v>6.9999999999999993E-3</v>
      </c>
      <c r="AY1063" s="13" t="s">
        <v>184</v>
      </c>
      <c r="AZ1063" s="16">
        <v>100</v>
      </c>
      <c r="BA1063" s="16" t="s">
        <v>55</v>
      </c>
      <c r="BB1063" s="16">
        <v>5</v>
      </c>
      <c r="BC1063" s="16" t="s">
        <v>55</v>
      </c>
      <c r="BD1063" s="18">
        <v>1.73</v>
      </c>
      <c r="BE1063" s="16">
        <f t="shared" ref="BE1063:BE1087" si="490">BD1063/AX1063</f>
        <v>247.14285714285717</v>
      </c>
      <c r="BF1063" s="16">
        <f t="shared" ref="BF1063:BF1087" si="491">LOG(BE1063)</f>
        <v>2.3929480631145386</v>
      </c>
      <c r="BG1063" s="8">
        <f t="shared" ref="BG1063:BG1087" si="492">LOG(BD1063)</f>
        <v>0.2380461031287954</v>
      </c>
      <c r="BH1063" s="13" t="s">
        <v>345</v>
      </c>
      <c r="BI1063" s="13"/>
      <c r="BJ1063" s="13"/>
      <c r="BK1063" s="13"/>
      <c r="BL1063" s="13"/>
      <c r="BM1063" s="17"/>
      <c r="BN1063" s="17"/>
      <c r="BO1063" s="2"/>
    </row>
    <row r="1064" spans="1:69" s="14" customFormat="1" x14ac:dyDescent="0.3">
      <c r="A1064" s="20">
        <v>1085</v>
      </c>
      <c r="B1064" s="2" t="s">
        <v>181</v>
      </c>
      <c r="C1064" s="2">
        <v>2020</v>
      </c>
      <c r="D1064" s="2" t="s">
        <v>203</v>
      </c>
      <c r="E1064" s="10" t="s">
        <v>787</v>
      </c>
      <c r="F1064" s="20" t="s">
        <v>29</v>
      </c>
      <c r="G1064" s="2" t="s">
        <v>57</v>
      </c>
      <c r="H1064" s="2" t="str">
        <f>'PFAS Properties'!$B$49</f>
        <v>PFEtCHxS</v>
      </c>
      <c r="I1064" s="2" t="str">
        <f>'PFAS Properties'!$C$49</f>
        <v>PFSA</v>
      </c>
      <c r="J1064" s="2" t="str">
        <f>'PFAS Properties'!$D$49</f>
        <v>C8HF15O3S</v>
      </c>
      <c r="K1064" s="25">
        <f>'PFAS Properties'!$P$49</f>
        <v>461.94059999999996</v>
      </c>
      <c r="L1064" s="2">
        <f>'PFAS Properties'!$X$49</f>
        <v>0.1</v>
      </c>
      <c r="M1064" s="2" t="str">
        <f>'PFAS Properties'!$Y$49</f>
        <v>-</v>
      </c>
      <c r="N1064" s="33">
        <v>0</v>
      </c>
      <c r="O1064" s="33">
        <v>0</v>
      </c>
      <c r="P1064" s="33">
        <v>0</v>
      </c>
      <c r="Q1064" s="33">
        <f t="shared" si="479"/>
        <v>0.99999980047380832</v>
      </c>
      <c r="R1064" s="33">
        <v>0</v>
      </c>
      <c r="S1064" s="33">
        <f t="shared" si="480"/>
        <v>1.9952619168617852E-7</v>
      </c>
      <c r="T1064" s="8">
        <f t="shared" si="481"/>
        <v>1</v>
      </c>
      <c r="U1064" s="33">
        <f t="shared" si="482"/>
        <v>0</v>
      </c>
      <c r="V1064" s="33">
        <f t="shared" si="483"/>
        <v>-0.99999980047380832</v>
      </c>
      <c r="W1064" s="33">
        <f t="shared" si="484"/>
        <v>460.94060019952616</v>
      </c>
      <c r="X1064" s="33">
        <v>96485</v>
      </c>
      <c r="Y1064" s="16">
        <f t="shared" si="485"/>
        <v>-209.32194019565685</v>
      </c>
      <c r="Z1064" s="16">
        <v>8</v>
      </c>
      <c r="AA1064" s="16">
        <v>15</v>
      </c>
      <c r="AB1064" s="8">
        <f t="shared" si="486"/>
        <v>0.33684210526315789</v>
      </c>
      <c r="AC1064" s="16">
        <f t="shared" si="487"/>
        <v>61.69624406254831</v>
      </c>
      <c r="AD1064" s="20">
        <f>'PFAS Properties'!$W$49</f>
        <v>8</v>
      </c>
      <c r="AE1064" s="8">
        <f>'PFAS Properties'!$S$49</f>
        <v>2.3222192947339191</v>
      </c>
      <c r="AF1064" s="2">
        <f>'PFAS Properties'!$V$49</f>
        <v>3.9</v>
      </c>
      <c r="AG1064" s="24">
        <v>6.8</v>
      </c>
      <c r="AH1064" s="2" t="s">
        <v>183</v>
      </c>
      <c r="AI1064" s="2" t="s">
        <v>661</v>
      </c>
      <c r="AJ1064" s="2" t="s">
        <v>661</v>
      </c>
      <c r="AK1064" s="2" t="s">
        <v>661</v>
      </c>
      <c r="AL1064" s="2" t="s">
        <v>661</v>
      </c>
      <c r="AM1064" s="2" t="s">
        <v>661</v>
      </c>
      <c r="AN1064" s="2" t="s">
        <v>661</v>
      </c>
      <c r="AO1064" s="2" t="s">
        <v>661</v>
      </c>
      <c r="AP1064" s="15">
        <v>7.1</v>
      </c>
      <c r="AQ1064" s="2" t="s">
        <v>661</v>
      </c>
      <c r="AR1064" s="16">
        <v>48.9</v>
      </c>
      <c r="AS1064" s="16">
        <v>27</v>
      </c>
      <c r="AT1064" s="16">
        <v>24.2</v>
      </c>
      <c r="AU1064" s="2" t="s">
        <v>661</v>
      </c>
      <c r="AV1064" s="16">
        <f t="shared" si="488"/>
        <v>100.10000000000001</v>
      </c>
      <c r="AW1064" s="20">
        <v>0.37</v>
      </c>
      <c r="AX1064" s="8">
        <f t="shared" si="489"/>
        <v>3.7000000000000002E-3</v>
      </c>
      <c r="AY1064" s="13" t="s">
        <v>184</v>
      </c>
      <c r="AZ1064" s="16">
        <v>100</v>
      </c>
      <c r="BA1064" s="16" t="s">
        <v>55</v>
      </c>
      <c r="BB1064" s="16">
        <v>5</v>
      </c>
      <c r="BC1064" s="16" t="s">
        <v>55</v>
      </c>
      <c r="BD1064" s="20">
        <v>1.67</v>
      </c>
      <c r="BE1064" s="16">
        <f t="shared" si="490"/>
        <v>451.3513513513513</v>
      </c>
      <c r="BF1064" s="16">
        <f t="shared" si="491"/>
        <v>2.6545147470805883</v>
      </c>
      <c r="BG1064" s="8">
        <f t="shared" si="492"/>
        <v>0.22271647114758325</v>
      </c>
      <c r="BH1064" s="13" t="s">
        <v>345</v>
      </c>
      <c r="BI1064" s="13"/>
      <c r="BJ1064" s="13"/>
      <c r="BK1064" s="13"/>
      <c r="BL1064" s="13"/>
      <c r="BM1064" s="17"/>
      <c r="BN1064" s="17"/>
      <c r="BO1064" s="2"/>
    </row>
    <row r="1065" spans="1:69" s="14" customFormat="1" x14ac:dyDescent="0.3">
      <c r="A1065" s="20">
        <v>1086</v>
      </c>
      <c r="B1065" s="2" t="s">
        <v>181</v>
      </c>
      <c r="C1065" s="2">
        <v>2020</v>
      </c>
      <c r="D1065" s="2" t="s">
        <v>203</v>
      </c>
      <c r="E1065" s="10" t="s">
        <v>787</v>
      </c>
      <c r="F1065" s="20" t="s">
        <v>29</v>
      </c>
      <c r="G1065" s="2" t="s">
        <v>58</v>
      </c>
      <c r="H1065" s="2" t="str">
        <f>'PFAS Properties'!$B$49</f>
        <v>PFEtCHxS</v>
      </c>
      <c r="I1065" s="2" t="str">
        <f>'PFAS Properties'!$C$49</f>
        <v>PFSA</v>
      </c>
      <c r="J1065" s="2" t="str">
        <f>'PFAS Properties'!$D$49</f>
        <v>C8HF15O3S</v>
      </c>
      <c r="K1065" s="25">
        <f>'PFAS Properties'!$P$49</f>
        <v>461.94059999999996</v>
      </c>
      <c r="L1065" s="2">
        <f>'PFAS Properties'!$X$49</f>
        <v>0.1</v>
      </c>
      <c r="M1065" s="2" t="str">
        <f>'PFAS Properties'!$Y$49</f>
        <v>-</v>
      </c>
      <c r="N1065" s="33">
        <v>0</v>
      </c>
      <c r="O1065" s="33">
        <v>0</v>
      </c>
      <c r="P1065" s="33">
        <v>0</v>
      </c>
      <c r="Q1065" s="33">
        <f t="shared" si="479"/>
        <v>0.9999992056723962</v>
      </c>
      <c r="R1065" s="33">
        <v>0</v>
      </c>
      <c r="S1065" s="33">
        <f t="shared" si="480"/>
        <v>7.9432760376743655E-7</v>
      </c>
      <c r="T1065" s="8">
        <f t="shared" si="481"/>
        <v>1</v>
      </c>
      <c r="U1065" s="33">
        <f t="shared" si="482"/>
        <v>0</v>
      </c>
      <c r="V1065" s="33">
        <f t="shared" si="483"/>
        <v>-0.9999992056723962</v>
      </c>
      <c r="W1065" s="33">
        <f t="shared" si="484"/>
        <v>460.94060079432751</v>
      </c>
      <c r="X1065" s="33">
        <v>96485</v>
      </c>
      <c r="Y1065" s="16">
        <f t="shared" si="485"/>
        <v>-209.32181542053593</v>
      </c>
      <c r="Z1065" s="16">
        <v>8</v>
      </c>
      <c r="AA1065" s="16">
        <v>15</v>
      </c>
      <c r="AB1065" s="8">
        <f t="shared" si="486"/>
        <v>0.33684210526315789</v>
      </c>
      <c r="AC1065" s="16">
        <f t="shared" si="487"/>
        <v>61.69624406254831</v>
      </c>
      <c r="AD1065" s="20">
        <f>'PFAS Properties'!$W$49</f>
        <v>8</v>
      </c>
      <c r="AE1065" s="8">
        <f>'PFAS Properties'!$S$49</f>
        <v>2.3222192947339191</v>
      </c>
      <c r="AF1065" s="2">
        <f>'PFAS Properties'!$V$49</f>
        <v>3.9</v>
      </c>
      <c r="AG1065" s="24">
        <v>6.2</v>
      </c>
      <c r="AH1065" s="2" t="s">
        <v>183</v>
      </c>
      <c r="AI1065" s="2" t="s">
        <v>661</v>
      </c>
      <c r="AJ1065" s="2" t="s">
        <v>661</v>
      </c>
      <c r="AK1065" s="2" t="s">
        <v>661</v>
      </c>
      <c r="AL1065" s="2" t="s">
        <v>661</v>
      </c>
      <c r="AM1065" s="2" t="s">
        <v>661</v>
      </c>
      <c r="AN1065" s="2" t="s">
        <v>661</v>
      </c>
      <c r="AO1065" s="2" t="s">
        <v>661</v>
      </c>
      <c r="AP1065" s="15">
        <v>8</v>
      </c>
      <c r="AQ1065" s="2" t="s">
        <v>661</v>
      </c>
      <c r="AR1065" s="16">
        <v>51.44</v>
      </c>
      <c r="AS1065" s="16">
        <v>10.17</v>
      </c>
      <c r="AT1065" s="16">
        <v>38.380000000000003</v>
      </c>
      <c r="AU1065" s="2" t="s">
        <v>661</v>
      </c>
      <c r="AV1065" s="16">
        <f t="shared" si="488"/>
        <v>99.990000000000009</v>
      </c>
      <c r="AW1065" s="20">
        <v>0.08</v>
      </c>
      <c r="AX1065" s="8">
        <f t="shared" si="489"/>
        <v>8.0000000000000004E-4</v>
      </c>
      <c r="AY1065" s="8" t="s">
        <v>184</v>
      </c>
      <c r="AZ1065" s="16">
        <v>100</v>
      </c>
      <c r="BA1065" s="16" t="s">
        <v>55</v>
      </c>
      <c r="BB1065" s="16">
        <v>5</v>
      </c>
      <c r="BC1065" s="16" t="s">
        <v>55</v>
      </c>
      <c r="BD1065" s="20">
        <v>0.68</v>
      </c>
      <c r="BE1065" s="16">
        <f t="shared" si="490"/>
        <v>850</v>
      </c>
      <c r="BF1065" s="16">
        <f t="shared" si="491"/>
        <v>2.9294189257142929</v>
      </c>
      <c r="BG1065" s="8">
        <f t="shared" si="492"/>
        <v>-0.16749108729376366</v>
      </c>
      <c r="BH1065" s="13" t="s">
        <v>345</v>
      </c>
      <c r="BI1065" s="13"/>
      <c r="BJ1065" s="13"/>
      <c r="BK1065" s="13"/>
      <c r="BL1065" s="13"/>
      <c r="BM1065" s="17"/>
      <c r="BN1065" s="17"/>
      <c r="BO1065" s="2"/>
    </row>
    <row r="1066" spans="1:69" s="14" customFormat="1" x14ac:dyDescent="0.3">
      <c r="A1066" s="20">
        <v>1087</v>
      </c>
      <c r="B1066" s="2" t="s">
        <v>181</v>
      </c>
      <c r="C1066" s="2">
        <v>2020</v>
      </c>
      <c r="D1066" s="2" t="s">
        <v>203</v>
      </c>
      <c r="E1066" s="10" t="s">
        <v>787</v>
      </c>
      <c r="F1066" s="20" t="s">
        <v>29</v>
      </c>
      <c r="G1066" s="2" t="s">
        <v>59</v>
      </c>
      <c r="H1066" s="2" t="str">
        <f>'PFAS Properties'!$B$49</f>
        <v>PFEtCHxS</v>
      </c>
      <c r="I1066" s="2" t="str">
        <f>'PFAS Properties'!$C$49</f>
        <v>PFSA</v>
      </c>
      <c r="J1066" s="2" t="str">
        <f>'PFAS Properties'!$D$49</f>
        <v>C8HF15O3S</v>
      </c>
      <c r="K1066" s="25">
        <f>'PFAS Properties'!$P$49</f>
        <v>461.94059999999996</v>
      </c>
      <c r="L1066" s="2">
        <f>'PFAS Properties'!$X$49</f>
        <v>0.1</v>
      </c>
      <c r="M1066" s="2" t="str">
        <f>'PFAS Properties'!$Y$49</f>
        <v>-</v>
      </c>
      <c r="N1066" s="33">
        <v>0</v>
      </c>
      <c r="O1066" s="33">
        <v>0</v>
      </c>
      <c r="P1066" s="33">
        <v>0</v>
      </c>
      <c r="Q1066" s="33">
        <f t="shared" si="479"/>
        <v>0.99999997488113634</v>
      </c>
      <c r="R1066" s="33">
        <v>0</v>
      </c>
      <c r="S1066" s="33">
        <f t="shared" si="480"/>
        <v>2.5118863684138424E-8</v>
      </c>
      <c r="T1066" s="8">
        <f t="shared" si="481"/>
        <v>1</v>
      </c>
      <c r="U1066" s="33">
        <f t="shared" si="482"/>
        <v>0</v>
      </c>
      <c r="V1066" s="33">
        <f t="shared" si="483"/>
        <v>-0.99999997488113634</v>
      </c>
      <c r="W1066" s="33">
        <f t="shared" si="484"/>
        <v>460.94060002511878</v>
      </c>
      <c r="X1066" s="33">
        <v>96485</v>
      </c>
      <c r="Y1066" s="16">
        <f t="shared" si="485"/>
        <v>-209.32197678214618</v>
      </c>
      <c r="Z1066" s="16">
        <v>8</v>
      </c>
      <c r="AA1066" s="16">
        <v>15</v>
      </c>
      <c r="AB1066" s="8">
        <f t="shared" si="486"/>
        <v>0.33684210526315789</v>
      </c>
      <c r="AC1066" s="16">
        <f t="shared" si="487"/>
        <v>61.69624406254831</v>
      </c>
      <c r="AD1066" s="20">
        <f>'PFAS Properties'!$W$49</f>
        <v>8</v>
      </c>
      <c r="AE1066" s="8">
        <f>'PFAS Properties'!$S$49</f>
        <v>2.3222192947339191</v>
      </c>
      <c r="AF1066" s="2">
        <f>'PFAS Properties'!$V$49</f>
        <v>3.9</v>
      </c>
      <c r="AG1066" s="24">
        <v>7.7</v>
      </c>
      <c r="AH1066" s="2" t="s">
        <v>183</v>
      </c>
      <c r="AI1066" s="2" t="s">
        <v>661</v>
      </c>
      <c r="AJ1066" s="2" t="s">
        <v>661</v>
      </c>
      <c r="AK1066" s="2" t="s">
        <v>661</v>
      </c>
      <c r="AL1066" s="2" t="s">
        <v>661</v>
      </c>
      <c r="AM1066" s="2" t="s">
        <v>661</v>
      </c>
      <c r="AN1066" s="2" t="s">
        <v>661</v>
      </c>
      <c r="AO1066" s="2" t="s">
        <v>661</v>
      </c>
      <c r="AP1066" s="15">
        <v>4.8</v>
      </c>
      <c r="AQ1066" s="2" t="s">
        <v>661</v>
      </c>
      <c r="AR1066" s="16">
        <v>46</v>
      </c>
      <c r="AS1066" s="16">
        <v>37</v>
      </c>
      <c r="AT1066" s="16">
        <v>17</v>
      </c>
      <c r="AU1066" s="2" t="s">
        <v>661</v>
      </c>
      <c r="AV1066" s="16">
        <f t="shared" si="488"/>
        <v>100</v>
      </c>
      <c r="AW1066" s="20">
        <v>0.25</v>
      </c>
      <c r="AX1066" s="8">
        <f t="shared" si="489"/>
        <v>2.5000000000000001E-3</v>
      </c>
      <c r="AY1066" s="13" t="s">
        <v>184</v>
      </c>
      <c r="AZ1066" s="16">
        <v>100</v>
      </c>
      <c r="BA1066" s="16" t="s">
        <v>55</v>
      </c>
      <c r="BB1066" s="16">
        <v>5</v>
      </c>
      <c r="BC1066" s="16" t="s">
        <v>55</v>
      </c>
      <c r="BD1066" s="18">
        <v>1.28</v>
      </c>
      <c r="BE1066" s="16">
        <f t="shared" si="490"/>
        <v>512</v>
      </c>
      <c r="BF1066" s="16">
        <f t="shared" si="491"/>
        <v>2.7092699609758308</v>
      </c>
      <c r="BG1066" s="8">
        <f t="shared" si="492"/>
        <v>0.10720996964786837</v>
      </c>
      <c r="BH1066" s="13" t="s">
        <v>345</v>
      </c>
      <c r="BI1066" s="13"/>
      <c r="BJ1066" s="13"/>
      <c r="BK1066" s="13"/>
      <c r="BL1066" s="13"/>
      <c r="BM1066" s="17"/>
      <c r="BN1066" s="17"/>
      <c r="BO1066" s="2"/>
    </row>
    <row r="1067" spans="1:69" s="14" customFormat="1" x14ac:dyDescent="0.3">
      <c r="A1067" s="20">
        <v>1088</v>
      </c>
      <c r="B1067" s="2" t="s">
        <v>181</v>
      </c>
      <c r="C1067" s="2">
        <v>2020</v>
      </c>
      <c r="D1067" s="2" t="s">
        <v>203</v>
      </c>
      <c r="E1067" s="10" t="s">
        <v>787</v>
      </c>
      <c r="F1067" s="20" t="s">
        <v>29</v>
      </c>
      <c r="G1067" s="2" t="s">
        <v>61</v>
      </c>
      <c r="H1067" s="2" t="str">
        <f>'PFAS Properties'!$B$49</f>
        <v>PFEtCHxS</v>
      </c>
      <c r="I1067" s="2" t="str">
        <f>'PFAS Properties'!$C$49</f>
        <v>PFSA</v>
      </c>
      <c r="J1067" s="2" t="str">
        <f>'PFAS Properties'!$D$49</f>
        <v>C8HF15O3S</v>
      </c>
      <c r="K1067" s="25">
        <f>'PFAS Properties'!$P$49</f>
        <v>461.94059999999996</v>
      </c>
      <c r="L1067" s="2">
        <f>'PFAS Properties'!$X$49</f>
        <v>0.1</v>
      </c>
      <c r="M1067" s="2" t="str">
        <f>'PFAS Properties'!$Y$49</f>
        <v>-</v>
      </c>
      <c r="N1067" s="33">
        <v>0</v>
      </c>
      <c r="O1067" s="33">
        <v>0</v>
      </c>
      <c r="P1067" s="33">
        <v>0</v>
      </c>
      <c r="Q1067" s="33">
        <f t="shared" si="479"/>
        <v>0.99999994988127916</v>
      </c>
      <c r="R1067" s="33">
        <v>0</v>
      </c>
      <c r="S1067" s="33">
        <f t="shared" si="480"/>
        <v>5.0118720850840682E-8</v>
      </c>
      <c r="T1067" s="8">
        <f t="shared" si="481"/>
        <v>1</v>
      </c>
      <c r="U1067" s="33">
        <f t="shared" si="482"/>
        <v>0</v>
      </c>
      <c r="V1067" s="33">
        <f t="shared" si="483"/>
        <v>-0.99999994988127916</v>
      </c>
      <c r="W1067" s="33">
        <f t="shared" si="484"/>
        <v>460.94060005011869</v>
      </c>
      <c r="X1067" s="33">
        <v>96485</v>
      </c>
      <c r="Y1067" s="16">
        <f t="shared" si="485"/>
        <v>-209.32197153777358</v>
      </c>
      <c r="Z1067" s="16">
        <v>8</v>
      </c>
      <c r="AA1067" s="16">
        <v>15</v>
      </c>
      <c r="AB1067" s="8">
        <f t="shared" si="486"/>
        <v>0.33684210526315789</v>
      </c>
      <c r="AC1067" s="16">
        <f t="shared" si="487"/>
        <v>61.69624406254831</v>
      </c>
      <c r="AD1067" s="20">
        <f>'PFAS Properties'!$W$49</f>
        <v>8</v>
      </c>
      <c r="AE1067" s="8">
        <f>'PFAS Properties'!$S$49</f>
        <v>2.3222192947339191</v>
      </c>
      <c r="AF1067" s="2">
        <f>'PFAS Properties'!$V$49</f>
        <v>3.9</v>
      </c>
      <c r="AG1067" s="24">
        <v>7.4</v>
      </c>
      <c r="AH1067" s="2" t="s">
        <v>183</v>
      </c>
      <c r="AI1067" s="2" t="s">
        <v>661</v>
      </c>
      <c r="AJ1067" s="2" t="s">
        <v>661</v>
      </c>
      <c r="AK1067" s="2" t="s">
        <v>661</v>
      </c>
      <c r="AL1067" s="2" t="s">
        <v>661</v>
      </c>
      <c r="AM1067" s="2" t="s">
        <v>661</v>
      </c>
      <c r="AN1067" s="2" t="s">
        <v>661</v>
      </c>
      <c r="AO1067" s="2" t="s">
        <v>661</v>
      </c>
      <c r="AP1067" s="15">
        <v>29.6</v>
      </c>
      <c r="AQ1067" s="2" t="s">
        <v>661</v>
      </c>
      <c r="AR1067" s="16">
        <v>39.799999999999997</v>
      </c>
      <c r="AS1067" s="16">
        <v>7.7</v>
      </c>
      <c r="AT1067" s="16">
        <v>52.5</v>
      </c>
      <c r="AU1067" s="2" t="s">
        <v>661</v>
      </c>
      <c r="AV1067" s="16">
        <f t="shared" si="488"/>
        <v>100</v>
      </c>
      <c r="AW1067" s="20">
        <v>2.23</v>
      </c>
      <c r="AX1067" s="8">
        <f t="shared" si="489"/>
        <v>2.23E-2</v>
      </c>
      <c r="AY1067" s="8" t="s">
        <v>184</v>
      </c>
      <c r="AZ1067" s="16">
        <v>100</v>
      </c>
      <c r="BA1067" s="16" t="s">
        <v>55</v>
      </c>
      <c r="BB1067" s="16">
        <v>5</v>
      </c>
      <c r="BC1067" s="16" t="s">
        <v>55</v>
      </c>
      <c r="BD1067" s="20">
        <v>0.92</v>
      </c>
      <c r="BE1067" s="16">
        <f t="shared" si="490"/>
        <v>41.255605381165921</v>
      </c>
      <c r="BF1067" s="16">
        <f t="shared" si="491"/>
        <v>1.6154829642973947</v>
      </c>
      <c r="BG1067" s="8">
        <f t="shared" si="492"/>
        <v>-3.6212172654444715E-2</v>
      </c>
      <c r="BH1067" s="13" t="s">
        <v>345</v>
      </c>
      <c r="BI1067" s="13"/>
      <c r="BJ1067" s="13"/>
      <c r="BK1067" s="13"/>
      <c r="BL1067" s="13"/>
      <c r="BM1067" s="17"/>
      <c r="BN1067" s="17"/>
      <c r="BO1067" s="2"/>
    </row>
    <row r="1068" spans="1:69" s="14" customFormat="1" x14ac:dyDescent="0.3">
      <c r="A1068" s="20">
        <v>1089</v>
      </c>
      <c r="B1068" s="2" t="s">
        <v>181</v>
      </c>
      <c r="C1068" s="2">
        <v>2020</v>
      </c>
      <c r="D1068" s="2" t="s">
        <v>203</v>
      </c>
      <c r="E1068" s="10" t="s">
        <v>787</v>
      </c>
      <c r="F1068" s="20" t="s">
        <v>29</v>
      </c>
      <c r="G1068" s="2" t="s">
        <v>60</v>
      </c>
      <c r="H1068" s="2" t="str">
        <f>'PFAS Properties'!$B$49</f>
        <v>PFEtCHxS</v>
      </c>
      <c r="I1068" s="2" t="str">
        <f>'PFAS Properties'!$C$49</f>
        <v>PFSA</v>
      </c>
      <c r="J1068" s="2" t="str">
        <f>'PFAS Properties'!$D$49</f>
        <v>C8HF15O3S</v>
      </c>
      <c r="K1068" s="25">
        <f>'PFAS Properties'!$P$49</f>
        <v>461.94059999999996</v>
      </c>
      <c r="L1068" s="2">
        <f>'PFAS Properties'!$X$49</f>
        <v>0.1</v>
      </c>
      <c r="M1068" s="2" t="str">
        <f>'PFAS Properties'!$Y$49</f>
        <v>-</v>
      </c>
      <c r="N1068" s="33">
        <v>0</v>
      </c>
      <c r="O1068" s="33">
        <v>0</v>
      </c>
      <c r="P1068" s="33">
        <v>0</v>
      </c>
      <c r="Q1068" s="33">
        <f t="shared" si="479"/>
        <v>0.99999997488113634</v>
      </c>
      <c r="R1068" s="33">
        <v>0</v>
      </c>
      <c r="S1068" s="33">
        <f t="shared" si="480"/>
        <v>2.5118863684138424E-8</v>
      </c>
      <c r="T1068" s="8">
        <f t="shared" si="481"/>
        <v>1</v>
      </c>
      <c r="U1068" s="33">
        <f t="shared" si="482"/>
        <v>0</v>
      </c>
      <c r="V1068" s="33">
        <f t="shared" si="483"/>
        <v>-0.99999997488113634</v>
      </c>
      <c r="W1068" s="33">
        <f t="shared" si="484"/>
        <v>460.94060002511878</v>
      </c>
      <c r="X1068" s="33">
        <v>96485</v>
      </c>
      <c r="Y1068" s="16">
        <f t="shared" si="485"/>
        <v>-209.32197678214618</v>
      </c>
      <c r="Z1068" s="16">
        <v>8</v>
      </c>
      <c r="AA1068" s="16">
        <v>15</v>
      </c>
      <c r="AB1068" s="8">
        <f t="shared" si="486"/>
        <v>0.33684210526315789</v>
      </c>
      <c r="AC1068" s="16">
        <f t="shared" si="487"/>
        <v>61.69624406254831</v>
      </c>
      <c r="AD1068" s="20">
        <f>'PFAS Properties'!$W$49</f>
        <v>8</v>
      </c>
      <c r="AE1068" s="8">
        <f>'PFAS Properties'!$S$49</f>
        <v>2.3222192947339191</v>
      </c>
      <c r="AF1068" s="2">
        <f>'PFAS Properties'!$V$49</f>
        <v>3.9</v>
      </c>
      <c r="AG1068" s="24">
        <v>7.7</v>
      </c>
      <c r="AH1068" s="2" t="s">
        <v>183</v>
      </c>
      <c r="AI1068" s="2" t="s">
        <v>661</v>
      </c>
      <c r="AJ1068" s="2" t="s">
        <v>661</v>
      </c>
      <c r="AK1068" s="2" t="s">
        <v>661</v>
      </c>
      <c r="AL1068" s="2" t="s">
        <v>661</v>
      </c>
      <c r="AM1068" s="2" t="s">
        <v>661</v>
      </c>
      <c r="AN1068" s="2" t="s">
        <v>661</v>
      </c>
      <c r="AO1068" s="2" t="s">
        <v>661</v>
      </c>
      <c r="AP1068" s="15">
        <v>21.63</v>
      </c>
      <c r="AQ1068" s="2" t="s">
        <v>661</v>
      </c>
      <c r="AR1068" s="16">
        <v>70</v>
      </c>
      <c r="AS1068" s="16">
        <v>11</v>
      </c>
      <c r="AT1068" s="16">
        <v>19</v>
      </c>
      <c r="AU1068" s="2" t="s">
        <v>661</v>
      </c>
      <c r="AV1068" s="16">
        <f t="shared" si="488"/>
        <v>100</v>
      </c>
      <c r="AW1068" s="20">
        <v>4.9000000000000004</v>
      </c>
      <c r="AX1068" s="8">
        <f t="shared" si="489"/>
        <v>4.9000000000000002E-2</v>
      </c>
      <c r="AY1068" s="8" t="s">
        <v>184</v>
      </c>
      <c r="AZ1068" s="16">
        <v>100</v>
      </c>
      <c r="BA1068" s="16" t="s">
        <v>55</v>
      </c>
      <c r="BB1068" s="16">
        <v>5</v>
      </c>
      <c r="BC1068" s="16" t="s">
        <v>55</v>
      </c>
      <c r="BD1068" s="20">
        <v>5.5</v>
      </c>
      <c r="BE1068" s="16">
        <f t="shared" si="490"/>
        <v>112.24489795918367</v>
      </c>
      <c r="BF1068" s="16">
        <f t="shared" si="491"/>
        <v>2.0501666094657303</v>
      </c>
      <c r="BG1068" s="8">
        <f t="shared" si="492"/>
        <v>0.74036268949424389</v>
      </c>
      <c r="BH1068" s="13" t="s">
        <v>345</v>
      </c>
      <c r="BI1068" s="13"/>
      <c r="BJ1068" s="13"/>
      <c r="BK1068" s="13"/>
      <c r="BL1068" s="13"/>
      <c r="BM1068" s="17"/>
      <c r="BN1068" s="17"/>
      <c r="BO1068" s="2"/>
    </row>
    <row r="1069" spans="1:69" s="14" customFormat="1" x14ac:dyDescent="0.3">
      <c r="A1069" s="20">
        <v>1090</v>
      </c>
      <c r="B1069" s="2" t="s">
        <v>181</v>
      </c>
      <c r="C1069" s="2">
        <v>2020</v>
      </c>
      <c r="D1069" s="2" t="s">
        <v>203</v>
      </c>
      <c r="E1069" s="10" t="s">
        <v>787</v>
      </c>
      <c r="F1069" s="20" t="s">
        <v>29</v>
      </c>
      <c r="G1069" s="2" t="s">
        <v>77</v>
      </c>
      <c r="H1069" s="2" t="str">
        <f>'PFAS Properties'!$B$49</f>
        <v>PFEtCHxS</v>
      </c>
      <c r="I1069" s="2" t="str">
        <f>'PFAS Properties'!$C$49</f>
        <v>PFSA</v>
      </c>
      <c r="J1069" s="2" t="str">
        <f>'PFAS Properties'!$D$49</f>
        <v>C8HF15O3S</v>
      </c>
      <c r="K1069" s="25">
        <f>'PFAS Properties'!$P$49</f>
        <v>461.94059999999996</v>
      </c>
      <c r="L1069" s="2">
        <f>'PFAS Properties'!$X$49</f>
        <v>0.1</v>
      </c>
      <c r="M1069" s="2" t="str">
        <f>'PFAS Properties'!$Y$49</f>
        <v>-</v>
      </c>
      <c r="N1069" s="33">
        <v>0</v>
      </c>
      <c r="O1069" s="33">
        <v>0</v>
      </c>
      <c r="P1069" s="33">
        <v>0</v>
      </c>
      <c r="Q1069" s="33">
        <f t="shared" si="479"/>
        <v>0.99999997488113634</v>
      </c>
      <c r="R1069" s="33">
        <v>0</v>
      </c>
      <c r="S1069" s="33">
        <f t="shared" si="480"/>
        <v>2.5118863684138424E-8</v>
      </c>
      <c r="T1069" s="8">
        <f t="shared" si="481"/>
        <v>1</v>
      </c>
      <c r="U1069" s="33">
        <f t="shared" si="482"/>
        <v>0</v>
      </c>
      <c r="V1069" s="33">
        <f t="shared" si="483"/>
        <v>-0.99999997488113634</v>
      </c>
      <c r="W1069" s="33">
        <f t="shared" si="484"/>
        <v>460.94060002511878</v>
      </c>
      <c r="X1069" s="33">
        <v>96485</v>
      </c>
      <c r="Y1069" s="16">
        <f t="shared" si="485"/>
        <v>-209.32197678214618</v>
      </c>
      <c r="Z1069" s="16">
        <v>8</v>
      </c>
      <c r="AA1069" s="16">
        <v>15</v>
      </c>
      <c r="AB1069" s="8">
        <f t="shared" si="486"/>
        <v>0.33684210526315789</v>
      </c>
      <c r="AC1069" s="16">
        <f t="shared" si="487"/>
        <v>61.69624406254831</v>
      </c>
      <c r="AD1069" s="20">
        <f>'PFAS Properties'!$W$49</f>
        <v>8</v>
      </c>
      <c r="AE1069" s="8">
        <f>'PFAS Properties'!$S$49</f>
        <v>2.3222192947339191</v>
      </c>
      <c r="AF1069" s="2">
        <f>'PFAS Properties'!$V$49</f>
        <v>3.9</v>
      </c>
      <c r="AG1069" s="24">
        <v>7.7</v>
      </c>
      <c r="AH1069" s="2" t="s">
        <v>183</v>
      </c>
      <c r="AI1069" s="2" t="s">
        <v>661</v>
      </c>
      <c r="AJ1069" s="2" t="s">
        <v>661</v>
      </c>
      <c r="AK1069" s="2" t="s">
        <v>661</v>
      </c>
      <c r="AL1069" s="2" t="s">
        <v>661</v>
      </c>
      <c r="AM1069" s="2" t="s">
        <v>661</v>
      </c>
      <c r="AN1069" s="2" t="s">
        <v>661</v>
      </c>
      <c r="AO1069" s="2" t="s">
        <v>661</v>
      </c>
      <c r="AP1069" s="15">
        <v>7.8</v>
      </c>
      <c r="AQ1069" s="2" t="s">
        <v>661</v>
      </c>
      <c r="AR1069" s="16">
        <v>48.9</v>
      </c>
      <c r="AS1069" s="16">
        <v>32.6</v>
      </c>
      <c r="AT1069" s="16">
        <v>18.5</v>
      </c>
      <c r="AU1069" s="2" t="s">
        <v>661</v>
      </c>
      <c r="AV1069" s="16">
        <f t="shared" si="488"/>
        <v>100</v>
      </c>
      <c r="AW1069" s="20">
        <v>0.13</v>
      </c>
      <c r="AX1069" s="8">
        <f t="shared" si="489"/>
        <v>1.2999999999999999E-3</v>
      </c>
      <c r="AY1069" s="8" t="s">
        <v>184</v>
      </c>
      <c r="AZ1069" s="16">
        <v>100</v>
      </c>
      <c r="BA1069" s="16" t="s">
        <v>55</v>
      </c>
      <c r="BB1069" s="16">
        <v>5</v>
      </c>
      <c r="BC1069" s="16" t="s">
        <v>55</v>
      </c>
      <c r="BD1069" s="20">
        <v>0.95</v>
      </c>
      <c r="BE1069" s="16">
        <f t="shared" si="490"/>
        <v>730.76923076923072</v>
      </c>
      <c r="BF1069" s="16">
        <f t="shared" si="491"/>
        <v>2.8637802529820111</v>
      </c>
      <c r="BG1069" s="8">
        <f t="shared" si="492"/>
        <v>-2.2276394711152253E-2</v>
      </c>
      <c r="BH1069" s="13" t="s">
        <v>345</v>
      </c>
      <c r="BI1069" s="13"/>
      <c r="BJ1069" s="13"/>
      <c r="BK1069" s="13"/>
      <c r="BL1069" s="13"/>
      <c r="BM1069" s="17"/>
      <c r="BN1069" s="17"/>
      <c r="BO1069" s="2"/>
    </row>
    <row r="1070" spans="1:69" s="14" customFormat="1" x14ac:dyDescent="0.3">
      <c r="A1070" s="20">
        <v>1091</v>
      </c>
      <c r="B1070" s="2" t="s">
        <v>181</v>
      </c>
      <c r="C1070" s="2">
        <v>2020</v>
      </c>
      <c r="D1070" s="2" t="s">
        <v>203</v>
      </c>
      <c r="E1070" s="10" t="s">
        <v>787</v>
      </c>
      <c r="F1070" s="20" t="s">
        <v>29</v>
      </c>
      <c r="G1070" s="2" t="s">
        <v>182</v>
      </c>
      <c r="H1070" s="2" t="str">
        <f>'PFAS Properties'!$B$49</f>
        <v>PFEtCHxS</v>
      </c>
      <c r="I1070" s="2" t="str">
        <f>'PFAS Properties'!$C$49</f>
        <v>PFSA</v>
      </c>
      <c r="J1070" s="2" t="str">
        <f>'PFAS Properties'!$D$49</f>
        <v>C8HF15O3S</v>
      </c>
      <c r="K1070" s="25">
        <f>'PFAS Properties'!$P$49</f>
        <v>461.94059999999996</v>
      </c>
      <c r="L1070" s="2">
        <f>'PFAS Properties'!$X$49</f>
        <v>0.1</v>
      </c>
      <c r="M1070" s="2" t="str">
        <f>'PFAS Properties'!$Y$49</f>
        <v>-</v>
      </c>
      <c r="N1070" s="33">
        <v>0</v>
      </c>
      <c r="O1070" s="33">
        <v>0</v>
      </c>
      <c r="P1070" s="33">
        <v>0</v>
      </c>
      <c r="Q1070" s="33">
        <f t="shared" si="479"/>
        <v>0.9999999601892845</v>
      </c>
      <c r="R1070" s="33">
        <v>0</v>
      </c>
      <c r="S1070" s="33">
        <f t="shared" si="480"/>
        <v>3.9810715470456442E-8</v>
      </c>
      <c r="T1070" s="8">
        <f t="shared" si="481"/>
        <v>1</v>
      </c>
      <c r="U1070" s="33">
        <f t="shared" si="482"/>
        <v>0</v>
      </c>
      <c r="V1070" s="33">
        <f t="shared" si="483"/>
        <v>-0.9999999601892845</v>
      </c>
      <c r="W1070" s="33">
        <f t="shared" si="484"/>
        <v>460.94060003981065</v>
      </c>
      <c r="X1070" s="33">
        <v>96485</v>
      </c>
      <c r="Y1070" s="16">
        <f t="shared" si="485"/>
        <v>-209.32197370014674</v>
      </c>
      <c r="Z1070" s="16">
        <v>8</v>
      </c>
      <c r="AA1070" s="16">
        <v>15</v>
      </c>
      <c r="AB1070" s="8">
        <f t="shared" si="486"/>
        <v>0.33684210526315789</v>
      </c>
      <c r="AC1070" s="16">
        <f t="shared" si="487"/>
        <v>61.69624406254831</v>
      </c>
      <c r="AD1070" s="20">
        <f>'PFAS Properties'!$W$49</f>
        <v>8</v>
      </c>
      <c r="AE1070" s="8">
        <f>'PFAS Properties'!$S$49</f>
        <v>2.3222192947339191</v>
      </c>
      <c r="AF1070" s="2">
        <f>'PFAS Properties'!$V$49</f>
        <v>3.9</v>
      </c>
      <c r="AG1070" s="24">
        <v>7.5</v>
      </c>
      <c r="AH1070" s="2" t="s">
        <v>183</v>
      </c>
      <c r="AI1070" s="2" t="s">
        <v>661</v>
      </c>
      <c r="AJ1070" s="2" t="s">
        <v>661</v>
      </c>
      <c r="AK1070" s="2" t="s">
        <v>661</v>
      </c>
      <c r="AL1070" s="2" t="s">
        <v>661</v>
      </c>
      <c r="AM1070" s="2" t="s">
        <v>661</v>
      </c>
      <c r="AN1070" s="2" t="s">
        <v>661</v>
      </c>
      <c r="AO1070" s="2" t="s">
        <v>661</v>
      </c>
      <c r="AP1070" s="15">
        <v>2.2799999999999998</v>
      </c>
      <c r="AQ1070" s="2" t="s">
        <v>661</v>
      </c>
      <c r="AR1070" s="16">
        <v>93</v>
      </c>
      <c r="AS1070" s="16">
        <v>1</v>
      </c>
      <c r="AT1070" s="16">
        <v>5</v>
      </c>
      <c r="AU1070" s="2" t="s">
        <v>661</v>
      </c>
      <c r="AV1070" s="16">
        <f t="shared" si="488"/>
        <v>99</v>
      </c>
      <c r="AW1070" s="20">
        <v>0.4</v>
      </c>
      <c r="AX1070" s="8">
        <f t="shared" si="489"/>
        <v>4.0000000000000001E-3</v>
      </c>
      <c r="AY1070" s="8" t="s">
        <v>184</v>
      </c>
      <c r="AZ1070" s="16">
        <v>100</v>
      </c>
      <c r="BA1070" s="16" t="s">
        <v>55</v>
      </c>
      <c r="BB1070" s="16">
        <v>5</v>
      </c>
      <c r="BC1070" s="16" t="s">
        <v>55</v>
      </c>
      <c r="BD1070" s="20">
        <v>0.73</v>
      </c>
      <c r="BE1070" s="16">
        <f t="shared" si="490"/>
        <v>182.5</v>
      </c>
      <c r="BF1070" s="16">
        <f t="shared" si="491"/>
        <v>2.2612628687924934</v>
      </c>
      <c r="BG1070" s="8">
        <f t="shared" si="492"/>
        <v>-0.13667713987954411</v>
      </c>
      <c r="BH1070" s="13" t="s">
        <v>345</v>
      </c>
      <c r="BI1070" s="13"/>
      <c r="BJ1070" s="13"/>
      <c r="BK1070" s="13"/>
      <c r="BL1070" s="13"/>
      <c r="BM1070" s="17"/>
      <c r="BN1070" s="17"/>
      <c r="BO1070" s="2"/>
    </row>
    <row r="1071" spans="1:69" s="14" customFormat="1" x14ac:dyDescent="0.3">
      <c r="A1071" s="20">
        <v>1092</v>
      </c>
      <c r="B1071" s="2" t="s">
        <v>181</v>
      </c>
      <c r="C1071" s="2">
        <v>2020</v>
      </c>
      <c r="D1071" s="2" t="s">
        <v>203</v>
      </c>
      <c r="E1071" s="10" t="s">
        <v>787</v>
      </c>
      <c r="F1071" s="20" t="s">
        <v>29</v>
      </c>
      <c r="G1071" s="2" t="s">
        <v>78</v>
      </c>
      <c r="H1071" s="2" t="str">
        <f>'PFAS Properties'!$B$49</f>
        <v>PFEtCHxS</v>
      </c>
      <c r="I1071" s="2" t="str">
        <f>'PFAS Properties'!$C$49</f>
        <v>PFSA</v>
      </c>
      <c r="J1071" s="2" t="str">
        <f>'PFAS Properties'!$D$49</f>
        <v>C8HF15O3S</v>
      </c>
      <c r="K1071" s="25">
        <f>'PFAS Properties'!$P$49</f>
        <v>461.94059999999996</v>
      </c>
      <c r="L1071" s="2">
        <f>'PFAS Properties'!$X$49</f>
        <v>0.1</v>
      </c>
      <c r="M1071" s="2" t="str">
        <f>'PFAS Properties'!$Y$49</f>
        <v>-</v>
      </c>
      <c r="N1071" s="33">
        <v>0</v>
      </c>
      <c r="O1071" s="33">
        <v>0</v>
      </c>
      <c r="P1071" s="33">
        <v>0</v>
      </c>
      <c r="Q1071" s="33">
        <f t="shared" si="479"/>
        <v>0.99999990000001004</v>
      </c>
      <c r="R1071" s="33">
        <v>0</v>
      </c>
      <c r="S1071" s="33">
        <f t="shared" si="480"/>
        <v>9.9999990000001005E-8</v>
      </c>
      <c r="T1071" s="8">
        <f t="shared" si="481"/>
        <v>1</v>
      </c>
      <c r="U1071" s="33">
        <f t="shared" si="482"/>
        <v>0</v>
      </c>
      <c r="V1071" s="33">
        <f t="shared" si="483"/>
        <v>-0.99999990000001004</v>
      </c>
      <c r="W1071" s="33">
        <f t="shared" si="484"/>
        <v>460.94060009999993</v>
      </c>
      <c r="X1071" s="33">
        <v>96485</v>
      </c>
      <c r="Y1071" s="16">
        <f t="shared" si="485"/>
        <v>-209.32196107387543</v>
      </c>
      <c r="Z1071" s="16">
        <v>8</v>
      </c>
      <c r="AA1071" s="16">
        <v>15</v>
      </c>
      <c r="AB1071" s="8">
        <f t="shared" si="486"/>
        <v>0.33684210526315789</v>
      </c>
      <c r="AC1071" s="16">
        <f t="shared" si="487"/>
        <v>61.69624406254831</v>
      </c>
      <c r="AD1071" s="20">
        <f>'PFAS Properties'!$W$49</f>
        <v>8</v>
      </c>
      <c r="AE1071" s="8">
        <f>'PFAS Properties'!$S$49</f>
        <v>2.3222192947339191</v>
      </c>
      <c r="AF1071" s="2">
        <f>'PFAS Properties'!$V$49</f>
        <v>3.9</v>
      </c>
      <c r="AG1071" s="24">
        <v>7.1</v>
      </c>
      <c r="AH1071" s="2" t="s">
        <v>183</v>
      </c>
      <c r="AI1071" s="2" t="s">
        <v>661</v>
      </c>
      <c r="AJ1071" s="2" t="s">
        <v>661</v>
      </c>
      <c r="AK1071" s="2" t="s">
        <v>661</v>
      </c>
      <c r="AL1071" s="2" t="s">
        <v>661</v>
      </c>
      <c r="AM1071" s="2" t="s">
        <v>661</v>
      </c>
      <c r="AN1071" s="2" t="s">
        <v>661</v>
      </c>
      <c r="AO1071" s="2" t="s">
        <v>661</v>
      </c>
      <c r="AP1071" s="15">
        <v>17.420000000000002</v>
      </c>
      <c r="AQ1071" s="2" t="s">
        <v>661</v>
      </c>
      <c r="AR1071" s="16">
        <v>48.86</v>
      </c>
      <c r="AS1071" s="16">
        <v>16.05</v>
      </c>
      <c r="AT1071" s="16">
        <v>35.090000000000003</v>
      </c>
      <c r="AU1071" s="2" t="s">
        <v>661</v>
      </c>
      <c r="AV1071" s="16">
        <f t="shared" si="488"/>
        <v>100</v>
      </c>
      <c r="AW1071" s="20">
        <v>1.19</v>
      </c>
      <c r="AX1071" s="8">
        <f t="shared" si="489"/>
        <v>1.1899999999999999E-2</v>
      </c>
      <c r="AY1071" s="8" t="s">
        <v>184</v>
      </c>
      <c r="AZ1071" s="16">
        <v>100</v>
      </c>
      <c r="BA1071" s="16" t="s">
        <v>55</v>
      </c>
      <c r="BB1071" s="16">
        <v>5</v>
      </c>
      <c r="BC1071" s="16" t="s">
        <v>55</v>
      </c>
      <c r="BD1071" s="20">
        <v>1.62</v>
      </c>
      <c r="BE1071" s="16">
        <f t="shared" si="490"/>
        <v>136.13445378151263</v>
      </c>
      <c r="BF1071" s="16">
        <f t="shared" si="491"/>
        <v>2.1339680531501002</v>
      </c>
      <c r="BG1071" s="8">
        <f t="shared" si="492"/>
        <v>0.20951501454263097</v>
      </c>
      <c r="BH1071" s="13" t="s">
        <v>345</v>
      </c>
      <c r="BI1071" s="13"/>
      <c r="BJ1071" s="13"/>
      <c r="BK1071" s="13"/>
      <c r="BL1071" s="13"/>
      <c r="BM1071" s="17"/>
      <c r="BN1071" s="17"/>
      <c r="BO1071" s="2"/>
    </row>
    <row r="1072" spans="1:69" s="14" customFormat="1" x14ac:dyDescent="0.3">
      <c r="A1072" s="20">
        <v>1093</v>
      </c>
      <c r="B1072" s="2" t="s">
        <v>181</v>
      </c>
      <c r="C1072" s="2">
        <v>2020</v>
      </c>
      <c r="D1072" s="2" t="s">
        <v>203</v>
      </c>
      <c r="E1072" s="10" t="s">
        <v>787</v>
      </c>
      <c r="F1072" s="20" t="s">
        <v>29</v>
      </c>
      <c r="G1072" s="2" t="s">
        <v>98</v>
      </c>
      <c r="H1072" s="2" t="str">
        <f>'PFAS Properties'!$B$49</f>
        <v>PFEtCHxS</v>
      </c>
      <c r="I1072" s="2" t="str">
        <f>'PFAS Properties'!$C$49</f>
        <v>PFSA</v>
      </c>
      <c r="J1072" s="2" t="str">
        <f>'PFAS Properties'!$D$49</f>
        <v>C8HF15O3S</v>
      </c>
      <c r="K1072" s="25">
        <f>'PFAS Properties'!$P$49</f>
        <v>461.94059999999996</v>
      </c>
      <c r="L1072" s="2">
        <f>'PFAS Properties'!$X$49</f>
        <v>0.1</v>
      </c>
      <c r="M1072" s="2" t="str">
        <f>'PFAS Properties'!$Y$49</f>
        <v>-</v>
      </c>
      <c r="N1072" s="33">
        <v>0</v>
      </c>
      <c r="O1072" s="33">
        <v>0</v>
      </c>
      <c r="P1072" s="33">
        <v>0</v>
      </c>
      <c r="Q1072" s="33">
        <f t="shared" si="479"/>
        <v>0.99999949881301753</v>
      </c>
      <c r="R1072" s="33">
        <v>0</v>
      </c>
      <c r="S1072" s="33">
        <f t="shared" si="480"/>
        <v>5.0118698243875318E-7</v>
      </c>
      <c r="T1072" s="8">
        <f t="shared" si="481"/>
        <v>1</v>
      </c>
      <c r="U1072" s="33">
        <f t="shared" si="482"/>
        <v>0</v>
      </c>
      <c r="V1072" s="33">
        <f t="shared" si="483"/>
        <v>-0.99999949881301753</v>
      </c>
      <c r="W1072" s="33">
        <f t="shared" si="484"/>
        <v>460.94060050118696</v>
      </c>
      <c r="X1072" s="33">
        <v>96485</v>
      </c>
      <c r="Y1072" s="16">
        <f t="shared" si="485"/>
        <v>-209.32187691443238</v>
      </c>
      <c r="Z1072" s="16">
        <v>8</v>
      </c>
      <c r="AA1072" s="16">
        <v>15</v>
      </c>
      <c r="AB1072" s="8">
        <f t="shared" si="486"/>
        <v>0.33684210526315789</v>
      </c>
      <c r="AC1072" s="16">
        <f t="shared" si="487"/>
        <v>61.69624406254831</v>
      </c>
      <c r="AD1072" s="20">
        <f>'PFAS Properties'!$W$49</f>
        <v>8</v>
      </c>
      <c r="AE1072" s="8">
        <f>'PFAS Properties'!$S$49</f>
        <v>2.3222192947339191</v>
      </c>
      <c r="AF1072" s="2">
        <f>'PFAS Properties'!$V$49</f>
        <v>3.9</v>
      </c>
      <c r="AG1072" s="24">
        <v>6.4</v>
      </c>
      <c r="AH1072" s="2" t="s">
        <v>183</v>
      </c>
      <c r="AI1072" s="2" t="s">
        <v>661</v>
      </c>
      <c r="AJ1072" s="15" t="s">
        <v>661</v>
      </c>
      <c r="AK1072" s="8" t="s">
        <v>661</v>
      </c>
      <c r="AL1072" s="2" t="s">
        <v>661</v>
      </c>
      <c r="AM1072" s="15" t="s">
        <v>661</v>
      </c>
      <c r="AN1072" s="8" t="s">
        <v>661</v>
      </c>
      <c r="AO1072" s="15" t="s">
        <v>661</v>
      </c>
      <c r="AP1072" s="15">
        <v>16.54</v>
      </c>
      <c r="AQ1072" s="13" t="s">
        <v>661</v>
      </c>
      <c r="AR1072" s="16">
        <v>29.38</v>
      </c>
      <c r="AS1072" s="16">
        <v>13.9</v>
      </c>
      <c r="AT1072" s="16">
        <v>56.71</v>
      </c>
      <c r="AU1072" s="15" t="s">
        <v>661</v>
      </c>
      <c r="AV1072" s="16">
        <f t="shared" si="488"/>
        <v>99.990000000000009</v>
      </c>
      <c r="AW1072" s="20">
        <v>0.17</v>
      </c>
      <c r="AX1072" s="8">
        <f t="shared" si="489"/>
        <v>1.7000000000000001E-3</v>
      </c>
      <c r="AY1072" s="8" t="s">
        <v>184</v>
      </c>
      <c r="AZ1072" s="16">
        <v>100</v>
      </c>
      <c r="BA1072" s="16" t="s">
        <v>55</v>
      </c>
      <c r="BB1072" s="16">
        <v>5</v>
      </c>
      <c r="BC1072" s="16" t="s">
        <v>55</v>
      </c>
      <c r="BD1072" s="20">
        <v>2.42</v>
      </c>
      <c r="BE1072" s="16">
        <f t="shared" si="490"/>
        <v>1423.5294117647056</v>
      </c>
      <c r="BF1072" s="16">
        <f t="shared" si="491"/>
        <v>3.1533664446021574</v>
      </c>
      <c r="BG1072" s="8">
        <f t="shared" si="492"/>
        <v>0.38381536598043126</v>
      </c>
      <c r="BH1072" s="13" t="s">
        <v>345</v>
      </c>
      <c r="BI1072" s="13"/>
      <c r="BJ1072" s="13"/>
      <c r="BK1072" s="13"/>
      <c r="BL1072" s="13"/>
      <c r="BM1072" s="17"/>
      <c r="BN1072" s="17"/>
      <c r="BO1072" s="2"/>
    </row>
    <row r="1073" spans="1:67" s="14" customFormat="1" x14ac:dyDescent="0.3">
      <c r="A1073" s="20">
        <v>1094</v>
      </c>
      <c r="B1073" s="2" t="s">
        <v>181</v>
      </c>
      <c r="C1073" s="2">
        <v>2020</v>
      </c>
      <c r="D1073" s="2" t="s">
        <v>203</v>
      </c>
      <c r="E1073" s="10" t="s">
        <v>787</v>
      </c>
      <c r="F1073" s="20" t="s">
        <v>29</v>
      </c>
      <c r="G1073" s="2" t="s">
        <v>62</v>
      </c>
      <c r="H1073" s="2" t="str">
        <f>'PFAS Properties'!$B$50</f>
        <v>8:2 Cl-PFAES</v>
      </c>
      <c r="I1073" s="2" t="str">
        <f>'PFAS Properties'!$C$50</f>
        <v>PFAES</v>
      </c>
      <c r="J1073" s="2" t="str">
        <f>'PFAS Properties'!$D$50</f>
        <v>C8HClF16O4S</v>
      </c>
      <c r="K1073" s="25">
        <f>'PFAS Properties'!$P$50</f>
        <v>531.90269999999998</v>
      </c>
      <c r="L1073" s="2">
        <f>'PFAS Properties'!$X$50</f>
        <v>0.1</v>
      </c>
      <c r="M1073" s="2" t="str">
        <f>'PFAS Properties'!$Y$50</f>
        <v>-</v>
      </c>
      <c r="N1073" s="33">
        <v>0</v>
      </c>
      <c r="O1073" s="33">
        <v>0</v>
      </c>
      <c r="P1073" s="33">
        <v>0</v>
      </c>
      <c r="Q1073" s="33">
        <f t="shared" si="479"/>
        <v>0.9999999601892845</v>
      </c>
      <c r="R1073" s="33">
        <v>0</v>
      </c>
      <c r="S1073" s="33">
        <f t="shared" si="480"/>
        <v>3.9810715470456442E-8</v>
      </c>
      <c r="T1073" s="8">
        <f t="shared" ref="T1073" si="493">SUM(N1073:S1073)</f>
        <v>1</v>
      </c>
      <c r="U1073" s="33">
        <f t="shared" ref="U1073:U1078" si="494">((1*N1073)+(1*O1073)+(1*P1073))</f>
        <v>0</v>
      </c>
      <c r="V1073" s="33">
        <f t="shared" ref="V1073:V1078" si="495">-((1*O1073)+(2*P1073)+(1*Q1073)+(2*R1073))</f>
        <v>-0.9999999601892845</v>
      </c>
      <c r="W1073" s="33">
        <f t="shared" ref="W1073:W1078" si="496">(N1073*(K1073+1))+(O1073*K1073)+(P1073*(K1073-1))+(Q1073*(K1073-1))+(R1073*(K1073-2))+(S1073*K1073)</f>
        <v>530.90270003981072</v>
      </c>
      <c r="X1073" s="33">
        <v>96485</v>
      </c>
      <c r="Y1073" s="16">
        <f t="shared" ref="Y1073:Y1078" si="497">((V1073+U1073)/W1073)*X1073</f>
        <v>-181.73762565462184</v>
      </c>
      <c r="Z1073" s="16">
        <v>8</v>
      </c>
      <c r="AA1073" s="16">
        <v>16</v>
      </c>
      <c r="AB1073" s="8">
        <f t="shared" ref="AB1073:AB1078" si="498">(Z1073/AA1073)*(12/19)</f>
        <v>0.31578947368421051</v>
      </c>
      <c r="AC1073" s="16">
        <f t="shared" si="487"/>
        <v>57.153310182482628</v>
      </c>
      <c r="AD1073" s="20">
        <f>'PFAS Properties'!$W$50</f>
        <v>8</v>
      </c>
      <c r="AE1073" s="8">
        <f>'PFAS Properties'!$S$50</f>
        <v>1.1664301138432827</v>
      </c>
      <c r="AF1073" s="2">
        <f>'PFAS Properties'!$V$50</f>
        <v>5.3</v>
      </c>
      <c r="AG1073" s="24">
        <v>7.5</v>
      </c>
      <c r="AH1073" s="2" t="s">
        <v>183</v>
      </c>
      <c r="AI1073" s="2" t="s">
        <v>661</v>
      </c>
      <c r="AJ1073" s="2" t="s">
        <v>661</v>
      </c>
      <c r="AK1073" s="2" t="s">
        <v>661</v>
      </c>
      <c r="AL1073" s="2" t="s">
        <v>661</v>
      </c>
      <c r="AM1073" s="2" t="s">
        <v>661</v>
      </c>
      <c r="AN1073" s="2" t="s">
        <v>661</v>
      </c>
      <c r="AO1073" s="2" t="s">
        <v>661</v>
      </c>
      <c r="AP1073" s="15">
        <v>41.4</v>
      </c>
      <c r="AQ1073" s="2" t="s">
        <v>661</v>
      </c>
      <c r="AR1073" s="16">
        <v>16.899999999999999</v>
      </c>
      <c r="AS1073" s="16">
        <v>17.5</v>
      </c>
      <c r="AT1073" s="16">
        <v>65.599999999999994</v>
      </c>
      <c r="AU1073" s="2" t="s">
        <v>661</v>
      </c>
      <c r="AV1073" s="16">
        <f t="shared" ref="AV1073" si="499">SUM(AR1073:AT1073)</f>
        <v>100</v>
      </c>
      <c r="AW1073" s="20">
        <v>0.7</v>
      </c>
      <c r="AX1073" s="8">
        <f t="shared" si="489"/>
        <v>6.9999999999999993E-3</v>
      </c>
      <c r="AY1073" s="13" t="s">
        <v>184</v>
      </c>
      <c r="AZ1073" s="16">
        <v>100</v>
      </c>
      <c r="BA1073" s="16" t="s">
        <v>55</v>
      </c>
      <c r="BB1073" s="16">
        <v>5</v>
      </c>
      <c r="BC1073" s="16" t="s">
        <v>55</v>
      </c>
      <c r="BD1073" s="18">
        <v>157.32</v>
      </c>
      <c r="BE1073" s="16">
        <f t="shared" si="490"/>
        <v>22474.285714285717</v>
      </c>
      <c r="BF1073" s="16">
        <f t="shared" si="491"/>
        <v>4.3516858977234527</v>
      </c>
      <c r="BG1073" s="8">
        <f t="shared" si="492"/>
        <v>2.1967839377377092</v>
      </c>
      <c r="BH1073" s="13" t="s">
        <v>345</v>
      </c>
      <c r="BI1073" s="13"/>
      <c r="BJ1073" s="13"/>
      <c r="BK1073" s="13"/>
      <c r="BL1073" s="13"/>
      <c r="BM1073" s="17"/>
      <c r="BN1073" s="17"/>
      <c r="BO1073" s="2"/>
    </row>
    <row r="1074" spans="1:67" s="14" customFormat="1" x14ac:dyDescent="0.3">
      <c r="A1074" s="20">
        <v>1095</v>
      </c>
      <c r="B1074" s="2" t="s">
        <v>719</v>
      </c>
      <c r="C1074" s="2">
        <v>2019</v>
      </c>
      <c r="D1074" s="2" t="s">
        <v>199</v>
      </c>
      <c r="E1074" s="10" t="s">
        <v>807</v>
      </c>
      <c r="F1074" s="20" t="s">
        <v>29</v>
      </c>
      <c r="G1074" s="2" t="s">
        <v>159</v>
      </c>
      <c r="H1074" s="2" t="str">
        <f>'PFAS Properties'!$B$50</f>
        <v>8:2 Cl-PFAES</v>
      </c>
      <c r="I1074" s="2" t="str">
        <f>'PFAS Properties'!$C$50</f>
        <v>PFAES</v>
      </c>
      <c r="J1074" s="2" t="str">
        <f>'PFAS Properties'!$D$50</f>
        <v>C8HClF16O4S</v>
      </c>
      <c r="K1074" s="25">
        <f>'PFAS Properties'!$P$50</f>
        <v>531.90269999999998</v>
      </c>
      <c r="L1074" s="2">
        <f>'PFAS Properties'!$X$50</f>
        <v>0.1</v>
      </c>
      <c r="M1074" s="2" t="str">
        <f>'PFAS Properties'!$Y$50</f>
        <v>-</v>
      </c>
      <c r="N1074" s="33">
        <v>0</v>
      </c>
      <c r="O1074" s="33">
        <v>0</v>
      </c>
      <c r="P1074" s="33">
        <v>0</v>
      </c>
      <c r="Q1074" s="33">
        <f t="shared" si="479"/>
        <v>0.99999601894414336</v>
      </c>
      <c r="R1074" s="33">
        <v>0</v>
      </c>
      <c r="S1074" s="33">
        <f t="shared" si="480"/>
        <v>3.981055856666137E-6</v>
      </c>
      <c r="T1074" s="8">
        <f t="shared" ref="T1074:T1078" si="500">SUM(N1074:S1074)</f>
        <v>1</v>
      </c>
      <c r="U1074" s="33">
        <f t="shared" si="494"/>
        <v>0</v>
      </c>
      <c r="V1074" s="33">
        <f t="shared" si="495"/>
        <v>-0.99999601894414336</v>
      </c>
      <c r="W1074" s="33">
        <f t="shared" si="496"/>
        <v>530.90270398105588</v>
      </c>
      <c r="X1074" s="33">
        <v>96485</v>
      </c>
      <c r="Y1074" s="16">
        <f t="shared" si="497"/>
        <v>-181.73690803290489</v>
      </c>
      <c r="Z1074" s="16">
        <v>8</v>
      </c>
      <c r="AA1074" s="16">
        <v>16</v>
      </c>
      <c r="AB1074" s="8">
        <f t="shared" si="498"/>
        <v>0.31578947368421051</v>
      </c>
      <c r="AC1074" s="16">
        <f t="shared" si="487"/>
        <v>57.153310182482628</v>
      </c>
      <c r="AD1074" s="20">
        <f>'PFAS Properties'!$W$50</f>
        <v>8</v>
      </c>
      <c r="AE1074" s="8">
        <f>'PFAS Properties'!$S$50</f>
        <v>1.1664301138432827</v>
      </c>
      <c r="AF1074" s="2">
        <f>'PFAS Properties'!$V$50</f>
        <v>5.3</v>
      </c>
      <c r="AG1074" s="24">
        <v>5.5</v>
      </c>
      <c r="AH1074" s="2" t="s">
        <v>661</v>
      </c>
      <c r="AI1074" s="16">
        <f>(49.58*2*55.845)/159.69</f>
        <v>34.677125681006949</v>
      </c>
      <c r="AJ1074" s="16">
        <f>(AI1074*2*55.845)/159.69</f>
        <v>24.253792769188216</v>
      </c>
      <c r="AK1074" s="8">
        <f t="shared" ref="AK1074:AK1078" si="501">AI1074/10</f>
        <v>3.4677125681006951</v>
      </c>
      <c r="AL1074" s="16">
        <f>(6.26*2*26.98)/101.96</f>
        <v>3.3129619458611224</v>
      </c>
      <c r="AM1074" s="16">
        <f t="shared" ref="AM1074:AM1078" si="502">AL1074*1000/26.98</f>
        <v>122.7932522557866</v>
      </c>
      <c r="AN1074" s="8">
        <f t="shared" ref="AN1074:AN1078" si="503">AL1074/10</f>
        <v>0.33129619458611226</v>
      </c>
      <c r="AO1074" s="2" t="s">
        <v>661</v>
      </c>
      <c r="AP1074" s="15">
        <v>8</v>
      </c>
      <c r="AQ1074" s="2" t="s">
        <v>661</v>
      </c>
      <c r="AR1074" s="16">
        <v>14</v>
      </c>
      <c r="AS1074" s="16">
        <v>76</v>
      </c>
      <c r="AT1074" s="16">
        <v>10</v>
      </c>
      <c r="AU1074" s="2" t="s">
        <v>661</v>
      </c>
      <c r="AV1074" s="16">
        <f t="shared" ref="AV1074:AV1078" si="504">SUM(AR1074:AT1074)</f>
        <v>100</v>
      </c>
      <c r="AW1074" s="20">
        <v>1.27</v>
      </c>
      <c r="AX1074" s="8">
        <f t="shared" si="489"/>
        <v>1.2699999999999999E-2</v>
      </c>
      <c r="AY1074" s="13" t="s">
        <v>395</v>
      </c>
      <c r="AZ1074" s="16">
        <f>(0.4/0.02)</f>
        <v>20</v>
      </c>
      <c r="BA1074" s="16" t="s">
        <v>55</v>
      </c>
      <c r="BB1074" s="16">
        <v>10</v>
      </c>
      <c r="BC1074" s="16">
        <v>600</v>
      </c>
      <c r="BD1074" s="25">
        <f>(0.0026*1000*51.28)</f>
        <v>133.328</v>
      </c>
      <c r="BE1074" s="16">
        <f t="shared" si="490"/>
        <v>10498.267716535434</v>
      </c>
      <c r="BF1074" s="16">
        <f t="shared" si="491"/>
        <v>4.0211176435256224</v>
      </c>
      <c r="BG1074" s="8">
        <f t="shared" si="492"/>
        <v>2.1249213644815792</v>
      </c>
      <c r="BH1074" s="13" t="s">
        <v>870</v>
      </c>
      <c r="BI1074" s="13"/>
      <c r="BJ1074" s="13"/>
      <c r="BK1074" s="13"/>
      <c r="BL1074" s="13"/>
      <c r="BM1074" s="17"/>
      <c r="BN1074" s="17"/>
      <c r="BO1074" s="2"/>
    </row>
    <row r="1075" spans="1:67" s="14" customFormat="1" x14ac:dyDescent="0.3">
      <c r="A1075" s="20">
        <v>1096</v>
      </c>
      <c r="B1075" s="2" t="s">
        <v>719</v>
      </c>
      <c r="C1075" s="2">
        <v>2019</v>
      </c>
      <c r="D1075" s="2" t="s">
        <v>199</v>
      </c>
      <c r="E1075" s="10" t="s">
        <v>807</v>
      </c>
      <c r="F1075" s="20" t="s">
        <v>29</v>
      </c>
      <c r="G1075" s="2" t="s">
        <v>161</v>
      </c>
      <c r="H1075" s="2" t="str">
        <f>'PFAS Properties'!$B$50</f>
        <v>8:2 Cl-PFAES</v>
      </c>
      <c r="I1075" s="2" t="str">
        <f>'PFAS Properties'!$C$50</f>
        <v>PFAES</v>
      </c>
      <c r="J1075" s="2" t="str">
        <f>'PFAS Properties'!$D$50</f>
        <v>C8HClF16O4S</v>
      </c>
      <c r="K1075" s="25">
        <f>'PFAS Properties'!$P$50</f>
        <v>531.90269999999998</v>
      </c>
      <c r="L1075" s="2">
        <f>'PFAS Properties'!$X$50</f>
        <v>0.1</v>
      </c>
      <c r="M1075" s="2" t="str">
        <f>'PFAS Properties'!$Y$50</f>
        <v>-</v>
      </c>
      <c r="N1075" s="33">
        <v>0</v>
      </c>
      <c r="O1075" s="33">
        <v>0</v>
      </c>
      <c r="P1075" s="33">
        <v>0</v>
      </c>
      <c r="Q1075" s="33">
        <f t="shared" si="479"/>
        <v>0.99999998415106828</v>
      </c>
      <c r="R1075" s="33">
        <v>0</v>
      </c>
      <c r="S1075" s="33">
        <f t="shared" si="480"/>
        <v>1.5848931673422437E-8</v>
      </c>
      <c r="T1075" s="8">
        <f t="shared" si="500"/>
        <v>1</v>
      </c>
      <c r="U1075" s="33">
        <f t="shared" si="494"/>
        <v>0</v>
      </c>
      <c r="V1075" s="33">
        <f t="shared" si="495"/>
        <v>-0.99999998415106828</v>
      </c>
      <c r="W1075" s="33">
        <f t="shared" si="496"/>
        <v>530.90270001584895</v>
      </c>
      <c r="X1075" s="33">
        <v>96485</v>
      </c>
      <c r="Y1075" s="16">
        <f t="shared" si="497"/>
        <v>-181.73763001758226</v>
      </c>
      <c r="Z1075" s="16">
        <v>8</v>
      </c>
      <c r="AA1075" s="16">
        <v>16</v>
      </c>
      <c r="AB1075" s="8">
        <f t="shared" si="498"/>
        <v>0.31578947368421051</v>
      </c>
      <c r="AC1075" s="16">
        <f t="shared" si="487"/>
        <v>57.153310182482628</v>
      </c>
      <c r="AD1075" s="20">
        <f>'PFAS Properties'!$W$50</f>
        <v>8</v>
      </c>
      <c r="AE1075" s="8">
        <f>'PFAS Properties'!$S$50</f>
        <v>1.1664301138432827</v>
      </c>
      <c r="AF1075" s="2">
        <f>'PFAS Properties'!$V$50</f>
        <v>5.3</v>
      </c>
      <c r="AG1075" s="24">
        <v>7.9</v>
      </c>
      <c r="AH1075" s="2" t="s">
        <v>661</v>
      </c>
      <c r="AI1075" s="16">
        <f>(8.44*2*55.845)/159.69</f>
        <v>5.9030847266578999</v>
      </c>
      <c r="AJ1075" s="16">
        <f t="shared" ref="AJ1075:AJ1078" si="505">AI1075*1000/55.845</f>
        <v>105.70480305592085</v>
      </c>
      <c r="AK1075" s="8">
        <f t="shared" si="501"/>
        <v>0.59030847266579001</v>
      </c>
      <c r="AL1075" s="16">
        <f>(2.19*2*26.98)/101.96</f>
        <v>1.1590074539034916</v>
      </c>
      <c r="AM1075" s="16">
        <f t="shared" si="502"/>
        <v>42.958022754021179</v>
      </c>
      <c r="AN1075" s="8">
        <f t="shared" si="503"/>
        <v>0.11590074539034916</v>
      </c>
      <c r="AO1075" s="2" t="s">
        <v>661</v>
      </c>
      <c r="AP1075" s="15">
        <v>33.299999999999997</v>
      </c>
      <c r="AQ1075" s="2" t="s">
        <v>661</v>
      </c>
      <c r="AR1075" s="16">
        <v>16</v>
      </c>
      <c r="AS1075" s="16">
        <v>50</v>
      </c>
      <c r="AT1075" s="16">
        <v>34</v>
      </c>
      <c r="AU1075" s="2" t="s">
        <v>661</v>
      </c>
      <c r="AV1075" s="16">
        <f t="shared" si="504"/>
        <v>100</v>
      </c>
      <c r="AW1075" s="20">
        <v>2.25</v>
      </c>
      <c r="AX1075" s="8">
        <f t="shared" si="489"/>
        <v>2.2499999999999999E-2</v>
      </c>
      <c r="AY1075" s="13" t="s">
        <v>395</v>
      </c>
      <c r="AZ1075" s="16">
        <f t="shared" ref="AZ1075:AZ1078" si="506">(0.4/0.02)</f>
        <v>20</v>
      </c>
      <c r="BA1075" s="16" t="s">
        <v>55</v>
      </c>
      <c r="BB1075" s="16">
        <v>10</v>
      </c>
      <c r="BC1075" s="16">
        <v>600</v>
      </c>
      <c r="BD1075" s="25">
        <f>(0.0057*1000*53.84)</f>
        <v>306.88800000000003</v>
      </c>
      <c r="BE1075" s="16">
        <f t="shared" si="490"/>
        <v>13639.466666666669</v>
      </c>
      <c r="BF1075" s="16">
        <f t="shared" si="491"/>
        <v>4.1347973887770495</v>
      </c>
      <c r="BG1075" s="8">
        <f t="shared" si="492"/>
        <v>2.4869799068884118</v>
      </c>
      <c r="BH1075" s="13" t="s">
        <v>870</v>
      </c>
      <c r="BI1075" s="13"/>
      <c r="BJ1075" s="13"/>
      <c r="BK1075" s="13"/>
      <c r="BL1075" s="13"/>
      <c r="BM1075" s="17"/>
      <c r="BN1075" s="17"/>
      <c r="BO1075" s="2"/>
    </row>
    <row r="1076" spans="1:67" s="14" customFormat="1" x14ac:dyDescent="0.3">
      <c r="A1076" s="20">
        <v>1097</v>
      </c>
      <c r="B1076" s="2" t="s">
        <v>719</v>
      </c>
      <c r="C1076" s="2">
        <v>2019</v>
      </c>
      <c r="D1076" s="2" t="s">
        <v>199</v>
      </c>
      <c r="E1076" s="10" t="s">
        <v>807</v>
      </c>
      <c r="F1076" s="20" t="s">
        <v>29</v>
      </c>
      <c r="G1076" s="2" t="s">
        <v>158</v>
      </c>
      <c r="H1076" s="2" t="str">
        <f>'PFAS Properties'!$B$50</f>
        <v>8:2 Cl-PFAES</v>
      </c>
      <c r="I1076" s="2" t="str">
        <f>'PFAS Properties'!$C$50</f>
        <v>PFAES</v>
      </c>
      <c r="J1076" s="2" t="str">
        <f>'PFAS Properties'!$D$50</f>
        <v>C8HClF16O4S</v>
      </c>
      <c r="K1076" s="25">
        <f>'PFAS Properties'!$P$50</f>
        <v>531.90269999999998</v>
      </c>
      <c r="L1076" s="2">
        <f>'PFAS Properties'!$X$50</f>
        <v>0.1</v>
      </c>
      <c r="M1076" s="2" t="str">
        <f>'PFAS Properties'!$Y$50</f>
        <v>-</v>
      </c>
      <c r="N1076" s="33">
        <v>0</v>
      </c>
      <c r="O1076" s="33">
        <v>0</v>
      </c>
      <c r="P1076" s="33">
        <v>0</v>
      </c>
      <c r="Q1076" s="33">
        <f t="shared" si="479"/>
        <v>0.99999998415106828</v>
      </c>
      <c r="R1076" s="33">
        <v>0</v>
      </c>
      <c r="S1076" s="33">
        <f t="shared" si="480"/>
        <v>1.5848931673422437E-8</v>
      </c>
      <c r="T1076" s="8">
        <f t="shared" si="500"/>
        <v>1</v>
      </c>
      <c r="U1076" s="33">
        <f t="shared" si="494"/>
        <v>0</v>
      </c>
      <c r="V1076" s="33">
        <f t="shared" si="495"/>
        <v>-0.99999998415106828</v>
      </c>
      <c r="W1076" s="33">
        <f t="shared" si="496"/>
        <v>530.90270001584895</v>
      </c>
      <c r="X1076" s="33">
        <v>96485</v>
      </c>
      <c r="Y1076" s="16">
        <f t="shared" si="497"/>
        <v>-181.73763001758226</v>
      </c>
      <c r="Z1076" s="16">
        <v>8</v>
      </c>
      <c r="AA1076" s="16">
        <v>16</v>
      </c>
      <c r="AB1076" s="8">
        <f t="shared" si="498"/>
        <v>0.31578947368421051</v>
      </c>
      <c r="AC1076" s="16">
        <f t="shared" si="487"/>
        <v>57.153310182482628</v>
      </c>
      <c r="AD1076" s="20">
        <f>'PFAS Properties'!$W$50</f>
        <v>8</v>
      </c>
      <c r="AE1076" s="8">
        <f>'PFAS Properties'!$S$50</f>
        <v>1.1664301138432827</v>
      </c>
      <c r="AF1076" s="2">
        <f>'PFAS Properties'!$V$50</f>
        <v>5.3</v>
      </c>
      <c r="AG1076" s="24">
        <v>7.9</v>
      </c>
      <c r="AH1076" s="2" t="s">
        <v>661</v>
      </c>
      <c r="AI1076" s="16">
        <f>(9.57*2*55.845)/159.69</f>
        <v>6.693426639113282</v>
      </c>
      <c r="AJ1076" s="16">
        <f t="shared" si="505"/>
        <v>119.85722337027993</v>
      </c>
      <c r="AK1076" s="8">
        <f t="shared" si="501"/>
        <v>0.66934266391132824</v>
      </c>
      <c r="AL1076" s="16">
        <f>(0.75*2*26.98)/101.96</f>
        <v>0.39692036092585331</v>
      </c>
      <c r="AM1076" s="16">
        <f t="shared" si="502"/>
        <v>14.711651628089447</v>
      </c>
      <c r="AN1076" s="8">
        <f t="shared" si="503"/>
        <v>3.9692036092585328E-2</v>
      </c>
      <c r="AO1076" s="2" t="s">
        <v>661</v>
      </c>
      <c r="AP1076" s="15">
        <v>5.58</v>
      </c>
      <c r="AQ1076" s="2" t="s">
        <v>661</v>
      </c>
      <c r="AR1076" s="16">
        <v>46</v>
      </c>
      <c r="AS1076" s="16">
        <v>48</v>
      </c>
      <c r="AT1076" s="16">
        <v>6</v>
      </c>
      <c r="AU1076" s="2" t="s">
        <v>661</v>
      </c>
      <c r="AV1076" s="16">
        <f t="shared" si="504"/>
        <v>100</v>
      </c>
      <c r="AW1076" s="20">
        <v>0.87</v>
      </c>
      <c r="AX1076" s="8">
        <f t="shared" si="489"/>
        <v>8.6999999999999994E-3</v>
      </c>
      <c r="AY1076" s="13" t="s">
        <v>395</v>
      </c>
      <c r="AZ1076" s="16">
        <f t="shared" si="506"/>
        <v>20</v>
      </c>
      <c r="BA1076" s="16" t="s">
        <v>55</v>
      </c>
      <c r="BB1076" s="16">
        <v>10</v>
      </c>
      <c r="BC1076" s="16">
        <v>600</v>
      </c>
      <c r="BD1076" s="25">
        <f>(0.0085*1000*35.1)</f>
        <v>298.35000000000002</v>
      </c>
      <c r="BE1076" s="16">
        <f t="shared" si="490"/>
        <v>34293.10344827587</v>
      </c>
      <c r="BF1076" s="16">
        <f t="shared" si="491"/>
        <v>4.5352067895614985</v>
      </c>
      <c r="BG1076" s="8">
        <f t="shared" si="492"/>
        <v>2.4747260421801167</v>
      </c>
      <c r="BH1076" s="13" t="s">
        <v>870</v>
      </c>
      <c r="BI1076" s="13"/>
      <c r="BJ1076" s="13"/>
      <c r="BK1076" s="13"/>
      <c r="BL1076" s="13"/>
      <c r="BM1076" s="17"/>
      <c r="BN1076" s="17"/>
      <c r="BO1076" s="2"/>
    </row>
    <row r="1077" spans="1:67" s="14" customFormat="1" x14ac:dyDescent="0.3">
      <c r="A1077" s="20">
        <v>1099</v>
      </c>
      <c r="B1077" s="2" t="s">
        <v>719</v>
      </c>
      <c r="C1077" s="2">
        <v>2019</v>
      </c>
      <c r="D1077" s="2" t="s">
        <v>199</v>
      </c>
      <c r="E1077" s="10" t="s">
        <v>807</v>
      </c>
      <c r="F1077" s="20" t="s">
        <v>29</v>
      </c>
      <c r="G1077" s="2" t="s">
        <v>162</v>
      </c>
      <c r="H1077" s="2" t="str">
        <f>'PFAS Properties'!$B$50</f>
        <v>8:2 Cl-PFAES</v>
      </c>
      <c r="I1077" s="2" t="str">
        <f>'PFAS Properties'!$C$50</f>
        <v>PFAES</v>
      </c>
      <c r="J1077" s="2" t="str">
        <f>'PFAS Properties'!$D$50</f>
        <v>C8HClF16O4S</v>
      </c>
      <c r="K1077" s="25">
        <f>'PFAS Properties'!$P$50</f>
        <v>531.90269999999998</v>
      </c>
      <c r="L1077" s="2">
        <f>'PFAS Properties'!$X$50</f>
        <v>0.1</v>
      </c>
      <c r="M1077" s="2" t="str">
        <f>'PFAS Properties'!$Y$50</f>
        <v>-</v>
      </c>
      <c r="N1077" s="33">
        <v>0</v>
      </c>
      <c r="O1077" s="33">
        <v>0</v>
      </c>
      <c r="P1077" s="33">
        <v>0</v>
      </c>
      <c r="Q1077" s="33">
        <f t="shared" si="479"/>
        <v>0.99993690824637249</v>
      </c>
      <c r="R1077" s="33">
        <v>0</v>
      </c>
      <c r="S1077" s="33">
        <f t="shared" si="480"/>
        <v>6.3091753627486543E-5</v>
      </c>
      <c r="T1077" s="8">
        <f t="shared" si="500"/>
        <v>1</v>
      </c>
      <c r="U1077" s="33">
        <f t="shared" si="494"/>
        <v>0</v>
      </c>
      <c r="V1077" s="33">
        <f t="shared" si="495"/>
        <v>-0.99993690824637249</v>
      </c>
      <c r="W1077" s="33">
        <f t="shared" si="496"/>
        <v>530.90276309175363</v>
      </c>
      <c r="X1077" s="33">
        <v>96485</v>
      </c>
      <c r="Y1077" s="16">
        <f t="shared" si="497"/>
        <v>-181.72614516130747</v>
      </c>
      <c r="Z1077" s="16">
        <v>8</v>
      </c>
      <c r="AA1077" s="16">
        <v>16</v>
      </c>
      <c r="AB1077" s="8">
        <f t="shared" si="498"/>
        <v>0.31578947368421051</v>
      </c>
      <c r="AC1077" s="16">
        <f t="shared" si="487"/>
        <v>57.153310182482628</v>
      </c>
      <c r="AD1077" s="20">
        <f>'PFAS Properties'!$W$50</f>
        <v>8</v>
      </c>
      <c r="AE1077" s="8">
        <f>'PFAS Properties'!$S$50</f>
        <v>1.1664301138432827</v>
      </c>
      <c r="AF1077" s="2">
        <f>'PFAS Properties'!$V$50</f>
        <v>5.3</v>
      </c>
      <c r="AG1077" s="24">
        <v>4.3</v>
      </c>
      <c r="AH1077" s="2" t="s">
        <v>661</v>
      </c>
      <c r="AI1077" s="16">
        <f>(80.66*2*55.845)/159.69</f>
        <v>56.415025361638172</v>
      </c>
      <c r="AJ1077" s="16">
        <f t="shared" si="505"/>
        <v>1010.2072765984094</v>
      </c>
      <c r="AK1077" s="8">
        <f t="shared" si="501"/>
        <v>5.6415025361638174</v>
      </c>
      <c r="AL1077" s="16">
        <f>(17.75*2*26.98)/101.96</f>
        <v>9.3937818752451943</v>
      </c>
      <c r="AM1077" s="16">
        <f t="shared" si="502"/>
        <v>348.17575519811692</v>
      </c>
      <c r="AN1077" s="8">
        <f t="shared" si="503"/>
        <v>0.9393781875245194</v>
      </c>
      <c r="AO1077" s="2" t="s">
        <v>661</v>
      </c>
      <c r="AP1077" s="15">
        <v>10.7</v>
      </c>
      <c r="AQ1077" s="2" t="s">
        <v>661</v>
      </c>
      <c r="AR1077" s="2">
        <v>36</v>
      </c>
      <c r="AS1077" s="16">
        <v>33</v>
      </c>
      <c r="AT1077" s="16">
        <v>31</v>
      </c>
      <c r="AU1077" s="2" t="s">
        <v>661</v>
      </c>
      <c r="AV1077" s="16">
        <f t="shared" si="504"/>
        <v>100</v>
      </c>
      <c r="AW1077" s="20">
        <v>2.71</v>
      </c>
      <c r="AX1077" s="8">
        <f t="shared" si="489"/>
        <v>2.7099999999999999E-2</v>
      </c>
      <c r="AY1077" s="13" t="s">
        <v>395</v>
      </c>
      <c r="AZ1077" s="16">
        <f t="shared" si="506"/>
        <v>20</v>
      </c>
      <c r="BA1077" s="16" t="s">
        <v>55</v>
      </c>
      <c r="BB1077" s="16">
        <v>10</v>
      </c>
      <c r="BC1077" s="16">
        <v>600</v>
      </c>
      <c r="BD1077" s="25">
        <f>(0.0023*1000*92.36)</f>
        <v>212.42799999999997</v>
      </c>
      <c r="BE1077" s="16">
        <f t="shared" si="490"/>
        <v>7838.6715867158664</v>
      </c>
      <c r="BF1077" s="16">
        <f t="shared" si="491"/>
        <v>3.8942424693883257</v>
      </c>
      <c r="BG1077" s="8">
        <f t="shared" si="492"/>
        <v>2.3272117602627316</v>
      </c>
      <c r="BH1077" s="13" t="s">
        <v>870</v>
      </c>
      <c r="BI1077" s="13"/>
      <c r="BJ1077" s="13"/>
      <c r="BK1077" s="13"/>
      <c r="BL1077" s="13"/>
      <c r="BM1077" s="17"/>
      <c r="BN1077" s="17"/>
      <c r="BO1077" s="2"/>
    </row>
    <row r="1078" spans="1:67" s="14" customFormat="1" x14ac:dyDescent="0.3">
      <c r="A1078" s="20">
        <v>1100</v>
      </c>
      <c r="B1078" s="2" t="s">
        <v>719</v>
      </c>
      <c r="C1078" s="2">
        <v>2019</v>
      </c>
      <c r="D1078" s="2" t="s">
        <v>199</v>
      </c>
      <c r="E1078" s="10" t="s">
        <v>807</v>
      </c>
      <c r="F1078" s="20" t="s">
        <v>29</v>
      </c>
      <c r="G1078" s="2" t="s">
        <v>160</v>
      </c>
      <c r="H1078" s="2" t="str">
        <f>'PFAS Properties'!$B$50</f>
        <v>8:2 Cl-PFAES</v>
      </c>
      <c r="I1078" s="2" t="str">
        <f>'PFAS Properties'!$C$50</f>
        <v>PFAES</v>
      </c>
      <c r="J1078" s="2" t="str">
        <f>'PFAS Properties'!$D$50</f>
        <v>C8HClF16O4S</v>
      </c>
      <c r="K1078" s="25">
        <f>'PFAS Properties'!$P$50</f>
        <v>531.90269999999998</v>
      </c>
      <c r="L1078" s="2">
        <f>'PFAS Properties'!$X$50</f>
        <v>0.1</v>
      </c>
      <c r="M1078" s="2" t="str">
        <f>'PFAS Properties'!$Y$50</f>
        <v>-</v>
      </c>
      <c r="N1078" s="33">
        <v>0</v>
      </c>
      <c r="O1078" s="33">
        <v>0</v>
      </c>
      <c r="P1078" s="33">
        <v>0</v>
      </c>
      <c r="Q1078" s="33">
        <f t="shared" si="479"/>
        <v>0.99998004777494953</v>
      </c>
      <c r="R1078" s="33">
        <v>0</v>
      </c>
      <c r="S1078" s="33">
        <f t="shared" si="480"/>
        <v>1.9952225050461341E-5</v>
      </c>
      <c r="T1078" s="8">
        <f t="shared" si="500"/>
        <v>1</v>
      </c>
      <c r="U1078" s="33">
        <f t="shared" si="494"/>
        <v>0</v>
      </c>
      <c r="V1078" s="33">
        <f t="shared" si="495"/>
        <v>-0.99998004777494953</v>
      </c>
      <c r="W1078" s="33">
        <f t="shared" si="496"/>
        <v>530.90271995222508</v>
      </c>
      <c r="X1078" s="33">
        <v>96485</v>
      </c>
      <c r="Y1078" s="16">
        <f t="shared" si="497"/>
        <v>-181.73400000333081</v>
      </c>
      <c r="Z1078" s="16">
        <v>8</v>
      </c>
      <c r="AA1078" s="16">
        <v>16</v>
      </c>
      <c r="AB1078" s="8">
        <f t="shared" si="498"/>
        <v>0.31578947368421051</v>
      </c>
      <c r="AC1078" s="16">
        <f t="shared" si="487"/>
        <v>57.153310182482628</v>
      </c>
      <c r="AD1078" s="20">
        <f>'PFAS Properties'!$W$50</f>
        <v>8</v>
      </c>
      <c r="AE1078" s="8">
        <f>'PFAS Properties'!$S$50</f>
        <v>1.1664301138432827</v>
      </c>
      <c r="AF1078" s="2">
        <f>'PFAS Properties'!$V$50</f>
        <v>5.3</v>
      </c>
      <c r="AG1078" s="24">
        <v>4.8</v>
      </c>
      <c r="AH1078" s="2" t="s">
        <v>661</v>
      </c>
      <c r="AI1078" s="16">
        <f>(62.6*2*55.845)/159.69</f>
        <v>43.783543114784898</v>
      </c>
      <c r="AJ1078" s="16">
        <f t="shared" si="505"/>
        <v>784.01903688396283</v>
      </c>
      <c r="AK1078" s="8">
        <f t="shared" si="501"/>
        <v>4.37835431147849</v>
      </c>
      <c r="AL1078" s="16">
        <f>(3.78*2*26.98)/101.96</f>
        <v>2.0004786190663006</v>
      </c>
      <c r="AM1078" s="16">
        <f t="shared" si="502"/>
        <v>74.146724205570806</v>
      </c>
      <c r="AN1078" s="8">
        <f t="shared" si="503"/>
        <v>0.20004786190663007</v>
      </c>
      <c r="AO1078" s="2" t="s">
        <v>661</v>
      </c>
      <c r="AP1078" s="15">
        <v>7.63</v>
      </c>
      <c r="AQ1078" s="2" t="s">
        <v>661</v>
      </c>
      <c r="AR1078" s="16">
        <v>47</v>
      </c>
      <c r="AS1078" s="16">
        <v>16</v>
      </c>
      <c r="AT1078" s="16">
        <v>37</v>
      </c>
      <c r="AU1078" s="2" t="s">
        <v>661</v>
      </c>
      <c r="AV1078" s="16">
        <f t="shared" si="504"/>
        <v>100</v>
      </c>
      <c r="AW1078" s="20">
        <v>1.46</v>
      </c>
      <c r="AX1078" s="8">
        <f t="shared" si="489"/>
        <v>1.46E-2</v>
      </c>
      <c r="AY1078" s="13" t="s">
        <v>395</v>
      </c>
      <c r="AZ1078" s="16">
        <f t="shared" si="506"/>
        <v>20</v>
      </c>
      <c r="BA1078" s="16" t="s">
        <v>55</v>
      </c>
      <c r="BB1078" s="16">
        <v>10</v>
      </c>
      <c r="BC1078" s="16">
        <v>600</v>
      </c>
      <c r="BD1078" s="25">
        <f>(0.0034*1000*63.27)</f>
        <v>215.11799999999999</v>
      </c>
      <c r="BE1078" s="16">
        <f t="shared" si="490"/>
        <v>14734.109589041096</v>
      </c>
      <c r="BF1078" s="16">
        <f t="shared" si="491"/>
        <v>4.1683238957169673</v>
      </c>
      <c r="BG1078" s="8">
        <f t="shared" si="492"/>
        <v>2.332676751501404</v>
      </c>
      <c r="BH1078" s="13" t="s">
        <v>870</v>
      </c>
      <c r="BI1078" s="13"/>
      <c r="BJ1078" s="13"/>
      <c r="BK1078" s="13"/>
      <c r="BL1078" s="13"/>
      <c r="BM1078" s="17"/>
      <c r="BN1078" s="17"/>
      <c r="BO1078" s="2"/>
    </row>
    <row r="1079" spans="1:67" s="14" customFormat="1" x14ac:dyDescent="0.3">
      <c r="A1079" s="20">
        <v>1101</v>
      </c>
      <c r="B1079" s="2" t="s">
        <v>181</v>
      </c>
      <c r="C1079" s="2">
        <v>2020</v>
      </c>
      <c r="D1079" s="2" t="s">
        <v>203</v>
      </c>
      <c r="E1079" s="10" t="s">
        <v>787</v>
      </c>
      <c r="F1079" s="20" t="s">
        <v>29</v>
      </c>
      <c r="G1079" s="2" t="s">
        <v>57</v>
      </c>
      <c r="H1079" s="2" t="str">
        <f>'PFAS Properties'!$B$50</f>
        <v>8:2 Cl-PFAES</v>
      </c>
      <c r="I1079" s="2" t="str">
        <f>'PFAS Properties'!$C$50</f>
        <v>PFAES</v>
      </c>
      <c r="J1079" s="2" t="str">
        <f>'PFAS Properties'!$D$50</f>
        <v>C8HClF16O4S</v>
      </c>
      <c r="K1079" s="25">
        <f>'PFAS Properties'!$P$50</f>
        <v>531.90269999999998</v>
      </c>
      <c r="L1079" s="2">
        <f>'PFAS Properties'!$X$50</f>
        <v>0.1</v>
      </c>
      <c r="M1079" s="2" t="str">
        <f>'PFAS Properties'!$Y$50</f>
        <v>-</v>
      </c>
      <c r="N1079" s="33">
        <v>0</v>
      </c>
      <c r="O1079" s="33">
        <v>0</v>
      </c>
      <c r="P1079" s="33">
        <v>0</v>
      </c>
      <c r="Q1079" s="33">
        <f t="shared" ref="Q1079:Q1119" si="507">(10^(AG1079-L1079))/(1+(10^(AG1079-L1079)))</f>
        <v>0.99999980047380832</v>
      </c>
      <c r="R1079" s="33">
        <v>0</v>
      </c>
      <c r="S1079" s="33">
        <f t="shared" ref="S1079:S1119" si="508">(1/(1+(10^(AG1079-L1079))))</f>
        <v>1.9952619168617852E-7</v>
      </c>
      <c r="T1079" s="8">
        <f t="shared" ref="T1079:T1087" si="509">SUM(N1079:S1079)</f>
        <v>1</v>
      </c>
      <c r="U1079" s="33">
        <f t="shared" ref="U1079:U1087" si="510">((1*N1079)+(1*O1079)+(1*P1079))</f>
        <v>0</v>
      </c>
      <c r="V1079" s="33">
        <f t="shared" ref="V1079:V1087" si="511">-((1*O1079)+(2*P1079)+(1*Q1079)+(2*R1079))</f>
        <v>-0.99999980047380832</v>
      </c>
      <c r="W1079" s="33">
        <f t="shared" ref="W1079:W1087" si="512">(N1079*(K1079+1))+(O1079*K1079)+(P1079*(K1079-1))+(Q1079*(K1079-1))+(R1079*(K1079-2))+(S1079*K1079)</f>
        <v>530.90270019952618</v>
      </c>
      <c r="X1079" s="33">
        <v>96485</v>
      </c>
      <c r="Y1079" s="16">
        <f t="shared" ref="Y1079:Y1087" si="513">((V1079+U1079)/W1079)*X1079</f>
        <v>-181.73759657363578</v>
      </c>
      <c r="Z1079" s="16">
        <v>8</v>
      </c>
      <c r="AA1079" s="16">
        <v>16</v>
      </c>
      <c r="AB1079" s="8">
        <f t="shared" ref="AB1079:AB1087" si="514">(Z1079/AA1079)*(12/19)</f>
        <v>0.31578947368421051</v>
      </c>
      <c r="AC1079" s="16">
        <f t="shared" si="487"/>
        <v>57.153310182482628</v>
      </c>
      <c r="AD1079" s="20">
        <f>'PFAS Properties'!$W$50</f>
        <v>8</v>
      </c>
      <c r="AE1079" s="8">
        <f>'PFAS Properties'!$S$50</f>
        <v>1.1664301138432827</v>
      </c>
      <c r="AF1079" s="2">
        <f>'PFAS Properties'!$V$50</f>
        <v>5.3</v>
      </c>
      <c r="AG1079" s="24">
        <v>6.8</v>
      </c>
      <c r="AH1079" s="2" t="s">
        <v>183</v>
      </c>
      <c r="AI1079" s="2" t="s">
        <v>661</v>
      </c>
      <c r="AJ1079" s="2" t="s">
        <v>661</v>
      </c>
      <c r="AK1079" s="2" t="s">
        <v>661</v>
      </c>
      <c r="AL1079" s="2" t="s">
        <v>661</v>
      </c>
      <c r="AM1079" s="2" t="s">
        <v>661</v>
      </c>
      <c r="AN1079" s="2" t="s">
        <v>661</v>
      </c>
      <c r="AO1079" s="2" t="s">
        <v>661</v>
      </c>
      <c r="AP1079" s="15">
        <v>7.1</v>
      </c>
      <c r="AQ1079" s="2" t="s">
        <v>661</v>
      </c>
      <c r="AR1079" s="16">
        <v>48.9</v>
      </c>
      <c r="AS1079" s="16">
        <v>27</v>
      </c>
      <c r="AT1079" s="16">
        <v>24.2</v>
      </c>
      <c r="AU1079" s="2" t="s">
        <v>661</v>
      </c>
      <c r="AV1079" s="16">
        <f t="shared" ref="AV1079:AV1087" si="515">SUM(AR1079:AT1079)</f>
        <v>100.10000000000001</v>
      </c>
      <c r="AW1079" s="20">
        <v>0.37</v>
      </c>
      <c r="AX1079" s="8">
        <f t="shared" si="489"/>
        <v>3.7000000000000002E-3</v>
      </c>
      <c r="AY1079" s="13" t="s">
        <v>184</v>
      </c>
      <c r="AZ1079" s="16">
        <v>100</v>
      </c>
      <c r="BA1079" s="16" t="s">
        <v>55</v>
      </c>
      <c r="BB1079" s="16">
        <v>5</v>
      </c>
      <c r="BC1079" s="16" t="s">
        <v>55</v>
      </c>
      <c r="BD1079" s="20">
        <v>147.41</v>
      </c>
      <c r="BE1079" s="16">
        <f t="shared" si="490"/>
        <v>39840.54054054054</v>
      </c>
      <c r="BF1079" s="16">
        <f t="shared" si="491"/>
        <v>4.6003252221256936</v>
      </c>
      <c r="BG1079" s="8">
        <f t="shared" si="492"/>
        <v>2.168526946192689</v>
      </c>
      <c r="BH1079" s="13" t="s">
        <v>345</v>
      </c>
      <c r="BI1079" s="13"/>
      <c r="BJ1079" s="13"/>
      <c r="BK1079" s="13"/>
      <c r="BL1079" s="13"/>
      <c r="BM1079" s="17"/>
      <c r="BN1079" s="17"/>
      <c r="BO1079" s="2"/>
    </row>
    <row r="1080" spans="1:67" s="14" customFormat="1" x14ac:dyDescent="0.3">
      <c r="A1080" s="20">
        <v>1102</v>
      </c>
      <c r="B1080" s="2" t="s">
        <v>181</v>
      </c>
      <c r="C1080" s="2">
        <v>2020</v>
      </c>
      <c r="D1080" s="2" t="s">
        <v>203</v>
      </c>
      <c r="E1080" s="10" t="s">
        <v>787</v>
      </c>
      <c r="F1080" s="20" t="s">
        <v>29</v>
      </c>
      <c r="G1080" s="2" t="s">
        <v>58</v>
      </c>
      <c r="H1080" s="2" t="str">
        <f>'PFAS Properties'!$B$50</f>
        <v>8:2 Cl-PFAES</v>
      </c>
      <c r="I1080" s="2" t="str">
        <f>'PFAS Properties'!$C$50</f>
        <v>PFAES</v>
      </c>
      <c r="J1080" s="2" t="str">
        <f>'PFAS Properties'!$D$50</f>
        <v>C8HClF16O4S</v>
      </c>
      <c r="K1080" s="25">
        <f>'PFAS Properties'!$P$50</f>
        <v>531.90269999999998</v>
      </c>
      <c r="L1080" s="2">
        <f>'PFAS Properties'!$X$50</f>
        <v>0.1</v>
      </c>
      <c r="M1080" s="2" t="str">
        <f>'PFAS Properties'!$Y$50</f>
        <v>-</v>
      </c>
      <c r="N1080" s="33">
        <v>0</v>
      </c>
      <c r="O1080" s="33">
        <v>0</v>
      </c>
      <c r="P1080" s="33">
        <v>0</v>
      </c>
      <c r="Q1080" s="33">
        <f t="shared" si="507"/>
        <v>0.9999992056723962</v>
      </c>
      <c r="R1080" s="33">
        <v>0</v>
      </c>
      <c r="S1080" s="33">
        <f t="shared" si="508"/>
        <v>7.9432760376743655E-7</v>
      </c>
      <c r="T1080" s="8">
        <f t="shared" si="509"/>
        <v>1</v>
      </c>
      <c r="U1080" s="33">
        <f t="shared" si="510"/>
        <v>0</v>
      </c>
      <c r="V1080" s="33">
        <f t="shared" si="511"/>
        <v>-0.9999992056723962</v>
      </c>
      <c r="W1080" s="33">
        <f t="shared" si="512"/>
        <v>530.90270079432753</v>
      </c>
      <c r="X1080" s="33">
        <v>96485</v>
      </c>
      <c r="Y1080" s="16">
        <f t="shared" si="513"/>
        <v>-181.737488272224</v>
      </c>
      <c r="Z1080" s="16">
        <v>8</v>
      </c>
      <c r="AA1080" s="16">
        <v>16</v>
      </c>
      <c r="AB1080" s="8">
        <f t="shared" si="514"/>
        <v>0.31578947368421051</v>
      </c>
      <c r="AC1080" s="16">
        <f t="shared" si="487"/>
        <v>57.153310182482628</v>
      </c>
      <c r="AD1080" s="20">
        <f>'PFAS Properties'!$W$50</f>
        <v>8</v>
      </c>
      <c r="AE1080" s="8">
        <f>'PFAS Properties'!$S$50</f>
        <v>1.1664301138432827</v>
      </c>
      <c r="AF1080" s="2">
        <f>'PFAS Properties'!$V$50</f>
        <v>5.3</v>
      </c>
      <c r="AG1080" s="24">
        <v>6.2</v>
      </c>
      <c r="AH1080" s="2" t="s">
        <v>183</v>
      </c>
      <c r="AI1080" s="2" t="s">
        <v>661</v>
      </c>
      <c r="AJ1080" s="2" t="s">
        <v>661</v>
      </c>
      <c r="AK1080" s="2" t="s">
        <v>661</v>
      </c>
      <c r="AL1080" s="2" t="s">
        <v>661</v>
      </c>
      <c r="AM1080" s="2" t="s">
        <v>661</v>
      </c>
      <c r="AN1080" s="2" t="s">
        <v>661</v>
      </c>
      <c r="AO1080" s="2" t="s">
        <v>661</v>
      </c>
      <c r="AP1080" s="15">
        <v>8</v>
      </c>
      <c r="AQ1080" s="2" t="s">
        <v>661</v>
      </c>
      <c r="AR1080" s="16">
        <v>51.44</v>
      </c>
      <c r="AS1080" s="16">
        <v>10.17</v>
      </c>
      <c r="AT1080" s="16">
        <v>38.380000000000003</v>
      </c>
      <c r="AU1080" s="2" t="s">
        <v>661</v>
      </c>
      <c r="AV1080" s="16">
        <f t="shared" si="515"/>
        <v>99.990000000000009</v>
      </c>
      <c r="AW1080" s="20">
        <v>0.08</v>
      </c>
      <c r="AX1080" s="8">
        <f t="shared" si="489"/>
        <v>8.0000000000000004E-4</v>
      </c>
      <c r="AY1080" s="8" t="s">
        <v>184</v>
      </c>
      <c r="AZ1080" s="16">
        <v>100</v>
      </c>
      <c r="BA1080" s="16" t="s">
        <v>55</v>
      </c>
      <c r="BB1080" s="16">
        <v>5</v>
      </c>
      <c r="BC1080" s="16" t="s">
        <v>55</v>
      </c>
      <c r="BD1080" s="20">
        <v>85.56</v>
      </c>
      <c r="BE1080" s="16">
        <f t="shared" si="490"/>
        <v>106950</v>
      </c>
      <c r="BF1080" s="16">
        <f t="shared" si="491"/>
        <v>5.0291807889075466</v>
      </c>
      <c r="BG1080" s="8">
        <f t="shared" si="492"/>
        <v>1.9322707758994904</v>
      </c>
      <c r="BH1080" s="13" t="s">
        <v>345</v>
      </c>
      <c r="BI1080" s="13"/>
      <c r="BJ1080" s="13"/>
      <c r="BK1080" s="13"/>
      <c r="BL1080" s="13"/>
      <c r="BM1080" s="17"/>
      <c r="BN1080" s="17"/>
      <c r="BO1080" s="2"/>
    </row>
    <row r="1081" spans="1:67" s="14" customFormat="1" x14ac:dyDescent="0.3">
      <c r="A1081" s="20">
        <v>1103</v>
      </c>
      <c r="B1081" s="2" t="s">
        <v>181</v>
      </c>
      <c r="C1081" s="2">
        <v>2020</v>
      </c>
      <c r="D1081" s="2" t="s">
        <v>203</v>
      </c>
      <c r="E1081" s="10" t="s">
        <v>787</v>
      </c>
      <c r="F1081" s="20" t="s">
        <v>29</v>
      </c>
      <c r="G1081" s="2" t="s">
        <v>59</v>
      </c>
      <c r="H1081" s="2" t="str">
        <f>'PFAS Properties'!$B$50</f>
        <v>8:2 Cl-PFAES</v>
      </c>
      <c r="I1081" s="2" t="str">
        <f>'PFAS Properties'!$C$50</f>
        <v>PFAES</v>
      </c>
      <c r="J1081" s="2" t="str">
        <f>'PFAS Properties'!$D$50</f>
        <v>C8HClF16O4S</v>
      </c>
      <c r="K1081" s="25">
        <f>'PFAS Properties'!$P$50</f>
        <v>531.90269999999998</v>
      </c>
      <c r="L1081" s="2">
        <f>'PFAS Properties'!$X$50</f>
        <v>0.1</v>
      </c>
      <c r="M1081" s="2" t="str">
        <f>'PFAS Properties'!$Y$50</f>
        <v>-</v>
      </c>
      <c r="N1081" s="33">
        <v>0</v>
      </c>
      <c r="O1081" s="33">
        <v>0</v>
      </c>
      <c r="P1081" s="33">
        <v>0</v>
      </c>
      <c r="Q1081" s="33">
        <f t="shared" si="507"/>
        <v>0.99999997488113634</v>
      </c>
      <c r="R1081" s="33">
        <v>0</v>
      </c>
      <c r="S1081" s="33">
        <f t="shared" si="508"/>
        <v>2.5118863684138424E-8</v>
      </c>
      <c r="T1081" s="8">
        <f t="shared" si="509"/>
        <v>1</v>
      </c>
      <c r="U1081" s="33">
        <f t="shared" si="510"/>
        <v>0</v>
      </c>
      <c r="V1081" s="33">
        <f t="shared" si="511"/>
        <v>-0.99999997488113634</v>
      </c>
      <c r="W1081" s="33">
        <f t="shared" si="512"/>
        <v>530.90270002511886</v>
      </c>
      <c r="X1081" s="33">
        <v>96485</v>
      </c>
      <c r="Y1081" s="16">
        <f t="shared" si="513"/>
        <v>-181.73762832971352</v>
      </c>
      <c r="Z1081" s="16">
        <v>8</v>
      </c>
      <c r="AA1081" s="16">
        <v>16</v>
      </c>
      <c r="AB1081" s="8">
        <f t="shared" si="514"/>
        <v>0.31578947368421051</v>
      </c>
      <c r="AC1081" s="16">
        <f t="shared" si="487"/>
        <v>57.153310182482628</v>
      </c>
      <c r="AD1081" s="20">
        <f>'PFAS Properties'!$W$50</f>
        <v>8</v>
      </c>
      <c r="AE1081" s="8">
        <f>'PFAS Properties'!$S$50</f>
        <v>1.1664301138432827</v>
      </c>
      <c r="AF1081" s="2">
        <f>'PFAS Properties'!$V$50</f>
        <v>5.3</v>
      </c>
      <c r="AG1081" s="24">
        <v>7.7</v>
      </c>
      <c r="AH1081" s="2" t="s">
        <v>183</v>
      </c>
      <c r="AI1081" s="2" t="s">
        <v>661</v>
      </c>
      <c r="AJ1081" s="2" t="s">
        <v>661</v>
      </c>
      <c r="AK1081" s="2" t="s">
        <v>661</v>
      </c>
      <c r="AL1081" s="2" t="s">
        <v>661</v>
      </c>
      <c r="AM1081" s="2" t="s">
        <v>661</v>
      </c>
      <c r="AN1081" s="2" t="s">
        <v>661</v>
      </c>
      <c r="AO1081" s="2" t="s">
        <v>661</v>
      </c>
      <c r="AP1081" s="15">
        <v>4.8</v>
      </c>
      <c r="AQ1081" s="2" t="s">
        <v>661</v>
      </c>
      <c r="AR1081" s="16">
        <v>46</v>
      </c>
      <c r="AS1081" s="16">
        <v>37</v>
      </c>
      <c r="AT1081" s="16">
        <v>17</v>
      </c>
      <c r="AU1081" s="2" t="s">
        <v>661</v>
      </c>
      <c r="AV1081" s="16">
        <f t="shared" si="515"/>
        <v>100</v>
      </c>
      <c r="AW1081" s="20">
        <v>0.25</v>
      </c>
      <c r="AX1081" s="8">
        <f t="shared" si="489"/>
        <v>2.5000000000000001E-3</v>
      </c>
      <c r="AY1081" s="13" t="s">
        <v>184</v>
      </c>
      <c r="AZ1081" s="16">
        <v>100</v>
      </c>
      <c r="BA1081" s="16" t="s">
        <v>55</v>
      </c>
      <c r="BB1081" s="16">
        <v>5</v>
      </c>
      <c r="BC1081" s="16" t="s">
        <v>55</v>
      </c>
      <c r="BD1081" s="18">
        <v>39.659999999999997</v>
      </c>
      <c r="BE1081" s="16">
        <f t="shared" si="490"/>
        <v>15863.999999999998</v>
      </c>
      <c r="BF1081" s="16">
        <f t="shared" si="491"/>
        <v>4.2004127011972461</v>
      </c>
      <c r="BG1081" s="8">
        <f t="shared" si="492"/>
        <v>1.5983527098692838</v>
      </c>
      <c r="BH1081" s="13" t="s">
        <v>345</v>
      </c>
      <c r="BI1081" s="13"/>
      <c r="BJ1081" s="13"/>
      <c r="BK1081" s="13"/>
      <c r="BL1081" s="13"/>
      <c r="BM1081" s="17"/>
      <c r="BN1081" s="17"/>
      <c r="BO1081" s="2"/>
    </row>
    <row r="1082" spans="1:67" s="14" customFormat="1" x14ac:dyDescent="0.3">
      <c r="A1082" s="20">
        <v>1104</v>
      </c>
      <c r="B1082" s="2" t="s">
        <v>181</v>
      </c>
      <c r="C1082" s="2">
        <v>2020</v>
      </c>
      <c r="D1082" s="2" t="s">
        <v>203</v>
      </c>
      <c r="E1082" s="10" t="s">
        <v>787</v>
      </c>
      <c r="F1082" s="20" t="s">
        <v>29</v>
      </c>
      <c r="G1082" s="2" t="s">
        <v>61</v>
      </c>
      <c r="H1082" s="2" t="str">
        <f>'PFAS Properties'!$B$50</f>
        <v>8:2 Cl-PFAES</v>
      </c>
      <c r="I1082" s="2" t="str">
        <f>'PFAS Properties'!$C$50</f>
        <v>PFAES</v>
      </c>
      <c r="J1082" s="2" t="str">
        <f>'PFAS Properties'!$D$50</f>
        <v>C8HClF16O4S</v>
      </c>
      <c r="K1082" s="25">
        <f>'PFAS Properties'!$P$50</f>
        <v>531.90269999999998</v>
      </c>
      <c r="L1082" s="2">
        <f>'PFAS Properties'!$X$50</f>
        <v>0.1</v>
      </c>
      <c r="M1082" s="2" t="str">
        <f>'PFAS Properties'!$Y$50</f>
        <v>-</v>
      </c>
      <c r="N1082" s="33">
        <v>0</v>
      </c>
      <c r="O1082" s="33">
        <v>0</v>
      </c>
      <c r="P1082" s="33">
        <v>0</v>
      </c>
      <c r="Q1082" s="33">
        <f t="shared" si="507"/>
        <v>0.99999994988127916</v>
      </c>
      <c r="R1082" s="33">
        <v>0</v>
      </c>
      <c r="S1082" s="33">
        <f t="shared" si="508"/>
        <v>5.0118720850840682E-8</v>
      </c>
      <c r="T1082" s="8">
        <f t="shared" si="509"/>
        <v>1</v>
      </c>
      <c r="U1082" s="33">
        <f t="shared" si="510"/>
        <v>0</v>
      </c>
      <c r="V1082" s="33">
        <f t="shared" si="511"/>
        <v>-0.99999994988127916</v>
      </c>
      <c r="W1082" s="33">
        <f t="shared" si="512"/>
        <v>530.90270005011871</v>
      </c>
      <c r="X1082" s="33">
        <v>96485</v>
      </c>
      <c r="Y1082" s="16">
        <f t="shared" si="513"/>
        <v>-181.73762377774077</v>
      </c>
      <c r="Z1082" s="16">
        <v>8</v>
      </c>
      <c r="AA1082" s="16">
        <v>16</v>
      </c>
      <c r="AB1082" s="8">
        <f t="shared" si="514"/>
        <v>0.31578947368421051</v>
      </c>
      <c r="AC1082" s="16">
        <f t="shared" si="487"/>
        <v>57.153310182482628</v>
      </c>
      <c r="AD1082" s="20">
        <f>'PFAS Properties'!$W$50</f>
        <v>8</v>
      </c>
      <c r="AE1082" s="8">
        <f>'PFAS Properties'!$S$50</f>
        <v>1.1664301138432827</v>
      </c>
      <c r="AF1082" s="2">
        <f>'PFAS Properties'!$V$50</f>
        <v>5.3</v>
      </c>
      <c r="AG1082" s="24">
        <v>7.4</v>
      </c>
      <c r="AH1082" s="2" t="s">
        <v>183</v>
      </c>
      <c r="AI1082" s="2" t="s">
        <v>661</v>
      </c>
      <c r="AJ1082" s="2" t="s">
        <v>661</v>
      </c>
      <c r="AK1082" s="2" t="s">
        <v>661</v>
      </c>
      <c r="AL1082" s="2" t="s">
        <v>661</v>
      </c>
      <c r="AM1082" s="2" t="s">
        <v>661</v>
      </c>
      <c r="AN1082" s="2" t="s">
        <v>661</v>
      </c>
      <c r="AO1082" s="2" t="s">
        <v>661</v>
      </c>
      <c r="AP1082" s="15">
        <v>29.6</v>
      </c>
      <c r="AQ1082" s="2" t="s">
        <v>661</v>
      </c>
      <c r="AR1082" s="16">
        <v>39.799999999999997</v>
      </c>
      <c r="AS1082" s="16">
        <v>7.7</v>
      </c>
      <c r="AT1082" s="16">
        <v>52.5</v>
      </c>
      <c r="AU1082" s="2" t="s">
        <v>661</v>
      </c>
      <c r="AV1082" s="16">
        <f t="shared" si="515"/>
        <v>100</v>
      </c>
      <c r="AW1082" s="20">
        <v>2.23</v>
      </c>
      <c r="AX1082" s="8">
        <f t="shared" si="489"/>
        <v>2.23E-2</v>
      </c>
      <c r="AY1082" s="8" t="s">
        <v>184</v>
      </c>
      <c r="AZ1082" s="16">
        <v>100</v>
      </c>
      <c r="BA1082" s="16" t="s">
        <v>55</v>
      </c>
      <c r="BB1082" s="16">
        <v>5</v>
      </c>
      <c r="BC1082" s="16" t="s">
        <v>55</v>
      </c>
      <c r="BD1082" s="20">
        <v>117.1</v>
      </c>
      <c r="BE1082" s="16">
        <f t="shared" si="490"/>
        <v>5251.1210762331839</v>
      </c>
      <c r="BF1082" s="16">
        <f t="shared" si="491"/>
        <v>3.7202520320242023</v>
      </c>
      <c r="BG1082" s="8">
        <f t="shared" si="492"/>
        <v>2.068556895072363</v>
      </c>
      <c r="BH1082" s="13" t="s">
        <v>345</v>
      </c>
      <c r="BI1082" s="13"/>
      <c r="BJ1082" s="13"/>
      <c r="BK1082" s="13"/>
      <c r="BL1082" s="13"/>
      <c r="BM1082" s="17"/>
      <c r="BN1082" s="17"/>
      <c r="BO1082" s="2"/>
    </row>
    <row r="1083" spans="1:67" s="14" customFormat="1" x14ac:dyDescent="0.3">
      <c r="A1083" s="20">
        <v>1105</v>
      </c>
      <c r="B1083" s="2" t="s">
        <v>181</v>
      </c>
      <c r="C1083" s="2">
        <v>2020</v>
      </c>
      <c r="D1083" s="2" t="s">
        <v>203</v>
      </c>
      <c r="E1083" s="10" t="s">
        <v>787</v>
      </c>
      <c r="F1083" s="20" t="s">
        <v>29</v>
      </c>
      <c r="G1083" s="2" t="s">
        <v>60</v>
      </c>
      <c r="H1083" s="2" t="str">
        <f>'PFAS Properties'!$B$50</f>
        <v>8:2 Cl-PFAES</v>
      </c>
      <c r="I1083" s="2" t="str">
        <f>'PFAS Properties'!$C$50</f>
        <v>PFAES</v>
      </c>
      <c r="J1083" s="2" t="str">
        <f>'PFAS Properties'!$D$50</f>
        <v>C8HClF16O4S</v>
      </c>
      <c r="K1083" s="25">
        <f>'PFAS Properties'!$P$50</f>
        <v>531.90269999999998</v>
      </c>
      <c r="L1083" s="2">
        <f>'PFAS Properties'!$X$50</f>
        <v>0.1</v>
      </c>
      <c r="M1083" s="2" t="str">
        <f>'PFAS Properties'!$Y$50</f>
        <v>-</v>
      </c>
      <c r="N1083" s="33">
        <v>0</v>
      </c>
      <c r="O1083" s="33">
        <v>0</v>
      </c>
      <c r="P1083" s="33">
        <v>0</v>
      </c>
      <c r="Q1083" s="33">
        <f t="shared" si="507"/>
        <v>0.99999997488113634</v>
      </c>
      <c r="R1083" s="33">
        <v>0</v>
      </c>
      <c r="S1083" s="33">
        <f t="shared" si="508"/>
        <v>2.5118863684138424E-8</v>
      </c>
      <c r="T1083" s="8">
        <f t="shared" si="509"/>
        <v>1</v>
      </c>
      <c r="U1083" s="33">
        <f t="shared" si="510"/>
        <v>0</v>
      </c>
      <c r="V1083" s="33">
        <f t="shared" si="511"/>
        <v>-0.99999997488113634</v>
      </c>
      <c r="W1083" s="33">
        <f t="shared" si="512"/>
        <v>530.90270002511886</v>
      </c>
      <c r="X1083" s="33">
        <v>96485</v>
      </c>
      <c r="Y1083" s="16">
        <f t="shared" si="513"/>
        <v>-181.73762832971352</v>
      </c>
      <c r="Z1083" s="16">
        <v>8</v>
      </c>
      <c r="AA1083" s="16">
        <v>16</v>
      </c>
      <c r="AB1083" s="8">
        <f t="shared" si="514"/>
        <v>0.31578947368421051</v>
      </c>
      <c r="AC1083" s="16">
        <f t="shared" si="487"/>
        <v>57.153310182482628</v>
      </c>
      <c r="AD1083" s="20">
        <f>'PFAS Properties'!$W$50</f>
        <v>8</v>
      </c>
      <c r="AE1083" s="8">
        <f>'PFAS Properties'!$S$50</f>
        <v>1.1664301138432827</v>
      </c>
      <c r="AF1083" s="2">
        <f>'PFAS Properties'!$V$50</f>
        <v>5.3</v>
      </c>
      <c r="AG1083" s="24">
        <v>7.7</v>
      </c>
      <c r="AH1083" s="2" t="s">
        <v>183</v>
      </c>
      <c r="AI1083" s="2" t="s">
        <v>661</v>
      </c>
      <c r="AJ1083" s="2" t="s">
        <v>661</v>
      </c>
      <c r="AK1083" s="2" t="s">
        <v>661</v>
      </c>
      <c r="AL1083" s="2" t="s">
        <v>661</v>
      </c>
      <c r="AM1083" s="2" t="s">
        <v>661</v>
      </c>
      <c r="AN1083" s="2" t="s">
        <v>661</v>
      </c>
      <c r="AO1083" s="2" t="s">
        <v>661</v>
      </c>
      <c r="AP1083" s="15">
        <v>21.63</v>
      </c>
      <c r="AQ1083" s="2" t="s">
        <v>661</v>
      </c>
      <c r="AR1083" s="16">
        <v>70</v>
      </c>
      <c r="AS1083" s="16">
        <v>11</v>
      </c>
      <c r="AT1083" s="16">
        <v>19</v>
      </c>
      <c r="AU1083" s="2" t="s">
        <v>661</v>
      </c>
      <c r="AV1083" s="16">
        <f t="shared" si="515"/>
        <v>100</v>
      </c>
      <c r="AW1083" s="20">
        <v>4.9000000000000004</v>
      </c>
      <c r="AX1083" s="8">
        <f t="shared" si="489"/>
        <v>4.9000000000000002E-2</v>
      </c>
      <c r="AY1083" s="8" t="s">
        <v>184</v>
      </c>
      <c r="AZ1083" s="16">
        <v>100</v>
      </c>
      <c r="BA1083" s="16" t="s">
        <v>55</v>
      </c>
      <c r="BB1083" s="16">
        <v>5</v>
      </c>
      <c r="BC1083" s="16" t="s">
        <v>55</v>
      </c>
      <c r="BD1083" s="20">
        <v>307.52999999999997</v>
      </c>
      <c r="BE1083" s="16">
        <f t="shared" si="490"/>
        <v>6276.1224489795914</v>
      </c>
      <c r="BF1083" s="16">
        <f t="shared" si="491"/>
        <v>3.7976914082095741</v>
      </c>
      <c r="BG1083" s="8">
        <f t="shared" si="492"/>
        <v>2.4878874882380875</v>
      </c>
      <c r="BH1083" s="13" t="s">
        <v>345</v>
      </c>
      <c r="BI1083" s="13"/>
      <c r="BJ1083" s="13"/>
      <c r="BK1083" s="13"/>
      <c r="BL1083" s="13"/>
      <c r="BM1083" s="17"/>
      <c r="BN1083" s="17"/>
      <c r="BO1083" s="2"/>
    </row>
    <row r="1084" spans="1:67" s="14" customFormat="1" x14ac:dyDescent="0.3">
      <c r="A1084" s="20">
        <v>1106</v>
      </c>
      <c r="B1084" s="2" t="s">
        <v>181</v>
      </c>
      <c r="C1084" s="2">
        <v>2020</v>
      </c>
      <c r="D1084" s="2" t="s">
        <v>203</v>
      </c>
      <c r="E1084" s="10" t="s">
        <v>787</v>
      </c>
      <c r="F1084" s="20" t="s">
        <v>29</v>
      </c>
      <c r="G1084" s="2" t="s">
        <v>77</v>
      </c>
      <c r="H1084" s="2" t="str">
        <f>'PFAS Properties'!$B$50</f>
        <v>8:2 Cl-PFAES</v>
      </c>
      <c r="I1084" s="2" t="str">
        <f>'PFAS Properties'!$C$50</f>
        <v>PFAES</v>
      </c>
      <c r="J1084" s="2" t="str">
        <f>'PFAS Properties'!$D$50</f>
        <v>C8HClF16O4S</v>
      </c>
      <c r="K1084" s="25">
        <f>'PFAS Properties'!$P$50</f>
        <v>531.90269999999998</v>
      </c>
      <c r="L1084" s="2">
        <f>'PFAS Properties'!$X$50</f>
        <v>0.1</v>
      </c>
      <c r="M1084" s="2" t="str">
        <f>'PFAS Properties'!$Y$50</f>
        <v>-</v>
      </c>
      <c r="N1084" s="33">
        <v>0</v>
      </c>
      <c r="O1084" s="33">
        <v>0</v>
      </c>
      <c r="P1084" s="33">
        <v>0</v>
      </c>
      <c r="Q1084" s="33">
        <f t="shared" si="507"/>
        <v>0.99999997488113634</v>
      </c>
      <c r="R1084" s="33">
        <v>0</v>
      </c>
      <c r="S1084" s="33">
        <f t="shared" si="508"/>
        <v>2.5118863684138424E-8</v>
      </c>
      <c r="T1084" s="8">
        <f t="shared" si="509"/>
        <v>1</v>
      </c>
      <c r="U1084" s="33">
        <f t="shared" si="510"/>
        <v>0</v>
      </c>
      <c r="V1084" s="33">
        <f t="shared" si="511"/>
        <v>-0.99999997488113634</v>
      </c>
      <c r="W1084" s="33">
        <f t="shared" si="512"/>
        <v>530.90270002511886</v>
      </c>
      <c r="X1084" s="33">
        <v>96485</v>
      </c>
      <c r="Y1084" s="16">
        <f t="shared" si="513"/>
        <v>-181.73762832971352</v>
      </c>
      <c r="Z1084" s="16">
        <v>8</v>
      </c>
      <c r="AA1084" s="16">
        <v>16</v>
      </c>
      <c r="AB1084" s="8">
        <f t="shared" si="514"/>
        <v>0.31578947368421051</v>
      </c>
      <c r="AC1084" s="16">
        <f t="shared" si="487"/>
        <v>57.153310182482628</v>
      </c>
      <c r="AD1084" s="20">
        <f>'PFAS Properties'!$W$50</f>
        <v>8</v>
      </c>
      <c r="AE1084" s="8">
        <f>'PFAS Properties'!$S$50</f>
        <v>1.1664301138432827</v>
      </c>
      <c r="AF1084" s="2">
        <f>'PFAS Properties'!$V$50</f>
        <v>5.3</v>
      </c>
      <c r="AG1084" s="24">
        <v>7.7</v>
      </c>
      <c r="AH1084" s="2" t="s">
        <v>183</v>
      </c>
      <c r="AI1084" s="2" t="s">
        <v>661</v>
      </c>
      <c r="AJ1084" s="2" t="s">
        <v>661</v>
      </c>
      <c r="AK1084" s="2" t="s">
        <v>661</v>
      </c>
      <c r="AL1084" s="2" t="s">
        <v>661</v>
      </c>
      <c r="AM1084" s="2" t="s">
        <v>661</v>
      </c>
      <c r="AN1084" s="2" t="s">
        <v>661</v>
      </c>
      <c r="AO1084" s="2" t="s">
        <v>661</v>
      </c>
      <c r="AP1084" s="15">
        <v>7.8</v>
      </c>
      <c r="AQ1084" s="2" t="s">
        <v>661</v>
      </c>
      <c r="AR1084" s="16">
        <v>48.9</v>
      </c>
      <c r="AS1084" s="16">
        <v>32.6</v>
      </c>
      <c r="AT1084" s="16">
        <v>18.5</v>
      </c>
      <c r="AU1084" s="2" t="s">
        <v>661</v>
      </c>
      <c r="AV1084" s="16">
        <f t="shared" si="515"/>
        <v>100</v>
      </c>
      <c r="AW1084" s="20">
        <v>0.13</v>
      </c>
      <c r="AX1084" s="8">
        <f t="shared" si="489"/>
        <v>1.2999999999999999E-3</v>
      </c>
      <c r="AY1084" s="8" t="s">
        <v>184</v>
      </c>
      <c r="AZ1084" s="16">
        <v>100</v>
      </c>
      <c r="BA1084" s="16" t="s">
        <v>55</v>
      </c>
      <c r="BB1084" s="16">
        <v>5</v>
      </c>
      <c r="BC1084" s="16" t="s">
        <v>55</v>
      </c>
      <c r="BD1084" s="20">
        <v>4.09</v>
      </c>
      <c r="BE1084" s="16">
        <f t="shared" si="490"/>
        <v>3146.1538461538462</v>
      </c>
      <c r="BF1084" s="16">
        <f t="shared" si="491"/>
        <v>3.4977799557005049</v>
      </c>
      <c r="BG1084" s="8">
        <f t="shared" si="492"/>
        <v>0.61172330800734176</v>
      </c>
      <c r="BH1084" s="13" t="s">
        <v>345</v>
      </c>
      <c r="BI1084" s="13"/>
      <c r="BJ1084" s="13"/>
      <c r="BK1084" s="13"/>
      <c r="BL1084" s="13"/>
      <c r="BM1084" s="17"/>
      <c r="BN1084" s="17"/>
      <c r="BO1084" s="2"/>
    </row>
    <row r="1085" spans="1:67" s="14" customFormat="1" x14ac:dyDescent="0.3">
      <c r="A1085" s="20">
        <v>1107</v>
      </c>
      <c r="B1085" s="2" t="s">
        <v>181</v>
      </c>
      <c r="C1085" s="2">
        <v>2020</v>
      </c>
      <c r="D1085" s="2" t="s">
        <v>203</v>
      </c>
      <c r="E1085" s="10" t="s">
        <v>787</v>
      </c>
      <c r="F1085" s="20" t="s">
        <v>29</v>
      </c>
      <c r="G1085" s="2" t="s">
        <v>182</v>
      </c>
      <c r="H1085" s="2" t="str">
        <f>'PFAS Properties'!$B$50</f>
        <v>8:2 Cl-PFAES</v>
      </c>
      <c r="I1085" s="2" t="str">
        <f>'PFAS Properties'!$C$50</f>
        <v>PFAES</v>
      </c>
      <c r="J1085" s="2" t="str">
        <f>'PFAS Properties'!$D$50</f>
        <v>C8HClF16O4S</v>
      </c>
      <c r="K1085" s="25">
        <f>'PFAS Properties'!$P$50</f>
        <v>531.90269999999998</v>
      </c>
      <c r="L1085" s="2">
        <f>'PFAS Properties'!$X$50</f>
        <v>0.1</v>
      </c>
      <c r="M1085" s="2" t="str">
        <f>'PFAS Properties'!$Y$50</f>
        <v>-</v>
      </c>
      <c r="N1085" s="33">
        <v>0</v>
      </c>
      <c r="O1085" s="33">
        <v>0</v>
      </c>
      <c r="P1085" s="33">
        <v>0</v>
      </c>
      <c r="Q1085" s="33">
        <f t="shared" si="507"/>
        <v>0.9999999601892845</v>
      </c>
      <c r="R1085" s="33">
        <v>0</v>
      </c>
      <c r="S1085" s="33">
        <f t="shared" si="508"/>
        <v>3.9810715470456442E-8</v>
      </c>
      <c r="T1085" s="8">
        <f t="shared" si="509"/>
        <v>1</v>
      </c>
      <c r="U1085" s="33">
        <f t="shared" si="510"/>
        <v>0</v>
      </c>
      <c r="V1085" s="33">
        <f t="shared" si="511"/>
        <v>-0.9999999601892845</v>
      </c>
      <c r="W1085" s="33">
        <f t="shared" si="512"/>
        <v>530.90270003981072</v>
      </c>
      <c r="X1085" s="33">
        <v>96485</v>
      </c>
      <c r="Y1085" s="16">
        <f t="shared" si="513"/>
        <v>-181.73762565462184</v>
      </c>
      <c r="Z1085" s="16">
        <v>8</v>
      </c>
      <c r="AA1085" s="16">
        <v>16</v>
      </c>
      <c r="AB1085" s="8">
        <f t="shared" si="514"/>
        <v>0.31578947368421051</v>
      </c>
      <c r="AC1085" s="16">
        <f t="shared" si="487"/>
        <v>57.153310182482628</v>
      </c>
      <c r="AD1085" s="20">
        <f>'PFAS Properties'!$W$50</f>
        <v>8</v>
      </c>
      <c r="AE1085" s="8">
        <f>'PFAS Properties'!$S$50</f>
        <v>1.1664301138432827</v>
      </c>
      <c r="AF1085" s="2">
        <f>'PFAS Properties'!$V$50</f>
        <v>5.3</v>
      </c>
      <c r="AG1085" s="24">
        <v>7.5</v>
      </c>
      <c r="AH1085" s="2" t="s">
        <v>183</v>
      </c>
      <c r="AI1085" s="2" t="s">
        <v>661</v>
      </c>
      <c r="AJ1085" s="2" t="s">
        <v>661</v>
      </c>
      <c r="AK1085" s="2" t="s">
        <v>661</v>
      </c>
      <c r="AL1085" s="2" t="s">
        <v>661</v>
      </c>
      <c r="AM1085" s="2" t="s">
        <v>661</v>
      </c>
      <c r="AN1085" s="2" t="s">
        <v>661</v>
      </c>
      <c r="AO1085" s="2" t="s">
        <v>661</v>
      </c>
      <c r="AP1085" s="15">
        <v>2.2799999999999998</v>
      </c>
      <c r="AQ1085" s="2" t="s">
        <v>661</v>
      </c>
      <c r="AR1085" s="16">
        <v>93</v>
      </c>
      <c r="AS1085" s="16">
        <v>1</v>
      </c>
      <c r="AT1085" s="16">
        <v>5</v>
      </c>
      <c r="AU1085" s="2" t="s">
        <v>661</v>
      </c>
      <c r="AV1085" s="16">
        <f t="shared" si="515"/>
        <v>99</v>
      </c>
      <c r="AW1085" s="20">
        <v>0.4</v>
      </c>
      <c r="AX1085" s="8">
        <f t="shared" si="489"/>
        <v>4.0000000000000001E-3</v>
      </c>
      <c r="AY1085" s="8" t="s">
        <v>184</v>
      </c>
      <c r="AZ1085" s="16">
        <v>100</v>
      </c>
      <c r="BA1085" s="16" t="s">
        <v>55</v>
      </c>
      <c r="BB1085" s="16">
        <v>5</v>
      </c>
      <c r="BC1085" s="16" t="s">
        <v>55</v>
      </c>
      <c r="BD1085" s="20">
        <v>68.25</v>
      </c>
      <c r="BE1085" s="16">
        <f t="shared" si="490"/>
        <v>17062.5</v>
      </c>
      <c r="BF1085" s="16">
        <f t="shared" si="491"/>
        <v>4.2320426643848315</v>
      </c>
      <c r="BG1085" s="8">
        <f t="shared" si="492"/>
        <v>1.8341026557127937</v>
      </c>
      <c r="BH1085" s="13" t="s">
        <v>345</v>
      </c>
      <c r="BI1085" s="13"/>
      <c r="BJ1085" s="13"/>
      <c r="BK1085" s="13"/>
      <c r="BL1085" s="13"/>
      <c r="BM1085" s="17"/>
      <c r="BN1085" s="17"/>
      <c r="BO1085" s="2"/>
    </row>
    <row r="1086" spans="1:67" s="14" customFormat="1" x14ac:dyDescent="0.3">
      <c r="A1086" s="20">
        <v>1108</v>
      </c>
      <c r="B1086" s="2" t="s">
        <v>181</v>
      </c>
      <c r="C1086" s="2">
        <v>2020</v>
      </c>
      <c r="D1086" s="2" t="s">
        <v>203</v>
      </c>
      <c r="E1086" s="10" t="s">
        <v>787</v>
      </c>
      <c r="F1086" s="20" t="s">
        <v>29</v>
      </c>
      <c r="G1086" s="2" t="s">
        <v>78</v>
      </c>
      <c r="H1086" s="2" t="str">
        <f>'PFAS Properties'!$B$50</f>
        <v>8:2 Cl-PFAES</v>
      </c>
      <c r="I1086" s="2" t="str">
        <f>'PFAS Properties'!$C$50</f>
        <v>PFAES</v>
      </c>
      <c r="J1086" s="2" t="str">
        <f>'PFAS Properties'!$D$50</f>
        <v>C8HClF16O4S</v>
      </c>
      <c r="K1086" s="25">
        <f>'PFAS Properties'!$P$50</f>
        <v>531.90269999999998</v>
      </c>
      <c r="L1086" s="2">
        <f>'PFAS Properties'!$X$50</f>
        <v>0.1</v>
      </c>
      <c r="M1086" s="2" t="str">
        <f>'PFAS Properties'!$Y$50</f>
        <v>-</v>
      </c>
      <c r="N1086" s="33">
        <v>0</v>
      </c>
      <c r="O1086" s="33">
        <v>0</v>
      </c>
      <c r="P1086" s="33">
        <v>0</v>
      </c>
      <c r="Q1086" s="33">
        <f t="shared" si="507"/>
        <v>0.99999990000001004</v>
      </c>
      <c r="R1086" s="33">
        <v>0</v>
      </c>
      <c r="S1086" s="33">
        <f t="shared" si="508"/>
        <v>9.9999990000001005E-8</v>
      </c>
      <c r="T1086" s="8">
        <f t="shared" si="509"/>
        <v>1</v>
      </c>
      <c r="U1086" s="33">
        <f t="shared" si="510"/>
        <v>0</v>
      </c>
      <c r="V1086" s="33">
        <f t="shared" si="511"/>
        <v>-0.99999990000001004</v>
      </c>
      <c r="W1086" s="33">
        <f t="shared" si="512"/>
        <v>530.90270009999995</v>
      </c>
      <c r="X1086" s="33">
        <v>96485</v>
      </c>
      <c r="Y1086" s="16">
        <f t="shared" si="513"/>
        <v>-181.73761469536174</v>
      </c>
      <c r="Z1086" s="16">
        <v>8</v>
      </c>
      <c r="AA1086" s="16">
        <v>16</v>
      </c>
      <c r="AB1086" s="8">
        <f t="shared" si="514"/>
        <v>0.31578947368421051</v>
      </c>
      <c r="AC1086" s="16">
        <f t="shared" si="487"/>
        <v>57.153310182482628</v>
      </c>
      <c r="AD1086" s="20">
        <f>'PFAS Properties'!$W$50</f>
        <v>8</v>
      </c>
      <c r="AE1086" s="8">
        <f>'PFAS Properties'!$S$50</f>
        <v>1.1664301138432827</v>
      </c>
      <c r="AF1086" s="2">
        <f>'PFAS Properties'!$V$50</f>
        <v>5.3</v>
      </c>
      <c r="AG1086" s="24">
        <v>7.1</v>
      </c>
      <c r="AH1086" s="2" t="s">
        <v>183</v>
      </c>
      <c r="AI1086" s="2" t="s">
        <v>661</v>
      </c>
      <c r="AJ1086" s="2" t="s">
        <v>661</v>
      </c>
      <c r="AK1086" s="2" t="s">
        <v>661</v>
      </c>
      <c r="AL1086" s="2" t="s">
        <v>661</v>
      </c>
      <c r="AM1086" s="2" t="s">
        <v>661</v>
      </c>
      <c r="AN1086" s="2" t="s">
        <v>661</v>
      </c>
      <c r="AO1086" s="2" t="s">
        <v>661</v>
      </c>
      <c r="AP1086" s="15">
        <v>17.420000000000002</v>
      </c>
      <c r="AQ1086" s="2" t="s">
        <v>661</v>
      </c>
      <c r="AR1086" s="16">
        <v>48.86</v>
      </c>
      <c r="AS1086" s="16">
        <v>16.05</v>
      </c>
      <c r="AT1086" s="16">
        <v>35.090000000000003</v>
      </c>
      <c r="AU1086" s="2" t="s">
        <v>661</v>
      </c>
      <c r="AV1086" s="16">
        <f t="shared" si="515"/>
        <v>100</v>
      </c>
      <c r="AW1086" s="20">
        <v>1.19</v>
      </c>
      <c r="AX1086" s="8">
        <f t="shared" si="489"/>
        <v>1.1899999999999999E-2</v>
      </c>
      <c r="AY1086" s="8" t="s">
        <v>184</v>
      </c>
      <c r="AZ1086" s="16">
        <v>100</v>
      </c>
      <c r="BA1086" s="16" t="s">
        <v>55</v>
      </c>
      <c r="BB1086" s="16">
        <v>5</v>
      </c>
      <c r="BC1086" s="16" t="s">
        <v>55</v>
      </c>
      <c r="BD1086" s="20">
        <v>103.84</v>
      </c>
      <c r="BE1086" s="16">
        <f t="shared" si="490"/>
        <v>8726.0504201680687</v>
      </c>
      <c r="BF1086" s="16">
        <f t="shared" si="491"/>
        <v>3.9408177180637631</v>
      </c>
      <c r="BG1086" s="8">
        <f t="shared" si="492"/>
        <v>2.0163646794562942</v>
      </c>
      <c r="BH1086" s="13" t="s">
        <v>345</v>
      </c>
      <c r="BI1086" s="13"/>
      <c r="BJ1086" s="13"/>
      <c r="BK1086" s="13"/>
      <c r="BL1086" s="13"/>
      <c r="BM1086" s="17"/>
      <c r="BN1086" s="17"/>
      <c r="BO1086" s="2"/>
    </row>
    <row r="1087" spans="1:67" s="14" customFormat="1" x14ac:dyDescent="0.3">
      <c r="A1087" s="20">
        <v>1109</v>
      </c>
      <c r="B1087" s="2" t="s">
        <v>181</v>
      </c>
      <c r="C1087" s="2">
        <v>2020</v>
      </c>
      <c r="D1087" s="2" t="s">
        <v>203</v>
      </c>
      <c r="E1087" s="10" t="s">
        <v>787</v>
      </c>
      <c r="F1087" s="20" t="s">
        <v>29</v>
      </c>
      <c r="G1087" s="2" t="s">
        <v>98</v>
      </c>
      <c r="H1087" s="2" t="str">
        <f>'PFAS Properties'!$B$50</f>
        <v>8:2 Cl-PFAES</v>
      </c>
      <c r="I1087" s="2" t="str">
        <f>'PFAS Properties'!$C$50</f>
        <v>PFAES</v>
      </c>
      <c r="J1087" s="2" t="str">
        <f>'PFAS Properties'!$D$50</f>
        <v>C8HClF16O4S</v>
      </c>
      <c r="K1087" s="25">
        <f>'PFAS Properties'!$P$50</f>
        <v>531.90269999999998</v>
      </c>
      <c r="L1087" s="2">
        <f>'PFAS Properties'!$X$50</f>
        <v>0.1</v>
      </c>
      <c r="M1087" s="2" t="str">
        <f>'PFAS Properties'!$Y$50</f>
        <v>-</v>
      </c>
      <c r="N1087" s="33">
        <v>0</v>
      </c>
      <c r="O1087" s="33">
        <v>0</v>
      </c>
      <c r="P1087" s="33">
        <v>0</v>
      </c>
      <c r="Q1087" s="33">
        <f t="shared" si="507"/>
        <v>0.99999949881301753</v>
      </c>
      <c r="R1087" s="33">
        <v>0</v>
      </c>
      <c r="S1087" s="33">
        <f t="shared" si="508"/>
        <v>5.0118698243875318E-7</v>
      </c>
      <c r="T1087" s="8">
        <f t="shared" si="509"/>
        <v>1</v>
      </c>
      <c r="U1087" s="33">
        <f t="shared" si="510"/>
        <v>0</v>
      </c>
      <c r="V1087" s="33">
        <f t="shared" si="511"/>
        <v>-0.99999949881301753</v>
      </c>
      <c r="W1087" s="33">
        <f t="shared" si="512"/>
        <v>530.90270050118693</v>
      </c>
      <c r="X1087" s="33">
        <v>96485</v>
      </c>
      <c r="Y1087" s="16">
        <f t="shared" si="513"/>
        <v>-181.73754164725386</v>
      </c>
      <c r="Z1087" s="16">
        <v>8</v>
      </c>
      <c r="AA1087" s="16">
        <v>16</v>
      </c>
      <c r="AB1087" s="8">
        <f t="shared" si="514"/>
        <v>0.31578947368421051</v>
      </c>
      <c r="AC1087" s="16">
        <f t="shared" si="487"/>
        <v>57.153310182482628</v>
      </c>
      <c r="AD1087" s="20">
        <f>'PFAS Properties'!$W$50</f>
        <v>8</v>
      </c>
      <c r="AE1087" s="8">
        <f>'PFAS Properties'!$S$50</f>
        <v>1.1664301138432827</v>
      </c>
      <c r="AF1087" s="2">
        <f>'PFAS Properties'!$V$50</f>
        <v>5.3</v>
      </c>
      <c r="AG1087" s="24">
        <v>6.4</v>
      </c>
      <c r="AH1087" s="2" t="s">
        <v>183</v>
      </c>
      <c r="AI1087" s="2" t="s">
        <v>661</v>
      </c>
      <c r="AJ1087" s="15" t="s">
        <v>661</v>
      </c>
      <c r="AK1087" s="8" t="s">
        <v>661</v>
      </c>
      <c r="AL1087" s="2" t="s">
        <v>661</v>
      </c>
      <c r="AM1087" s="15" t="s">
        <v>661</v>
      </c>
      <c r="AN1087" s="8" t="s">
        <v>661</v>
      </c>
      <c r="AO1087" s="15" t="s">
        <v>661</v>
      </c>
      <c r="AP1087" s="15">
        <v>16.54</v>
      </c>
      <c r="AQ1087" s="13" t="s">
        <v>661</v>
      </c>
      <c r="AR1087" s="16">
        <v>29.38</v>
      </c>
      <c r="AS1087" s="16">
        <v>13.9</v>
      </c>
      <c r="AT1087" s="16">
        <v>56.71</v>
      </c>
      <c r="AU1087" s="15" t="s">
        <v>661</v>
      </c>
      <c r="AV1087" s="16">
        <f t="shared" si="515"/>
        <v>99.990000000000009</v>
      </c>
      <c r="AW1087" s="20">
        <v>0.17</v>
      </c>
      <c r="AX1087" s="8">
        <f t="shared" si="489"/>
        <v>1.7000000000000001E-3</v>
      </c>
      <c r="AY1087" s="8" t="s">
        <v>184</v>
      </c>
      <c r="AZ1087" s="16">
        <v>100</v>
      </c>
      <c r="BA1087" s="16" t="s">
        <v>55</v>
      </c>
      <c r="BB1087" s="16">
        <v>5</v>
      </c>
      <c r="BC1087" s="16" t="s">
        <v>55</v>
      </c>
      <c r="BD1087" s="20">
        <v>2.42</v>
      </c>
      <c r="BE1087" s="16">
        <f t="shared" si="490"/>
        <v>1423.5294117647056</v>
      </c>
      <c r="BF1087" s="16">
        <f t="shared" si="491"/>
        <v>3.1533664446021574</v>
      </c>
      <c r="BG1087" s="8">
        <f t="shared" si="492"/>
        <v>0.38381536598043126</v>
      </c>
      <c r="BH1087" s="13" t="s">
        <v>345</v>
      </c>
      <c r="BI1087" s="13"/>
      <c r="BJ1087" s="13"/>
      <c r="BK1087" s="13"/>
      <c r="BL1087" s="13"/>
      <c r="BM1087" s="17"/>
      <c r="BN1087" s="17"/>
      <c r="BO1087" s="2"/>
    </row>
    <row r="1088" spans="1:67" s="14" customFormat="1" x14ac:dyDescent="0.3">
      <c r="A1088" s="20">
        <v>1110</v>
      </c>
      <c r="B1088" s="2" t="s">
        <v>181</v>
      </c>
      <c r="C1088" s="2">
        <v>2020</v>
      </c>
      <c r="D1088" s="2" t="s">
        <v>203</v>
      </c>
      <c r="E1088" s="10" t="s">
        <v>787</v>
      </c>
      <c r="F1088" s="20" t="s">
        <v>29</v>
      </c>
      <c r="G1088" s="2" t="s">
        <v>62</v>
      </c>
      <c r="H1088" s="2" t="str">
        <f>'PFAS Properties'!$B$51</f>
        <v>4:2 FTS</v>
      </c>
      <c r="I1088" s="2" t="str">
        <f>'PFAS Properties'!$C$51</f>
        <v>FTS</v>
      </c>
      <c r="J1088" s="2" t="str">
        <f>'PFAS Properties'!$D$51</f>
        <v>C6H5F9O3S</v>
      </c>
      <c r="K1088" s="25">
        <f>'PFAS Properties'!$P$51</f>
        <v>327.98139999999995</v>
      </c>
      <c r="L1088" s="2">
        <f>'PFAS Properties'!$X$51</f>
        <v>0.4</v>
      </c>
      <c r="M1088" s="2" t="str">
        <f>'PFAS Properties'!$Y$51</f>
        <v>-</v>
      </c>
      <c r="N1088" s="33">
        <v>0</v>
      </c>
      <c r="O1088" s="33">
        <v>0</v>
      </c>
      <c r="P1088" s="33">
        <v>0</v>
      </c>
      <c r="Q1088" s="33">
        <f t="shared" si="507"/>
        <v>0.99999992056718279</v>
      </c>
      <c r="R1088" s="33">
        <v>0</v>
      </c>
      <c r="S1088" s="33">
        <f t="shared" si="508"/>
        <v>7.9432817162855232E-8</v>
      </c>
      <c r="T1088" s="8">
        <f t="shared" ref="T1088:T1098" si="516">SUM(N1088:S1088)</f>
        <v>1</v>
      </c>
      <c r="U1088" s="33">
        <f t="shared" ref="U1088:U1151" si="517">((1*N1088)+(1*O1088)+(1*P1088))</f>
        <v>0</v>
      </c>
      <c r="V1088" s="33">
        <f t="shared" ref="V1088:V1151" si="518">-((1*O1088)+(2*P1088)+(1*Q1088)+(2*R1088))</f>
        <v>-0.99999992056718279</v>
      </c>
      <c r="W1088" s="33">
        <f t="shared" ref="W1088:W1151" si="519">(N1088*(K1088+1))+(O1088*K1088)+(P1088*(K1088-1))+(Q1088*(K1088-1))+(R1088*(K1088-2))+(S1088*K1088)</f>
        <v>326.98140007943277</v>
      </c>
      <c r="X1088" s="33">
        <v>96485</v>
      </c>
      <c r="Y1088" s="16">
        <f t="shared" ref="Y1088:Y1151" si="520">((V1088+U1088)/W1088)*X1088</f>
        <v>-295.07792281911378</v>
      </c>
      <c r="Z1088" s="16">
        <v>6</v>
      </c>
      <c r="AA1088" s="16">
        <v>9</v>
      </c>
      <c r="AB1088" s="8">
        <f t="shared" ref="AB1088:AB1151" si="521">(Z1088/AA1088)*(12/19)</f>
        <v>0.42105263157894735</v>
      </c>
      <c r="AC1088" s="16">
        <f t="shared" si="487"/>
        <v>52.13710289668866</v>
      </c>
      <c r="AD1088" s="20">
        <f>'PFAS Properties'!$W$51</f>
        <v>4</v>
      </c>
      <c r="AE1088" s="8">
        <f>'PFAS Properties'!$S$51</f>
        <v>5.7954628943903801</v>
      </c>
      <c r="AF1088" s="2">
        <f>'PFAS Properties'!$V$51</f>
        <v>2.6</v>
      </c>
      <c r="AG1088" s="24">
        <v>7.5</v>
      </c>
      <c r="AH1088" s="2" t="s">
        <v>183</v>
      </c>
      <c r="AI1088" s="2" t="s">
        <v>661</v>
      </c>
      <c r="AJ1088" s="2" t="s">
        <v>661</v>
      </c>
      <c r="AK1088" s="2" t="s">
        <v>661</v>
      </c>
      <c r="AL1088" s="2" t="s">
        <v>661</v>
      </c>
      <c r="AM1088" s="2" t="s">
        <v>661</v>
      </c>
      <c r="AN1088" s="2" t="s">
        <v>661</v>
      </c>
      <c r="AO1088" s="2" t="s">
        <v>661</v>
      </c>
      <c r="AP1088" s="15">
        <v>41.4</v>
      </c>
      <c r="AQ1088" s="2" t="s">
        <v>661</v>
      </c>
      <c r="AR1088" s="16">
        <v>16.899999999999999</v>
      </c>
      <c r="AS1088" s="16">
        <v>17.5</v>
      </c>
      <c r="AT1088" s="16">
        <v>65.599999999999994</v>
      </c>
      <c r="AU1088" s="2" t="s">
        <v>661</v>
      </c>
      <c r="AV1088" s="16">
        <f t="shared" ref="AV1088:AV1108" si="522">SUM(AR1088:AT1088)</f>
        <v>100</v>
      </c>
      <c r="AW1088" s="20">
        <v>0.7</v>
      </c>
      <c r="AX1088" s="8">
        <f t="shared" ref="AX1088:AX1151" si="523">AW1088/100</f>
        <v>6.9999999999999993E-3</v>
      </c>
      <c r="AY1088" s="13" t="s">
        <v>184</v>
      </c>
      <c r="AZ1088" s="16">
        <v>100</v>
      </c>
      <c r="BA1088" s="16" t="s">
        <v>55</v>
      </c>
      <c r="BB1088" s="16">
        <v>5</v>
      </c>
      <c r="BC1088" s="16" t="s">
        <v>55</v>
      </c>
      <c r="BD1088" s="18">
        <v>0.38</v>
      </c>
      <c r="BE1088" s="16">
        <f t="shared" ref="BE1088:BE1151" si="524">BD1088/AX1088</f>
        <v>54.285714285714292</v>
      </c>
      <c r="BF1088" s="16">
        <f t="shared" ref="BF1088:BF1151" si="525">LOG(BE1088)</f>
        <v>1.7346855566025534</v>
      </c>
      <c r="BG1088" s="8">
        <f t="shared" ref="BG1088:BG1151" si="526">LOG(BD1088)</f>
        <v>-0.42021640338318983</v>
      </c>
      <c r="BH1088" s="13" t="s">
        <v>345</v>
      </c>
      <c r="BI1088" s="13"/>
      <c r="BJ1088" s="13"/>
      <c r="BK1088" s="13"/>
      <c r="BL1088" s="13"/>
      <c r="BM1088" s="17"/>
      <c r="BN1088" s="17"/>
      <c r="BO1088" s="2"/>
    </row>
    <row r="1089" spans="1:67" s="14" customFormat="1" x14ac:dyDescent="0.3">
      <c r="A1089" s="20">
        <v>1111</v>
      </c>
      <c r="B1089" s="2" t="s">
        <v>181</v>
      </c>
      <c r="C1089" s="2">
        <v>2020</v>
      </c>
      <c r="D1089" s="2" t="s">
        <v>203</v>
      </c>
      <c r="E1089" s="10" t="s">
        <v>787</v>
      </c>
      <c r="F1089" s="20" t="s">
        <v>29</v>
      </c>
      <c r="G1089" s="2" t="s">
        <v>57</v>
      </c>
      <c r="H1089" s="2" t="str">
        <f>'PFAS Properties'!$B$51</f>
        <v>4:2 FTS</v>
      </c>
      <c r="I1089" s="2" t="str">
        <f>'PFAS Properties'!$C$51</f>
        <v>FTS</v>
      </c>
      <c r="J1089" s="2" t="str">
        <f>'PFAS Properties'!$D$51</f>
        <v>C6H5F9O3S</v>
      </c>
      <c r="K1089" s="25">
        <f>'PFAS Properties'!$P$51</f>
        <v>327.98139999999995</v>
      </c>
      <c r="L1089" s="2">
        <f>'PFAS Properties'!$X$51</f>
        <v>0.4</v>
      </c>
      <c r="M1089" s="2" t="str">
        <f>'PFAS Properties'!$Y$51</f>
        <v>-</v>
      </c>
      <c r="N1089" s="33">
        <v>0</v>
      </c>
      <c r="O1089" s="33">
        <v>0</v>
      </c>
      <c r="P1089" s="33">
        <v>0</v>
      </c>
      <c r="Q1089" s="33">
        <f t="shared" si="507"/>
        <v>0.99999960189298798</v>
      </c>
      <c r="R1089" s="33">
        <v>0</v>
      </c>
      <c r="S1089" s="33">
        <f t="shared" si="508"/>
        <v>3.981070120642407E-7</v>
      </c>
      <c r="T1089" s="8">
        <f t="shared" si="516"/>
        <v>1</v>
      </c>
      <c r="U1089" s="33">
        <f t="shared" si="517"/>
        <v>0</v>
      </c>
      <c r="V1089" s="33">
        <f t="shared" si="518"/>
        <v>-0.99999960189298798</v>
      </c>
      <c r="W1089" s="33">
        <f t="shared" si="519"/>
        <v>326.98140039810698</v>
      </c>
      <c r="X1089" s="33">
        <v>96485</v>
      </c>
      <c r="Y1089" s="16">
        <f t="shared" si="520"/>
        <v>-295.07782849780568</v>
      </c>
      <c r="Z1089" s="16">
        <v>6</v>
      </c>
      <c r="AA1089" s="16">
        <v>9</v>
      </c>
      <c r="AB1089" s="8">
        <f t="shared" si="521"/>
        <v>0.42105263157894735</v>
      </c>
      <c r="AC1089" s="16">
        <f t="shared" si="487"/>
        <v>52.13710289668866</v>
      </c>
      <c r="AD1089" s="20">
        <f>'PFAS Properties'!$W$51</f>
        <v>4</v>
      </c>
      <c r="AE1089" s="8">
        <f>'PFAS Properties'!$S$51</f>
        <v>5.7954628943903801</v>
      </c>
      <c r="AF1089" s="2">
        <f>'PFAS Properties'!$V$51</f>
        <v>2.6</v>
      </c>
      <c r="AG1089" s="24">
        <v>6.8</v>
      </c>
      <c r="AH1089" s="2" t="s">
        <v>183</v>
      </c>
      <c r="AI1089" s="2" t="s">
        <v>661</v>
      </c>
      <c r="AJ1089" s="2" t="s">
        <v>661</v>
      </c>
      <c r="AK1089" s="2" t="s">
        <v>661</v>
      </c>
      <c r="AL1089" s="2" t="s">
        <v>661</v>
      </c>
      <c r="AM1089" s="2" t="s">
        <v>661</v>
      </c>
      <c r="AN1089" s="2" t="s">
        <v>661</v>
      </c>
      <c r="AO1089" s="2" t="s">
        <v>661</v>
      </c>
      <c r="AP1089" s="15">
        <v>7.1</v>
      </c>
      <c r="AQ1089" s="2" t="s">
        <v>661</v>
      </c>
      <c r="AR1089" s="16">
        <v>48.9</v>
      </c>
      <c r="AS1089" s="16">
        <v>27</v>
      </c>
      <c r="AT1089" s="16">
        <v>24.2</v>
      </c>
      <c r="AU1089" s="2" t="s">
        <v>661</v>
      </c>
      <c r="AV1089" s="16">
        <f t="shared" si="522"/>
        <v>100.10000000000001</v>
      </c>
      <c r="AW1089" s="20">
        <v>0.37</v>
      </c>
      <c r="AX1089" s="8">
        <f t="shared" si="523"/>
        <v>3.7000000000000002E-3</v>
      </c>
      <c r="AY1089" s="13" t="s">
        <v>184</v>
      </c>
      <c r="AZ1089" s="16">
        <v>100</v>
      </c>
      <c r="BA1089" s="16" t="s">
        <v>55</v>
      </c>
      <c r="BB1089" s="16">
        <v>5</v>
      </c>
      <c r="BC1089" s="16" t="s">
        <v>55</v>
      </c>
      <c r="BD1089" s="20">
        <v>0.37</v>
      </c>
      <c r="BE1089" s="16">
        <f t="shared" si="524"/>
        <v>100</v>
      </c>
      <c r="BF1089" s="16">
        <f t="shared" si="525"/>
        <v>2</v>
      </c>
      <c r="BG1089" s="8">
        <f t="shared" si="526"/>
        <v>-0.43179827593300502</v>
      </c>
      <c r="BH1089" s="13" t="s">
        <v>345</v>
      </c>
      <c r="BI1089" s="13"/>
      <c r="BJ1089" s="13"/>
      <c r="BK1089" s="13"/>
      <c r="BL1089" s="13"/>
      <c r="BM1089" s="17"/>
      <c r="BN1089" s="17"/>
      <c r="BO1089" s="2"/>
    </row>
    <row r="1090" spans="1:67" s="14" customFormat="1" x14ac:dyDescent="0.3">
      <c r="A1090" s="20">
        <v>1112</v>
      </c>
      <c r="B1090" s="2" t="s">
        <v>181</v>
      </c>
      <c r="C1090" s="2">
        <v>2020</v>
      </c>
      <c r="D1090" s="2" t="s">
        <v>203</v>
      </c>
      <c r="E1090" s="10" t="s">
        <v>787</v>
      </c>
      <c r="F1090" s="20" t="s">
        <v>29</v>
      </c>
      <c r="G1090" s="2" t="s">
        <v>58</v>
      </c>
      <c r="H1090" s="2" t="str">
        <f>'PFAS Properties'!$B$51</f>
        <v>4:2 FTS</v>
      </c>
      <c r="I1090" s="2" t="str">
        <f>'PFAS Properties'!$C$51</f>
        <v>FTS</v>
      </c>
      <c r="J1090" s="2" t="str">
        <f>'PFAS Properties'!$D$51</f>
        <v>C6H5F9O3S</v>
      </c>
      <c r="K1090" s="25">
        <f>'PFAS Properties'!$P$51</f>
        <v>327.98139999999995</v>
      </c>
      <c r="L1090" s="2">
        <f>'PFAS Properties'!$X$51</f>
        <v>0.4</v>
      </c>
      <c r="M1090" s="2" t="str">
        <f>'PFAS Properties'!$Y$51</f>
        <v>-</v>
      </c>
      <c r="N1090" s="33">
        <v>0</v>
      </c>
      <c r="O1090" s="33">
        <v>0</v>
      </c>
      <c r="P1090" s="33">
        <v>0</v>
      </c>
      <c r="Q1090" s="33">
        <f t="shared" si="507"/>
        <v>0.99999841510931942</v>
      </c>
      <c r="R1090" s="33">
        <v>0</v>
      </c>
      <c r="S1090" s="33">
        <f t="shared" si="508"/>
        <v>1.5848906805786609E-6</v>
      </c>
      <c r="T1090" s="8">
        <f t="shared" si="516"/>
        <v>1</v>
      </c>
      <c r="U1090" s="33">
        <f t="shared" si="517"/>
        <v>0</v>
      </c>
      <c r="V1090" s="33">
        <f t="shared" si="518"/>
        <v>-0.99999841510931942</v>
      </c>
      <c r="W1090" s="33">
        <f t="shared" si="519"/>
        <v>326.98140158489059</v>
      </c>
      <c r="X1090" s="33">
        <v>96485</v>
      </c>
      <c r="Y1090" s="16">
        <f t="shared" si="520"/>
        <v>-295.07747723313059</v>
      </c>
      <c r="Z1090" s="16">
        <v>6</v>
      </c>
      <c r="AA1090" s="16">
        <v>9</v>
      </c>
      <c r="AB1090" s="8">
        <f t="shared" si="521"/>
        <v>0.42105263157894735</v>
      </c>
      <c r="AC1090" s="16">
        <f t="shared" si="487"/>
        <v>52.13710289668866</v>
      </c>
      <c r="AD1090" s="20">
        <f>'PFAS Properties'!$W$51</f>
        <v>4</v>
      </c>
      <c r="AE1090" s="8">
        <f>'PFAS Properties'!$S$51</f>
        <v>5.7954628943903801</v>
      </c>
      <c r="AF1090" s="2">
        <f>'PFAS Properties'!$V$51</f>
        <v>2.6</v>
      </c>
      <c r="AG1090" s="24">
        <v>6.2</v>
      </c>
      <c r="AH1090" s="2" t="s">
        <v>183</v>
      </c>
      <c r="AI1090" s="2" t="s">
        <v>661</v>
      </c>
      <c r="AJ1090" s="2" t="s">
        <v>661</v>
      </c>
      <c r="AK1090" s="2" t="s">
        <v>661</v>
      </c>
      <c r="AL1090" s="2" t="s">
        <v>661</v>
      </c>
      <c r="AM1090" s="2" t="s">
        <v>661</v>
      </c>
      <c r="AN1090" s="2" t="s">
        <v>661</v>
      </c>
      <c r="AO1090" s="2" t="s">
        <v>661</v>
      </c>
      <c r="AP1090" s="15">
        <v>8</v>
      </c>
      <c r="AQ1090" s="2" t="s">
        <v>661</v>
      </c>
      <c r="AR1090" s="16">
        <v>51.44</v>
      </c>
      <c r="AS1090" s="16">
        <v>10.17</v>
      </c>
      <c r="AT1090" s="16">
        <v>38.380000000000003</v>
      </c>
      <c r="AU1090" s="2" t="s">
        <v>661</v>
      </c>
      <c r="AV1090" s="16">
        <f t="shared" si="522"/>
        <v>99.990000000000009</v>
      </c>
      <c r="AW1090" s="20">
        <v>0.08</v>
      </c>
      <c r="AX1090" s="8">
        <f t="shared" si="523"/>
        <v>8.0000000000000004E-4</v>
      </c>
      <c r="AY1090" s="8" t="s">
        <v>184</v>
      </c>
      <c r="AZ1090" s="16">
        <v>100</v>
      </c>
      <c r="BA1090" s="16" t="s">
        <v>55</v>
      </c>
      <c r="BB1090" s="16">
        <v>5</v>
      </c>
      <c r="BC1090" s="16" t="s">
        <v>55</v>
      </c>
      <c r="BD1090" s="20">
        <v>0.24</v>
      </c>
      <c r="BE1090" s="16">
        <f t="shared" si="524"/>
        <v>300</v>
      </c>
      <c r="BF1090" s="16">
        <f t="shared" si="525"/>
        <v>2.4771212547196626</v>
      </c>
      <c r="BG1090" s="8">
        <f t="shared" si="526"/>
        <v>-0.61978875828839397</v>
      </c>
      <c r="BH1090" s="13" t="s">
        <v>345</v>
      </c>
      <c r="BI1090" s="13"/>
      <c r="BJ1090" s="13"/>
      <c r="BK1090" s="13"/>
      <c r="BL1090" s="13"/>
      <c r="BM1090" s="17"/>
      <c r="BN1090" s="17"/>
      <c r="BO1090" s="2"/>
    </row>
    <row r="1091" spans="1:67" s="14" customFormat="1" x14ac:dyDescent="0.3">
      <c r="A1091" s="20">
        <v>1113</v>
      </c>
      <c r="B1091" s="2" t="s">
        <v>181</v>
      </c>
      <c r="C1091" s="2">
        <v>2020</v>
      </c>
      <c r="D1091" s="2" t="s">
        <v>203</v>
      </c>
      <c r="E1091" s="10" t="s">
        <v>787</v>
      </c>
      <c r="F1091" s="20" t="s">
        <v>29</v>
      </c>
      <c r="G1091" s="2" t="s">
        <v>59</v>
      </c>
      <c r="H1091" s="2" t="str">
        <f>'PFAS Properties'!$B$51</f>
        <v>4:2 FTS</v>
      </c>
      <c r="I1091" s="2" t="str">
        <f>'PFAS Properties'!$C$51</f>
        <v>FTS</v>
      </c>
      <c r="J1091" s="2" t="str">
        <f>'PFAS Properties'!$D$51</f>
        <v>C6H5F9O3S</v>
      </c>
      <c r="K1091" s="25">
        <f>'PFAS Properties'!$P$51</f>
        <v>327.98139999999995</v>
      </c>
      <c r="L1091" s="2">
        <f>'PFAS Properties'!$X$51</f>
        <v>0.4</v>
      </c>
      <c r="M1091" s="2" t="str">
        <f>'PFAS Properties'!$Y$51</f>
        <v>-</v>
      </c>
      <c r="N1091" s="33">
        <v>0</v>
      </c>
      <c r="O1091" s="33">
        <v>0</v>
      </c>
      <c r="P1091" s="33">
        <v>0</v>
      </c>
      <c r="Q1091" s="33">
        <f t="shared" si="507"/>
        <v>0.99999994988127916</v>
      </c>
      <c r="R1091" s="33">
        <v>0</v>
      </c>
      <c r="S1091" s="33">
        <f t="shared" si="508"/>
        <v>5.011872085084086E-8</v>
      </c>
      <c r="T1091" s="8">
        <f t="shared" si="516"/>
        <v>1</v>
      </c>
      <c r="U1091" s="33">
        <f t="shared" si="517"/>
        <v>0</v>
      </c>
      <c r="V1091" s="33">
        <f t="shared" si="518"/>
        <v>-0.99999994988127916</v>
      </c>
      <c r="W1091" s="33">
        <f t="shared" si="519"/>
        <v>326.98140005011868</v>
      </c>
      <c r="X1091" s="33">
        <v>96485</v>
      </c>
      <c r="Y1091" s="16">
        <f t="shared" si="520"/>
        <v>-295.07793149551105</v>
      </c>
      <c r="Z1091" s="16">
        <v>6</v>
      </c>
      <c r="AA1091" s="16">
        <v>9</v>
      </c>
      <c r="AB1091" s="8">
        <f t="shared" si="521"/>
        <v>0.42105263157894735</v>
      </c>
      <c r="AC1091" s="16">
        <f t="shared" si="487"/>
        <v>52.13710289668866</v>
      </c>
      <c r="AD1091" s="20">
        <f>'PFAS Properties'!$W$51</f>
        <v>4</v>
      </c>
      <c r="AE1091" s="8">
        <f>'PFAS Properties'!$S$51</f>
        <v>5.7954628943903801</v>
      </c>
      <c r="AF1091" s="2">
        <f>'PFAS Properties'!$V$51</f>
        <v>2.6</v>
      </c>
      <c r="AG1091" s="24">
        <v>7.7</v>
      </c>
      <c r="AH1091" s="2" t="s">
        <v>183</v>
      </c>
      <c r="AI1091" s="2" t="s">
        <v>661</v>
      </c>
      <c r="AJ1091" s="2" t="s">
        <v>661</v>
      </c>
      <c r="AK1091" s="2" t="s">
        <v>661</v>
      </c>
      <c r="AL1091" s="2" t="s">
        <v>661</v>
      </c>
      <c r="AM1091" s="2" t="s">
        <v>661</v>
      </c>
      <c r="AN1091" s="2" t="s">
        <v>661</v>
      </c>
      <c r="AO1091" s="2" t="s">
        <v>661</v>
      </c>
      <c r="AP1091" s="15">
        <v>4.8</v>
      </c>
      <c r="AQ1091" s="2" t="s">
        <v>661</v>
      </c>
      <c r="AR1091" s="16">
        <v>46</v>
      </c>
      <c r="AS1091" s="16">
        <v>37</v>
      </c>
      <c r="AT1091" s="16">
        <v>17</v>
      </c>
      <c r="AU1091" s="2" t="s">
        <v>661</v>
      </c>
      <c r="AV1091" s="16">
        <f t="shared" si="522"/>
        <v>100</v>
      </c>
      <c r="AW1091" s="20">
        <v>0.25</v>
      </c>
      <c r="AX1091" s="8">
        <f t="shared" si="523"/>
        <v>2.5000000000000001E-3</v>
      </c>
      <c r="AY1091" s="13" t="s">
        <v>184</v>
      </c>
      <c r="AZ1091" s="16">
        <v>100</v>
      </c>
      <c r="BA1091" s="16" t="s">
        <v>55</v>
      </c>
      <c r="BB1091" s="16">
        <v>5</v>
      </c>
      <c r="BC1091" s="16" t="s">
        <v>55</v>
      </c>
      <c r="BD1091" s="18">
        <v>0.17</v>
      </c>
      <c r="BE1091" s="16">
        <f t="shared" si="524"/>
        <v>68</v>
      </c>
      <c r="BF1091" s="16">
        <f t="shared" si="525"/>
        <v>1.8325089127062364</v>
      </c>
      <c r="BG1091" s="8">
        <f t="shared" si="526"/>
        <v>-0.769551078621726</v>
      </c>
      <c r="BH1091" s="13" t="s">
        <v>345</v>
      </c>
      <c r="BI1091" s="13"/>
      <c r="BJ1091" s="13"/>
      <c r="BK1091" s="13"/>
      <c r="BL1091" s="13"/>
      <c r="BM1091" s="17"/>
      <c r="BN1091" s="17"/>
      <c r="BO1091" s="2"/>
    </row>
    <row r="1092" spans="1:67" s="14" customFormat="1" x14ac:dyDescent="0.3">
      <c r="A1092" s="20">
        <v>1114</v>
      </c>
      <c r="B1092" s="2" t="s">
        <v>181</v>
      </c>
      <c r="C1092" s="2">
        <v>2020</v>
      </c>
      <c r="D1092" s="2" t="s">
        <v>203</v>
      </c>
      <c r="E1092" s="10" t="s">
        <v>787</v>
      </c>
      <c r="F1092" s="20" t="s">
        <v>29</v>
      </c>
      <c r="G1092" s="2" t="s">
        <v>61</v>
      </c>
      <c r="H1092" s="2" t="str">
        <f>'PFAS Properties'!$B$51</f>
        <v>4:2 FTS</v>
      </c>
      <c r="I1092" s="2" t="str">
        <f>'PFAS Properties'!$C$51</f>
        <v>FTS</v>
      </c>
      <c r="J1092" s="2" t="str">
        <f>'PFAS Properties'!$D$51</f>
        <v>C6H5F9O3S</v>
      </c>
      <c r="K1092" s="25">
        <f>'PFAS Properties'!$P$51</f>
        <v>327.98139999999995</v>
      </c>
      <c r="L1092" s="2">
        <f>'PFAS Properties'!$X$51</f>
        <v>0.4</v>
      </c>
      <c r="M1092" s="2" t="str">
        <f>'PFAS Properties'!$Y$51</f>
        <v>-</v>
      </c>
      <c r="N1092" s="33">
        <v>0</v>
      </c>
      <c r="O1092" s="33">
        <v>0</v>
      </c>
      <c r="P1092" s="33">
        <v>0</v>
      </c>
      <c r="Q1092" s="33">
        <f t="shared" si="507"/>
        <v>0.99999990000001004</v>
      </c>
      <c r="R1092" s="33">
        <v>0</v>
      </c>
      <c r="S1092" s="33">
        <f t="shared" si="508"/>
        <v>9.9999990000001005E-8</v>
      </c>
      <c r="T1092" s="8">
        <f t="shared" si="516"/>
        <v>1</v>
      </c>
      <c r="U1092" s="33">
        <f t="shared" si="517"/>
        <v>0</v>
      </c>
      <c r="V1092" s="33">
        <f t="shared" si="518"/>
        <v>-0.99999990000001004</v>
      </c>
      <c r="W1092" s="33">
        <f t="shared" si="519"/>
        <v>326.98140009999997</v>
      </c>
      <c r="X1092" s="33">
        <v>96485</v>
      </c>
      <c r="Y1092" s="16">
        <f t="shared" si="520"/>
        <v>-295.07791673163422</v>
      </c>
      <c r="Z1092" s="16">
        <v>6</v>
      </c>
      <c r="AA1092" s="16">
        <v>9</v>
      </c>
      <c r="AB1092" s="8">
        <f t="shared" si="521"/>
        <v>0.42105263157894735</v>
      </c>
      <c r="AC1092" s="16">
        <f t="shared" si="487"/>
        <v>52.13710289668866</v>
      </c>
      <c r="AD1092" s="20">
        <f>'PFAS Properties'!$W$51</f>
        <v>4</v>
      </c>
      <c r="AE1092" s="8">
        <f>'PFAS Properties'!$S$51</f>
        <v>5.7954628943903801</v>
      </c>
      <c r="AF1092" s="2">
        <f>'PFAS Properties'!$V$51</f>
        <v>2.6</v>
      </c>
      <c r="AG1092" s="24">
        <v>7.4</v>
      </c>
      <c r="AH1092" s="2" t="s">
        <v>183</v>
      </c>
      <c r="AI1092" s="2" t="s">
        <v>661</v>
      </c>
      <c r="AJ1092" s="2" t="s">
        <v>661</v>
      </c>
      <c r="AK1092" s="2" t="s">
        <v>661</v>
      </c>
      <c r="AL1092" s="2" t="s">
        <v>661</v>
      </c>
      <c r="AM1092" s="2" t="s">
        <v>661</v>
      </c>
      <c r="AN1092" s="2" t="s">
        <v>661</v>
      </c>
      <c r="AO1092" s="2" t="s">
        <v>661</v>
      </c>
      <c r="AP1092" s="15">
        <v>29.6</v>
      </c>
      <c r="AQ1092" s="2" t="s">
        <v>661</v>
      </c>
      <c r="AR1092" s="16">
        <v>39.799999999999997</v>
      </c>
      <c r="AS1092" s="16">
        <v>7.7</v>
      </c>
      <c r="AT1092" s="16">
        <v>52.5</v>
      </c>
      <c r="AU1092" s="2" t="s">
        <v>661</v>
      </c>
      <c r="AV1092" s="16">
        <f t="shared" si="522"/>
        <v>100</v>
      </c>
      <c r="AW1092" s="20">
        <v>2.23</v>
      </c>
      <c r="AX1092" s="8">
        <f t="shared" si="523"/>
        <v>2.23E-2</v>
      </c>
      <c r="AY1092" s="8" t="s">
        <v>184</v>
      </c>
      <c r="AZ1092" s="16">
        <v>100</v>
      </c>
      <c r="BA1092" s="16" t="s">
        <v>55</v>
      </c>
      <c r="BB1092" s="16">
        <v>5</v>
      </c>
      <c r="BC1092" s="16" t="s">
        <v>55</v>
      </c>
      <c r="BD1092" s="20">
        <v>0.31</v>
      </c>
      <c r="BE1092" s="16">
        <f t="shared" si="524"/>
        <v>13.901345291479821</v>
      </c>
      <c r="BF1092" s="16">
        <f t="shared" si="525"/>
        <v>1.143056830786112</v>
      </c>
      <c r="BG1092" s="8">
        <f t="shared" si="526"/>
        <v>-0.50863830616572736</v>
      </c>
      <c r="BH1092" s="13" t="s">
        <v>345</v>
      </c>
      <c r="BI1092" s="13"/>
      <c r="BJ1092" s="13"/>
      <c r="BK1092" s="13"/>
      <c r="BL1092" s="13"/>
      <c r="BM1092" s="17"/>
      <c r="BN1092" s="17"/>
      <c r="BO1092" s="2"/>
    </row>
    <row r="1093" spans="1:67" s="14" customFormat="1" x14ac:dyDescent="0.3">
      <c r="A1093" s="20">
        <v>1115</v>
      </c>
      <c r="B1093" s="2" t="s">
        <v>181</v>
      </c>
      <c r="C1093" s="2">
        <v>2020</v>
      </c>
      <c r="D1093" s="2" t="s">
        <v>203</v>
      </c>
      <c r="E1093" s="10" t="s">
        <v>787</v>
      </c>
      <c r="F1093" s="20" t="s">
        <v>29</v>
      </c>
      <c r="G1093" s="2" t="s">
        <v>60</v>
      </c>
      <c r="H1093" s="2" t="str">
        <f>'PFAS Properties'!$B$51</f>
        <v>4:2 FTS</v>
      </c>
      <c r="I1093" s="2" t="str">
        <f>'PFAS Properties'!$C$51</f>
        <v>FTS</v>
      </c>
      <c r="J1093" s="2" t="str">
        <f>'PFAS Properties'!$D$51</f>
        <v>C6H5F9O3S</v>
      </c>
      <c r="K1093" s="25">
        <f>'PFAS Properties'!$P$51</f>
        <v>327.98139999999995</v>
      </c>
      <c r="L1093" s="2">
        <f>'PFAS Properties'!$X$51</f>
        <v>0.4</v>
      </c>
      <c r="M1093" s="2" t="str">
        <f>'PFAS Properties'!$Y$51</f>
        <v>-</v>
      </c>
      <c r="N1093" s="33">
        <v>0</v>
      </c>
      <c r="O1093" s="33">
        <v>0</v>
      </c>
      <c r="P1093" s="33">
        <v>0</v>
      </c>
      <c r="Q1093" s="33">
        <f t="shared" si="507"/>
        <v>0.99999994988127916</v>
      </c>
      <c r="R1093" s="33">
        <v>0</v>
      </c>
      <c r="S1093" s="33">
        <f t="shared" si="508"/>
        <v>5.011872085084086E-8</v>
      </c>
      <c r="T1093" s="8">
        <f t="shared" si="516"/>
        <v>1</v>
      </c>
      <c r="U1093" s="33">
        <f t="shared" si="517"/>
        <v>0</v>
      </c>
      <c r="V1093" s="33">
        <f t="shared" si="518"/>
        <v>-0.99999994988127916</v>
      </c>
      <c r="W1093" s="33">
        <f t="shared" si="519"/>
        <v>326.98140005011868</v>
      </c>
      <c r="X1093" s="33">
        <v>96485</v>
      </c>
      <c r="Y1093" s="16">
        <f t="shared" si="520"/>
        <v>-295.07793149551105</v>
      </c>
      <c r="Z1093" s="16">
        <v>6</v>
      </c>
      <c r="AA1093" s="16">
        <v>9</v>
      </c>
      <c r="AB1093" s="8">
        <f t="shared" si="521"/>
        <v>0.42105263157894735</v>
      </c>
      <c r="AC1093" s="16">
        <f t="shared" si="487"/>
        <v>52.13710289668866</v>
      </c>
      <c r="AD1093" s="20">
        <f>'PFAS Properties'!$W$51</f>
        <v>4</v>
      </c>
      <c r="AE1093" s="8">
        <f>'PFAS Properties'!$S$51</f>
        <v>5.7954628943903801</v>
      </c>
      <c r="AF1093" s="2">
        <f>'PFAS Properties'!$V$51</f>
        <v>2.6</v>
      </c>
      <c r="AG1093" s="24">
        <v>7.7</v>
      </c>
      <c r="AH1093" s="2" t="s">
        <v>183</v>
      </c>
      <c r="AI1093" s="2" t="s">
        <v>661</v>
      </c>
      <c r="AJ1093" s="2" t="s">
        <v>661</v>
      </c>
      <c r="AK1093" s="2" t="s">
        <v>661</v>
      </c>
      <c r="AL1093" s="2" t="s">
        <v>661</v>
      </c>
      <c r="AM1093" s="2" t="s">
        <v>661</v>
      </c>
      <c r="AN1093" s="2" t="s">
        <v>661</v>
      </c>
      <c r="AO1093" s="2" t="s">
        <v>661</v>
      </c>
      <c r="AP1093" s="15">
        <v>21.63</v>
      </c>
      <c r="AQ1093" s="2" t="s">
        <v>661</v>
      </c>
      <c r="AR1093" s="16">
        <v>70</v>
      </c>
      <c r="AS1093" s="16">
        <v>11</v>
      </c>
      <c r="AT1093" s="16">
        <v>19</v>
      </c>
      <c r="AU1093" s="2" t="s">
        <v>661</v>
      </c>
      <c r="AV1093" s="16">
        <f t="shared" si="522"/>
        <v>100</v>
      </c>
      <c r="AW1093" s="20">
        <v>4.9000000000000004</v>
      </c>
      <c r="AX1093" s="8">
        <f t="shared" si="523"/>
        <v>4.9000000000000002E-2</v>
      </c>
      <c r="AY1093" s="8" t="s">
        <v>184</v>
      </c>
      <c r="AZ1093" s="16">
        <v>100</v>
      </c>
      <c r="BA1093" s="16" t="s">
        <v>55</v>
      </c>
      <c r="BB1093" s="16">
        <v>5</v>
      </c>
      <c r="BC1093" s="16" t="s">
        <v>55</v>
      </c>
      <c r="BD1093" s="20">
        <v>0.51</v>
      </c>
      <c r="BE1093" s="16">
        <f t="shared" si="524"/>
        <v>10.408163265306122</v>
      </c>
      <c r="BF1093" s="16">
        <f t="shared" si="525"/>
        <v>1.0173740960694226</v>
      </c>
      <c r="BG1093" s="8">
        <f t="shared" si="526"/>
        <v>-0.29242982390206362</v>
      </c>
      <c r="BH1093" s="13" t="s">
        <v>345</v>
      </c>
      <c r="BI1093" s="13"/>
      <c r="BJ1093" s="13"/>
      <c r="BK1093" s="13"/>
      <c r="BL1093" s="13"/>
      <c r="BM1093" s="17"/>
      <c r="BN1093" s="17"/>
      <c r="BO1093" s="2"/>
    </row>
    <row r="1094" spans="1:67" s="14" customFormat="1" x14ac:dyDescent="0.3">
      <c r="A1094" s="20">
        <v>1116</v>
      </c>
      <c r="B1094" s="2" t="s">
        <v>181</v>
      </c>
      <c r="C1094" s="2">
        <v>2020</v>
      </c>
      <c r="D1094" s="2" t="s">
        <v>203</v>
      </c>
      <c r="E1094" s="10" t="s">
        <v>787</v>
      </c>
      <c r="F1094" s="20" t="s">
        <v>29</v>
      </c>
      <c r="G1094" s="2" t="s">
        <v>77</v>
      </c>
      <c r="H1094" s="2" t="str">
        <f>'PFAS Properties'!$B$51</f>
        <v>4:2 FTS</v>
      </c>
      <c r="I1094" s="2" t="str">
        <f>'PFAS Properties'!$C$51</f>
        <v>FTS</v>
      </c>
      <c r="J1094" s="2" t="str">
        <f>'PFAS Properties'!$D$51</f>
        <v>C6H5F9O3S</v>
      </c>
      <c r="K1094" s="25">
        <f>'PFAS Properties'!$P$51</f>
        <v>327.98139999999995</v>
      </c>
      <c r="L1094" s="2">
        <f>'PFAS Properties'!$X$51</f>
        <v>0.4</v>
      </c>
      <c r="M1094" s="2" t="str">
        <f>'PFAS Properties'!$Y$51</f>
        <v>-</v>
      </c>
      <c r="N1094" s="33">
        <v>0</v>
      </c>
      <c r="O1094" s="33">
        <v>0</v>
      </c>
      <c r="P1094" s="33">
        <v>0</v>
      </c>
      <c r="Q1094" s="33">
        <f t="shared" si="507"/>
        <v>0.99999994988127916</v>
      </c>
      <c r="R1094" s="33">
        <v>0</v>
      </c>
      <c r="S1094" s="33">
        <f t="shared" si="508"/>
        <v>5.011872085084086E-8</v>
      </c>
      <c r="T1094" s="8">
        <f t="shared" si="516"/>
        <v>1</v>
      </c>
      <c r="U1094" s="33">
        <f t="shared" si="517"/>
        <v>0</v>
      </c>
      <c r="V1094" s="33">
        <f t="shared" si="518"/>
        <v>-0.99999994988127916</v>
      </c>
      <c r="W1094" s="33">
        <f t="shared" si="519"/>
        <v>326.98140005011868</v>
      </c>
      <c r="X1094" s="33">
        <v>96485</v>
      </c>
      <c r="Y1094" s="16">
        <f t="shared" si="520"/>
        <v>-295.07793149551105</v>
      </c>
      <c r="Z1094" s="16">
        <v>6</v>
      </c>
      <c r="AA1094" s="16">
        <v>9</v>
      </c>
      <c r="AB1094" s="8">
        <f t="shared" si="521"/>
        <v>0.42105263157894735</v>
      </c>
      <c r="AC1094" s="16">
        <f t="shared" si="487"/>
        <v>52.13710289668866</v>
      </c>
      <c r="AD1094" s="20">
        <f>'PFAS Properties'!$W$51</f>
        <v>4</v>
      </c>
      <c r="AE1094" s="8">
        <f>'PFAS Properties'!$S$51</f>
        <v>5.7954628943903801</v>
      </c>
      <c r="AF1094" s="2">
        <f>'PFAS Properties'!$V$51</f>
        <v>2.6</v>
      </c>
      <c r="AG1094" s="24">
        <v>7.7</v>
      </c>
      <c r="AH1094" s="2" t="s">
        <v>183</v>
      </c>
      <c r="AI1094" s="2" t="s">
        <v>661</v>
      </c>
      <c r="AJ1094" s="2" t="s">
        <v>661</v>
      </c>
      <c r="AK1094" s="2" t="s">
        <v>661</v>
      </c>
      <c r="AL1094" s="2" t="s">
        <v>661</v>
      </c>
      <c r="AM1094" s="2" t="s">
        <v>661</v>
      </c>
      <c r="AN1094" s="2" t="s">
        <v>661</v>
      </c>
      <c r="AO1094" s="2" t="s">
        <v>661</v>
      </c>
      <c r="AP1094" s="15">
        <v>7.8</v>
      </c>
      <c r="AQ1094" s="2" t="s">
        <v>661</v>
      </c>
      <c r="AR1094" s="16">
        <v>48.9</v>
      </c>
      <c r="AS1094" s="16">
        <v>32.6</v>
      </c>
      <c r="AT1094" s="16">
        <v>18.5</v>
      </c>
      <c r="AU1094" s="2" t="s">
        <v>661</v>
      </c>
      <c r="AV1094" s="16">
        <f t="shared" si="522"/>
        <v>100</v>
      </c>
      <c r="AW1094" s="20">
        <v>0.13</v>
      </c>
      <c r="AX1094" s="8">
        <f t="shared" si="523"/>
        <v>1.2999999999999999E-3</v>
      </c>
      <c r="AY1094" s="8" t="s">
        <v>184</v>
      </c>
      <c r="AZ1094" s="16">
        <v>100</v>
      </c>
      <c r="BA1094" s="16" t="s">
        <v>55</v>
      </c>
      <c r="BB1094" s="16">
        <v>5</v>
      </c>
      <c r="BC1094" s="16" t="s">
        <v>55</v>
      </c>
      <c r="BD1094" s="20">
        <v>0.2</v>
      </c>
      <c r="BE1094" s="16">
        <f t="shared" si="524"/>
        <v>153.84615384615387</v>
      </c>
      <c r="BF1094" s="16">
        <f t="shared" si="525"/>
        <v>2.1870866433571443</v>
      </c>
      <c r="BG1094" s="8">
        <f t="shared" si="526"/>
        <v>-0.69897000433601875</v>
      </c>
      <c r="BH1094" s="13" t="s">
        <v>345</v>
      </c>
      <c r="BI1094" s="13"/>
      <c r="BJ1094" s="13"/>
      <c r="BK1094" s="13"/>
      <c r="BL1094" s="13"/>
      <c r="BM1094" s="17"/>
      <c r="BN1094" s="17"/>
      <c r="BO1094" s="2"/>
    </row>
    <row r="1095" spans="1:67" s="14" customFormat="1" x14ac:dyDescent="0.3">
      <c r="A1095" s="20">
        <v>1117</v>
      </c>
      <c r="B1095" s="2" t="s">
        <v>181</v>
      </c>
      <c r="C1095" s="2">
        <v>2020</v>
      </c>
      <c r="D1095" s="2" t="s">
        <v>203</v>
      </c>
      <c r="E1095" s="10" t="s">
        <v>787</v>
      </c>
      <c r="F1095" s="20" t="s">
        <v>29</v>
      </c>
      <c r="G1095" s="2" t="s">
        <v>182</v>
      </c>
      <c r="H1095" s="2" t="str">
        <f>'PFAS Properties'!$B$51</f>
        <v>4:2 FTS</v>
      </c>
      <c r="I1095" s="2" t="str">
        <f>'PFAS Properties'!$C$51</f>
        <v>FTS</v>
      </c>
      <c r="J1095" s="2" t="str">
        <f>'PFAS Properties'!$D$51</f>
        <v>C6H5F9O3S</v>
      </c>
      <c r="K1095" s="25">
        <f>'PFAS Properties'!$P$51</f>
        <v>327.98139999999995</v>
      </c>
      <c r="L1095" s="2">
        <f>'PFAS Properties'!$X$51</f>
        <v>0.4</v>
      </c>
      <c r="M1095" s="2" t="str">
        <f>'PFAS Properties'!$Y$51</f>
        <v>-</v>
      </c>
      <c r="N1095" s="33">
        <v>0</v>
      </c>
      <c r="O1095" s="33">
        <v>0</v>
      </c>
      <c r="P1095" s="33">
        <v>0</v>
      </c>
      <c r="Q1095" s="33">
        <f t="shared" si="507"/>
        <v>0.99999992056718279</v>
      </c>
      <c r="R1095" s="33">
        <v>0</v>
      </c>
      <c r="S1095" s="33">
        <f t="shared" si="508"/>
        <v>7.9432817162855232E-8</v>
      </c>
      <c r="T1095" s="8">
        <f t="shared" si="516"/>
        <v>1</v>
      </c>
      <c r="U1095" s="33">
        <f t="shared" si="517"/>
        <v>0</v>
      </c>
      <c r="V1095" s="33">
        <f t="shared" si="518"/>
        <v>-0.99999992056718279</v>
      </c>
      <c r="W1095" s="33">
        <f t="shared" si="519"/>
        <v>326.98140007943277</v>
      </c>
      <c r="X1095" s="33">
        <v>96485</v>
      </c>
      <c r="Y1095" s="16">
        <f t="shared" si="520"/>
        <v>-295.07792281911378</v>
      </c>
      <c r="Z1095" s="16">
        <v>6</v>
      </c>
      <c r="AA1095" s="16">
        <v>9</v>
      </c>
      <c r="AB1095" s="8">
        <f t="shared" si="521"/>
        <v>0.42105263157894735</v>
      </c>
      <c r="AC1095" s="16">
        <f t="shared" ref="AC1095:AC1126" si="527">((AA1095*19)/K1095)*100</f>
        <v>52.13710289668866</v>
      </c>
      <c r="AD1095" s="20">
        <f>'PFAS Properties'!$W$51</f>
        <v>4</v>
      </c>
      <c r="AE1095" s="8">
        <f>'PFAS Properties'!$S$51</f>
        <v>5.7954628943903801</v>
      </c>
      <c r="AF1095" s="2">
        <f>'PFAS Properties'!$V$51</f>
        <v>2.6</v>
      </c>
      <c r="AG1095" s="24">
        <v>7.5</v>
      </c>
      <c r="AH1095" s="2" t="s">
        <v>183</v>
      </c>
      <c r="AI1095" s="2" t="s">
        <v>661</v>
      </c>
      <c r="AJ1095" s="2" t="s">
        <v>661</v>
      </c>
      <c r="AK1095" s="2" t="s">
        <v>661</v>
      </c>
      <c r="AL1095" s="2" t="s">
        <v>661</v>
      </c>
      <c r="AM1095" s="2" t="s">
        <v>661</v>
      </c>
      <c r="AN1095" s="2" t="s">
        <v>661</v>
      </c>
      <c r="AO1095" s="2" t="s">
        <v>661</v>
      </c>
      <c r="AP1095" s="15">
        <v>2.2799999999999998</v>
      </c>
      <c r="AQ1095" s="2" t="s">
        <v>661</v>
      </c>
      <c r="AR1095" s="16">
        <v>93</v>
      </c>
      <c r="AS1095" s="16">
        <v>1</v>
      </c>
      <c r="AT1095" s="16">
        <v>5</v>
      </c>
      <c r="AU1095" s="2" t="s">
        <v>661</v>
      </c>
      <c r="AV1095" s="16">
        <f t="shared" si="522"/>
        <v>99</v>
      </c>
      <c r="AW1095" s="20">
        <v>0.4</v>
      </c>
      <c r="AX1095" s="8">
        <f t="shared" si="523"/>
        <v>4.0000000000000001E-3</v>
      </c>
      <c r="AY1095" s="8" t="s">
        <v>184</v>
      </c>
      <c r="AZ1095" s="16">
        <v>100</v>
      </c>
      <c r="BA1095" s="16" t="s">
        <v>55</v>
      </c>
      <c r="BB1095" s="16">
        <v>5</v>
      </c>
      <c r="BC1095" s="16" t="s">
        <v>55</v>
      </c>
      <c r="BD1095" s="20">
        <v>0.06</v>
      </c>
      <c r="BE1095" s="16">
        <f t="shared" si="524"/>
        <v>15</v>
      </c>
      <c r="BF1095" s="16">
        <f t="shared" si="525"/>
        <v>1.1760912590556813</v>
      </c>
      <c r="BG1095" s="8">
        <f t="shared" si="526"/>
        <v>-1.2218487496163564</v>
      </c>
      <c r="BH1095" s="13" t="s">
        <v>345</v>
      </c>
      <c r="BI1095" s="13"/>
      <c r="BJ1095" s="13"/>
      <c r="BK1095" s="13"/>
      <c r="BL1095" s="13"/>
      <c r="BM1095" s="17"/>
      <c r="BN1095" s="17"/>
      <c r="BO1095" s="2"/>
    </row>
    <row r="1096" spans="1:67" s="14" customFormat="1" x14ac:dyDescent="0.3">
      <c r="A1096" s="20">
        <v>1118</v>
      </c>
      <c r="B1096" s="2" t="s">
        <v>181</v>
      </c>
      <c r="C1096" s="2">
        <v>2020</v>
      </c>
      <c r="D1096" s="2" t="s">
        <v>203</v>
      </c>
      <c r="E1096" s="10" t="s">
        <v>787</v>
      </c>
      <c r="F1096" s="20" t="s">
        <v>29</v>
      </c>
      <c r="G1096" s="2" t="s">
        <v>78</v>
      </c>
      <c r="H1096" s="2" t="str">
        <f>'PFAS Properties'!$B$51</f>
        <v>4:2 FTS</v>
      </c>
      <c r="I1096" s="2" t="str">
        <f>'PFAS Properties'!$C$51</f>
        <v>FTS</v>
      </c>
      <c r="J1096" s="2" t="str">
        <f>'PFAS Properties'!$D$51</f>
        <v>C6H5F9O3S</v>
      </c>
      <c r="K1096" s="25">
        <f>'PFAS Properties'!$P$51</f>
        <v>327.98139999999995</v>
      </c>
      <c r="L1096" s="2">
        <f>'PFAS Properties'!$X$51</f>
        <v>0.4</v>
      </c>
      <c r="M1096" s="2" t="str">
        <f>'PFAS Properties'!$Y$51</f>
        <v>-</v>
      </c>
      <c r="N1096" s="33">
        <v>0</v>
      </c>
      <c r="O1096" s="33">
        <v>0</v>
      </c>
      <c r="P1096" s="33">
        <v>0</v>
      </c>
      <c r="Q1096" s="33">
        <f t="shared" si="507"/>
        <v>0.99999980047380832</v>
      </c>
      <c r="R1096" s="33">
        <v>0</v>
      </c>
      <c r="S1096" s="33">
        <f t="shared" si="508"/>
        <v>1.9952619168617889E-7</v>
      </c>
      <c r="T1096" s="8">
        <f t="shared" si="516"/>
        <v>1</v>
      </c>
      <c r="U1096" s="33">
        <f t="shared" si="517"/>
        <v>0</v>
      </c>
      <c r="V1096" s="33">
        <f t="shared" si="518"/>
        <v>-0.99999980047380832</v>
      </c>
      <c r="W1096" s="33">
        <f t="shared" si="519"/>
        <v>326.98140019952615</v>
      </c>
      <c r="X1096" s="33">
        <v>96485</v>
      </c>
      <c r="Y1096" s="16">
        <f t="shared" si="520"/>
        <v>-295.07788727383161</v>
      </c>
      <c r="Z1096" s="16">
        <v>6</v>
      </c>
      <c r="AA1096" s="16">
        <v>9</v>
      </c>
      <c r="AB1096" s="8">
        <f t="shared" si="521"/>
        <v>0.42105263157894735</v>
      </c>
      <c r="AC1096" s="16">
        <f t="shared" si="527"/>
        <v>52.13710289668866</v>
      </c>
      <c r="AD1096" s="20">
        <f>'PFAS Properties'!$W$51</f>
        <v>4</v>
      </c>
      <c r="AE1096" s="8">
        <f>'PFAS Properties'!$S$51</f>
        <v>5.7954628943903801</v>
      </c>
      <c r="AF1096" s="2">
        <f>'PFAS Properties'!$V$51</f>
        <v>2.6</v>
      </c>
      <c r="AG1096" s="24">
        <v>7.1</v>
      </c>
      <c r="AH1096" s="2" t="s">
        <v>183</v>
      </c>
      <c r="AI1096" s="2" t="s">
        <v>661</v>
      </c>
      <c r="AJ1096" s="2" t="s">
        <v>661</v>
      </c>
      <c r="AK1096" s="2" t="s">
        <v>661</v>
      </c>
      <c r="AL1096" s="2" t="s">
        <v>661</v>
      </c>
      <c r="AM1096" s="2" t="s">
        <v>661</v>
      </c>
      <c r="AN1096" s="2" t="s">
        <v>661</v>
      </c>
      <c r="AO1096" s="2" t="s">
        <v>661</v>
      </c>
      <c r="AP1096" s="15">
        <v>17.420000000000002</v>
      </c>
      <c r="AQ1096" s="2" t="s">
        <v>661</v>
      </c>
      <c r="AR1096" s="16">
        <v>48.86</v>
      </c>
      <c r="AS1096" s="16">
        <v>16.05</v>
      </c>
      <c r="AT1096" s="16">
        <v>35.090000000000003</v>
      </c>
      <c r="AU1096" s="2" t="s">
        <v>661</v>
      </c>
      <c r="AV1096" s="16">
        <f t="shared" si="522"/>
        <v>100</v>
      </c>
      <c r="AW1096" s="20">
        <v>1.19</v>
      </c>
      <c r="AX1096" s="8">
        <f t="shared" si="523"/>
        <v>1.1899999999999999E-2</v>
      </c>
      <c r="AY1096" s="8" t="s">
        <v>184</v>
      </c>
      <c r="AZ1096" s="16">
        <v>100</v>
      </c>
      <c r="BA1096" s="16" t="s">
        <v>55</v>
      </c>
      <c r="BB1096" s="16">
        <v>5</v>
      </c>
      <c r="BC1096" s="16" t="s">
        <v>55</v>
      </c>
      <c r="BD1096" s="20">
        <v>0.2</v>
      </c>
      <c r="BE1096" s="16">
        <f t="shared" si="524"/>
        <v>16.806722689075631</v>
      </c>
      <c r="BF1096" s="16">
        <f t="shared" si="525"/>
        <v>1.2254830342714504</v>
      </c>
      <c r="BG1096" s="8">
        <f t="shared" si="526"/>
        <v>-0.69897000433601875</v>
      </c>
      <c r="BH1096" s="13" t="s">
        <v>345</v>
      </c>
      <c r="BI1096" s="13"/>
      <c r="BJ1096" s="13"/>
      <c r="BK1096" s="13"/>
      <c r="BL1096" s="13"/>
      <c r="BM1096" s="17"/>
      <c r="BN1096" s="17"/>
      <c r="BO1096" s="2"/>
    </row>
    <row r="1097" spans="1:67" s="14" customFormat="1" x14ac:dyDescent="0.3">
      <c r="A1097" s="20">
        <v>1119</v>
      </c>
      <c r="B1097" s="2" t="s">
        <v>181</v>
      </c>
      <c r="C1097" s="2">
        <v>2020</v>
      </c>
      <c r="D1097" s="2" t="s">
        <v>203</v>
      </c>
      <c r="E1097" s="10" t="s">
        <v>787</v>
      </c>
      <c r="F1097" s="20" t="s">
        <v>29</v>
      </c>
      <c r="G1097" s="2" t="s">
        <v>98</v>
      </c>
      <c r="H1097" s="2" t="str">
        <f>'PFAS Properties'!$B$51</f>
        <v>4:2 FTS</v>
      </c>
      <c r="I1097" s="2" t="str">
        <f>'PFAS Properties'!$C$51</f>
        <v>FTS</v>
      </c>
      <c r="J1097" s="2" t="str">
        <f>'PFAS Properties'!$D$51</f>
        <v>C6H5F9O3S</v>
      </c>
      <c r="K1097" s="25">
        <f>'PFAS Properties'!$P$51</f>
        <v>327.98139999999995</v>
      </c>
      <c r="L1097" s="2">
        <f>'PFAS Properties'!$X$51</f>
        <v>0.4</v>
      </c>
      <c r="M1097" s="2" t="str">
        <f>'PFAS Properties'!$Y$51</f>
        <v>-</v>
      </c>
      <c r="N1097" s="33">
        <v>0</v>
      </c>
      <c r="O1097" s="33">
        <v>0</v>
      </c>
      <c r="P1097" s="33">
        <v>0</v>
      </c>
      <c r="Q1097" s="33">
        <f t="shared" si="507"/>
        <v>0.99999900000099995</v>
      </c>
      <c r="R1097" s="33">
        <v>0</v>
      </c>
      <c r="S1097" s="33">
        <f t="shared" si="508"/>
        <v>9.9999900000100006E-7</v>
      </c>
      <c r="T1097" s="8">
        <f t="shared" si="516"/>
        <v>1</v>
      </c>
      <c r="U1097" s="33">
        <f t="shared" si="517"/>
        <v>0</v>
      </c>
      <c r="V1097" s="33">
        <f t="shared" si="518"/>
        <v>-0.99999900000099995</v>
      </c>
      <c r="W1097" s="33">
        <f t="shared" si="519"/>
        <v>326.98140099999893</v>
      </c>
      <c r="X1097" s="33">
        <v>96485</v>
      </c>
      <c r="Y1097" s="16">
        <f t="shared" si="520"/>
        <v>-295.07765034958913</v>
      </c>
      <c r="Z1097" s="16">
        <v>6</v>
      </c>
      <c r="AA1097" s="16">
        <v>9</v>
      </c>
      <c r="AB1097" s="8">
        <f t="shared" si="521"/>
        <v>0.42105263157894735</v>
      </c>
      <c r="AC1097" s="16">
        <f t="shared" si="527"/>
        <v>52.13710289668866</v>
      </c>
      <c r="AD1097" s="20">
        <f>'PFAS Properties'!$W$51</f>
        <v>4</v>
      </c>
      <c r="AE1097" s="8">
        <f>'PFAS Properties'!$S$51</f>
        <v>5.7954628943903801</v>
      </c>
      <c r="AF1097" s="2">
        <f>'PFAS Properties'!$V$51</f>
        <v>2.6</v>
      </c>
      <c r="AG1097" s="24">
        <v>6.4</v>
      </c>
      <c r="AH1097" s="2" t="s">
        <v>183</v>
      </c>
      <c r="AI1097" s="2" t="s">
        <v>661</v>
      </c>
      <c r="AJ1097" s="15" t="s">
        <v>661</v>
      </c>
      <c r="AK1097" s="8" t="s">
        <v>661</v>
      </c>
      <c r="AL1097" s="2" t="s">
        <v>661</v>
      </c>
      <c r="AM1097" s="15" t="s">
        <v>661</v>
      </c>
      <c r="AN1097" s="8" t="s">
        <v>661</v>
      </c>
      <c r="AO1097" s="15" t="s">
        <v>661</v>
      </c>
      <c r="AP1097" s="15">
        <v>16.54</v>
      </c>
      <c r="AQ1097" s="13" t="s">
        <v>661</v>
      </c>
      <c r="AR1097" s="16">
        <v>29.38</v>
      </c>
      <c r="AS1097" s="16">
        <v>13.9</v>
      </c>
      <c r="AT1097" s="16">
        <v>56.71</v>
      </c>
      <c r="AU1097" s="15" t="s">
        <v>661</v>
      </c>
      <c r="AV1097" s="16">
        <f t="shared" si="522"/>
        <v>99.990000000000009</v>
      </c>
      <c r="AW1097" s="20">
        <v>0.17</v>
      </c>
      <c r="AX1097" s="8">
        <f t="shared" si="523"/>
        <v>1.7000000000000001E-3</v>
      </c>
      <c r="AY1097" s="8" t="s">
        <v>184</v>
      </c>
      <c r="AZ1097" s="16">
        <v>100</v>
      </c>
      <c r="BA1097" s="16" t="s">
        <v>55</v>
      </c>
      <c r="BB1097" s="16">
        <v>5</v>
      </c>
      <c r="BC1097" s="16" t="s">
        <v>55</v>
      </c>
      <c r="BD1097" s="20">
        <v>0.27</v>
      </c>
      <c r="BE1097" s="16">
        <f t="shared" si="524"/>
        <v>158.8235294117647</v>
      </c>
      <c r="BF1097" s="16">
        <f t="shared" si="525"/>
        <v>2.2009148427807133</v>
      </c>
      <c r="BG1097" s="8">
        <f t="shared" si="526"/>
        <v>-0.56863623584101264</v>
      </c>
      <c r="BH1097" s="13" t="s">
        <v>345</v>
      </c>
      <c r="BI1097" s="13"/>
      <c r="BJ1097" s="13"/>
      <c r="BK1097" s="13"/>
      <c r="BL1097" s="13"/>
      <c r="BM1097" s="17"/>
      <c r="BN1097" s="17"/>
      <c r="BO1097" s="2"/>
    </row>
    <row r="1098" spans="1:67" s="14" customFormat="1" x14ac:dyDescent="0.3">
      <c r="A1098" s="20">
        <v>1120</v>
      </c>
      <c r="B1098" s="2" t="s">
        <v>775</v>
      </c>
      <c r="C1098" s="2">
        <v>2021</v>
      </c>
      <c r="D1098" s="2" t="s">
        <v>203</v>
      </c>
      <c r="E1098" s="10" t="s">
        <v>786</v>
      </c>
      <c r="F1098" s="20" t="s">
        <v>29</v>
      </c>
      <c r="G1098" s="2" t="s">
        <v>116</v>
      </c>
      <c r="H1098" s="2" t="str">
        <f>'PFAS Properties'!$B$52</f>
        <v>6:2 FTS</v>
      </c>
      <c r="I1098" s="2" t="str">
        <f>'PFAS Properties'!$C$52</f>
        <v>FTS</v>
      </c>
      <c r="J1098" s="2" t="str">
        <f>'PFAS Properties'!$D$52</f>
        <v>C8H5F13O3S</v>
      </c>
      <c r="K1098" s="25">
        <f>'PFAS Properties'!$P$52</f>
        <v>427.97499999999997</v>
      </c>
      <c r="L1098" s="2">
        <f>'PFAS Properties'!$X$52</f>
        <v>0.4</v>
      </c>
      <c r="M1098" s="2" t="str">
        <f>'PFAS Properties'!$Y$52</f>
        <v>-</v>
      </c>
      <c r="N1098" s="33">
        <v>0</v>
      </c>
      <c r="O1098" s="33">
        <v>0</v>
      </c>
      <c r="P1098" s="33">
        <v>0</v>
      </c>
      <c r="Q1098" s="33">
        <f t="shared" si="507"/>
        <v>0.99999992920542657</v>
      </c>
      <c r="R1098" s="33">
        <v>0</v>
      </c>
      <c r="S1098" s="33">
        <f t="shared" si="508"/>
        <v>7.0794573426541869E-8</v>
      </c>
      <c r="T1098" s="8">
        <f t="shared" si="516"/>
        <v>1</v>
      </c>
      <c r="U1098" s="33">
        <f t="shared" si="517"/>
        <v>0</v>
      </c>
      <c r="V1098" s="33">
        <f t="shared" si="518"/>
        <v>-0.99999992920542657</v>
      </c>
      <c r="W1098" s="33">
        <f t="shared" si="519"/>
        <v>426.97500007079452</v>
      </c>
      <c r="X1098" s="33">
        <v>96485</v>
      </c>
      <c r="Y1098" s="16">
        <f t="shared" si="520"/>
        <v>-225.97340161224406</v>
      </c>
      <c r="Z1098" s="16">
        <v>8</v>
      </c>
      <c r="AA1098" s="16">
        <v>13</v>
      </c>
      <c r="AB1098" s="8">
        <f t="shared" si="521"/>
        <v>0.38866396761133604</v>
      </c>
      <c r="AC1098" s="16">
        <f t="shared" si="527"/>
        <v>57.713651498335182</v>
      </c>
      <c r="AD1098" s="20">
        <f>'PFAS Properties'!$W$52</f>
        <v>6</v>
      </c>
      <c r="AE1098" s="8">
        <f>'PFAS Properties'!$S$52</f>
        <v>4.0402066275747108</v>
      </c>
      <c r="AF1098" s="2">
        <f>'PFAS Properties'!$V$52</f>
        <v>3.9</v>
      </c>
      <c r="AG1098" s="24">
        <v>7.55</v>
      </c>
      <c r="AH1098" s="15" t="s">
        <v>830</v>
      </c>
      <c r="AI1098" s="2" t="s">
        <v>661</v>
      </c>
      <c r="AJ1098" s="2" t="s">
        <v>661</v>
      </c>
      <c r="AK1098" s="2" t="s">
        <v>661</v>
      </c>
      <c r="AL1098" s="2" t="s">
        <v>661</v>
      </c>
      <c r="AM1098" s="2" t="s">
        <v>661</v>
      </c>
      <c r="AN1098" s="2" t="s">
        <v>661</v>
      </c>
      <c r="AO1098" s="2" t="s">
        <v>661</v>
      </c>
      <c r="AP1098" s="15">
        <v>2.52</v>
      </c>
      <c r="AQ1098" s="16" t="s">
        <v>689</v>
      </c>
      <c r="AR1098" s="16">
        <v>45.3</v>
      </c>
      <c r="AS1098" s="16">
        <v>30</v>
      </c>
      <c r="AT1098" s="16">
        <v>24.7</v>
      </c>
      <c r="AU1098" s="16" t="s">
        <v>664</v>
      </c>
      <c r="AV1098" s="16">
        <f t="shared" si="522"/>
        <v>100</v>
      </c>
      <c r="AW1098" s="20">
        <v>3.4</v>
      </c>
      <c r="AX1098" s="8">
        <f t="shared" si="523"/>
        <v>3.4000000000000002E-2</v>
      </c>
      <c r="AY1098" s="8" t="s">
        <v>342</v>
      </c>
      <c r="AZ1098" s="16">
        <f t="shared" ref="AZ1098:AZ1108" si="528">1/0.01</f>
        <v>100</v>
      </c>
      <c r="BA1098" s="16" t="s">
        <v>55</v>
      </c>
      <c r="BB1098" s="15">
        <f>5*K1098/1000</f>
        <v>2.139875</v>
      </c>
      <c r="BC1098" s="16">
        <f>5000*K1098/1000</f>
        <v>2139.875</v>
      </c>
      <c r="BD1098" s="24">
        <f>181.9*AX1098</f>
        <v>6.1846000000000005</v>
      </c>
      <c r="BE1098" s="16">
        <f t="shared" si="524"/>
        <v>181.9</v>
      </c>
      <c r="BF1098" s="16">
        <f t="shared" si="525"/>
        <v>2.2598326990634834</v>
      </c>
      <c r="BG1098" s="8">
        <f t="shared" si="526"/>
        <v>0.79131161610573875</v>
      </c>
      <c r="BH1098" s="13" t="s">
        <v>343</v>
      </c>
      <c r="BI1098" s="8"/>
      <c r="BJ1098" s="13"/>
      <c r="BK1098" s="15"/>
      <c r="BL1098" s="15"/>
      <c r="BM1098" s="18"/>
      <c r="BN1098" s="8"/>
      <c r="BO1098" s="24"/>
    </row>
    <row r="1099" spans="1:67" s="14" customFormat="1" x14ac:dyDescent="0.3">
      <c r="A1099" s="20">
        <v>1121</v>
      </c>
      <c r="B1099" s="2" t="s">
        <v>775</v>
      </c>
      <c r="C1099" s="2">
        <v>2021</v>
      </c>
      <c r="D1099" s="2" t="s">
        <v>203</v>
      </c>
      <c r="E1099" s="10" t="s">
        <v>786</v>
      </c>
      <c r="F1099" s="20" t="s">
        <v>29</v>
      </c>
      <c r="G1099" s="2" t="s">
        <v>117</v>
      </c>
      <c r="H1099" s="2" t="str">
        <f>'PFAS Properties'!$B$52</f>
        <v>6:2 FTS</v>
      </c>
      <c r="I1099" s="2" t="str">
        <f>'PFAS Properties'!$C$52</f>
        <v>FTS</v>
      </c>
      <c r="J1099" s="2" t="str">
        <f>'PFAS Properties'!$D$52</f>
        <v>C8H5F13O3S</v>
      </c>
      <c r="K1099" s="25">
        <f>'PFAS Properties'!$P$52</f>
        <v>427.97499999999997</v>
      </c>
      <c r="L1099" s="2">
        <f>'PFAS Properties'!$X$52</f>
        <v>0.4</v>
      </c>
      <c r="M1099" s="2" t="str">
        <f>'PFAS Properties'!$Y$52</f>
        <v>-</v>
      </c>
      <c r="N1099" s="33">
        <v>0</v>
      </c>
      <c r="O1099" s="33">
        <v>0</v>
      </c>
      <c r="P1099" s="33">
        <v>0</v>
      </c>
      <c r="Q1099" s="33">
        <f t="shared" si="507"/>
        <v>0.99999998451183403</v>
      </c>
      <c r="R1099" s="33">
        <v>0</v>
      </c>
      <c r="S1099" s="33">
        <f t="shared" si="508"/>
        <v>1.5488165949241471E-8</v>
      </c>
      <c r="T1099" s="8">
        <f t="shared" ref="T1099:T1130" si="529">SUM(N1099:S1099)</f>
        <v>1</v>
      </c>
      <c r="U1099" s="33">
        <f t="shared" si="517"/>
        <v>0</v>
      </c>
      <c r="V1099" s="33">
        <f t="shared" si="518"/>
        <v>-0.99999998451183403</v>
      </c>
      <c r="W1099" s="33">
        <f t="shared" si="519"/>
        <v>426.97500001548809</v>
      </c>
      <c r="X1099" s="33">
        <v>96485</v>
      </c>
      <c r="Y1099" s="16">
        <f t="shared" si="520"/>
        <v>-225.97341413929249</v>
      </c>
      <c r="Z1099" s="16">
        <v>8</v>
      </c>
      <c r="AA1099" s="16">
        <v>13</v>
      </c>
      <c r="AB1099" s="8">
        <f t="shared" si="521"/>
        <v>0.38866396761133604</v>
      </c>
      <c r="AC1099" s="16">
        <f t="shared" si="527"/>
        <v>57.713651498335182</v>
      </c>
      <c r="AD1099" s="20">
        <f>'PFAS Properties'!$W$52</f>
        <v>6</v>
      </c>
      <c r="AE1099" s="8">
        <f>'PFAS Properties'!$S$52</f>
        <v>4.0402066275747108</v>
      </c>
      <c r="AF1099" s="2">
        <f>'PFAS Properties'!$V$52</f>
        <v>3.9</v>
      </c>
      <c r="AG1099" s="24">
        <v>8.2100000000000009</v>
      </c>
      <c r="AH1099" s="15" t="s">
        <v>830</v>
      </c>
      <c r="AI1099" s="2" t="s">
        <v>661</v>
      </c>
      <c r="AJ1099" s="2" t="s">
        <v>661</v>
      </c>
      <c r="AK1099" s="2" t="s">
        <v>661</v>
      </c>
      <c r="AL1099" s="2" t="s">
        <v>661</v>
      </c>
      <c r="AM1099" s="2" t="s">
        <v>661</v>
      </c>
      <c r="AN1099" s="2" t="s">
        <v>661</v>
      </c>
      <c r="AO1099" s="2" t="s">
        <v>661</v>
      </c>
      <c r="AP1099" s="15">
        <v>11.4</v>
      </c>
      <c r="AQ1099" s="16" t="s">
        <v>689</v>
      </c>
      <c r="AR1099" s="16">
        <v>28.7</v>
      </c>
      <c r="AS1099" s="16">
        <v>40</v>
      </c>
      <c r="AT1099" s="16">
        <v>31.3</v>
      </c>
      <c r="AU1099" s="16" t="s">
        <v>664</v>
      </c>
      <c r="AV1099" s="16">
        <f t="shared" si="522"/>
        <v>100</v>
      </c>
      <c r="AW1099" s="20">
        <v>1.7</v>
      </c>
      <c r="AX1099" s="8">
        <f t="shared" si="523"/>
        <v>1.7000000000000001E-2</v>
      </c>
      <c r="AY1099" s="8" t="s">
        <v>342</v>
      </c>
      <c r="AZ1099" s="16">
        <f t="shared" si="528"/>
        <v>100</v>
      </c>
      <c r="BA1099" s="16" t="s">
        <v>55</v>
      </c>
      <c r="BB1099" s="15">
        <f>5*K1099/1000</f>
        <v>2.139875</v>
      </c>
      <c r="BC1099" s="16">
        <f>5000*K1099/1000</f>
        <v>2139.875</v>
      </c>
      <c r="BD1099" s="24">
        <f>85.3*AX1099</f>
        <v>1.4501000000000002</v>
      </c>
      <c r="BE1099" s="16">
        <f t="shared" si="524"/>
        <v>85.3</v>
      </c>
      <c r="BF1099" s="16">
        <f t="shared" si="525"/>
        <v>1.930949031167523</v>
      </c>
      <c r="BG1099" s="8">
        <f t="shared" si="526"/>
        <v>0.161397952545797</v>
      </c>
      <c r="BH1099" s="13" t="s">
        <v>343</v>
      </c>
      <c r="BI1099" s="16"/>
      <c r="BJ1099" s="13"/>
      <c r="BK1099" s="15"/>
      <c r="BL1099" s="16"/>
      <c r="BM1099" s="18"/>
      <c r="BN1099" s="8"/>
      <c r="BO1099" s="24"/>
    </row>
    <row r="1100" spans="1:67" s="14" customFormat="1" x14ac:dyDescent="0.3">
      <c r="A1100" s="20">
        <v>1122</v>
      </c>
      <c r="B1100" s="2" t="s">
        <v>775</v>
      </c>
      <c r="C1100" s="2">
        <v>2021</v>
      </c>
      <c r="D1100" s="2" t="s">
        <v>203</v>
      </c>
      <c r="E1100" s="10" t="s">
        <v>786</v>
      </c>
      <c r="F1100" s="20" t="s">
        <v>29</v>
      </c>
      <c r="G1100" s="2" t="s">
        <v>118</v>
      </c>
      <c r="H1100" s="2" t="str">
        <f>'PFAS Properties'!$B$52</f>
        <v>6:2 FTS</v>
      </c>
      <c r="I1100" s="2" t="str">
        <f>'PFAS Properties'!$C$52</f>
        <v>FTS</v>
      </c>
      <c r="J1100" s="2" t="str">
        <f>'PFAS Properties'!$D$52</f>
        <v>C8H5F13O3S</v>
      </c>
      <c r="K1100" s="25">
        <f>'PFAS Properties'!$P$52</f>
        <v>427.97499999999997</v>
      </c>
      <c r="L1100" s="2">
        <f>'PFAS Properties'!$X$52</f>
        <v>0.4</v>
      </c>
      <c r="M1100" s="2" t="str">
        <f>'PFAS Properties'!$Y$52</f>
        <v>-</v>
      </c>
      <c r="N1100" s="33">
        <v>0</v>
      </c>
      <c r="O1100" s="33">
        <v>0</v>
      </c>
      <c r="P1100" s="33">
        <v>0</v>
      </c>
      <c r="Q1100" s="33">
        <f t="shared" si="507"/>
        <v>0.9999993239174817</v>
      </c>
      <c r="R1100" s="33">
        <v>0</v>
      </c>
      <c r="S1100" s="33">
        <f t="shared" si="508"/>
        <v>6.7608251830410026E-7</v>
      </c>
      <c r="T1100" s="8">
        <f t="shared" si="529"/>
        <v>1</v>
      </c>
      <c r="U1100" s="33">
        <f t="shared" si="517"/>
        <v>0</v>
      </c>
      <c r="V1100" s="33">
        <f t="shared" si="518"/>
        <v>-0.9999993239174817</v>
      </c>
      <c r="W1100" s="33">
        <f t="shared" si="519"/>
        <v>426.97500067608252</v>
      </c>
      <c r="X1100" s="33">
        <v>96485</v>
      </c>
      <c r="Y1100" s="16">
        <f t="shared" si="520"/>
        <v>-225.97326451291448</v>
      </c>
      <c r="Z1100" s="16">
        <v>8</v>
      </c>
      <c r="AA1100" s="16">
        <v>13</v>
      </c>
      <c r="AB1100" s="8">
        <f t="shared" si="521"/>
        <v>0.38866396761133604</v>
      </c>
      <c r="AC1100" s="16">
        <f t="shared" si="527"/>
        <v>57.713651498335182</v>
      </c>
      <c r="AD1100" s="20">
        <f>'PFAS Properties'!$W$52</f>
        <v>6</v>
      </c>
      <c r="AE1100" s="8">
        <f>'PFAS Properties'!$S$52</f>
        <v>4.0402066275747108</v>
      </c>
      <c r="AF1100" s="2">
        <f>'PFAS Properties'!$V$52</f>
        <v>3.9</v>
      </c>
      <c r="AG1100" s="24">
        <v>6.57</v>
      </c>
      <c r="AH1100" s="15" t="s">
        <v>830</v>
      </c>
      <c r="AI1100" s="2" t="s">
        <v>661</v>
      </c>
      <c r="AJ1100" s="2" t="s">
        <v>661</v>
      </c>
      <c r="AK1100" s="2" t="s">
        <v>661</v>
      </c>
      <c r="AL1100" s="2" t="s">
        <v>661</v>
      </c>
      <c r="AM1100" s="2" t="s">
        <v>661</v>
      </c>
      <c r="AN1100" s="2" t="s">
        <v>661</v>
      </c>
      <c r="AO1100" s="2" t="s">
        <v>661</v>
      </c>
      <c r="AP1100" s="15">
        <v>9.93</v>
      </c>
      <c r="AQ1100" s="16" t="s">
        <v>689</v>
      </c>
      <c r="AR1100" s="16">
        <v>20</v>
      </c>
      <c r="AS1100" s="16">
        <v>50</v>
      </c>
      <c r="AT1100" s="16">
        <v>30</v>
      </c>
      <c r="AU1100" s="16" t="s">
        <v>664</v>
      </c>
      <c r="AV1100" s="16">
        <f t="shared" si="522"/>
        <v>100</v>
      </c>
      <c r="AW1100" s="20">
        <v>2.9</v>
      </c>
      <c r="AX1100" s="8">
        <f t="shared" si="523"/>
        <v>2.8999999999999998E-2</v>
      </c>
      <c r="AY1100" s="8" t="s">
        <v>342</v>
      </c>
      <c r="AZ1100" s="16">
        <f t="shared" si="528"/>
        <v>100</v>
      </c>
      <c r="BA1100" s="16" t="s">
        <v>55</v>
      </c>
      <c r="BB1100" s="15">
        <f>5*K1100/1000</f>
        <v>2.139875</v>
      </c>
      <c r="BC1100" s="16">
        <f>5000*K1100/1000</f>
        <v>2139.875</v>
      </c>
      <c r="BD1100" s="24">
        <f>105.7*AX1100</f>
        <v>3.0652999999999997</v>
      </c>
      <c r="BE1100" s="16">
        <f t="shared" si="524"/>
        <v>105.7</v>
      </c>
      <c r="BF1100" s="16">
        <f t="shared" si="525"/>
        <v>2.0240749873074262</v>
      </c>
      <c r="BG1100" s="8">
        <f t="shared" si="526"/>
        <v>0.48647298520638232</v>
      </c>
      <c r="BH1100" s="13" t="s">
        <v>343</v>
      </c>
      <c r="BI1100" s="15"/>
      <c r="BJ1100" s="13"/>
      <c r="BK1100" s="15"/>
      <c r="BL1100" s="15"/>
      <c r="BM1100" s="18"/>
      <c r="BN1100" s="8"/>
      <c r="BO1100" s="24"/>
    </row>
    <row r="1101" spans="1:67" s="14" customFormat="1" x14ac:dyDescent="0.3">
      <c r="A1101" s="20">
        <v>1123</v>
      </c>
      <c r="B1101" s="2" t="s">
        <v>775</v>
      </c>
      <c r="C1101" s="2">
        <v>2021</v>
      </c>
      <c r="D1101" s="2" t="s">
        <v>203</v>
      </c>
      <c r="E1101" s="10" t="s">
        <v>786</v>
      </c>
      <c r="F1101" s="20" t="s">
        <v>29</v>
      </c>
      <c r="G1101" s="2" t="s">
        <v>119</v>
      </c>
      <c r="H1101" s="2" t="str">
        <f>'PFAS Properties'!$B$52</f>
        <v>6:2 FTS</v>
      </c>
      <c r="I1101" s="2" t="str">
        <f>'PFAS Properties'!$C$52</f>
        <v>FTS</v>
      </c>
      <c r="J1101" s="2" t="str">
        <f>'PFAS Properties'!$D$52</f>
        <v>C8H5F13O3S</v>
      </c>
      <c r="K1101" s="25">
        <f>'PFAS Properties'!$P$52</f>
        <v>427.97499999999997</v>
      </c>
      <c r="L1101" s="2">
        <f>'PFAS Properties'!$X$52</f>
        <v>0.4</v>
      </c>
      <c r="M1101" s="2" t="str">
        <f>'PFAS Properties'!$Y$52</f>
        <v>-</v>
      </c>
      <c r="N1101" s="33">
        <v>0</v>
      </c>
      <c r="O1101" s="33">
        <v>0</v>
      </c>
      <c r="P1101" s="33">
        <v>0</v>
      </c>
      <c r="Q1101" s="33">
        <f t="shared" si="507"/>
        <v>0.99992057348559982</v>
      </c>
      <c r="R1101" s="33">
        <v>0</v>
      </c>
      <c r="S1101" s="33">
        <f t="shared" si="508"/>
        <v>7.9426514400130776E-5</v>
      </c>
      <c r="T1101" s="8">
        <f t="shared" si="529"/>
        <v>1</v>
      </c>
      <c r="U1101" s="33">
        <f t="shared" si="517"/>
        <v>0</v>
      </c>
      <c r="V1101" s="33">
        <f t="shared" si="518"/>
        <v>-0.99992057348559982</v>
      </c>
      <c r="W1101" s="33">
        <f t="shared" si="519"/>
        <v>426.9750794265143</v>
      </c>
      <c r="X1101" s="33">
        <v>96485</v>
      </c>
      <c r="Y1101" s="16">
        <f t="shared" si="520"/>
        <v>-225.95542733393316</v>
      </c>
      <c r="Z1101" s="16">
        <v>8</v>
      </c>
      <c r="AA1101" s="16">
        <v>13</v>
      </c>
      <c r="AB1101" s="8">
        <f t="shared" si="521"/>
        <v>0.38866396761133604</v>
      </c>
      <c r="AC1101" s="16">
        <f t="shared" si="527"/>
        <v>57.713651498335182</v>
      </c>
      <c r="AD1101" s="20">
        <f>'PFAS Properties'!$W$52</f>
        <v>6</v>
      </c>
      <c r="AE1101" s="8">
        <f>'PFAS Properties'!$S$52</f>
        <v>4.0402066275747108</v>
      </c>
      <c r="AF1101" s="2">
        <f>'PFAS Properties'!$V$52</f>
        <v>3.9</v>
      </c>
      <c r="AG1101" s="24">
        <v>4.5</v>
      </c>
      <c r="AH1101" s="15" t="s">
        <v>830</v>
      </c>
      <c r="AI1101" s="2" t="s">
        <v>661</v>
      </c>
      <c r="AJ1101" s="2" t="s">
        <v>661</v>
      </c>
      <c r="AK1101" s="2" t="s">
        <v>661</v>
      </c>
      <c r="AL1101" s="2" t="s">
        <v>661</v>
      </c>
      <c r="AM1101" s="2" t="s">
        <v>661</v>
      </c>
      <c r="AN1101" s="2" t="s">
        <v>661</v>
      </c>
      <c r="AO1101" s="2" t="s">
        <v>661</v>
      </c>
      <c r="AP1101" s="72">
        <v>11.497016666666671</v>
      </c>
      <c r="AQ1101" s="70" t="s">
        <v>752</v>
      </c>
      <c r="AR1101" s="16">
        <v>51.2</v>
      </c>
      <c r="AS1101" s="16">
        <v>36.200000000000003</v>
      </c>
      <c r="AT1101" s="16">
        <v>12.6</v>
      </c>
      <c r="AU1101" s="16" t="s">
        <v>664</v>
      </c>
      <c r="AV1101" s="16">
        <f t="shared" si="522"/>
        <v>100</v>
      </c>
      <c r="AW1101" s="20">
        <v>7.3</v>
      </c>
      <c r="AX1101" s="8">
        <f t="shared" si="523"/>
        <v>7.2999999999999995E-2</v>
      </c>
      <c r="AY1101" s="8" t="s">
        <v>342</v>
      </c>
      <c r="AZ1101" s="16">
        <f t="shared" si="528"/>
        <v>100</v>
      </c>
      <c r="BA1101" s="16" t="s">
        <v>55</v>
      </c>
      <c r="BB1101" s="15">
        <f>5*K1101/1000</f>
        <v>2.139875</v>
      </c>
      <c r="BC1101" s="16">
        <f>5000*K1101/1000</f>
        <v>2139.875</v>
      </c>
      <c r="BD1101" s="24">
        <f>83.2*AX1101</f>
        <v>6.0735999999999999</v>
      </c>
      <c r="BE1101" s="16">
        <f t="shared" si="524"/>
        <v>83.2</v>
      </c>
      <c r="BF1101" s="16">
        <f t="shared" si="525"/>
        <v>1.920123326290724</v>
      </c>
      <c r="BG1101" s="8">
        <f t="shared" si="526"/>
        <v>0.7834461864111798</v>
      </c>
      <c r="BH1101" s="13" t="s">
        <v>343</v>
      </c>
      <c r="BI1101" s="15"/>
      <c r="BJ1101" s="13"/>
      <c r="BK1101" s="15"/>
      <c r="BL1101" s="15"/>
      <c r="BM1101" s="18"/>
      <c r="BN1101" s="8"/>
      <c r="BO1101" s="24"/>
    </row>
    <row r="1102" spans="1:67" s="14" customFormat="1" x14ac:dyDescent="0.3">
      <c r="A1102" s="20">
        <v>1124</v>
      </c>
      <c r="B1102" s="2" t="s">
        <v>775</v>
      </c>
      <c r="C1102" s="2">
        <v>2021</v>
      </c>
      <c r="D1102" s="2" t="s">
        <v>203</v>
      </c>
      <c r="E1102" s="10" t="s">
        <v>786</v>
      </c>
      <c r="F1102" s="20" t="s">
        <v>29</v>
      </c>
      <c r="G1102" s="2" t="s">
        <v>120</v>
      </c>
      <c r="H1102" s="2" t="str">
        <f>'PFAS Properties'!$B$52</f>
        <v>6:2 FTS</v>
      </c>
      <c r="I1102" s="2" t="str">
        <f>'PFAS Properties'!$C$52</f>
        <v>FTS</v>
      </c>
      <c r="J1102" s="2" t="str">
        <f>'PFAS Properties'!$D$52</f>
        <v>C8H5F13O3S</v>
      </c>
      <c r="K1102" s="25">
        <f>'PFAS Properties'!$P$52</f>
        <v>427.97499999999997</v>
      </c>
      <c r="L1102" s="2">
        <f>'PFAS Properties'!$X$52</f>
        <v>0.4</v>
      </c>
      <c r="M1102" s="2" t="str">
        <f>'PFAS Properties'!$Y$52</f>
        <v>-</v>
      </c>
      <c r="N1102" s="33">
        <v>0</v>
      </c>
      <c r="O1102" s="33">
        <v>0</v>
      </c>
      <c r="P1102" s="33">
        <v>0</v>
      </c>
      <c r="Q1102" s="33">
        <f t="shared" si="507"/>
        <v>0.9999822175221218</v>
      </c>
      <c r="R1102" s="33">
        <v>0</v>
      </c>
      <c r="S1102" s="33">
        <f t="shared" si="508"/>
        <v>1.7782477878246509E-5</v>
      </c>
      <c r="T1102" s="8">
        <f t="shared" si="529"/>
        <v>1</v>
      </c>
      <c r="U1102" s="33">
        <f t="shared" si="517"/>
        <v>0</v>
      </c>
      <c r="V1102" s="33">
        <f t="shared" si="518"/>
        <v>-0.9999822175221218</v>
      </c>
      <c r="W1102" s="33">
        <f t="shared" si="519"/>
        <v>426.97501778247783</v>
      </c>
      <c r="X1102" s="33">
        <v>96485</v>
      </c>
      <c r="Y1102" s="16">
        <f t="shared" si="520"/>
        <v>-225.96938986902339</v>
      </c>
      <c r="Z1102" s="16">
        <v>8</v>
      </c>
      <c r="AA1102" s="16">
        <v>13</v>
      </c>
      <c r="AB1102" s="8">
        <f t="shared" si="521"/>
        <v>0.38866396761133604</v>
      </c>
      <c r="AC1102" s="16">
        <f t="shared" si="527"/>
        <v>57.713651498335182</v>
      </c>
      <c r="AD1102" s="20">
        <f>'PFAS Properties'!$W$52</f>
        <v>6</v>
      </c>
      <c r="AE1102" s="8">
        <f>'PFAS Properties'!$S$52</f>
        <v>4.0402066275747108</v>
      </c>
      <c r="AF1102" s="2">
        <f>'PFAS Properties'!$V$52</f>
        <v>3.9</v>
      </c>
      <c r="AG1102" s="24">
        <v>5.15</v>
      </c>
      <c r="AH1102" s="2" t="s">
        <v>830</v>
      </c>
      <c r="AI1102" s="2" t="s">
        <v>661</v>
      </c>
      <c r="AJ1102" s="2" t="s">
        <v>661</v>
      </c>
      <c r="AK1102" s="2" t="s">
        <v>661</v>
      </c>
      <c r="AL1102" s="2" t="s">
        <v>661</v>
      </c>
      <c r="AM1102" s="2" t="s">
        <v>661</v>
      </c>
      <c r="AN1102" s="2" t="s">
        <v>661</v>
      </c>
      <c r="AO1102" s="2" t="s">
        <v>661</v>
      </c>
      <c r="AP1102" s="15">
        <v>0.57999999999999996</v>
      </c>
      <c r="AQ1102" s="16" t="s">
        <v>689</v>
      </c>
      <c r="AR1102" s="16">
        <v>59.2</v>
      </c>
      <c r="AS1102" s="16">
        <v>32.200000000000003</v>
      </c>
      <c r="AT1102" s="16">
        <v>8.6</v>
      </c>
      <c r="AU1102" s="16" t="s">
        <v>664</v>
      </c>
      <c r="AV1102" s="16">
        <f t="shared" si="522"/>
        <v>100</v>
      </c>
      <c r="AW1102" s="20">
        <v>1.8</v>
      </c>
      <c r="AX1102" s="8">
        <f t="shared" si="523"/>
        <v>1.8000000000000002E-2</v>
      </c>
      <c r="AY1102" s="13" t="s">
        <v>342</v>
      </c>
      <c r="AZ1102" s="16">
        <f t="shared" si="528"/>
        <v>100</v>
      </c>
      <c r="BA1102" s="16" t="s">
        <v>55</v>
      </c>
      <c r="BB1102" s="15">
        <f>5*K1102/1000</f>
        <v>2.139875</v>
      </c>
      <c r="BC1102" s="16">
        <f>5000*K1102/1000</f>
        <v>2139.875</v>
      </c>
      <c r="BD1102" s="24">
        <f>14.7*AX1102</f>
        <v>0.2646</v>
      </c>
      <c r="BE1102" s="16">
        <f t="shared" si="524"/>
        <v>14.699999999999998</v>
      </c>
      <c r="BF1102" s="16">
        <f t="shared" si="525"/>
        <v>1.167317334748176</v>
      </c>
      <c r="BG1102" s="8">
        <f t="shared" si="526"/>
        <v>-0.57741016014851787</v>
      </c>
      <c r="BH1102" s="13" t="s">
        <v>343</v>
      </c>
      <c r="BI1102" s="15"/>
      <c r="BJ1102" s="13"/>
      <c r="BK1102" s="15"/>
      <c r="BL1102" s="16"/>
      <c r="BM1102" s="18"/>
      <c r="BN1102" s="8"/>
      <c r="BO1102" s="24"/>
    </row>
    <row r="1103" spans="1:67" s="14" customFormat="1" x14ac:dyDescent="0.3">
      <c r="A1103" s="20">
        <v>1125</v>
      </c>
      <c r="B1103" s="2" t="s">
        <v>294</v>
      </c>
      <c r="C1103" s="2">
        <v>2017</v>
      </c>
      <c r="D1103" s="2" t="s">
        <v>203</v>
      </c>
      <c r="E1103" s="22" t="s">
        <v>789</v>
      </c>
      <c r="F1103" s="20" t="s">
        <v>29</v>
      </c>
      <c r="G1103" s="2">
        <v>1</v>
      </c>
      <c r="H1103" s="2" t="str">
        <f>'PFAS Properties'!$B$52</f>
        <v>6:2 FTS</v>
      </c>
      <c r="I1103" s="2" t="str">
        <f>'PFAS Properties'!$C$52</f>
        <v>FTS</v>
      </c>
      <c r="J1103" s="2" t="str">
        <f>'PFAS Properties'!$D$52</f>
        <v>C8H5F13O3S</v>
      </c>
      <c r="K1103" s="25">
        <f>'PFAS Properties'!$P$52</f>
        <v>427.97499999999997</v>
      </c>
      <c r="L1103" s="2">
        <f>'PFAS Properties'!$X$52</f>
        <v>0.4</v>
      </c>
      <c r="M1103" s="2" t="str">
        <f>'PFAS Properties'!$Y$52</f>
        <v>-</v>
      </c>
      <c r="N1103" s="33">
        <v>0</v>
      </c>
      <c r="O1103" s="33">
        <v>0</v>
      </c>
      <c r="P1103" s="33">
        <v>0</v>
      </c>
      <c r="Q1103" s="33">
        <f t="shared" si="507"/>
        <v>0.99998004777494953</v>
      </c>
      <c r="R1103" s="33">
        <v>0</v>
      </c>
      <c r="S1103" s="33">
        <f t="shared" si="508"/>
        <v>1.9952225050461375E-5</v>
      </c>
      <c r="T1103" s="8">
        <f t="shared" si="529"/>
        <v>1</v>
      </c>
      <c r="U1103" s="33">
        <f t="shared" si="517"/>
        <v>0</v>
      </c>
      <c r="V1103" s="33">
        <f t="shared" si="518"/>
        <v>-0.99998004777494953</v>
      </c>
      <c r="W1103" s="33">
        <f t="shared" si="519"/>
        <v>426.97501995222501</v>
      </c>
      <c r="X1103" s="33">
        <v>96485</v>
      </c>
      <c r="Y1103" s="16">
        <f t="shared" si="520"/>
        <v>-225.96889841555992</v>
      </c>
      <c r="Z1103" s="16">
        <v>8</v>
      </c>
      <c r="AA1103" s="16">
        <v>13</v>
      </c>
      <c r="AB1103" s="8">
        <f t="shared" si="521"/>
        <v>0.38866396761133604</v>
      </c>
      <c r="AC1103" s="16">
        <f t="shared" si="527"/>
        <v>57.713651498335182</v>
      </c>
      <c r="AD1103" s="20">
        <f>'PFAS Properties'!$W$52</f>
        <v>6</v>
      </c>
      <c r="AE1103" s="8">
        <f>'PFAS Properties'!$S$52</f>
        <v>4.0402066275747108</v>
      </c>
      <c r="AF1103" s="2">
        <f>'PFAS Properties'!$V$52</f>
        <v>3.9</v>
      </c>
      <c r="AG1103" s="24">
        <v>5.0999999999999996</v>
      </c>
      <c r="AH1103" s="2" t="s">
        <v>831</v>
      </c>
      <c r="AI1103" s="2" t="s">
        <v>661</v>
      </c>
      <c r="AJ1103" s="2" t="s">
        <v>661</v>
      </c>
      <c r="AK1103" s="2" t="s">
        <v>661</v>
      </c>
      <c r="AL1103" s="2" t="s">
        <v>661</v>
      </c>
      <c r="AM1103" s="2" t="s">
        <v>661</v>
      </c>
      <c r="AN1103" s="2" t="s">
        <v>661</v>
      </c>
      <c r="AO1103" s="2" t="s">
        <v>661</v>
      </c>
      <c r="AP1103" s="16">
        <v>14</v>
      </c>
      <c r="AQ1103" s="16" t="s">
        <v>712</v>
      </c>
      <c r="AR1103" s="16">
        <v>6.3</v>
      </c>
      <c r="AS1103" s="16">
        <v>71</v>
      </c>
      <c r="AT1103" s="16">
        <v>22</v>
      </c>
      <c r="AU1103" s="2" t="s">
        <v>661</v>
      </c>
      <c r="AV1103" s="16">
        <f t="shared" si="522"/>
        <v>99.3</v>
      </c>
      <c r="AW1103" s="20">
        <v>1.5</v>
      </c>
      <c r="AX1103" s="8">
        <f t="shared" si="523"/>
        <v>1.4999999999999999E-2</v>
      </c>
      <c r="AY1103" s="8" t="s">
        <v>295</v>
      </c>
      <c r="AZ1103" s="16">
        <f t="shared" si="528"/>
        <v>100</v>
      </c>
      <c r="BA1103" s="16" t="s">
        <v>55</v>
      </c>
      <c r="BB1103" s="15">
        <f t="shared" ref="BB1103:BB1108" si="530">(0.47*K1103)/1000</f>
        <v>0.20114824999999997</v>
      </c>
      <c r="BC1103" s="16">
        <f>(49000*K1103)/1000</f>
        <v>20970.775000000001</v>
      </c>
      <c r="BD1103" s="24">
        <v>5.9</v>
      </c>
      <c r="BE1103" s="16">
        <f t="shared" si="524"/>
        <v>393.33333333333337</v>
      </c>
      <c r="BF1103" s="16">
        <f t="shared" si="525"/>
        <v>2.5947607525864629</v>
      </c>
      <c r="BG1103" s="8">
        <f t="shared" si="526"/>
        <v>0.77085201164214423</v>
      </c>
      <c r="BH1103" s="13" t="s">
        <v>352</v>
      </c>
      <c r="BI1103" s="16"/>
      <c r="BJ1103" s="13"/>
      <c r="BK1103" s="15"/>
      <c r="BL1103" s="15"/>
      <c r="BM1103" s="18"/>
      <c r="BN1103" s="8"/>
      <c r="BO1103" s="24"/>
    </row>
    <row r="1104" spans="1:67" s="14" customFormat="1" x14ac:dyDescent="0.3">
      <c r="A1104" s="20">
        <v>1126</v>
      </c>
      <c r="B1104" s="2" t="s">
        <v>294</v>
      </c>
      <c r="C1104" s="2">
        <v>2017</v>
      </c>
      <c r="D1104" s="2" t="s">
        <v>203</v>
      </c>
      <c r="E1104" s="22" t="s">
        <v>789</v>
      </c>
      <c r="F1104" s="20" t="s">
        <v>29</v>
      </c>
      <c r="G1104" s="2">
        <v>2</v>
      </c>
      <c r="H1104" s="2" t="str">
        <f>'PFAS Properties'!$B$52</f>
        <v>6:2 FTS</v>
      </c>
      <c r="I1104" s="2" t="str">
        <f>'PFAS Properties'!$C$52</f>
        <v>FTS</v>
      </c>
      <c r="J1104" s="2" t="str">
        <f>'PFAS Properties'!$D$52</f>
        <v>C8H5F13O3S</v>
      </c>
      <c r="K1104" s="25">
        <f>'PFAS Properties'!$P$52</f>
        <v>427.97499999999997</v>
      </c>
      <c r="L1104" s="2">
        <f>'PFAS Properties'!$X$52</f>
        <v>0.4</v>
      </c>
      <c r="M1104" s="2" t="str">
        <f>'PFAS Properties'!$Y$52</f>
        <v>-</v>
      </c>
      <c r="N1104" s="33">
        <v>0</v>
      </c>
      <c r="O1104" s="33">
        <v>0</v>
      </c>
      <c r="P1104" s="33">
        <v>0</v>
      </c>
      <c r="Q1104" s="33">
        <f t="shared" si="507"/>
        <v>0.99999205678074798</v>
      </c>
      <c r="R1104" s="33">
        <v>0</v>
      </c>
      <c r="S1104" s="33">
        <f t="shared" si="508"/>
        <v>7.9432192520095431E-6</v>
      </c>
      <c r="T1104" s="8">
        <f t="shared" si="529"/>
        <v>1</v>
      </c>
      <c r="U1104" s="33">
        <f t="shared" si="517"/>
        <v>0</v>
      </c>
      <c r="V1104" s="33">
        <f t="shared" si="518"/>
        <v>-0.99999205678074798</v>
      </c>
      <c r="W1104" s="33">
        <f t="shared" si="519"/>
        <v>426.97500794321923</v>
      </c>
      <c r="X1104" s="33">
        <v>96485</v>
      </c>
      <c r="Y1104" s="16">
        <f t="shared" si="520"/>
        <v>-225.97161848714413</v>
      </c>
      <c r="Z1104" s="16">
        <v>8</v>
      </c>
      <c r="AA1104" s="16">
        <v>13</v>
      </c>
      <c r="AB1104" s="8">
        <f t="shared" si="521"/>
        <v>0.38866396761133604</v>
      </c>
      <c r="AC1104" s="16">
        <f t="shared" si="527"/>
        <v>57.713651498335182</v>
      </c>
      <c r="AD1104" s="20">
        <f>'PFAS Properties'!$W$52</f>
        <v>6</v>
      </c>
      <c r="AE1104" s="8">
        <f>'PFAS Properties'!$S$52</f>
        <v>4.0402066275747108</v>
      </c>
      <c r="AF1104" s="2">
        <f>'PFAS Properties'!$V$52</f>
        <v>3.9</v>
      </c>
      <c r="AG1104" s="24">
        <v>5.5</v>
      </c>
      <c r="AH1104" s="2" t="s">
        <v>831</v>
      </c>
      <c r="AI1104" s="2" t="s">
        <v>661</v>
      </c>
      <c r="AJ1104" s="2" t="s">
        <v>661</v>
      </c>
      <c r="AK1104" s="2" t="s">
        <v>661</v>
      </c>
      <c r="AL1104" s="2" t="s">
        <v>661</v>
      </c>
      <c r="AM1104" s="2" t="s">
        <v>661</v>
      </c>
      <c r="AN1104" s="2" t="s">
        <v>661</v>
      </c>
      <c r="AO1104" s="2" t="s">
        <v>661</v>
      </c>
      <c r="AP1104" s="16">
        <v>22</v>
      </c>
      <c r="AQ1104" s="16" t="s">
        <v>712</v>
      </c>
      <c r="AR1104" s="16">
        <v>10</v>
      </c>
      <c r="AS1104" s="16">
        <v>64</v>
      </c>
      <c r="AT1104" s="16">
        <v>26</v>
      </c>
      <c r="AU1104" s="2" t="s">
        <v>661</v>
      </c>
      <c r="AV1104" s="16">
        <f t="shared" si="522"/>
        <v>100</v>
      </c>
      <c r="AW1104" s="20">
        <v>0.12</v>
      </c>
      <c r="AX1104" s="8">
        <f t="shared" si="523"/>
        <v>1.1999999999999999E-3</v>
      </c>
      <c r="AY1104" s="8" t="s">
        <v>295</v>
      </c>
      <c r="AZ1104" s="16">
        <f t="shared" si="528"/>
        <v>100</v>
      </c>
      <c r="BA1104" s="16" t="s">
        <v>55</v>
      </c>
      <c r="BB1104" s="15">
        <f t="shared" si="530"/>
        <v>0.20114824999999997</v>
      </c>
      <c r="BC1104" s="16">
        <f>(120*K1104)/1000</f>
        <v>51.356999999999992</v>
      </c>
      <c r="BD1104" s="24">
        <v>5.7</v>
      </c>
      <c r="BE1104" s="16">
        <f t="shared" si="524"/>
        <v>4750.0000000000009</v>
      </c>
      <c r="BF1104" s="16">
        <f t="shared" si="525"/>
        <v>3.6766936096248668</v>
      </c>
      <c r="BG1104" s="8">
        <f t="shared" si="526"/>
        <v>0.75587485567249146</v>
      </c>
      <c r="BH1104" s="13" t="s">
        <v>352</v>
      </c>
      <c r="BI1104" s="16"/>
      <c r="BJ1104" s="13"/>
      <c r="BK1104" s="15"/>
      <c r="BL1104" s="16"/>
      <c r="BM1104" s="18"/>
      <c r="BN1104" s="8"/>
      <c r="BO1104" s="24"/>
    </row>
    <row r="1105" spans="1:67" s="14" customFormat="1" x14ac:dyDescent="0.3">
      <c r="A1105" s="20">
        <v>1127</v>
      </c>
      <c r="B1105" s="2" t="s">
        <v>294</v>
      </c>
      <c r="C1105" s="2">
        <v>2017</v>
      </c>
      <c r="D1105" s="2" t="s">
        <v>203</v>
      </c>
      <c r="E1105" s="22" t="s">
        <v>789</v>
      </c>
      <c r="F1105" s="20" t="s">
        <v>29</v>
      </c>
      <c r="G1105" s="2">
        <v>3</v>
      </c>
      <c r="H1105" s="2" t="str">
        <f>'PFAS Properties'!$B$52</f>
        <v>6:2 FTS</v>
      </c>
      <c r="I1105" s="2" t="str">
        <f>'PFAS Properties'!$C$52</f>
        <v>FTS</v>
      </c>
      <c r="J1105" s="2" t="str">
        <f>'PFAS Properties'!$D$52</f>
        <v>C8H5F13O3S</v>
      </c>
      <c r="K1105" s="25">
        <f>'PFAS Properties'!$P$52</f>
        <v>427.97499999999997</v>
      </c>
      <c r="L1105" s="2">
        <f>'PFAS Properties'!$X$52</f>
        <v>0.4</v>
      </c>
      <c r="M1105" s="2" t="str">
        <f>'PFAS Properties'!$Y$52</f>
        <v>-</v>
      </c>
      <c r="N1105" s="33">
        <v>0</v>
      </c>
      <c r="O1105" s="33">
        <v>0</v>
      </c>
      <c r="P1105" s="33">
        <v>0</v>
      </c>
      <c r="Q1105" s="33">
        <f t="shared" si="507"/>
        <v>0.99998004777494953</v>
      </c>
      <c r="R1105" s="33">
        <v>0</v>
      </c>
      <c r="S1105" s="33">
        <f t="shared" si="508"/>
        <v>1.9952225050461375E-5</v>
      </c>
      <c r="T1105" s="8">
        <f t="shared" si="529"/>
        <v>1</v>
      </c>
      <c r="U1105" s="33">
        <f t="shared" si="517"/>
        <v>0</v>
      </c>
      <c r="V1105" s="33">
        <f t="shared" si="518"/>
        <v>-0.99998004777494953</v>
      </c>
      <c r="W1105" s="33">
        <f t="shared" si="519"/>
        <v>426.97501995222501</v>
      </c>
      <c r="X1105" s="33">
        <v>96485</v>
      </c>
      <c r="Y1105" s="16">
        <f t="shared" si="520"/>
        <v>-225.96889841555992</v>
      </c>
      <c r="Z1105" s="16">
        <v>8</v>
      </c>
      <c r="AA1105" s="16">
        <v>13</v>
      </c>
      <c r="AB1105" s="8">
        <f t="shared" si="521"/>
        <v>0.38866396761133604</v>
      </c>
      <c r="AC1105" s="16">
        <f t="shared" si="527"/>
        <v>57.713651498335182</v>
      </c>
      <c r="AD1105" s="20">
        <f>'PFAS Properties'!$W$52</f>
        <v>6</v>
      </c>
      <c r="AE1105" s="8">
        <f>'PFAS Properties'!$S$52</f>
        <v>4.0402066275747108</v>
      </c>
      <c r="AF1105" s="2">
        <f>'PFAS Properties'!$V$52</f>
        <v>3.9</v>
      </c>
      <c r="AG1105" s="24">
        <v>5.0999999999999996</v>
      </c>
      <c r="AH1105" s="2" t="s">
        <v>831</v>
      </c>
      <c r="AI1105" s="2" t="s">
        <v>661</v>
      </c>
      <c r="AJ1105" s="2" t="s">
        <v>661</v>
      </c>
      <c r="AK1105" s="2" t="s">
        <v>661</v>
      </c>
      <c r="AL1105" s="2" t="s">
        <v>661</v>
      </c>
      <c r="AM1105" s="2" t="s">
        <v>661</v>
      </c>
      <c r="AN1105" s="2" t="s">
        <v>661</v>
      </c>
      <c r="AO1105" s="2" t="s">
        <v>661</v>
      </c>
      <c r="AP1105" s="16">
        <v>17</v>
      </c>
      <c r="AQ1105" s="16" t="s">
        <v>712</v>
      </c>
      <c r="AR1105" s="16">
        <v>14</v>
      </c>
      <c r="AS1105" s="16">
        <v>39</v>
      </c>
      <c r="AT1105" s="16">
        <v>48</v>
      </c>
      <c r="AU1105" s="2" t="s">
        <v>661</v>
      </c>
      <c r="AV1105" s="16">
        <f t="shared" si="522"/>
        <v>101</v>
      </c>
      <c r="AW1105" s="20">
        <v>2.2999999999999998</v>
      </c>
      <c r="AX1105" s="8">
        <f t="shared" si="523"/>
        <v>2.3E-2</v>
      </c>
      <c r="AY1105" s="8" t="s">
        <v>295</v>
      </c>
      <c r="AZ1105" s="16">
        <f t="shared" si="528"/>
        <v>100</v>
      </c>
      <c r="BA1105" s="16" t="s">
        <v>55</v>
      </c>
      <c r="BB1105" s="15">
        <f t="shared" si="530"/>
        <v>0.20114824999999997</v>
      </c>
      <c r="BC1105" s="16">
        <f>(120*K1105)/1000</f>
        <v>51.356999999999992</v>
      </c>
      <c r="BD1105" s="24">
        <v>6.2</v>
      </c>
      <c r="BE1105" s="16">
        <f t="shared" si="524"/>
        <v>269.56521739130437</v>
      </c>
      <c r="BF1105" s="16">
        <f t="shared" si="525"/>
        <v>2.4306638534806608</v>
      </c>
      <c r="BG1105" s="8">
        <f t="shared" si="526"/>
        <v>0.79239168949825389</v>
      </c>
      <c r="BH1105" s="13" t="s">
        <v>352</v>
      </c>
      <c r="BI1105" s="15"/>
      <c r="BJ1105" s="13"/>
      <c r="BK1105" s="15"/>
      <c r="BL1105" s="15"/>
      <c r="BM1105" s="18"/>
      <c r="BN1105" s="8"/>
      <c r="BO1105" s="24"/>
    </row>
    <row r="1106" spans="1:67" s="14" customFormat="1" x14ac:dyDescent="0.3">
      <c r="A1106" s="20">
        <v>1128</v>
      </c>
      <c r="B1106" s="2" t="s">
        <v>294</v>
      </c>
      <c r="C1106" s="2">
        <v>2017</v>
      </c>
      <c r="D1106" s="2" t="s">
        <v>203</v>
      </c>
      <c r="E1106" s="22" t="s">
        <v>789</v>
      </c>
      <c r="F1106" s="20" t="s">
        <v>29</v>
      </c>
      <c r="G1106" s="2">
        <v>4</v>
      </c>
      <c r="H1106" s="2" t="str">
        <f>'PFAS Properties'!$B$52</f>
        <v>6:2 FTS</v>
      </c>
      <c r="I1106" s="2" t="str">
        <f>'PFAS Properties'!$C$52</f>
        <v>FTS</v>
      </c>
      <c r="J1106" s="2" t="str">
        <f>'PFAS Properties'!$D$52</f>
        <v>C8H5F13O3S</v>
      </c>
      <c r="K1106" s="25">
        <f>'PFAS Properties'!$P$52</f>
        <v>427.97499999999997</v>
      </c>
      <c r="L1106" s="2">
        <f>'PFAS Properties'!$X$52</f>
        <v>0.4</v>
      </c>
      <c r="M1106" s="2" t="str">
        <f>'PFAS Properties'!$Y$52</f>
        <v>-</v>
      </c>
      <c r="N1106" s="33">
        <v>0</v>
      </c>
      <c r="O1106" s="33">
        <v>0</v>
      </c>
      <c r="P1106" s="33">
        <v>0</v>
      </c>
      <c r="Q1106" s="33">
        <f t="shared" si="507"/>
        <v>0.99997488176662641</v>
      </c>
      <c r="R1106" s="33">
        <v>0</v>
      </c>
      <c r="S1106" s="33">
        <f t="shared" si="508"/>
        <v>2.5118233373599843E-5</v>
      </c>
      <c r="T1106" s="8">
        <f t="shared" si="529"/>
        <v>1</v>
      </c>
      <c r="U1106" s="33">
        <f t="shared" si="517"/>
        <v>0</v>
      </c>
      <c r="V1106" s="33">
        <f t="shared" si="518"/>
        <v>-0.99997488176662641</v>
      </c>
      <c r="W1106" s="33">
        <f t="shared" si="519"/>
        <v>426.97502511823336</v>
      </c>
      <c r="X1106" s="33">
        <v>96485</v>
      </c>
      <c r="Y1106" s="16">
        <f t="shared" si="520"/>
        <v>-225.96772830105468</v>
      </c>
      <c r="Z1106" s="16">
        <v>8</v>
      </c>
      <c r="AA1106" s="16">
        <v>13</v>
      </c>
      <c r="AB1106" s="8">
        <f t="shared" si="521"/>
        <v>0.38866396761133604</v>
      </c>
      <c r="AC1106" s="16">
        <f t="shared" si="527"/>
        <v>57.713651498335182</v>
      </c>
      <c r="AD1106" s="20">
        <f>'PFAS Properties'!$W$52</f>
        <v>6</v>
      </c>
      <c r="AE1106" s="8">
        <f>'PFAS Properties'!$S$52</f>
        <v>4.0402066275747108</v>
      </c>
      <c r="AF1106" s="2">
        <f>'PFAS Properties'!$V$52</f>
        <v>3.9</v>
      </c>
      <c r="AG1106" s="24">
        <v>5</v>
      </c>
      <c r="AH1106" s="2" t="s">
        <v>831</v>
      </c>
      <c r="AI1106" s="2" t="s">
        <v>661</v>
      </c>
      <c r="AJ1106" s="2" t="s">
        <v>661</v>
      </c>
      <c r="AK1106" s="2" t="s">
        <v>661</v>
      </c>
      <c r="AL1106" s="2" t="s">
        <v>661</v>
      </c>
      <c r="AM1106" s="2" t="s">
        <v>661</v>
      </c>
      <c r="AN1106" s="2" t="s">
        <v>661</v>
      </c>
      <c r="AO1106" s="2" t="s">
        <v>661</v>
      </c>
      <c r="AP1106" s="16">
        <v>36</v>
      </c>
      <c r="AQ1106" s="16" t="s">
        <v>712</v>
      </c>
      <c r="AR1106" s="16">
        <v>37</v>
      </c>
      <c r="AS1106" s="16">
        <v>45</v>
      </c>
      <c r="AT1106" s="16">
        <v>18</v>
      </c>
      <c r="AU1106" s="2" t="s">
        <v>661</v>
      </c>
      <c r="AV1106" s="16">
        <f t="shared" si="522"/>
        <v>100</v>
      </c>
      <c r="AW1106" s="20">
        <v>7.7</v>
      </c>
      <c r="AX1106" s="8">
        <f t="shared" si="523"/>
        <v>7.6999999999999999E-2</v>
      </c>
      <c r="AY1106" s="8" t="s">
        <v>295</v>
      </c>
      <c r="AZ1106" s="16">
        <f t="shared" si="528"/>
        <v>100</v>
      </c>
      <c r="BA1106" s="16" t="s">
        <v>55</v>
      </c>
      <c r="BB1106" s="15">
        <f t="shared" si="530"/>
        <v>0.20114824999999997</v>
      </c>
      <c r="BC1106" s="16">
        <f>(120*K1106)/1000</f>
        <v>51.356999999999992</v>
      </c>
      <c r="BD1106" s="24">
        <v>13</v>
      </c>
      <c r="BE1106" s="16">
        <f t="shared" si="524"/>
        <v>168.83116883116884</v>
      </c>
      <c r="BF1106" s="16">
        <f t="shared" si="525"/>
        <v>2.2274526271343551</v>
      </c>
      <c r="BG1106" s="8">
        <f t="shared" si="526"/>
        <v>1.1139433523068367</v>
      </c>
      <c r="BH1106" s="13" t="s">
        <v>352</v>
      </c>
      <c r="BI1106" s="15"/>
      <c r="BJ1106" s="13"/>
      <c r="BK1106" s="15"/>
      <c r="BL1106" s="15"/>
      <c r="BM1106" s="18"/>
      <c r="BN1106" s="8"/>
      <c r="BO1106" s="24"/>
    </row>
    <row r="1107" spans="1:67" s="14" customFormat="1" x14ac:dyDescent="0.3">
      <c r="A1107" s="20">
        <v>1129</v>
      </c>
      <c r="B1107" s="2" t="s">
        <v>294</v>
      </c>
      <c r="C1107" s="2">
        <v>2017</v>
      </c>
      <c r="D1107" s="2" t="s">
        <v>203</v>
      </c>
      <c r="E1107" s="22" t="s">
        <v>789</v>
      </c>
      <c r="F1107" s="20" t="s">
        <v>29</v>
      </c>
      <c r="G1107" s="2">
        <v>5</v>
      </c>
      <c r="H1107" s="2" t="str">
        <f>'PFAS Properties'!$B$52</f>
        <v>6:2 FTS</v>
      </c>
      <c r="I1107" s="2" t="str">
        <f>'PFAS Properties'!$C$52</f>
        <v>FTS</v>
      </c>
      <c r="J1107" s="2" t="str">
        <f>'PFAS Properties'!$D$52</f>
        <v>C8H5F13O3S</v>
      </c>
      <c r="K1107" s="25">
        <f>'PFAS Properties'!$P$52</f>
        <v>427.97499999999997</v>
      </c>
      <c r="L1107" s="2">
        <f>'PFAS Properties'!$X$52</f>
        <v>0.4</v>
      </c>
      <c r="M1107" s="2" t="str">
        <f>'PFAS Properties'!$Y$52</f>
        <v>-</v>
      </c>
      <c r="N1107" s="33">
        <v>0</v>
      </c>
      <c r="O1107" s="33">
        <v>0</v>
      </c>
      <c r="P1107" s="33">
        <v>0</v>
      </c>
      <c r="Q1107" s="33">
        <f t="shared" si="507"/>
        <v>0.99997488176662641</v>
      </c>
      <c r="R1107" s="33">
        <v>0</v>
      </c>
      <c r="S1107" s="33">
        <f t="shared" si="508"/>
        <v>2.5118233373599843E-5</v>
      </c>
      <c r="T1107" s="8">
        <f t="shared" si="529"/>
        <v>1</v>
      </c>
      <c r="U1107" s="33">
        <f t="shared" si="517"/>
        <v>0</v>
      </c>
      <c r="V1107" s="33">
        <f t="shared" si="518"/>
        <v>-0.99997488176662641</v>
      </c>
      <c r="W1107" s="33">
        <f t="shared" si="519"/>
        <v>426.97502511823336</v>
      </c>
      <c r="X1107" s="33">
        <v>96485</v>
      </c>
      <c r="Y1107" s="16">
        <f t="shared" si="520"/>
        <v>-225.96772830105468</v>
      </c>
      <c r="Z1107" s="16">
        <v>8</v>
      </c>
      <c r="AA1107" s="16">
        <v>13</v>
      </c>
      <c r="AB1107" s="8">
        <f t="shared" si="521"/>
        <v>0.38866396761133604</v>
      </c>
      <c r="AC1107" s="16">
        <f t="shared" si="527"/>
        <v>57.713651498335182</v>
      </c>
      <c r="AD1107" s="20">
        <f>'PFAS Properties'!$W$52</f>
        <v>6</v>
      </c>
      <c r="AE1107" s="8">
        <f>'PFAS Properties'!$S$52</f>
        <v>4.0402066275747108</v>
      </c>
      <c r="AF1107" s="2">
        <f>'PFAS Properties'!$V$52</f>
        <v>3.9</v>
      </c>
      <c r="AG1107" s="24">
        <v>5</v>
      </c>
      <c r="AH1107" s="2" t="s">
        <v>831</v>
      </c>
      <c r="AI1107" s="2" t="s">
        <v>661</v>
      </c>
      <c r="AJ1107" s="2" t="s">
        <v>661</v>
      </c>
      <c r="AK1107" s="2" t="s">
        <v>661</v>
      </c>
      <c r="AL1107" s="2" t="s">
        <v>661</v>
      </c>
      <c r="AM1107" s="2" t="s">
        <v>661</v>
      </c>
      <c r="AN1107" s="2" t="s">
        <v>661</v>
      </c>
      <c r="AO1107" s="2" t="s">
        <v>661</v>
      </c>
      <c r="AP1107" s="16">
        <v>16</v>
      </c>
      <c r="AQ1107" s="16" t="s">
        <v>712</v>
      </c>
      <c r="AR1107" s="16">
        <v>4.8</v>
      </c>
      <c r="AS1107" s="16">
        <v>72</v>
      </c>
      <c r="AT1107" s="16">
        <v>23</v>
      </c>
      <c r="AU1107" s="2" t="s">
        <v>661</v>
      </c>
      <c r="AV1107" s="16">
        <f t="shared" si="522"/>
        <v>99.8</v>
      </c>
      <c r="AW1107" s="20">
        <v>1</v>
      </c>
      <c r="AX1107" s="8">
        <f t="shared" si="523"/>
        <v>0.01</v>
      </c>
      <c r="AY1107" s="8" t="s">
        <v>295</v>
      </c>
      <c r="AZ1107" s="16">
        <f t="shared" si="528"/>
        <v>100</v>
      </c>
      <c r="BA1107" s="16" t="s">
        <v>55</v>
      </c>
      <c r="BB1107" s="15">
        <f t="shared" si="530"/>
        <v>0.20114824999999997</v>
      </c>
      <c r="BC1107" s="16">
        <f>(120*K1107)/1000</f>
        <v>51.356999999999992</v>
      </c>
      <c r="BD1107" s="24">
        <v>6.4</v>
      </c>
      <c r="BE1107" s="16">
        <f t="shared" si="524"/>
        <v>640</v>
      </c>
      <c r="BF1107" s="16">
        <f t="shared" si="525"/>
        <v>2.8061799739838871</v>
      </c>
      <c r="BG1107" s="8">
        <f t="shared" si="526"/>
        <v>0.80617997398388719</v>
      </c>
      <c r="BH1107" s="13" t="s">
        <v>352</v>
      </c>
      <c r="BI1107" s="16"/>
      <c r="BJ1107" s="13"/>
      <c r="BK1107" s="15"/>
      <c r="BL1107" s="16"/>
      <c r="BM1107" s="18"/>
      <c r="BN1107" s="8"/>
      <c r="BO1107" s="24"/>
    </row>
    <row r="1108" spans="1:67" s="14" customFormat="1" x14ac:dyDescent="0.3">
      <c r="A1108" s="20">
        <v>1130</v>
      </c>
      <c r="B1108" s="2" t="s">
        <v>294</v>
      </c>
      <c r="C1108" s="2">
        <v>2017</v>
      </c>
      <c r="D1108" s="2" t="s">
        <v>203</v>
      </c>
      <c r="E1108" s="22" t="s">
        <v>789</v>
      </c>
      <c r="F1108" s="20" t="s">
        <v>29</v>
      </c>
      <c r="G1108" s="2">
        <v>6</v>
      </c>
      <c r="H1108" s="2" t="str">
        <f>'PFAS Properties'!$B$52</f>
        <v>6:2 FTS</v>
      </c>
      <c r="I1108" s="2" t="str">
        <f>'PFAS Properties'!$C$52</f>
        <v>FTS</v>
      </c>
      <c r="J1108" s="2" t="str">
        <f>'PFAS Properties'!$D$52</f>
        <v>C8H5F13O3S</v>
      </c>
      <c r="K1108" s="25">
        <f>'PFAS Properties'!$P$52</f>
        <v>427.97499999999997</v>
      </c>
      <c r="L1108" s="2">
        <f>'PFAS Properties'!$X$52</f>
        <v>0.4</v>
      </c>
      <c r="M1108" s="2" t="str">
        <f>'PFAS Properties'!$Y$52</f>
        <v>-</v>
      </c>
      <c r="N1108" s="33">
        <v>0</v>
      </c>
      <c r="O1108" s="33">
        <v>0</v>
      </c>
      <c r="P1108" s="33">
        <v>0</v>
      </c>
      <c r="Q1108" s="33">
        <f t="shared" si="507"/>
        <v>0.99998415131926011</v>
      </c>
      <c r="R1108" s="33">
        <v>0</v>
      </c>
      <c r="S1108" s="33">
        <f t="shared" si="508"/>
        <v>1.5848680739948987E-5</v>
      </c>
      <c r="T1108" s="8">
        <f t="shared" si="529"/>
        <v>1</v>
      </c>
      <c r="U1108" s="33">
        <f t="shared" si="517"/>
        <v>0</v>
      </c>
      <c r="V1108" s="33">
        <f t="shared" si="518"/>
        <v>-0.99998415131926011</v>
      </c>
      <c r="W1108" s="33">
        <f t="shared" si="519"/>
        <v>426.97501584868075</v>
      </c>
      <c r="X1108" s="33">
        <v>96485</v>
      </c>
      <c r="Y1108" s="16">
        <f t="shared" si="520"/>
        <v>-225.96982787918532</v>
      </c>
      <c r="Z1108" s="16">
        <v>8</v>
      </c>
      <c r="AA1108" s="16">
        <v>13</v>
      </c>
      <c r="AB1108" s="8">
        <f t="shared" si="521"/>
        <v>0.38866396761133604</v>
      </c>
      <c r="AC1108" s="16">
        <f t="shared" si="527"/>
        <v>57.713651498335182</v>
      </c>
      <c r="AD1108" s="20">
        <f>'PFAS Properties'!$W$52</f>
        <v>6</v>
      </c>
      <c r="AE1108" s="8">
        <f>'PFAS Properties'!$S$52</f>
        <v>4.0402066275747108</v>
      </c>
      <c r="AF1108" s="2">
        <f>'PFAS Properties'!$V$52</f>
        <v>3.9</v>
      </c>
      <c r="AG1108" s="24">
        <v>5.2</v>
      </c>
      <c r="AH1108" s="2" t="s">
        <v>831</v>
      </c>
      <c r="AI1108" s="2" t="s">
        <v>661</v>
      </c>
      <c r="AJ1108" s="2" t="s">
        <v>661</v>
      </c>
      <c r="AK1108" s="2" t="s">
        <v>661</v>
      </c>
      <c r="AL1108" s="2" t="s">
        <v>661</v>
      </c>
      <c r="AM1108" s="2" t="s">
        <v>661</v>
      </c>
      <c r="AN1108" s="2" t="s">
        <v>661</v>
      </c>
      <c r="AO1108" s="2" t="s">
        <v>661</v>
      </c>
      <c r="AP1108" s="16">
        <v>16</v>
      </c>
      <c r="AQ1108" s="16" t="s">
        <v>712</v>
      </c>
      <c r="AR1108" s="16">
        <v>3.6</v>
      </c>
      <c r="AS1108" s="16">
        <v>73</v>
      </c>
      <c r="AT1108" s="16">
        <v>24</v>
      </c>
      <c r="AU1108" s="15" t="s">
        <v>661</v>
      </c>
      <c r="AV1108" s="16">
        <f t="shared" si="522"/>
        <v>100.6</v>
      </c>
      <c r="AW1108" s="20">
        <v>9.8000000000000004E-2</v>
      </c>
      <c r="AX1108" s="8">
        <f t="shared" si="523"/>
        <v>9.7999999999999997E-4</v>
      </c>
      <c r="AY1108" s="8" t="s">
        <v>295</v>
      </c>
      <c r="AZ1108" s="16">
        <f t="shared" si="528"/>
        <v>100</v>
      </c>
      <c r="BA1108" s="16" t="s">
        <v>55</v>
      </c>
      <c r="BB1108" s="15">
        <f t="shared" si="530"/>
        <v>0.20114824999999997</v>
      </c>
      <c r="BC1108" s="16">
        <f>(120*K1108)/1000</f>
        <v>51.356999999999992</v>
      </c>
      <c r="BD1108" s="24">
        <v>6.6</v>
      </c>
      <c r="BE1108" s="16">
        <f t="shared" si="524"/>
        <v>6734.6938775510207</v>
      </c>
      <c r="BF1108" s="16">
        <f t="shared" si="525"/>
        <v>3.8283178598493737</v>
      </c>
      <c r="BG1108" s="8">
        <f t="shared" si="526"/>
        <v>0.81954393554186866</v>
      </c>
      <c r="BH1108" s="13" t="s">
        <v>352</v>
      </c>
      <c r="BI1108" s="16"/>
      <c r="BJ1108" s="13"/>
      <c r="BK1108" s="15"/>
      <c r="BL1108" s="16"/>
      <c r="BM1108" s="18"/>
      <c r="BN1108" s="8"/>
      <c r="BO1108" s="24"/>
    </row>
    <row r="1109" spans="1:67" s="14" customFormat="1" x14ac:dyDescent="0.3">
      <c r="A1109" s="20">
        <v>1131</v>
      </c>
      <c r="B1109" s="2" t="s">
        <v>195</v>
      </c>
      <c r="C1109" s="2">
        <v>2022</v>
      </c>
      <c r="D1109" s="2" t="s">
        <v>199</v>
      </c>
      <c r="E1109" s="22" t="s">
        <v>798</v>
      </c>
      <c r="F1109" s="20" t="s">
        <v>29</v>
      </c>
      <c r="G1109" s="2" t="s">
        <v>237</v>
      </c>
      <c r="H1109" s="2" t="str">
        <f>'PFAS Properties'!$B$52</f>
        <v>6:2 FTS</v>
      </c>
      <c r="I1109" s="2" t="str">
        <f>'PFAS Properties'!$C$52</f>
        <v>FTS</v>
      </c>
      <c r="J1109" s="2" t="str">
        <f>'PFAS Properties'!$D$52</f>
        <v>C8H5F13O3S</v>
      </c>
      <c r="K1109" s="25">
        <f>'PFAS Properties'!$P$52</f>
        <v>427.97499999999997</v>
      </c>
      <c r="L1109" s="2">
        <f>'PFAS Properties'!$X$52</f>
        <v>0.4</v>
      </c>
      <c r="M1109" s="2" t="str">
        <f>'PFAS Properties'!$Y$52</f>
        <v>-</v>
      </c>
      <c r="N1109" s="33">
        <v>0</v>
      </c>
      <c r="O1109" s="33">
        <v>0</v>
      </c>
      <c r="P1109" s="33">
        <v>0</v>
      </c>
      <c r="Q1109" s="33">
        <f t="shared" si="507"/>
        <v>0.9993694405116601</v>
      </c>
      <c r="R1109" s="33">
        <v>0</v>
      </c>
      <c r="S1109" s="33">
        <f t="shared" si="508"/>
        <v>6.3055948833989266E-4</v>
      </c>
      <c r="T1109" s="8">
        <f t="shared" si="529"/>
        <v>1</v>
      </c>
      <c r="U1109" s="33">
        <f t="shared" si="517"/>
        <v>0</v>
      </c>
      <c r="V1109" s="33">
        <f t="shared" si="518"/>
        <v>-0.9993694405116601</v>
      </c>
      <c r="W1109" s="33">
        <f t="shared" si="519"/>
        <v>426.97563055948831</v>
      </c>
      <c r="X1109" s="33">
        <v>96485</v>
      </c>
      <c r="Y1109" s="16">
        <f t="shared" si="520"/>
        <v>-225.83059445668582</v>
      </c>
      <c r="Z1109" s="16">
        <v>8</v>
      </c>
      <c r="AA1109" s="16">
        <v>13</v>
      </c>
      <c r="AB1109" s="8">
        <f t="shared" si="521"/>
        <v>0.38866396761133604</v>
      </c>
      <c r="AC1109" s="16">
        <f t="shared" si="527"/>
        <v>57.713651498335182</v>
      </c>
      <c r="AD1109" s="20">
        <f>'PFAS Properties'!$W$52</f>
        <v>6</v>
      </c>
      <c r="AE1109" s="8">
        <f>'PFAS Properties'!$S$52</f>
        <v>4.0402066275747108</v>
      </c>
      <c r="AF1109" s="2">
        <f>'PFAS Properties'!$V$52</f>
        <v>3.9</v>
      </c>
      <c r="AG1109" s="24">
        <v>3.6</v>
      </c>
      <c r="AH1109" s="2" t="s">
        <v>832</v>
      </c>
      <c r="AI1109" s="8">
        <f>(6.8*55.845)/1000</f>
        <v>0.37974599999999997</v>
      </c>
      <c r="AJ1109" s="15">
        <f>AI1109*1000/55.845</f>
        <v>6.8</v>
      </c>
      <c r="AK1109" s="8">
        <f>AI1109/10</f>
        <v>3.7974599999999997E-2</v>
      </c>
      <c r="AL1109" s="8">
        <f>(4*26.982)/1000</f>
        <v>0.107928</v>
      </c>
      <c r="AM1109" s="15">
        <f>AL1109*1000/55.845</f>
        <v>1.932634971796938</v>
      </c>
      <c r="AN1109" s="8">
        <f>AL1109/10</f>
        <v>1.07928E-2</v>
      </c>
      <c r="AO1109" s="2" t="s">
        <v>86</v>
      </c>
      <c r="AP1109" s="72">
        <v>14.768748</v>
      </c>
      <c r="AQ1109" s="70" t="s">
        <v>752</v>
      </c>
      <c r="AR1109" s="71">
        <v>37.396533331999997</v>
      </c>
      <c r="AS1109" s="71">
        <v>37.430266667999987</v>
      </c>
      <c r="AT1109" s="71">
        <v>24.989000000000001</v>
      </c>
      <c r="AU1109" s="70" t="s">
        <v>752</v>
      </c>
      <c r="AV1109" s="16">
        <f t="shared" ref="AV1109:AV1111" si="531">SUM(AR1109:AT1109)</f>
        <v>99.815799999999996</v>
      </c>
      <c r="AW1109" s="20">
        <v>44.9</v>
      </c>
      <c r="AX1109" s="8">
        <f t="shared" si="523"/>
        <v>0.44900000000000001</v>
      </c>
      <c r="AY1109" s="8" t="s">
        <v>240</v>
      </c>
      <c r="AZ1109" s="16">
        <f t="shared" ref="AZ1109:AZ1111" si="532">0.75/0.03</f>
        <v>25</v>
      </c>
      <c r="BA1109" s="16" t="s">
        <v>55</v>
      </c>
      <c r="BB1109" s="16">
        <f>23*K1109/1000</f>
        <v>9.8434249999999999</v>
      </c>
      <c r="BC1109" s="16" t="s">
        <v>55</v>
      </c>
      <c r="BD1109" s="25">
        <f>(10^(1.62)*AX1109)</f>
        <v>18.717435317818069</v>
      </c>
      <c r="BE1109" s="15">
        <f t="shared" si="524"/>
        <v>41.686938347033561</v>
      </c>
      <c r="BF1109" s="15">
        <f t="shared" si="525"/>
        <v>1.62</v>
      </c>
      <c r="BG1109" s="8">
        <f t="shared" si="526"/>
        <v>1.2722463410033233</v>
      </c>
      <c r="BH1109" s="35" t="s">
        <v>645</v>
      </c>
      <c r="BI1109" s="13"/>
      <c r="BJ1109" s="13"/>
      <c r="BK1109" s="8"/>
      <c r="BL1109" s="18"/>
      <c r="BM1109" s="8"/>
      <c r="BN1109" s="8"/>
      <c r="BO1109" s="2"/>
    </row>
    <row r="1110" spans="1:67" s="14" customFormat="1" x14ac:dyDescent="0.3">
      <c r="A1110" s="20">
        <v>1132</v>
      </c>
      <c r="B1110" s="2" t="s">
        <v>195</v>
      </c>
      <c r="C1110" s="2">
        <v>2022</v>
      </c>
      <c r="D1110" s="2" t="s">
        <v>199</v>
      </c>
      <c r="E1110" s="10" t="s">
        <v>798</v>
      </c>
      <c r="F1110" s="20" t="s">
        <v>29</v>
      </c>
      <c r="G1110" s="2" t="s">
        <v>238</v>
      </c>
      <c r="H1110" s="2" t="str">
        <f>'PFAS Properties'!$B$52</f>
        <v>6:2 FTS</v>
      </c>
      <c r="I1110" s="2" t="str">
        <f>'PFAS Properties'!$C$52</f>
        <v>FTS</v>
      </c>
      <c r="J1110" s="2" t="str">
        <f>'PFAS Properties'!$D$52</f>
        <v>C8H5F13O3S</v>
      </c>
      <c r="K1110" s="25">
        <f>'PFAS Properties'!$P$52</f>
        <v>427.97499999999997</v>
      </c>
      <c r="L1110" s="2">
        <f>'PFAS Properties'!$X$52</f>
        <v>0.4</v>
      </c>
      <c r="M1110" s="2" t="str">
        <f>'PFAS Properties'!$Y$52</f>
        <v>-</v>
      </c>
      <c r="N1110" s="33">
        <v>0</v>
      </c>
      <c r="O1110" s="33">
        <v>0</v>
      </c>
      <c r="P1110" s="33">
        <v>0</v>
      </c>
      <c r="Q1110" s="33">
        <f t="shared" si="507"/>
        <v>0.99980051357127842</v>
      </c>
      <c r="R1110" s="33">
        <v>0</v>
      </c>
      <c r="S1110" s="33">
        <f t="shared" si="508"/>
        <v>1.9948642872153033E-4</v>
      </c>
      <c r="T1110" s="8">
        <f t="shared" si="529"/>
        <v>1</v>
      </c>
      <c r="U1110" s="33">
        <f t="shared" si="517"/>
        <v>0</v>
      </c>
      <c r="V1110" s="33">
        <f t="shared" si="518"/>
        <v>-0.99980051357127842</v>
      </c>
      <c r="W1110" s="33">
        <f t="shared" si="519"/>
        <v>426.97519948642866</v>
      </c>
      <c r="X1110" s="33">
        <v>96485</v>
      </c>
      <c r="Y1110" s="16">
        <f t="shared" si="520"/>
        <v>-225.92823346169769</v>
      </c>
      <c r="Z1110" s="16">
        <v>8</v>
      </c>
      <c r="AA1110" s="16">
        <v>13</v>
      </c>
      <c r="AB1110" s="8">
        <f t="shared" si="521"/>
        <v>0.38866396761133604</v>
      </c>
      <c r="AC1110" s="16">
        <f t="shared" si="527"/>
        <v>57.713651498335182</v>
      </c>
      <c r="AD1110" s="20">
        <f>'PFAS Properties'!$W$52</f>
        <v>6</v>
      </c>
      <c r="AE1110" s="8">
        <f>'PFAS Properties'!$S$52</f>
        <v>4.0402066275747108</v>
      </c>
      <c r="AF1110" s="2">
        <f>'PFAS Properties'!$V$52</f>
        <v>3.9</v>
      </c>
      <c r="AG1110" s="24">
        <v>4.0999999999999996</v>
      </c>
      <c r="AH1110" s="2" t="s">
        <v>832</v>
      </c>
      <c r="AI1110" s="8">
        <f>(28*55.845)/1000</f>
        <v>1.5636599999999998</v>
      </c>
      <c r="AJ1110" s="15">
        <f>AI1110*1000/55.845</f>
        <v>27.999999999999996</v>
      </c>
      <c r="AK1110" s="8">
        <f>AI1110/10</f>
        <v>0.15636599999999998</v>
      </c>
      <c r="AL1110" s="8">
        <f>(17*26.982)/1000</f>
        <v>0.45869399999999994</v>
      </c>
      <c r="AM1110" s="15">
        <f>AL1110*1000/55.845</f>
        <v>8.2136986301369852</v>
      </c>
      <c r="AN1110" s="8">
        <f>AL1110/10</f>
        <v>4.5869399999999991E-2</v>
      </c>
      <c r="AO1110" s="2" t="s">
        <v>86</v>
      </c>
      <c r="AP1110" s="72">
        <v>14.715147999999999</v>
      </c>
      <c r="AQ1110" s="70" t="s">
        <v>752</v>
      </c>
      <c r="AR1110" s="71">
        <v>37.490533331999998</v>
      </c>
      <c r="AS1110" s="71">
        <v>37.393866668000001</v>
      </c>
      <c r="AT1110" s="71">
        <v>24.9392</v>
      </c>
      <c r="AU1110" s="70" t="s">
        <v>752</v>
      </c>
      <c r="AV1110" s="16">
        <f t="shared" si="531"/>
        <v>99.823599999999999</v>
      </c>
      <c r="AW1110" s="20">
        <v>46.6</v>
      </c>
      <c r="AX1110" s="8">
        <f t="shared" si="523"/>
        <v>0.46600000000000003</v>
      </c>
      <c r="AY1110" s="8" t="s">
        <v>240</v>
      </c>
      <c r="AZ1110" s="16">
        <f t="shared" si="532"/>
        <v>25</v>
      </c>
      <c r="BA1110" s="16" t="s">
        <v>55</v>
      </c>
      <c r="BB1110" s="16">
        <f>23*K1110/1000</f>
        <v>9.8434249999999999</v>
      </c>
      <c r="BC1110" s="16" t="s">
        <v>55</v>
      </c>
      <c r="BD1110" s="25">
        <f>(10^(1.87)*AX1110)</f>
        <v>34.545057244622789</v>
      </c>
      <c r="BE1110" s="15">
        <f t="shared" si="524"/>
        <v>74.131024130091816</v>
      </c>
      <c r="BF1110" s="15">
        <f t="shared" si="525"/>
        <v>1.8700000000000003</v>
      </c>
      <c r="BG1110" s="8">
        <f t="shared" si="526"/>
        <v>1.5383859166900007</v>
      </c>
      <c r="BH1110" s="35" t="s">
        <v>645</v>
      </c>
      <c r="BI1110" s="13"/>
      <c r="BJ1110" s="13"/>
      <c r="BK1110" s="13"/>
      <c r="BL1110" s="17"/>
      <c r="BM1110" s="17"/>
      <c r="BN1110" s="13"/>
      <c r="BO1110" s="2"/>
    </row>
    <row r="1111" spans="1:67" s="14" customFormat="1" x14ac:dyDescent="0.3">
      <c r="A1111" s="20">
        <v>1133</v>
      </c>
      <c r="B1111" s="2" t="s">
        <v>195</v>
      </c>
      <c r="C1111" s="2">
        <v>2022</v>
      </c>
      <c r="D1111" s="2" t="s">
        <v>199</v>
      </c>
      <c r="E1111" s="10" t="s">
        <v>798</v>
      </c>
      <c r="F1111" s="20" t="s">
        <v>29</v>
      </c>
      <c r="G1111" s="2" t="s">
        <v>239</v>
      </c>
      <c r="H1111" s="2" t="str">
        <f>'PFAS Properties'!$B$52</f>
        <v>6:2 FTS</v>
      </c>
      <c r="I1111" s="2" t="str">
        <f>'PFAS Properties'!$C$52</f>
        <v>FTS</v>
      </c>
      <c r="J1111" s="2" t="str">
        <f>'PFAS Properties'!$D$52</f>
        <v>C8H5F13O3S</v>
      </c>
      <c r="K1111" s="25">
        <f>'PFAS Properties'!$P$52</f>
        <v>427.97499999999997</v>
      </c>
      <c r="L1111" s="2">
        <f>'PFAS Properties'!$X$52</f>
        <v>0.4</v>
      </c>
      <c r="M1111" s="2" t="str">
        <f>'PFAS Properties'!$Y$52</f>
        <v>-</v>
      </c>
      <c r="N1111" s="33">
        <v>0</v>
      </c>
      <c r="O1111" s="33">
        <v>0</v>
      </c>
      <c r="P1111" s="33">
        <v>0</v>
      </c>
      <c r="Q1111" s="33">
        <f t="shared" si="507"/>
        <v>0.99974887443673854</v>
      </c>
      <c r="R1111" s="33">
        <v>0</v>
      </c>
      <c r="S1111" s="33">
        <f t="shared" si="508"/>
        <v>2.5112556326146155E-4</v>
      </c>
      <c r="T1111" s="8">
        <f t="shared" si="529"/>
        <v>1</v>
      </c>
      <c r="U1111" s="33">
        <f t="shared" si="517"/>
        <v>0</v>
      </c>
      <c r="V1111" s="33">
        <f t="shared" si="518"/>
        <v>-0.99974887443673854</v>
      </c>
      <c r="W1111" s="33">
        <f t="shared" si="519"/>
        <v>426.9752511255632</v>
      </c>
      <c r="X1111" s="33">
        <v>96485</v>
      </c>
      <c r="Y1111" s="16">
        <f t="shared" si="520"/>
        <v>-225.91653707268839</v>
      </c>
      <c r="Z1111" s="16">
        <v>8</v>
      </c>
      <c r="AA1111" s="16">
        <v>13</v>
      </c>
      <c r="AB1111" s="8">
        <f t="shared" si="521"/>
        <v>0.38866396761133604</v>
      </c>
      <c r="AC1111" s="16">
        <f t="shared" si="527"/>
        <v>57.713651498335182</v>
      </c>
      <c r="AD1111" s="20">
        <f>'PFAS Properties'!$W$52</f>
        <v>6</v>
      </c>
      <c r="AE1111" s="8">
        <f>'PFAS Properties'!$S$52</f>
        <v>4.0402066275747108</v>
      </c>
      <c r="AF1111" s="2">
        <f>'PFAS Properties'!$V$52</f>
        <v>3.9</v>
      </c>
      <c r="AG1111" s="24">
        <v>4</v>
      </c>
      <c r="AH1111" s="2" t="s">
        <v>832</v>
      </c>
      <c r="AI1111" s="8">
        <f>(5*55.845)/1000</f>
        <v>0.279225</v>
      </c>
      <c r="AJ1111" s="15">
        <f>AI1111*1000/55.845</f>
        <v>5.0000000000000009</v>
      </c>
      <c r="AK1111" s="8">
        <f>AI1111/10</f>
        <v>2.7922499999999999E-2</v>
      </c>
      <c r="AL1111" s="8">
        <f>(15*26.982)/1000</f>
        <v>0.40473000000000003</v>
      </c>
      <c r="AM1111" s="15">
        <f>AL1111*1000/55.845</f>
        <v>7.2473811442385179</v>
      </c>
      <c r="AN1111" s="8">
        <f>AL1111/10</f>
        <v>4.0473000000000002E-2</v>
      </c>
      <c r="AO1111" s="2" t="s">
        <v>86</v>
      </c>
      <c r="AP1111" s="72">
        <v>14.763688</v>
      </c>
      <c r="AQ1111" s="70" t="s">
        <v>752</v>
      </c>
      <c r="AR1111" s="71">
        <v>37.414333332000012</v>
      </c>
      <c r="AS1111" s="71">
        <v>37.430866668</v>
      </c>
      <c r="AT1111" s="71">
        <v>24.970400000000001</v>
      </c>
      <c r="AU1111" s="70" t="s">
        <v>752</v>
      </c>
      <c r="AV1111" s="16">
        <f t="shared" si="531"/>
        <v>99.815600000000003</v>
      </c>
      <c r="AW1111" s="20">
        <v>53.6</v>
      </c>
      <c r="AX1111" s="8">
        <f t="shared" si="523"/>
        <v>0.53600000000000003</v>
      </c>
      <c r="AY1111" s="8" t="s">
        <v>240</v>
      </c>
      <c r="AZ1111" s="16">
        <f t="shared" si="532"/>
        <v>25</v>
      </c>
      <c r="BA1111" s="16" t="s">
        <v>55</v>
      </c>
      <c r="BB1111" s="16">
        <f>23*K1111/1000</f>
        <v>9.8434249999999999</v>
      </c>
      <c r="BC1111" s="16" t="s">
        <v>55</v>
      </c>
      <c r="BD1111" s="25">
        <f>(10^(1.82)*AX1111)</f>
        <v>35.413168813207157</v>
      </c>
      <c r="BE1111" s="15">
        <f t="shared" si="524"/>
        <v>66.069344800759623</v>
      </c>
      <c r="BF1111" s="15">
        <f t="shared" si="525"/>
        <v>1.82</v>
      </c>
      <c r="BG1111" s="8">
        <f t="shared" si="526"/>
        <v>1.5491647896927701</v>
      </c>
      <c r="BH1111" s="35" t="s">
        <v>645</v>
      </c>
      <c r="BI1111" s="13"/>
      <c r="BJ1111" s="13"/>
      <c r="BK1111" s="8"/>
      <c r="BL1111" s="18"/>
      <c r="BM1111" s="8"/>
      <c r="BN1111" s="8"/>
      <c r="BO1111" s="2"/>
    </row>
    <row r="1112" spans="1:67" s="14" customFormat="1" x14ac:dyDescent="0.3">
      <c r="A1112" s="20">
        <v>1134</v>
      </c>
      <c r="B1112" s="2" t="s">
        <v>214</v>
      </c>
      <c r="C1112" s="2">
        <v>2022</v>
      </c>
      <c r="D1112" s="2" t="s">
        <v>201</v>
      </c>
      <c r="E1112" s="22" t="s">
        <v>808</v>
      </c>
      <c r="F1112" s="20" t="s">
        <v>29</v>
      </c>
      <c r="G1112" s="2" t="s">
        <v>215</v>
      </c>
      <c r="H1112" s="2" t="str">
        <f>'PFAS Properties'!$B$52</f>
        <v>6:2 FTS</v>
      </c>
      <c r="I1112" s="2" t="str">
        <f>'PFAS Properties'!$C$52</f>
        <v>FTS</v>
      </c>
      <c r="J1112" s="2" t="str">
        <f>'PFAS Properties'!$D$52</f>
        <v>C8H5F13O3S</v>
      </c>
      <c r="K1112" s="25">
        <f>'PFAS Properties'!$P$52</f>
        <v>427.97499999999997</v>
      </c>
      <c r="L1112" s="2">
        <f>'PFAS Properties'!$X$52</f>
        <v>0.4</v>
      </c>
      <c r="M1112" s="2" t="str">
        <f>'PFAS Properties'!$Y$52</f>
        <v>-</v>
      </c>
      <c r="N1112" s="33">
        <v>0</v>
      </c>
      <c r="O1112" s="33">
        <v>0</v>
      </c>
      <c r="P1112" s="33">
        <v>0</v>
      </c>
      <c r="Q1112" s="33">
        <f t="shared" si="507"/>
        <v>0.99996019086777477</v>
      </c>
      <c r="R1112" s="33">
        <v>0</v>
      </c>
      <c r="S1112" s="33">
        <f t="shared" si="508"/>
        <v>3.9809132225250461E-5</v>
      </c>
      <c r="T1112" s="8">
        <f t="shared" si="529"/>
        <v>1</v>
      </c>
      <c r="U1112" s="33">
        <f t="shared" si="517"/>
        <v>0</v>
      </c>
      <c r="V1112" s="33">
        <f t="shared" si="518"/>
        <v>-0.99996019086777477</v>
      </c>
      <c r="W1112" s="33">
        <f t="shared" si="519"/>
        <v>426.97503980913217</v>
      </c>
      <c r="X1112" s="33">
        <v>96485</v>
      </c>
      <c r="Y1112" s="16">
        <f t="shared" si="520"/>
        <v>-225.96440077388735</v>
      </c>
      <c r="Z1112" s="16">
        <v>8</v>
      </c>
      <c r="AA1112" s="16">
        <v>13</v>
      </c>
      <c r="AB1112" s="8">
        <f t="shared" si="521"/>
        <v>0.38866396761133604</v>
      </c>
      <c r="AC1112" s="16">
        <f t="shared" si="527"/>
        <v>57.713651498335182</v>
      </c>
      <c r="AD1112" s="20">
        <f>'PFAS Properties'!$W$52</f>
        <v>6</v>
      </c>
      <c r="AE1112" s="8">
        <f>'PFAS Properties'!$S$52</f>
        <v>4.0402066275747108</v>
      </c>
      <c r="AF1112" s="2">
        <f>'PFAS Properties'!$V$52</f>
        <v>3.9</v>
      </c>
      <c r="AG1112" s="24">
        <v>4.8</v>
      </c>
      <c r="AH1112" s="2" t="s">
        <v>216</v>
      </c>
      <c r="AI1112" s="2">
        <v>8.3000000000000007</v>
      </c>
      <c r="AJ1112" s="15">
        <f>AI1112*1000/55.845</f>
        <v>148.62566030978601</v>
      </c>
      <c r="AK1112" s="15">
        <f>AI1112/10</f>
        <v>0.83000000000000007</v>
      </c>
      <c r="AL1112" s="15">
        <v>7.85</v>
      </c>
      <c r="AM1112" s="15">
        <f>AL1112*1000/26.98</f>
        <v>290.95626389918459</v>
      </c>
      <c r="AN1112" s="15">
        <f>AL1112/10</f>
        <v>0.78499999999999992</v>
      </c>
      <c r="AO1112" s="15" t="s">
        <v>217</v>
      </c>
      <c r="AP1112" s="72">
        <v>15.34083666666667</v>
      </c>
      <c r="AQ1112" s="70" t="s">
        <v>752</v>
      </c>
      <c r="AR1112" s="16">
        <v>32</v>
      </c>
      <c r="AS1112" s="16">
        <v>40</v>
      </c>
      <c r="AT1112" s="16">
        <v>28</v>
      </c>
      <c r="AU1112" s="2" t="s">
        <v>661</v>
      </c>
      <c r="AV1112" s="16">
        <f t="shared" ref="AV1112:AV1150" si="533">SUM(AR1112:AT1112)</f>
        <v>100</v>
      </c>
      <c r="AW1112" s="20">
        <v>4.9000000000000004</v>
      </c>
      <c r="AX1112" s="8">
        <f t="shared" si="523"/>
        <v>4.9000000000000002E-2</v>
      </c>
      <c r="AY1112" s="8" t="s">
        <v>218</v>
      </c>
      <c r="AZ1112" s="16">
        <f>1.5/0.075</f>
        <v>20</v>
      </c>
      <c r="BA1112" s="16" t="s">
        <v>55</v>
      </c>
      <c r="BB1112" s="16">
        <v>10</v>
      </c>
      <c r="BC1112" s="16" t="s">
        <v>55</v>
      </c>
      <c r="BD1112" s="20">
        <v>0.64</v>
      </c>
      <c r="BE1112" s="16">
        <f t="shared" si="524"/>
        <v>13.061224489795919</v>
      </c>
      <c r="BF1112" s="16">
        <f t="shared" si="525"/>
        <v>1.1159838939553735</v>
      </c>
      <c r="BG1112" s="8">
        <f t="shared" si="526"/>
        <v>-0.19382002601611281</v>
      </c>
      <c r="BH1112" s="2" t="s">
        <v>374</v>
      </c>
      <c r="BI1112" s="2"/>
      <c r="BJ1112" s="2"/>
      <c r="BK1112" s="15"/>
      <c r="BL1112" s="2"/>
      <c r="BM1112" s="25"/>
      <c r="BN1112" s="20"/>
      <c r="BO1112" s="2"/>
    </row>
    <row r="1113" spans="1:67" s="14" customFormat="1" x14ac:dyDescent="0.3">
      <c r="A1113" s="20">
        <v>1135</v>
      </c>
      <c r="B1113" s="2" t="s">
        <v>214</v>
      </c>
      <c r="C1113" s="2">
        <v>2022</v>
      </c>
      <c r="D1113" s="2" t="s">
        <v>201</v>
      </c>
      <c r="E1113" s="10" t="s">
        <v>808</v>
      </c>
      <c r="F1113" s="20" t="s">
        <v>29</v>
      </c>
      <c r="G1113" s="2" t="s">
        <v>233</v>
      </c>
      <c r="H1113" s="2" t="str">
        <f>'PFAS Properties'!$B$52</f>
        <v>6:2 FTS</v>
      </c>
      <c r="I1113" s="2" t="str">
        <f>'PFAS Properties'!$C$52</f>
        <v>FTS</v>
      </c>
      <c r="J1113" s="2" t="str">
        <f>'PFAS Properties'!$D$52</f>
        <v>C8H5F13O3S</v>
      </c>
      <c r="K1113" s="25">
        <f>'PFAS Properties'!$P$52</f>
        <v>427.97499999999997</v>
      </c>
      <c r="L1113" s="2">
        <f>'PFAS Properties'!$X$52</f>
        <v>0.4</v>
      </c>
      <c r="M1113" s="2" t="str">
        <f>'PFAS Properties'!$Y$52</f>
        <v>-</v>
      </c>
      <c r="N1113" s="33">
        <v>0</v>
      </c>
      <c r="O1113" s="33">
        <v>0</v>
      </c>
      <c r="P1113" s="33">
        <v>0</v>
      </c>
      <c r="Q1113" s="33">
        <f t="shared" si="507"/>
        <v>0.99999683773233983</v>
      </c>
      <c r="R1113" s="33">
        <v>0</v>
      </c>
      <c r="S1113" s="33">
        <f t="shared" si="508"/>
        <v>3.1622676601999995E-6</v>
      </c>
      <c r="T1113" s="8">
        <f t="shared" si="529"/>
        <v>1</v>
      </c>
      <c r="U1113" s="33">
        <f t="shared" si="517"/>
        <v>0</v>
      </c>
      <c r="V1113" s="33">
        <f t="shared" si="518"/>
        <v>-0.99999683773233983</v>
      </c>
      <c r="W1113" s="33">
        <f t="shared" si="519"/>
        <v>426.97500316226763</v>
      </c>
      <c r="X1113" s="33">
        <v>96485</v>
      </c>
      <c r="Y1113" s="16">
        <f t="shared" si="520"/>
        <v>-225.9727013853707</v>
      </c>
      <c r="Z1113" s="16">
        <v>8</v>
      </c>
      <c r="AA1113" s="16">
        <v>13</v>
      </c>
      <c r="AB1113" s="8">
        <f t="shared" si="521"/>
        <v>0.38866396761133604</v>
      </c>
      <c r="AC1113" s="16">
        <f t="shared" si="527"/>
        <v>57.713651498335182</v>
      </c>
      <c r="AD1113" s="20">
        <f>'PFAS Properties'!$W$52</f>
        <v>6</v>
      </c>
      <c r="AE1113" s="8">
        <f>'PFAS Properties'!$S$52</f>
        <v>4.0402066275747108</v>
      </c>
      <c r="AF1113" s="2">
        <f>'PFAS Properties'!$V$52</f>
        <v>3.9</v>
      </c>
      <c r="AG1113" s="24">
        <v>5.9</v>
      </c>
      <c r="AH1113" s="2" t="s">
        <v>216</v>
      </c>
      <c r="AI1113" s="2">
        <v>1.4</v>
      </c>
      <c r="AJ1113" s="15">
        <f>AI1113*1000/55.845</f>
        <v>25.069388485988004</v>
      </c>
      <c r="AK1113" s="15">
        <f>AI1113/10</f>
        <v>0.13999999999999999</v>
      </c>
      <c r="AL1113" s="15">
        <v>0.92</v>
      </c>
      <c r="AM1113" s="15">
        <f>AL1113*1000/26.98</f>
        <v>34.099332839140104</v>
      </c>
      <c r="AN1113" s="15">
        <f>AL1113/10</f>
        <v>9.1999999999999998E-2</v>
      </c>
      <c r="AO1113" s="15" t="s">
        <v>217</v>
      </c>
      <c r="AP1113" s="72">
        <v>15.34083666666667</v>
      </c>
      <c r="AQ1113" s="70" t="s">
        <v>752</v>
      </c>
      <c r="AR1113" s="16">
        <v>37</v>
      </c>
      <c r="AS1113" s="16">
        <v>22</v>
      </c>
      <c r="AT1113" s="16">
        <v>41</v>
      </c>
      <c r="AU1113" s="2" t="s">
        <v>661</v>
      </c>
      <c r="AV1113" s="16">
        <f t="shared" si="533"/>
        <v>100</v>
      </c>
      <c r="AW1113" s="20">
        <v>2.6</v>
      </c>
      <c r="AX1113" s="8">
        <f t="shared" si="523"/>
        <v>2.6000000000000002E-2</v>
      </c>
      <c r="AY1113" s="8" t="s">
        <v>218</v>
      </c>
      <c r="AZ1113" s="16">
        <f>1.5/0.075</f>
        <v>20</v>
      </c>
      <c r="BA1113" s="16" t="s">
        <v>55</v>
      </c>
      <c r="BB1113" s="16">
        <v>10</v>
      </c>
      <c r="BC1113" s="16" t="s">
        <v>55</v>
      </c>
      <c r="BD1113" s="20">
        <v>0.3</v>
      </c>
      <c r="BE1113" s="16">
        <f t="shared" si="524"/>
        <v>11.538461538461537</v>
      </c>
      <c r="BF1113" s="16">
        <f t="shared" si="525"/>
        <v>1.0621479067488444</v>
      </c>
      <c r="BG1113" s="8">
        <f t="shared" si="526"/>
        <v>-0.52287874528033762</v>
      </c>
      <c r="BH1113" s="2" t="s">
        <v>374</v>
      </c>
      <c r="BI1113" s="2"/>
      <c r="BJ1113" s="2"/>
      <c r="BK1113" s="15"/>
      <c r="BL1113" s="2"/>
      <c r="BM1113" s="20"/>
      <c r="BN1113" s="20"/>
      <c r="BO1113" s="2"/>
    </row>
    <row r="1114" spans="1:67" s="14" customFormat="1" x14ac:dyDescent="0.3">
      <c r="A1114" s="20">
        <v>1136</v>
      </c>
      <c r="B1114" s="2" t="s">
        <v>234</v>
      </c>
      <c r="C1114" s="2">
        <v>2022</v>
      </c>
      <c r="D1114" s="2" t="s">
        <v>205</v>
      </c>
      <c r="E1114" s="10" t="s">
        <v>799</v>
      </c>
      <c r="F1114" s="20" t="s">
        <v>63</v>
      </c>
      <c r="G1114" s="2" t="s">
        <v>375</v>
      </c>
      <c r="H1114" s="2" t="str">
        <f>'PFAS Properties'!$B$52</f>
        <v>6:2 FTS</v>
      </c>
      <c r="I1114" s="2" t="str">
        <f>'PFAS Properties'!$C$52</f>
        <v>FTS</v>
      </c>
      <c r="J1114" s="2" t="str">
        <f>'PFAS Properties'!$D$52</f>
        <v>C8H5F13O3S</v>
      </c>
      <c r="K1114" s="25">
        <f>'PFAS Properties'!$P$52</f>
        <v>427.97499999999997</v>
      </c>
      <c r="L1114" s="2">
        <f>'PFAS Properties'!$X$52</f>
        <v>0.4</v>
      </c>
      <c r="M1114" s="2" t="str">
        <f>'PFAS Properties'!$Y$52</f>
        <v>-</v>
      </c>
      <c r="N1114" s="33">
        <v>0</v>
      </c>
      <c r="O1114" s="33">
        <v>0</v>
      </c>
      <c r="P1114" s="33">
        <v>0</v>
      </c>
      <c r="Q1114" s="33">
        <f t="shared" si="507"/>
        <v>0.99999997601167134</v>
      </c>
      <c r="R1114" s="33">
        <v>0</v>
      </c>
      <c r="S1114" s="33">
        <f t="shared" si="508"/>
        <v>2.3988328614755021E-8</v>
      </c>
      <c r="T1114" s="8">
        <f t="shared" si="529"/>
        <v>1</v>
      </c>
      <c r="U1114" s="33">
        <f t="shared" si="517"/>
        <v>0</v>
      </c>
      <c r="V1114" s="33">
        <f t="shared" si="518"/>
        <v>-0.99999997601167134</v>
      </c>
      <c r="W1114" s="33">
        <f t="shared" si="519"/>
        <v>426.97500002398829</v>
      </c>
      <c r="X1114" s="33">
        <v>96485</v>
      </c>
      <c r="Y1114" s="16">
        <f t="shared" si="520"/>
        <v>-225.97341221398298</v>
      </c>
      <c r="Z1114" s="16">
        <v>8</v>
      </c>
      <c r="AA1114" s="16">
        <v>13</v>
      </c>
      <c r="AB1114" s="8">
        <f t="shared" si="521"/>
        <v>0.38866396761133604</v>
      </c>
      <c r="AC1114" s="16">
        <f t="shared" si="527"/>
        <v>57.713651498335182</v>
      </c>
      <c r="AD1114" s="20">
        <f>'PFAS Properties'!$W$52</f>
        <v>6</v>
      </c>
      <c r="AE1114" s="8">
        <f>'PFAS Properties'!$S$52</f>
        <v>4.0402066275747108</v>
      </c>
      <c r="AF1114" s="2">
        <f>'PFAS Properties'!$V$52</f>
        <v>3.9</v>
      </c>
      <c r="AG1114" s="24">
        <v>8.02</v>
      </c>
      <c r="AH1114" s="1" t="s">
        <v>363</v>
      </c>
      <c r="AI1114" s="1" t="s">
        <v>363</v>
      </c>
      <c r="AJ1114" s="1" t="s">
        <v>363</v>
      </c>
      <c r="AK1114" s="1" t="s">
        <v>363</v>
      </c>
      <c r="AL1114" s="1" t="s">
        <v>363</v>
      </c>
      <c r="AM1114" s="1" t="s">
        <v>363</v>
      </c>
      <c r="AN1114" s="1" t="s">
        <v>363</v>
      </c>
      <c r="AO1114" s="1" t="s">
        <v>363</v>
      </c>
      <c r="AP1114" s="72">
        <v>11.934691666666669</v>
      </c>
      <c r="AQ1114" s="70" t="s">
        <v>752</v>
      </c>
      <c r="AR1114" s="16">
        <v>6.34</v>
      </c>
      <c r="AS1114" s="16">
        <v>85.56</v>
      </c>
      <c r="AT1114" s="16">
        <v>8.08</v>
      </c>
      <c r="AU1114" s="2" t="s">
        <v>661</v>
      </c>
      <c r="AV1114" s="16">
        <f t="shared" si="533"/>
        <v>99.98</v>
      </c>
      <c r="AW1114" s="20">
        <v>0.37</v>
      </c>
      <c r="AX1114" s="8">
        <f t="shared" si="523"/>
        <v>3.7000000000000002E-3</v>
      </c>
      <c r="AY1114" s="8" t="s">
        <v>281</v>
      </c>
      <c r="AZ1114" s="16">
        <f>2.5/0.02</f>
        <v>125</v>
      </c>
      <c r="BA1114" s="16" t="s">
        <v>55</v>
      </c>
      <c r="BB1114" s="16">
        <v>2</v>
      </c>
      <c r="BC1114" s="16">
        <v>200</v>
      </c>
      <c r="BD1114" s="18">
        <f>BO1114</f>
        <v>1.0856475858869954</v>
      </c>
      <c r="BE1114" s="16">
        <f t="shared" si="524"/>
        <v>293.41826645594466</v>
      </c>
      <c r="BF1114" s="16">
        <f t="shared" si="525"/>
        <v>2.4674871469104147</v>
      </c>
      <c r="BG1114" s="8">
        <f t="shared" si="526"/>
        <v>3.5688870977409887E-2</v>
      </c>
      <c r="BH1114" s="13" t="s">
        <v>782</v>
      </c>
      <c r="BI1114" s="13">
        <v>0.88</v>
      </c>
      <c r="BJ1114" s="13" t="s">
        <v>376</v>
      </c>
      <c r="BK1114" s="15">
        <v>1.03</v>
      </c>
      <c r="BL1114" s="13">
        <f>BI1114*(1/(1^BK1114))</f>
        <v>0.88</v>
      </c>
      <c r="BM1114" s="25">
        <f>'PFAS Properties'!U52</f>
        <v>1097</v>
      </c>
      <c r="BN1114" s="8">
        <f>(BL1114*(BM1114^BK1114))</f>
        <v>1190.955401718034</v>
      </c>
      <c r="BO1114" s="17">
        <f>BN1114/BM1114</f>
        <v>1.0856475858869954</v>
      </c>
    </row>
    <row r="1115" spans="1:67" s="14" customFormat="1" x14ac:dyDescent="0.3">
      <c r="A1115" s="20">
        <v>1137</v>
      </c>
      <c r="B1115" s="2" t="s">
        <v>181</v>
      </c>
      <c r="C1115" s="2">
        <v>2020</v>
      </c>
      <c r="D1115" s="2" t="s">
        <v>203</v>
      </c>
      <c r="E1115" s="10" t="s">
        <v>787</v>
      </c>
      <c r="F1115" s="20" t="s">
        <v>29</v>
      </c>
      <c r="G1115" s="2" t="s">
        <v>62</v>
      </c>
      <c r="H1115" s="2" t="str">
        <f>'PFAS Properties'!$B$52</f>
        <v>6:2 FTS</v>
      </c>
      <c r="I1115" s="2" t="str">
        <f>'PFAS Properties'!$C$52</f>
        <v>FTS</v>
      </c>
      <c r="J1115" s="2" t="str">
        <f>'PFAS Properties'!$D$52</f>
        <v>C8H5F13O3S</v>
      </c>
      <c r="K1115" s="25">
        <f>'PFAS Properties'!$P$52</f>
        <v>427.97499999999997</v>
      </c>
      <c r="L1115" s="2">
        <f>'PFAS Properties'!$X$52</f>
        <v>0.4</v>
      </c>
      <c r="M1115" s="2" t="str">
        <f>'PFAS Properties'!$Y$52</f>
        <v>-</v>
      </c>
      <c r="N1115" s="33">
        <v>0</v>
      </c>
      <c r="O1115" s="33">
        <v>0</v>
      </c>
      <c r="P1115" s="33">
        <v>0</v>
      </c>
      <c r="Q1115" s="33">
        <f t="shared" si="507"/>
        <v>0.99999992056718279</v>
      </c>
      <c r="R1115" s="33">
        <v>0</v>
      </c>
      <c r="S1115" s="33">
        <f t="shared" si="508"/>
        <v>7.9432817162855232E-8</v>
      </c>
      <c r="T1115" s="8">
        <f t="shared" si="529"/>
        <v>1</v>
      </c>
      <c r="U1115" s="33">
        <f t="shared" si="517"/>
        <v>0</v>
      </c>
      <c r="V1115" s="33">
        <f t="shared" si="518"/>
        <v>-0.99999992056718279</v>
      </c>
      <c r="W1115" s="33">
        <f t="shared" si="519"/>
        <v>426.97500007943273</v>
      </c>
      <c r="X1115" s="33">
        <v>96485</v>
      </c>
      <c r="Y1115" s="16">
        <f t="shared" si="520"/>
        <v>-225.97339965565888</v>
      </c>
      <c r="Z1115" s="16">
        <v>8</v>
      </c>
      <c r="AA1115" s="16">
        <v>13</v>
      </c>
      <c r="AB1115" s="8">
        <f t="shared" si="521"/>
        <v>0.38866396761133604</v>
      </c>
      <c r="AC1115" s="16">
        <f t="shared" si="527"/>
        <v>57.713651498335182</v>
      </c>
      <c r="AD1115" s="20">
        <f>'PFAS Properties'!$W$52</f>
        <v>6</v>
      </c>
      <c r="AE1115" s="8">
        <f>'PFAS Properties'!$S$52</f>
        <v>4.0402066275747108</v>
      </c>
      <c r="AF1115" s="2">
        <f>'PFAS Properties'!$V$52</f>
        <v>3.9</v>
      </c>
      <c r="AG1115" s="24">
        <v>7.5</v>
      </c>
      <c r="AH1115" s="2" t="s">
        <v>183</v>
      </c>
      <c r="AI1115" s="2" t="s">
        <v>661</v>
      </c>
      <c r="AJ1115" s="2" t="s">
        <v>661</v>
      </c>
      <c r="AK1115" s="2" t="s">
        <v>661</v>
      </c>
      <c r="AL1115" s="2" t="s">
        <v>661</v>
      </c>
      <c r="AM1115" s="2" t="s">
        <v>661</v>
      </c>
      <c r="AN1115" s="2" t="s">
        <v>661</v>
      </c>
      <c r="AO1115" s="2" t="s">
        <v>661</v>
      </c>
      <c r="AP1115" s="15">
        <v>41.4</v>
      </c>
      <c r="AQ1115" s="2" t="s">
        <v>661</v>
      </c>
      <c r="AR1115" s="16">
        <v>16.899999999999999</v>
      </c>
      <c r="AS1115" s="16">
        <v>17.5</v>
      </c>
      <c r="AT1115" s="16">
        <v>65.599999999999994</v>
      </c>
      <c r="AU1115" s="2" t="s">
        <v>661</v>
      </c>
      <c r="AV1115" s="16">
        <f t="shared" si="533"/>
        <v>100</v>
      </c>
      <c r="AW1115" s="20">
        <v>0.7</v>
      </c>
      <c r="AX1115" s="8">
        <f t="shared" si="523"/>
        <v>6.9999999999999993E-3</v>
      </c>
      <c r="AY1115" s="8" t="s">
        <v>184</v>
      </c>
      <c r="AZ1115" s="16">
        <v>100</v>
      </c>
      <c r="BA1115" s="16" t="s">
        <v>55</v>
      </c>
      <c r="BB1115" s="16">
        <v>5</v>
      </c>
      <c r="BC1115" s="16" t="s">
        <v>55</v>
      </c>
      <c r="BD1115" s="20">
        <v>0.87</v>
      </c>
      <c r="BE1115" s="16">
        <f t="shared" si="524"/>
        <v>124.28571428571429</v>
      </c>
      <c r="BF1115" s="16">
        <f t="shared" si="525"/>
        <v>2.0944212126043618</v>
      </c>
      <c r="BG1115" s="8">
        <f t="shared" si="526"/>
        <v>-6.0480747381381476E-2</v>
      </c>
      <c r="BH1115" s="13" t="s">
        <v>345</v>
      </c>
      <c r="BI1115" s="13"/>
      <c r="BJ1115" s="13"/>
      <c r="BK1115" s="13"/>
      <c r="BL1115" s="13"/>
      <c r="BM1115" s="17"/>
      <c r="BN1115" s="17"/>
      <c r="BO1115" s="2"/>
    </row>
    <row r="1116" spans="1:67" s="14" customFormat="1" x14ac:dyDescent="0.3">
      <c r="A1116" s="20">
        <v>1138</v>
      </c>
      <c r="B1116" s="2" t="s">
        <v>181</v>
      </c>
      <c r="C1116" s="2">
        <v>2020</v>
      </c>
      <c r="D1116" s="2" t="s">
        <v>203</v>
      </c>
      <c r="E1116" s="10" t="s">
        <v>787</v>
      </c>
      <c r="F1116" s="20" t="s">
        <v>29</v>
      </c>
      <c r="G1116" s="2" t="s">
        <v>57</v>
      </c>
      <c r="H1116" s="2" t="str">
        <f>'PFAS Properties'!$B$52</f>
        <v>6:2 FTS</v>
      </c>
      <c r="I1116" s="2" t="str">
        <f>'PFAS Properties'!$C$52</f>
        <v>FTS</v>
      </c>
      <c r="J1116" s="2" t="str">
        <f>'PFAS Properties'!$D$52</f>
        <v>C8H5F13O3S</v>
      </c>
      <c r="K1116" s="25">
        <f>'PFAS Properties'!$P$52</f>
        <v>427.97499999999997</v>
      </c>
      <c r="L1116" s="2">
        <f>'PFAS Properties'!$X$52</f>
        <v>0.4</v>
      </c>
      <c r="M1116" s="2" t="str">
        <f>'PFAS Properties'!$Y$52</f>
        <v>-</v>
      </c>
      <c r="N1116" s="33">
        <v>0</v>
      </c>
      <c r="O1116" s="33">
        <v>0</v>
      </c>
      <c r="P1116" s="33">
        <v>0</v>
      </c>
      <c r="Q1116" s="33">
        <f t="shared" si="507"/>
        <v>0.99999960189298798</v>
      </c>
      <c r="R1116" s="33">
        <v>0</v>
      </c>
      <c r="S1116" s="33">
        <f t="shared" si="508"/>
        <v>3.981070120642407E-7</v>
      </c>
      <c r="T1116" s="8">
        <f t="shared" si="529"/>
        <v>1</v>
      </c>
      <c r="U1116" s="33">
        <f t="shared" si="517"/>
        <v>0</v>
      </c>
      <c r="V1116" s="33">
        <f t="shared" si="518"/>
        <v>-0.99999960189298798</v>
      </c>
      <c r="W1116" s="33">
        <f t="shared" si="519"/>
        <v>426.975000398107</v>
      </c>
      <c r="X1116" s="33">
        <v>96485</v>
      </c>
      <c r="Y1116" s="16">
        <f t="shared" si="520"/>
        <v>-225.97332747510598</v>
      </c>
      <c r="Z1116" s="16">
        <v>8</v>
      </c>
      <c r="AA1116" s="16">
        <v>13</v>
      </c>
      <c r="AB1116" s="8">
        <f t="shared" si="521"/>
        <v>0.38866396761133604</v>
      </c>
      <c r="AC1116" s="16">
        <f t="shared" si="527"/>
        <v>57.713651498335182</v>
      </c>
      <c r="AD1116" s="20">
        <f>'PFAS Properties'!$W$52</f>
        <v>6</v>
      </c>
      <c r="AE1116" s="8">
        <f>'PFAS Properties'!$S$52</f>
        <v>4.0402066275747108</v>
      </c>
      <c r="AF1116" s="2">
        <f>'PFAS Properties'!$V$52</f>
        <v>3.9</v>
      </c>
      <c r="AG1116" s="24">
        <v>6.8</v>
      </c>
      <c r="AH1116" s="2" t="s">
        <v>183</v>
      </c>
      <c r="AI1116" s="2" t="s">
        <v>661</v>
      </c>
      <c r="AJ1116" s="2" t="s">
        <v>661</v>
      </c>
      <c r="AK1116" s="2" t="s">
        <v>661</v>
      </c>
      <c r="AL1116" s="2" t="s">
        <v>661</v>
      </c>
      <c r="AM1116" s="2" t="s">
        <v>661</v>
      </c>
      <c r="AN1116" s="2" t="s">
        <v>661</v>
      </c>
      <c r="AO1116" s="2" t="s">
        <v>661</v>
      </c>
      <c r="AP1116" s="15">
        <v>7.1</v>
      </c>
      <c r="AQ1116" s="2" t="s">
        <v>661</v>
      </c>
      <c r="AR1116" s="16">
        <v>48.9</v>
      </c>
      <c r="AS1116" s="16">
        <v>27</v>
      </c>
      <c r="AT1116" s="16">
        <v>24.2</v>
      </c>
      <c r="AU1116" s="2" t="s">
        <v>661</v>
      </c>
      <c r="AV1116" s="16">
        <f t="shared" si="533"/>
        <v>100.10000000000001</v>
      </c>
      <c r="AW1116" s="20">
        <v>0.37</v>
      </c>
      <c r="AX1116" s="8">
        <f t="shared" si="523"/>
        <v>3.7000000000000002E-3</v>
      </c>
      <c r="AY1116" s="13" t="s">
        <v>184</v>
      </c>
      <c r="AZ1116" s="16">
        <v>100</v>
      </c>
      <c r="BA1116" s="16" t="s">
        <v>55</v>
      </c>
      <c r="BB1116" s="16">
        <v>5</v>
      </c>
      <c r="BC1116" s="16" t="s">
        <v>55</v>
      </c>
      <c r="BD1116" s="20">
        <v>0.61</v>
      </c>
      <c r="BE1116" s="16">
        <f t="shared" si="524"/>
        <v>164.86486486486484</v>
      </c>
      <c r="BF1116" s="16">
        <f t="shared" si="525"/>
        <v>2.2171281109437722</v>
      </c>
      <c r="BG1116" s="8">
        <f t="shared" si="526"/>
        <v>-0.21467016498923297</v>
      </c>
      <c r="BH1116" s="13" t="s">
        <v>345</v>
      </c>
      <c r="BI1116" s="13"/>
      <c r="BJ1116" s="13"/>
      <c r="BK1116" s="13"/>
      <c r="BL1116" s="13"/>
      <c r="BM1116" s="17"/>
      <c r="BN1116" s="17"/>
      <c r="BO1116" s="2"/>
    </row>
    <row r="1117" spans="1:67" s="14" customFormat="1" x14ac:dyDescent="0.3">
      <c r="A1117" s="20">
        <v>1139</v>
      </c>
      <c r="B1117" s="2" t="s">
        <v>181</v>
      </c>
      <c r="C1117" s="2">
        <v>2020</v>
      </c>
      <c r="D1117" s="2" t="s">
        <v>203</v>
      </c>
      <c r="E1117" s="10" t="s">
        <v>787</v>
      </c>
      <c r="F1117" s="20" t="s">
        <v>29</v>
      </c>
      <c r="G1117" s="2" t="s">
        <v>58</v>
      </c>
      <c r="H1117" s="2" t="str">
        <f>'PFAS Properties'!$B$52</f>
        <v>6:2 FTS</v>
      </c>
      <c r="I1117" s="2" t="str">
        <f>'PFAS Properties'!$C$52</f>
        <v>FTS</v>
      </c>
      <c r="J1117" s="2" t="str">
        <f>'PFAS Properties'!$D$52</f>
        <v>C8H5F13O3S</v>
      </c>
      <c r="K1117" s="25">
        <f>'PFAS Properties'!$P$52</f>
        <v>427.97499999999997</v>
      </c>
      <c r="L1117" s="2">
        <f>'PFAS Properties'!$X$52</f>
        <v>0.4</v>
      </c>
      <c r="M1117" s="2" t="str">
        <f>'PFAS Properties'!$Y$52</f>
        <v>-</v>
      </c>
      <c r="N1117" s="33">
        <v>0</v>
      </c>
      <c r="O1117" s="33">
        <v>0</v>
      </c>
      <c r="P1117" s="33">
        <v>0</v>
      </c>
      <c r="Q1117" s="33">
        <f t="shared" si="507"/>
        <v>0.99999841510931942</v>
      </c>
      <c r="R1117" s="33">
        <v>0</v>
      </c>
      <c r="S1117" s="33">
        <f t="shared" si="508"/>
        <v>1.5848906805786609E-6</v>
      </c>
      <c r="T1117" s="8">
        <f t="shared" si="529"/>
        <v>1</v>
      </c>
      <c r="U1117" s="33">
        <f t="shared" si="517"/>
        <v>0</v>
      </c>
      <c r="V1117" s="33">
        <f t="shared" si="518"/>
        <v>-0.99999841510931942</v>
      </c>
      <c r="W1117" s="33">
        <f t="shared" si="519"/>
        <v>426.97500158489066</v>
      </c>
      <c r="X1117" s="33">
        <v>96485</v>
      </c>
      <c r="Y1117" s="16">
        <f t="shared" si="520"/>
        <v>-225.97305866544903</v>
      </c>
      <c r="Z1117" s="16">
        <v>8</v>
      </c>
      <c r="AA1117" s="16">
        <v>13</v>
      </c>
      <c r="AB1117" s="8">
        <f t="shared" si="521"/>
        <v>0.38866396761133604</v>
      </c>
      <c r="AC1117" s="16">
        <f t="shared" si="527"/>
        <v>57.713651498335182</v>
      </c>
      <c r="AD1117" s="20">
        <f>'PFAS Properties'!$W$52</f>
        <v>6</v>
      </c>
      <c r="AE1117" s="8">
        <f>'PFAS Properties'!$S$52</f>
        <v>4.0402066275747108</v>
      </c>
      <c r="AF1117" s="2">
        <f>'PFAS Properties'!$V$52</f>
        <v>3.9</v>
      </c>
      <c r="AG1117" s="24">
        <v>6.2</v>
      </c>
      <c r="AH1117" s="2" t="s">
        <v>183</v>
      </c>
      <c r="AI1117" s="2" t="s">
        <v>661</v>
      </c>
      <c r="AJ1117" s="2" t="s">
        <v>661</v>
      </c>
      <c r="AK1117" s="2" t="s">
        <v>661</v>
      </c>
      <c r="AL1117" s="2" t="s">
        <v>661</v>
      </c>
      <c r="AM1117" s="2" t="s">
        <v>661</v>
      </c>
      <c r="AN1117" s="2" t="s">
        <v>661</v>
      </c>
      <c r="AO1117" s="2" t="s">
        <v>661</v>
      </c>
      <c r="AP1117" s="15">
        <v>8</v>
      </c>
      <c r="AQ1117" s="2" t="s">
        <v>661</v>
      </c>
      <c r="AR1117" s="16">
        <v>51.44</v>
      </c>
      <c r="AS1117" s="16">
        <v>10.17</v>
      </c>
      <c r="AT1117" s="16">
        <v>38.380000000000003</v>
      </c>
      <c r="AU1117" s="2" t="s">
        <v>661</v>
      </c>
      <c r="AV1117" s="16">
        <f t="shared" si="533"/>
        <v>99.990000000000009</v>
      </c>
      <c r="AW1117" s="20">
        <v>0.08</v>
      </c>
      <c r="AX1117" s="8">
        <f t="shared" si="523"/>
        <v>8.0000000000000004E-4</v>
      </c>
      <c r="AY1117" s="8" t="s">
        <v>184</v>
      </c>
      <c r="AZ1117" s="16">
        <v>100</v>
      </c>
      <c r="BA1117" s="16" t="s">
        <v>55</v>
      </c>
      <c r="BB1117" s="16">
        <v>5</v>
      </c>
      <c r="BC1117" s="16" t="s">
        <v>55</v>
      </c>
      <c r="BD1117" s="20">
        <v>0.51</v>
      </c>
      <c r="BE1117" s="16">
        <f t="shared" si="524"/>
        <v>637.5</v>
      </c>
      <c r="BF1117" s="16">
        <f t="shared" si="525"/>
        <v>2.8044801891059929</v>
      </c>
      <c r="BG1117" s="8">
        <f t="shared" si="526"/>
        <v>-0.29242982390206362</v>
      </c>
      <c r="BH1117" s="13" t="s">
        <v>345</v>
      </c>
      <c r="BI1117" s="13"/>
      <c r="BJ1117" s="13"/>
      <c r="BK1117" s="13"/>
      <c r="BL1117" s="13"/>
      <c r="BM1117" s="17"/>
      <c r="BN1117" s="17"/>
      <c r="BO1117" s="2"/>
    </row>
    <row r="1118" spans="1:67" s="14" customFormat="1" x14ac:dyDescent="0.3">
      <c r="A1118" s="20">
        <v>1140</v>
      </c>
      <c r="B1118" s="2" t="s">
        <v>181</v>
      </c>
      <c r="C1118" s="2">
        <v>2020</v>
      </c>
      <c r="D1118" s="2" t="s">
        <v>203</v>
      </c>
      <c r="E1118" s="10" t="s">
        <v>787</v>
      </c>
      <c r="F1118" s="20" t="s">
        <v>29</v>
      </c>
      <c r="G1118" s="2" t="s">
        <v>59</v>
      </c>
      <c r="H1118" s="2" t="str">
        <f>'PFAS Properties'!$B$52</f>
        <v>6:2 FTS</v>
      </c>
      <c r="I1118" s="2" t="str">
        <f>'PFAS Properties'!$C$52</f>
        <v>FTS</v>
      </c>
      <c r="J1118" s="2" t="str">
        <f>'PFAS Properties'!$D$52</f>
        <v>C8H5F13O3S</v>
      </c>
      <c r="K1118" s="25">
        <f>'PFAS Properties'!$P$52</f>
        <v>427.97499999999997</v>
      </c>
      <c r="L1118" s="2">
        <f>'PFAS Properties'!$X$52</f>
        <v>0.4</v>
      </c>
      <c r="M1118" s="2" t="str">
        <f>'PFAS Properties'!$Y$52</f>
        <v>-</v>
      </c>
      <c r="N1118" s="33">
        <v>0</v>
      </c>
      <c r="O1118" s="33">
        <v>0</v>
      </c>
      <c r="P1118" s="33">
        <v>0</v>
      </c>
      <c r="Q1118" s="33">
        <f t="shared" si="507"/>
        <v>0.99999994988127916</v>
      </c>
      <c r="R1118" s="33">
        <v>0</v>
      </c>
      <c r="S1118" s="33">
        <f t="shared" si="508"/>
        <v>5.011872085084086E-8</v>
      </c>
      <c r="T1118" s="8">
        <f t="shared" si="529"/>
        <v>1</v>
      </c>
      <c r="U1118" s="33">
        <f t="shared" si="517"/>
        <v>0</v>
      </c>
      <c r="V1118" s="33">
        <f t="shared" si="518"/>
        <v>-0.99999994988127916</v>
      </c>
      <c r="W1118" s="33">
        <f t="shared" si="519"/>
        <v>426.97500005011869</v>
      </c>
      <c r="X1118" s="33">
        <v>96485</v>
      </c>
      <c r="Y1118" s="16">
        <f t="shared" si="520"/>
        <v>-225.97340629537965</v>
      </c>
      <c r="Z1118" s="16">
        <v>8</v>
      </c>
      <c r="AA1118" s="16">
        <v>13</v>
      </c>
      <c r="AB1118" s="8">
        <f t="shared" si="521"/>
        <v>0.38866396761133604</v>
      </c>
      <c r="AC1118" s="16">
        <f t="shared" si="527"/>
        <v>57.713651498335182</v>
      </c>
      <c r="AD1118" s="20">
        <f>'PFAS Properties'!$W$52</f>
        <v>6</v>
      </c>
      <c r="AE1118" s="8">
        <f>'PFAS Properties'!$S$52</f>
        <v>4.0402066275747108</v>
      </c>
      <c r="AF1118" s="2">
        <f>'PFAS Properties'!$V$52</f>
        <v>3.9</v>
      </c>
      <c r="AG1118" s="24">
        <v>7.7</v>
      </c>
      <c r="AH1118" s="2" t="s">
        <v>183</v>
      </c>
      <c r="AI1118" s="2" t="s">
        <v>661</v>
      </c>
      <c r="AJ1118" s="2" t="s">
        <v>661</v>
      </c>
      <c r="AK1118" s="2" t="s">
        <v>661</v>
      </c>
      <c r="AL1118" s="2" t="s">
        <v>661</v>
      </c>
      <c r="AM1118" s="2" t="s">
        <v>661</v>
      </c>
      <c r="AN1118" s="2" t="s">
        <v>661</v>
      </c>
      <c r="AO1118" s="2" t="s">
        <v>661</v>
      </c>
      <c r="AP1118" s="15">
        <v>4.8</v>
      </c>
      <c r="AQ1118" s="2" t="s">
        <v>661</v>
      </c>
      <c r="AR1118" s="16">
        <v>46</v>
      </c>
      <c r="AS1118" s="16">
        <v>37</v>
      </c>
      <c r="AT1118" s="16">
        <v>17</v>
      </c>
      <c r="AU1118" s="2" t="s">
        <v>661</v>
      </c>
      <c r="AV1118" s="16">
        <f t="shared" si="533"/>
        <v>100</v>
      </c>
      <c r="AW1118" s="20">
        <v>0.25</v>
      </c>
      <c r="AX1118" s="8">
        <f t="shared" si="523"/>
        <v>2.5000000000000001E-3</v>
      </c>
      <c r="AY1118" s="13" t="s">
        <v>184</v>
      </c>
      <c r="AZ1118" s="16">
        <v>100</v>
      </c>
      <c r="BA1118" s="16" t="s">
        <v>55</v>
      </c>
      <c r="BB1118" s="16">
        <v>5</v>
      </c>
      <c r="BC1118" s="16" t="s">
        <v>55</v>
      </c>
      <c r="BD1118" s="18">
        <v>0.48</v>
      </c>
      <c r="BE1118" s="16">
        <f t="shared" si="524"/>
        <v>192</v>
      </c>
      <c r="BF1118" s="16">
        <f t="shared" si="525"/>
        <v>2.2833012287035497</v>
      </c>
      <c r="BG1118" s="8">
        <f t="shared" si="526"/>
        <v>-0.31875876262441277</v>
      </c>
      <c r="BH1118" s="13" t="s">
        <v>345</v>
      </c>
      <c r="BI1118" s="13"/>
      <c r="BJ1118" s="13"/>
      <c r="BK1118" s="13"/>
      <c r="BL1118" s="13"/>
      <c r="BM1118" s="17"/>
      <c r="BN1118" s="17"/>
      <c r="BO1118" s="2"/>
    </row>
    <row r="1119" spans="1:67" s="14" customFormat="1" x14ac:dyDescent="0.3">
      <c r="A1119" s="20">
        <v>1141</v>
      </c>
      <c r="B1119" s="2" t="s">
        <v>181</v>
      </c>
      <c r="C1119" s="2">
        <v>2020</v>
      </c>
      <c r="D1119" s="2" t="s">
        <v>203</v>
      </c>
      <c r="E1119" s="10" t="s">
        <v>787</v>
      </c>
      <c r="F1119" s="20" t="s">
        <v>29</v>
      </c>
      <c r="G1119" s="2" t="s">
        <v>61</v>
      </c>
      <c r="H1119" s="2" t="str">
        <f>'PFAS Properties'!$B$52</f>
        <v>6:2 FTS</v>
      </c>
      <c r="I1119" s="2" t="str">
        <f>'PFAS Properties'!$C$52</f>
        <v>FTS</v>
      </c>
      <c r="J1119" s="2" t="str">
        <f>'PFAS Properties'!$D$52</f>
        <v>C8H5F13O3S</v>
      </c>
      <c r="K1119" s="25">
        <f>'PFAS Properties'!$P$52</f>
        <v>427.97499999999997</v>
      </c>
      <c r="L1119" s="2">
        <f>'PFAS Properties'!$X$52</f>
        <v>0.4</v>
      </c>
      <c r="M1119" s="2" t="str">
        <f>'PFAS Properties'!$Y$52</f>
        <v>-</v>
      </c>
      <c r="N1119" s="33">
        <v>0</v>
      </c>
      <c r="O1119" s="33">
        <v>0</v>
      </c>
      <c r="P1119" s="33">
        <v>0</v>
      </c>
      <c r="Q1119" s="33">
        <f t="shared" si="507"/>
        <v>0.99999990000001004</v>
      </c>
      <c r="R1119" s="33">
        <v>0</v>
      </c>
      <c r="S1119" s="33">
        <f t="shared" si="508"/>
        <v>9.9999990000001005E-8</v>
      </c>
      <c r="T1119" s="8">
        <f t="shared" si="529"/>
        <v>1</v>
      </c>
      <c r="U1119" s="33">
        <f t="shared" si="517"/>
        <v>0</v>
      </c>
      <c r="V1119" s="33">
        <f t="shared" si="518"/>
        <v>-0.99999990000001004</v>
      </c>
      <c r="W1119" s="33">
        <f t="shared" si="519"/>
        <v>426.97500009999999</v>
      </c>
      <c r="X1119" s="33">
        <v>96485</v>
      </c>
      <c r="Y1119" s="16">
        <f t="shared" si="520"/>
        <v>-225.97339499713948</v>
      </c>
      <c r="Z1119" s="16">
        <v>8</v>
      </c>
      <c r="AA1119" s="16">
        <v>13</v>
      </c>
      <c r="AB1119" s="8">
        <f t="shared" si="521"/>
        <v>0.38866396761133604</v>
      </c>
      <c r="AC1119" s="16">
        <f t="shared" si="527"/>
        <v>57.713651498335182</v>
      </c>
      <c r="AD1119" s="20">
        <f>'PFAS Properties'!$W$52</f>
        <v>6</v>
      </c>
      <c r="AE1119" s="8">
        <f>'PFAS Properties'!$S$52</f>
        <v>4.0402066275747108</v>
      </c>
      <c r="AF1119" s="2">
        <f>'PFAS Properties'!$V$52</f>
        <v>3.9</v>
      </c>
      <c r="AG1119" s="24">
        <v>7.4</v>
      </c>
      <c r="AH1119" s="2" t="s">
        <v>183</v>
      </c>
      <c r="AI1119" s="2" t="s">
        <v>661</v>
      </c>
      <c r="AJ1119" s="2" t="s">
        <v>661</v>
      </c>
      <c r="AK1119" s="2" t="s">
        <v>661</v>
      </c>
      <c r="AL1119" s="2" t="s">
        <v>661</v>
      </c>
      <c r="AM1119" s="2" t="s">
        <v>661</v>
      </c>
      <c r="AN1119" s="2" t="s">
        <v>661</v>
      </c>
      <c r="AO1119" s="2" t="s">
        <v>661</v>
      </c>
      <c r="AP1119" s="15">
        <v>29.6</v>
      </c>
      <c r="AQ1119" s="2" t="s">
        <v>661</v>
      </c>
      <c r="AR1119" s="16">
        <v>39.799999999999997</v>
      </c>
      <c r="AS1119" s="16">
        <v>7.7</v>
      </c>
      <c r="AT1119" s="16">
        <v>52.5</v>
      </c>
      <c r="AU1119" s="2" t="s">
        <v>661</v>
      </c>
      <c r="AV1119" s="16">
        <f t="shared" si="533"/>
        <v>100</v>
      </c>
      <c r="AW1119" s="20">
        <v>2.23</v>
      </c>
      <c r="AX1119" s="8">
        <f t="shared" si="523"/>
        <v>2.23E-2</v>
      </c>
      <c r="AY1119" s="8" t="s">
        <v>184</v>
      </c>
      <c r="AZ1119" s="16">
        <v>100</v>
      </c>
      <c r="BA1119" s="16" t="s">
        <v>55</v>
      </c>
      <c r="BB1119" s="16">
        <v>5</v>
      </c>
      <c r="BC1119" s="16" t="s">
        <v>55</v>
      </c>
      <c r="BD1119" s="20">
        <v>0.47</v>
      </c>
      <c r="BE1119" s="16">
        <f t="shared" si="524"/>
        <v>21.076233183856502</v>
      </c>
      <c r="BF1119" s="16">
        <f t="shared" si="525"/>
        <v>1.3237929948875569</v>
      </c>
      <c r="BG1119" s="8">
        <f t="shared" si="526"/>
        <v>-0.32790214206428259</v>
      </c>
      <c r="BH1119" s="13" t="s">
        <v>345</v>
      </c>
      <c r="BI1119" s="13"/>
      <c r="BJ1119" s="13"/>
      <c r="BK1119" s="13"/>
      <c r="BL1119" s="13"/>
      <c r="BM1119" s="17"/>
      <c r="BN1119" s="17"/>
      <c r="BO1119" s="2"/>
    </row>
    <row r="1120" spans="1:67" s="14" customFormat="1" x14ac:dyDescent="0.3">
      <c r="A1120" s="20">
        <v>1142</v>
      </c>
      <c r="B1120" s="2" t="s">
        <v>181</v>
      </c>
      <c r="C1120" s="2">
        <v>2020</v>
      </c>
      <c r="D1120" s="2" t="s">
        <v>203</v>
      </c>
      <c r="E1120" s="10" t="s">
        <v>787</v>
      </c>
      <c r="F1120" s="20" t="s">
        <v>29</v>
      </c>
      <c r="G1120" s="2" t="s">
        <v>60</v>
      </c>
      <c r="H1120" s="2" t="str">
        <f>'PFAS Properties'!$B$52</f>
        <v>6:2 FTS</v>
      </c>
      <c r="I1120" s="2" t="str">
        <f>'PFAS Properties'!$C$52</f>
        <v>FTS</v>
      </c>
      <c r="J1120" s="2" t="str">
        <f>'PFAS Properties'!$D$52</f>
        <v>C8H5F13O3S</v>
      </c>
      <c r="K1120" s="25">
        <f>'PFAS Properties'!$P$52</f>
        <v>427.97499999999997</v>
      </c>
      <c r="L1120" s="2">
        <f>'PFAS Properties'!$X$52</f>
        <v>0.4</v>
      </c>
      <c r="M1120" s="2" t="str">
        <f>'PFAS Properties'!$Y$52</f>
        <v>-</v>
      </c>
      <c r="N1120" s="33">
        <v>0</v>
      </c>
      <c r="O1120" s="33">
        <v>0</v>
      </c>
      <c r="P1120" s="33">
        <v>0</v>
      </c>
      <c r="Q1120" s="33">
        <f t="shared" ref="Q1120:Q1150" si="534">(10^(AG1120-L1120))/(1+(10^(AG1120-L1120)))</f>
        <v>0.99999994988127916</v>
      </c>
      <c r="R1120" s="33">
        <v>0</v>
      </c>
      <c r="S1120" s="33">
        <f t="shared" ref="S1120:S1150" si="535">(1/(1+(10^(AG1120-L1120))))</f>
        <v>5.011872085084086E-8</v>
      </c>
      <c r="T1120" s="8">
        <f t="shared" si="529"/>
        <v>1</v>
      </c>
      <c r="U1120" s="33">
        <f t="shared" si="517"/>
        <v>0</v>
      </c>
      <c r="V1120" s="33">
        <f t="shared" si="518"/>
        <v>-0.99999994988127916</v>
      </c>
      <c r="W1120" s="33">
        <f t="shared" si="519"/>
        <v>426.97500005011869</v>
      </c>
      <c r="X1120" s="33">
        <v>96485</v>
      </c>
      <c r="Y1120" s="16">
        <f t="shared" si="520"/>
        <v>-225.97340629537965</v>
      </c>
      <c r="Z1120" s="16">
        <v>8</v>
      </c>
      <c r="AA1120" s="16">
        <v>13</v>
      </c>
      <c r="AB1120" s="8">
        <f t="shared" si="521"/>
        <v>0.38866396761133604</v>
      </c>
      <c r="AC1120" s="16">
        <f t="shared" si="527"/>
        <v>57.713651498335182</v>
      </c>
      <c r="AD1120" s="20">
        <f>'PFAS Properties'!$W$52</f>
        <v>6</v>
      </c>
      <c r="AE1120" s="8">
        <f>'PFAS Properties'!$S$52</f>
        <v>4.0402066275747108</v>
      </c>
      <c r="AF1120" s="2">
        <f>'PFAS Properties'!$V$52</f>
        <v>3.9</v>
      </c>
      <c r="AG1120" s="24">
        <v>7.7</v>
      </c>
      <c r="AH1120" s="2" t="s">
        <v>183</v>
      </c>
      <c r="AI1120" s="2" t="s">
        <v>661</v>
      </c>
      <c r="AJ1120" s="2" t="s">
        <v>661</v>
      </c>
      <c r="AK1120" s="2" t="s">
        <v>661</v>
      </c>
      <c r="AL1120" s="2" t="s">
        <v>661</v>
      </c>
      <c r="AM1120" s="2" t="s">
        <v>661</v>
      </c>
      <c r="AN1120" s="2" t="s">
        <v>661</v>
      </c>
      <c r="AO1120" s="2" t="s">
        <v>661</v>
      </c>
      <c r="AP1120" s="15">
        <v>21.63</v>
      </c>
      <c r="AQ1120" s="2" t="s">
        <v>661</v>
      </c>
      <c r="AR1120" s="16">
        <v>70</v>
      </c>
      <c r="AS1120" s="16">
        <v>11</v>
      </c>
      <c r="AT1120" s="16">
        <v>19</v>
      </c>
      <c r="AU1120" s="2" t="s">
        <v>661</v>
      </c>
      <c r="AV1120" s="16">
        <f t="shared" si="533"/>
        <v>100</v>
      </c>
      <c r="AW1120" s="20">
        <v>4.9000000000000004</v>
      </c>
      <c r="AX1120" s="8">
        <f t="shared" si="523"/>
        <v>4.9000000000000002E-2</v>
      </c>
      <c r="AY1120" s="8" t="s">
        <v>184</v>
      </c>
      <c r="AZ1120" s="16">
        <v>100</v>
      </c>
      <c r="BA1120" s="16" t="s">
        <v>55</v>
      </c>
      <c r="BB1120" s="16">
        <v>5</v>
      </c>
      <c r="BC1120" s="43" t="s">
        <v>55</v>
      </c>
      <c r="BD1120" s="20">
        <v>1.77</v>
      </c>
      <c r="BE1120" s="16">
        <f t="shared" si="524"/>
        <v>36.122448979591837</v>
      </c>
      <c r="BF1120" s="16">
        <f t="shared" si="525"/>
        <v>1.557777186333293</v>
      </c>
      <c r="BG1120" s="8">
        <f t="shared" si="526"/>
        <v>0.24797326636180664</v>
      </c>
      <c r="BH1120" s="13" t="s">
        <v>345</v>
      </c>
      <c r="BI1120" s="13"/>
      <c r="BJ1120" s="13"/>
      <c r="BK1120" s="13"/>
      <c r="BL1120" s="13"/>
      <c r="BM1120" s="17"/>
      <c r="BN1120" s="17"/>
      <c r="BO1120" s="2"/>
    </row>
    <row r="1121" spans="1:67" s="14" customFormat="1" x14ac:dyDescent="0.3">
      <c r="A1121" s="20">
        <v>1143</v>
      </c>
      <c r="B1121" s="2" t="s">
        <v>181</v>
      </c>
      <c r="C1121" s="2">
        <v>2020</v>
      </c>
      <c r="D1121" s="2" t="s">
        <v>203</v>
      </c>
      <c r="E1121" s="10" t="s">
        <v>787</v>
      </c>
      <c r="F1121" s="20" t="s">
        <v>29</v>
      </c>
      <c r="G1121" s="2" t="s">
        <v>77</v>
      </c>
      <c r="H1121" s="2" t="str">
        <f>'PFAS Properties'!$B$52</f>
        <v>6:2 FTS</v>
      </c>
      <c r="I1121" s="2" t="str">
        <f>'PFAS Properties'!$C$52</f>
        <v>FTS</v>
      </c>
      <c r="J1121" s="2" t="str">
        <f>'PFAS Properties'!$D$52</f>
        <v>C8H5F13O3S</v>
      </c>
      <c r="K1121" s="25">
        <f>'PFAS Properties'!$P$52</f>
        <v>427.97499999999997</v>
      </c>
      <c r="L1121" s="2">
        <f>'PFAS Properties'!$X$52</f>
        <v>0.4</v>
      </c>
      <c r="M1121" s="2" t="str">
        <f>'PFAS Properties'!$Y$52</f>
        <v>-</v>
      </c>
      <c r="N1121" s="33">
        <v>0</v>
      </c>
      <c r="O1121" s="33">
        <v>0</v>
      </c>
      <c r="P1121" s="33">
        <v>0</v>
      </c>
      <c r="Q1121" s="33">
        <f t="shared" si="534"/>
        <v>0.99999994988127916</v>
      </c>
      <c r="R1121" s="33">
        <v>0</v>
      </c>
      <c r="S1121" s="33">
        <f t="shared" si="535"/>
        <v>5.011872085084086E-8</v>
      </c>
      <c r="T1121" s="8">
        <f t="shared" si="529"/>
        <v>1</v>
      </c>
      <c r="U1121" s="33">
        <f t="shared" si="517"/>
        <v>0</v>
      </c>
      <c r="V1121" s="33">
        <f t="shared" si="518"/>
        <v>-0.99999994988127916</v>
      </c>
      <c r="W1121" s="33">
        <f t="shared" si="519"/>
        <v>426.97500005011869</v>
      </c>
      <c r="X1121" s="33">
        <v>96485</v>
      </c>
      <c r="Y1121" s="16">
        <f t="shared" si="520"/>
        <v>-225.97340629537965</v>
      </c>
      <c r="Z1121" s="16">
        <v>8</v>
      </c>
      <c r="AA1121" s="16">
        <v>13</v>
      </c>
      <c r="AB1121" s="8">
        <f t="shared" si="521"/>
        <v>0.38866396761133604</v>
      </c>
      <c r="AC1121" s="16">
        <f t="shared" si="527"/>
        <v>57.713651498335182</v>
      </c>
      <c r="AD1121" s="20">
        <f>'PFAS Properties'!$W$52</f>
        <v>6</v>
      </c>
      <c r="AE1121" s="8">
        <f>'PFAS Properties'!$S$52</f>
        <v>4.0402066275747108</v>
      </c>
      <c r="AF1121" s="2">
        <f>'PFAS Properties'!$V$52</f>
        <v>3.9</v>
      </c>
      <c r="AG1121" s="24">
        <v>7.7</v>
      </c>
      <c r="AH1121" s="2" t="s">
        <v>183</v>
      </c>
      <c r="AI1121" s="2" t="s">
        <v>661</v>
      </c>
      <c r="AJ1121" s="2" t="s">
        <v>661</v>
      </c>
      <c r="AK1121" s="2" t="s">
        <v>661</v>
      </c>
      <c r="AL1121" s="2" t="s">
        <v>661</v>
      </c>
      <c r="AM1121" s="2" t="s">
        <v>661</v>
      </c>
      <c r="AN1121" s="2" t="s">
        <v>661</v>
      </c>
      <c r="AO1121" s="2" t="s">
        <v>661</v>
      </c>
      <c r="AP1121" s="15">
        <v>7.8</v>
      </c>
      <c r="AQ1121" s="2" t="s">
        <v>661</v>
      </c>
      <c r="AR1121" s="16">
        <v>48.9</v>
      </c>
      <c r="AS1121" s="16">
        <v>32.6</v>
      </c>
      <c r="AT1121" s="16">
        <v>18.5</v>
      </c>
      <c r="AU1121" s="2" t="s">
        <v>661</v>
      </c>
      <c r="AV1121" s="16">
        <f t="shared" si="533"/>
        <v>100</v>
      </c>
      <c r="AW1121" s="20">
        <v>0.13</v>
      </c>
      <c r="AX1121" s="8">
        <f t="shared" si="523"/>
        <v>1.2999999999999999E-3</v>
      </c>
      <c r="AY1121" s="8" t="s">
        <v>184</v>
      </c>
      <c r="AZ1121" s="16">
        <v>100</v>
      </c>
      <c r="BA1121" s="16" t="s">
        <v>55</v>
      </c>
      <c r="BB1121" s="16">
        <v>5</v>
      </c>
      <c r="BC1121" s="16" t="s">
        <v>55</v>
      </c>
      <c r="BD1121" s="20">
        <v>0.64</v>
      </c>
      <c r="BE1121" s="16">
        <f t="shared" si="524"/>
        <v>492.30769230769232</v>
      </c>
      <c r="BF1121" s="16">
        <f t="shared" si="525"/>
        <v>2.6922366216770506</v>
      </c>
      <c r="BG1121" s="8">
        <f t="shared" si="526"/>
        <v>-0.19382002601611281</v>
      </c>
      <c r="BH1121" s="13" t="s">
        <v>345</v>
      </c>
      <c r="BI1121" s="13"/>
      <c r="BJ1121" s="13"/>
      <c r="BK1121" s="13"/>
      <c r="BL1121" s="13"/>
      <c r="BM1121" s="17"/>
      <c r="BN1121" s="17"/>
      <c r="BO1121" s="2"/>
    </row>
    <row r="1122" spans="1:67" s="14" customFormat="1" x14ac:dyDescent="0.3">
      <c r="A1122" s="20">
        <v>1144</v>
      </c>
      <c r="B1122" s="2" t="s">
        <v>181</v>
      </c>
      <c r="C1122" s="2">
        <v>2020</v>
      </c>
      <c r="D1122" s="2" t="s">
        <v>203</v>
      </c>
      <c r="E1122" s="10" t="s">
        <v>787</v>
      </c>
      <c r="F1122" s="20" t="s">
        <v>29</v>
      </c>
      <c r="G1122" s="2" t="s">
        <v>182</v>
      </c>
      <c r="H1122" s="2" t="str">
        <f>'PFAS Properties'!$B$52</f>
        <v>6:2 FTS</v>
      </c>
      <c r="I1122" s="2" t="str">
        <f>'PFAS Properties'!$C$52</f>
        <v>FTS</v>
      </c>
      <c r="J1122" s="2" t="str">
        <f>'PFAS Properties'!$D$52</f>
        <v>C8H5F13O3S</v>
      </c>
      <c r="K1122" s="25">
        <f>'PFAS Properties'!$P$52</f>
        <v>427.97499999999997</v>
      </c>
      <c r="L1122" s="2">
        <f>'PFAS Properties'!$X$52</f>
        <v>0.4</v>
      </c>
      <c r="M1122" s="2" t="str">
        <f>'PFAS Properties'!$Y$52</f>
        <v>-</v>
      </c>
      <c r="N1122" s="33">
        <v>0</v>
      </c>
      <c r="O1122" s="33">
        <v>0</v>
      </c>
      <c r="P1122" s="33">
        <v>0</v>
      </c>
      <c r="Q1122" s="33">
        <f t="shared" si="534"/>
        <v>0.99999992056718279</v>
      </c>
      <c r="R1122" s="33">
        <v>0</v>
      </c>
      <c r="S1122" s="33">
        <f t="shared" si="535"/>
        <v>7.9432817162855232E-8</v>
      </c>
      <c r="T1122" s="8">
        <f t="shared" si="529"/>
        <v>1</v>
      </c>
      <c r="U1122" s="33">
        <f t="shared" si="517"/>
        <v>0</v>
      </c>
      <c r="V1122" s="33">
        <f t="shared" si="518"/>
        <v>-0.99999992056718279</v>
      </c>
      <c r="W1122" s="33">
        <f t="shared" si="519"/>
        <v>426.97500007943273</v>
      </c>
      <c r="X1122" s="33">
        <v>96485</v>
      </c>
      <c r="Y1122" s="16">
        <f t="shared" si="520"/>
        <v>-225.97339965565888</v>
      </c>
      <c r="Z1122" s="16">
        <v>8</v>
      </c>
      <c r="AA1122" s="16">
        <v>13</v>
      </c>
      <c r="AB1122" s="8">
        <f t="shared" si="521"/>
        <v>0.38866396761133604</v>
      </c>
      <c r="AC1122" s="16">
        <f t="shared" si="527"/>
        <v>57.713651498335182</v>
      </c>
      <c r="AD1122" s="20">
        <f>'PFAS Properties'!$W$52</f>
        <v>6</v>
      </c>
      <c r="AE1122" s="8">
        <f>'PFAS Properties'!$S$52</f>
        <v>4.0402066275747108</v>
      </c>
      <c r="AF1122" s="2">
        <f>'PFAS Properties'!$V$52</f>
        <v>3.9</v>
      </c>
      <c r="AG1122" s="24">
        <v>7.5</v>
      </c>
      <c r="AH1122" s="2" t="s">
        <v>183</v>
      </c>
      <c r="AI1122" s="2" t="s">
        <v>661</v>
      </c>
      <c r="AJ1122" s="2" t="s">
        <v>661</v>
      </c>
      <c r="AK1122" s="2" t="s">
        <v>661</v>
      </c>
      <c r="AL1122" s="2" t="s">
        <v>661</v>
      </c>
      <c r="AM1122" s="2" t="s">
        <v>661</v>
      </c>
      <c r="AN1122" s="2" t="s">
        <v>661</v>
      </c>
      <c r="AO1122" s="2" t="s">
        <v>661</v>
      </c>
      <c r="AP1122" s="15">
        <v>2.2799999999999998</v>
      </c>
      <c r="AQ1122" s="2" t="s">
        <v>661</v>
      </c>
      <c r="AR1122" s="16">
        <v>93</v>
      </c>
      <c r="AS1122" s="16">
        <v>1</v>
      </c>
      <c r="AT1122" s="16">
        <v>5</v>
      </c>
      <c r="AU1122" s="2" t="s">
        <v>661</v>
      </c>
      <c r="AV1122" s="16">
        <f t="shared" si="533"/>
        <v>99</v>
      </c>
      <c r="AW1122" s="20">
        <v>0.4</v>
      </c>
      <c r="AX1122" s="8">
        <f t="shared" si="523"/>
        <v>4.0000000000000001E-3</v>
      </c>
      <c r="AY1122" s="8" t="s">
        <v>184</v>
      </c>
      <c r="AZ1122" s="16">
        <v>100</v>
      </c>
      <c r="BA1122" s="16" t="s">
        <v>55</v>
      </c>
      <c r="BB1122" s="16">
        <v>5</v>
      </c>
      <c r="BC1122" s="16" t="s">
        <v>55</v>
      </c>
      <c r="BD1122" s="20">
        <v>0.19</v>
      </c>
      <c r="BE1122" s="16">
        <f t="shared" si="524"/>
        <v>47.5</v>
      </c>
      <c r="BF1122" s="16">
        <f t="shared" si="525"/>
        <v>1.6766936096248666</v>
      </c>
      <c r="BG1122" s="8">
        <f t="shared" si="526"/>
        <v>-0.72124639904717103</v>
      </c>
      <c r="BH1122" s="13" t="s">
        <v>345</v>
      </c>
      <c r="BI1122" s="13"/>
      <c r="BJ1122" s="13"/>
      <c r="BK1122" s="13"/>
      <c r="BL1122" s="13"/>
      <c r="BM1122" s="17"/>
      <c r="BN1122" s="17"/>
      <c r="BO1122" s="2"/>
    </row>
    <row r="1123" spans="1:67" s="14" customFormat="1" x14ac:dyDescent="0.3">
      <c r="A1123" s="20">
        <v>1145</v>
      </c>
      <c r="B1123" s="2" t="s">
        <v>181</v>
      </c>
      <c r="C1123" s="2">
        <v>2020</v>
      </c>
      <c r="D1123" s="2" t="s">
        <v>203</v>
      </c>
      <c r="E1123" s="10" t="s">
        <v>787</v>
      </c>
      <c r="F1123" s="20" t="s">
        <v>29</v>
      </c>
      <c r="G1123" s="2" t="s">
        <v>78</v>
      </c>
      <c r="H1123" s="2" t="str">
        <f>'PFAS Properties'!$B$52</f>
        <v>6:2 FTS</v>
      </c>
      <c r="I1123" s="2" t="str">
        <f>'PFAS Properties'!$C$52</f>
        <v>FTS</v>
      </c>
      <c r="J1123" s="2" t="str">
        <f>'PFAS Properties'!$D$52</f>
        <v>C8H5F13O3S</v>
      </c>
      <c r="K1123" s="25">
        <f>'PFAS Properties'!$P$52</f>
        <v>427.97499999999997</v>
      </c>
      <c r="L1123" s="2">
        <f>'PFAS Properties'!$X$52</f>
        <v>0.4</v>
      </c>
      <c r="M1123" s="2" t="str">
        <f>'PFAS Properties'!$Y$52</f>
        <v>-</v>
      </c>
      <c r="N1123" s="33">
        <v>0</v>
      </c>
      <c r="O1123" s="33">
        <v>0</v>
      </c>
      <c r="P1123" s="33">
        <v>0</v>
      </c>
      <c r="Q1123" s="33">
        <f t="shared" si="534"/>
        <v>0.99999980047380832</v>
      </c>
      <c r="R1123" s="33">
        <v>0</v>
      </c>
      <c r="S1123" s="33">
        <f t="shared" si="535"/>
        <v>1.9952619168617889E-7</v>
      </c>
      <c r="T1123" s="8">
        <f t="shared" si="529"/>
        <v>1</v>
      </c>
      <c r="U1123" s="33">
        <f t="shared" si="517"/>
        <v>0</v>
      </c>
      <c r="V1123" s="33">
        <f t="shared" si="518"/>
        <v>-0.99999980047380832</v>
      </c>
      <c r="W1123" s="33">
        <f t="shared" si="519"/>
        <v>426.97500019952616</v>
      </c>
      <c r="X1123" s="33">
        <v>96485</v>
      </c>
      <c r="Y1123" s="16">
        <f t="shared" si="520"/>
        <v>-225.97337245419004</v>
      </c>
      <c r="Z1123" s="16">
        <v>8</v>
      </c>
      <c r="AA1123" s="16">
        <v>13</v>
      </c>
      <c r="AB1123" s="8">
        <f t="shared" si="521"/>
        <v>0.38866396761133604</v>
      </c>
      <c r="AC1123" s="16">
        <f t="shared" si="527"/>
        <v>57.713651498335182</v>
      </c>
      <c r="AD1123" s="20">
        <f>'PFAS Properties'!$W$52</f>
        <v>6</v>
      </c>
      <c r="AE1123" s="8">
        <f>'PFAS Properties'!$S$52</f>
        <v>4.0402066275747108</v>
      </c>
      <c r="AF1123" s="2">
        <f>'PFAS Properties'!$V$52</f>
        <v>3.9</v>
      </c>
      <c r="AG1123" s="24">
        <v>7.1</v>
      </c>
      <c r="AH1123" s="2" t="s">
        <v>183</v>
      </c>
      <c r="AI1123" s="2" t="s">
        <v>661</v>
      </c>
      <c r="AJ1123" s="2" t="s">
        <v>661</v>
      </c>
      <c r="AK1123" s="2" t="s">
        <v>661</v>
      </c>
      <c r="AL1123" s="2" t="s">
        <v>661</v>
      </c>
      <c r="AM1123" s="2" t="s">
        <v>661</v>
      </c>
      <c r="AN1123" s="2" t="s">
        <v>661</v>
      </c>
      <c r="AO1123" s="2" t="s">
        <v>661</v>
      </c>
      <c r="AP1123" s="15">
        <v>17.420000000000002</v>
      </c>
      <c r="AQ1123" s="2" t="s">
        <v>661</v>
      </c>
      <c r="AR1123" s="16">
        <v>48.86</v>
      </c>
      <c r="AS1123" s="16">
        <v>16.05</v>
      </c>
      <c r="AT1123" s="16">
        <v>35.090000000000003</v>
      </c>
      <c r="AU1123" s="2" t="s">
        <v>661</v>
      </c>
      <c r="AV1123" s="16">
        <f t="shared" si="533"/>
        <v>100</v>
      </c>
      <c r="AW1123" s="20">
        <v>1.19</v>
      </c>
      <c r="AX1123" s="8">
        <f t="shared" si="523"/>
        <v>1.1899999999999999E-2</v>
      </c>
      <c r="AY1123" s="8" t="s">
        <v>184</v>
      </c>
      <c r="AZ1123" s="16">
        <v>100</v>
      </c>
      <c r="BA1123" s="16" t="s">
        <v>55</v>
      </c>
      <c r="BB1123" s="16">
        <v>5</v>
      </c>
      <c r="BC1123" s="16" t="s">
        <v>55</v>
      </c>
      <c r="BD1123" s="20">
        <v>0.64</v>
      </c>
      <c r="BE1123" s="16">
        <f t="shared" si="524"/>
        <v>53.781512605042025</v>
      </c>
      <c r="BF1123" s="16">
        <f t="shared" si="525"/>
        <v>1.7306330125913565</v>
      </c>
      <c r="BG1123" s="8">
        <f t="shared" si="526"/>
        <v>-0.19382002601611281</v>
      </c>
      <c r="BH1123" s="13" t="s">
        <v>345</v>
      </c>
      <c r="BI1123" s="13"/>
      <c r="BJ1123" s="13"/>
      <c r="BK1123" s="13"/>
      <c r="BL1123" s="13"/>
      <c r="BM1123" s="17"/>
      <c r="BN1123" s="17"/>
      <c r="BO1123" s="2"/>
    </row>
    <row r="1124" spans="1:67" s="14" customFormat="1" x14ac:dyDescent="0.3">
      <c r="A1124" s="20">
        <v>1146</v>
      </c>
      <c r="B1124" s="2" t="s">
        <v>181</v>
      </c>
      <c r="C1124" s="2">
        <v>2020</v>
      </c>
      <c r="D1124" s="2" t="s">
        <v>203</v>
      </c>
      <c r="E1124" s="10" t="s">
        <v>787</v>
      </c>
      <c r="F1124" s="20" t="s">
        <v>29</v>
      </c>
      <c r="G1124" s="2" t="s">
        <v>98</v>
      </c>
      <c r="H1124" s="2" t="str">
        <f>'PFAS Properties'!$B$52</f>
        <v>6:2 FTS</v>
      </c>
      <c r="I1124" s="2" t="str">
        <f>'PFAS Properties'!$C$52</f>
        <v>FTS</v>
      </c>
      <c r="J1124" s="2" t="str">
        <f>'PFAS Properties'!$D$52</f>
        <v>C8H5F13O3S</v>
      </c>
      <c r="K1124" s="25">
        <f>'PFAS Properties'!$P$52</f>
        <v>427.97499999999997</v>
      </c>
      <c r="L1124" s="2">
        <f>'PFAS Properties'!$X$52</f>
        <v>0.4</v>
      </c>
      <c r="M1124" s="2" t="str">
        <f>'PFAS Properties'!$Y$52</f>
        <v>-</v>
      </c>
      <c r="N1124" s="33">
        <v>0</v>
      </c>
      <c r="O1124" s="33">
        <v>0</v>
      </c>
      <c r="P1124" s="33">
        <v>0</v>
      </c>
      <c r="Q1124" s="33">
        <f t="shared" si="534"/>
        <v>0.99999900000099995</v>
      </c>
      <c r="R1124" s="33">
        <v>0</v>
      </c>
      <c r="S1124" s="33">
        <f t="shared" si="535"/>
        <v>9.9999900000100006E-7</v>
      </c>
      <c r="T1124" s="8">
        <f t="shared" si="529"/>
        <v>1</v>
      </c>
      <c r="U1124" s="33">
        <f t="shared" si="517"/>
        <v>0</v>
      </c>
      <c r="V1124" s="33">
        <f t="shared" si="518"/>
        <v>-0.99999900000099995</v>
      </c>
      <c r="W1124" s="33">
        <f t="shared" si="519"/>
        <v>426.97500099999894</v>
      </c>
      <c r="X1124" s="33">
        <v>96485</v>
      </c>
      <c r="Y1124" s="16">
        <f t="shared" si="520"/>
        <v>-225.97319114496992</v>
      </c>
      <c r="Z1124" s="16">
        <v>8</v>
      </c>
      <c r="AA1124" s="16">
        <v>13</v>
      </c>
      <c r="AB1124" s="8">
        <f t="shared" si="521"/>
        <v>0.38866396761133604</v>
      </c>
      <c r="AC1124" s="16">
        <f t="shared" si="527"/>
        <v>57.713651498335182</v>
      </c>
      <c r="AD1124" s="20">
        <f>'PFAS Properties'!$W$52</f>
        <v>6</v>
      </c>
      <c r="AE1124" s="8">
        <f>'PFAS Properties'!$S$52</f>
        <v>4.0402066275747108</v>
      </c>
      <c r="AF1124" s="2">
        <f>'PFAS Properties'!$V$52</f>
        <v>3.9</v>
      </c>
      <c r="AG1124" s="24">
        <v>6.4</v>
      </c>
      <c r="AH1124" s="2" t="s">
        <v>183</v>
      </c>
      <c r="AI1124" s="2" t="s">
        <v>661</v>
      </c>
      <c r="AJ1124" s="15" t="s">
        <v>661</v>
      </c>
      <c r="AK1124" s="8" t="s">
        <v>661</v>
      </c>
      <c r="AL1124" s="2" t="s">
        <v>661</v>
      </c>
      <c r="AM1124" s="15" t="s">
        <v>661</v>
      </c>
      <c r="AN1124" s="8" t="s">
        <v>661</v>
      </c>
      <c r="AO1124" s="15" t="s">
        <v>661</v>
      </c>
      <c r="AP1124" s="15">
        <v>16.54</v>
      </c>
      <c r="AQ1124" s="13" t="s">
        <v>661</v>
      </c>
      <c r="AR1124" s="16">
        <v>29.38</v>
      </c>
      <c r="AS1124" s="16">
        <v>13.9</v>
      </c>
      <c r="AT1124" s="16">
        <v>56.71</v>
      </c>
      <c r="AU1124" s="15" t="s">
        <v>661</v>
      </c>
      <c r="AV1124" s="16">
        <f t="shared" si="533"/>
        <v>99.990000000000009</v>
      </c>
      <c r="AW1124" s="20">
        <v>0.17</v>
      </c>
      <c r="AX1124" s="8">
        <f t="shared" si="523"/>
        <v>1.7000000000000001E-3</v>
      </c>
      <c r="AY1124" s="8" t="s">
        <v>184</v>
      </c>
      <c r="AZ1124" s="16">
        <v>100</v>
      </c>
      <c r="BA1124" s="16" t="s">
        <v>55</v>
      </c>
      <c r="BB1124" s="16">
        <v>5</v>
      </c>
      <c r="BC1124" s="16" t="s">
        <v>55</v>
      </c>
      <c r="BD1124" s="20">
        <v>0.87</v>
      </c>
      <c r="BE1124" s="16">
        <f t="shared" si="524"/>
        <v>511.76470588235293</v>
      </c>
      <c r="BF1124" s="16">
        <f t="shared" si="525"/>
        <v>2.7090703312403446</v>
      </c>
      <c r="BG1124" s="8">
        <f t="shared" si="526"/>
        <v>-6.0480747381381476E-2</v>
      </c>
      <c r="BH1124" s="13" t="s">
        <v>345</v>
      </c>
      <c r="BI1124" s="13"/>
      <c r="BJ1124" s="13"/>
      <c r="BK1124" s="13"/>
      <c r="BL1124" s="13"/>
      <c r="BM1124" s="17"/>
      <c r="BN1124" s="17"/>
      <c r="BO1124" s="2"/>
    </row>
    <row r="1125" spans="1:67" s="14" customFormat="1" x14ac:dyDescent="0.3">
      <c r="A1125" s="20">
        <v>1147</v>
      </c>
      <c r="B1125" s="2" t="s">
        <v>775</v>
      </c>
      <c r="C1125" s="2">
        <v>2021</v>
      </c>
      <c r="D1125" s="2" t="s">
        <v>203</v>
      </c>
      <c r="E1125" s="10" t="s">
        <v>786</v>
      </c>
      <c r="F1125" s="20" t="s">
        <v>29</v>
      </c>
      <c r="G1125" s="2" t="s">
        <v>116</v>
      </c>
      <c r="H1125" s="2" t="str">
        <f>'PFAS Properties'!$B$53</f>
        <v>8:2 FTS</v>
      </c>
      <c r="I1125" s="2" t="str">
        <f>'PFAS Properties'!$C$53</f>
        <v>FTS</v>
      </c>
      <c r="J1125" s="2" t="str">
        <f>'PFAS Properties'!$D$53</f>
        <v>C10H5F17O3S</v>
      </c>
      <c r="K1125" s="25">
        <f>'PFAS Properties'!$P$53</f>
        <v>527.96860000000004</v>
      </c>
      <c r="L1125" s="2">
        <f>'PFAS Properties'!$X$53</f>
        <v>0.4</v>
      </c>
      <c r="M1125" s="2" t="str">
        <f>'PFAS Properties'!$Y$53</f>
        <v>-</v>
      </c>
      <c r="N1125" s="33">
        <v>0</v>
      </c>
      <c r="O1125" s="33">
        <v>0</v>
      </c>
      <c r="P1125" s="33">
        <v>0</v>
      </c>
      <c r="Q1125" s="33">
        <f t="shared" si="534"/>
        <v>0.99999992920542657</v>
      </c>
      <c r="R1125" s="33">
        <v>0</v>
      </c>
      <c r="S1125" s="33">
        <f t="shared" si="535"/>
        <v>7.0794573426541869E-8</v>
      </c>
      <c r="T1125" s="8">
        <f t="shared" si="529"/>
        <v>1</v>
      </c>
      <c r="U1125" s="33">
        <f t="shared" si="517"/>
        <v>0</v>
      </c>
      <c r="V1125" s="33">
        <f t="shared" si="518"/>
        <v>-0.99999992920542657</v>
      </c>
      <c r="W1125" s="33">
        <f t="shared" si="519"/>
        <v>526.96860007079465</v>
      </c>
      <c r="X1125" s="33">
        <v>96485</v>
      </c>
      <c r="Y1125" s="16">
        <f t="shared" si="520"/>
        <v>-183.09438770435941</v>
      </c>
      <c r="Z1125" s="16">
        <v>10</v>
      </c>
      <c r="AA1125" s="16">
        <v>17</v>
      </c>
      <c r="AB1125" s="8">
        <f t="shared" si="521"/>
        <v>0.37151702786377711</v>
      </c>
      <c r="AC1125" s="16">
        <f t="shared" si="527"/>
        <v>61.177880654266183</v>
      </c>
      <c r="AD1125" s="20">
        <f>'PFAS Properties'!$W$53</f>
        <v>8</v>
      </c>
      <c r="AE1125" s="8">
        <f>'PFAS Properties'!$S$53</f>
        <v>2.2600713879850747</v>
      </c>
      <c r="AF1125" s="2">
        <f>'PFAS Properties'!$V$53</f>
        <v>5.3</v>
      </c>
      <c r="AG1125" s="24">
        <v>7.55</v>
      </c>
      <c r="AH1125" s="15" t="s">
        <v>830</v>
      </c>
      <c r="AI1125" s="2" t="s">
        <v>661</v>
      </c>
      <c r="AJ1125" s="2" t="s">
        <v>661</v>
      </c>
      <c r="AK1125" s="2" t="s">
        <v>661</v>
      </c>
      <c r="AL1125" s="2" t="s">
        <v>661</v>
      </c>
      <c r="AM1125" s="2" t="s">
        <v>661</v>
      </c>
      <c r="AN1125" s="2" t="s">
        <v>661</v>
      </c>
      <c r="AO1125" s="2" t="s">
        <v>661</v>
      </c>
      <c r="AP1125" s="15">
        <v>2.52</v>
      </c>
      <c r="AQ1125" s="16" t="s">
        <v>689</v>
      </c>
      <c r="AR1125" s="16">
        <v>45.3</v>
      </c>
      <c r="AS1125" s="16">
        <v>30</v>
      </c>
      <c r="AT1125" s="16">
        <v>24.7</v>
      </c>
      <c r="AU1125" s="16" t="s">
        <v>664</v>
      </c>
      <c r="AV1125" s="16">
        <f t="shared" si="533"/>
        <v>100</v>
      </c>
      <c r="AW1125" s="20">
        <v>3.4</v>
      </c>
      <c r="AX1125" s="8">
        <f t="shared" si="523"/>
        <v>3.4000000000000002E-2</v>
      </c>
      <c r="AY1125" s="8" t="s">
        <v>342</v>
      </c>
      <c r="AZ1125" s="16">
        <f t="shared" ref="AZ1125:AZ1135" si="536">1/0.01</f>
        <v>100</v>
      </c>
      <c r="BA1125" s="16" t="s">
        <v>55</v>
      </c>
      <c r="BB1125" s="15">
        <f>5*K1125/1000</f>
        <v>2.6398430000000004</v>
      </c>
      <c r="BC1125" s="16">
        <f>5000*K1125/1000</f>
        <v>2639.8429999999998</v>
      </c>
      <c r="BD1125" s="24">
        <f>183.7*AX1125</f>
        <v>6.2458</v>
      </c>
      <c r="BE1125" s="16">
        <f t="shared" si="524"/>
        <v>183.7</v>
      </c>
      <c r="BF1125" s="16">
        <f t="shared" si="525"/>
        <v>2.2641091563058082</v>
      </c>
      <c r="BG1125" s="8">
        <f t="shared" si="526"/>
        <v>0.79558807334806347</v>
      </c>
      <c r="BH1125" s="13" t="s">
        <v>343</v>
      </c>
      <c r="BI1125" s="8"/>
      <c r="BJ1125" s="13"/>
      <c r="BK1125" s="15"/>
      <c r="BL1125" s="15"/>
      <c r="BM1125" s="18"/>
      <c r="BN1125" s="8"/>
      <c r="BO1125" s="24"/>
    </row>
    <row r="1126" spans="1:67" s="14" customFormat="1" x14ac:dyDescent="0.3">
      <c r="A1126" s="20">
        <v>1148</v>
      </c>
      <c r="B1126" s="2" t="s">
        <v>775</v>
      </c>
      <c r="C1126" s="2">
        <v>2021</v>
      </c>
      <c r="D1126" s="2" t="s">
        <v>203</v>
      </c>
      <c r="E1126" s="10" t="s">
        <v>786</v>
      </c>
      <c r="F1126" s="20" t="s">
        <v>29</v>
      </c>
      <c r="G1126" s="2" t="s">
        <v>117</v>
      </c>
      <c r="H1126" s="2" t="str">
        <f>'PFAS Properties'!$B$53</f>
        <v>8:2 FTS</v>
      </c>
      <c r="I1126" s="2" t="str">
        <f>'PFAS Properties'!$C$53</f>
        <v>FTS</v>
      </c>
      <c r="J1126" s="2" t="str">
        <f>'PFAS Properties'!$D$53</f>
        <v>C10H5F17O3S</v>
      </c>
      <c r="K1126" s="25">
        <f>'PFAS Properties'!$P$53</f>
        <v>527.96860000000004</v>
      </c>
      <c r="L1126" s="2">
        <f>'PFAS Properties'!$X$53</f>
        <v>0.4</v>
      </c>
      <c r="M1126" s="2" t="str">
        <f>'PFAS Properties'!$Y$53</f>
        <v>-</v>
      </c>
      <c r="N1126" s="33">
        <v>0</v>
      </c>
      <c r="O1126" s="33">
        <v>0</v>
      </c>
      <c r="P1126" s="33">
        <v>0</v>
      </c>
      <c r="Q1126" s="33">
        <f t="shared" si="534"/>
        <v>0.99999998451183403</v>
      </c>
      <c r="R1126" s="33">
        <v>0</v>
      </c>
      <c r="S1126" s="33">
        <f t="shared" si="535"/>
        <v>1.5488165949241471E-8</v>
      </c>
      <c r="T1126" s="8">
        <f t="shared" si="529"/>
        <v>1</v>
      </c>
      <c r="U1126" s="33">
        <f t="shared" si="517"/>
        <v>0</v>
      </c>
      <c r="V1126" s="33">
        <f t="shared" si="518"/>
        <v>-0.99999998451183403</v>
      </c>
      <c r="W1126" s="33">
        <f t="shared" si="519"/>
        <v>526.96860001548816</v>
      </c>
      <c r="X1126" s="33">
        <v>96485</v>
      </c>
      <c r="Y1126" s="16">
        <f t="shared" si="520"/>
        <v>-183.09439784986907</v>
      </c>
      <c r="Z1126" s="16">
        <v>10</v>
      </c>
      <c r="AA1126" s="16">
        <v>17</v>
      </c>
      <c r="AB1126" s="8">
        <f t="shared" si="521"/>
        <v>0.37151702786377711</v>
      </c>
      <c r="AC1126" s="16">
        <f t="shared" si="527"/>
        <v>61.177880654266183</v>
      </c>
      <c r="AD1126" s="20">
        <f>'PFAS Properties'!$W$53</f>
        <v>8</v>
      </c>
      <c r="AE1126" s="8">
        <f>'PFAS Properties'!$S$53</f>
        <v>2.2600713879850747</v>
      </c>
      <c r="AF1126" s="2">
        <f>'PFAS Properties'!$V$53</f>
        <v>5.3</v>
      </c>
      <c r="AG1126" s="24">
        <v>8.2100000000000009</v>
      </c>
      <c r="AH1126" s="15" t="s">
        <v>830</v>
      </c>
      <c r="AI1126" s="2" t="s">
        <v>661</v>
      </c>
      <c r="AJ1126" s="2" t="s">
        <v>661</v>
      </c>
      <c r="AK1126" s="2" t="s">
        <v>661</v>
      </c>
      <c r="AL1126" s="2" t="s">
        <v>661</v>
      </c>
      <c r="AM1126" s="2" t="s">
        <v>661</v>
      </c>
      <c r="AN1126" s="2" t="s">
        <v>661</v>
      </c>
      <c r="AO1126" s="2" t="s">
        <v>661</v>
      </c>
      <c r="AP1126" s="15">
        <v>11.4</v>
      </c>
      <c r="AQ1126" s="16" t="s">
        <v>689</v>
      </c>
      <c r="AR1126" s="16">
        <v>28.7</v>
      </c>
      <c r="AS1126" s="16">
        <v>40</v>
      </c>
      <c r="AT1126" s="16">
        <v>31.3</v>
      </c>
      <c r="AU1126" s="16" t="s">
        <v>664</v>
      </c>
      <c r="AV1126" s="16">
        <f t="shared" si="533"/>
        <v>100</v>
      </c>
      <c r="AW1126" s="20">
        <v>1.7</v>
      </c>
      <c r="AX1126" s="8">
        <f t="shared" si="523"/>
        <v>1.7000000000000001E-2</v>
      </c>
      <c r="AY1126" s="8" t="s">
        <v>342</v>
      </c>
      <c r="AZ1126" s="16">
        <f t="shared" si="536"/>
        <v>100</v>
      </c>
      <c r="BA1126" s="16" t="s">
        <v>55</v>
      </c>
      <c r="BB1126" s="15">
        <f>5*K1126/1000</f>
        <v>2.6398430000000004</v>
      </c>
      <c r="BC1126" s="16">
        <f>5000*K1126/1000</f>
        <v>2639.8429999999998</v>
      </c>
      <c r="BD1126" s="24">
        <f>210.6*AX1126</f>
        <v>3.5802</v>
      </c>
      <c r="BE1126" s="16">
        <f t="shared" si="524"/>
        <v>210.6</v>
      </c>
      <c r="BF1126" s="16">
        <f t="shared" si="525"/>
        <v>2.3234583668494677</v>
      </c>
      <c r="BG1126" s="8">
        <f t="shared" si="526"/>
        <v>0.5539072882277416</v>
      </c>
      <c r="BH1126" s="13" t="s">
        <v>343</v>
      </c>
      <c r="BI1126" s="16"/>
      <c r="BJ1126" s="13"/>
      <c r="BK1126" s="15"/>
      <c r="BL1126" s="16"/>
      <c r="BM1126" s="18"/>
      <c r="BN1126" s="8"/>
      <c r="BO1126" s="24"/>
    </row>
    <row r="1127" spans="1:67" s="14" customFormat="1" x14ac:dyDescent="0.3">
      <c r="A1127" s="20">
        <v>1149</v>
      </c>
      <c r="B1127" s="2" t="s">
        <v>775</v>
      </c>
      <c r="C1127" s="2">
        <v>2021</v>
      </c>
      <c r="D1127" s="2" t="s">
        <v>203</v>
      </c>
      <c r="E1127" s="10" t="s">
        <v>786</v>
      </c>
      <c r="F1127" s="20" t="s">
        <v>29</v>
      </c>
      <c r="G1127" s="2" t="s">
        <v>118</v>
      </c>
      <c r="H1127" s="2" t="str">
        <f>'PFAS Properties'!$B$53</f>
        <v>8:2 FTS</v>
      </c>
      <c r="I1127" s="2" t="str">
        <f>'PFAS Properties'!$C$53</f>
        <v>FTS</v>
      </c>
      <c r="J1127" s="2" t="str">
        <f>'PFAS Properties'!$D$53</f>
        <v>C10H5F17O3S</v>
      </c>
      <c r="K1127" s="25">
        <f>'PFAS Properties'!$P$53</f>
        <v>527.96860000000004</v>
      </c>
      <c r="L1127" s="2">
        <f>'PFAS Properties'!$X$53</f>
        <v>0.4</v>
      </c>
      <c r="M1127" s="2" t="str">
        <f>'PFAS Properties'!$Y$53</f>
        <v>-</v>
      </c>
      <c r="N1127" s="33">
        <v>0</v>
      </c>
      <c r="O1127" s="33">
        <v>0</v>
      </c>
      <c r="P1127" s="33">
        <v>0</v>
      </c>
      <c r="Q1127" s="33">
        <f t="shared" si="534"/>
        <v>0.9999993239174817</v>
      </c>
      <c r="R1127" s="33">
        <v>0</v>
      </c>
      <c r="S1127" s="33">
        <f t="shared" si="535"/>
        <v>6.7608251830410026E-7</v>
      </c>
      <c r="T1127" s="8">
        <f t="shared" si="529"/>
        <v>1</v>
      </c>
      <c r="U1127" s="33">
        <f t="shared" si="517"/>
        <v>0</v>
      </c>
      <c r="V1127" s="33">
        <f t="shared" si="518"/>
        <v>-0.9999993239174817</v>
      </c>
      <c r="W1127" s="33">
        <f t="shared" si="519"/>
        <v>526.96860067608259</v>
      </c>
      <c r="X1127" s="33">
        <v>96485</v>
      </c>
      <c r="Y1127" s="16">
        <f t="shared" si="520"/>
        <v>-183.09427666921971</v>
      </c>
      <c r="Z1127" s="16">
        <v>10</v>
      </c>
      <c r="AA1127" s="16">
        <v>17</v>
      </c>
      <c r="AB1127" s="8">
        <f t="shared" si="521"/>
        <v>0.37151702786377711</v>
      </c>
      <c r="AC1127" s="16">
        <f t="shared" ref="AC1127:AC1150" si="537">((AA1127*19)/K1127)*100</f>
        <v>61.177880654266183</v>
      </c>
      <c r="AD1127" s="20">
        <f>'PFAS Properties'!$W$53</f>
        <v>8</v>
      </c>
      <c r="AE1127" s="8">
        <f>'PFAS Properties'!$S$53</f>
        <v>2.2600713879850747</v>
      </c>
      <c r="AF1127" s="2">
        <f>'PFAS Properties'!$V$53</f>
        <v>5.3</v>
      </c>
      <c r="AG1127" s="24">
        <v>6.57</v>
      </c>
      <c r="AH1127" s="15" t="s">
        <v>830</v>
      </c>
      <c r="AI1127" s="2" t="s">
        <v>661</v>
      </c>
      <c r="AJ1127" s="2" t="s">
        <v>661</v>
      </c>
      <c r="AK1127" s="2" t="s">
        <v>661</v>
      </c>
      <c r="AL1127" s="2" t="s">
        <v>661</v>
      </c>
      <c r="AM1127" s="2" t="s">
        <v>661</v>
      </c>
      <c r="AN1127" s="2" t="s">
        <v>661</v>
      </c>
      <c r="AO1127" s="2" t="s">
        <v>661</v>
      </c>
      <c r="AP1127" s="15">
        <v>9.93</v>
      </c>
      <c r="AQ1127" s="16" t="s">
        <v>689</v>
      </c>
      <c r="AR1127" s="16">
        <v>20</v>
      </c>
      <c r="AS1127" s="16">
        <v>50</v>
      </c>
      <c r="AT1127" s="16">
        <v>30</v>
      </c>
      <c r="AU1127" s="16" t="s">
        <v>664</v>
      </c>
      <c r="AV1127" s="16">
        <f t="shared" si="533"/>
        <v>100</v>
      </c>
      <c r="AW1127" s="20">
        <v>2.9</v>
      </c>
      <c r="AX1127" s="8">
        <f t="shared" si="523"/>
        <v>2.8999999999999998E-2</v>
      </c>
      <c r="AY1127" s="8" t="s">
        <v>342</v>
      </c>
      <c r="AZ1127" s="16">
        <f t="shared" si="536"/>
        <v>100</v>
      </c>
      <c r="BA1127" s="16" t="s">
        <v>55</v>
      </c>
      <c r="BB1127" s="15">
        <f>5*K1127/1000</f>
        <v>2.6398430000000004</v>
      </c>
      <c r="BC1127" s="16">
        <f>5000*K1127/1000</f>
        <v>2639.8429999999998</v>
      </c>
      <c r="BD1127" s="24">
        <f>206.9*AX1127</f>
        <v>6.0000999999999998</v>
      </c>
      <c r="BE1127" s="16">
        <f t="shared" si="524"/>
        <v>206.9</v>
      </c>
      <c r="BF1127" s="16">
        <f t="shared" si="525"/>
        <v>2.3157604906657347</v>
      </c>
      <c r="BG1127" s="8">
        <f t="shared" si="526"/>
        <v>0.77815848856469061</v>
      </c>
      <c r="BH1127" s="13" t="s">
        <v>343</v>
      </c>
      <c r="BI1127" s="15"/>
      <c r="BJ1127" s="13"/>
      <c r="BK1127" s="15"/>
      <c r="BL1127" s="15"/>
      <c r="BM1127" s="18"/>
      <c r="BN1127" s="8"/>
      <c r="BO1127" s="24"/>
    </row>
    <row r="1128" spans="1:67" s="14" customFormat="1" x14ac:dyDescent="0.3">
      <c r="A1128" s="20">
        <v>1150</v>
      </c>
      <c r="B1128" s="2" t="s">
        <v>775</v>
      </c>
      <c r="C1128" s="2">
        <v>2021</v>
      </c>
      <c r="D1128" s="2" t="s">
        <v>203</v>
      </c>
      <c r="E1128" s="10" t="s">
        <v>786</v>
      </c>
      <c r="F1128" s="20" t="s">
        <v>29</v>
      </c>
      <c r="G1128" s="2" t="s">
        <v>119</v>
      </c>
      <c r="H1128" s="2" t="str">
        <f>'PFAS Properties'!$B$53</f>
        <v>8:2 FTS</v>
      </c>
      <c r="I1128" s="2" t="str">
        <f>'PFAS Properties'!$C$53</f>
        <v>FTS</v>
      </c>
      <c r="J1128" s="2" t="str">
        <f>'PFAS Properties'!$D$53</f>
        <v>C10H5F17O3S</v>
      </c>
      <c r="K1128" s="25">
        <f>'PFAS Properties'!$P$53</f>
        <v>527.96860000000004</v>
      </c>
      <c r="L1128" s="2">
        <f>'PFAS Properties'!$X$53</f>
        <v>0.4</v>
      </c>
      <c r="M1128" s="2" t="str">
        <f>'PFAS Properties'!$Y$53</f>
        <v>-</v>
      </c>
      <c r="N1128" s="33">
        <v>0</v>
      </c>
      <c r="O1128" s="33">
        <v>0</v>
      </c>
      <c r="P1128" s="33">
        <v>0</v>
      </c>
      <c r="Q1128" s="33">
        <f t="shared" si="534"/>
        <v>0.99992057348559982</v>
      </c>
      <c r="R1128" s="33">
        <v>0</v>
      </c>
      <c r="S1128" s="33">
        <f t="shared" si="535"/>
        <v>7.9426514400130776E-5</v>
      </c>
      <c r="T1128" s="8">
        <f t="shared" si="529"/>
        <v>1</v>
      </c>
      <c r="U1128" s="33">
        <f t="shared" si="517"/>
        <v>0</v>
      </c>
      <c r="V1128" s="33">
        <f t="shared" si="518"/>
        <v>-0.99992057348559982</v>
      </c>
      <c r="W1128" s="33">
        <f t="shared" si="519"/>
        <v>526.96867942651443</v>
      </c>
      <c r="X1128" s="33">
        <v>96485</v>
      </c>
      <c r="Y1128" s="16">
        <f t="shared" si="520"/>
        <v>-183.07983054657393</v>
      </c>
      <c r="Z1128" s="16">
        <v>10</v>
      </c>
      <c r="AA1128" s="16">
        <v>17</v>
      </c>
      <c r="AB1128" s="8">
        <f t="shared" si="521"/>
        <v>0.37151702786377711</v>
      </c>
      <c r="AC1128" s="16">
        <f t="shared" si="537"/>
        <v>61.177880654266183</v>
      </c>
      <c r="AD1128" s="20">
        <f>'PFAS Properties'!$W$53</f>
        <v>8</v>
      </c>
      <c r="AE1128" s="8">
        <f>'PFAS Properties'!$S$53</f>
        <v>2.2600713879850747</v>
      </c>
      <c r="AF1128" s="2">
        <f>'PFAS Properties'!$V$53</f>
        <v>5.3</v>
      </c>
      <c r="AG1128" s="24">
        <v>4.5</v>
      </c>
      <c r="AH1128" s="15" t="s">
        <v>830</v>
      </c>
      <c r="AI1128" s="2" t="s">
        <v>661</v>
      </c>
      <c r="AJ1128" s="2" t="s">
        <v>661</v>
      </c>
      <c r="AK1128" s="2" t="s">
        <v>661</v>
      </c>
      <c r="AL1128" s="2" t="s">
        <v>661</v>
      </c>
      <c r="AM1128" s="2" t="s">
        <v>661</v>
      </c>
      <c r="AN1128" s="2" t="s">
        <v>661</v>
      </c>
      <c r="AO1128" s="2" t="s">
        <v>661</v>
      </c>
      <c r="AP1128" s="72">
        <v>11.497016666666671</v>
      </c>
      <c r="AQ1128" s="70" t="s">
        <v>752</v>
      </c>
      <c r="AR1128" s="16">
        <v>51.2</v>
      </c>
      <c r="AS1128" s="16">
        <v>36.200000000000003</v>
      </c>
      <c r="AT1128" s="16">
        <v>12.6</v>
      </c>
      <c r="AU1128" s="16" t="s">
        <v>664</v>
      </c>
      <c r="AV1128" s="16">
        <f t="shared" si="533"/>
        <v>100</v>
      </c>
      <c r="AW1128" s="20">
        <v>7.3</v>
      </c>
      <c r="AX1128" s="8">
        <f t="shared" si="523"/>
        <v>7.2999999999999995E-2</v>
      </c>
      <c r="AY1128" s="8" t="s">
        <v>342</v>
      </c>
      <c r="AZ1128" s="16">
        <f t="shared" si="536"/>
        <v>100</v>
      </c>
      <c r="BA1128" s="16" t="s">
        <v>55</v>
      </c>
      <c r="BB1128" s="15">
        <f>5*K1128/1000</f>
        <v>2.6398430000000004</v>
      </c>
      <c r="BC1128" s="16">
        <f>5000*K1128/1000</f>
        <v>2639.8429999999998</v>
      </c>
      <c r="BD1128" s="24">
        <f>157.6*AX1128</f>
        <v>11.504799999999999</v>
      </c>
      <c r="BE1128" s="16">
        <f t="shared" si="524"/>
        <v>157.6</v>
      </c>
      <c r="BF1128" s="16">
        <f t="shared" si="525"/>
        <v>2.1975562131535367</v>
      </c>
      <c r="BG1128" s="8">
        <f t="shared" si="526"/>
        <v>1.0608790732739923</v>
      </c>
      <c r="BH1128" s="13" t="s">
        <v>343</v>
      </c>
      <c r="BI1128" s="15"/>
      <c r="BJ1128" s="13"/>
      <c r="BK1128" s="15"/>
      <c r="BL1128" s="15"/>
      <c r="BM1128" s="18"/>
      <c r="BN1128" s="8"/>
      <c r="BO1128" s="24"/>
    </row>
    <row r="1129" spans="1:67" s="14" customFormat="1" x14ac:dyDescent="0.3">
      <c r="A1129" s="20">
        <v>1151</v>
      </c>
      <c r="B1129" s="2" t="s">
        <v>775</v>
      </c>
      <c r="C1129" s="2">
        <v>2021</v>
      </c>
      <c r="D1129" s="2" t="s">
        <v>203</v>
      </c>
      <c r="E1129" s="10" t="s">
        <v>786</v>
      </c>
      <c r="F1129" s="20" t="s">
        <v>29</v>
      </c>
      <c r="G1129" s="2" t="s">
        <v>120</v>
      </c>
      <c r="H1129" s="2" t="str">
        <f>'PFAS Properties'!$B$53</f>
        <v>8:2 FTS</v>
      </c>
      <c r="I1129" s="2" t="str">
        <f>'PFAS Properties'!$C$53</f>
        <v>FTS</v>
      </c>
      <c r="J1129" s="2" t="str">
        <f>'PFAS Properties'!$D$53</f>
        <v>C10H5F17O3S</v>
      </c>
      <c r="K1129" s="25">
        <f>'PFAS Properties'!$P$53</f>
        <v>527.96860000000004</v>
      </c>
      <c r="L1129" s="2">
        <f>'PFAS Properties'!$X$53</f>
        <v>0.4</v>
      </c>
      <c r="M1129" s="2" t="str">
        <f>'PFAS Properties'!$Y$53</f>
        <v>-</v>
      </c>
      <c r="N1129" s="33">
        <v>0</v>
      </c>
      <c r="O1129" s="33">
        <v>0</v>
      </c>
      <c r="P1129" s="33">
        <v>0</v>
      </c>
      <c r="Q1129" s="33">
        <f t="shared" si="534"/>
        <v>0.9999822175221218</v>
      </c>
      <c r="R1129" s="33">
        <v>0</v>
      </c>
      <c r="S1129" s="33">
        <f t="shared" si="535"/>
        <v>1.7782477878246509E-5</v>
      </c>
      <c r="T1129" s="8">
        <f t="shared" si="529"/>
        <v>1</v>
      </c>
      <c r="U1129" s="33">
        <f t="shared" si="517"/>
        <v>0</v>
      </c>
      <c r="V1129" s="33">
        <f t="shared" si="518"/>
        <v>-0.9999822175221218</v>
      </c>
      <c r="W1129" s="33">
        <f t="shared" si="519"/>
        <v>526.96861778247796</v>
      </c>
      <c r="X1129" s="33">
        <v>96485</v>
      </c>
      <c r="Y1129" s="16">
        <f t="shared" si="520"/>
        <v>-183.09113864053339</v>
      </c>
      <c r="Z1129" s="16">
        <v>10</v>
      </c>
      <c r="AA1129" s="16">
        <v>17</v>
      </c>
      <c r="AB1129" s="8">
        <f t="shared" si="521"/>
        <v>0.37151702786377711</v>
      </c>
      <c r="AC1129" s="16">
        <f t="shared" si="537"/>
        <v>61.177880654266183</v>
      </c>
      <c r="AD1129" s="20">
        <f>'PFAS Properties'!$W$53</f>
        <v>8</v>
      </c>
      <c r="AE1129" s="8">
        <f>'PFAS Properties'!$S$53</f>
        <v>2.2600713879850747</v>
      </c>
      <c r="AF1129" s="2">
        <f>'PFAS Properties'!$V$53</f>
        <v>5.3</v>
      </c>
      <c r="AG1129" s="24">
        <v>5.15</v>
      </c>
      <c r="AH1129" s="2" t="s">
        <v>830</v>
      </c>
      <c r="AI1129" s="2" t="s">
        <v>661</v>
      </c>
      <c r="AJ1129" s="2" t="s">
        <v>661</v>
      </c>
      <c r="AK1129" s="2" t="s">
        <v>661</v>
      </c>
      <c r="AL1129" s="2" t="s">
        <v>661</v>
      </c>
      <c r="AM1129" s="2" t="s">
        <v>661</v>
      </c>
      <c r="AN1129" s="2" t="s">
        <v>661</v>
      </c>
      <c r="AO1129" s="2" t="s">
        <v>661</v>
      </c>
      <c r="AP1129" s="15">
        <v>0.57999999999999996</v>
      </c>
      <c r="AQ1129" s="16" t="s">
        <v>689</v>
      </c>
      <c r="AR1129" s="16">
        <v>59.2</v>
      </c>
      <c r="AS1129" s="16">
        <v>32.200000000000003</v>
      </c>
      <c r="AT1129" s="16">
        <v>8.6</v>
      </c>
      <c r="AU1129" s="16" t="s">
        <v>664</v>
      </c>
      <c r="AV1129" s="16">
        <f t="shared" si="533"/>
        <v>100</v>
      </c>
      <c r="AW1129" s="20">
        <v>1.8</v>
      </c>
      <c r="AX1129" s="8">
        <f t="shared" si="523"/>
        <v>1.8000000000000002E-2</v>
      </c>
      <c r="AY1129" s="13" t="s">
        <v>342</v>
      </c>
      <c r="AZ1129" s="16">
        <f t="shared" si="536"/>
        <v>100</v>
      </c>
      <c r="BA1129" s="16" t="s">
        <v>55</v>
      </c>
      <c r="BB1129" s="15">
        <f>5*K1129/1000</f>
        <v>2.6398430000000004</v>
      </c>
      <c r="BC1129" s="16">
        <f>5000*K1129/1000</f>
        <v>2639.8429999999998</v>
      </c>
      <c r="BD1129" s="24">
        <f>282.7*AX1129</f>
        <v>5.0886000000000005</v>
      </c>
      <c r="BE1129" s="16">
        <f t="shared" si="524"/>
        <v>282.7</v>
      </c>
      <c r="BF1129" s="16">
        <f t="shared" si="525"/>
        <v>2.4513258084895195</v>
      </c>
      <c r="BG1129" s="8">
        <f t="shared" si="526"/>
        <v>0.70659831359282566</v>
      </c>
      <c r="BH1129" s="13" t="s">
        <v>343</v>
      </c>
      <c r="BI1129" s="15"/>
      <c r="BJ1129" s="13"/>
      <c r="BK1129" s="15"/>
      <c r="BL1129" s="16"/>
      <c r="BM1129" s="18"/>
      <c r="BN1129" s="8"/>
      <c r="BO1129" s="24"/>
    </row>
    <row r="1130" spans="1:67" s="14" customFormat="1" x14ac:dyDescent="0.3">
      <c r="A1130" s="20">
        <v>1152</v>
      </c>
      <c r="B1130" s="2" t="s">
        <v>294</v>
      </c>
      <c r="C1130" s="2">
        <v>2017</v>
      </c>
      <c r="D1130" s="2" t="s">
        <v>203</v>
      </c>
      <c r="E1130" s="22" t="s">
        <v>789</v>
      </c>
      <c r="F1130" s="20" t="s">
        <v>29</v>
      </c>
      <c r="G1130" s="2">
        <v>1</v>
      </c>
      <c r="H1130" s="2" t="str">
        <f>'PFAS Properties'!$B$53</f>
        <v>8:2 FTS</v>
      </c>
      <c r="I1130" s="2" t="str">
        <f>'PFAS Properties'!$C$53</f>
        <v>FTS</v>
      </c>
      <c r="J1130" s="2" t="str">
        <f>'PFAS Properties'!$D$53</f>
        <v>C10H5F17O3S</v>
      </c>
      <c r="K1130" s="25">
        <f>'PFAS Properties'!$P$53</f>
        <v>527.96860000000004</v>
      </c>
      <c r="L1130" s="2">
        <f>'PFAS Properties'!$X$53</f>
        <v>0.4</v>
      </c>
      <c r="M1130" s="2" t="str">
        <f>'PFAS Properties'!$Y$53</f>
        <v>-</v>
      </c>
      <c r="N1130" s="33">
        <v>0</v>
      </c>
      <c r="O1130" s="33">
        <v>0</v>
      </c>
      <c r="P1130" s="33">
        <v>0</v>
      </c>
      <c r="Q1130" s="33">
        <f t="shared" si="534"/>
        <v>0.99998004777494953</v>
      </c>
      <c r="R1130" s="33">
        <v>0</v>
      </c>
      <c r="S1130" s="33">
        <f t="shared" si="535"/>
        <v>1.9952225050461375E-5</v>
      </c>
      <c r="T1130" s="8">
        <f t="shared" si="529"/>
        <v>1</v>
      </c>
      <c r="U1130" s="33">
        <f t="shared" si="517"/>
        <v>0</v>
      </c>
      <c r="V1130" s="33">
        <f t="shared" si="518"/>
        <v>-0.99998004777494953</v>
      </c>
      <c r="W1130" s="33">
        <f t="shared" si="519"/>
        <v>526.96861995222503</v>
      </c>
      <c r="X1130" s="33">
        <v>96485</v>
      </c>
      <c r="Y1130" s="16">
        <f t="shared" si="520"/>
        <v>-183.09074061812856</v>
      </c>
      <c r="Z1130" s="16">
        <v>10</v>
      </c>
      <c r="AA1130" s="16">
        <v>17</v>
      </c>
      <c r="AB1130" s="8">
        <f t="shared" si="521"/>
        <v>0.37151702786377711</v>
      </c>
      <c r="AC1130" s="16">
        <f t="shared" si="537"/>
        <v>61.177880654266183</v>
      </c>
      <c r="AD1130" s="20">
        <f>'PFAS Properties'!$W$53</f>
        <v>8</v>
      </c>
      <c r="AE1130" s="8">
        <f>'PFAS Properties'!$S$53</f>
        <v>2.2600713879850747</v>
      </c>
      <c r="AF1130" s="2">
        <f>'PFAS Properties'!$V$53</f>
        <v>5.3</v>
      </c>
      <c r="AG1130" s="24">
        <v>5.0999999999999996</v>
      </c>
      <c r="AH1130" s="2" t="s">
        <v>831</v>
      </c>
      <c r="AI1130" s="2" t="s">
        <v>661</v>
      </c>
      <c r="AJ1130" s="2" t="s">
        <v>661</v>
      </c>
      <c r="AK1130" s="2" t="s">
        <v>661</v>
      </c>
      <c r="AL1130" s="2" t="s">
        <v>661</v>
      </c>
      <c r="AM1130" s="2" t="s">
        <v>661</v>
      </c>
      <c r="AN1130" s="2" t="s">
        <v>661</v>
      </c>
      <c r="AO1130" s="2" t="s">
        <v>661</v>
      </c>
      <c r="AP1130" s="16">
        <v>14</v>
      </c>
      <c r="AQ1130" s="16" t="s">
        <v>712</v>
      </c>
      <c r="AR1130" s="16">
        <v>6.3</v>
      </c>
      <c r="AS1130" s="16">
        <v>71</v>
      </c>
      <c r="AT1130" s="16">
        <v>22</v>
      </c>
      <c r="AU1130" s="2" t="s">
        <v>661</v>
      </c>
      <c r="AV1130" s="16">
        <f t="shared" si="533"/>
        <v>99.3</v>
      </c>
      <c r="AW1130" s="20">
        <v>1.5</v>
      </c>
      <c r="AX1130" s="8">
        <f t="shared" si="523"/>
        <v>1.4999999999999999E-2</v>
      </c>
      <c r="AY1130" s="8" t="s">
        <v>295</v>
      </c>
      <c r="AZ1130" s="16">
        <f t="shared" si="536"/>
        <v>100</v>
      </c>
      <c r="BA1130" s="16" t="s">
        <v>55</v>
      </c>
      <c r="BB1130" s="15">
        <f t="shared" ref="BB1130:BB1135" si="538">(0.47*K1130)/1000</f>
        <v>0.24814524199999999</v>
      </c>
      <c r="BC1130" s="16">
        <f>(49000*K1130)/1000</f>
        <v>25870.461400000004</v>
      </c>
      <c r="BD1130" s="24">
        <v>30</v>
      </c>
      <c r="BE1130" s="16">
        <f t="shared" si="524"/>
        <v>2000</v>
      </c>
      <c r="BF1130" s="16">
        <f t="shared" si="525"/>
        <v>3.3010299956639813</v>
      </c>
      <c r="BG1130" s="8">
        <f t="shared" si="526"/>
        <v>1.4771212547196624</v>
      </c>
      <c r="BH1130" s="13" t="s">
        <v>352</v>
      </c>
      <c r="BI1130" s="16"/>
      <c r="BJ1130" s="13"/>
      <c r="BK1130" s="15"/>
      <c r="BL1130" s="15"/>
      <c r="BM1130" s="18"/>
      <c r="BN1130" s="8"/>
      <c r="BO1130" s="24"/>
    </row>
    <row r="1131" spans="1:67" s="14" customFormat="1" x14ac:dyDescent="0.3">
      <c r="A1131" s="20">
        <v>1153</v>
      </c>
      <c r="B1131" s="2" t="s">
        <v>294</v>
      </c>
      <c r="C1131" s="2">
        <v>2017</v>
      </c>
      <c r="D1131" s="2" t="s">
        <v>203</v>
      </c>
      <c r="E1131" s="22" t="s">
        <v>789</v>
      </c>
      <c r="F1131" s="20" t="s">
        <v>29</v>
      </c>
      <c r="G1131" s="2">
        <v>2</v>
      </c>
      <c r="H1131" s="2" t="str">
        <f>'PFAS Properties'!$B$53</f>
        <v>8:2 FTS</v>
      </c>
      <c r="I1131" s="2" t="str">
        <f>'PFAS Properties'!$C$53</f>
        <v>FTS</v>
      </c>
      <c r="J1131" s="2" t="str">
        <f>'PFAS Properties'!$D$53</f>
        <v>C10H5F17O3S</v>
      </c>
      <c r="K1131" s="25">
        <f>'PFAS Properties'!$P$53</f>
        <v>527.96860000000004</v>
      </c>
      <c r="L1131" s="2">
        <f>'PFAS Properties'!$X$53</f>
        <v>0.4</v>
      </c>
      <c r="M1131" s="2" t="str">
        <f>'PFAS Properties'!$Y$53</f>
        <v>-</v>
      </c>
      <c r="N1131" s="33">
        <v>0</v>
      </c>
      <c r="O1131" s="33">
        <v>0</v>
      </c>
      <c r="P1131" s="33">
        <v>0</v>
      </c>
      <c r="Q1131" s="33">
        <f t="shared" si="534"/>
        <v>0.99999205678074798</v>
      </c>
      <c r="R1131" s="33">
        <v>0</v>
      </c>
      <c r="S1131" s="33">
        <f t="shared" si="535"/>
        <v>7.9432192520095431E-6</v>
      </c>
      <c r="T1131" s="8">
        <f t="shared" ref="T1131:T1150" si="539">SUM(N1131:S1131)</f>
        <v>1</v>
      </c>
      <c r="U1131" s="33">
        <f t="shared" si="517"/>
        <v>0</v>
      </c>
      <c r="V1131" s="33">
        <f t="shared" si="518"/>
        <v>-0.99999205678074798</v>
      </c>
      <c r="W1131" s="33">
        <f t="shared" si="519"/>
        <v>526.96860794321935</v>
      </c>
      <c r="X1131" s="33">
        <v>96485</v>
      </c>
      <c r="Y1131" s="16">
        <f t="shared" si="520"/>
        <v>-183.09294357224141</v>
      </c>
      <c r="Z1131" s="16">
        <v>10</v>
      </c>
      <c r="AA1131" s="16">
        <v>17</v>
      </c>
      <c r="AB1131" s="8">
        <f t="shared" si="521"/>
        <v>0.37151702786377711</v>
      </c>
      <c r="AC1131" s="16">
        <f t="shared" si="537"/>
        <v>61.177880654266183</v>
      </c>
      <c r="AD1131" s="20">
        <f>'PFAS Properties'!$W$53</f>
        <v>8</v>
      </c>
      <c r="AE1131" s="8">
        <f>'PFAS Properties'!$S$53</f>
        <v>2.2600713879850747</v>
      </c>
      <c r="AF1131" s="2">
        <f>'PFAS Properties'!$V$53</f>
        <v>5.3</v>
      </c>
      <c r="AG1131" s="24">
        <v>5.5</v>
      </c>
      <c r="AH1131" s="2" t="s">
        <v>831</v>
      </c>
      <c r="AI1131" s="2" t="s">
        <v>661</v>
      </c>
      <c r="AJ1131" s="2" t="s">
        <v>661</v>
      </c>
      <c r="AK1131" s="2" t="s">
        <v>661</v>
      </c>
      <c r="AL1131" s="2" t="s">
        <v>661</v>
      </c>
      <c r="AM1131" s="2" t="s">
        <v>661</v>
      </c>
      <c r="AN1131" s="2" t="s">
        <v>661</v>
      </c>
      <c r="AO1131" s="2" t="s">
        <v>661</v>
      </c>
      <c r="AP1131" s="16">
        <v>22</v>
      </c>
      <c r="AQ1131" s="16" t="s">
        <v>712</v>
      </c>
      <c r="AR1131" s="16">
        <v>10</v>
      </c>
      <c r="AS1131" s="16">
        <v>64</v>
      </c>
      <c r="AT1131" s="16">
        <v>26</v>
      </c>
      <c r="AU1131" s="2" t="s">
        <v>661</v>
      </c>
      <c r="AV1131" s="16">
        <f t="shared" si="533"/>
        <v>100</v>
      </c>
      <c r="AW1131" s="20">
        <v>0.12</v>
      </c>
      <c r="AX1131" s="8">
        <f t="shared" si="523"/>
        <v>1.1999999999999999E-3</v>
      </c>
      <c r="AY1131" s="8" t="s">
        <v>295</v>
      </c>
      <c r="AZ1131" s="16">
        <f t="shared" si="536"/>
        <v>100</v>
      </c>
      <c r="BA1131" s="16" t="s">
        <v>55</v>
      </c>
      <c r="BB1131" s="15">
        <f t="shared" si="538"/>
        <v>0.24814524199999999</v>
      </c>
      <c r="BC1131" s="16">
        <f>(120*K1131)/1000</f>
        <v>63.356232000000006</v>
      </c>
      <c r="BD1131" s="24">
        <v>39</v>
      </c>
      <c r="BE1131" s="16">
        <f t="shared" si="524"/>
        <v>32500.000000000004</v>
      </c>
      <c r="BF1131" s="16">
        <f t="shared" si="525"/>
        <v>4.5118833609788744</v>
      </c>
      <c r="BG1131" s="8">
        <f t="shared" si="526"/>
        <v>1.5910646070264991</v>
      </c>
      <c r="BH1131" s="13" t="s">
        <v>352</v>
      </c>
      <c r="BI1131" s="16"/>
      <c r="BJ1131" s="13"/>
      <c r="BK1131" s="15"/>
      <c r="BL1131" s="16"/>
      <c r="BM1131" s="18"/>
      <c r="BN1131" s="8"/>
      <c r="BO1131" s="24"/>
    </row>
    <row r="1132" spans="1:67" s="14" customFormat="1" x14ac:dyDescent="0.3">
      <c r="A1132" s="20">
        <v>1154</v>
      </c>
      <c r="B1132" s="2" t="s">
        <v>294</v>
      </c>
      <c r="C1132" s="2">
        <v>2017</v>
      </c>
      <c r="D1132" s="2" t="s">
        <v>203</v>
      </c>
      <c r="E1132" s="22" t="s">
        <v>789</v>
      </c>
      <c r="F1132" s="20" t="s">
        <v>29</v>
      </c>
      <c r="G1132" s="2">
        <v>3</v>
      </c>
      <c r="H1132" s="2" t="str">
        <f>'PFAS Properties'!$B$53</f>
        <v>8:2 FTS</v>
      </c>
      <c r="I1132" s="2" t="str">
        <f>'PFAS Properties'!$C$53</f>
        <v>FTS</v>
      </c>
      <c r="J1132" s="2" t="str">
        <f>'PFAS Properties'!$D$53</f>
        <v>C10H5F17O3S</v>
      </c>
      <c r="K1132" s="25">
        <f>'PFAS Properties'!$P$53</f>
        <v>527.96860000000004</v>
      </c>
      <c r="L1132" s="2">
        <f>'PFAS Properties'!$X$53</f>
        <v>0.4</v>
      </c>
      <c r="M1132" s="2" t="str">
        <f>'PFAS Properties'!$Y$53</f>
        <v>-</v>
      </c>
      <c r="N1132" s="33">
        <v>0</v>
      </c>
      <c r="O1132" s="33">
        <v>0</v>
      </c>
      <c r="P1132" s="33">
        <v>0</v>
      </c>
      <c r="Q1132" s="33">
        <f t="shared" si="534"/>
        <v>0.99998004777494953</v>
      </c>
      <c r="R1132" s="33">
        <v>0</v>
      </c>
      <c r="S1132" s="33">
        <f t="shared" si="535"/>
        <v>1.9952225050461375E-5</v>
      </c>
      <c r="T1132" s="8">
        <f t="shared" si="539"/>
        <v>1</v>
      </c>
      <c r="U1132" s="33">
        <f t="shared" si="517"/>
        <v>0</v>
      </c>
      <c r="V1132" s="33">
        <f t="shared" si="518"/>
        <v>-0.99998004777494953</v>
      </c>
      <c r="W1132" s="33">
        <f t="shared" si="519"/>
        <v>526.96861995222503</v>
      </c>
      <c r="X1132" s="33">
        <v>96485</v>
      </c>
      <c r="Y1132" s="16">
        <f t="shared" si="520"/>
        <v>-183.09074061812856</v>
      </c>
      <c r="Z1132" s="16">
        <v>10</v>
      </c>
      <c r="AA1132" s="16">
        <v>17</v>
      </c>
      <c r="AB1132" s="8">
        <f t="shared" si="521"/>
        <v>0.37151702786377711</v>
      </c>
      <c r="AC1132" s="16">
        <f t="shared" si="537"/>
        <v>61.177880654266183</v>
      </c>
      <c r="AD1132" s="20">
        <f>'PFAS Properties'!$W$53</f>
        <v>8</v>
      </c>
      <c r="AE1132" s="8">
        <f>'PFAS Properties'!$S$53</f>
        <v>2.2600713879850747</v>
      </c>
      <c r="AF1132" s="2">
        <f>'PFAS Properties'!$V$53</f>
        <v>5.3</v>
      </c>
      <c r="AG1132" s="24">
        <v>5.0999999999999996</v>
      </c>
      <c r="AH1132" s="2" t="s">
        <v>831</v>
      </c>
      <c r="AI1132" s="2" t="s">
        <v>661</v>
      </c>
      <c r="AJ1132" s="2" t="s">
        <v>661</v>
      </c>
      <c r="AK1132" s="2" t="s">
        <v>661</v>
      </c>
      <c r="AL1132" s="2" t="s">
        <v>661</v>
      </c>
      <c r="AM1132" s="2" t="s">
        <v>661</v>
      </c>
      <c r="AN1132" s="2" t="s">
        <v>661</v>
      </c>
      <c r="AO1132" s="2" t="s">
        <v>661</v>
      </c>
      <c r="AP1132" s="16">
        <v>17</v>
      </c>
      <c r="AQ1132" s="16" t="s">
        <v>712</v>
      </c>
      <c r="AR1132" s="16">
        <v>14</v>
      </c>
      <c r="AS1132" s="16">
        <v>39</v>
      </c>
      <c r="AT1132" s="16">
        <v>48</v>
      </c>
      <c r="AU1132" s="2" t="s">
        <v>661</v>
      </c>
      <c r="AV1132" s="16">
        <f t="shared" si="533"/>
        <v>101</v>
      </c>
      <c r="AW1132" s="20">
        <v>2.2999999999999998</v>
      </c>
      <c r="AX1132" s="8">
        <f t="shared" si="523"/>
        <v>2.3E-2</v>
      </c>
      <c r="AY1132" s="8" t="s">
        <v>295</v>
      </c>
      <c r="AZ1132" s="16">
        <f t="shared" si="536"/>
        <v>100</v>
      </c>
      <c r="BA1132" s="16" t="s">
        <v>55</v>
      </c>
      <c r="BB1132" s="15">
        <f t="shared" si="538"/>
        <v>0.24814524199999999</v>
      </c>
      <c r="BC1132" s="16">
        <f>(120*K1132)/1000</f>
        <v>63.356232000000006</v>
      </c>
      <c r="BD1132" s="24">
        <v>35</v>
      </c>
      <c r="BE1132" s="16">
        <f t="shared" si="524"/>
        <v>1521.7391304347827</v>
      </c>
      <c r="BF1132" s="16">
        <f t="shared" si="525"/>
        <v>3.1823402083326826</v>
      </c>
      <c r="BG1132" s="8">
        <f t="shared" si="526"/>
        <v>1.5440680443502757</v>
      </c>
      <c r="BH1132" s="13" t="s">
        <v>352</v>
      </c>
      <c r="BI1132" s="15"/>
      <c r="BJ1132" s="13"/>
      <c r="BK1132" s="15"/>
      <c r="BL1132" s="15"/>
      <c r="BM1132" s="18"/>
      <c r="BN1132" s="8"/>
      <c r="BO1132" s="24"/>
    </row>
    <row r="1133" spans="1:67" s="14" customFormat="1" x14ac:dyDescent="0.3">
      <c r="A1133" s="20">
        <v>1155</v>
      </c>
      <c r="B1133" s="2" t="s">
        <v>294</v>
      </c>
      <c r="C1133" s="2">
        <v>2017</v>
      </c>
      <c r="D1133" s="2" t="s">
        <v>203</v>
      </c>
      <c r="E1133" s="22" t="s">
        <v>789</v>
      </c>
      <c r="F1133" s="20" t="s">
        <v>29</v>
      </c>
      <c r="G1133" s="2">
        <v>4</v>
      </c>
      <c r="H1133" s="2" t="str">
        <f>'PFAS Properties'!$B$53</f>
        <v>8:2 FTS</v>
      </c>
      <c r="I1133" s="2" t="str">
        <f>'PFAS Properties'!$C$53</f>
        <v>FTS</v>
      </c>
      <c r="J1133" s="2" t="str">
        <f>'PFAS Properties'!$D$53</f>
        <v>C10H5F17O3S</v>
      </c>
      <c r="K1133" s="25">
        <f>'PFAS Properties'!$P$53</f>
        <v>527.96860000000004</v>
      </c>
      <c r="L1133" s="2">
        <f>'PFAS Properties'!$X$53</f>
        <v>0.4</v>
      </c>
      <c r="M1133" s="2" t="str">
        <f>'PFAS Properties'!$Y$53</f>
        <v>-</v>
      </c>
      <c r="N1133" s="33">
        <v>0</v>
      </c>
      <c r="O1133" s="33">
        <v>0</v>
      </c>
      <c r="P1133" s="33">
        <v>0</v>
      </c>
      <c r="Q1133" s="33">
        <f t="shared" si="534"/>
        <v>0.99997488176662641</v>
      </c>
      <c r="R1133" s="33">
        <v>0</v>
      </c>
      <c r="S1133" s="33">
        <f t="shared" si="535"/>
        <v>2.5118233373599843E-5</v>
      </c>
      <c r="T1133" s="8">
        <f t="shared" si="539"/>
        <v>1</v>
      </c>
      <c r="U1133" s="33">
        <f t="shared" si="517"/>
        <v>0</v>
      </c>
      <c r="V1133" s="33">
        <f t="shared" si="518"/>
        <v>-0.99997488176662641</v>
      </c>
      <c r="W1133" s="33">
        <f t="shared" si="519"/>
        <v>526.96862511823349</v>
      </c>
      <c r="X1133" s="33">
        <v>96485</v>
      </c>
      <c r="Y1133" s="16">
        <f t="shared" si="520"/>
        <v>-183.08979295609032</v>
      </c>
      <c r="Z1133" s="16">
        <v>10</v>
      </c>
      <c r="AA1133" s="16">
        <v>17</v>
      </c>
      <c r="AB1133" s="8">
        <f t="shared" si="521"/>
        <v>0.37151702786377711</v>
      </c>
      <c r="AC1133" s="16">
        <f t="shared" si="537"/>
        <v>61.177880654266183</v>
      </c>
      <c r="AD1133" s="20">
        <f>'PFAS Properties'!$W$53</f>
        <v>8</v>
      </c>
      <c r="AE1133" s="8">
        <f>'PFAS Properties'!$S$53</f>
        <v>2.2600713879850747</v>
      </c>
      <c r="AF1133" s="2">
        <f>'PFAS Properties'!$V$53</f>
        <v>5.3</v>
      </c>
      <c r="AG1133" s="24">
        <v>5</v>
      </c>
      <c r="AH1133" s="2" t="s">
        <v>831</v>
      </c>
      <c r="AI1133" s="2" t="s">
        <v>661</v>
      </c>
      <c r="AJ1133" s="2" t="s">
        <v>661</v>
      </c>
      <c r="AK1133" s="2" t="s">
        <v>661</v>
      </c>
      <c r="AL1133" s="2" t="s">
        <v>661</v>
      </c>
      <c r="AM1133" s="2" t="s">
        <v>661</v>
      </c>
      <c r="AN1133" s="2" t="s">
        <v>661</v>
      </c>
      <c r="AO1133" s="2" t="s">
        <v>661</v>
      </c>
      <c r="AP1133" s="16">
        <v>36</v>
      </c>
      <c r="AQ1133" s="16" t="s">
        <v>712</v>
      </c>
      <c r="AR1133" s="16">
        <v>37</v>
      </c>
      <c r="AS1133" s="16">
        <v>45</v>
      </c>
      <c r="AT1133" s="16">
        <v>18</v>
      </c>
      <c r="AU1133" s="2" t="s">
        <v>661</v>
      </c>
      <c r="AV1133" s="16">
        <f t="shared" si="533"/>
        <v>100</v>
      </c>
      <c r="AW1133" s="20">
        <v>7.7</v>
      </c>
      <c r="AX1133" s="8">
        <f t="shared" si="523"/>
        <v>7.6999999999999999E-2</v>
      </c>
      <c r="AY1133" s="8" t="s">
        <v>295</v>
      </c>
      <c r="AZ1133" s="16">
        <f t="shared" si="536"/>
        <v>100</v>
      </c>
      <c r="BA1133" s="16" t="s">
        <v>55</v>
      </c>
      <c r="BB1133" s="15">
        <f t="shared" si="538"/>
        <v>0.24814524199999999</v>
      </c>
      <c r="BC1133" s="16">
        <f>(120*K1133)/1000</f>
        <v>63.356232000000006</v>
      </c>
      <c r="BD1133" s="24">
        <v>84</v>
      </c>
      <c r="BE1133" s="16">
        <f t="shared" si="524"/>
        <v>1090.909090909091</v>
      </c>
      <c r="BF1133" s="16">
        <f t="shared" si="525"/>
        <v>3.0377885608893997</v>
      </c>
      <c r="BG1133" s="8">
        <f t="shared" si="526"/>
        <v>1.9242792860618816</v>
      </c>
      <c r="BH1133" s="13" t="s">
        <v>352</v>
      </c>
      <c r="BI1133" s="15"/>
      <c r="BJ1133" s="13"/>
      <c r="BK1133" s="15"/>
      <c r="BL1133" s="15"/>
      <c r="BM1133" s="18"/>
      <c r="BN1133" s="8"/>
      <c r="BO1133" s="24"/>
    </row>
    <row r="1134" spans="1:67" s="14" customFormat="1" x14ac:dyDescent="0.3">
      <c r="A1134" s="20">
        <v>1156</v>
      </c>
      <c r="B1134" s="2" t="s">
        <v>294</v>
      </c>
      <c r="C1134" s="2">
        <v>2017</v>
      </c>
      <c r="D1134" s="2" t="s">
        <v>203</v>
      </c>
      <c r="E1134" s="22" t="s">
        <v>789</v>
      </c>
      <c r="F1134" s="20" t="s">
        <v>29</v>
      </c>
      <c r="G1134" s="2">
        <v>5</v>
      </c>
      <c r="H1134" s="2" t="str">
        <f>'PFAS Properties'!$B$53</f>
        <v>8:2 FTS</v>
      </c>
      <c r="I1134" s="2" t="str">
        <f>'PFAS Properties'!$C$53</f>
        <v>FTS</v>
      </c>
      <c r="J1134" s="2" t="str">
        <f>'PFAS Properties'!$D$53</f>
        <v>C10H5F17O3S</v>
      </c>
      <c r="K1134" s="25">
        <f>'PFAS Properties'!$P$53</f>
        <v>527.96860000000004</v>
      </c>
      <c r="L1134" s="2">
        <f>'PFAS Properties'!$X$53</f>
        <v>0.4</v>
      </c>
      <c r="M1134" s="2" t="str">
        <f>'PFAS Properties'!$Y$53</f>
        <v>-</v>
      </c>
      <c r="N1134" s="33">
        <v>0</v>
      </c>
      <c r="O1134" s="33">
        <v>0</v>
      </c>
      <c r="P1134" s="33">
        <v>0</v>
      </c>
      <c r="Q1134" s="33">
        <f t="shared" si="534"/>
        <v>0.99997488176662641</v>
      </c>
      <c r="R1134" s="33">
        <v>0</v>
      </c>
      <c r="S1134" s="33">
        <f t="shared" si="535"/>
        <v>2.5118233373599843E-5</v>
      </c>
      <c r="T1134" s="8">
        <f t="shared" si="539"/>
        <v>1</v>
      </c>
      <c r="U1134" s="33">
        <f t="shared" si="517"/>
        <v>0</v>
      </c>
      <c r="V1134" s="33">
        <f t="shared" si="518"/>
        <v>-0.99997488176662641</v>
      </c>
      <c r="W1134" s="33">
        <f t="shared" si="519"/>
        <v>526.96862511823349</v>
      </c>
      <c r="X1134" s="33">
        <v>96485</v>
      </c>
      <c r="Y1134" s="16">
        <f t="shared" si="520"/>
        <v>-183.08979295609032</v>
      </c>
      <c r="Z1134" s="16">
        <v>10</v>
      </c>
      <c r="AA1134" s="16">
        <v>17</v>
      </c>
      <c r="AB1134" s="8">
        <f t="shared" si="521"/>
        <v>0.37151702786377711</v>
      </c>
      <c r="AC1134" s="16">
        <f t="shared" si="537"/>
        <v>61.177880654266183</v>
      </c>
      <c r="AD1134" s="20">
        <f>'PFAS Properties'!$W$53</f>
        <v>8</v>
      </c>
      <c r="AE1134" s="8">
        <f>'PFAS Properties'!$S$53</f>
        <v>2.2600713879850747</v>
      </c>
      <c r="AF1134" s="2">
        <f>'PFAS Properties'!$V$53</f>
        <v>5.3</v>
      </c>
      <c r="AG1134" s="24">
        <v>5</v>
      </c>
      <c r="AH1134" s="2" t="s">
        <v>831</v>
      </c>
      <c r="AI1134" s="2" t="s">
        <v>661</v>
      </c>
      <c r="AJ1134" s="2" t="s">
        <v>661</v>
      </c>
      <c r="AK1134" s="2" t="s">
        <v>661</v>
      </c>
      <c r="AL1134" s="2" t="s">
        <v>661</v>
      </c>
      <c r="AM1134" s="2" t="s">
        <v>661</v>
      </c>
      <c r="AN1134" s="2" t="s">
        <v>661</v>
      </c>
      <c r="AO1134" s="2" t="s">
        <v>661</v>
      </c>
      <c r="AP1134" s="16">
        <v>16</v>
      </c>
      <c r="AQ1134" s="16" t="s">
        <v>712</v>
      </c>
      <c r="AR1134" s="16">
        <v>4.8</v>
      </c>
      <c r="AS1134" s="16">
        <v>72</v>
      </c>
      <c r="AT1134" s="16">
        <v>23</v>
      </c>
      <c r="AU1134" s="2" t="s">
        <v>661</v>
      </c>
      <c r="AV1134" s="16">
        <f t="shared" si="533"/>
        <v>99.8</v>
      </c>
      <c r="AW1134" s="20">
        <v>1</v>
      </c>
      <c r="AX1134" s="8">
        <f t="shared" si="523"/>
        <v>0.01</v>
      </c>
      <c r="AY1134" s="8" t="s">
        <v>295</v>
      </c>
      <c r="AZ1134" s="16">
        <f t="shared" si="536"/>
        <v>100</v>
      </c>
      <c r="BA1134" s="16" t="s">
        <v>55</v>
      </c>
      <c r="BB1134" s="15">
        <f t="shared" si="538"/>
        <v>0.24814524199999999</v>
      </c>
      <c r="BC1134" s="16">
        <f>(120*K1134)/1000</f>
        <v>63.356232000000006</v>
      </c>
      <c r="BD1134" s="24">
        <v>30</v>
      </c>
      <c r="BE1134" s="16">
        <f t="shared" si="524"/>
        <v>3000</v>
      </c>
      <c r="BF1134" s="16">
        <f t="shared" si="525"/>
        <v>3.4771212547196626</v>
      </c>
      <c r="BG1134" s="8">
        <f t="shared" si="526"/>
        <v>1.4771212547196624</v>
      </c>
      <c r="BH1134" s="13" t="s">
        <v>352</v>
      </c>
      <c r="BI1134" s="16"/>
      <c r="BJ1134" s="13"/>
      <c r="BK1134" s="15"/>
      <c r="BL1134" s="16"/>
      <c r="BM1134" s="18"/>
      <c r="BN1134" s="8"/>
      <c r="BO1134" s="24"/>
    </row>
    <row r="1135" spans="1:67" s="14" customFormat="1" x14ac:dyDescent="0.3">
      <c r="A1135" s="20">
        <v>1157</v>
      </c>
      <c r="B1135" s="2" t="s">
        <v>294</v>
      </c>
      <c r="C1135" s="2">
        <v>2017</v>
      </c>
      <c r="D1135" s="2" t="s">
        <v>203</v>
      </c>
      <c r="E1135" s="22" t="s">
        <v>789</v>
      </c>
      <c r="F1135" s="20" t="s">
        <v>29</v>
      </c>
      <c r="G1135" s="2">
        <v>6</v>
      </c>
      <c r="H1135" s="2" t="str">
        <f>'PFAS Properties'!$B$53</f>
        <v>8:2 FTS</v>
      </c>
      <c r="I1135" s="2" t="str">
        <f>'PFAS Properties'!$C$53</f>
        <v>FTS</v>
      </c>
      <c r="J1135" s="2" t="str">
        <f>'PFAS Properties'!$D$53</f>
        <v>C10H5F17O3S</v>
      </c>
      <c r="K1135" s="25">
        <f>'PFAS Properties'!$P$53</f>
        <v>527.96860000000004</v>
      </c>
      <c r="L1135" s="2">
        <f>'PFAS Properties'!$X$53</f>
        <v>0.4</v>
      </c>
      <c r="M1135" s="2" t="str">
        <f>'PFAS Properties'!$Y$53</f>
        <v>-</v>
      </c>
      <c r="N1135" s="33">
        <v>0</v>
      </c>
      <c r="O1135" s="33">
        <v>0</v>
      </c>
      <c r="P1135" s="33">
        <v>0</v>
      </c>
      <c r="Q1135" s="33">
        <f t="shared" si="534"/>
        <v>0.99998415131926011</v>
      </c>
      <c r="R1135" s="33">
        <v>0</v>
      </c>
      <c r="S1135" s="33">
        <f t="shared" si="535"/>
        <v>1.5848680739948987E-5</v>
      </c>
      <c r="T1135" s="8">
        <f t="shared" si="539"/>
        <v>1</v>
      </c>
      <c r="U1135" s="33">
        <f t="shared" si="517"/>
        <v>0</v>
      </c>
      <c r="V1135" s="33">
        <f t="shared" si="518"/>
        <v>-0.99998415131926011</v>
      </c>
      <c r="W1135" s="33">
        <f t="shared" si="519"/>
        <v>526.96861584868088</v>
      </c>
      <c r="X1135" s="33">
        <v>96485</v>
      </c>
      <c r="Y1135" s="16">
        <f t="shared" si="520"/>
        <v>-183.09149337983357</v>
      </c>
      <c r="Z1135" s="16">
        <v>10</v>
      </c>
      <c r="AA1135" s="16">
        <v>17</v>
      </c>
      <c r="AB1135" s="8">
        <f t="shared" si="521"/>
        <v>0.37151702786377711</v>
      </c>
      <c r="AC1135" s="16">
        <f t="shared" si="537"/>
        <v>61.177880654266183</v>
      </c>
      <c r="AD1135" s="20">
        <f>'PFAS Properties'!$W$53</f>
        <v>8</v>
      </c>
      <c r="AE1135" s="8">
        <f>'PFAS Properties'!$S$53</f>
        <v>2.2600713879850747</v>
      </c>
      <c r="AF1135" s="2">
        <f>'PFAS Properties'!$V$53</f>
        <v>5.3</v>
      </c>
      <c r="AG1135" s="24">
        <v>5.2</v>
      </c>
      <c r="AH1135" s="2" t="s">
        <v>831</v>
      </c>
      <c r="AI1135" s="2" t="s">
        <v>661</v>
      </c>
      <c r="AJ1135" s="2" t="s">
        <v>661</v>
      </c>
      <c r="AK1135" s="2" t="s">
        <v>661</v>
      </c>
      <c r="AL1135" s="2" t="s">
        <v>661</v>
      </c>
      <c r="AM1135" s="2" t="s">
        <v>661</v>
      </c>
      <c r="AN1135" s="2" t="s">
        <v>661</v>
      </c>
      <c r="AO1135" s="2" t="s">
        <v>661</v>
      </c>
      <c r="AP1135" s="16">
        <v>16</v>
      </c>
      <c r="AQ1135" s="16" t="s">
        <v>712</v>
      </c>
      <c r="AR1135" s="16">
        <v>3.6</v>
      </c>
      <c r="AS1135" s="16">
        <v>73</v>
      </c>
      <c r="AT1135" s="16">
        <v>24</v>
      </c>
      <c r="AU1135" s="15" t="s">
        <v>661</v>
      </c>
      <c r="AV1135" s="16">
        <f t="shared" si="533"/>
        <v>100.6</v>
      </c>
      <c r="AW1135" s="20">
        <v>9.8000000000000004E-2</v>
      </c>
      <c r="AX1135" s="8">
        <f t="shared" si="523"/>
        <v>9.7999999999999997E-4</v>
      </c>
      <c r="AY1135" s="8" t="s">
        <v>295</v>
      </c>
      <c r="AZ1135" s="16">
        <f t="shared" si="536"/>
        <v>100</v>
      </c>
      <c r="BA1135" s="16" t="s">
        <v>55</v>
      </c>
      <c r="BB1135" s="15">
        <f t="shared" si="538"/>
        <v>0.24814524199999999</v>
      </c>
      <c r="BC1135" s="16">
        <f>(120*K1135)/1000</f>
        <v>63.356232000000006</v>
      </c>
      <c r="BD1135" s="24">
        <v>28</v>
      </c>
      <c r="BE1135" s="16">
        <f t="shared" si="524"/>
        <v>28571.428571428572</v>
      </c>
      <c r="BF1135" s="16">
        <f t="shared" si="525"/>
        <v>4.4559319556497243</v>
      </c>
      <c r="BG1135" s="8">
        <f t="shared" si="526"/>
        <v>1.4471580313422192</v>
      </c>
      <c r="BH1135" s="13" t="s">
        <v>352</v>
      </c>
      <c r="BI1135" s="16"/>
      <c r="BJ1135" s="13"/>
      <c r="BK1135" s="15"/>
      <c r="BL1135" s="16"/>
      <c r="BM1135" s="18"/>
      <c r="BN1135" s="8"/>
      <c r="BO1135" s="24"/>
    </row>
    <row r="1136" spans="1:67" s="14" customFormat="1" x14ac:dyDescent="0.3">
      <c r="A1136" s="20">
        <v>1158</v>
      </c>
      <c r="B1136" s="2" t="s">
        <v>195</v>
      </c>
      <c r="C1136" s="2">
        <v>2022</v>
      </c>
      <c r="D1136" s="2" t="s">
        <v>199</v>
      </c>
      <c r="E1136" s="10" t="s">
        <v>798</v>
      </c>
      <c r="F1136" s="20" t="s">
        <v>29</v>
      </c>
      <c r="G1136" s="2" t="s">
        <v>237</v>
      </c>
      <c r="H1136" s="2" t="str">
        <f>'PFAS Properties'!$B$53</f>
        <v>8:2 FTS</v>
      </c>
      <c r="I1136" s="2" t="str">
        <f>'PFAS Properties'!$C$53</f>
        <v>FTS</v>
      </c>
      <c r="J1136" s="2" t="str">
        <f>'PFAS Properties'!$D$53</f>
        <v>C10H5F17O3S</v>
      </c>
      <c r="K1136" s="25">
        <f>'PFAS Properties'!$P$53</f>
        <v>527.96860000000004</v>
      </c>
      <c r="L1136" s="2">
        <f>'PFAS Properties'!$X$53</f>
        <v>0.4</v>
      </c>
      <c r="M1136" s="2" t="str">
        <f>'PFAS Properties'!$Y$53</f>
        <v>-</v>
      </c>
      <c r="N1136" s="33">
        <v>0</v>
      </c>
      <c r="O1136" s="33">
        <v>0</v>
      </c>
      <c r="P1136" s="33">
        <v>0</v>
      </c>
      <c r="Q1136" s="33">
        <f t="shared" si="534"/>
        <v>0.99994988378839778</v>
      </c>
      <c r="R1136" s="33">
        <v>0</v>
      </c>
      <c r="S1136" s="33">
        <f t="shared" si="535"/>
        <v>5.0116211602181963E-5</v>
      </c>
      <c r="T1136" s="8">
        <f t="shared" si="539"/>
        <v>1</v>
      </c>
      <c r="U1136" s="33">
        <f t="shared" si="517"/>
        <v>0</v>
      </c>
      <c r="V1136" s="33">
        <f t="shared" si="518"/>
        <v>-0.99994988378839778</v>
      </c>
      <c r="W1136" s="33">
        <f t="shared" si="519"/>
        <v>526.96865011621162</v>
      </c>
      <c r="X1136" s="33">
        <v>96485</v>
      </c>
      <c r="Y1136" s="16">
        <f t="shared" si="520"/>
        <v>-183.08520728139507</v>
      </c>
      <c r="Z1136" s="16">
        <v>10</v>
      </c>
      <c r="AA1136" s="16">
        <v>17</v>
      </c>
      <c r="AB1136" s="8">
        <f t="shared" si="521"/>
        <v>0.37151702786377711</v>
      </c>
      <c r="AC1136" s="16">
        <f t="shared" si="537"/>
        <v>61.177880654266183</v>
      </c>
      <c r="AD1136" s="20">
        <f>'PFAS Properties'!$W$53</f>
        <v>8</v>
      </c>
      <c r="AE1136" s="8">
        <f>'PFAS Properties'!$S$53</f>
        <v>2.2600713879850747</v>
      </c>
      <c r="AF1136" s="2">
        <f>'PFAS Properties'!$V$53</f>
        <v>5.3</v>
      </c>
      <c r="AG1136" s="24">
        <v>4.7</v>
      </c>
      <c r="AH1136" s="2" t="s">
        <v>832</v>
      </c>
      <c r="AI1136" s="8">
        <f>(6.8*55.845)/1000</f>
        <v>0.37974599999999997</v>
      </c>
      <c r="AJ1136" s="15">
        <f>AI1136*1000/55.845</f>
        <v>6.8</v>
      </c>
      <c r="AK1136" s="8">
        <f>AI1136/10</f>
        <v>3.7974599999999997E-2</v>
      </c>
      <c r="AL1136" s="8">
        <f>(4*26.982)/1000</f>
        <v>0.107928</v>
      </c>
      <c r="AM1136" s="15">
        <f>AL1136*1000/55.845</f>
        <v>1.932634971796938</v>
      </c>
      <c r="AN1136" s="8">
        <f>AL1136/10</f>
        <v>1.07928E-2</v>
      </c>
      <c r="AO1136" s="2" t="s">
        <v>86</v>
      </c>
      <c r="AP1136" s="72">
        <v>14.768748</v>
      </c>
      <c r="AQ1136" s="70" t="s">
        <v>752</v>
      </c>
      <c r="AR1136" s="71">
        <v>37.396533331999997</v>
      </c>
      <c r="AS1136" s="71">
        <v>37.430266667999987</v>
      </c>
      <c r="AT1136" s="71">
        <v>24.989000000000001</v>
      </c>
      <c r="AU1136" s="70" t="s">
        <v>752</v>
      </c>
      <c r="AV1136" s="16">
        <f t="shared" si="533"/>
        <v>99.815799999999996</v>
      </c>
      <c r="AW1136" s="20">
        <v>44.9</v>
      </c>
      <c r="AX1136" s="8">
        <f t="shared" si="523"/>
        <v>0.44900000000000001</v>
      </c>
      <c r="AY1136" s="8" t="s">
        <v>240</v>
      </c>
      <c r="AZ1136" s="16">
        <f t="shared" ref="AZ1136:AZ1138" si="540">0.75/0.03</f>
        <v>25</v>
      </c>
      <c r="BA1136" s="16" t="s">
        <v>55</v>
      </c>
      <c r="BB1136" s="16">
        <f>20*K1136/1000</f>
        <v>10.559372000000002</v>
      </c>
      <c r="BC1136" s="16" t="s">
        <v>55</v>
      </c>
      <c r="BD1136" s="25">
        <f>(10^2.46)*AX1136</f>
        <v>129.49301449038467</v>
      </c>
      <c r="BE1136" s="16">
        <f t="shared" si="524"/>
        <v>288.40315031266073</v>
      </c>
      <c r="BF1136" s="16">
        <f t="shared" si="525"/>
        <v>2.4600000000000004</v>
      </c>
      <c r="BG1136" s="8">
        <f t="shared" si="526"/>
        <v>2.1122463410033232</v>
      </c>
      <c r="BH1136" s="35" t="s">
        <v>588</v>
      </c>
      <c r="BI1136" s="16"/>
      <c r="BJ1136" s="13"/>
      <c r="BK1136" s="15"/>
      <c r="BL1136" s="16"/>
      <c r="BM1136" s="18"/>
      <c r="BN1136" s="8"/>
      <c r="BO1136" s="24"/>
    </row>
    <row r="1137" spans="1:67" s="14" customFormat="1" x14ac:dyDescent="0.3">
      <c r="A1137" s="20">
        <v>1159</v>
      </c>
      <c r="B1137" s="2" t="s">
        <v>195</v>
      </c>
      <c r="C1137" s="2">
        <v>2022</v>
      </c>
      <c r="D1137" s="2" t="s">
        <v>199</v>
      </c>
      <c r="E1137" s="10" t="s">
        <v>798</v>
      </c>
      <c r="F1137" s="20" t="s">
        <v>29</v>
      </c>
      <c r="G1137" s="2" t="s">
        <v>238</v>
      </c>
      <c r="H1137" s="2" t="str">
        <f>'PFAS Properties'!$B$53</f>
        <v>8:2 FTS</v>
      </c>
      <c r="I1137" s="2" t="str">
        <f>'PFAS Properties'!$C$53</f>
        <v>FTS</v>
      </c>
      <c r="J1137" s="2" t="str">
        <f>'PFAS Properties'!$D$53</f>
        <v>C10H5F17O3S</v>
      </c>
      <c r="K1137" s="25">
        <f>'PFAS Properties'!$P$53</f>
        <v>527.96860000000004</v>
      </c>
      <c r="L1137" s="2">
        <f>'PFAS Properties'!$X$53</f>
        <v>0.4</v>
      </c>
      <c r="M1137" s="2" t="str">
        <f>'PFAS Properties'!$Y$53</f>
        <v>-</v>
      </c>
      <c r="N1137" s="33">
        <v>0</v>
      </c>
      <c r="O1137" s="33">
        <v>0</v>
      </c>
      <c r="P1137" s="33">
        <v>0</v>
      </c>
      <c r="Q1137" s="33">
        <f t="shared" si="534"/>
        <v>0.99980051357127842</v>
      </c>
      <c r="R1137" s="33">
        <v>0</v>
      </c>
      <c r="S1137" s="33">
        <f t="shared" si="535"/>
        <v>1.9948642872153033E-4</v>
      </c>
      <c r="T1137" s="8">
        <f t="shared" si="539"/>
        <v>1</v>
      </c>
      <c r="U1137" s="33">
        <f t="shared" si="517"/>
        <v>0</v>
      </c>
      <c r="V1137" s="33">
        <f t="shared" si="518"/>
        <v>-0.99980051357127842</v>
      </c>
      <c r="W1137" s="33">
        <f t="shared" si="519"/>
        <v>526.96879948642879</v>
      </c>
      <c r="X1137" s="33">
        <v>96485</v>
      </c>
      <c r="Y1137" s="16">
        <f t="shared" si="520"/>
        <v>-183.05780654554502</v>
      </c>
      <c r="Z1137" s="16">
        <v>10</v>
      </c>
      <c r="AA1137" s="16">
        <v>17</v>
      </c>
      <c r="AB1137" s="8">
        <f t="shared" si="521"/>
        <v>0.37151702786377711</v>
      </c>
      <c r="AC1137" s="16">
        <f t="shared" si="537"/>
        <v>61.177880654266183</v>
      </c>
      <c r="AD1137" s="20">
        <f>'PFAS Properties'!$W$53</f>
        <v>8</v>
      </c>
      <c r="AE1137" s="8">
        <f>'PFAS Properties'!$S$53</f>
        <v>2.2600713879850747</v>
      </c>
      <c r="AF1137" s="2">
        <f>'PFAS Properties'!$V$53</f>
        <v>5.3</v>
      </c>
      <c r="AG1137" s="24">
        <v>4.0999999999999996</v>
      </c>
      <c r="AH1137" s="2" t="s">
        <v>832</v>
      </c>
      <c r="AI1137" s="8">
        <f>(28*55.845)/1000</f>
        <v>1.5636599999999998</v>
      </c>
      <c r="AJ1137" s="15">
        <f>AI1137*1000/55.845</f>
        <v>27.999999999999996</v>
      </c>
      <c r="AK1137" s="8">
        <f>AI1137/10</f>
        <v>0.15636599999999998</v>
      </c>
      <c r="AL1137" s="8">
        <f>(17*26.982)/1000</f>
        <v>0.45869399999999994</v>
      </c>
      <c r="AM1137" s="15">
        <f>AL1137*1000/55.845</f>
        <v>8.2136986301369852</v>
      </c>
      <c r="AN1137" s="8">
        <f>AL1137/10</f>
        <v>4.5869399999999991E-2</v>
      </c>
      <c r="AO1137" s="2" t="s">
        <v>86</v>
      </c>
      <c r="AP1137" s="72">
        <v>14.715147999999999</v>
      </c>
      <c r="AQ1137" s="70" t="s">
        <v>752</v>
      </c>
      <c r="AR1137" s="71">
        <v>37.490533331999998</v>
      </c>
      <c r="AS1137" s="71">
        <v>37.393866668000001</v>
      </c>
      <c r="AT1137" s="71">
        <v>24.9392</v>
      </c>
      <c r="AU1137" s="70" t="s">
        <v>752</v>
      </c>
      <c r="AV1137" s="16">
        <f t="shared" si="533"/>
        <v>99.823599999999999</v>
      </c>
      <c r="AW1137" s="20">
        <v>46.6</v>
      </c>
      <c r="AX1137" s="8">
        <f t="shared" si="523"/>
        <v>0.46600000000000003</v>
      </c>
      <c r="AY1137" s="8" t="s">
        <v>240</v>
      </c>
      <c r="AZ1137" s="16">
        <f t="shared" si="540"/>
        <v>25</v>
      </c>
      <c r="BA1137" s="16" t="s">
        <v>55</v>
      </c>
      <c r="BB1137" s="16">
        <f>20*K1137/1000</f>
        <v>10.559372000000002</v>
      </c>
      <c r="BC1137" s="16" t="s">
        <v>55</v>
      </c>
      <c r="BD1137" s="25">
        <f>(10^2.34)*AX1137</f>
        <v>101.94969167604914</v>
      </c>
      <c r="BE1137" s="16">
        <f t="shared" si="524"/>
        <v>218.77616239495524</v>
      </c>
      <c r="BF1137" s="16">
        <f t="shared" si="525"/>
        <v>2.34</v>
      </c>
      <c r="BG1137" s="8">
        <f t="shared" si="526"/>
        <v>2.00838591669</v>
      </c>
      <c r="BH1137" s="35" t="s">
        <v>588</v>
      </c>
      <c r="BI1137" s="2"/>
      <c r="BJ1137" s="2"/>
      <c r="BK1137" s="2"/>
      <c r="BL1137" s="2"/>
      <c r="BM1137" s="20"/>
      <c r="BN1137" s="20"/>
      <c r="BO1137" s="2"/>
    </row>
    <row r="1138" spans="1:67" s="14" customFormat="1" x14ac:dyDescent="0.3">
      <c r="A1138" s="20">
        <v>1160</v>
      </c>
      <c r="B1138" s="2" t="s">
        <v>195</v>
      </c>
      <c r="C1138" s="2">
        <v>2022</v>
      </c>
      <c r="D1138" s="2" t="s">
        <v>199</v>
      </c>
      <c r="E1138" s="10" t="s">
        <v>798</v>
      </c>
      <c r="F1138" s="20" t="s">
        <v>29</v>
      </c>
      <c r="G1138" s="2" t="s">
        <v>239</v>
      </c>
      <c r="H1138" s="2" t="str">
        <f>'PFAS Properties'!$B$53</f>
        <v>8:2 FTS</v>
      </c>
      <c r="I1138" s="2" t="str">
        <f>'PFAS Properties'!$C$53</f>
        <v>FTS</v>
      </c>
      <c r="J1138" s="2" t="str">
        <f>'PFAS Properties'!$D$53</f>
        <v>C10H5F17O3S</v>
      </c>
      <c r="K1138" s="25">
        <f>'PFAS Properties'!$P$53</f>
        <v>527.96860000000004</v>
      </c>
      <c r="L1138" s="2">
        <f>'PFAS Properties'!$X$53</f>
        <v>0.4</v>
      </c>
      <c r="M1138" s="2" t="str">
        <f>'PFAS Properties'!$Y$53</f>
        <v>-</v>
      </c>
      <c r="N1138" s="33">
        <v>0</v>
      </c>
      <c r="O1138" s="33">
        <v>0</v>
      </c>
      <c r="P1138" s="33">
        <v>0</v>
      </c>
      <c r="Q1138" s="33">
        <f t="shared" si="534"/>
        <v>0.99974887443673854</v>
      </c>
      <c r="R1138" s="33">
        <v>0</v>
      </c>
      <c r="S1138" s="33">
        <f t="shared" si="535"/>
        <v>2.5112556326146155E-4</v>
      </c>
      <c r="T1138" s="8">
        <f t="shared" si="539"/>
        <v>1</v>
      </c>
      <c r="U1138" s="33">
        <f t="shared" si="517"/>
        <v>0</v>
      </c>
      <c r="V1138" s="33">
        <f t="shared" si="518"/>
        <v>-0.99974887443673854</v>
      </c>
      <c r="W1138" s="33">
        <f t="shared" si="519"/>
        <v>526.96885112556333</v>
      </c>
      <c r="X1138" s="33">
        <v>96485</v>
      </c>
      <c r="Y1138" s="16">
        <f t="shared" si="520"/>
        <v>-183.04833377531941</v>
      </c>
      <c r="Z1138" s="16">
        <v>10</v>
      </c>
      <c r="AA1138" s="16">
        <v>17</v>
      </c>
      <c r="AB1138" s="8">
        <f t="shared" si="521"/>
        <v>0.37151702786377711</v>
      </c>
      <c r="AC1138" s="16">
        <f t="shared" si="537"/>
        <v>61.177880654266183</v>
      </c>
      <c r="AD1138" s="20">
        <f>'PFAS Properties'!$W$53</f>
        <v>8</v>
      </c>
      <c r="AE1138" s="8">
        <f>'PFAS Properties'!$S$53</f>
        <v>2.2600713879850747</v>
      </c>
      <c r="AF1138" s="2">
        <f>'PFAS Properties'!$V$53</f>
        <v>5.3</v>
      </c>
      <c r="AG1138" s="24">
        <v>4</v>
      </c>
      <c r="AH1138" s="2" t="s">
        <v>832</v>
      </c>
      <c r="AI1138" s="8">
        <f>(5*55.845)/1000</f>
        <v>0.279225</v>
      </c>
      <c r="AJ1138" s="15">
        <f>AI1138*1000/55.845</f>
        <v>5.0000000000000009</v>
      </c>
      <c r="AK1138" s="8">
        <f>AI1138/10</f>
        <v>2.7922499999999999E-2</v>
      </c>
      <c r="AL1138" s="8">
        <f>(15*26.982)/1000</f>
        <v>0.40473000000000003</v>
      </c>
      <c r="AM1138" s="15">
        <f>AL1138*1000/55.845</f>
        <v>7.2473811442385179</v>
      </c>
      <c r="AN1138" s="8">
        <f>AL1138/10</f>
        <v>4.0473000000000002E-2</v>
      </c>
      <c r="AO1138" s="2" t="s">
        <v>86</v>
      </c>
      <c r="AP1138" s="72">
        <v>14.763688</v>
      </c>
      <c r="AQ1138" s="70" t="s">
        <v>752</v>
      </c>
      <c r="AR1138" s="71">
        <v>37.414333332000012</v>
      </c>
      <c r="AS1138" s="71">
        <v>37.430866668</v>
      </c>
      <c r="AT1138" s="71">
        <v>24.970400000000001</v>
      </c>
      <c r="AU1138" s="70" t="s">
        <v>752</v>
      </c>
      <c r="AV1138" s="16">
        <f t="shared" si="533"/>
        <v>99.815600000000003</v>
      </c>
      <c r="AW1138" s="20">
        <v>53.6</v>
      </c>
      <c r="AX1138" s="8">
        <f t="shared" si="523"/>
        <v>0.53600000000000003</v>
      </c>
      <c r="AY1138" s="8" t="s">
        <v>240</v>
      </c>
      <c r="AZ1138" s="16">
        <f t="shared" si="540"/>
        <v>25</v>
      </c>
      <c r="BA1138" s="16" t="s">
        <v>55</v>
      </c>
      <c r="BB1138" s="16">
        <f>20*K1138/1000</f>
        <v>10.559372000000002</v>
      </c>
      <c r="BC1138" s="16" t="s">
        <v>55</v>
      </c>
      <c r="BD1138" s="25">
        <f>(10^2.24)*AX1138</f>
        <v>93.146124420966601</v>
      </c>
      <c r="BE1138" s="16">
        <f t="shared" si="524"/>
        <v>173.78008287493768</v>
      </c>
      <c r="BF1138" s="16">
        <f t="shared" si="525"/>
        <v>2.2400000000000002</v>
      </c>
      <c r="BG1138" s="8">
        <f t="shared" si="526"/>
        <v>1.9691647896927704</v>
      </c>
      <c r="BH1138" s="35" t="s">
        <v>588</v>
      </c>
      <c r="BI1138" s="16"/>
      <c r="BJ1138" s="13"/>
      <c r="BK1138" s="15"/>
      <c r="BL1138" s="16"/>
      <c r="BM1138" s="18"/>
      <c r="BN1138" s="8"/>
      <c r="BO1138" s="24"/>
    </row>
    <row r="1139" spans="1:67" s="14" customFormat="1" x14ac:dyDescent="0.3">
      <c r="A1139" s="20">
        <v>1161</v>
      </c>
      <c r="B1139" s="2" t="s">
        <v>214</v>
      </c>
      <c r="C1139" s="2">
        <v>2022</v>
      </c>
      <c r="D1139" s="2" t="s">
        <v>201</v>
      </c>
      <c r="E1139" s="10" t="s">
        <v>808</v>
      </c>
      <c r="F1139" s="20" t="s">
        <v>29</v>
      </c>
      <c r="G1139" s="2" t="s">
        <v>215</v>
      </c>
      <c r="H1139" s="2" t="str">
        <f>'PFAS Properties'!$B$53</f>
        <v>8:2 FTS</v>
      </c>
      <c r="I1139" s="2" t="str">
        <f>'PFAS Properties'!$C$53</f>
        <v>FTS</v>
      </c>
      <c r="J1139" s="2" t="str">
        <f>'PFAS Properties'!$D$53</f>
        <v>C10H5F17O3S</v>
      </c>
      <c r="K1139" s="25">
        <f>'PFAS Properties'!$P$53</f>
        <v>527.96860000000004</v>
      </c>
      <c r="L1139" s="2">
        <f>'PFAS Properties'!$X$53</f>
        <v>0.4</v>
      </c>
      <c r="M1139" s="2" t="str">
        <f>'PFAS Properties'!$Y$53</f>
        <v>-</v>
      </c>
      <c r="N1139" s="33">
        <v>0</v>
      </c>
      <c r="O1139" s="33">
        <v>0</v>
      </c>
      <c r="P1139" s="33">
        <v>0</v>
      </c>
      <c r="Q1139" s="33">
        <f t="shared" si="534"/>
        <v>0.99996019086777477</v>
      </c>
      <c r="R1139" s="33">
        <v>0</v>
      </c>
      <c r="S1139" s="33">
        <f t="shared" si="535"/>
        <v>3.9809132225250461E-5</v>
      </c>
      <c r="T1139" s="8">
        <f t="shared" si="539"/>
        <v>1</v>
      </c>
      <c r="U1139" s="33">
        <f t="shared" si="517"/>
        <v>0</v>
      </c>
      <c r="V1139" s="33">
        <f t="shared" si="518"/>
        <v>-0.99996019086777477</v>
      </c>
      <c r="W1139" s="33">
        <f t="shared" si="519"/>
        <v>526.96863980913224</v>
      </c>
      <c r="X1139" s="33">
        <v>96485</v>
      </c>
      <c r="Y1139" s="16">
        <f t="shared" si="520"/>
        <v>-183.08709803077215</v>
      </c>
      <c r="Z1139" s="16">
        <v>10</v>
      </c>
      <c r="AA1139" s="16">
        <v>17</v>
      </c>
      <c r="AB1139" s="8">
        <f t="shared" si="521"/>
        <v>0.37151702786377711</v>
      </c>
      <c r="AC1139" s="16">
        <f t="shared" si="537"/>
        <v>61.177880654266183</v>
      </c>
      <c r="AD1139" s="20">
        <f>'PFAS Properties'!$W$53</f>
        <v>8</v>
      </c>
      <c r="AE1139" s="8">
        <f>'PFAS Properties'!$S$53</f>
        <v>2.2600713879850747</v>
      </c>
      <c r="AF1139" s="2">
        <f>'PFAS Properties'!$V$53</f>
        <v>5.3</v>
      </c>
      <c r="AG1139" s="24">
        <v>4.8</v>
      </c>
      <c r="AH1139" s="2" t="s">
        <v>216</v>
      </c>
      <c r="AI1139" s="2">
        <v>8.3000000000000007</v>
      </c>
      <c r="AJ1139" s="15">
        <f>AI1139*1000/55.845</f>
        <v>148.62566030978601</v>
      </c>
      <c r="AK1139" s="15">
        <f>AI1139/10</f>
        <v>0.83000000000000007</v>
      </c>
      <c r="AL1139" s="15">
        <v>7.85</v>
      </c>
      <c r="AM1139" s="15">
        <f>AL1139*1000/26.98</f>
        <v>290.95626389918459</v>
      </c>
      <c r="AN1139" s="15">
        <f>AL1139/10</f>
        <v>0.78499999999999992</v>
      </c>
      <c r="AO1139" s="15" t="s">
        <v>217</v>
      </c>
      <c r="AP1139" s="72">
        <v>15.34083666666667</v>
      </c>
      <c r="AQ1139" s="70" t="s">
        <v>752</v>
      </c>
      <c r="AR1139" s="16">
        <v>32</v>
      </c>
      <c r="AS1139" s="16">
        <v>40</v>
      </c>
      <c r="AT1139" s="16">
        <v>28</v>
      </c>
      <c r="AU1139" s="2" t="s">
        <v>661</v>
      </c>
      <c r="AV1139" s="16">
        <f t="shared" si="533"/>
        <v>100</v>
      </c>
      <c r="AW1139" s="20">
        <v>4.9000000000000004</v>
      </c>
      <c r="AX1139" s="8">
        <f t="shared" si="523"/>
        <v>4.9000000000000002E-2</v>
      </c>
      <c r="AY1139" s="8" t="s">
        <v>218</v>
      </c>
      <c r="AZ1139" s="16">
        <f>1.5/0.075</f>
        <v>20</v>
      </c>
      <c r="BA1139" s="16" t="s">
        <v>55</v>
      </c>
      <c r="BB1139" s="16">
        <v>10</v>
      </c>
      <c r="BC1139" s="16" t="s">
        <v>55</v>
      </c>
      <c r="BD1139" s="20">
        <v>12.16</v>
      </c>
      <c r="BE1139" s="16">
        <f t="shared" si="524"/>
        <v>248.16326530612244</v>
      </c>
      <c r="BF1139" s="16">
        <f t="shared" si="525"/>
        <v>2.3947374949082025</v>
      </c>
      <c r="BG1139" s="8">
        <f t="shared" si="526"/>
        <v>1.0849335749367162</v>
      </c>
      <c r="BH1139" s="2" t="s">
        <v>374</v>
      </c>
      <c r="BI1139" s="2"/>
      <c r="BJ1139" s="2"/>
      <c r="BK1139" s="2"/>
      <c r="BL1139" s="2"/>
      <c r="BM1139" s="20"/>
      <c r="BN1139" s="20"/>
      <c r="BO1139" s="2"/>
    </row>
    <row r="1140" spans="1:67" s="14" customFormat="1" x14ac:dyDescent="0.3">
      <c r="A1140" s="20">
        <v>1162</v>
      </c>
      <c r="B1140" s="2" t="s">
        <v>214</v>
      </c>
      <c r="C1140" s="2">
        <v>2022</v>
      </c>
      <c r="D1140" s="2" t="s">
        <v>201</v>
      </c>
      <c r="E1140" s="10" t="s">
        <v>808</v>
      </c>
      <c r="F1140" s="20" t="s">
        <v>29</v>
      </c>
      <c r="G1140" s="2" t="s">
        <v>233</v>
      </c>
      <c r="H1140" s="2" t="str">
        <f>'PFAS Properties'!$B$53</f>
        <v>8:2 FTS</v>
      </c>
      <c r="I1140" s="2" t="str">
        <f>'PFAS Properties'!$C$53</f>
        <v>FTS</v>
      </c>
      <c r="J1140" s="2" t="str">
        <f>'PFAS Properties'!$D$53</f>
        <v>C10H5F17O3S</v>
      </c>
      <c r="K1140" s="25">
        <f>'PFAS Properties'!$P$53</f>
        <v>527.96860000000004</v>
      </c>
      <c r="L1140" s="2">
        <f>'PFAS Properties'!$X$53</f>
        <v>0.4</v>
      </c>
      <c r="M1140" s="2" t="str">
        <f>'PFAS Properties'!$Y$53</f>
        <v>-</v>
      </c>
      <c r="N1140" s="33">
        <v>0</v>
      </c>
      <c r="O1140" s="33">
        <v>0</v>
      </c>
      <c r="P1140" s="33">
        <v>0</v>
      </c>
      <c r="Q1140" s="33">
        <f t="shared" si="534"/>
        <v>0.99999683773233983</v>
      </c>
      <c r="R1140" s="33">
        <v>0</v>
      </c>
      <c r="S1140" s="33">
        <f t="shared" si="535"/>
        <v>3.1622676601999995E-6</v>
      </c>
      <c r="T1140" s="8">
        <f t="shared" si="539"/>
        <v>1</v>
      </c>
      <c r="U1140" s="33">
        <f t="shared" si="517"/>
        <v>0</v>
      </c>
      <c r="V1140" s="33">
        <f t="shared" si="518"/>
        <v>-0.99999683773233983</v>
      </c>
      <c r="W1140" s="33">
        <f t="shared" si="519"/>
        <v>526.96860316226764</v>
      </c>
      <c r="X1140" s="33">
        <v>96485</v>
      </c>
      <c r="Y1140" s="16">
        <f t="shared" si="520"/>
        <v>-183.09382059882341</v>
      </c>
      <c r="Z1140" s="16">
        <v>10</v>
      </c>
      <c r="AA1140" s="16">
        <v>17</v>
      </c>
      <c r="AB1140" s="8">
        <f t="shared" si="521"/>
        <v>0.37151702786377711</v>
      </c>
      <c r="AC1140" s="16">
        <f t="shared" si="537"/>
        <v>61.177880654266183</v>
      </c>
      <c r="AD1140" s="20">
        <f>'PFAS Properties'!$W$53</f>
        <v>8</v>
      </c>
      <c r="AE1140" s="8">
        <f>'PFAS Properties'!$S$53</f>
        <v>2.2600713879850747</v>
      </c>
      <c r="AF1140" s="2">
        <f>'PFAS Properties'!$V$53</f>
        <v>5.3</v>
      </c>
      <c r="AG1140" s="24">
        <v>5.9</v>
      </c>
      <c r="AH1140" s="2" t="s">
        <v>216</v>
      </c>
      <c r="AI1140" s="2">
        <v>1.4</v>
      </c>
      <c r="AJ1140" s="15">
        <f>AI1140*1000/55.845</f>
        <v>25.069388485988004</v>
      </c>
      <c r="AK1140" s="15">
        <f>AI1140/10</f>
        <v>0.13999999999999999</v>
      </c>
      <c r="AL1140" s="15">
        <v>0.92</v>
      </c>
      <c r="AM1140" s="15">
        <f>AL1140*1000/26.98</f>
        <v>34.099332839140104</v>
      </c>
      <c r="AN1140" s="15">
        <f>AL1140/10</f>
        <v>9.1999999999999998E-2</v>
      </c>
      <c r="AO1140" s="15" t="s">
        <v>217</v>
      </c>
      <c r="AP1140" s="72">
        <v>15.34083666666667</v>
      </c>
      <c r="AQ1140" s="70" t="s">
        <v>752</v>
      </c>
      <c r="AR1140" s="16">
        <v>37</v>
      </c>
      <c r="AS1140" s="16">
        <v>22</v>
      </c>
      <c r="AT1140" s="16">
        <v>41</v>
      </c>
      <c r="AU1140" s="2" t="s">
        <v>661</v>
      </c>
      <c r="AV1140" s="16">
        <f t="shared" si="533"/>
        <v>100</v>
      </c>
      <c r="AW1140" s="20">
        <v>2.6</v>
      </c>
      <c r="AX1140" s="8">
        <f t="shared" si="523"/>
        <v>2.6000000000000002E-2</v>
      </c>
      <c r="AY1140" s="8" t="s">
        <v>218</v>
      </c>
      <c r="AZ1140" s="16">
        <f>1.5/0.075</f>
        <v>20</v>
      </c>
      <c r="BA1140" s="16" t="s">
        <v>55</v>
      </c>
      <c r="BB1140" s="16">
        <v>10</v>
      </c>
      <c r="BC1140" s="16" t="s">
        <v>55</v>
      </c>
      <c r="BD1140" s="20">
        <v>3.91</v>
      </c>
      <c r="BE1140" s="16">
        <f t="shared" si="524"/>
        <v>150.38461538461539</v>
      </c>
      <c r="BF1140" s="16">
        <f t="shared" si="525"/>
        <v>2.177203409425049</v>
      </c>
      <c r="BG1140" s="8">
        <f t="shared" si="526"/>
        <v>0.59217675739586684</v>
      </c>
      <c r="BH1140" s="2" t="s">
        <v>374</v>
      </c>
      <c r="BI1140" s="2"/>
      <c r="BJ1140" s="2"/>
      <c r="BK1140" s="2"/>
      <c r="BL1140" s="2"/>
      <c r="BM1140" s="20"/>
      <c r="BN1140" s="20"/>
      <c r="BO1140" s="2"/>
    </row>
    <row r="1141" spans="1:67" s="14" customFormat="1" x14ac:dyDescent="0.3">
      <c r="A1141" s="20">
        <v>1163</v>
      </c>
      <c r="B1141" s="2" t="s">
        <v>181</v>
      </c>
      <c r="C1141" s="2">
        <v>2020</v>
      </c>
      <c r="D1141" s="2" t="s">
        <v>203</v>
      </c>
      <c r="E1141" s="10" t="s">
        <v>787</v>
      </c>
      <c r="F1141" s="20" t="s">
        <v>29</v>
      </c>
      <c r="G1141" s="2" t="s">
        <v>62</v>
      </c>
      <c r="H1141" s="2" t="str">
        <f>'PFAS Properties'!$B$53</f>
        <v>8:2 FTS</v>
      </c>
      <c r="I1141" s="2" t="str">
        <f>'PFAS Properties'!$C$53</f>
        <v>FTS</v>
      </c>
      <c r="J1141" s="2" t="str">
        <f>'PFAS Properties'!$D$53</f>
        <v>C10H5F17O3S</v>
      </c>
      <c r="K1141" s="25">
        <f>'PFAS Properties'!$P$53</f>
        <v>527.96860000000004</v>
      </c>
      <c r="L1141" s="2">
        <f>'PFAS Properties'!$X$53</f>
        <v>0.4</v>
      </c>
      <c r="M1141" s="2" t="str">
        <f>'PFAS Properties'!$Y$53</f>
        <v>-</v>
      </c>
      <c r="N1141" s="33">
        <v>0</v>
      </c>
      <c r="O1141" s="33">
        <v>0</v>
      </c>
      <c r="P1141" s="33">
        <v>0</v>
      </c>
      <c r="Q1141" s="33">
        <f t="shared" si="534"/>
        <v>0.99999992056718279</v>
      </c>
      <c r="R1141" s="33">
        <v>0</v>
      </c>
      <c r="S1141" s="33">
        <f t="shared" si="535"/>
        <v>7.9432817162855232E-8</v>
      </c>
      <c r="T1141" s="8">
        <f t="shared" si="539"/>
        <v>1</v>
      </c>
      <c r="U1141" s="33">
        <f t="shared" si="517"/>
        <v>0</v>
      </c>
      <c r="V1141" s="33">
        <f t="shared" si="518"/>
        <v>-0.99999992056718279</v>
      </c>
      <c r="W1141" s="33">
        <f t="shared" si="519"/>
        <v>526.9686000794328</v>
      </c>
      <c r="X1141" s="33">
        <v>96485</v>
      </c>
      <c r="Y1141" s="16">
        <f t="shared" si="520"/>
        <v>-183.094386119744</v>
      </c>
      <c r="Z1141" s="16">
        <v>10</v>
      </c>
      <c r="AA1141" s="16">
        <v>17</v>
      </c>
      <c r="AB1141" s="8">
        <f t="shared" si="521"/>
        <v>0.37151702786377711</v>
      </c>
      <c r="AC1141" s="16">
        <f t="shared" si="537"/>
        <v>61.177880654266183</v>
      </c>
      <c r="AD1141" s="20">
        <f>'PFAS Properties'!$W$53</f>
        <v>8</v>
      </c>
      <c r="AE1141" s="8">
        <f>'PFAS Properties'!$S$53</f>
        <v>2.2600713879850747</v>
      </c>
      <c r="AF1141" s="2">
        <f>'PFAS Properties'!$V$53</f>
        <v>5.3</v>
      </c>
      <c r="AG1141" s="24">
        <v>7.5</v>
      </c>
      <c r="AH1141" s="2" t="s">
        <v>183</v>
      </c>
      <c r="AI1141" s="2" t="s">
        <v>661</v>
      </c>
      <c r="AJ1141" s="2" t="s">
        <v>661</v>
      </c>
      <c r="AK1141" s="2" t="s">
        <v>661</v>
      </c>
      <c r="AL1141" s="2" t="s">
        <v>661</v>
      </c>
      <c r="AM1141" s="2" t="s">
        <v>661</v>
      </c>
      <c r="AN1141" s="2" t="s">
        <v>661</v>
      </c>
      <c r="AO1141" s="2" t="s">
        <v>661</v>
      </c>
      <c r="AP1141" s="15">
        <v>41.4</v>
      </c>
      <c r="AQ1141" s="2" t="s">
        <v>661</v>
      </c>
      <c r="AR1141" s="16">
        <v>16.899999999999999</v>
      </c>
      <c r="AS1141" s="16">
        <v>17.5</v>
      </c>
      <c r="AT1141" s="16">
        <v>65.599999999999994</v>
      </c>
      <c r="AU1141" s="2" t="s">
        <v>661</v>
      </c>
      <c r="AV1141" s="16">
        <f t="shared" si="533"/>
        <v>100</v>
      </c>
      <c r="AW1141" s="20">
        <v>0.7</v>
      </c>
      <c r="AX1141" s="8">
        <f t="shared" si="523"/>
        <v>6.9999999999999993E-3</v>
      </c>
      <c r="AY1141" s="8" t="s">
        <v>184</v>
      </c>
      <c r="AZ1141" s="16">
        <v>100</v>
      </c>
      <c r="BA1141" s="16" t="s">
        <v>55</v>
      </c>
      <c r="BB1141" s="16">
        <v>5</v>
      </c>
      <c r="BC1141" s="16" t="s">
        <v>55</v>
      </c>
      <c r="BD1141" s="20">
        <v>8.36</v>
      </c>
      <c r="BE1141" s="16">
        <f t="shared" si="524"/>
        <v>1194.2857142857142</v>
      </c>
      <c r="BF1141" s="16">
        <f t="shared" si="525"/>
        <v>3.0771082374247594</v>
      </c>
      <c r="BG1141" s="8">
        <f t="shared" si="526"/>
        <v>0.9222062774390164</v>
      </c>
      <c r="BH1141" s="13" t="s">
        <v>345</v>
      </c>
      <c r="BI1141" s="13"/>
      <c r="BJ1141" s="13"/>
      <c r="BK1141" s="13"/>
      <c r="BL1141" s="13"/>
      <c r="BM1141" s="17"/>
      <c r="BN1141" s="17"/>
      <c r="BO1141" s="2"/>
    </row>
    <row r="1142" spans="1:67" s="14" customFormat="1" x14ac:dyDescent="0.3">
      <c r="A1142" s="20">
        <v>1164</v>
      </c>
      <c r="B1142" s="2" t="s">
        <v>181</v>
      </c>
      <c r="C1142" s="2">
        <v>2020</v>
      </c>
      <c r="D1142" s="2" t="s">
        <v>203</v>
      </c>
      <c r="E1142" s="10" t="s">
        <v>787</v>
      </c>
      <c r="F1142" s="20" t="s">
        <v>29</v>
      </c>
      <c r="G1142" s="2" t="s">
        <v>57</v>
      </c>
      <c r="H1142" s="2" t="str">
        <f>'PFAS Properties'!$B$53</f>
        <v>8:2 FTS</v>
      </c>
      <c r="I1142" s="2" t="str">
        <f>'PFAS Properties'!$C$53</f>
        <v>FTS</v>
      </c>
      <c r="J1142" s="2" t="str">
        <f>'PFAS Properties'!$D$53</f>
        <v>C10H5F17O3S</v>
      </c>
      <c r="K1142" s="25">
        <f>'PFAS Properties'!$P$53</f>
        <v>527.96860000000004</v>
      </c>
      <c r="L1142" s="2">
        <f>'PFAS Properties'!$X$53</f>
        <v>0.4</v>
      </c>
      <c r="M1142" s="2" t="str">
        <f>'PFAS Properties'!$Y$53</f>
        <v>-</v>
      </c>
      <c r="N1142" s="33">
        <v>0</v>
      </c>
      <c r="O1142" s="33">
        <v>0</v>
      </c>
      <c r="P1142" s="33">
        <v>0</v>
      </c>
      <c r="Q1142" s="33">
        <f t="shared" si="534"/>
        <v>0.99999960189298798</v>
      </c>
      <c r="R1142" s="33">
        <v>0</v>
      </c>
      <c r="S1142" s="33">
        <f t="shared" si="535"/>
        <v>3.981070120642407E-7</v>
      </c>
      <c r="T1142" s="8">
        <f t="shared" si="539"/>
        <v>1</v>
      </c>
      <c r="U1142" s="33">
        <f t="shared" si="517"/>
        <v>0</v>
      </c>
      <c r="V1142" s="33">
        <f t="shared" si="518"/>
        <v>-0.99999960189298798</v>
      </c>
      <c r="W1142" s="33">
        <f t="shared" si="519"/>
        <v>526.96860039810701</v>
      </c>
      <c r="X1142" s="33">
        <v>96485</v>
      </c>
      <c r="Y1142" s="16">
        <f t="shared" si="520"/>
        <v>-183.0943276615605</v>
      </c>
      <c r="Z1142" s="16">
        <v>10</v>
      </c>
      <c r="AA1142" s="16">
        <v>17</v>
      </c>
      <c r="AB1142" s="8">
        <f t="shared" si="521"/>
        <v>0.37151702786377711</v>
      </c>
      <c r="AC1142" s="16">
        <f t="shared" si="537"/>
        <v>61.177880654266183</v>
      </c>
      <c r="AD1142" s="20">
        <f>'PFAS Properties'!$W$53</f>
        <v>8</v>
      </c>
      <c r="AE1142" s="8">
        <f>'PFAS Properties'!$S$53</f>
        <v>2.2600713879850747</v>
      </c>
      <c r="AF1142" s="2">
        <f>'PFAS Properties'!$V$53</f>
        <v>5.3</v>
      </c>
      <c r="AG1142" s="24">
        <v>6.8</v>
      </c>
      <c r="AH1142" s="2" t="s">
        <v>183</v>
      </c>
      <c r="AI1142" s="2" t="s">
        <v>661</v>
      </c>
      <c r="AJ1142" s="2" t="s">
        <v>661</v>
      </c>
      <c r="AK1142" s="2" t="s">
        <v>661</v>
      </c>
      <c r="AL1142" s="2" t="s">
        <v>661</v>
      </c>
      <c r="AM1142" s="2" t="s">
        <v>661</v>
      </c>
      <c r="AN1142" s="2" t="s">
        <v>661</v>
      </c>
      <c r="AO1142" s="2" t="s">
        <v>661</v>
      </c>
      <c r="AP1142" s="15">
        <v>7.1</v>
      </c>
      <c r="AQ1142" s="2" t="s">
        <v>661</v>
      </c>
      <c r="AR1142" s="16">
        <v>48.9</v>
      </c>
      <c r="AS1142" s="16">
        <v>27</v>
      </c>
      <c r="AT1142" s="16">
        <v>24.2</v>
      </c>
      <c r="AU1142" s="2" t="s">
        <v>661</v>
      </c>
      <c r="AV1142" s="16">
        <f t="shared" si="533"/>
        <v>100.10000000000001</v>
      </c>
      <c r="AW1142" s="20">
        <v>0.37</v>
      </c>
      <c r="AX1142" s="8">
        <f t="shared" si="523"/>
        <v>3.7000000000000002E-3</v>
      </c>
      <c r="AY1142" s="13" t="s">
        <v>184</v>
      </c>
      <c r="AZ1142" s="16">
        <v>100</v>
      </c>
      <c r="BA1142" s="16" t="s">
        <v>55</v>
      </c>
      <c r="BB1142" s="16">
        <v>5</v>
      </c>
      <c r="BC1142" s="16" t="s">
        <v>55</v>
      </c>
      <c r="BD1142" s="20">
        <v>7.24</v>
      </c>
      <c r="BE1142" s="16">
        <f t="shared" si="524"/>
        <v>1956.7567567567567</v>
      </c>
      <c r="BF1142" s="16">
        <f t="shared" si="525"/>
        <v>3.2915368421301521</v>
      </c>
      <c r="BG1142" s="8">
        <f t="shared" si="526"/>
        <v>0.85973856619714695</v>
      </c>
      <c r="BH1142" s="13" t="s">
        <v>345</v>
      </c>
      <c r="BI1142" s="13"/>
      <c r="BJ1142" s="13"/>
      <c r="BK1142" s="13"/>
      <c r="BL1142" s="13"/>
      <c r="BM1142" s="17"/>
      <c r="BN1142" s="17"/>
      <c r="BO1142" s="2"/>
    </row>
    <row r="1143" spans="1:67" s="14" customFormat="1" x14ac:dyDescent="0.3">
      <c r="A1143" s="20">
        <v>1165</v>
      </c>
      <c r="B1143" s="2" t="s">
        <v>181</v>
      </c>
      <c r="C1143" s="2">
        <v>2020</v>
      </c>
      <c r="D1143" s="2" t="s">
        <v>203</v>
      </c>
      <c r="E1143" s="10" t="s">
        <v>787</v>
      </c>
      <c r="F1143" s="20" t="s">
        <v>29</v>
      </c>
      <c r="G1143" s="2" t="s">
        <v>58</v>
      </c>
      <c r="H1143" s="2" t="str">
        <f>'PFAS Properties'!$B$53</f>
        <v>8:2 FTS</v>
      </c>
      <c r="I1143" s="2" t="str">
        <f>'PFAS Properties'!$C$53</f>
        <v>FTS</v>
      </c>
      <c r="J1143" s="2" t="str">
        <f>'PFAS Properties'!$D$53</f>
        <v>C10H5F17O3S</v>
      </c>
      <c r="K1143" s="25">
        <f>'PFAS Properties'!$P$53</f>
        <v>527.96860000000004</v>
      </c>
      <c r="L1143" s="2">
        <f>'PFAS Properties'!$X$53</f>
        <v>0.4</v>
      </c>
      <c r="M1143" s="2" t="str">
        <f>'PFAS Properties'!$Y$53</f>
        <v>-</v>
      </c>
      <c r="N1143" s="33">
        <v>0</v>
      </c>
      <c r="O1143" s="33">
        <v>0</v>
      </c>
      <c r="P1143" s="33">
        <v>0</v>
      </c>
      <c r="Q1143" s="33">
        <f t="shared" si="534"/>
        <v>0.99999841510931942</v>
      </c>
      <c r="R1143" s="33">
        <v>0</v>
      </c>
      <c r="S1143" s="33">
        <f t="shared" si="535"/>
        <v>1.5848906805786609E-6</v>
      </c>
      <c r="T1143" s="8">
        <f t="shared" si="539"/>
        <v>1</v>
      </c>
      <c r="U1143" s="33">
        <f t="shared" si="517"/>
        <v>0</v>
      </c>
      <c r="V1143" s="33">
        <f t="shared" si="518"/>
        <v>-0.99999841510931942</v>
      </c>
      <c r="W1143" s="33">
        <f t="shared" si="519"/>
        <v>526.96860158489073</v>
      </c>
      <c r="X1143" s="33">
        <v>96485</v>
      </c>
      <c r="Y1143" s="16">
        <f t="shared" si="520"/>
        <v>-183.09410995577068</v>
      </c>
      <c r="Z1143" s="16">
        <v>10</v>
      </c>
      <c r="AA1143" s="16">
        <v>17</v>
      </c>
      <c r="AB1143" s="8">
        <f t="shared" si="521"/>
        <v>0.37151702786377711</v>
      </c>
      <c r="AC1143" s="16">
        <f t="shared" si="537"/>
        <v>61.177880654266183</v>
      </c>
      <c r="AD1143" s="20">
        <f>'PFAS Properties'!$W$53</f>
        <v>8</v>
      </c>
      <c r="AE1143" s="8">
        <f>'PFAS Properties'!$S$53</f>
        <v>2.2600713879850747</v>
      </c>
      <c r="AF1143" s="2">
        <f>'PFAS Properties'!$V$53</f>
        <v>5.3</v>
      </c>
      <c r="AG1143" s="24">
        <v>6.2</v>
      </c>
      <c r="AH1143" s="2" t="s">
        <v>183</v>
      </c>
      <c r="AI1143" s="2" t="s">
        <v>661</v>
      </c>
      <c r="AJ1143" s="2" t="s">
        <v>661</v>
      </c>
      <c r="AK1143" s="2" t="s">
        <v>661</v>
      </c>
      <c r="AL1143" s="2" t="s">
        <v>661</v>
      </c>
      <c r="AM1143" s="2" t="s">
        <v>661</v>
      </c>
      <c r="AN1143" s="2" t="s">
        <v>661</v>
      </c>
      <c r="AO1143" s="2" t="s">
        <v>661</v>
      </c>
      <c r="AP1143" s="15">
        <v>8</v>
      </c>
      <c r="AQ1143" s="2" t="s">
        <v>661</v>
      </c>
      <c r="AR1143" s="16">
        <v>51.44</v>
      </c>
      <c r="AS1143" s="16">
        <v>10.17</v>
      </c>
      <c r="AT1143" s="16">
        <v>38.380000000000003</v>
      </c>
      <c r="AU1143" s="2" t="s">
        <v>661</v>
      </c>
      <c r="AV1143" s="16">
        <f t="shared" si="533"/>
        <v>99.990000000000009</v>
      </c>
      <c r="AW1143" s="20">
        <v>0.08</v>
      </c>
      <c r="AX1143" s="8">
        <f t="shared" si="523"/>
        <v>8.0000000000000004E-4</v>
      </c>
      <c r="AY1143" s="8" t="s">
        <v>184</v>
      </c>
      <c r="AZ1143" s="16">
        <v>100</v>
      </c>
      <c r="BA1143" s="16" t="s">
        <v>55</v>
      </c>
      <c r="BB1143" s="16">
        <v>5</v>
      </c>
      <c r="BC1143" s="16" t="s">
        <v>55</v>
      </c>
      <c r="BD1143" s="20">
        <v>7.82</v>
      </c>
      <c r="BE1143" s="16">
        <f t="shared" si="524"/>
        <v>9775</v>
      </c>
      <c r="BF1143" s="16">
        <f t="shared" si="525"/>
        <v>3.9901167660679042</v>
      </c>
      <c r="BG1143" s="8">
        <f t="shared" si="526"/>
        <v>0.89320675305984798</v>
      </c>
      <c r="BH1143" s="13" t="s">
        <v>345</v>
      </c>
      <c r="BI1143" s="13"/>
      <c r="BJ1143" s="13"/>
      <c r="BK1143" s="13"/>
      <c r="BL1143" s="13"/>
      <c r="BM1143" s="17"/>
      <c r="BN1143" s="17"/>
      <c r="BO1143" s="2"/>
    </row>
    <row r="1144" spans="1:67" s="14" customFormat="1" x14ac:dyDescent="0.3">
      <c r="A1144" s="20">
        <v>1166</v>
      </c>
      <c r="B1144" s="2" t="s">
        <v>181</v>
      </c>
      <c r="C1144" s="2">
        <v>2020</v>
      </c>
      <c r="D1144" s="2" t="s">
        <v>203</v>
      </c>
      <c r="E1144" s="10" t="s">
        <v>787</v>
      </c>
      <c r="F1144" s="20" t="s">
        <v>29</v>
      </c>
      <c r="G1144" s="2" t="s">
        <v>59</v>
      </c>
      <c r="H1144" s="2" t="str">
        <f>'PFAS Properties'!$B$53</f>
        <v>8:2 FTS</v>
      </c>
      <c r="I1144" s="2" t="str">
        <f>'PFAS Properties'!$C$53</f>
        <v>FTS</v>
      </c>
      <c r="J1144" s="2" t="str">
        <f>'PFAS Properties'!$D$53</f>
        <v>C10H5F17O3S</v>
      </c>
      <c r="K1144" s="25">
        <f>'PFAS Properties'!$P$53</f>
        <v>527.96860000000004</v>
      </c>
      <c r="L1144" s="2">
        <f>'PFAS Properties'!$X$53</f>
        <v>0.4</v>
      </c>
      <c r="M1144" s="2" t="str">
        <f>'PFAS Properties'!$Y$53</f>
        <v>-</v>
      </c>
      <c r="N1144" s="33">
        <v>0</v>
      </c>
      <c r="O1144" s="33">
        <v>0</v>
      </c>
      <c r="P1144" s="33">
        <v>0</v>
      </c>
      <c r="Q1144" s="33">
        <f t="shared" si="534"/>
        <v>0.99999994988127916</v>
      </c>
      <c r="R1144" s="33">
        <v>0</v>
      </c>
      <c r="S1144" s="33">
        <f t="shared" si="535"/>
        <v>5.011872085084086E-8</v>
      </c>
      <c r="T1144" s="8">
        <f t="shared" si="539"/>
        <v>1</v>
      </c>
      <c r="U1144" s="33">
        <f t="shared" si="517"/>
        <v>0</v>
      </c>
      <c r="V1144" s="33">
        <f t="shared" si="518"/>
        <v>-0.99999994988127916</v>
      </c>
      <c r="W1144" s="33">
        <f t="shared" si="519"/>
        <v>526.96860005011877</v>
      </c>
      <c r="X1144" s="33">
        <v>96485</v>
      </c>
      <c r="Y1144" s="16">
        <f t="shared" si="520"/>
        <v>-183.09439149717602</v>
      </c>
      <c r="Z1144" s="16">
        <v>10</v>
      </c>
      <c r="AA1144" s="16">
        <v>17</v>
      </c>
      <c r="AB1144" s="8">
        <f t="shared" si="521"/>
        <v>0.37151702786377711</v>
      </c>
      <c r="AC1144" s="16">
        <f t="shared" si="537"/>
        <v>61.177880654266183</v>
      </c>
      <c r="AD1144" s="20">
        <f>'PFAS Properties'!$W$53</f>
        <v>8</v>
      </c>
      <c r="AE1144" s="8">
        <f>'PFAS Properties'!$S$53</f>
        <v>2.2600713879850747</v>
      </c>
      <c r="AF1144" s="2">
        <f>'PFAS Properties'!$V$53</f>
        <v>5.3</v>
      </c>
      <c r="AG1144" s="24">
        <v>7.7</v>
      </c>
      <c r="AH1144" s="2" t="s">
        <v>183</v>
      </c>
      <c r="AI1144" s="2" t="s">
        <v>661</v>
      </c>
      <c r="AJ1144" s="2" t="s">
        <v>661</v>
      </c>
      <c r="AK1144" s="2" t="s">
        <v>661</v>
      </c>
      <c r="AL1144" s="2" t="s">
        <v>661</v>
      </c>
      <c r="AM1144" s="2" t="s">
        <v>661</v>
      </c>
      <c r="AN1144" s="2" t="s">
        <v>661</v>
      </c>
      <c r="AO1144" s="2" t="s">
        <v>661</v>
      </c>
      <c r="AP1144" s="15">
        <v>4.8</v>
      </c>
      <c r="AQ1144" s="2" t="s">
        <v>661</v>
      </c>
      <c r="AR1144" s="16">
        <v>46</v>
      </c>
      <c r="AS1144" s="16">
        <v>37</v>
      </c>
      <c r="AT1144" s="16">
        <v>17</v>
      </c>
      <c r="AU1144" s="2" t="s">
        <v>661</v>
      </c>
      <c r="AV1144" s="16">
        <f t="shared" si="533"/>
        <v>100</v>
      </c>
      <c r="AW1144" s="20">
        <v>0.25</v>
      </c>
      <c r="AX1144" s="8">
        <f t="shared" si="523"/>
        <v>2.5000000000000001E-3</v>
      </c>
      <c r="AY1144" s="13" t="s">
        <v>184</v>
      </c>
      <c r="AZ1144" s="16">
        <v>100</v>
      </c>
      <c r="BA1144" s="16" t="s">
        <v>55</v>
      </c>
      <c r="BB1144" s="16">
        <v>5</v>
      </c>
      <c r="BC1144" s="16" t="s">
        <v>55</v>
      </c>
      <c r="BD1144" s="18">
        <v>12.95</v>
      </c>
      <c r="BE1144" s="16">
        <f t="shared" si="524"/>
        <v>5180</v>
      </c>
      <c r="BF1144" s="16">
        <f t="shared" si="525"/>
        <v>3.7143297597452332</v>
      </c>
      <c r="BG1144" s="8">
        <f t="shared" si="526"/>
        <v>1.1122697684172707</v>
      </c>
      <c r="BH1144" s="13" t="s">
        <v>345</v>
      </c>
      <c r="BI1144" s="13"/>
      <c r="BJ1144" s="13"/>
      <c r="BK1144" s="13"/>
      <c r="BL1144" s="13"/>
      <c r="BM1144" s="17"/>
      <c r="BN1144" s="17"/>
      <c r="BO1144" s="2"/>
    </row>
    <row r="1145" spans="1:67" s="14" customFormat="1" x14ac:dyDescent="0.3">
      <c r="A1145" s="20">
        <v>1167</v>
      </c>
      <c r="B1145" s="2" t="s">
        <v>181</v>
      </c>
      <c r="C1145" s="2">
        <v>2020</v>
      </c>
      <c r="D1145" s="2" t="s">
        <v>203</v>
      </c>
      <c r="E1145" s="10" t="s">
        <v>787</v>
      </c>
      <c r="F1145" s="20" t="s">
        <v>29</v>
      </c>
      <c r="G1145" s="2" t="s">
        <v>61</v>
      </c>
      <c r="H1145" s="2" t="str">
        <f>'PFAS Properties'!$B$53</f>
        <v>8:2 FTS</v>
      </c>
      <c r="I1145" s="2" t="str">
        <f>'PFAS Properties'!$C$53</f>
        <v>FTS</v>
      </c>
      <c r="J1145" s="2" t="str">
        <f>'PFAS Properties'!$D$53</f>
        <v>C10H5F17O3S</v>
      </c>
      <c r="K1145" s="25">
        <f>'PFAS Properties'!$P$53</f>
        <v>527.96860000000004</v>
      </c>
      <c r="L1145" s="2">
        <f>'PFAS Properties'!$X$53</f>
        <v>0.4</v>
      </c>
      <c r="M1145" s="2" t="str">
        <f>'PFAS Properties'!$Y$53</f>
        <v>-</v>
      </c>
      <c r="N1145" s="33">
        <v>0</v>
      </c>
      <c r="O1145" s="33">
        <v>0</v>
      </c>
      <c r="P1145" s="33">
        <v>0</v>
      </c>
      <c r="Q1145" s="33">
        <f t="shared" si="534"/>
        <v>0.99999990000001004</v>
      </c>
      <c r="R1145" s="33">
        <v>0</v>
      </c>
      <c r="S1145" s="33">
        <f t="shared" si="535"/>
        <v>9.9999990000001005E-8</v>
      </c>
      <c r="T1145" s="8">
        <f t="shared" si="539"/>
        <v>1</v>
      </c>
      <c r="U1145" s="33">
        <f t="shared" si="517"/>
        <v>0</v>
      </c>
      <c r="V1145" s="33">
        <f t="shared" si="518"/>
        <v>-0.99999990000001004</v>
      </c>
      <c r="W1145" s="33">
        <f t="shared" si="519"/>
        <v>526.9686001</v>
      </c>
      <c r="X1145" s="33">
        <v>96485</v>
      </c>
      <c r="Y1145" s="16">
        <f t="shared" si="520"/>
        <v>-183.0943823468638</v>
      </c>
      <c r="Z1145" s="16">
        <v>10</v>
      </c>
      <c r="AA1145" s="16">
        <v>17</v>
      </c>
      <c r="AB1145" s="8">
        <f t="shared" si="521"/>
        <v>0.37151702786377711</v>
      </c>
      <c r="AC1145" s="16">
        <f t="shared" si="537"/>
        <v>61.177880654266183</v>
      </c>
      <c r="AD1145" s="20">
        <f>'PFAS Properties'!$W$53</f>
        <v>8</v>
      </c>
      <c r="AE1145" s="8">
        <f>'PFAS Properties'!$S$53</f>
        <v>2.2600713879850747</v>
      </c>
      <c r="AF1145" s="2">
        <f>'PFAS Properties'!$V$53</f>
        <v>5.3</v>
      </c>
      <c r="AG1145" s="24">
        <v>7.4</v>
      </c>
      <c r="AH1145" s="2" t="s">
        <v>183</v>
      </c>
      <c r="AI1145" s="2" t="s">
        <v>661</v>
      </c>
      <c r="AJ1145" s="2" t="s">
        <v>661</v>
      </c>
      <c r="AK1145" s="2" t="s">
        <v>661</v>
      </c>
      <c r="AL1145" s="2" t="s">
        <v>661</v>
      </c>
      <c r="AM1145" s="2" t="s">
        <v>661</v>
      </c>
      <c r="AN1145" s="2" t="s">
        <v>661</v>
      </c>
      <c r="AO1145" s="2" t="s">
        <v>661</v>
      </c>
      <c r="AP1145" s="15">
        <v>29.6</v>
      </c>
      <c r="AQ1145" s="2" t="s">
        <v>661</v>
      </c>
      <c r="AR1145" s="16">
        <v>39.799999999999997</v>
      </c>
      <c r="AS1145" s="16">
        <v>7.7</v>
      </c>
      <c r="AT1145" s="16">
        <v>52.5</v>
      </c>
      <c r="AU1145" s="2" t="s">
        <v>661</v>
      </c>
      <c r="AV1145" s="16">
        <f t="shared" si="533"/>
        <v>100</v>
      </c>
      <c r="AW1145" s="20">
        <v>2.23</v>
      </c>
      <c r="AX1145" s="8">
        <f t="shared" si="523"/>
        <v>2.23E-2</v>
      </c>
      <c r="AY1145" s="8" t="s">
        <v>184</v>
      </c>
      <c r="AZ1145" s="16">
        <v>100</v>
      </c>
      <c r="BA1145" s="16" t="s">
        <v>55</v>
      </c>
      <c r="BB1145" s="16">
        <v>5</v>
      </c>
      <c r="BC1145" s="16" t="s">
        <v>55</v>
      </c>
      <c r="BD1145" s="20">
        <v>6.06</v>
      </c>
      <c r="BE1145" s="16">
        <f t="shared" si="524"/>
        <v>271.74887892376677</v>
      </c>
      <c r="BF1145" s="16">
        <f t="shared" si="525"/>
        <v>2.4341677611181254</v>
      </c>
      <c r="BG1145" s="8">
        <f t="shared" si="526"/>
        <v>0.78247262416628616</v>
      </c>
      <c r="BH1145" s="13" t="s">
        <v>345</v>
      </c>
      <c r="BI1145" s="13"/>
      <c r="BJ1145" s="13"/>
      <c r="BK1145" s="13"/>
      <c r="BL1145" s="13"/>
      <c r="BM1145" s="17"/>
      <c r="BN1145" s="17"/>
      <c r="BO1145" s="2"/>
    </row>
    <row r="1146" spans="1:67" s="14" customFormat="1" x14ac:dyDescent="0.3">
      <c r="A1146" s="20">
        <v>1168</v>
      </c>
      <c r="B1146" s="2" t="s">
        <v>181</v>
      </c>
      <c r="C1146" s="2">
        <v>2020</v>
      </c>
      <c r="D1146" s="2" t="s">
        <v>203</v>
      </c>
      <c r="E1146" s="10" t="s">
        <v>787</v>
      </c>
      <c r="F1146" s="20" t="s">
        <v>29</v>
      </c>
      <c r="G1146" s="2" t="s">
        <v>60</v>
      </c>
      <c r="H1146" s="2" t="str">
        <f>'PFAS Properties'!$B$53</f>
        <v>8:2 FTS</v>
      </c>
      <c r="I1146" s="2" t="str">
        <f>'PFAS Properties'!$C$53</f>
        <v>FTS</v>
      </c>
      <c r="J1146" s="2" t="str">
        <f>'PFAS Properties'!$D$53</f>
        <v>C10H5F17O3S</v>
      </c>
      <c r="K1146" s="25">
        <f>'PFAS Properties'!$P$53</f>
        <v>527.96860000000004</v>
      </c>
      <c r="L1146" s="2">
        <f>'PFAS Properties'!$X$53</f>
        <v>0.4</v>
      </c>
      <c r="M1146" s="2" t="str">
        <f>'PFAS Properties'!$Y$53</f>
        <v>-</v>
      </c>
      <c r="N1146" s="33">
        <v>0</v>
      </c>
      <c r="O1146" s="33">
        <v>0</v>
      </c>
      <c r="P1146" s="33">
        <v>0</v>
      </c>
      <c r="Q1146" s="33">
        <f t="shared" si="534"/>
        <v>0.99999994988127916</v>
      </c>
      <c r="R1146" s="33">
        <v>0</v>
      </c>
      <c r="S1146" s="33">
        <f t="shared" si="535"/>
        <v>5.011872085084086E-8</v>
      </c>
      <c r="T1146" s="8">
        <f t="shared" si="539"/>
        <v>1</v>
      </c>
      <c r="U1146" s="33">
        <f t="shared" si="517"/>
        <v>0</v>
      </c>
      <c r="V1146" s="33">
        <f t="shared" si="518"/>
        <v>-0.99999994988127916</v>
      </c>
      <c r="W1146" s="33">
        <f t="shared" si="519"/>
        <v>526.96860005011877</v>
      </c>
      <c r="X1146" s="33">
        <v>96485</v>
      </c>
      <c r="Y1146" s="16">
        <f t="shared" si="520"/>
        <v>-183.09439149717602</v>
      </c>
      <c r="Z1146" s="16">
        <v>10</v>
      </c>
      <c r="AA1146" s="16">
        <v>17</v>
      </c>
      <c r="AB1146" s="8">
        <f t="shared" si="521"/>
        <v>0.37151702786377711</v>
      </c>
      <c r="AC1146" s="16">
        <f t="shared" si="537"/>
        <v>61.177880654266183</v>
      </c>
      <c r="AD1146" s="20">
        <f>'PFAS Properties'!$W$53</f>
        <v>8</v>
      </c>
      <c r="AE1146" s="8">
        <f>'PFAS Properties'!$S$53</f>
        <v>2.2600713879850747</v>
      </c>
      <c r="AF1146" s="2">
        <f>'PFAS Properties'!$V$53</f>
        <v>5.3</v>
      </c>
      <c r="AG1146" s="24">
        <v>7.7</v>
      </c>
      <c r="AH1146" s="2" t="s">
        <v>183</v>
      </c>
      <c r="AI1146" s="2" t="s">
        <v>661</v>
      </c>
      <c r="AJ1146" s="2" t="s">
        <v>661</v>
      </c>
      <c r="AK1146" s="2" t="s">
        <v>661</v>
      </c>
      <c r="AL1146" s="2" t="s">
        <v>661</v>
      </c>
      <c r="AM1146" s="2" t="s">
        <v>661</v>
      </c>
      <c r="AN1146" s="2" t="s">
        <v>661</v>
      </c>
      <c r="AO1146" s="2" t="s">
        <v>661</v>
      </c>
      <c r="AP1146" s="15">
        <v>21.63</v>
      </c>
      <c r="AQ1146" s="2" t="s">
        <v>661</v>
      </c>
      <c r="AR1146" s="16">
        <v>70</v>
      </c>
      <c r="AS1146" s="16">
        <v>11</v>
      </c>
      <c r="AT1146" s="16">
        <v>19</v>
      </c>
      <c r="AU1146" s="2" t="s">
        <v>661</v>
      </c>
      <c r="AV1146" s="16">
        <f t="shared" si="533"/>
        <v>100</v>
      </c>
      <c r="AW1146" s="20">
        <v>4.9000000000000004</v>
      </c>
      <c r="AX1146" s="8">
        <f t="shared" si="523"/>
        <v>4.9000000000000002E-2</v>
      </c>
      <c r="AY1146" s="8" t="s">
        <v>184</v>
      </c>
      <c r="AZ1146" s="16">
        <v>100</v>
      </c>
      <c r="BA1146" s="16" t="s">
        <v>55</v>
      </c>
      <c r="BB1146" s="16">
        <v>5</v>
      </c>
      <c r="BC1146" s="16" t="s">
        <v>55</v>
      </c>
      <c r="BD1146" s="20">
        <v>32.76</v>
      </c>
      <c r="BE1146" s="16">
        <f t="shared" si="524"/>
        <v>668.57142857142856</v>
      </c>
      <c r="BF1146" s="16">
        <f t="shared" si="525"/>
        <v>2.8251478130598673</v>
      </c>
      <c r="BG1146" s="8">
        <f t="shared" si="526"/>
        <v>1.5153438930883809</v>
      </c>
      <c r="BH1146" s="13" t="s">
        <v>345</v>
      </c>
      <c r="BI1146" s="13"/>
      <c r="BJ1146" s="13"/>
      <c r="BK1146" s="13"/>
      <c r="BL1146" s="13"/>
      <c r="BM1146" s="17"/>
      <c r="BN1146" s="17"/>
      <c r="BO1146" s="2"/>
    </row>
    <row r="1147" spans="1:67" s="14" customFormat="1" x14ac:dyDescent="0.3">
      <c r="A1147" s="20">
        <v>1169</v>
      </c>
      <c r="B1147" s="2" t="s">
        <v>181</v>
      </c>
      <c r="C1147" s="2">
        <v>2020</v>
      </c>
      <c r="D1147" s="2" t="s">
        <v>203</v>
      </c>
      <c r="E1147" s="10" t="s">
        <v>787</v>
      </c>
      <c r="F1147" s="20" t="s">
        <v>29</v>
      </c>
      <c r="G1147" s="2" t="s">
        <v>77</v>
      </c>
      <c r="H1147" s="2" t="str">
        <f>'PFAS Properties'!$B$53</f>
        <v>8:2 FTS</v>
      </c>
      <c r="I1147" s="2" t="str">
        <f>'PFAS Properties'!$C$53</f>
        <v>FTS</v>
      </c>
      <c r="J1147" s="2" t="str">
        <f>'PFAS Properties'!$D$53</f>
        <v>C10H5F17O3S</v>
      </c>
      <c r="K1147" s="25">
        <f>'PFAS Properties'!$P$53</f>
        <v>527.96860000000004</v>
      </c>
      <c r="L1147" s="2">
        <f>'PFAS Properties'!$X$53</f>
        <v>0.4</v>
      </c>
      <c r="M1147" s="2" t="str">
        <f>'PFAS Properties'!$Y$53</f>
        <v>-</v>
      </c>
      <c r="N1147" s="33">
        <v>0</v>
      </c>
      <c r="O1147" s="33">
        <v>0</v>
      </c>
      <c r="P1147" s="33">
        <v>0</v>
      </c>
      <c r="Q1147" s="33">
        <f t="shared" si="534"/>
        <v>0.99999994988127916</v>
      </c>
      <c r="R1147" s="33">
        <v>0</v>
      </c>
      <c r="S1147" s="33">
        <f t="shared" si="535"/>
        <v>5.011872085084086E-8</v>
      </c>
      <c r="T1147" s="8">
        <f t="shared" si="539"/>
        <v>1</v>
      </c>
      <c r="U1147" s="33">
        <f t="shared" si="517"/>
        <v>0</v>
      </c>
      <c r="V1147" s="33">
        <f t="shared" si="518"/>
        <v>-0.99999994988127916</v>
      </c>
      <c r="W1147" s="33">
        <f t="shared" si="519"/>
        <v>526.96860005011877</v>
      </c>
      <c r="X1147" s="33">
        <v>96485</v>
      </c>
      <c r="Y1147" s="16">
        <f t="shared" si="520"/>
        <v>-183.09439149717602</v>
      </c>
      <c r="Z1147" s="16">
        <v>10</v>
      </c>
      <c r="AA1147" s="16">
        <v>17</v>
      </c>
      <c r="AB1147" s="8">
        <f t="shared" si="521"/>
        <v>0.37151702786377711</v>
      </c>
      <c r="AC1147" s="16">
        <f t="shared" si="537"/>
        <v>61.177880654266183</v>
      </c>
      <c r="AD1147" s="20">
        <f>'PFAS Properties'!$W$53</f>
        <v>8</v>
      </c>
      <c r="AE1147" s="8">
        <f>'PFAS Properties'!$S$53</f>
        <v>2.2600713879850747</v>
      </c>
      <c r="AF1147" s="2">
        <f>'PFAS Properties'!$V$53</f>
        <v>5.3</v>
      </c>
      <c r="AG1147" s="24">
        <v>7.7</v>
      </c>
      <c r="AH1147" s="2" t="s">
        <v>183</v>
      </c>
      <c r="AI1147" s="2" t="s">
        <v>661</v>
      </c>
      <c r="AJ1147" s="2" t="s">
        <v>661</v>
      </c>
      <c r="AK1147" s="2" t="s">
        <v>661</v>
      </c>
      <c r="AL1147" s="2" t="s">
        <v>661</v>
      </c>
      <c r="AM1147" s="2" t="s">
        <v>661</v>
      </c>
      <c r="AN1147" s="2" t="s">
        <v>661</v>
      </c>
      <c r="AO1147" s="2" t="s">
        <v>661</v>
      </c>
      <c r="AP1147" s="15">
        <v>7.8</v>
      </c>
      <c r="AQ1147" s="2" t="s">
        <v>661</v>
      </c>
      <c r="AR1147" s="16">
        <v>48.9</v>
      </c>
      <c r="AS1147" s="16">
        <v>32.6</v>
      </c>
      <c r="AT1147" s="16">
        <v>18.5</v>
      </c>
      <c r="AU1147" s="2" t="s">
        <v>661</v>
      </c>
      <c r="AV1147" s="16">
        <f t="shared" si="533"/>
        <v>100</v>
      </c>
      <c r="AW1147" s="20">
        <v>0.13</v>
      </c>
      <c r="AX1147" s="8">
        <f t="shared" si="523"/>
        <v>1.2999999999999999E-3</v>
      </c>
      <c r="AY1147" s="8" t="s">
        <v>184</v>
      </c>
      <c r="AZ1147" s="16">
        <v>100</v>
      </c>
      <c r="BA1147" s="16" t="s">
        <v>55</v>
      </c>
      <c r="BB1147" s="16">
        <v>5</v>
      </c>
      <c r="BC1147" s="16" t="s">
        <v>55</v>
      </c>
      <c r="BD1147" s="20">
        <v>7.26</v>
      </c>
      <c r="BE1147" s="16">
        <f t="shared" si="524"/>
        <v>5584.6153846153848</v>
      </c>
      <c r="BF1147" s="16">
        <f t="shared" si="525"/>
        <v>3.7469932683932567</v>
      </c>
      <c r="BG1147" s="8">
        <f t="shared" si="526"/>
        <v>0.86093662070009369</v>
      </c>
      <c r="BH1147" s="13" t="s">
        <v>345</v>
      </c>
      <c r="BI1147" s="13"/>
      <c r="BJ1147" s="13"/>
      <c r="BK1147" s="13"/>
      <c r="BL1147" s="13"/>
      <c r="BM1147" s="17"/>
      <c r="BN1147" s="17"/>
      <c r="BO1147" s="2"/>
    </row>
    <row r="1148" spans="1:67" s="14" customFormat="1" x14ac:dyDescent="0.3">
      <c r="A1148" s="20">
        <v>1170</v>
      </c>
      <c r="B1148" s="2" t="s">
        <v>181</v>
      </c>
      <c r="C1148" s="2">
        <v>2020</v>
      </c>
      <c r="D1148" s="2" t="s">
        <v>203</v>
      </c>
      <c r="E1148" s="10" t="s">
        <v>787</v>
      </c>
      <c r="F1148" s="20" t="s">
        <v>29</v>
      </c>
      <c r="G1148" s="2" t="s">
        <v>182</v>
      </c>
      <c r="H1148" s="2" t="str">
        <f>'PFAS Properties'!$B$53</f>
        <v>8:2 FTS</v>
      </c>
      <c r="I1148" s="2" t="str">
        <f>'PFAS Properties'!$C$53</f>
        <v>FTS</v>
      </c>
      <c r="J1148" s="2" t="str">
        <f>'PFAS Properties'!$D$53</f>
        <v>C10H5F17O3S</v>
      </c>
      <c r="K1148" s="25">
        <f>'PFAS Properties'!$P$53</f>
        <v>527.96860000000004</v>
      </c>
      <c r="L1148" s="2">
        <f>'PFAS Properties'!$X$53</f>
        <v>0.4</v>
      </c>
      <c r="M1148" s="2" t="str">
        <f>'PFAS Properties'!$Y$53</f>
        <v>-</v>
      </c>
      <c r="N1148" s="33">
        <v>0</v>
      </c>
      <c r="O1148" s="33">
        <v>0</v>
      </c>
      <c r="P1148" s="33">
        <v>0</v>
      </c>
      <c r="Q1148" s="33">
        <f t="shared" si="534"/>
        <v>0.99999992056718279</v>
      </c>
      <c r="R1148" s="33">
        <v>0</v>
      </c>
      <c r="S1148" s="33">
        <f t="shared" si="535"/>
        <v>7.9432817162855232E-8</v>
      </c>
      <c r="T1148" s="8">
        <f t="shared" si="539"/>
        <v>1</v>
      </c>
      <c r="U1148" s="33">
        <f t="shared" si="517"/>
        <v>0</v>
      </c>
      <c r="V1148" s="33">
        <f t="shared" si="518"/>
        <v>-0.99999992056718279</v>
      </c>
      <c r="W1148" s="33">
        <f t="shared" si="519"/>
        <v>526.9686000794328</v>
      </c>
      <c r="X1148" s="33">
        <v>96485</v>
      </c>
      <c r="Y1148" s="16">
        <f t="shared" si="520"/>
        <v>-183.094386119744</v>
      </c>
      <c r="Z1148" s="16">
        <v>10</v>
      </c>
      <c r="AA1148" s="16">
        <v>17</v>
      </c>
      <c r="AB1148" s="8">
        <f t="shared" si="521"/>
        <v>0.37151702786377711</v>
      </c>
      <c r="AC1148" s="16">
        <f t="shared" si="537"/>
        <v>61.177880654266183</v>
      </c>
      <c r="AD1148" s="20">
        <f>'PFAS Properties'!$W$53</f>
        <v>8</v>
      </c>
      <c r="AE1148" s="8">
        <f>'PFAS Properties'!$S$53</f>
        <v>2.2600713879850747</v>
      </c>
      <c r="AF1148" s="2">
        <f>'PFAS Properties'!$V$53</f>
        <v>5.3</v>
      </c>
      <c r="AG1148" s="24">
        <v>7.5</v>
      </c>
      <c r="AH1148" s="2" t="s">
        <v>183</v>
      </c>
      <c r="AI1148" s="2" t="s">
        <v>661</v>
      </c>
      <c r="AJ1148" s="2" t="s">
        <v>661</v>
      </c>
      <c r="AK1148" s="2" t="s">
        <v>661</v>
      </c>
      <c r="AL1148" s="2" t="s">
        <v>661</v>
      </c>
      <c r="AM1148" s="2" t="s">
        <v>661</v>
      </c>
      <c r="AN1148" s="2" t="s">
        <v>661</v>
      </c>
      <c r="AO1148" s="2" t="s">
        <v>661</v>
      </c>
      <c r="AP1148" s="15">
        <v>2.2799999999999998</v>
      </c>
      <c r="AQ1148" s="2" t="s">
        <v>661</v>
      </c>
      <c r="AR1148" s="16">
        <v>93</v>
      </c>
      <c r="AS1148" s="16">
        <v>1</v>
      </c>
      <c r="AT1148" s="16">
        <v>5</v>
      </c>
      <c r="AU1148" s="2" t="s">
        <v>661</v>
      </c>
      <c r="AV1148" s="16">
        <f t="shared" si="533"/>
        <v>99</v>
      </c>
      <c r="AW1148" s="20">
        <v>0.4</v>
      </c>
      <c r="AX1148" s="8">
        <f t="shared" si="523"/>
        <v>4.0000000000000001E-3</v>
      </c>
      <c r="AY1148" s="8" t="s">
        <v>184</v>
      </c>
      <c r="AZ1148" s="16">
        <v>100</v>
      </c>
      <c r="BA1148" s="16" t="s">
        <v>55</v>
      </c>
      <c r="BB1148" s="16">
        <v>5</v>
      </c>
      <c r="BC1148" s="16" t="s">
        <v>55</v>
      </c>
      <c r="BD1148" s="20">
        <v>2.61</v>
      </c>
      <c r="BE1148" s="16">
        <f t="shared" si="524"/>
        <v>652.5</v>
      </c>
      <c r="BF1148" s="16">
        <f t="shared" si="525"/>
        <v>2.8145805160103188</v>
      </c>
      <c r="BG1148" s="8">
        <f t="shared" si="526"/>
        <v>0.41664050733828095</v>
      </c>
      <c r="BH1148" s="13" t="s">
        <v>345</v>
      </c>
      <c r="BI1148" s="13"/>
      <c r="BJ1148" s="13"/>
      <c r="BK1148" s="13"/>
      <c r="BL1148" s="13"/>
      <c r="BM1148" s="17"/>
      <c r="BN1148" s="17"/>
      <c r="BO1148" s="2"/>
    </row>
    <row r="1149" spans="1:67" s="14" customFormat="1" x14ac:dyDescent="0.3">
      <c r="A1149" s="20">
        <v>1171</v>
      </c>
      <c r="B1149" s="2" t="s">
        <v>181</v>
      </c>
      <c r="C1149" s="2">
        <v>2020</v>
      </c>
      <c r="D1149" s="2" t="s">
        <v>203</v>
      </c>
      <c r="E1149" s="10" t="s">
        <v>787</v>
      </c>
      <c r="F1149" s="20" t="s">
        <v>29</v>
      </c>
      <c r="G1149" s="2" t="s">
        <v>78</v>
      </c>
      <c r="H1149" s="2" t="str">
        <f>'PFAS Properties'!$B$53</f>
        <v>8:2 FTS</v>
      </c>
      <c r="I1149" s="2" t="str">
        <f>'PFAS Properties'!$C$53</f>
        <v>FTS</v>
      </c>
      <c r="J1149" s="2" t="str">
        <f>'PFAS Properties'!$D$53</f>
        <v>C10H5F17O3S</v>
      </c>
      <c r="K1149" s="25">
        <f>'PFAS Properties'!$P$53</f>
        <v>527.96860000000004</v>
      </c>
      <c r="L1149" s="2">
        <f>'PFAS Properties'!$X$53</f>
        <v>0.4</v>
      </c>
      <c r="M1149" s="2" t="str">
        <f>'PFAS Properties'!$Y$53</f>
        <v>-</v>
      </c>
      <c r="N1149" s="33">
        <v>0</v>
      </c>
      <c r="O1149" s="33">
        <v>0</v>
      </c>
      <c r="P1149" s="33">
        <v>0</v>
      </c>
      <c r="Q1149" s="33">
        <f t="shared" si="534"/>
        <v>0.99999980047380832</v>
      </c>
      <c r="R1149" s="33">
        <v>0</v>
      </c>
      <c r="S1149" s="33">
        <f t="shared" si="535"/>
        <v>1.9952619168617889E-7</v>
      </c>
      <c r="T1149" s="8">
        <f t="shared" si="539"/>
        <v>1</v>
      </c>
      <c r="U1149" s="33">
        <f t="shared" si="517"/>
        <v>0</v>
      </c>
      <c r="V1149" s="33">
        <f t="shared" si="518"/>
        <v>-0.99999980047380832</v>
      </c>
      <c r="W1149" s="33">
        <f t="shared" si="519"/>
        <v>526.96860019952624</v>
      </c>
      <c r="X1149" s="33">
        <v>96485</v>
      </c>
      <c r="Y1149" s="16">
        <f t="shared" si="520"/>
        <v>-183.09436408959331</v>
      </c>
      <c r="Z1149" s="16">
        <v>10</v>
      </c>
      <c r="AA1149" s="16">
        <v>17</v>
      </c>
      <c r="AB1149" s="8">
        <f t="shared" si="521"/>
        <v>0.37151702786377711</v>
      </c>
      <c r="AC1149" s="16">
        <f t="shared" si="537"/>
        <v>61.177880654266183</v>
      </c>
      <c r="AD1149" s="20">
        <f>'PFAS Properties'!$W$53</f>
        <v>8</v>
      </c>
      <c r="AE1149" s="8">
        <f>'PFAS Properties'!$S$53</f>
        <v>2.2600713879850747</v>
      </c>
      <c r="AF1149" s="2">
        <f>'PFAS Properties'!$V$53</f>
        <v>5.3</v>
      </c>
      <c r="AG1149" s="24">
        <v>7.1</v>
      </c>
      <c r="AH1149" s="2" t="s">
        <v>183</v>
      </c>
      <c r="AI1149" s="2" t="s">
        <v>661</v>
      </c>
      <c r="AJ1149" s="2" t="s">
        <v>661</v>
      </c>
      <c r="AK1149" s="2" t="s">
        <v>661</v>
      </c>
      <c r="AL1149" s="2" t="s">
        <v>661</v>
      </c>
      <c r="AM1149" s="2" t="s">
        <v>661</v>
      </c>
      <c r="AN1149" s="2" t="s">
        <v>661</v>
      </c>
      <c r="AO1149" s="2" t="s">
        <v>661</v>
      </c>
      <c r="AP1149" s="15">
        <v>17.420000000000002</v>
      </c>
      <c r="AQ1149" s="2" t="s">
        <v>661</v>
      </c>
      <c r="AR1149" s="16">
        <v>48.86</v>
      </c>
      <c r="AS1149" s="16">
        <v>16.05</v>
      </c>
      <c r="AT1149" s="16">
        <v>35.090000000000003</v>
      </c>
      <c r="AU1149" s="2" t="s">
        <v>661</v>
      </c>
      <c r="AV1149" s="16">
        <f t="shared" si="533"/>
        <v>100</v>
      </c>
      <c r="AW1149" s="20">
        <v>1.19</v>
      </c>
      <c r="AX1149" s="8">
        <f t="shared" si="523"/>
        <v>1.1899999999999999E-2</v>
      </c>
      <c r="AY1149" s="8" t="s">
        <v>184</v>
      </c>
      <c r="AZ1149" s="16">
        <v>100</v>
      </c>
      <c r="BA1149" s="16" t="s">
        <v>55</v>
      </c>
      <c r="BB1149" s="16">
        <v>5</v>
      </c>
      <c r="BC1149" s="16" t="s">
        <v>55</v>
      </c>
      <c r="BD1149" s="20">
        <v>25.16</v>
      </c>
      <c r="BE1149" s="16">
        <f t="shared" si="524"/>
        <v>2114.2857142857147</v>
      </c>
      <c r="BF1149" s="16">
        <f t="shared" si="525"/>
        <v>3.3251636753807006</v>
      </c>
      <c r="BG1149" s="8">
        <f t="shared" si="526"/>
        <v>1.4007106367732314</v>
      </c>
      <c r="BH1149" s="13" t="s">
        <v>345</v>
      </c>
      <c r="BI1149" s="13"/>
      <c r="BJ1149" s="13"/>
      <c r="BK1149" s="13"/>
      <c r="BL1149" s="13"/>
      <c r="BM1149" s="17"/>
      <c r="BN1149" s="17"/>
      <c r="BO1149" s="2"/>
    </row>
    <row r="1150" spans="1:67" s="14" customFormat="1" x14ac:dyDescent="0.3">
      <c r="A1150" s="20">
        <v>1172</v>
      </c>
      <c r="B1150" s="2" t="s">
        <v>181</v>
      </c>
      <c r="C1150" s="2">
        <v>2020</v>
      </c>
      <c r="D1150" s="2" t="s">
        <v>203</v>
      </c>
      <c r="E1150" s="10" t="s">
        <v>787</v>
      </c>
      <c r="F1150" s="20" t="s">
        <v>29</v>
      </c>
      <c r="G1150" s="2" t="s">
        <v>98</v>
      </c>
      <c r="H1150" s="2" t="str">
        <f>'PFAS Properties'!$B$53</f>
        <v>8:2 FTS</v>
      </c>
      <c r="I1150" s="2" t="str">
        <f>'PFAS Properties'!$C$53</f>
        <v>FTS</v>
      </c>
      <c r="J1150" s="2" t="str">
        <f>'PFAS Properties'!$D$53</f>
        <v>C10H5F17O3S</v>
      </c>
      <c r="K1150" s="25">
        <f>'PFAS Properties'!$P$53</f>
        <v>527.96860000000004</v>
      </c>
      <c r="L1150" s="2">
        <f>'PFAS Properties'!$X$53</f>
        <v>0.4</v>
      </c>
      <c r="M1150" s="2" t="str">
        <f>'PFAS Properties'!$Y$53</f>
        <v>-</v>
      </c>
      <c r="N1150" s="33">
        <v>0</v>
      </c>
      <c r="O1150" s="33">
        <v>0</v>
      </c>
      <c r="P1150" s="33">
        <v>0</v>
      </c>
      <c r="Q1150" s="33">
        <f t="shared" si="534"/>
        <v>0.99999900000099995</v>
      </c>
      <c r="R1150" s="33">
        <v>0</v>
      </c>
      <c r="S1150" s="33">
        <f t="shared" si="535"/>
        <v>9.9999900000100006E-7</v>
      </c>
      <c r="T1150" s="8">
        <f t="shared" si="539"/>
        <v>1</v>
      </c>
      <c r="U1150" s="33">
        <f t="shared" si="517"/>
        <v>0</v>
      </c>
      <c r="V1150" s="33">
        <f t="shared" si="518"/>
        <v>-0.99999900000099995</v>
      </c>
      <c r="W1150" s="33">
        <f t="shared" si="519"/>
        <v>526.96860099999901</v>
      </c>
      <c r="X1150" s="33">
        <v>96485</v>
      </c>
      <c r="Y1150" s="16">
        <f t="shared" si="520"/>
        <v>-183.09421724938156</v>
      </c>
      <c r="Z1150" s="16">
        <v>10</v>
      </c>
      <c r="AA1150" s="16">
        <v>17</v>
      </c>
      <c r="AB1150" s="8">
        <f t="shared" si="521"/>
        <v>0.37151702786377711</v>
      </c>
      <c r="AC1150" s="16">
        <f t="shared" si="537"/>
        <v>61.177880654266183</v>
      </c>
      <c r="AD1150" s="20">
        <f>'PFAS Properties'!$W$53</f>
        <v>8</v>
      </c>
      <c r="AE1150" s="8">
        <f>'PFAS Properties'!$S$53</f>
        <v>2.2600713879850747</v>
      </c>
      <c r="AF1150" s="2">
        <f>'PFAS Properties'!$V$53</f>
        <v>5.3</v>
      </c>
      <c r="AG1150" s="24">
        <v>6.4</v>
      </c>
      <c r="AH1150" s="2" t="s">
        <v>183</v>
      </c>
      <c r="AI1150" s="2" t="s">
        <v>661</v>
      </c>
      <c r="AJ1150" s="15" t="s">
        <v>661</v>
      </c>
      <c r="AK1150" s="8" t="s">
        <v>661</v>
      </c>
      <c r="AL1150" s="2" t="s">
        <v>661</v>
      </c>
      <c r="AM1150" s="15" t="s">
        <v>661</v>
      </c>
      <c r="AN1150" s="8" t="s">
        <v>661</v>
      </c>
      <c r="AO1150" s="15" t="s">
        <v>661</v>
      </c>
      <c r="AP1150" s="15">
        <v>16.54</v>
      </c>
      <c r="AQ1150" s="13" t="s">
        <v>661</v>
      </c>
      <c r="AR1150" s="16">
        <v>29.38</v>
      </c>
      <c r="AS1150" s="16">
        <v>13.9</v>
      </c>
      <c r="AT1150" s="16">
        <v>56.71</v>
      </c>
      <c r="AU1150" s="15" t="s">
        <v>661</v>
      </c>
      <c r="AV1150" s="16">
        <f t="shared" si="533"/>
        <v>99.990000000000009</v>
      </c>
      <c r="AW1150" s="20">
        <v>0.17</v>
      </c>
      <c r="AX1150" s="8">
        <f t="shared" si="523"/>
        <v>1.7000000000000001E-3</v>
      </c>
      <c r="AY1150" s="8" t="s">
        <v>184</v>
      </c>
      <c r="AZ1150" s="16">
        <v>100</v>
      </c>
      <c r="BA1150" s="16" t="s">
        <v>55</v>
      </c>
      <c r="BB1150" s="16">
        <v>5</v>
      </c>
      <c r="BC1150" s="16" t="s">
        <v>55</v>
      </c>
      <c r="BD1150" s="20">
        <v>16.27</v>
      </c>
      <c r="BE1150" s="16">
        <f t="shared" si="524"/>
        <v>9570.5882352941171</v>
      </c>
      <c r="BF1150" s="16">
        <f t="shared" si="525"/>
        <v>3.9809386315585846</v>
      </c>
      <c r="BG1150" s="8">
        <f t="shared" si="526"/>
        <v>1.2113875529368587</v>
      </c>
      <c r="BH1150" s="13" t="s">
        <v>345</v>
      </c>
      <c r="BI1150" s="13"/>
      <c r="BJ1150" s="13"/>
      <c r="BK1150" s="13"/>
      <c r="BL1150" s="13"/>
      <c r="BM1150" s="17"/>
      <c r="BN1150" s="17"/>
      <c r="BO1150" s="2"/>
    </row>
    <row r="1151" spans="1:67" s="14" customFormat="1" x14ac:dyDescent="0.3">
      <c r="A1151" s="20">
        <v>1173</v>
      </c>
      <c r="B1151" s="2" t="s">
        <v>181</v>
      </c>
      <c r="C1151" s="2">
        <v>2020</v>
      </c>
      <c r="D1151" s="2" t="s">
        <v>203</v>
      </c>
      <c r="E1151" s="10" t="s">
        <v>787</v>
      </c>
      <c r="F1151" s="20" t="s">
        <v>29</v>
      </c>
      <c r="G1151" s="2" t="s">
        <v>62</v>
      </c>
      <c r="H1151" s="2" t="str">
        <f>'PFAS Properties'!$B$54</f>
        <v>FBSA</v>
      </c>
      <c r="I1151" s="2" t="str">
        <f>'PFAS Properties'!$C$54</f>
        <v>FOSA</v>
      </c>
      <c r="J1151" s="2" t="str">
        <f>'PFAS Properties'!$D$54</f>
        <v>C4H2F9NO2S</v>
      </c>
      <c r="K1151" s="25">
        <f>'PFAS Properties'!$P$54</f>
        <v>298.96620000000001</v>
      </c>
      <c r="L1151" s="2">
        <f>'PFAS Properties'!$X$54</f>
        <v>6.2</v>
      </c>
      <c r="M1151" s="2" t="str">
        <f>'PFAS Properties'!$Y$54</f>
        <v>-</v>
      </c>
      <c r="N1151" s="33">
        <v>0</v>
      </c>
      <c r="O1151" s="33">
        <v>0</v>
      </c>
      <c r="P1151" s="33">
        <v>0</v>
      </c>
      <c r="Q1151" s="33">
        <f t="shared" ref="Q1151:Q1181" si="541">(10^(AG1151-L1151))/(1+(10^(AG1151-L1151)))</f>
        <v>0.95227327896579606</v>
      </c>
      <c r="R1151" s="33">
        <v>0</v>
      </c>
      <c r="S1151" s="33">
        <f t="shared" ref="S1151:S1181" si="542">(1/(1+(10^(AG1151-L1151))))</f>
        <v>4.7726721034203903E-2</v>
      </c>
      <c r="T1151" s="8">
        <f t="shared" ref="T1151:T1180" si="543">SUM(N1151:S1151)</f>
        <v>1</v>
      </c>
      <c r="U1151" s="33">
        <f t="shared" si="517"/>
        <v>0</v>
      </c>
      <c r="V1151" s="33">
        <f t="shared" si="518"/>
        <v>-0.95227327896579606</v>
      </c>
      <c r="W1151" s="33">
        <f t="shared" si="519"/>
        <v>298.01392672103418</v>
      </c>
      <c r="X1151" s="33">
        <v>96485</v>
      </c>
      <c r="Y1151" s="16">
        <f t="shared" si="520"/>
        <v>-308.30803221831383</v>
      </c>
      <c r="Z1151" s="16">
        <v>4</v>
      </c>
      <c r="AA1151" s="16">
        <v>9</v>
      </c>
      <c r="AB1151" s="8">
        <f t="shared" si="521"/>
        <v>0.2807017543859649</v>
      </c>
      <c r="AC1151" s="16">
        <f t="shared" ref="AC1151:AC1172" si="544">((AA1151*19)/K1151)*100</f>
        <v>57.197101210772317</v>
      </c>
      <c r="AD1151" s="20">
        <f>'PFAS Properties'!$W$54</f>
        <v>4</v>
      </c>
      <c r="AE1151" s="8">
        <f>'PFAS Properties'!$S$54</f>
        <v>4.4252080511386565</v>
      </c>
      <c r="AF1151" s="2">
        <f>'PFAS Properties'!$V$54</f>
        <v>2.2000000000000002</v>
      </c>
      <c r="AG1151" s="24">
        <v>7.5</v>
      </c>
      <c r="AH1151" s="2" t="s">
        <v>183</v>
      </c>
      <c r="AI1151" s="2" t="s">
        <v>661</v>
      </c>
      <c r="AJ1151" s="2" t="s">
        <v>661</v>
      </c>
      <c r="AK1151" s="2" t="s">
        <v>661</v>
      </c>
      <c r="AL1151" s="2" t="s">
        <v>661</v>
      </c>
      <c r="AM1151" s="2" t="s">
        <v>661</v>
      </c>
      <c r="AN1151" s="2" t="s">
        <v>661</v>
      </c>
      <c r="AO1151" s="2" t="s">
        <v>661</v>
      </c>
      <c r="AP1151" s="15">
        <v>41.4</v>
      </c>
      <c r="AQ1151" s="2" t="s">
        <v>661</v>
      </c>
      <c r="AR1151" s="16">
        <v>16.899999999999999</v>
      </c>
      <c r="AS1151" s="16">
        <v>17.5</v>
      </c>
      <c r="AT1151" s="16">
        <v>65.599999999999994</v>
      </c>
      <c r="AU1151" s="2" t="s">
        <v>661</v>
      </c>
      <c r="AV1151" s="16">
        <f t="shared" ref="AV1151:AV1173" si="545">SUM(AR1151:AT1151)</f>
        <v>100</v>
      </c>
      <c r="AW1151" s="20">
        <v>0.7</v>
      </c>
      <c r="AX1151" s="8">
        <f t="shared" si="523"/>
        <v>6.9999999999999993E-3</v>
      </c>
      <c r="AY1151" s="13" t="s">
        <v>184</v>
      </c>
      <c r="AZ1151" s="16">
        <v>100</v>
      </c>
      <c r="BA1151" s="16" t="s">
        <v>55</v>
      </c>
      <c r="BB1151" s="16">
        <v>5</v>
      </c>
      <c r="BC1151" s="16" t="s">
        <v>55</v>
      </c>
      <c r="BD1151" s="18">
        <v>0.31</v>
      </c>
      <c r="BE1151" s="16">
        <f t="shared" si="524"/>
        <v>44.285714285714292</v>
      </c>
      <c r="BF1151" s="16">
        <f t="shared" si="525"/>
        <v>1.6462636538200159</v>
      </c>
      <c r="BG1151" s="8">
        <f t="shared" si="526"/>
        <v>-0.50863830616572736</v>
      </c>
      <c r="BH1151" s="13" t="s">
        <v>345</v>
      </c>
      <c r="BI1151" s="13"/>
      <c r="BJ1151" s="13"/>
      <c r="BK1151" s="13"/>
      <c r="BL1151" s="13"/>
      <c r="BM1151" s="17"/>
      <c r="BN1151" s="17"/>
      <c r="BO1151" s="2"/>
    </row>
    <row r="1152" spans="1:67" s="14" customFormat="1" x14ac:dyDescent="0.3">
      <c r="A1152" s="20">
        <v>1174</v>
      </c>
      <c r="B1152" s="2" t="s">
        <v>181</v>
      </c>
      <c r="C1152" s="2">
        <v>2020</v>
      </c>
      <c r="D1152" s="2" t="s">
        <v>203</v>
      </c>
      <c r="E1152" s="10" t="s">
        <v>787</v>
      </c>
      <c r="F1152" s="20" t="s">
        <v>29</v>
      </c>
      <c r="G1152" s="2" t="s">
        <v>57</v>
      </c>
      <c r="H1152" s="2" t="str">
        <f>'PFAS Properties'!$B$54</f>
        <v>FBSA</v>
      </c>
      <c r="I1152" s="2" t="str">
        <f>'PFAS Properties'!$C$54</f>
        <v>FOSA</v>
      </c>
      <c r="J1152" s="2" t="str">
        <f>'PFAS Properties'!$D$54</f>
        <v>C4H2F9NO2S</v>
      </c>
      <c r="K1152" s="25">
        <f>'PFAS Properties'!$P$54</f>
        <v>298.96620000000001</v>
      </c>
      <c r="L1152" s="2">
        <f>'PFAS Properties'!$X$54</f>
        <v>6.2</v>
      </c>
      <c r="M1152" s="2" t="str">
        <f>'PFAS Properties'!$Y$54</f>
        <v>-</v>
      </c>
      <c r="N1152" s="33">
        <v>0</v>
      </c>
      <c r="O1152" s="33">
        <v>0</v>
      </c>
      <c r="P1152" s="33">
        <v>0</v>
      </c>
      <c r="Q1152" s="33">
        <f t="shared" si="541"/>
        <v>0.79923999108689814</v>
      </c>
      <c r="R1152" s="33">
        <v>0</v>
      </c>
      <c r="S1152" s="33">
        <f t="shared" si="542"/>
        <v>0.20076000891310183</v>
      </c>
      <c r="T1152" s="8">
        <f t="shared" si="543"/>
        <v>1</v>
      </c>
      <c r="U1152" s="33">
        <f t="shared" ref="U1152:U1160" si="546">((1*N1152)+(1*O1152)+(1*P1152))</f>
        <v>0</v>
      </c>
      <c r="V1152" s="33">
        <f t="shared" ref="V1152:V1160" si="547">-((1*O1152)+(2*P1152)+(1*Q1152)+(2*R1152))</f>
        <v>-0.79923999108689814</v>
      </c>
      <c r="W1152" s="33">
        <f t="shared" ref="W1152:W1160" si="548">(N1152*(K1152+1))+(O1152*K1152)+(P1152*(K1152-1))+(Q1152*(K1152-1))+(R1152*(K1152-2))+(S1152*K1152)</f>
        <v>298.16696000891312</v>
      </c>
      <c r="X1152" s="33">
        <v>96485</v>
      </c>
      <c r="Y1152" s="16">
        <f t="shared" ref="Y1152:Y1160" si="549">((V1152+U1152)/W1152)*X1152</f>
        <v>-258.62916044659733</v>
      </c>
      <c r="Z1152" s="16">
        <v>4</v>
      </c>
      <c r="AA1152" s="16">
        <v>9</v>
      </c>
      <c r="AB1152" s="8">
        <f t="shared" ref="AB1152:AB1160" si="550">(Z1152/AA1152)*(12/19)</f>
        <v>0.2807017543859649</v>
      </c>
      <c r="AC1152" s="16">
        <f t="shared" si="544"/>
        <v>57.197101210772317</v>
      </c>
      <c r="AD1152" s="20">
        <f>'PFAS Properties'!$W$54</f>
        <v>4</v>
      </c>
      <c r="AE1152" s="8">
        <f>'PFAS Properties'!$S$54</f>
        <v>4.4252080511386565</v>
      </c>
      <c r="AF1152" s="2">
        <f>'PFAS Properties'!$V$54</f>
        <v>2.2000000000000002</v>
      </c>
      <c r="AG1152" s="24">
        <v>6.8</v>
      </c>
      <c r="AH1152" s="2" t="s">
        <v>183</v>
      </c>
      <c r="AI1152" s="2" t="s">
        <v>661</v>
      </c>
      <c r="AJ1152" s="2" t="s">
        <v>661</v>
      </c>
      <c r="AK1152" s="2" t="s">
        <v>661</v>
      </c>
      <c r="AL1152" s="2" t="s">
        <v>661</v>
      </c>
      <c r="AM1152" s="2" t="s">
        <v>661</v>
      </c>
      <c r="AN1152" s="2" t="s">
        <v>661</v>
      </c>
      <c r="AO1152" s="2" t="s">
        <v>661</v>
      </c>
      <c r="AP1152" s="15">
        <v>7.1</v>
      </c>
      <c r="AQ1152" s="2" t="s">
        <v>661</v>
      </c>
      <c r="AR1152" s="16">
        <v>48.9</v>
      </c>
      <c r="AS1152" s="16">
        <v>27</v>
      </c>
      <c r="AT1152" s="16">
        <v>24.2</v>
      </c>
      <c r="AU1152" s="2" t="s">
        <v>661</v>
      </c>
      <c r="AV1152" s="16">
        <f t="shared" si="545"/>
        <v>100.10000000000001</v>
      </c>
      <c r="AW1152" s="20">
        <v>0.37</v>
      </c>
      <c r="AX1152" s="8">
        <f t="shared" ref="AX1152:AX1179" si="551">AW1152/100</f>
        <v>3.7000000000000002E-3</v>
      </c>
      <c r="AY1152" s="13" t="s">
        <v>184</v>
      </c>
      <c r="AZ1152" s="16">
        <v>100</v>
      </c>
      <c r="BA1152" s="16" t="s">
        <v>55</v>
      </c>
      <c r="BB1152" s="16">
        <v>5</v>
      </c>
      <c r="BC1152" s="16" t="s">
        <v>55</v>
      </c>
      <c r="BD1152" s="20">
        <v>0.32</v>
      </c>
      <c r="BE1152" s="16">
        <f t="shared" ref="BE1152:BE1189" si="552">BD1152/AX1152</f>
        <v>86.486486486486484</v>
      </c>
      <c r="BF1152" s="16">
        <f t="shared" ref="BF1152:BF1189" si="553">LOG(BE1152)</f>
        <v>1.9369482542529111</v>
      </c>
      <c r="BG1152" s="8">
        <f t="shared" ref="BG1152:BG1176" si="554">LOG(BD1152)</f>
        <v>-0.49485002168009401</v>
      </c>
      <c r="BH1152" s="13" t="s">
        <v>345</v>
      </c>
      <c r="BI1152" s="13"/>
      <c r="BJ1152" s="13"/>
      <c r="BK1152" s="13"/>
      <c r="BL1152" s="13"/>
      <c r="BM1152" s="17"/>
      <c r="BN1152" s="17"/>
      <c r="BO1152" s="2"/>
    </row>
    <row r="1153" spans="1:67" s="14" customFormat="1" x14ac:dyDescent="0.3">
      <c r="A1153" s="20">
        <v>1175</v>
      </c>
      <c r="B1153" s="2" t="s">
        <v>181</v>
      </c>
      <c r="C1153" s="2">
        <v>2020</v>
      </c>
      <c r="D1153" s="2" t="s">
        <v>203</v>
      </c>
      <c r="E1153" s="10" t="s">
        <v>787</v>
      </c>
      <c r="F1153" s="20" t="s">
        <v>29</v>
      </c>
      <c r="G1153" s="2" t="s">
        <v>58</v>
      </c>
      <c r="H1153" s="2" t="str">
        <f>'PFAS Properties'!$B$54</f>
        <v>FBSA</v>
      </c>
      <c r="I1153" s="2" t="str">
        <f>'PFAS Properties'!$C$54</f>
        <v>FOSA</v>
      </c>
      <c r="J1153" s="2" t="str">
        <f>'PFAS Properties'!$D$54</f>
        <v>C4H2F9NO2S</v>
      </c>
      <c r="K1153" s="25">
        <f>'PFAS Properties'!$P$54</f>
        <v>298.96620000000001</v>
      </c>
      <c r="L1153" s="2">
        <f>'PFAS Properties'!$X$54</f>
        <v>6.2</v>
      </c>
      <c r="M1153" s="2" t="str">
        <f>'PFAS Properties'!$Y$54</f>
        <v>-</v>
      </c>
      <c r="N1153" s="33">
        <v>0</v>
      </c>
      <c r="O1153" s="33">
        <v>0</v>
      </c>
      <c r="P1153" s="33">
        <v>0</v>
      </c>
      <c r="Q1153" s="33">
        <f t="shared" si="541"/>
        <v>0.5</v>
      </c>
      <c r="R1153" s="33">
        <v>0</v>
      </c>
      <c r="S1153" s="33">
        <f t="shared" si="542"/>
        <v>0.5</v>
      </c>
      <c r="T1153" s="8">
        <f t="shared" si="543"/>
        <v>1</v>
      </c>
      <c r="U1153" s="33">
        <f t="shared" si="546"/>
        <v>0</v>
      </c>
      <c r="V1153" s="33">
        <f t="shared" si="547"/>
        <v>-0.5</v>
      </c>
      <c r="W1153" s="33">
        <f t="shared" si="548"/>
        <v>298.46620000000001</v>
      </c>
      <c r="X1153" s="33">
        <v>96485</v>
      </c>
      <c r="Y1153" s="16">
        <f t="shared" si="549"/>
        <v>-161.63471776703693</v>
      </c>
      <c r="Z1153" s="16">
        <v>4</v>
      </c>
      <c r="AA1153" s="16">
        <v>9</v>
      </c>
      <c r="AB1153" s="8">
        <f t="shared" si="550"/>
        <v>0.2807017543859649</v>
      </c>
      <c r="AC1153" s="16">
        <f t="shared" si="544"/>
        <v>57.197101210772317</v>
      </c>
      <c r="AD1153" s="20">
        <f>'PFAS Properties'!$W$54</f>
        <v>4</v>
      </c>
      <c r="AE1153" s="8">
        <f>'PFAS Properties'!$S$54</f>
        <v>4.4252080511386565</v>
      </c>
      <c r="AF1153" s="2">
        <f>'PFAS Properties'!$V$54</f>
        <v>2.2000000000000002</v>
      </c>
      <c r="AG1153" s="24">
        <v>6.2</v>
      </c>
      <c r="AH1153" s="2" t="s">
        <v>183</v>
      </c>
      <c r="AI1153" s="2" t="s">
        <v>661</v>
      </c>
      <c r="AJ1153" s="2" t="s">
        <v>661</v>
      </c>
      <c r="AK1153" s="2" t="s">
        <v>661</v>
      </c>
      <c r="AL1153" s="2" t="s">
        <v>661</v>
      </c>
      <c r="AM1153" s="2" t="s">
        <v>661</v>
      </c>
      <c r="AN1153" s="2" t="s">
        <v>661</v>
      </c>
      <c r="AO1153" s="2" t="s">
        <v>661</v>
      </c>
      <c r="AP1153" s="15">
        <v>8</v>
      </c>
      <c r="AQ1153" s="2" t="s">
        <v>661</v>
      </c>
      <c r="AR1153" s="16">
        <v>51.44</v>
      </c>
      <c r="AS1153" s="16">
        <v>10.17</v>
      </c>
      <c r="AT1153" s="16">
        <v>38.380000000000003</v>
      </c>
      <c r="AU1153" s="2" t="s">
        <v>661</v>
      </c>
      <c r="AV1153" s="16">
        <f t="shared" si="545"/>
        <v>99.990000000000009</v>
      </c>
      <c r="AW1153" s="20">
        <v>0.08</v>
      </c>
      <c r="AX1153" s="8">
        <f t="shared" si="551"/>
        <v>8.0000000000000004E-4</v>
      </c>
      <c r="AY1153" s="8" t="s">
        <v>184</v>
      </c>
      <c r="AZ1153" s="16">
        <v>100</v>
      </c>
      <c r="BA1153" s="16" t="s">
        <v>55</v>
      </c>
      <c r="BB1153" s="16">
        <v>5</v>
      </c>
      <c r="BC1153" s="16" t="s">
        <v>55</v>
      </c>
      <c r="BD1153" s="20">
        <v>0.27</v>
      </c>
      <c r="BE1153" s="16">
        <f t="shared" si="552"/>
        <v>337.5</v>
      </c>
      <c r="BF1153" s="16">
        <f t="shared" si="553"/>
        <v>2.5282737771670436</v>
      </c>
      <c r="BG1153" s="8">
        <f t="shared" si="554"/>
        <v>-0.56863623584101264</v>
      </c>
      <c r="BH1153" s="13" t="s">
        <v>345</v>
      </c>
      <c r="BI1153" s="13"/>
      <c r="BJ1153" s="13"/>
      <c r="BK1153" s="13"/>
      <c r="BL1153" s="13"/>
      <c r="BM1153" s="17"/>
      <c r="BN1153" s="17"/>
      <c r="BO1153" s="2"/>
    </row>
    <row r="1154" spans="1:67" s="14" customFormat="1" x14ac:dyDescent="0.3">
      <c r="A1154" s="20">
        <v>1176</v>
      </c>
      <c r="B1154" s="2" t="s">
        <v>181</v>
      </c>
      <c r="C1154" s="2">
        <v>2020</v>
      </c>
      <c r="D1154" s="2" t="s">
        <v>203</v>
      </c>
      <c r="E1154" s="10" t="s">
        <v>787</v>
      </c>
      <c r="F1154" s="20" t="s">
        <v>29</v>
      </c>
      <c r="G1154" s="2" t="s">
        <v>59</v>
      </c>
      <c r="H1154" s="2" t="str">
        <f>'PFAS Properties'!$B$54</f>
        <v>FBSA</v>
      </c>
      <c r="I1154" s="2" t="str">
        <f>'PFAS Properties'!$C$54</f>
        <v>FOSA</v>
      </c>
      <c r="J1154" s="2" t="str">
        <f>'PFAS Properties'!$D$54</f>
        <v>C4H2F9NO2S</v>
      </c>
      <c r="K1154" s="25">
        <f>'PFAS Properties'!$P$54</f>
        <v>298.96620000000001</v>
      </c>
      <c r="L1154" s="2">
        <f>'PFAS Properties'!$X$54</f>
        <v>6.2</v>
      </c>
      <c r="M1154" s="2" t="str">
        <f>'PFAS Properties'!$Y$54</f>
        <v>-</v>
      </c>
      <c r="N1154" s="33">
        <v>0</v>
      </c>
      <c r="O1154" s="33">
        <v>0</v>
      </c>
      <c r="P1154" s="33">
        <v>0</v>
      </c>
      <c r="Q1154" s="33">
        <f t="shared" si="541"/>
        <v>0.9693465699682845</v>
      </c>
      <c r="R1154" s="33">
        <v>0</v>
      </c>
      <c r="S1154" s="33">
        <f t="shared" si="542"/>
        <v>3.0653430031715501E-2</v>
      </c>
      <c r="T1154" s="8">
        <f t="shared" si="543"/>
        <v>1</v>
      </c>
      <c r="U1154" s="33">
        <f t="shared" si="546"/>
        <v>0</v>
      </c>
      <c r="V1154" s="33">
        <f t="shared" si="547"/>
        <v>-0.9693465699682845</v>
      </c>
      <c r="W1154" s="33">
        <f t="shared" si="548"/>
        <v>297.99685343003171</v>
      </c>
      <c r="X1154" s="33">
        <v>96485</v>
      </c>
      <c r="Y1154" s="16">
        <f t="shared" si="549"/>
        <v>-313.8536623016717</v>
      </c>
      <c r="Z1154" s="16">
        <v>4</v>
      </c>
      <c r="AA1154" s="16">
        <v>9</v>
      </c>
      <c r="AB1154" s="8">
        <f t="shared" si="550"/>
        <v>0.2807017543859649</v>
      </c>
      <c r="AC1154" s="16">
        <f t="shared" si="544"/>
        <v>57.197101210772317</v>
      </c>
      <c r="AD1154" s="20">
        <f>'PFAS Properties'!$W$54</f>
        <v>4</v>
      </c>
      <c r="AE1154" s="8">
        <f>'PFAS Properties'!$S$54</f>
        <v>4.4252080511386565</v>
      </c>
      <c r="AF1154" s="2">
        <f>'PFAS Properties'!$V$54</f>
        <v>2.2000000000000002</v>
      </c>
      <c r="AG1154" s="24">
        <v>7.7</v>
      </c>
      <c r="AH1154" s="2" t="s">
        <v>183</v>
      </c>
      <c r="AI1154" s="2" t="s">
        <v>661</v>
      </c>
      <c r="AJ1154" s="2" t="s">
        <v>661</v>
      </c>
      <c r="AK1154" s="2" t="s">
        <v>661</v>
      </c>
      <c r="AL1154" s="2" t="s">
        <v>661</v>
      </c>
      <c r="AM1154" s="2" t="s">
        <v>661</v>
      </c>
      <c r="AN1154" s="2" t="s">
        <v>661</v>
      </c>
      <c r="AO1154" s="2" t="s">
        <v>661</v>
      </c>
      <c r="AP1154" s="15">
        <v>4.8</v>
      </c>
      <c r="AQ1154" s="2" t="s">
        <v>661</v>
      </c>
      <c r="AR1154" s="16">
        <v>46</v>
      </c>
      <c r="AS1154" s="16">
        <v>37</v>
      </c>
      <c r="AT1154" s="16">
        <v>17</v>
      </c>
      <c r="AU1154" s="2" t="s">
        <v>661</v>
      </c>
      <c r="AV1154" s="16">
        <f t="shared" si="545"/>
        <v>100</v>
      </c>
      <c r="AW1154" s="20">
        <v>0.25</v>
      </c>
      <c r="AX1154" s="8">
        <f t="shared" si="551"/>
        <v>2.5000000000000001E-3</v>
      </c>
      <c r="AY1154" s="13" t="s">
        <v>184</v>
      </c>
      <c r="AZ1154" s="16">
        <v>100</v>
      </c>
      <c r="BA1154" s="16" t="s">
        <v>55</v>
      </c>
      <c r="BB1154" s="16">
        <v>5</v>
      </c>
      <c r="BC1154" s="16" t="s">
        <v>55</v>
      </c>
      <c r="BD1154" s="18">
        <v>0.16</v>
      </c>
      <c r="BE1154" s="16">
        <f t="shared" si="552"/>
        <v>64</v>
      </c>
      <c r="BF1154" s="16">
        <f t="shared" si="553"/>
        <v>1.8061799739838871</v>
      </c>
      <c r="BG1154" s="8">
        <f t="shared" si="554"/>
        <v>-0.79588001734407521</v>
      </c>
      <c r="BH1154" s="13" t="s">
        <v>345</v>
      </c>
      <c r="BI1154" s="13"/>
      <c r="BJ1154" s="13"/>
      <c r="BK1154" s="13"/>
      <c r="BL1154" s="13"/>
      <c r="BM1154" s="17"/>
      <c r="BN1154" s="17"/>
      <c r="BO1154" s="2"/>
    </row>
    <row r="1155" spans="1:67" s="14" customFormat="1" x14ac:dyDescent="0.3">
      <c r="A1155" s="20">
        <v>1177</v>
      </c>
      <c r="B1155" s="2" t="s">
        <v>181</v>
      </c>
      <c r="C1155" s="2">
        <v>2020</v>
      </c>
      <c r="D1155" s="2" t="s">
        <v>203</v>
      </c>
      <c r="E1155" s="10" t="s">
        <v>787</v>
      </c>
      <c r="F1155" s="20" t="s">
        <v>29</v>
      </c>
      <c r="G1155" s="2" t="s">
        <v>61</v>
      </c>
      <c r="H1155" s="2" t="str">
        <f>'PFAS Properties'!$B$54</f>
        <v>FBSA</v>
      </c>
      <c r="I1155" s="2" t="str">
        <f>'PFAS Properties'!$C$54</f>
        <v>FOSA</v>
      </c>
      <c r="J1155" s="2" t="str">
        <f>'PFAS Properties'!$D$54</f>
        <v>C4H2F9NO2S</v>
      </c>
      <c r="K1155" s="25">
        <f>'PFAS Properties'!$P$54</f>
        <v>298.96620000000001</v>
      </c>
      <c r="L1155" s="2">
        <f>'PFAS Properties'!$X$54</f>
        <v>6.2</v>
      </c>
      <c r="M1155" s="2" t="str">
        <f>'PFAS Properties'!$Y$54</f>
        <v>-</v>
      </c>
      <c r="N1155" s="33">
        <v>0</v>
      </c>
      <c r="O1155" s="33">
        <v>0</v>
      </c>
      <c r="P1155" s="33">
        <v>0</v>
      </c>
      <c r="Q1155" s="33">
        <f t="shared" si="541"/>
        <v>0.94064905689723244</v>
      </c>
      <c r="R1155" s="33">
        <v>0</v>
      </c>
      <c r="S1155" s="33">
        <f t="shared" si="542"/>
        <v>5.9350943102767569E-2</v>
      </c>
      <c r="T1155" s="8">
        <f t="shared" si="543"/>
        <v>1</v>
      </c>
      <c r="U1155" s="33">
        <f t="shared" si="546"/>
        <v>0</v>
      </c>
      <c r="V1155" s="33">
        <f t="shared" si="547"/>
        <v>-0.94064905689723244</v>
      </c>
      <c r="W1155" s="33">
        <f t="shared" si="548"/>
        <v>298.02555094310281</v>
      </c>
      <c r="X1155" s="33">
        <v>96485</v>
      </c>
      <c r="Y1155" s="16">
        <f t="shared" si="549"/>
        <v>-304.53269515826355</v>
      </c>
      <c r="Z1155" s="16">
        <v>4</v>
      </c>
      <c r="AA1155" s="16">
        <v>9</v>
      </c>
      <c r="AB1155" s="8">
        <f t="shared" si="550"/>
        <v>0.2807017543859649</v>
      </c>
      <c r="AC1155" s="16">
        <f t="shared" si="544"/>
        <v>57.197101210772317</v>
      </c>
      <c r="AD1155" s="20">
        <f>'PFAS Properties'!$W$54</f>
        <v>4</v>
      </c>
      <c r="AE1155" s="8">
        <f>'PFAS Properties'!$S$54</f>
        <v>4.4252080511386565</v>
      </c>
      <c r="AF1155" s="2">
        <f>'PFAS Properties'!$V$54</f>
        <v>2.2000000000000002</v>
      </c>
      <c r="AG1155" s="24">
        <v>7.4</v>
      </c>
      <c r="AH1155" s="2" t="s">
        <v>183</v>
      </c>
      <c r="AI1155" s="2" t="s">
        <v>661</v>
      </c>
      <c r="AJ1155" s="2" t="s">
        <v>661</v>
      </c>
      <c r="AK1155" s="2" t="s">
        <v>661</v>
      </c>
      <c r="AL1155" s="2" t="s">
        <v>661</v>
      </c>
      <c r="AM1155" s="2" t="s">
        <v>661</v>
      </c>
      <c r="AN1155" s="2" t="s">
        <v>661</v>
      </c>
      <c r="AO1155" s="2" t="s">
        <v>661</v>
      </c>
      <c r="AP1155" s="15">
        <v>29.6</v>
      </c>
      <c r="AQ1155" s="2" t="s">
        <v>661</v>
      </c>
      <c r="AR1155" s="16">
        <v>39.799999999999997</v>
      </c>
      <c r="AS1155" s="16">
        <v>7.7</v>
      </c>
      <c r="AT1155" s="16">
        <v>52.5</v>
      </c>
      <c r="AU1155" s="2" t="s">
        <v>661</v>
      </c>
      <c r="AV1155" s="16">
        <f t="shared" si="545"/>
        <v>100</v>
      </c>
      <c r="AW1155" s="20">
        <v>2.23</v>
      </c>
      <c r="AX1155" s="8">
        <f t="shared" si="551"/>
        <v>2.23E-2</v>
      </c>
      <c r="AY1155" s="8" t="s">
        <v>184</v>
      </c>
      <c r="AZ1155" s="16">
        <v>100</v>
      </c>
      <c r="BA1155" s="16" t="s">
        <v>55</v>
      </c>
      <c r="BB1155" s="16">
        <v>5</v>
      </c>
      <c r="BC1155" s="16" t="s">
        <v>55</v>
      </c>
      <c r="BD1155" s="20">
        <v>0.25</v>
      </c>
      <c r="BE1155" s="16">
        <f t="shared" si="552"/>
        <v>11.210762331838565</v>
      </c>
      <c r="BF1155" s="16">
        <f t="shared" si="553"/>
        <v>1.0496351456238768</v>
      </c>
      <c r="BG1155" s="8">
        <f t="shared" si="554"/>
        <v>-0.6020599913279624</v>
      </c>
      <c r="BH1155" s="13" t="s">
        <v>345</v>
      </c>
      <c r="BI1155" s="13"/>
      <c r="BJ1155" s="13"/>
      <c r="BK1155" s="13"/>
      <c r="BL1155" s="13"/>
      <c r="BM1155" s="17"/>
      <c r="BN1155" s="17"/>
      <c r="BO1155" s="2"/>
    </row>
    <row r="1156" spans="1:67" s="14" customFormat="1" x14ac:dyDescent="0.3">
      <c r="A1156" s="20">
        <v>1178</v>
      </c>
      <c r="B1156" s="2" t="s">
        <v>181</v>
      </c>
      <c r="C1156" s="2">
        <v>2020</v>
      </c>
      <c r="D1156" s="2" t="s">
        <v>203</v>
      </c>
      <c r="E1156" s="10" t="s">
        <v>787</v>
      </c>
      <c r="F1156" s="20" t="s">
        <v>29</v>
      </c>
      <c r="G1156" s="2" t="s">
        <v>60</v>
      </c>
      <c r="H1156" s="2" t="str">
        <f>'PFAS Properties'!$B$54</f>
        <v>FBSA</v>
      </c>
      <c r="I1156" s="2" t="str">
        <f>'PFAS Properties'!$C$54</f>
        <v>FOSA</v>
      </c>
      <c r="J1156" s="2" t="str">
        <f>'PFAS Properties'!$D$54</f>
        <v>C4H2F9NO2S</v>
      </c>
      <c r="K1156" s="25">
        <f>'PFAS Properties'!$P$54</f>
        <v>298.96620000000001</v>
      </c>
      <c r="L1156" s="2">
        <f>'PFAS Properties'!$X$54</f>
        <v>6.2</v>
      </c>
      <c r="M1156" s="2" t="str">
        <f>'PFAS Properties'!$Y$54</f>
        <v>-</v>
      </c>
      <c r="N1156" s="33">
        <v>0</v>
      </c>
      <c r="O1156" s="33">
        <v>0</v>
      </c>
      <c r="P1156" s="33">
        <v>0</v>
      </c>
      <c r="Q1156" s="33">
        <f t="shared" si="541"/>
        <v>0.9693465699682845</v>
      </c>
      <c r="R1156" s="33">
        <v>0</v>
      </c>
      <c r="S1156" s="33">
        <f t="shared" si="542"/>
        <v>3.0653430031715501E-2</v>
      </c>
      <c r="T1156" s="8">
        <f t="shared" si="543"/>
        <v>1</v>
      </c>
      <c r="U1156" s="33">
        <f t="shared" si="546"/>
        <v>0</v>
      </c>
      <c r="V1156" s="33">
        <f t="shared" si="547"/>
        <v>-0.9693465699682845</v>
      </c>
      <c r="W1156" s="33">
        <f t="shared" si="548"/>
        <v>297.99685343003171</v>
      </c>
      <c r="X1156" s="33">
        <v>96485</v>
      </c>
      <c r="Y1156" s="16">
        <f t="shared" si="549"/>
        <v>-313.8536623016717</v>
      </c>
      <c r="Z1156" s="16">
        <v>4</v>
      </c>
      <c r="AA1156" s="16">
        <v>9</v>
      </c>
      <c r="AB1156" s="8">
        <f t="shared" si="550"/>
        <v>0.2807017543859649</v>
      </c>
      <c r="AC1156" s="16">
        <f t="shared" si="544"/>
        <v>57.197101210772317</v>
      </c>
      <c r="AD1156" s="20">
        <f>'PFAS Properties'!$W$54</f>
        <v>4</v>
      </c>
      <c r="AE1156" s="8">
        <f>'PFAS Properties'!$S$54</f>
        <v>4.4252080511386565</v>
      </c>
      <c r="AF1156" s="2">
        <f>'PFAS Properties'!$V$54</f>
        <v>2.2000000000000002</v>
      </c>
      <c r="AG1156" s="24">
        <v>7.7</v>
      </c>
      <c r="AH1156" s="2" t="s">
        <v>183</v>
      </c>
      <c r="AI1156" s="2" t="s">
        <v>661</v>
      </c>
      <c r="AJ1156" s="2" t="s">
        <v>661</v>
      </c>
      <c r="AK1156" s="2" t="s">
        <v>661</v>
      </c>
      <c r="AL1156" s="2" t="s">
        <v>661</v>
      </c>
      <c r="AM1156" s="2" t="s">
        <v>661</v>
      </c>
      <c r="AN1156" s="2" t="s">
        <v>661</v>
      </c>
      <c r="AO1156" s="2" t="s">
        <v>661</v>
      </c>
      <c r="AP1156" s="15">
        <v>21.63</v>
      </c>
      <c r="AQ1156" s="2" t="s">
        <v>661</v>
      </c>
      <c r="AR1156" s="16">
        <v>70</v>
      </c>
      <c r="AS1156" s="16">
        <v>11</v>
      </c>
      <c r="AT1156" s="16">
        <v>19</v>
      </c>
      <c r="AU1156" s="2" t="s">
        <v>661</v>
      </c>
      <c r="AV1156" s="16">
        <f t="shared" si="545"/>
        <v>100</v>
      </c>
      <c r="AW1156" s="20">
        <v>4.9000000000000004</v>
      </c>
      <c r="AX1156" s="8">
        <f t="shared" si="551"/>
        <v>4.9000000000000002E-2</v>
      </c>
      <c r="AY1156" s="8" t="s">
        <v>184</v>
      </c>
      <c r="AZ1156" s="16">
        <v>100</v>
      </c>
      <c r="BA1156" s="16" t="s">
        <v>55</v>
      </c>
      <c r="BB1156" s="16">
        <v>5</v>
      </c>
      <c r="BC1156" s="16" t="s">
        <v>55</v>
      </c>
      <c r="BD1156" s="20">
        <v>0.46</v>
      </c>
      <c r="BE1156" s="16">
        <f t="shared" si="552"/>
        <v>9.387755102040817</v>
      </c>
      <c r="BF1156" s="16">
        <f t="shared" si="553"/>
        <v>0.97256175165306047</v>
      </c>
      <c r="BG1156" s="8">
        <f t="shared" si="554"/>
        <v>-0.33724216831842591</v>
      </c>
      <c r="BH1156" s="13" t="s">
        <v>345</v>
      </c>
      <c r="BI1156" s="13"/>
      <c r="BJ1156" s="13"/>
      <c r="BK1156" s="13"/>
      <c r="BL1156" s="13"/>
      <c r="BM1156" s="17"/>
      <c r="BN1156" s="17"/>
      <c r="BO1156" s="2"/>
    </row>
    <row r="1157" spans="1:67" s="14" customFormat="1" x14ac:dyDescent="0.3">
      <c r="A1157" s="20">
        <v>1179</v>
      </c>
      <c r="B1157" s="2" t="s">
        <v>181</v>
      </c>
      <c r="C1157" s="2">
        <v>2020</v>
      </c>
      <c r="D1157" s="2" t="s">
        <v>203</v>
      </c>
      <c r="E1157" s="10" t="s">
        <v>787</v>
      </c>
      <c r="F1157" s="20" t="s">
        <v>29</v>
      </c>
      <c r="G1157" s="2" t="s">
        <v>77</v>
      </c>
      <c r="H1157" s="2" t="str">
        <f>'PFAS Properties'!$B$54</f>
        <v>FBSA</v>
      </c>
      <c r="I1157" s="2" t="str">
        <f>'PFAS Properties'!$C$54</f>
        <v>FOSA</v>
      </c>
      <c r="J1157" s="2" t="str">
        <f>'PFAS Properties'!$D$54</f>
        <v>C4H2F9NO2S</v>
      </c>
      <c r="K1157" s="25">
        <f>'PFAS Properties'!$P$54</f>
        <v>298.96620000000001</v>
      </c>
      <c r="L1157" s="2">
        <f>'PFAS Properties'!$X$54</f>
        <v>6.2</v>
      </c>
      <c r="M1157" s="2" t="str">
        <f>'PFAS Properties'!$Y$54</f>
        <v>-</v>
      </c>
      <c r="N1157" s="33">
        <v>0</v>
      </c>
      <c r="O1157" s="33">
        <v>0</v>
      </c>
      <c r="P1157" s="33">
        <v>0</v>
      </c>
      <c r="Q1157" s="33">
        <f t="shared" si="541"/>
        <v>0.9693465699682845</v>
      </c>
      <c r="R1157" s="33">
        <v>0</v>
      </c>
      <c r="S1157" s="33">
        <f t="shared" si="542"/>
        <v>3.0653430031715501E-2</v>
      </c>
      <c r="T1157" s="8">
        <f t="shared" si="543"/>
        <v>1</v>
      </c>
      <c r="U1157" s="33">
        <f t="shared" si="546"/>
        <v>0</v>
      </c>
      <c r="V1157" s="33">
        <f t="shared" si="547"/>
        <v>-0.9693465699682845</v>
      </c>
      <c r="W1157" s="33">
        <f t="shared" si="548"/>
        <v>297.99685343003171</v>
      </c>
      <c r="X1157" s="33">
        <v>96485</v>
      </c>
      <c r="Y1157" s="16">
        <f t="shared" si="549"/>
        <v>-313.8536623016717</v>
      </c>
      <c r="Z1157" s="16">
        <v>4</v>
      </c>
      <c r="AA1157" s="16">
        <v>9</v>
      </c>
      <c r="AB1157" s="8">
        <f t="shared" si="550"/>
        <v>0.2807017543859649</v>
      </c>
      <c r="AC1157" s="16">
        <f t="shared" si="544"/>
        <v>57.197101210772317</v>
      </c>
      <c r="AD1157" s="20">
        <f>'PFAS Properties'!$W$54</f>
        <v>4</v>
      </c>
      <c r="AE1157" s="8">
        <f>'PFAS Properties'!$S$54</f>
        <v>4.4252080511386565</v>
      </c>
      <c r="AF1157" s="2">
        <f>'PFAS Properties'!$V$54</f>
        <v>2.2000000000000002</v>
      </c>
      <c r="AG1157" s="24">
        <v>7.7</v>
      </c>
      <c r="AH1157" s="2" t="s">
        <v>183</v>
      </c>
      <c r="AI1157" s="2" t="s">
        <v>661</v>
      </c>
      <c r="AJ1157" s="2" t="s">
        <v>661</v>
      </c>
      <c r="AK1157" s="2" t="s">
        <v>661</v>
      </c>
      <c r="AL1157" s="2" t="s">
        <v>661</v>
      </c>
      <c r="AM1157" s="2" t="s">
        <v>661</v>
      </c>
      <c r="AN1157" s="2" t="s">
        <v>661</v>
      </c>
      <c r="AO1157" s="2" t="s">
        <v>661</v>
      </c>
      <c r="AP1157" s="15">
        <v>7.8</v>
      </c>
      <c r="AQ1157" s="2" t="s">
        <v>661</v>
      </c>
      <c r="AR1157" s="16">
        <v>48.9</v>
      </c>
      <c r="AS1157" s="16">
        <v>32.6</v>
      </c>
      <c r="AT1157" s="16">
        <v>18.5</v>
      </c>
      <c r="AU1157" s="2" t="s">
        <v>661</v>
      </c>
      <c r="AV1157" s="16">
        <f t="shared" si="545"/>
        <v>100</v>
      </c>
      <c r="AW1157" s="20">
        <v>0.13</v>
      </c>
      <c r="AX1157" s="8">
        <f t="shared" si="551"/>
        <v>1.2999999999999999E-3</v>
      </c>
      <c r="AY1157" s="8" t="s">
        <v>184</v>
      </c>
      <c r="AZ1157" s="16">
        <v>100</v>
      </c>
      <c r="BA1157" s="16" t="s">
        <v>55</v>
      </c>
      <c r="BB1157" s="16">
        <v>5</v>
      </c>
      <c r="BC1157" s="16" t="s">
        <v>55</v>
      </c>
      <c r="BD1157" s="20">
        <v>0.19</v>
      </c>
      <c r="BE1157" s="16">
        <f t="shared" si="552"/>
        <v>146.15384615384616</v>
      </c>
      <c r="BF1157" s="16">
        <f t="shared" si="553"/>
        <v>2.1648102486459924</v>
      </c>
      <c r="BG1157" s="8">
        <f t="shared" si="554"/>
        <v>-0.72124639904717103</v>
      </c>
      <c r="BH1157" s="13" t="s">
        <v>345</v>
      </c>
      <c r="BI1157" s="13"/>
      <c r="BJ1157" s="13"/>
      <c r="BK1157" s="13"/>
      <c r="BL1157" s="13"/>
      <c r="BM1157" s="17"/>
      <c r="BN1157" s="17"/>
      <c r="BO1157" s="2"/>
    </row>
    <row r="1158" spans="1:67" s="14" customFormat="1" x14ac:dyDescent="0.3">
      <c r="A1158" s="20">
        <v>1180</v>
      </c>
      <c r="B1158" s="2" t="s">
        <v>181</v>
      </c>
      <c r="C1158" s="2">
        <v>2020</v>
      </c>
      <c r="D1158" s="2" t="s">
        <v>203</v>
      </c>
      <c r="E1158" s="10" t="s">
        <v>787</v>
      </c>
      <c r="F1158" s="20" t="s">
        <v>29</v>
      </c>
      <c r="G1158" s="2" t="s">
        <v>182</v>
      </c>
      <c r="H1158" s="2" t="str">
        <f>'PFAS Properties'!$B$54</f>
        <v>FBSA</v>
      </c>
      <c r="I1158" s="2" t="str">
        <f>'PFAS Properties'!$C$54</f>
        <v>FOSA</v>
      </c>
      <c r="J1158" s="2" t="str">
        <f>'PFAS Properties'!$D$54</f>
        <v>C4H2F9NO2S</v>
      </c>
      <c r="K1158" s="25">
        <f>'PFAS Properties'!$P$54</f>
        <v>298.96620000000001</v>
      </c>
      <c r="L1158" s="2">
        <f>'PFAS Properties'!$X$54</f>
        <v>6.2</v>
      </c>
      <c r="M1158" s="2" t="str">
        <f>'PFAS Properties'!$Y$54</f>
        <v>-</v>
      </c>
      <c r="N1158" s="33">
        <v>0</v>
      </c>
      <c r="O1158" s="33">
        <v>0</v>
      </c>
      <c r="P1158" s="33">
        <v>0</v>
      </c>
      <c r="Q1158" s="33">
        <f t="shared" si="541"/>
        <v>0.95227327896579606</v>
      </c>
      <c r="R1158" s="33">
        <v>0</v>
      </c>
      <c r="S1158" s="33">
        <f t="shared" si="542"/>
        <v>4.7726721034203903E-2</v>
      </c>
      <c r="T1158" s="8">
        <f t="shared" si="543"/>
        <v>1</v>
      </c>
      <c r="U1158" s="33">
        <f t="shared" si="546"/>
        <v>0</v>
      </c>
      <c r="V1158" s="33">
        <f t="shared" si="547"/>
        <v>-0.95227327896579606</v>
      </c>
      <c r="W1158" s="33">
        <f t="shared" si="548"/>
        <v>298.01392672103418</v>
      </c>
      <c r="X1158" s="33">
        <v>96485</v>
      </c>
      <c r="Y1158" s="16">
        <f t="shared" si="549"/>
        <v>-308.30803221831383</v>
      </c>
      <c r="Z1158" s="16">
        <v>4</v>
      </c>
      <c r="AA1158" s="16">
        <v>9</v>
      </c>
      <c r="AB1158" s="8">
        <f t="shared" si="550"/>
        <v>0.2807017543859649</v>
      </c>
      <c r="AC1158" s="16">
        <f t="shared" si="544"/>
        <v>57.197101210772317</v>
      </c>
      <c r="AD1158" s="20">
        <f>'PFAS Properties'!$W$54</f>
        <v>4</v>
      </c>
      <c r="AE1158" s="8">
        <f>'PFAS Properties'!$S$54</f>
        <v>4.4252080511386565</v>
      </c>
      <c r="AF1158" s="2">
        <f>'PFAS Properties'!$V$54</f>
        <v>2.2000000000000002</v>
      </c>
      <c r="AG1158" s="24">
        <v>7.5</v>
      </c>
      <c r="AH1158" s="2" t="s">
        <v>183</v>
      </c>
      <c r="AI1158" s="2" t="s">
        <v>661</v>
      </c>
      <c r="AJ1158" s="2" t="s">
        <v>661</v>
      </c>
      <c r="AK1158" s="2" t="s">
        <v>661</v>
      </c>
      <c r="AL1158" s="2" t="s">
        <v>661</v>
      </c>
      <c r="AM1158" s="2" t="s">
        <v>661</v>
      </c>
      <c r="AN1158" s="2" t="s">
        <v>661</v>
      </c>
      <c r="AO1158" s="2" t="s">
        <v>661</v>
      </c>
      <c r="AP1158" s="15">
        <v>2.2799999999999998</v>
      </c>
      <c r="AQ1158" s="2" t="s">
        <v>661</v>
      </c>
      <c r="AR1158" s="16">
        <v>93</v>
      </c>
      <c r="AS1158" s="16">
        <v>1</v>
      </c>
      <c r="AT1158" s="16">
        <v>5</v>
      </c>
      <c r="AU1158" s="2" t="s">
        <v>661</v>
      </c>
      <c r="AV1158" s="16">
        <f t="shared" si="545"/>
        <v>99</v>
      </c>
      <c r="AW1158" s="20">
        <v>0.4</v>
      </c>
      <c r="AX1158" s="8">
        <f t="shared" si="551"/>
        <v>4.0000000000000001E-3</v>
      </c>
      <c r="AY1158" s="8" t="s">
        <v>184</v>
      </c>
      <c r="AZ1158" s="16">
        <v>100</v>
      </c>
      <c r="BA1158" s="16" t="s">
        <v>55</v>
      </c>
      <c r="BB1158" s="16">
        <v>5</v>
      </c>
      <c r="BC1158" s="16" t="s">
        <v>55</v>
      </c>
      <c r="BD1158" s="20">
        <v>0.14000000000000001</v>
      </c>
      <c r="BE1158" s="16">
        <f t="shared" si="552"/>
        <v>35</v>
      </c>
      <c r="BF1158" s="16">
        <f t="shared" si="553"/>
        <v>1.5440680443502757</v>
      </c>
      <c r="BG1158" s="8">
        <f t="shared" si="554"/>
        <v>-0.85387196432176193</v>
      </c>
      <c r="BH1158" s="13" t="s">
        <v>345</v>
      </c>
      <c r="BI1158" s="13"/>
      <c r="BJ1158" s="13"/>
      <c r="BK1158" s="13"/>
      <c r="BL1158" s="13"/>
      <c r="BM1158" s="17"/>
      <c r="BN1158" s="17"/>
      <c r="BO1158" s="2"/>
    </row>
    <row r="1159" spans="1:67" s="14" customFormat="1" x14ac:dyDescent="0.3">
      <c r="A1159" s="20">
        <v>1181</v>
      </c>
      <c r="B1159" s="2" t="s">
        <v>181</v>
      </c>
      <c r="C1159" s="2">
        <v>2020</v>
      </c>
      <c r="D1159" s="2" t="s">
        <v>203</v>
      </c>
      <c r="E1159" s="10" t="s">
        <v>787</v>
      </c>
      <c r="F1159" s="20" t="s">
        <v>29</v>
      </c>
      <c r="G1159" s="2" t="s">
        <v>78</v>
      </c>
      <c r="H1159" s="2" t="str">
        <f>'PFAS Properties'!$B$54</f>
        <v>FBSA</v>
      </c>
      <c r="I1159" s="2" t="str">
        <f>'PFAS Properties'!$C$54</f>
        <v>FOSA</v>
      </c>
      <c r="J1159" s="2" t="str">
        <f>'PFAS Properties'!$D$54</f>
        <v>C4H2F9NO2S</v>
      </c>
      <c r="K1159" s="25">
        <f>'PFAS Properties'!$P$54</f>
        <v>298.96620000000001</v>
      </c>
      <c r="L1159" s="2">
        <f>'PFAS Properties'!$X$54</f>
        <v>6.2</v>
      </c>
      <c r="M1159" s="2" t="str">
        <f>'PFAS Properties'!$Y$54</f>
        <v>-</v>
      </c>
      <c r="N1159" s="33">
        <v>0</v>
      </c>
      <c r="O1159" s="33">
        <v>0</v>
      </c>
      <c r="P1159" s="33">
        <v>0</v>
      </c>
      <c r="Q1159" s="33">
        <f t="shared" si="541"/>
        <v>0.88818423022188298</v>
      </c>
      <c r="R1159" s="33">
        <v>0</v>
      </c>
      <c r="S1159" s="33">
        <f t="shared" si="542"/>
        <v>0.11181576977811705</v>
      </c>
      <c r="T1159" s="8">
        <f t="shared" si="543"/>
        <v>1</v>
      </c>
      <c r="U1159" s="33">
        <f t="shared" si="546"/>
        <v>0</v>
      </c>
      <c r="V1159" s="33">
        <f t="shared" si="547"/>
        <v>-0.88818423022188298</v>
      </c>
      <c r="W1159" s="33">
        <f t="shared" si="548"/>
        <v>298.07801576977812</v>
      </c>
      <c r="X1159" s="33">
        <v>96485</v>
      </c>
      <c r="Y1159" s="16">
        <f t="shared" si="549"/>
        <v>-287.49673212782795</v>
      </c>
      <c r="Z1159" s="16">
        <v>4</v>
      </c>
      <c r="AA1159" s="16">
        <v>9</v>
      </c>
      <c r="AB1159" s="8">
        <f t="shared" si="550"/>
        <v>0.2807017543859649</v>
      </c>
      <c r="AC1159" s="16">
        <f t="shared" si="544"/>
        <v>57.197101210772317</v>
      </c>
      <c r="AD1159" s="20">
        <f>'PFAS Properties'!$W$54</f>
        <v>4</v>
      </c>
      <c r="AE1159" s="8">
        <f>'PFAS Properties'!$S$54</f>
        <v>4.4252080511386565</v>
      </c>
      <c r="AF1159" s="2">
        <f>'PFAS Properties'!$V$54</f>
        <v>2.2000000000000002</v>
      </c>
      <c r="AG1159" s="24">
        <v>7.1</v>
      </c>
      <c r="AH1159" s="2" t="s">
        <v>183</v>
      </c>
      <c r="AI1159" s="2" t="s">
        <v>661</v>
      </c>
      <c r="AJ1159" s="2" t="s">
        <v>661</v>
      </c>
      <c r="AK1159" s="2" t="s">
        <v>661</v>
      </c>
      <c r="AL1159" s="2" t="s">
        <v>661</v>
      </c>
      <c r="AM1159" s="2" t="s">
        <v>661</v>
      </c>
      <c r="AN1159" s="2" t="s">
        <v>661</v>
      </c>
      <c r="AO1159" s="2" t="s">
        <v>661</v>
      </c>
      <c r="AP1159" s="15">
        <v>17.420000000000002</v>
      </c>
      <c r="AQ1159" s="2" t="s">
        <v>661</v>
      </c>
      <c r="AR1159" s="16">
        <v>48.86</v>
      </c>
      <c r="AS1159" s="16">
        <v>16.05</v>
      </c>
      <c r="AT1159" s="16">
        <v>35.090000000000003</v>
      </c>
      <c r="AU1159" s="2" t="s">
        <v>661</v>
      </c>
      <c r="AV1159" s="16">
        <f t="shared" si="545"/>
        <v>100</v>
      </c>
      <c r="AW1159" s="20">
        <v>1.19</v>
      </c>
      <c r="AX1159" s="8">
        <f t="shared" si="551"/>
        <v>1.1899999999999999E-2</v>
      </c>
      <c r="AY1159" s="8" t="s">
        <v>184</v>
      </c>
      <c r="AZ1159" s="16">
        <v>100</v>
      </c>
      <c r="BA1159" s="16" t="s">
        <v>55</v>
      </c>
      <c r="BB1159" s="16">
        <v>5</v>
      </c>
      <c r="BC1159" s="16" t="s">
        <v>55</v>
      </c>
      <c r="BD1159" s="20">
        <v>0.21</v>
      </c>
      <c r="BE1159" s="16">
        <f t="shared" si="552"/>
        <v>17.647058823529413</v>
      </c>
      <c r="BF1159" s="16">
        <f t="shared" si="553"/>
        <v>1.2466723333413885</v>
      </c>
      <c r="BG1159" s="8">
        <f t="shared" si="554"/>
        <v>-0.6777807052660807</v>
      </c>
      <c r="BH1159" s="13" t="s">
        <v>345</v>
      </c>
      <c r="BI1159" s="13"/>
      <c r="BJ1159" s="13"/>
      <c r="BK1159" s="13"/>
      <c r="BL1159" s="13"/>
      <c r="BM1159" s="17"/>
      <c r="BN1159" s="17"/>
      <c r="BO1159" s="2"/>
    </row>
    <row r="1160" spans="1:67" s="14" customFormat="1" x14ac:dyDescent="0.3">
      <c r="A1160" s="20">
        <v>1182</v>
      </c>
      <c r="B1160" s="2" t="s">
        <v>181</v>
      </c>
      <c r="C1160" s="2">
        <v>2020</v>
      </c>
      <c r="D1160" s="2" t="s">
        <v>203</v>
      </c>
      <c r="E1160" s="10" t="s">
        <v>787</v>
      </c>
      <c r="F1160" s="20" t="s">
        <v>29</v>
      </c>
      <c r="G1160" s="2" t="s">
        <v>98</v>
      </c>
      <c r="H1160" s="2" t="str">
        <f>'PFAS Properties'!$B$54</f>
        <v>FBSA</v>
      </c>
      <c r="I1160" s="2" t="str">
        <f>'PFAS Properties'!$C$54</f>
        <v>FOSA</v>
      </c>
      <c r="J1160" s="2" t="str">
        <f>'PFAS Properties'!$D$54</f>
        <v>C4H2F9NO2S</v>
      </c>
      <c r="K1160" s="25">
        <f>'PFAS Properties'!$P$54</f>
        <v>298.96620000000001</v>
      </c>
      <c r="L1160" s="2">
        <f>'PFAS Properties'!$X$54</f>
        <v>6.2</v>
      </c>
      <c r="M1160" s="2" t="str">
        <f>'PFAS Properties'!$Y$54</f>
        <v>-</v>
      </c>
      <c r="N1160" s="33">
        <v>0</v>
      </c>
      <c r="O1160" s="33">
        <v>0</v>
      </c>
      <c r="P1160" s="33">
        <v>0</v>
      </c>
      <c r="Q1160" s="33">
        <f t="shared" si="541"/>
        <v>0.61313682015314319</v>
      </c>
      <c r="R1160" s="33">
        <v>0</v>
      </c>
      <c r="S1160" s="33">
        <f t="shared" si="542"/>
        <v>0.38686317984685686</v>
      </c>
      <c r="T1160" s="8">
        <f t="shared" si="543"/>
        <v>1</v>
      </c>
      <c r="U1160" s="33">
        <f t="shared" si="546"/>
        <v>0</v>
      </c>
      <c r="V1160" s="33">
        <f t="shared" si="547"/>
        <v>-0.61313682015314319</v>
      </c>
      <c r="W1160" s="33">
        <f t="shared" si="548"/>
        <v>298.35306317984691</v>
      </c>
      <c r="X1160" s="33">
        <v>96485</v>
      </c>
      <c r="Y1160" s="16">
        <f t="shared" si="549"/>
        <v>-198.28355526826059</v>
      </c>
      <c r="Z1160" s="16">
        <v>4</v>
      </c>
      <c r="AA1160" s="16">
        <v>9</v>
      </c>
      <c r="AB1160" s="8">
        <f t="shared" si="550"/>
        <v>0.2807017543859649</v>
      </c>
      <c r="AC1160" s="16">
        <f t="shared" si="544"/>
        <v>57.197101210772317</v>
      </c>
      <c r="AD1160" s="20">
        <f>'PFAS Properties'!$W$54</f>
        <v>4</v>
      </c>
      <c r="AE1160" s="8">
        <f>'PFAS Properties'!$S$54</f>
        <v>4.4252080511386565</v>
      </c>
      <c r="AF1160" s="2">
        <f>'PFAS Properties'!$V$54</f>
        <v>2.2000000000000002</v>
      </c>
      <c r="AG1160" s="24">
        <v>6.4</v>
      </c>
      <c r="AH1160" s="2" t="s">
        <v>183</v>
      </c>
      <c r="AI1160" s="2" t="s">
        <v>661</v>
      </c>
      <c r="AJ1160" s="15" t="s">
        <v>661</v>
      </c>
      <c r="AK1160" s="8" t="s">
        <v>661</v>
      </c>
      <c r="AL1160" s="2" t="s">
        <v>661</v>
      </c>
      <c r="AM1160" s="15" t="s">
        <v>661</v>
      </c>
      <c r="AN1160" s="8" t="s">
        <v>661</v>
      </c>
      <c r="AO1160" s="15" t="s">
        <v>661</v>
      </c>
      <c r="AP1160" s="15">
        <v>16.54</v>
      </c>
      <c r="AQ1160" s="13" t="s">
        <v>661</v>
      </c>
      <c r="AR1160" s="16">
        <v>29.38</v>
      </c>
      <c r="AS1160" s="16">
        <v>13.9</v>
      </c>
      <c r="AT1160" s="16">
        <v>56.71</v>
      </c>
      <c r="AU1160" s="15" t="s">
        <v>661</v>
      </c>
      <c r="AV1160" s="16">
        <f t="shared" si="545"/>
        <v>99.990000000000009</v>
      </c>
      <c r="AW1160" s="20">
        <v>0.17</v>
      </c>
      <c r="AX1160" s="8">
        <f t="shared" si="551"/>
        <v>1.7000000000000001E-3</v>
      </c>
      <c r="AY1160" s="8" t="s">
        <v>184</v>
      </c>
      <c r="AZ1160" s="16">
        <v>100</v>
      </c>
      <c r="BA1160" s="16" t="s">
        <v>55</v>
      </c>
      <c r="BB1160" s="16">
        <v>5</v>
      </c>
      <c r="BC1160" s="16" t="s">
        <v>55</v>
      </c>
      <c r="BD1160" s="20">
        <v>0.32</v>
      </c>
      <c r="BE1160" s="16">
        <f t="shared" si="552"/>
        <v>188.23529411764704</v>
      </c>
      <c r="BF1160" s="16">
        <f t="shared" si="553"/>
        <v>2.2747010569416322</v>
      </c>
      <c r="BG1160" s="8">
        <f t="shared" si="554"/>
        <v>-0.49485002168009401</v>
      </c>
      <c r="BH1160" s="13" t="s">
        <v>345</v>
      </c>
      <c r="BI1160" s="13"/>
      <c r="BJ1160" s="13"/>
      <c r="BK1160" s="13"/>
      <c r="BL1160" s="13"/>
      <c r="BM1160" s="17"/>
      <c r="BN1160" s="17"/>
      <c r="BO1160" s="2"/>
    </row>
    <row r="1161" spans="1:67" s="14" customFormat="1" x14ac:dyDescent="0.3">
      <c r="A1161" s="20">
        <v>1183</v>
      </c>
      <c r="B1161" s="2" t="s">
        <v>181</v>
      </c>
      <c r="C1161" s="2">
        <v>2020</v>
      </c>
      <c r="D1161" s="2" t="s">
        <v>203</v>
      </c>
      <c r="E1161" s="10" t="s">
        <v>787</v>
      </c>
      <c r="F1161" s="20" t="s">
        <v>29</v>
      </c>
      <c r="G1161" s="2" t="s">
        <v>62</v>
      </c>
      <c r="H1161" s="2" t="str">
        <f>'PFAS Properties'!$B$55</f>
        <v>FHxSA</v>
      </c>
      <c r="I1161" s="2" t="str">
        <f>'PFAS Properties'!$C$55</f>
        <v>FOSA</v>
      </c>
      <c r="J1161" s="2" t="str">
        <f>'PFAS Properties'!$D$55</f>
        <v>C6H2F13NO2S</v>
      </c>
      <c r="K1161" s="25">
        <f>'PFAS Properties'!$P$55</f>
        <v>398.95980000000003</v>
      </c>
      <c r="L1161" s="2">
        <f>'PFAS Properties'!$X$55</f>
        <v>6.2</v>
      </c>
      <c r="M1161" s="2" t="str">
        <f>'PFAS Properties'!$Y$55</f>
        <v>-</v>
      </c>
      <c r="N1161" s="33">
        <v>0</v>
      </c>
      <c r="O1161" s="33">
        <v>0</v>
      </c>
      <c r="P1161" s="33">
        <v>0</v>
      </c>
      <c r="Q1161" s="33">
        <f t="shared" si="541"/>
        <v>0.95227327896579606</v>
      </c>
      <c r="R1161" s="33">
        <v>0</v>
      </c>
      <c r="S1161" s="33">
        <f t="shared" si="542"/>
        <v>4.7726721034203903E-2</v>
      </c>
      <c r="T1161" s="8">
        <f t="shared" si="543"/>
        <v>1</v>
      </c>
      <c r="U1161" s="33">
        <f t="shared" ref="U1161:U1208" si="555">((1*N1161)+(1*O1161)+(1*P1161))</f>
        <v>0</v>
      </c>
      <c r="V1161" s="33">
        <f t="shared" ref="V1161:V1208" si="556">-((1*O1161)+(2*P1161)+(1*Q1161)+(2*R1161))</f>
        <v>-0.95227327896579606</v>
      </c>
      <c r="W1161" s="33">
        <f t="shared" ref="W1161:W1208" si="557">(N1161*(K1161+1))+(O1161*K1161)+(P1161*(K1161-1))+(Q1161*(K1161-1))+(R1161*(K1161-2))+(S1161*K1161)</f>
        <v>398.0075267210342</v>
      </c>
      <c r="X1161" s="33">
        <v>96485</v>
      </c>
      <c r="Y1161" s="16">
        <f t="shared" ref="Y1161:Y1208" si="558">((V1161+U1161)/W1161)*X1161</f>
        <v>-230.85012506664009</v>
      </c>
      <c r="Z1161" s="16">
        <v>6</v>
      </c>
      <c r="AA1161" s="16">
        <v>13</v>
      </c>
      <c r="AB1161" s="8">
        <f t="shared" ref="AB1161:AB1208" si="559">(Z1161/AA1161)*(12/19)</f>
        <v>0.291497975708502</v>
      </c>
      <c r="AC1161" s="16">
        <f t="shared" si="544"/>
        <v>61.910999554341061</v>
      </c>
      <c r="AD1161" s="20">
        <f>'PFAS Properties'!$W$55</f>
        <v>6</v>
      </c>
      <c r="AE1161" s="8">
        <f>'PFAS Properties'!$S$55</f>
        <v>2.6794278966121188</v>
      </c>
      <c r="AF1161" s="2">
        <f>'PFAS Properties'!$V$55</f>
        <v>3.5</v>
      </c>
      <c r="AG1161" s="24">
        <v>7.5</v>
      </c>
      <c r="AH1161" s="2" t="s">
        <v>183</v>
      </c>
      <c r="AI1161" s="2" t="s">
        <v>661</v>
      </c>
      <c r="AJ1161" s="2" t="s">
        <v>661</v>
      </c>
      <c r="AK1161" s="2" t="s">
        <v>661</v>
      </c>
      <c r="AL1161" s="2" t="s">
        <v>661</v>
      </c>
      <c r="AM1161" s="2" t="s">
        <v>661</v>
      </c>
      <c r="AN1161" s="2" t="s">
        <v>661</v>
      </c>
      <c r="AO1161" s="2" t="s">
        <v>661</v>
      </c>
      <c r="AP1161" s="15">
        <v>41.4</v>
      </c>
      <c r="AQ1161" s="2" t="s">
        <v>661</v>
      </c>
      <c r="AR1161" s="16">
        <v>16.899999999999999</v>
      </c>
      <c r="AS1161" s="16">
        <v>17.5</v>
      </c>
      <c r="AT1161" s="16">
        <v>65.599999999999994</v>
      </c>
      <c r="AU1161" s="2" t="s">
        <v>661</v>
      </c>
      <c r="AV1161" s="16">
        <f t="shared" si="545"/>
        <v>100</v>
      </c>
      <c r="AW1161" s="20">
        <v>0.7</v>
      </c>
      <c r="AX1161" s="8">
        <f t="shared" si="551"/>
        <v>6.9999999999999993E-3</v>
      </c>
      <c r="AY1161" s="13" t="s">
        <v>184</v>
      </c>
      <c r="AZ1161" s="16">
        <v>100</v>
      </c>
      <c r="BA1161" s="16" t="s">
        <v>55</v>
      </c>
      <c r="BB1161" s="16">
        <v>5</v>
      </c>
      <c r="BC1161" s="16" t="s">
        <v>55</v>
      </c>
      <c r="BD1161" s="18">
        <v>0.86</v>
      </c>
      <c r="BE1161" s="16">
        <f t="shared" si="552"/>
        <v>122.85714285714286</v>
      </c>
      <c r="BF1161" s="16">
        <f t="shared" si="553"/>
        <v>2.089400411229311</v>
      </c>
      <c r="BG1161" s="8">
        <f t="shared" si="554"/>
        <v>-6.5501548756432285E-2</v>
      </c>
      <c r="BH1161" s="13" t="s">
        <v>345</v>
      </c>
      <c r="BI1161" s="13"/>
      <c r="BJ1161" s="13"/>
      <c r="BK1161" s="13"/>
      <c r="BL1161" s="13"/>
      <c r="BM1161" s="17"/>
      <c r="BN1161" s="17"/>
      <c r="BO1161" s="2"/>
    </row>
    <row r="1162" spans="1:67" s="14" customFormat="1" x14ac:dyDescent="0.3">
      <c r="A1162" s="20">
        <v>1184</v>
      </c>
      <c r="B1162" s="2" t="s">
        <v>181</v>
      </c>
      <c r="C1162" s="2">
        <v>2020</v>
      </c>
      <c r="D1162" s="2" t="s">
        <v>203</v>
      </c>
      <c r="E1162" s="10" t="s">
        <v>787</v>
      </c>
      <c r="F1162" s="20" t="s">
        <v>29</v>
      </c>
      <c r="G1162" s="2" t="s">
        <v>57</v>
      </c>
      <c r="H1162" s="2" t="str">
        <f>'PFAS Properties'!$B$55</f>
        <v>FHxSA</v>
      </c>
      <c r="I1162" s="2" t="str">
        <f>'PFAS Properties'!$C$55</f>
        <v>FOSA</v>
      </c>
      <c r="J1162" s="2" t="str">
        <f>'PFAS Properties'!$D$55</f>
        <v>C6H2F13NO2S</v>
      </c>
      <c r="K1162" s="25">
        <f>'PFAS Properties'!$P$55</f>
        <v>398.95980000000003</v>
      </c>
      <c r="L1162" s="2">
        <f>'PFAS Properties'!$X$55</f>
        <v>6.2</v>
      </c>
      <c r="M1162" s="2" t="str">
        <f>'PFAS Properties'!$Y$55</f>
        <v>-</v>
      </c>
      <c r="N1162" s="33">
        <v>0</v>
      </c>
      <c r="O1162" s="33">
        <v>0</v>
      </c>
      <c r="P1162" s="33">
        <v>0</v>
      </c>
      <c r="Q1162" s="33">
        <f t="shared" si="541"/>
        <v>0.79923999108689814</v>
      </c>
      <c r="R1162" s="33">
        <v>0</v>
      </c>
      <c r="S1162" s="33">
        <f t="shared" si="542"/>
        <v>0.20076000891310183</v>
      </c>
      <c r="T1162" s="8">
        <f t="shared" si="543"/>
        <v>1</v>
      </c>
      <c r="U1162" s="33">
        <f t="shared" si="555"/>
        <v>0</v>
      </c>
      <c r="V1162" s="33">
        <f t="shared" si="556"/>
        <v>-0.79923999108689814</v>
      </c>
      <c r="W1162" s="33">
        <f t="shared" si="557"/>
        <v>398.16056000891308</v>
      </c>
      <c r="X1162" s="33">
        <v>96485</v>
      </c>
      <c r="Y1162" s="16">
        <f t="shared" si="558"/>
        <v>-193.67732087350166</v>
      </c>
      <c r="Z1162" s="16">
        <v>6</v>
      </c>
      <c r="AA1162" s="16">
        <v>13</v>
      </c>
      <c r="AB1162" s="8">
        <f t="shared" si="559"/>
        <v>0.291497975708502</v>
      </c>
      <c r="AC1162" s="16">
        <f t="shared" si="544"/>
        <v>61.910999554341061</v>
      </c>
      <c r="AD1162" s="20">
        <f>'PFAS Properties'!$W$55</f>
        <v>6</v>
      </c>
      <c r="AE1162" s="8">
        <f>'PFAS Properties'!$S$55</f>
        <v>2.6794278966121188</v>
      </c>
      <c r="AF1162" s="2">
        <f>'PFAS Properties'!$V$55</f>
        <v>3.5</v>
      </c>
      <c r="AG1162" s="24">
        <v>6.8</v>
      </c>
      <c r="AH1162" s="2" t="s">
        <v>183</v>
      </c>
      <c r="AI1162" s="2" t="s">
        <v>661</v>
      </c>
      <c r="AJ1162" s="2" t="s">
        <v>661</v>
      </c>
      <c r="AK1162" s="2" t="s">
        <v>661</v>
      </c>
      <c r="AL1162" s="2" t="s">
        <v>661</v>
      </c>
      <c r="AM1162" s="2" t="s">
        <v>661</v>
      </c>
      <c r="AN1162" s="2" t="s">
        <v>661</v>
      </c>
      <c r="AO1162" s="2" t="s">
        <v>661</v>
      </c>
      <c r="AP1162" s="15">
        <v>7.1</v>
      </c>
      <c r="AQ1162" s="2" t="s">
        <v>661</v>
      </c>
      <c r="AR1162" s="16">
        <v>48.9</v>
      </c>
      <c r="AS1162" s="16">
        <v>27</v>
      </c>
      <c r="AT1162" s="16">
        <v>24.2</v>
      </c>
      <c r="AU1162" s="2" t="s">
        <v>661</v>
      </c>
      <c r="AV1162" s="16">
        <f t="shared" si="545"/>
        <v>100.10000000000001</v>
      </c>
      <c r="AW1162" s="20">
        <v>0.37</v>
      </c>
      <c r="AX1162" s="8">
        <f t="shared" si="551"/>
        <v>3.7000000000000002E-3</v>
      </c>
      <c r="AY1162" s="13" t="s">
        <v>184</v>
      </c>
      <c r="AZ1162" s="16">
        <v>100</v>
      </c>
      <c r="BA1162" s="16" t="s">
        <v>55</v>
      </c>
      <c r="BB1162" s="16">
        <v>5</v>
      </c>
      <c r="BC1162" s="16" t="s">
        <v>55</v>
      </c>
      <c r="BD1162" s="20">
        <v>0.96</v>
      </c>
      <c r="BE1162" s="16">
        <f t="shared" si="552"/>
        <v>259.45945945945942</v>
      </c>
      <c r="BF1162" s="16">
        <f t="shared" si="553"/>
        <v>2.4140695089725734</v>
      </c>
      <c r="BG1162" s="8">
        <f t="shared" si="554"/>
        <v>-1.7728766960431602E-2</v>
      </c>
      <c r="BH1162" s="13" t="s">
        <v>345</v>
      </c>
      <c r="BI1162" s="13"/>
      <c r="BJ1162" s="13"/>
      <c r="BK1162" s="13"/>
      <c r="BL1162" s="13"/>
      <c r="BM1162" s="17"/>
      <c r="BN1162" s="17"/>
      <c r="BO1162" s="2"/>
    </row>
    <row r="1163" spans="1:67" s="14" customFormat="1" x14ac:dyDescent="0.3">
      <c r="A1163" s="20">
        <v>1185</v>
      </c>
      <c r="B1163" s="2" t="s">
        <v>181</v>
      </c>
      <c r="C1163" s="2">
        <v>2020</v>
      </c>
      <c r="D1163" s="2" t="s">
        <v>203</v>
      </c>
      <c r="E1163" s="10" t="s">
        <v>787</v>
      </c>
      <c r="F1163" s="20" t="s">
        <v>29</v>
      </c>
      <c r="G1163" s="2" t="s">
        <v>58</v>
      </c>
      <c r="H1163" s="2" t="str">
        <f>'PFAS Properties'!$B$55</f>
        <v>FHxSA</v>
      </c>
      <c r="I1163" s="2" t="str">
        <f>'PFAS Properties'!$C$55</f>
        <v>FOSA</v>
      </c>
      <c r="J1163" s="2" t="str">
        <f>'PFAS Properties'!$D$55</f>
        <v>C6H2F13NO2S</v>
      </c>
      <c r="K1163" s="25">
        <f>'PFAS Properties'!$P$55</f>
        <v>398.95980000000003</v>
      </c>
      <c r="L1163" s="2">
        <f>'PFAS Properties'!$X$55</f>
        <v>6.2</v>
      </c>
      <c r="M1163" s="2" t="str">
        <f>'PFAS Properties'!$Y$55</f>
        <v>-</v>
      </c>
      <c r="N1163" s="33">
        <v>0</v>
      </c>
      <c r="O1163" s="33">
        <v>0</v>
      </c>
      <c r="P1163" s="33">
        <v>0</v>
      </c>
      <c r="Q1163" s="33">
        <f t="shared" si="541"/>
        <v>0.5</v>
      </c>
      <c r="R1163" s="33">
        <v>0</v>
      </c>
      <c r="S1163" s="33">
        <f t="shared" si="542"/>
        <v>0.5</v>
      </c>
      <c r="T1163" s="8">
        <f t="shared" si="543"/>
        <v>1</v>
      </c>
      <c r="U1163" s="33">
        <f t="shared" si="555"/>
        <v>0</v>
      </c>
      <c r="V1163" s="33">
        <f t="shared" si="556"/>
        <v>-0.5</v>
      </c>
      <c r="W1163" s="33">
        <f t="shared" si="557"/>
        <v>398.45980000000003</v>
      </c>
      <c r="X1163" s="33">
        <v>96485</v>
      </c>
      <c r="Y1163" s="16">
        <f t="shared" si="558"/>
        <v>-121.07243942801756</v>
      </c>
      <c r="Z1163" s="16">
        <v>6</v>
      </c>
      <c r="AA1163" s="16">
        <v>13</v>
      </c>
      <c r="AB1163" s="8">
        <f t="shared" si="559"/>
        <v>0.291497975708502</v>
      </c>
      <c r="AC1163" s="16">
        <f t="shared" si="544"/>
        <v>61.910999554341061</v>
      </c>
      <c r="AD1163" s="20">
        <f>'PFAS Properties'!$W$55</f>
        <v>6</v>
      </c>
      <c r="AE1163" s="8">
        <f>'PFAS Properties'!$S$55</f>
        <v>2.6794278966121188</v>
      </c>
      <c r="AF1163" s="2">
        <f>'PFAS Properties'!$V$55</f>
        <v>3.5</v>
      </c>
      <c r="AG1163" s="24">
        <v>6.2</v>
      </c>
      <c r="AH1163" s="2" t="s">
        <v>183</v>
      </c>
      <c r="AI1163" s="2" t="s">
        <v>661</v>
      </c>
      <c r="AJ1163" s="2" t="s">
        <v>661</v>
      </c>
      <c r="AK1163" s="2" t="s">
        <v>661</v>
      </c>
      <c r="AL1163" s="2" t="s">
        <v>661</v>
      </c>
      <c r="AM1163" s="2" t="s">
        <v>661</v>
      </c>
      <c r="AN1163" s="2" t="s">
        <v>661</v>
      </c>
      <c r="AO1163" s="2" t="s">
        <v>661</v>
      </c>
      <c r="AP1163" s="15">
        <v>8</v>
      </c>
      <c r="AQ1163" s="2" t="s">
        <v>661</v>
      </c>
      <c r="AR1163" s="16">
        <v>51.44</v>
      </c>
      <c r="AS1163" s="16">
        <v>10.17</v>
      </c>
      <c r="AT1163" s="16">
        <v>38.380000000000003</v>
      </c>
      <c r="AU1163" s="2" t="s">
        <v>661</v>
      </c>
      <c r="AV1163" s="16">
        <f t="shared" si="545"/>
        <v>99.990000000000009</v>
      </c>
      <c r="AW1163" s="20">
        <v>0.08</v>
      </c>
      <c r="AX1163" s="8">
        <f t="shared" si="551"/>
        <v>8.0000000000000004E-4</v>
      </c>
      <c r="AY1163" s="8" t="s">
        <v>184</v>
      </c>
      <c r="AZ1163" s="16">
        <v>100</v>
      </c>
      <c r="BA1163" s="16" t="s">
        <v>55</v>
      </c>
      <c r="BB1163" s="16">
        <v>5</v>
      </c>
      <c r="BC1163" s="16" t="s">
        <v>55</v>
      </c>
      <c r="BD1163" s="20">
        <v>1.1299999999999999</v>
      </c>
      <c r="BE1163" s="16">
        <f t="shared" si="552"/>
        <v>1412.4999999999998</v>
      </c>
      <c r="BF1163" s="16">
        <f t="shared" si="553"/>
        <v>3.1499884564914762</v>
      </c>
      <c r="BG1163" s="8">
        <f t="shared" si="554"/>
        <v>5.3078443483419682E-2</v>
      </c>
      <c r="BH1163" s="13" t="s">
        <v>345</v>
      </c>
      <c r="BI1163" s="13"/>
      <c r="BJ1163" s="13"/>
      <c r="BK1163" s="13"/>
      <c r="BL1163" s="13"/>
      <c r="BM1163" s="17"/>
      <c r="BN1163" s="17"/>
      <c r="BO1163" s="2"/>
    </row>
    <row r="1164" spans="1:67" s="14" customFormat="1" x14ac:dyDescent="0.3">
      <c r="A1164" s="20">
        <v>1186</v>
      </c>
      <c r="B1164" s="2" t="s">
        <v>181</v>
      </c>
      <c r="C1164" s="2">
        <v>2020</v>
      </c>
      <c r="D1164" s="2" t="s">
        <v>203</v>
      </c>
      <c r="E1164" s="10" t="s">
        <v>787</v>
      </c>
      <c r="F1164" s="20" t="s">
        <v>29</v>
      </c>
      <c r="G1164" s="2" t="s">
        <v>59</v>
      </c>
      <c r="H1164" s="2" t="str">
        <f>'PFAS Properties'!$B$55</f>
        <v>FHxSA</v>
      </c>
      <c r="I1164" s="2" t="str">
        <f>'PFAS Properties'!$C$55</f>
        <v>FOSA</v>
      </c>
      <c r="J1164" s="2" t="str">
        <f>'PFAS Properties'!$D$55</f>
        <v>C6H2F13NO2S</v>
      </c>
      <c r="K1164" s="25">
        <f>'PFAS Properties'!$P$55</f>
        <v>398.95980000000003</v>
      </c>
      <c r="L1164" s="2">
        <f>'PFAS Properties'!$X$55</f>
        <v>6.2</v>
      </c>
      <c r="M1164" s="2" t="str">
        <f>'PFAS Properties'!$Y$55</f>
        <v>-</v>
      </c>
      <c r="N1164" s="33">
        <v>0</v>
      </c>
      <c r="O1164" s="33">
        <v>0</v>
      </c>
      <c r="P1164" s="33">
        <v>0</v>
      </c>
      <c r="Q1164" s="33">
        <f t="shared" si="541"/>
        <v>0.9693465699682845</v>
      </c>
      <c r="R1164" s="33">
        <v>0</v>
      </c>
      <c r="S1164" s="33">
        <f t="shared" si="542"/>
        <v>3.0653430031715501E-2</v>
      </c>
      <c r="T1164" s="8">
        <f t="shared" si="543"/>
        <v>1</v>
      </c>
      <c r="U1164" s="33">
        <f t="shared" si="555"/>
        <v>0</v>
      </c>
      <c r="V1164" s="33">
        <f t="shared" si="556"/>
        <v>-0.9693465699682845</v>
      </c>
      <c r="W1164" s="33">
        <f t="shared" si="557"/>
        <v>397.99045343003172</v>
      </c>
      <c r="X1164" s="33">
        <v>96485</v>
      </c>
      <c r="Y1164" s="16">
        <f t="shared" si="558"/>
        <v>-234.99911366550506</v>
      </c>
      <c r="Z1164" s="16">
        <v>6</v>
      </c>
      <c r="AA1164" s="16">
        <v>13</v>
      </c>
      <c r="AB1164" s="8">
        <f t="shared" si="559"/>
        <v>0.291497975708502</v>
      </c>
      <c r="AC1164" s="16">
        <f t="shared" si="544"/>
        <v>61.910999554341061</v>
      </c>
      <c r="AD1164" s="20">
        <f>'PFAS Properties'!$W$55</f>
        <v>6</v>
      </c>
      <c r="AE1164" s="8">
        <f>'PFAS Properties'!$S$55</f>
        <v>2.6794278966121188</v>
      </c>
      <c r="AF1164" s="2">
        <f>'PFAS Properties'!$V$55</f>
        <v>3.5</v>
      </c>
      <c r="AG1164" s="24">
        <v>7.7</v>
      </c>
      <c r="AH1164" s="2" t="s">
        <v>183</v>
      </c>
      <c r="AI1164" s="2" t="s">
        <v>661</v>
      </c>
      <c r="AJ1164" s="2" t="s">
        <v>661</v>
      </c>
      <c r="AK1164" s="2" t="s">
        <v>661</v>
      </c>
      <c r="AL1164" s="2" t="s">
        <v>661</v>
      </c>
      <c r="AM1164" s="2" t="s">
        <v>661</v>
      </c>
      <c r="AN1164" s="2" t="s">
        <v>661</v>
      </c>
      <c r="AO1164" s="2" t="s">
        <v>661</v>
      </c>
      <c r="AP1164" s="15">
        <v>4.8</v>
      </c>
      <c r="AQ1164" s="2" t="s">
        <v>661</v>
      </c>
      <c r="AR1164" s="16">
        <v>46</v>
      </c>
      <c r="AS1164" s="16">
        <v>37</v>
      </c>
      <c r="AT1164" s="16">
        <v>17</v>
      </c>
      <c r="AU1164" s="2" t="s">
        <v>661</v>
      </c>
      <c r="AV1164" s="16">
        <f t="shared" si="545"/>
        <v>100</v>
      </c>
      <c r="AW1164" s="20">
        <v>0.25</v>
      </c>
      <c r="AX1164" s="8">
        <f t="shared" si="551"/>
        <v>2.5000000000000001E-3</v>
      </c>
      <c r="AY1164" s="13" t="s">
        <v>184</v>
      </c>
      <c r="AZ1164" s="16">
        <v>100</v>
      </c>
      <c r="BA1164" s="16" t="s">
        <v>55</v>
      </c>
      <c r="BB1164" s="16">
        <v>5</v>
      </c>
      <c r="BC1164" s="16" t="s">
        <v>55</v>
      </c>
      <c r="BD1164" s="18">
        <v>1.41</v>
      </c>
      <c r="BE1164" s="16">
        <f t="shared" si="552"/>
        <v>564</v>
      </c>
      <c r="BF1164" s="16">
        <f t="shared" si="553"/>
        <v>2.7512791039833422</v>
      </c>
      <c r="BG1164" s="8">
        <f t="shared" si="554"/>
        <v>0.14921911265537988</v>
      </c>
      <c r="BH1164" s="13" t="s">
        <v>345</v>
      </c>
      <c r="BI1164" s="13"/>
      <c r="BJ1164" s="13"/>
      <c r="BK1164" s="13"/>
      <c r="BL1164" s="13"/>
      <c r="BM1164" s="17"/>
      <c r="BN1164" s="17"/>
      <c r="BO1164" s="2"/>
    </row>
    <row r="1165" spans="1:67" s="14" customFormat="1" x14ac:dyDescent="0.3">
      <c r="A1165" s="20">
        <v>1187</v>
      </c>
      <c r="B1165" s="2" t="s">
        <v>181</v>
      </c>
      <c r="C1165" s="2">
        <v>2020</v>
      </c>
      <c r="D1165" s="2" t="s">
        <v>203</v>
      </c>
      <c r="E1165" s="10" t="s">
        <v>787</v>
      </c>
      <c r="F1165" s="20" t="s">
        <v>29</v>
      </c>
      <c r="G1165" s="2" t="s">
        <v>61</v>
      </c>
      <c r="H1165" s="2" t="str">
        <f>'PFAS Properties'!$B$55</f>
        <v>FHxSA</v>
      </c>
      <c r="I1165" s="2" t="str">
        <f>'PFAS Properties'!$C$55</f>
        <v>FOSA</v>
      </c>
      <c r="J1165" s="2" t="str">
        <f>'PFAS Properties'!$D$55</f>
        <v>C6H2F13NO2S</v>
      </c>
      <c r="K1165" s="25">
        <f>'PFAS Properties'!$P$55</f>
        <v>398.95980000000003</v>
      </c>
      <c r="L1165" s="2">
        <f>'PFAS Properties'!$X$55</f>
        <v>6.2</v>
      </c>
      <c r="M1165" s="2" t="str">
        <f>'PFAS Properties'!$Y$55</f>
        <v>-</v>
      </c>
      <c r="N1165" s="33">
        <v>0</v>
      </c>
      <c r="O1165" s="33">
        <v>0</v>
      </c>
      <c r="P1165" s="33">
        <v>0</v>
      </c>
      <c r="Q1165" s="33">
        <f t="shared" si="541"/>
        <v>0.94064905689723244</v>
      </c>
      <c r="R1165" s="33">
        <v>0</v>
      </c>
      <c r="S1165" s="33">
        <f t="shared" si="542"/>
        <v>5.9350943102767569E-2</v>
      </c>
      <c r="T1165" s="8">
        <f t="shared" si="543"/>
        <v>1</v>
      </c>
      <c r="U1165" s="33">
        <f t="shared" si="555"/>
        <v>0</v>
      </c>
      <c r="V1165" s="33">
        <f t="shared" si="556"/>
        <v>-0.94064905689723244</v>
      </c>
      <c r="W1165" s="33">
        <f t="shared" si="557"/>
        <v>398.01915094310277</v>
      </c>
      <c r="X1165" s="33">
        <v>96485</v>
      </c>
      <c r="Y1165" s="16">
        <f t="shared" si="558"/>
        <v>-228.02552098228932</v>
      </c>
      <c r="Z1165" s="16">
        <v>6</v>
      </c>
      <c r="AA1165" s="16">
        <v>13</v>
      </c>
      <c r="AB1165" s="8">
        <f t="shared" si="559"/>
        <v>0.291497975708502</v>
      </c>
      <c r="AC1165" s="16">
        <f t="shared" si="544"/>
        <v>61.910999554341061</v>
      </c>
      <c r="AD1165" s="20">
        <f>'PFAS Properties'!$W$55</f>
        <v>6</v>
      </c>
      <c r="AE1165" s="8">
        <f>'PFAS Properties'!$S$55</f>
        <v>2.6794278966121188</v>
      </c>
      <c r="AF1165" s="2">
        <f>'PFAS Properties'!$V$55</f>
        <v>3.5</v>
      </c>
      <c r="AG1165" s="24">
        <v>7.4</v>
      </c>
      <c r="AH1165" s="2" t="s">
        <v>183</v>
      </c>
      <c r="AI1165" s="2" t="s">
        <v>661</v>
      </c>
      <c r="AJ1165" s="2" t="s">
        <v>661</v>
      </c>
      <c r="AK1165" s="2" t="s">
        <v>661</v>
      </c>
      <c r="AL1165" s="2" t="s">
        <v>661</v>
      </c>
      <c r="AM1165" s="2" t="s">
        <v>661</v>
      </c>
      <c r="AN1165" s="2" t="s">
        <v>661</v>
      </c>
      <c r="AO1165" s="2" t="s">
        <v>661</v>
      </c>
      <c r="AP1165" s="15">
        <v>29.6</v>
      </c>
      <c r="AQ1165" s="2" t="s">
        <v>661</v>
      </c>
      <c r="AR1165" s="16">
        <v>39.799999999999997</v>
      </c>
      <c r="AS1165" s="16">
        <v>7.7</v>
      </c>
      <c r="AT1165" s="16">
        <v>52.5</v>
      </c>
      <c r="AU1165" s="2" t="s">
        <v>661</v>
      </c>
      <c r="AV1165" s="16">
        <f t="shared" si="545"/>
        <v>100</v>
      </c>
      <c r="AW1165" s="20">
        <v>2.23</v>
      </c>
      <c r="AX1165" s="8">
        <f t="shared" si="551"/>
        <v>2.23E-2</v>
      </c>
      <c r="AY1165" s="8" t="s">
        <v>184</v>
      </c>
      <c r="AZ1165" s="16">
        <v>100</v>
      </c>
      <c r="BA1165" s="16" t="s">
        <v>55</v>
      </c>
      <c r="BB1165" s="16">
        <v>5</v>
      </c>
      <c r="BC1165" s="16" t="s">
        <v>55</v>
      </c>
      <c r="BD1165" s="20">
        <v>0.27</v>
      </c>
      <c r="BE1165" s="16">
        <f t="shared" si="552"/>
        <v>12.107623318385651</v>
      </c>
      <c r="BF1165" s="16">
        <f t="shared" si="553"/>
        <v>1.0830589011108267</v>
      </c>
      <c r="BG1165" s="8">
        <f t="shared" si="554"/>
        <v>-0.56863623584101264</v>
      </c>
      <c r="BH1165" s="13" t="s">
        <v>345</v>
      </c>
      <c r="BI1165" s="13"/>
      <c r="BJ1165" s="13"/>
      <c r="BK1165" s="13"/>
      <c r="BL1165" s="13"/>
      <c r="BM1165" s="17"/>
      <c r="BN1165" s="17"/>
      <c r="BO1165" s="2"/>
    </row>
    <row r="1166" spans="1:67" s="14" customFormat="1" x14ac:dyDescent="0.3">
      <c r="A1166" s="20">
        <v>1188</v>
      </c>
      <c r="B1166" s="2" t="s">
        <v>181</v>
      </c>
      <c r="C1166" s="2">
        <v>2020</v>
      </c>
      <c r="D1166" s="2" t="s">
        <v>203</v>
      </c>
      <c r="E1166" s="10" t="s">
        <v>787</v>
      </c>
      <c r="F1166" s="20" t="s">
        <v>29</v>
      </c>
      <c r="G1166" s="2" t="s">
        <v>60</v>
      </c>
      <c r="H1166" s="2" t="str">
        <f>'PFAS Properties'!$B$55</f>
        <v>FHxSA</v>
      </c>
      <c r="I1166" s="2" t="str">
        <f>'PFAS Properties'!$C$55</f>
        <v>FOSA</v>
      </c>
      <c r="J1166" s="2" t="str">
        <f>'PFAS Properties'!$D$55</f>
        <v>C6H2F13NO2S</v>
      </c>
      <c r="K1166" s="25">
        <f>'PFAS Properties'!$P$55</f>
        <v>398.95980000000003</v>
      </c>
      <c r="L1166" s="2">
        <f>'PFAS Properties'!$X$55</f>
        <v>6.2</v>
      </c>
      <c r="M1166" s="2" t="str">
        <f>'PFAS Properties'!$Y$55</f>
        <v>-</v>
      </c>
      <c r="N1166" s="33">
        <v>0</v>
      </c>
      <c r="O1166" s="33">
        <v>0</v>
      </c>
      <c r="P1166" s="33">
        <v>0</v>
      </c>
      <c r="Q1166" s="33">
        <f t="shared" si="541"/>
        <v>0.9693465699682845</v>
      </c>
      <c r="R1166" s="33">
        <v>0</v>
      </c>
      <c r="S1166" s="33">
        <f t="shared" si="542"/>
        <v>3.0653430031715501E-2</v>
      </c>
      <c r="T1166" s="8">
        <f t="shared" si="543"/>
        <v>1</v>
      </c>
      <c r="U1166" s="33">
        <f t="shared" si="555"/>
        <v>0</v>
      </c>
      <c r="V1166" s="33">
        <f t="shared" si="556"/>
        <v>-0.9693465699682845</v>
      </c>
      <c r="W1166" s="33">
        <f t="shared" si="557"/>
        <v>397.99045343003172</v>
      </c>
      <c r="X1166" s="33">
        <v>96485</v>
      </c>
      <c r="Y1166" s="16">
        <f t="shared" si="558"/>
        <v>-234.99911366550506</v>
      </c>
      <c r="Z1166" s="16">
        <v>6</v>
      </c>
      <c r="AA1166" s="16">
        <v>13</v>
      </c>
      <c r="AB1166" s="8">
        <f t="shared" si="559"/>
        <v>0.291497975708502</v>
      </c>
      <c r="AC1166" s="16">
        <f t="shared" si="544"/>
        <v>61.910999554341061</v>
      </c>
      <c r="AD1166" s="20">
        <f>'PFAS Properties'!$W$55</f>
        <v>6</v>
      </c>
      <c r="AE1166" s="8">
        <f>'PFAS Properties'!$S$55</f>
        <v>2.6794278966121188</v>
      </c>
      <c r="AF1166" s="2">
        <f>'PFAS Properties'!$V$55</f>
        <v>3.5</v>
      </c>
      <c r="AG1166" s="24">
        <v>7.7</v>
      </c>
      <c r="AH1166" s="2" t="s">
        <v>183</v>
      </c>
      <c r="AI1166" s="2" t="s">
        <v>661</v>
      </c>
      <c r="AJ1166" s="2" t="s">
        <v>661</v>
      </c>
      <c r="AK1166" s="2" t="s">
        <v>661</v>
      </c>
      <c r="AL1166" s="2" t="s">
        <v>661</v>
      </c>
      <c r="AM1166" s="2" t="s">
        <v>661</v>
      </c>
      <c r="AN1166" s="2" t="s">
        <v>661</v>
      </c>
      <c r="AO1166" s="2" t="s">
        <v>661</v>
      </c>
      <c r="AP1166" s="15">
        <v>21.63</v>
      </c>
      <c r="AQ1166" s="2" t="s">
        <v>661</v>
      </c>
      <c r="AR1166" s="16">
        <v>70</v>
      </c>
      <c r="AS1166" s="16">
        <v>11</v>
      </c>
      <c r="AT1166" s="16">
        <v>19</v>
      </c>
      <c r="AU1166" s="2" t="s">
        <v>661</v>
      </c>
      <c r="AV1166" s="16">
        <f t="shared" si="545"/>
        <v>100</v>
      </c>
      <c r="AW1166" s="20">
        <v>4.9000000000000004</v>
      </c>
      <c r="AX1166" s="8">
        <f t="shared" si="551"/>
        <v>4.9000000000000002E-2</v>
      </c>
      <c r="AY1166" s="8" t="s">
        <v>184</v>
      </c>
      <c r="AZ1166" s="16">
        <v>100</v>
      </c>
      <c r="BA1166" s="16" t="s">
        <v>55</v>
      </c>
      <c r="BB1166" s="16">
        <v>5</v>
      </c>
      <c r="BC1166" s="16" t="s">
        <v>55</v>
      </c>
      <c r="BD1166" s="20">
        <v>2.63</v>
      </c>
      <c r="BE1166" s="16">
        <f t="shared" si="552"/>
        <v>53.673469387755098</v>
      </c>
      <c r="BF1166" s="16">
        <f t="shared" si="553"/>
        <v>1.7297596684612442</v>
      </c>
      <c r="BG1166" s="8">
        <f t="shared" si="554"/>
        <v>0.41995574848975786</v>
      </c>
      <c r="BH1166" s="13" t="s">
        <v>345</v>
      </c>
      <c r="BI1166" s="13"/>
      <c r="BJ1166" s="13"/>
      <c r="BK1166" s="13"/>
      <c r="BL1166" s="13"/>
      <c r="BM1166" s="17"/>
      <c r="BN1166" s="17"/>
      <c r="BO1166" s="2"/>
    </row>
    <row r="1167" spans="1:67" s="14" customFormat="1" x14ac:dyDescent="0.3">
      <c r="A1167" s="20">
        <v>1189</v>
      </c>
      <c r="B1167" s="2" t="s">
        <v>181</v>
      </c>
      <c r="C1167" s="2">
        <v>2020</v>
      </c>
      <c r="D1167" s="2" t="s">
        <v>203</v>
      </c>
      <c r="E1167" s="10" t="s">
        <v>787</v>
      </c>
      <c r="F1167" s="20" t="s">
        <v>29</v>
      </c>
      <c r="G1167" s="2" t="s">
        <v>77</v>
      </c>
      <c r="H1167" s="2" t="str">
        <f>'PFAS Properties'!$B$55</f>
        <v>FHxSA</v>
      </c>
      <c r="I1167" s="2" t="str">
        <f>'PFAS Properties'!$C$55</f>
        <v>FOSA</v>
      </c>
      <c r="J1167" s="2" t="str">
        <f>'PFAS Properties'!$D$55</f>
        <v>C6H2F13NO2S</v>
      </c>
      <c r="K1167" s="25">
        <f>'PFAS Properties'!$P$55</f>
        <v>398.95980000000003</v>
      </c>
      <c r="L1167" s="2">
        <f>'PFAS Properties'!$X$55</f>
        <v>6.2</v>
      </c>
      <c r="M1167" s="2" t="str">
        <f>'PFAS Properties'!$Y$55</f>
        <v>-</v>
      </c>
      <c r="N1167" s="33">
        <v>0</v>
      </c>
      <c r="O1167" s="33">
        <v>0</v>
      </c>
      <c r="P1167" s="33">
        <v>0</v>
      </c>
      <c r="Q1167" s="33">
        <f t="shared" si="541"/>
        <v>0.9693465699682845</v>
      </c>
      <c r="R1167" s="33">
        <v>0</v>
      </c>
      <c r="S1167" s="33">
        <f t="shared" si="542"/>
        <v>3.0653430031715501E-2</v>
      </c>
      <c r="T1167" s="8">
        <f t="shared" si="543"/>
        <v>1</v>
      </c>
      <c r="U1167" s="33">
        <f t="shared" si="555"/>
        <v>0</v>
      </c>
      <c r="V1167" s="33">
        <f t="shared" si="556"/>
        <v>-0.9693465699682845</v>
      </c>
      <c r="W1167" s="33">
        <f t="shared" si="557"/>
        <v>397.99045343003172</v>
      </c>
      <c r="X1167" s="33">
        <v>96485</v>
      </c>
      <c r="Y1167" s="16">
        <f t="shared" si="558"/>
        <v>-234.99911366550506</v>
      </c>
      <c r="Z1167" s="16">
        <v>6</v>
      </c>
      <c r="AA1167" s="16">
        <v>13</v>
      </c>
      <c r="AB1167" s="8">
        <f t="shared" si="559"/>
        <v>0.291497975708502</v>
      </c>
      <c r="AC1167" s="16">
        <f t="shared" si="544"/>
        <v>61.910999554341061</v>
      </c>
      <c r="AD1167" s="20">
        <f>'PFAS Properties'!$W$55</f>
        <v>6</v>
      </c>
      <c r="AE1167" s="8">
        <f>'PFAS Properties'!$S$55</f>
        <v>2.6794278966121188</v>
      </c>
      <c r="AF1167" s="2">
        <f>'PFAS Properties'!$V$55</f>
        <v>3.5</v>
      </c>
      <c r="AG1167" s="24">
        <v>7.7</v>
      </c>
      <c r="AH1167" s="2" t="s">
        <v>183</v>
      </c>
      <c r="AI1167" s="2" t="s">
        <v>661</v>
      </c>
      <c r="AJ1167" s="2" t="s">
        <v>661</v>
      </c>
      <c r="AK1167" s="2" t="s">
        <v>661</v>
      </c>
      <c r="AL1167" s="2" t="s">
        <v>661</v>
      </c>
      <c r="AM1167" s="2" t="s">
        <v>661</v>
      </c>
      <c r="AN1167" s="2" t="s">
        <v>661</v>
      </c>
      <c r="AO1167" s="2" t="s">
        <v>661</v>
      </c>
      <c r="AP1167" s="15">
        <v>7.8</v>
      </c>
      <c r="AQ1167" s="2" t="s">
        <v>661</v>
      </c>
      <c r="AR1167" s="16">
        <v>48.9</v>
      </c>
      <c r="AS1167" s="16">
        <v>32.6</v>
      </c>
      <c r="AT1167" s="16">
        <v>18.5</v>
      </c>
      <c r="AU1167" s="2" t="s">
        <v>661</v>
      </c>
      <c r="AV1167" s="16">
        <f t="shared" si="545"/>
        <v>100</v>
      </c>
      <c r="AW1167" s="20">
        <v>0.13</v>
      </c>
      <c r="AX1167" s="8">
        <f t="shared" si="551"/>
        <v>1.2999999999999999E-3</v>
      </c>
      <c r="AY1167" s="8" t="s">
        <v>184</v>
      </c>
      <c r="AZ1167" s="16">
        <v>100</v>
      </c>
      <c r="BA1167" s="16" t="s">
        <v>55</v>
      </c>
      <c r="BB1167" s="16">
        <v>5</v>
      </c>
      <c r="BC1167" s="16" t="s">
        <v>55</v>
      </c>
      <c r="BD1167" s="20">
        <v>0.33</v>
      </c>
      <c r="BE1167" s="16">
        <f t="shared" si="552"/>
        <v>253.84615384615387</v>
      </c>
      <c r="BF1167" s="16">
        <f t="shared" si="553"/>
        <v>2.4045705875710506</v>
      </c>
      <c r="BG1167" s="8">
        <f t="shared" si="554"/>
        <v>-0.48148606012211248</v>
      </c>
      <c r="BH1167" s="13" t="s">
        <v>345</v>
      </c>
      <c r="BI1167" s="13"/>
      <c r="BJ1167" s="13"/>
      <c r="BK1167" s="13"/>
      <c r="BL1167" s="13"/>
      <c r="BM1167" s="17"/>
      <c r="BN1167" s="17"/>
      <c r="BO1167" s="2"/>
    </row>
    <row r="1168" spans="1:67" s="14" customFormat="1" x14ac:dyDescent="0.3">
      <c r="A1168" s="20">
        <v>1190</v>
      </c>
      <c r="B1168" s="2" t="s">
        <v>181</v>
      </c>
      <c r="C1168" s="2">
        <v>2020</v>
      </c>
      <c r="D1168" s="2" t="s">
        <v>203</v>
      </c>
      <c r="E1168" s="10" t="s">
        <v>787</v>
      </c>
      <c r="F1168" s="20" t="s">
        <v>29</v>
      </c>
      <c r="G1168" s="2" t="s">
        <v>182</v>
      </c>
      <c r="H1168" s="2" t="str">
        <f>'PFAS Properties'!$B$55</f>
        <v>FHxSA</v>
      </c>
      <c r="I1168" s="2" t="str">
        <f>'PFAS Properties'!$C$55</f>
        <v>FOSA</v>
      </c>
      <c r="J1168" s="2" t="str">
        <f>'PFAS Properties'!$D$55</f>
        <v>C6H2F13NO2S</v>
      </c>
      <c r="K1168" s="25">
        <f>'PFAS Properties'!$P$55</f>
        <v>398.95980000000003</v>
      </c>
      <c r="L1168" s="2">
        <f>'PFAS Properties'!$X$55</f>
        <v>6.2</v>
      </c>
      <c r="M1168" s="2" t="str">
        <f>'PFAS Properties'!$Y$55</f>
        <v>-</v>
      </c>
      <c r="N1168" s="33">
        <v>0</v>
      </c>
      <c r="O1168" s="33">
        <v>0</v>
      </c>
      <c r="P1168" s="33">
        <v>0</v>
      </c>
      <c r="Q1168" s="33">
        <f t="shared" si="541"/>
        <v>0.95227327896579606</v>
      </c>
      <c r="R1168" s="33">
        <v>0</v>
      </c>
      <c r="S1168" s="33">
        <f t="shared" si="542"/>
        <v>4.7726721034203903E-2</v>
      </c>
      <c r="T1168" s="8">
        <f t="shared" si="543"/>
        <v>1</v>
      </c>
      <c r="U1168" s="33">
        <f t="shared" si="555"/>
        <v>0</v>
      </c>
      <c r="V1168" s="33">
        <f t="shared" si="556"/>
        <v>-0.95227327896579606</v>
      </c>
      <c r="W1168" s="33">
        <f t="shared" si="557"/>
        <v>398.0075267210342</v>
      </c>
      <c r="X1168" s="33">
        <v>96485</v>
      </c>
      <c r="Y1168" s="16">
        <f t="shared" si="558"/>
        <v>-230.85012506664009</v>
      </c>
      <c r="Z1168" s="16">
        <v>6</v>
      </c>
      <c r="AA1168" s="16">
        <v>13</v>
      </c>
      <c r="AB1168" s="8">
        <f t="shared" si="559"/>
        <v>0.291497975708502</v>
      </c>
      <c r="AC1168" s="16">
        <f t="shared" si="544"/>
        <v>61.910999554341061</v>
      </c>
      <c r="AD1168" s="20">
        <f>'PFAS Properties'!$W$55</f>
        <v>6</v>
      </c>
      <c r="AE1168" s="8">
        <f>'PFAS Properties'!$S$55</f>
        <v>2.6794278966121188</v>
      </c>
      <c r="AF1168" s="2">
        <f>'PFAS Properties'!$V$55</f>
        <v>3.5</v>
      </c>
      <c r="AG1168" s="24">
        <v>7.5</v>
      </c>
      <c r="AH1168" s="2" t="s">
        <v>183</v>
      </c>
      <c r="AI1168" s="2" t="s">
        <v>661</v>
      </c>
      <c r="AJ1168" s="2" t="s">
        <v>661</v>
      </c>
      <c r="AK1168" s="2" t="s">
        <v>661</v>
      </c>
      <c r="AL1168" s="2" t="s">
        <v>661</v>
      </c>
      <c r="AM1168" s="2" t="s">
        <v>661</v>
      </c>
      <c r="AN1168" s="2" t="s">
        <v>661</v>
      </c>
      <c r="AO1168" s="2" t="s">
        <v>661</v>
      </c>
      <c r="AP1168" s="15">
        <v>2.2799999999999998</v>
      </c>
      <c r="AQ1168" s="2" t="s">
        <v>661</v>
      </c>
      <c r="AR1168" s="16">
        <v>93</v>
      </c>
      <c r="AS1168" s="16">
        <v>1</v>
      </c>
      <c r="AT1168" s="16">
        <v>5</v>
      </c>
      <c r="AU1168" s="2" t="s">
        <v>661</v>
      </c>
      <c r="AV1168" s="16">
        <f t="shared" si="545"/>
        <v>99</v>
      </c>
      <c r="AW1168" s="20">
        <v>0.4</v>
      </c>
      <c r="AX1168" s="8">
        <f t="shared" si="551"/>
        <v>4.0000000000000001E-3</v>
      </c>
      <c r="AY1168" s="8" t="s">
        <v>184</v>
      </c>
      <c r="AZ1168" s="16">
        <v>100</v>
      </c>
      <c r="BA1168" s="16" t="s">
        <v>55</v>
      </c>
      <c r="BB1168" s="16">
        <v>5</v>
      </c>
      <c r="BC1168" s="16" t="s">
        <v>55</v>
      </c>
      <c r="BD1168" s="20">
        <v>1.4</v>
      </c>
      <c r="BE1168" s="16">
        <f t="shared" si="552"/>
        <v>349.99999999999994</v>
      </c>
      <c r="BF1168" s="16">
        <f t="shared" si="553"/>
        <v>2.5440680443502757</v>
      </c>
      <c r="BG1168" s="8">
        <f t="shared" si="554"/>
        <v>0.14612803567823801</v>
      </c>
      <c r="BH1168" s="13" t="s">
        <v>345</v>
      </c>
      <c r="BI1168" s="13"/>
      <c r="BJ1168" s="13"/>
      <c r="BK1168" s="13"/>
      <c r="BL1168" s="13"/>
      <c r="BM1168" s="17"/>
      <c r="BN1168" s="17"/>
      <c r="BO1168" s="2"/>
    </row>
    <row r="1169" spans="1:69" s="14" customFormat="1" x14ac:dyDescent="0.3">
      <c r="A1169" s="20">
        <v>1191</v>
      </c>
      <c r="B1169" s="2" t="s">
        <v>181</v>
      </c>
      <c r="C1169" s="2">
        <v>2020</v>
      </c>
      <c r="D1169" s="2" t="s">
        <v>203</v>
      </c>
      <c r="E1169" s="10" t="s">
        <v>787</v>
      </c>
      <c r="F1169" s="20" t="s">
        <v>29</v>
      </c>
      <c r="G1169" s="2" t="s">
        <v>78</v>
      </c>
      <c r="H1169" s="2" t="str">
        <f>'PFAS Properties'!$B$55</f>
        <v>FHxSA</v>
      </c>
      <c r="I1169" s="2" t="str">
        <f>'PFAS Properties'!$C$55</f>
        <v>FOSA</v>
      </c>
      <c r="J1169" s="2" t="str">
        <f>'PFAS Properties'!$D$55</f>
        <v>C6H2F13NO2S</v>
      </c>
      <c r="K1169" s="25">
        <f>'PFAS Properties'!$P$55</f>
        <v>398.95980000000003</v>
      </c>
      <c r="L1169" s="2">
        <f>'PFAS Properties'!$X$55</f>
        <v>6.2</v>
      </c>
      <c r="M1169" s="2" t="str">
        <f>'PFAS Properties'!$Y$55</f>
        <v>-</v>
      </c>
      <c r="N1169" s="33">
        <v>0</v>
      </c>
      <c r="O1169" s="33">
        <v>0</v>
      </c>
      <c r="P1169" s="33">
        <v>0</v>
      </c>
      <c r="Q1169" s="33">
        <f t="shared" si="541"/>
        <v>0.88818423022188298</v>
      </c>
      <c r="R1169" s="33">
        <v>0</v>
      </c>
      <c r="S1169" s="33">
        <f t="shared" si="542"/>
        <v>0.11181576977811705</v>
      </c>
      <c r="T1169" s="8">
        <f t="shared" si="543"/>
        <v>1</v>
      </c>
      <c r="U1169" s="33">
        <f t="shared" si="555"/>
        <v>0</v>
      </c>
      <c r="V1169" s="33">
        <f t="shared" si="556"/>
        <v>-0.88818423022188298</v>
      </c>
      <c r="W1169" s="33">
        <f t="shared" si="557"/>
        <v>398.07161576977819</v>
      </c>
      <c r="X1169" s="33">
        <v>96485</v>
      </c>
      <c r="Y1169" s="16">
        <f t="shared" si="558"/>
        <v>-215.27899015668652</v>
      </c>
      <c r="Z1169" s="16">
        <v>6</v>
      </c>
      <c r="AA1169" s="16">
        <v>13</v>
      </c>
      <c r="AB1169" s="8">
        <f t="shared" si="559"/>
        <v>0.291497975708502</v>
      </c>
      <c r="AC1169" s="16">
        <f t="shared" si="544"/>
        <v>61.910999554341061</v>
      </c>
      <c r="AD1169" s="20">
        <f>'PFAS Properties'!$W$55</f>
        <v>6</v>
      </c>
      <c r="AE1169" s="8">
        <f>'PFAS Properties'!$S$55</f>
        <v>2.6794278966121188</v>
      </c>
      <c r="AF1169" s="2">
        <f>'PFAS Properties'!$V$55</f>
        <v>3.5</v>
      </c>
      <c r="AG1169" s="24">
        <v>7.1</v>
      </c>
      <c r="AH1169" s="2" t="s">
        <v>183</v>
      </c>
      <c r="AI1169" s="2" t="s">
        <v>661</v>
      </c>
      <c r="AJ1169" s="2" t="s">
        <v>661</v>
      </c>
      <c r="AK1169" s="2" t="s">
        <v>661</v>
      </c>
      <c r="AL1169" s="2" t="s">
        <v>661</v>
      </c>
      <c r="AM1169" s="2" t="s">
        <v>661</v>
      </c>
      <c r="AN1169" s="2" t="s">
        <v>661</v>
      </c>
      <c r="AO1169" s="2" t="s">
        <v>661</v>
      </c>
      <c r="AP1169" s="15">
        <v>17.420000000000002</v>
      </c>
      <c r="AQ1169" s="2" t="s">
        <v>661</v>
      </c>
      <c r="AR1169" s="16">
        <v>48.86</v>
      </c>
      <c r="AS1169" s="16">
        <v>16.05</v>
      </c>
      <c r="AT1169" s="16">
        <v>35.090000000000003</v>
      </c>
      <c r="AU1169" s="2" t="s">
        <v>661</v>
      </c>
      <c r="AV1169" s="16">
        <f t="shared" si="545"/>
        <v>100</v>
      </c>
      <c r="AW1169" s="20">
        <v>1.19</v>
      </c>
      <c r="AX1169" s="8">
        <f t="shared" si="551"/>
        <v>1.1899999999999999E-2</v>
      </c>
      <c r="AY1169" s="8" t="s">
        <v>184</v>
      </c>
      <c r="AZ1169" s="16">
        <v>100</v>
      </c>
      <c r="BA1169" s="16" t="s">
        <v>55</v>
      </c>
      <c r="BB1169" s="16">
        <v>5</v>
      </c>
      <c r="BC1169" s="16" t="s">
        <v>55</v>
      </c>
      <c r="BD1169" s="20">
        <v>0.82</v>
      </c>
      <c r="BE1169" s="16">
        <f t="shared" si="552"/>
        <v>68.907563025210081</v>
      </c>
      <c r="BF1169" s="16">
        <f t="shared" si="553"/>
        <v>1.8382668909911859</v>
      </c>
      <c r="BG1169" s="8">
        <f t="shared" si="554"/>
        <v>-8.6186147616283335E-2</v>
      </c>
      <c r="BH1169" s="13" t="s">
        <v>345</v>
      </c>
      <c r="BI1169" s="13"/>
      <c r="BJ1169" s="13"/>
      <c r="BK1169" s="13"/>
      <c r="BL1169" s="13"/>
      <c r="BM1169" s="17"/>
      <c r="BN1169" s="17"/>
      <c r="BO1169" s="2"/>
    </row>
    <row r="1170" spans="1:69" s="14" customFormat="1" x14ac:dyDescent="0.3">
      <c r="A1170" s="20">
        <v>1192</v>
      </c>
      <c r="B1170" s="2" t="s">
        <v>181</v>
      </c>
      <c r="C1170" s="2">
        <v>2020</v>
      </c>
      <c r="D1170" s="2" t="s">
        <v>203</v>
      </c>
      <c r="E1170" s="10" t="s">
        <v>787</v>
      </c>
      <c r="F1170" s="20" t="s">
        <v>29</v>
      </c>
      <c r="G1170" s="2" t="s">
        <v>98</v>
      </c>
      <c r="H1170" s="2" t="str">
        <f>'PFAS Properties'!$B$55</f>
        <v>FHxSA</v>
      </c>
      <c r="I1170" s="2" t="str">
        <f>'PFAS Properties'!$C$55</f>
        <v>FOSA</v>
      </c>
      <c r="J1170" s="2" t="str">
        <f>'PFAS Properties'!$D$55</f>
        <v>C6H2F13NO2S</v>
      </c>
      <c r="K1170" s="25">
        <f>'PFAS Properties'!$P$55</f>
        <v>398.95980000000003</v>
      </c>
      <c r="L1170" s="2">
        <f>'PFAS Properties'!$X$55</f>
        <v>6.2</v>
      </c>
      <c r="M1170" s="2" t="str">
        <f>'PFAS Properties'!$Y$55</f>
        <v>-</v>
      </c>
      <c r="N1170" s="33">
        <v>0</v>
      </c>
      <c r="O1170" s="33">
        <v>0</v>
      </c>
      <c r="P1170" s="33">
        <v>0</v>
      </c>
      <c r="Q1170" s="33">
        <f t="shared" si="541"/>
        <v>0.61313682015314319</v>
      </c>
      <c r="R1170" s="33">
        <v>0</v>
      </c>
      <c r="S1170" s="33">
        <f t="shared" si="542"/>
        <v>0.38686317984685686</v>
      </c>
      <c r="T1170" s="8">
        <f t="shared" si="543"/>
        <v>1</v>
      </c>
      <c r="U1170" s="33">
        <f t="shared" si="555"/>
        <v>0</v>
      </c>
      <c r="V1170" s="33">
        <f t="shared" si="556"/>
        <v>-0.61313682015314319</v>
      </c>
      <c r="W1170" s="33">
        <f t="shared" si="557"/>
        <v>398.34666317984693</v>
      </c>
      <c r="X1170" s="33">
        <v>96485</v>
      </c>
      <c r="Y1170" s="16">
        <f t="shared" si="558"/>
        <v>-148.51010830676128</v>
      </c>
      <c r="Z1170" s="16">
        <v>6</v>
      </c>
      <c r="AA1170" s="16">
        <v>13</v>
      </c>
      <c r="AB1170" s="8">
        <f t="shared" si="559"/>
        <v>0.291497975708502</v>
      </c>
      <c r="AC1170" s="16">
        <f t="shared" si="544"/>
        <v>61.910999554341061</v>
      </c>
      <c r="AD1170" s="20">
        <f>'PFAS Properties'!$W$55</f>
        <v>6</v>
      </c>
      <c r="AE1170" s="8">
        <f>'PFAS Properties'!$S$55</f>
        <v>2.6794278966121188</v>
      </c>
      <c r="AF1170" s="2">
        <f>'PFAS Properties'!$V$55</f>
        <v>3.5</v>
      </c>
      <c r="AG1170" s="24">
        <v>6.4</v>
      </c>
      <c r="AH1170" s="2" t="s">
        <v>183</v>
      </c>
      <c r="AI1170" s="2" t="s">
        <v>661</v>
      </c>
      <c r="AJ1170" s="15" t="s">
        <v>661</v>
      </c>
      <c r="AK1170" s="8" t="s">
        <v>661</v>
      </c>
      <c r="AL1170" s="2" t="s">
        <v>661</v>
      </c>
      <c r="AM1170" s="15" t="s">
        <v>661</v>
      </c>
      <c r="AN1170" s="8" t="s">
        <v>661</v>
      </c>
      <c r="AO1170" s="15" t="s">
        <v>661</v>
      </c>
      <c r="AP1170" s="15">
        <v>16.54</v>
      </c>
      <c r="AQ1170" s="13" t="s">
        <v>661</v>
      </c>
      <c r="AR1170" s="16">
        <v>29.38</v>
      </c>
      <c r="AS1170" s="16">
        <v>13.9</v>
      </c>
      <c r="AT1170" s="16">
        <v>56.71</v>
      </c>
      <c r="AU1170" s="15" t="s">
        <v>661</v>
      </c>
      <c r="AV1170" s="16">
        <f t="shared" si="545"/>
        <v>99.990000000000009</v>
      </c>
      <c r="AW1170" s="20">
        <v>0.17</v>
      </c>
      <c r="AX1170" s="8">
        <f t="shared" si="551"/>
        <v>1.7000000000000001E-3</v>
      </c>
      <c r="AY1170" s="8" t="s">
        <v>184</v>
      </c>
      <c r="AZ1170" s="16">
        <v>100</v>
      </c>
      <c r="BA1170" s="16" t="s">
        <v>55</v>
      </c>
      <c r="BB1170" s="16">
        <v>5</v>
      </c>
      <c r="BC1170" s="16" t="s">
        <v>55</v>
      </c>
      <c r="BD1170" s="20">
        <v>2.75</v>
      </c>
      <c r="BE1170" s="16">
        <f t="shared" si="552"/>
        <v>1617.6470588235293</v>
      </c>
      <c r="BF1170" s="16">
        <f t="shared" si="553"/>
        <v>3.2088837724519887</v>
      </c>
      <c r="BG1170" s="8">
        <f t="shared" si="554"/>
        <v>0.43933269383026263</v>
      </c>
      <c r="BH1170" s="13" t="s">
        <v>345</v>
      </c>
      <c r="BI1170" s="13"/>
      <c r="BJ1170" s="13"/>
      <c r="BK1170" s="13"/>
      <c r="BL1170" s="13"/>
      <c r="BM1170" s="17"/>
      <c r="BN1170" s="17"/>
      <c r="BO1170" s="2"/>
    </row>
    <row r="1171" spans="1:69" s="14" customFormat="1" x14ac:dyDescent="0.3">
      <c r="A1171" s="20">
        <v>1193</v>
      </c>
      <c r="B1171" s="2" t="s">
        <v>247</v>
      </c>
      <c r="C1171" s="2">
        <v>2011</v>
      </c>
      <c r="D1171" s="2" t="s">
        <v>199</v>
      </c>
      <c r="E1171" s="10" t="s">
        <v>246</v>
      </c>
      <c r="F1171" s="20" t="s">
        <v>63</v>
      </c>
      <c r="G1171" s="2" t="s">
        <v>126</v>
      </c>
      <c r="H1171" s="2" t="str">
        <f>'PFAS Properties'!$B$56</f>
        <v>PFOSA</v>
      </c>
      <c r="I1171" s="2" t="str">
        <f>'PFAS Properties'!$C$56</f>
        <v>FOSA</v>
      </c>
      <c r="J1171" s="2" t="str">
        <f>'PFAS Properties'!$D$56</f>
        <v>C8H2F17NO2S</v>
      </c>
      <c r="K1171" s="25">
        <f>'PFAS Properties'!$P$56</f>
        <v>498.95340000000004</v>
      </c>
      <c r="L1171" s="2">
        <f>'PFAS Properties'!$X$56</f>
        <v>6.2</v>
      </c>
      <c r="M1171" s="2" t="str">
        <f>'PFAS Properties'!$Y$56</f>
        <v>-</v>
      </c>
      <c r="N1171" s="33">
        <v>0</v>
      </c>
      <c r="O1171" s="33">
        <v>0</v>
      </c>
      <c r="P1171" s="33">
        <v>0</v>
      </c>
      <c r="Q1171" s="33">
        <f t="shared" si="541"/>
        <v>0.74315135718388992</v>
      </c>
      <c r="R1171" s="33">
        <v>0</v>
      </c>
      <c r="S1171" s="33">
        <f t="shared" si="542"/>
        <v>0.25684864281611008</v>
      </c>
      <c r="T1171" s="8">
        <f t="shared" si="543"/>
        <v>1</v>
      </c>
      <c r="U1171" s="33">
        <f t="shared" si="555"/>
        <v>0</v>
      </c>
      <c r="V1171" s="33">
        <f t="shared" si="556"/>
        <v>-0.74315135718388992</v>
      </c>
      <c r="W1171" s="33">
        <f t="shared" si="557"/>
        <v>498.21024864281617</v>
      </c>
      <c r="X1171" s="33">
        <v>96485</v>
      </c>
      <c r="Y1171" s="16">
        <f t="shared" si="558"/>
        <v>-143.92108330411705</v>
      </c>
      <c r="Z1171" s="16">
        <v>8</v>
      </c>
      <c r="AA1171" s="16">
        <v>17</v>
      </c>
      <c r="AB1171" s="8">
        <f t="shared" si="559"/>
        <v>0.29721362229102166</v>
      </c>
      <c r="AC1171" s="16">
        <f t="shared" si="544"/>
        <v>64.735504357721567</v>
      </c>
      <c r="AD1171" s="20">
        <f>'PFAS Properties'!$W$56</f>
        <v>8</v>
      </c>
      <c r="AE1171" s="8">
        <f>'PFAS Properties'!$S$56</f>
        <v>0.90525604874845123</v>
      </c>
      <c r="AF1171" s="2">
        <f>'PFAS Properties'!$V$56</f>
        <v>4.8</v>
      </c>
      <c r="AG1171" s="124">
        <v>6.6614000000000004</v>
      </c>
      <c r="AH1171" s="70" t="s">
        <v>752</v>
      </c>
      <c r="AI1171" s="2" t="s">
        <v>661</v>
      </c>
      <c r="AJ1171" s="15" t="s">
        <v>661</v>
      </c>
      <c r="AK1171" s="8" t="s">
        <v>661</v>
      </c>
      <c r="AL1171" s="2" t="s">
        <v>661</v>
      </c>
      <c r="AM1171" s="15" t="s">
        <v>661</v>
      </c>
      <c r="AN1171" s="8" t="s">
        <v>661</v>
      </c>
      <c r="AO1171" s="15" t="s">
        <v>661</v>
      </c>
      <c r="AP1171" s="71">
        <v>5.6683166666666667</v>
      </c>
      <c r="AQ1171" s="70" t="s">
        <v>752</v>
      </c>
      <c r="AR1171" s="16">
        <v>100</v>
      </c>
      <c r="AS1171" s="16">
        <v>0</v>
      </c>
      <c r="AT1171" s="16">
        <v>0</v>
      </c>
      <c r="AU1171" s="2" t="s">
        <v>661</v>
      </c>
      <c r="AV1171" s="16">
        <f t="shared" si="545"/>
        <v>100</v>
      </c>
      <c r="AW1171" s="20">
        <v>0.03</v>
      </c>
      <c r="AX1171" s="8">
        <f t="shared" si="551"/>
        <v>2.9999999999999997E-4</v>
      </c>
      <c r="AY1171" s="13" t="s">
        <v>127</v>
      </c>
      <c r="AZ1171" s="16">
        <v>20</v>
      </c>
      <c r="BA1171" s="16" t="s">
        <v>55</v>
      </c>
      <c r="BB1171" s="15">
        <v>1.4</v>
      </c>
      <c r="BC1171" s="16">
        <v>143</v>
      </c>
      <c r="BD1171" s="25">
        <f>(15.9+23.3+13.2+19+16.3)/5</f>
        <v>17.54</v>
      </c>
      <c r="BE1171" s="16">
        <f t="shared" si="552"/>
        <v>58466.666666666672</v>
      </c>
      <c r="BF1171" s="16">
        <f t="shared" si="553"/>
        <v>4.7669083343103589</v>
      </c>
      <c r="BG1171" s="8">
        <f t="shared" si="554"/>
        <v>1.2440295890300217</v>
      </c>
      <c r="BH1171" s="13" t="s">
        <v>871</v>
      </c>
      <c r="BI1171" s="13"/>
      <c r="BJ1171" s="13"/>
      <c r="BK1171" s="13"/>
      <c r="BL1171" s="13"/>
      <c r="BM1171" s="17"/>
      <c r="BN1171" s="17"/>
      <c r="BO1171" s="2"/>
    </row>
    <row r="1172" spans="1:69" s="14" customFormat="1" x14ac:dyDescent="0.3">
      <c r="A1172" s="20">
        <v>1194</v>
      </c>
      <c r="B1172" s="2" t="s">
        <v>247</v>
      </c>
      <c r="C1172" s="2">
        <v>2011</v>
      </c>
      <c r="D1172" s="2" t="s">
        <v>199</v>
      </c>
      <c r="E1172" s="10" t="s">
        <v>246</v>
      </c>
      <c r="F1172" s="20" t="s">
        <v>63</v>
      </c>
      <c r="G1172" s="2" t="s">
        <v>128</v>
      </c>
      <c r="H1172" s="2" t="str">
        <f>'PFAS Properties'!$B$56</f>
        <v>PFOSA</v>
      </c>
      <c r="I1172" s="2" t="str">
        <f>'PFAS Properties'!$C$56</f>
        <v>FOSA</v>
      </c>
      <c r="J1172" s="2" t="str">
        <f>'PFAS Properties'!$D$56</f>
        <v>C8H2F17NO2S</v>
      </c>
      <c r="K1172" s="25">
        <f>'PFAS Properties'!$P$56</f>
        <v>498.95340000000004</v>
      </c>
      <c r="L1172" s="2">
        <f>'PFAS Properties'!$X$56</f>
        <v>6.2</v>
      </c>
      <c r="M1172" s="2" t="str">
        <f>'PFAS Properties'!$Y$56</f>
        <v>-</v>
      </c>
      <c r="N1172" s="33">
        <v>0</v>
      </c>
      <c r="O1172" s="33">
        <v>0</v>
      </c>
      <c r="P1172" s="33">
        <v>0</v>
      </c>
      <c r="Q1172" s="33">
        <f t="shared" si="541"/>
        <v>0.93210105890867467</v>
      </c>
      <c r="R1172" s="33">
        <v>0</v>
      </c>
      <c r="S1172" s="33">
        <f t="shared" si="542"/>
        <v>6.7898941091325299E-2</v>
      </c>
      <c r="T1172" s="8">
        <f t="shared" si="543"/>
        <v>1</v>
      </c>
      <c r="U1172" s="33">
        <f t="shared" si="555"/>
        <v>0</v>
      </c>
      <c r="V1172" s="33">
        <f t="shared" si="556"/>
        <v>-0.93210105890867467</v>
      </c>
      <c r="W1172" s="33">
        <f t="shared" si="557"/>
        <v>498.02129894109135</v>
      </c>
      <c r="X1172" s="33">
        <v>96485</v>
      </c>
      <c r="Y1172" s="16">
        <f t="shared" si="558"/>
        <v>-180.58217762979919</v>
      </c>
      <c r="Z1172" s="16">
        <v>8</v>
      </c>
      <c r="AA1172" s="16">
        <v>17</v>
      </c>
      <c r="AB1172" s="8">
        <f t="shared" si="559"/>
        <v>0.29721362229102166</v>
      </c>
      <c r="AC1172" s="16">
        <f t="shared" si="544"/>
        <v>64.735504357721567</v>
      </c>
      <c r="AD1172" s="20">
        <f>'PFAS Properties'!$W$56</f>
        <v>8</v>
      </c>
      <c r="AE1172" s="8">
        <f>'PFAS Properties'!$S$56</f>
        <v>0.90525604874845123</v>
      </c>
      <c r="AF1172" s="2">
        <f>'PFAS Properties'!$V$56</f>
        <v>4.8</v>
      </c>
      <c r="AG1172" s="124">
        <v>7.3376000000000001</v>
      </c>
      <c r="AH1172" s="70" t="s">
        <v>752</v>
      </c>
      <c r="AI1172" s="2" t="s">
        <v>661</v>
      </c>
      <c r="AJ1172" s="15" t="s">
        <v>661</v>
      </c>
      <c r="AK1172" s="8" t="s">
        <v>661</v>
      </c>
      <c r="AL1172" s="2" t="s">
        <v>661</v>
      </c>
      <c r="AM1172" s="15" t="s">
        <v>661</v>
      </c>
      <c r="AN1172" s="8" t="s">
        <v>661</v>
      </c>
      <c r="AO1172" s="15" t="s">
        <v>661</v>
      </c>
      <c r="AP1172" s="71">
        <v>11.99159166666667</v>
      </c>
      <c r="AQ1172" s="70" t="s">
        <v>752</v>
      </c>
      <c r="AR1172" s="16">
        <v>0</v>
      </c>
      <c r="AS1172" s="16">
        <v>100</v>
      </c>
      <c r="AT1172" s="16">
        <v>0</v>
      </c>
      <c r="AU1172" s="2" t="s">
        <v>661</v>
      </c>
      <c r="AV1172" s="16">
        <f t="shared" si="545"/>
        <v>100</v>
      </c>
      <c r="AW1172" s="20">
        <v>1.6</v>
      </c>
      <c r="AX1172" s="8">
        <f t="shared" si="551"/>
        <v>1.6E-2</v>
      </c>
      <c r="AY1172" s="13" t="s">
        <v>127</v>
      </c>
      <c r="AZ1172" s="16">
        <v>20</v>
      </c>
      <c r="BA1172" s="16" t="s">
        <v>55</v>
      </c>
      <c r="BB1172" s="16">
        <v>1.4</v>
      </c>
      <c r="BC1172" s="16">
        <v>143</v>
      </c>
      <c r="BD1172" s="20">
        <f>(139+165+187+159+200)/5</f>
        <v>170</v>
      </c>
      <c r="BE1172" s="16">
        <f t="shared" si="552"/>
        <v>10625</v>
      </c>
      <c r="BF1172" s="16">
        <f t="shared" si="553"/>
        <v>4.0263289387223491</v>
      </c>
      <c r="BG1172" s="8">
        <f t="shared" si="554"/>
        <v>2.2304489213782741</v>
      </c>
      <c r="BH1172" s="13" t="s">
        <v>871</v>
      </c>
      <c r="BI1172" s="13"/>
      <c r="BJ1172" s="13"/>
      <c r="BK1172" s="13"/>
      <c r="BL1172" s="13"/>
      <c r="BM1172" s="17"/>
      <c r="BN1172" s="17"/>
      <c r="BO1172" s="2"/>
    </row>
    <row r="1173" spans="1:69" s="14" customFormat="1" x14ac:dyDescent="0.3">
      <c r="A1173" s="20">
        <v>1195</v>
      </c>
      <c r="B1173" s="2" t="s">
        <v>247</v>
      </c>
      <c r="C1173" s="2">
        <v>2011</v>
      </c>
      <c r="D1173" s="2" t="s">
        <v>199</v>
      </c>
      <c r="E1173" s="10" t="s">
        <v>246</v>
      </c>
      <c r="F1173" s="20" t="s">
        <v>63</v>
      </c>
      <c r="G1173" s="2" t="s">
        <v>130</v>
      </c>
      <c r="H1173" s="2" t="str">
        <f>'PFAS Properties'!$B$56</f>
        <v>PFOSA</v>
      </c>
      <c r="I1173" s="2" t="str">
        <f>'PFAS Properties'!$C$56</f>
        <v>FOSA</v>
      </c>
      <c r="J1173" s="2" t="str">
        <f>'PFAS Properties'!$D$56</f>
        <v>C8H2F17NO2S</v>
      </c>
      <c r="K1173" s="25">
        <f>'PFAS Properties'!$P$56</f>
        <v>498.95340000000004</v>
      </c>
      <c r="L1173" s="2">
        <f>'PFAS Properties'!$X$56</f>
        <v>6.2</v>
      </c>
      <c r="M1173" s="2" t="str">
        <f>'PFAS Properties'!$Y$56</f>
        <v>-</v>
      </c>
      <c r="N1173" s="33">
        <v>0</v>
      </c>
      <c r="O1173" s="33">
        <v>0</v>
      </c>
      <c r="P1173" s="33">
        <v>0</v>
      </c>
      <c r="Q1173" s="33">
        <f t="shared" si="541"/>
        <v>0.93210105890867467</v>
      </c>
      <c r="R1173" s="33">
        <v>0</v>
      </c>
      <c r="S1173" s="33">
        <f t="shared" si="542"/>
        <v>6.7898941091325299E-2</v>
      </c>
      <c r="T1173" s="8">
        <f t="shared" si="543"/>
        <v>1</v>
      </c>
      <c r="U1173" s="33">
        <f t="shared" si="555"/>
        <v>0</v>
      </c>
      <c r="V1173" s="33">
        <f t="shared" si="556"/>
        <v>-0.93210105890867467</v>
      </c>
      <c r="W1173" s="33">
        <f t="shared" si="557"/>
        <v>498.02129894109135</v>
      </c>
      <c r="X1173" s="33">
        <v>96485</v>
      </c>
      <c r="Y1173" s="16">
        <f t="shared" si="558"/>
        <v>-180.58217762979919</v>
      </c>
      <c r="Z1173" s="16">
        <v>8</v>
      </c>
      <c r="AA1173" s="16">
        <v>17</v>
      </c>
      <c r="AB1173" s="8">
        <f t="shared" si="559"/>
        <v>0.29721362229102166</v>
      </c>
      <c r="AC1173" s="16">
        <f t="shared" ref="AC1173:AC1208" si="560">((AA1173*19)/K1173)*100</f>
        <v>64.735504357721567</v>
      </c>
      <c r="AD1173" s="20">
        <f>'PFAS Properties'!$W$56</f>
        <v>8</v>
      </c>
      <c r="AE1173" s="8">
        <f>'PFAS Properties'!$S$56</f>
        <v>0.90525604874845123</v>
      </c>
      <c r="AF1173" s="2">
        <f>'PFAS Properties'!$V$56</f>
        <v>4.8</v>
      </c>
      <c r="AG1173" s="124">
        <v>7.3376000000000001</v>
      </c>
      <c r="AH1173" s="70" t="s">
        <v>752</v>
      </c>
      <c r="AI1173" s="2" t="s">
        <v>661</v>
      </c>
      <c r="AJ1173" s="15" t="s">
        <v>661</v>
      </c>
      <c r="AK1173" s="8" t="s">
        <v>661</v>
      </c>
      <c r="AL1173" s="2" t="s">
        <v>661</v>
      </c>
      <c r="AM1173" s="15" t="s">
        <v>661</v>
      </c>
      <c r="AN1173" s="8" t="s">
        <v>661</v>
      </c>
      <c r="AO1173" s="15" t="s">
        <v>661</v>
      </c>
      <c r="AP1173" s="71">
        <v>11.99159166666667</v>
      </c>
      <c r="AQ1173" s="70" t="s">
        <v>752</v>
      </c>
      <c r="AR1173" s="16">
        <v>0</v>
      </c>
      <c r="AS1173" s="16">
        <v>100</v>
      </c>
      <c r="AT1173" s="16">
        <v>0</v>
      </c>
      <c r="AU1173" s="2" t="s">
        <v>661</v>
      </c>
      <c r="AV1173" s="16">
        <f t="shared" si="545"/>
        <v>100</v>
      </c>
      <c r="AW1173" s="20">
        <v>1.1000000000000001</v>
      </c>
      <c r="AX1173" s="8">
        <f t="shared" si="551"/>
        <v>1.1000000000000001E-2</v>
      </c>
      <c r="AY1173" s="13" t="s">
        <v>127</v>
      </c>
      <c r="AZ1173" s="16">
        <v>20</v>
      </c>
      <c r="BA1173" s="16" t="s">
        <v>55</v>
      </c>
      <c r="BB1173" s="16">
        <v>1.4</v>
      </c>
      <c r="BC1173" s="16">
        <v>143</v>
      </c>
      <c r="BD1173" s="25">
        <f>(43.8+42+59.3+34.5+38.3)/5</f>
        <v>43.58</v>
      </c>
      <c r="BE1173" s="16">
        <f t="shared" si="552"/>
        <v>3961.8181818181811</v>
      </c>
      <c r="BF1173" s="16">
        <f t="shared" si="553"/>
        <v>3.5978945407520118</v>
      </c>
      <c r="BG1173" s="8">
        <f t="shared" si="554"/>
        <v>1.6392872259102369</v>
      </c>
      <c r="BH1173" s="13" t="s">
        <v>871</v>
      </c>
      <c r="BI1173" s="13"/>
      <c r="BJ1173" s="13"/>
      <c r="BK1173" s="13"/>
      <c r="BL1173" s="13"/>
      <c r="BM1173" s="17"/>
      <c r="BN1173" s="17"/>
      <c r="BO1173" s="2"/>
    </row>
    <row r="1174" spans="1:69" s="14" customFormat="1" x14ac:dyDescent="0.3">
      <c r="A1174" s="20">
        <v>1197</v>
      </c>
      <c r="B1174" s="2" t="s">
        <v>195</v>
      </c>
      <c r="C1174" s="2">
        <v>2022</v>
      </c>
      <c r="D1174" s="2" t="s">
        <v>199</v>
      </c>
      <c r="E1174" s="22" t="s">
        <v>798</v>
      </c>
      <c r="F1174" s="20" t="s">
        <v>29</v>
      </c>
      <c r="G1174" s="2" t="s">
        <v>237</v>
      </c>
      <c r="H1174" s="2" t="str">
        <f>'PFAS Properties'!$B$56</f>
        <v>PFOSA</v>
      </c>
      <c r="I1174" s="2" t="str">
        <f>'PFAS Properties'!$C$56</f>
        <v>FOSA</v>
      </c>
      <c r="J1174" s="2" t="str">
        <f>'PFAS Properties'!$D$56</f>
        <v>C8H2F17NO2S</v>
      </c>
      <c r="K1174" s="25">
        <f>'PFAS Properties'!$P$56</f>
        <v>498.95340000000004</v>
      </c>
      <c r="L1174" s="2">
        <f>'PFAS Properties'!$X$56</f>
        <v>6.2</v>
      </c>
      <c r="M1174" s="2" t="str">
        <f>'PFAS Properties'!$Y$56</f>
        <v>-</v>
      </c>
      <c r="N1174" s="33">
        <v>0</v>
      </c>
      <c r="O1174" s="33">
        <v>0</v>
      </c>
      <c r="P1174" s="33">
        <v>0</v>
      </c>
      <c r="Q1174" s="33">
        <f t="shared" si="541"/>
        <v>3.0653430031715497E-2</v>
      </c>
      <c r="R1174" s="33">
        <v>0</v>
      </c>
      <c r="S1174" s="33">
        <f t="shared" si="542"/>
        <v>0.96934656996828439</v>
      </c>
      <c r="T1174" s="8">
        <f t="shared" si="543"/>
        <v>0.99999999999999989</v>
      </c>
      <c r="U1174" s="33">
        <f t="shared" si="555"/>
        <v>0</v>
      </c>
      <c r="V1174" s="33">
        <f t="shared" si="556"/>
        <v>-3.0653430031715497E-2</v>
      </c>
      <c r="W1174" s="33">
        <f t="shared" si="557"/>
        <v>498.9227465699683</v>
      </c>
      <c r="X1174" s="33">
        <v>96485</v>
      </c>
      <c r="Y1174" s="16">
        <f t="shared" si="558"/>
        <v>-5.9279642328259738</v>
      </c>
      <c r="Z1174" s="16">
        <v>8</v>
      </c>
      <c r="AA1174" s="16">
        <v>17</v>
      </c>
      <c r="AB1174" s="8">
        <f t="shared" si="559"/>
        <v>0.29721362229102166</v>
      </c>
      <c r="AC1174" s="16">
        <f t="shared" si="560"/>
        <v>64.735504357721567</v>
      </c>
      <c r="AD1174" s="20">
        <f>'PFAS Properties'!$W$56</f>
        <v>8</v>
      </c>
      <c r="AE1174" s="8">
        <f>'PFAS Properties'!$S$56</f>
        <v>0.90525604874845123</v>
      </c>
      <c r="AF1174" s="2">
        <f>'PFAS Properties'!$V$56</f>
        <v>4.8</v>
      </c>
      <c r="AG1174" s="24">
        <v>4.7</v>
      </c>
      <c r="AH1174" s="2" t="s">
        <v>832</v>
      </c>
      <c r="AI1174" s="8">
        <f>(6.8*55.845)/1000</f>
        <v>0.37974599999999997</v>
      </c>
      <c r="AJ1174" s="15">
        <f>AI1174*1000/55.845</f>
        <v>6.8</v>
      </c>
      <c r="AK1174" s="8">
        <f t="shared" ref="AK1174:AK1185" si="561">AI1174/10</f>
        <v>3.7974599999999997E-2</v>
      </c>
      <c r="AL1174" s="8">
        <f>(4*26.982)/1000</f>
        <v>0.107928</v>
      </c>
      <c r="AM1174" s="15">
        <f>AL1174*1000/55.845</f>
        <v>1.932634971796938</v>
      </c>
      <c r="AN1174" s="8">
        <f t="shared" ref="AN1174:AN1185" si="562">AL1174/10</f>
        <v>1.07928E-2</v>
      </c>
      <c r="AO1174" s="2" t="s">
        <v>86</v>
      </c>
      <c r="AP1174" s="72">
        <v>14.768748</v>
      </c>
      <c r="AQ1174" s="70" t="s">
        <v>752</v>
      </c>
      <c r="AR1174" s="71">
        <v>37.396533331999997</v>
      </c>
      <c r="AS1174" s="71">
        <v>37.430266667999987</v>
      </c>
      <c r="AT1174" s="71">
        <v>24.989000000000001</v>
      </c>
      <c r="AU1174" s="70" t="s">
        <v>752</v>
      </c>
      <c r="AV1174" s="16">
        <f t="shared" ref="AV1174:AV1176" si="563">SUM(AR1174:AT1174)</f>
        <v>99.815799999999996</v>
      </c>
      <c r="AW1174" s="20">
        <v>44.9</v>
      </c>
      <c r="AX1174" s="8">
        <f t="shared" si="551"/>
        <v>0.44900000000000001</v>
      </c>
      <c r="AY1174" s="8" t="s">
        <v>240</v>
      </c>
      <c r="AZ1174" s="16">
        <f>0.75/0.03</f>
        <v>25</v>
      </c>
      <c r="BA1174" s="16" t="s">
        <v>55</v>
      </c>
      <c r="BB1174" s="15">
        <f>(7*K1174)/1000</f>
        <v>3.4926738000000004</v>
      </c>
      <c r="BC1174" s="16">
        <f>(200*K1174)/1000</f>
        <v>99.790680000000009</v>
      </c>
      <c r="BD1174" s="25">
        <f>(10^((3.11))*AX1174)</f>
        <v>578.42404871021745</v>
      </c>
      <c r="BE1174" s="16">
        <f t="shared" si="552"/>
        <v>1288.2495516931347</v>
      </c>
      <c r="BF1174" s="16">
        <f t="shared" si="553"/>
        <v>3.1100000000000003</v>
      </c>
      <c r="BG1174" s="8">
        <f t="shared" si="554"/>
        <v>2.7622463410033236</v>
      </c>
      <c r="BH1174" s="35" t="s">
        <v>872</v>
      </c>
      <c r="BI1174" s="16"/>
      <c r="BJ1174" s="13"/>
      <c r="BK1174" s="15"/>
      <c r="BL1174" s="16"/>
      <c r="BM1174" s="18"/>
      <c r="BN1174" s="8"/>
      <c r="BO1174" s="24"/>
    </row>
    <row r="1175" spans="1:69" s="14" customFormat="1" x14ac:dyDescent="0.3">
      <c r="A1175" s="20">
        <v>1198</v>
      </c>
      <c r="B1175" s="2" t="s">
        <v>195</v>
      </c>
      <c r="C1175" s="2">
        <v>2022</v>
      </c>
      <c r="D1175" s="2" t="s">
        <v>199</v>
      </c>
      <c r="E1175" s="10" t="s">
        <v>798</v>
      </c>
      <c r="F1175" s="20" t="s">
        <v>29</v>
      </c>
      <c r="G1175" s="2" t="s">
        <v>238</v>
      </c>
      <c r="H1175" s="2" t="str">
        <f>'PFAS Properties'!$B$56</f>
        <v>PFOSA</v>
      </c>
      <c r="I1175" s="2" t="str">
        <f>'PFAS Properties'!$C$56</f>
        <v>FOSA</v>
      </c>
      <c r="J1175" s="2" t="str">
        <f>'PFAS Properties'!$D$56</f>
        <v>C8H2F17NO2S</v>
      </c>
      <c r="K1175" s="25">
        <f>'PFAS Properties'!$P$56</f>
        <v>498.95340000000004</v>
      </c>
      <c r="L1175" s="2">
        <f>'PFAS Properties'!$X$56</f>
        <v>6.2</v>
      </c>
      <c r="M1175" s="2" t="str">
        <f>'PFAS Properties'!$Y$56</f>
        <v>-</v>
      </c>
      <c r="N1175" s="33">
        <v>0</v>
      </c>
      <c r="O1175" s="33">
        <v>0</v>
      </c>
      <c r="P1175" s="33">
        <v>0</v>
      </c>
      <c r="Q1175" s="33">
        <f t="shared" si="541"/>
        <v>7.8806838503302761E-3</v>
      </c>
      <c r="R1175" s="33">
        <v>0</v>
      </c>
      <c r="S1175" s="33">
        <f t="shared" si="542"/>
        <v>0.99211931614966975</v>
      </c>
      <c r="T1175" s="8">
        <f t="shared" si="543"/>
        <v>1</v>
      </c>
      <c r="U1175" s="33">
        <f t="shared" si="555"/>
        <v>0</v>
      </c>
      <c r="V1175" s="33">
        <f t="shared" si="556"/>
        <v>-7.8806838503302761E-3</v>
      </c>
      <c r="W1175" s="33">
        <f t="shared" si="557"/>
        <v>498.94551931614973</v>
      </c>
      <c r="X1175" s="33">
        <v>96485</v>
      </c>
      <c r="Y1175" s="16">
        <f t="shared" si="558"/>
        <v>-1.5239495132479994</v>
      </c>
      <c r="Z1175" s="16">
        <v>8</v>
      </c>
      <c r="AA1175" s="16">
        <v>17</v>
      </c>
      <c r="AB1175" s="8">
        <f t="shared" si="559"/>
        <v>0.29721362229102166</v>
      </c>
      <c r="AC1175" s="16">
        <f t="shared" si="560"/>
        <v>64.735504357721567</v>
      </c>
      <c r="AD1175" s="20">
        <f>'PFAS Properties'!$W$56</f>
        <v>8</v>
      </c>
      <c r="AE1175" s="8">
        <f>'PFAS Properties'!$S$56</f>
        <v>0.90525604874845123</v>
      </c>
      <c r="AF1175" s="2">
        <f>'PFAS Properties'!$V$56</f>
        <v>4.8</v>
      </c>
      <c r="AG1175" s="24">
        <v>4.0999999999999996</v>
      </c>
      <c r="AH1175" s="2" t="s">
        <v>832</v>
      </c>
      <c r="AI1175" s="8">
        <f>(28*55.845)/1000</f>
        <v>1.5636599999999998</v>
      </c>
      <c r="AJ1175" s="15">
        <f>AI1175*1000/55.845</f>
        <v>27.999999999999996</v>
      </c>
      <c r="AK1175" s="8">
        <f t="shared" si="561"/>
        <v>0.15636599999999998</v>
      </c>
      <c r="AL1175" s="8">
        <f>(17*26.982)/1000</f>
        <v>0.45869399999999994</v>
      </c>
      <c r="AM1175" s="15">
        <f>AL1175*1000/55.845</f>
        <v>8.2136986301369852</v>
      </c>
      <c r="AN1175" s="8">
        <f t="shared" si="562"/>
        <v>4.5869399999999991E-2</v>
      </c>
      <c r="AO1175" s="2" t="s">
        <v>86</v>
      </c>
      <c r="AP1175" s="72">
        <v>14.715147999999999</v>
      </c>
      <c r="AQ1175" s="70" t="s">
        <v>752</v>
      </c>
      <c r="AR1175" s="71">
        <v>37.490533331999998</v>
      </c>
      <c r="AS1175" s="71">
        <v>37.393866668000001</v>
      </c>
      <c r="AT1175" s="71">
        <v>24.9392</v>
      </c>
      <c r="AU1175" s="70" t="s">
        <v>752</v>
      </c>
      <c r="AV1175" s="16">
        <f t="shared" si="563"/>
        <v>99.823599999999999</v>
      </c>
      <c r="AW1175" s="20">
        <v>46.6</v>
      </c>
      <c r="AX1175" s="8">
        <f t="shared" si="551"/>
        <v>0.46600000000000003</v>
      </c>
      <c r="AY1175" s="8" t="s">
        <v>240</v>
      </c>
      <c r="AZ1175" s="16">
        <f>0.75/0.03</f>
        <v>25</v>
      </c>
      <c r="BA1175" s="16" t="s">
        <v>55</v>
      </c>
      <c r="BB1175" s="15">
        <f>(30*K1175)/1000</f>
        <v>14.968602000000001</v>
      </c>
      <c r="BC1175" s="16" t="s">
        <v>55</v>
      </c>
      <c r="BD1175" s="25">
        <f>(10^((3.06))*AX1175)</f>
        <v>535.03958761754791</v>
      </c>
      <c r="BE1175" s="16">
        <f t="shared" si="552"/>
        <v>1148.1536214968839</v>
      </c>
      <c r="BF1175" s="16">
        <f t="shared" si="553"/>
        <v>3.0600000000000005</v>
      </c>
      <c r="BG1175" s="8">
        <f t="shared" si="554"/>
        <v>2.7283859166900006</v>
      </c>
      <c r="BH1175" s="35" t="s">
        <v>872</v>
      </c>
      <c r="BI1175" s="2"/>
      <c r="BJ1175" s="2"/>
      <c r="BK1175" s="2"/>
      <c r="BL1175" s="2"/>
      <c r="BM1175" s="20"/>
      <c r="BN1175" s="20"/>
      <c r="BO1175" s="2"/>
    </row>
    <row r="1176" spans="1:69" s="14" customFormat="1" x14ac:dyDescent="0.3">
      <c r="A1176" s="20">
        <v>1199</v>
      </c>
      <c r="B1176" s="2" t="s">
        <v>195</v>
      </c>
      <c r="C1176" s="2">
        <v>2022</v>
      </c>
      <c r="D1176" s="2" t="s">
        <v>199</v>
      </c>
      <c r="E1176" s="10" t="s">
        <v>798</v>
      </c>
      <c r="F1176" s="20" t="s">
        <v>29</v>
      </c>
      <c r="G1176" s="2" t="s">
        <v>239</v>
      </c>
      <c r="H1176" s="2" t="str">
        <f>'PFAS Properties'!$B$56</f>
        <v>PFOSA</v>
      </c>
      <c r="I1176" s="2" t="str">
        <f>'PFAS Properties'!$C$56</f>
        <v>FOSA</v>
      </c>
      <c r="J1176" s="2" t="str">
        <f>'PFAS Properties'!$D$56</f>
        <v>C8H2F17NO2S</v>
      </c>
      <c r="K1176" s="25">
        <f>'PFAS Properties'!$P$56</f>
        <v>498.95340000000004</v>
      </c>
      <c r="L1176" s="2">
        <f>'PFAS Properties'!$X$56</f>
        <v>6.2</v>
      </c>
      <c r="M1176" s="2" t="str">
        <f>'PFAS Properties'!$Y$56</f>
        <v>-</v>
      </c>
      <c r="N1176" s="33">
        <v>0</v>
      </c>
      <c r="O1176" s="33">
        <v>0</v>
      </c>
      <c r="P1176" s="33">
        <v>0</v>
      </c>
      <c r="Q1176" s="33">
        <f t="shared" si="541"/>
        <v>6.2700123414338336E-3</v>
      </c>
      <c r="R1176" s="33">
        <v>0</v>
      </c>
      <c r="S1176" s="33">
        <f t="shared" si="542"/>
        <v>0.99372998765856613</v>
      </c>
      <c r="T1176" s="8">
        <f t="shared" si="543"/>
        <v>1</v>
      </c>
      <c r="U1176" s="33">
        <f t="shared" si="555"/>
        <v>0</v>
      </c>
      <c r="V1176" s="33">
        <f t="shared" si="556"/>
        <v>-6.2700123414338336E-3</v>
      </c>
      <c r="W1176" s="33">
        <f t="shared" si="557"/>
        <v>498.94712998765857</v>
      </c>
      <c r="X1176" s="33">
        <v>96485</v>
      </c>
      <c r="Y1176" s="16">
        <f t="shared" si="558"/>
        <v>-1.2124774438089405</v>
      </c>
      <c r="Z1176" s="16">
        <v>8</v>
      </c>
      <c r="AA1176" s="16">
        <v>17</v>
      </c>
      <c r="AB1176" s="8">
        <f t="shared" si="559"/>
        <v>0.29721362229102166</v>
      </c>
      <c r="AC1176" s="16">
        <f t="shared" si="560"/>
        <v>64.735504357721567</v>
      </c>
      <c r="AD1176" s="20">
        <f>'PFAS Properties'!$W$56</f>
        <v>8</v>
      </c>
      <c r="AE1176" s="8">
        <f>'PFAS Properties'!$S$56</f>
        <v>0.90525604874845123</v>
      </c>
      <c r="AF1176" s="2">
        <f>'PFAS Properties'!$V$56</f>
        <v>4.8</v>
      </c>
      <c r="AG1176" s="24">
        <v>4</v>
      </c>
      <c r="AH1176" s="2" t="s">
        <v>832</v>
      </c>
      <c r="AI1176" s="8">
        <f>(5*55.845)/1000</f>
        <v>0.279225</v>
      </c>
      <c r="AJ1176" s="15">
        <f>AI1176*1000/55.845</f>
        <v>5.0000000000000009</v>
      </c>
      <c r="AK1176" s="8">
        <f t="shared" si="561"/>
        <v>2.7922499999999999E-2</v>
      </c>
      <c r="AL1176" s="8">
        <f>(15*26.982)/1000</f>
        <v>0.40473000000000003</v>
      </c>
      <c r="AM1176" s="15">
        <f>AL1176*1000/55.845</f>
        <v>7.2473811442385179</v>
      </c>
      <c r="AN1176" s="8">
        <f t="shared" si="562"/>
        <v>4.0473000000000002E-2</v>
      </c>
      <c r="AO1176" s="2" t="s">
        <v>86</v>
      </c>
      <c r="AP1176" s="72">
        <v>14.763688</v>
      </c>
      <c r="AQ1176" s="70" t="s">
        <v>752</v>
      </c>
      <c r="AR1176" s="71">
        <v>37.414333332000012</v>
      </c>
      <c r="AS1176" s="71">
        <v>37.430866668</v>
      </c>
      <c r="AT1176" s="71">
        <v>24.970400000000001</v>
      </c>
      <c r="AU1176" s="70" t="s">
        <v>752</v>
      </c>
      <c r="AV1176" s="16">
        <f t="shared" si="563"/>
        <v>99.815600000000003</v>
      </c>
      <c r="AW1176" s="20">
        <v>53.6</v>
      </c>
      <c r="AX1176" s="8">
        <f t="shared" si="551"/>
        <v>0.53600000000000003</v>
      </c>
      <c r="AY1176" s="8" t="s">
        <v>240</v>
      </c>
      <c r="AZ1176" s="16">
        <f>0.75/0.03</f>
        <v>25</v>
      </c>
      <c r="BA1176" s="16" t="s">
        <v>55</v>
      </c>
      <c r="BB1176" s="15">
        <f>(7*K1176)/1000</f>
        <v>3.4926738000000004</v>
      </c>
      <c r="BC1176" s="16">
        <f>(200*K1176)/1000</f>
        <v>99.790680000000009</v>
      </c>
      <c r="BD1176" s="25">
        <f>(10^2.95)*AX1176</f>
        <v>477.71050283968816</v>
      </c>
      <c r="BE1176" s="16">
        <f t="shared" si="552"/>
        <v>891.25093813374656</v>
      </c>
      <c r="BF1176" s="16">
        <f t="shared" si="553"/>
        <v>2.9500000000000006</v>
      </c>
      <c r="BG1176" s="8">
        <f t="shared" si="554"/>
        <v>2.6791647896927704</v>
      </c>
      <c r="BH1176" s="35" t="s">
        <v>872</v>
      </c>
      <c r="BI1176" s="16"/>
      <c r="BJ1176" s="13"/>
      <c r="BK1176" s="15"/>
      <c r="BL1176" s="16"/>
      <c r="BM1176" s="18"/>
      <c r="BN1176" s="8"/>
      <c r="BO1176" s="24"/>
    </row>
    <row r="1177" spans="1:69" x14ac:dyDescent="0.3">
      <c r="A1177" s="20">
        <v>1201</v>
      </c>
      <c r="B1177" s="2" t="s">
        <v>690</v>
      </c>
      <c r="C1177" s="2">
        <v>2023</v>
      </c>
      <c r="D1177" s="2" t="s">
        <v>199</v>
      </c>
      <c r="E1177" s="10" t="s">
        <v>803</v>
      </c>
      <c r="F1177" s="20" t="s">
        <v>29</v>
      </c>
      <c r="G1177" s="2" t="s">
        <v>692</v>
      </c>
      <c r="H1177" s="2" t="str">
        <f>'PFAS Properties'!$B$56</f>
        <v>PFOSA</v>
      </c>
      <c r="I1177" s="2" t="str">
        <f>'PFAS Properties'!$C$56</f>
        <v>FOSA</v>
      </c>
      <c r="J1177" s="2" t="str">
        <f>'PFAS Properties'!$D$56</f>
        <v>C8H2F17NO2S</v>
      </c>
      <c r="K1177" s="25">
        <f>'PFAS Properties'!$P$56</f>
        <v>498.95340000000004</v>
      </c>
      <c r="L1177" s="2">
        <f>'PFAS Properties'!$X$56</f>
        <v>6.2</v>
      </c>
      <c r="M1177" s="2" t="str">
        <f>'PFAS Properties'!$Y$56</f>
        <v>-</v>
      </c>
      <c r="N1177" s="33">
        <v>0</v>
      </c>
      <c r="O1177" s="33">
        <v>0</v>
      </c>
      <c r="P1177" s="33">
        <v>0</v>
      </c>
      <c r="Q1177" s="33">
        <f t="shared" si="541"/>
        <v>0.1663375308165618</v>
      </c>
      <c r="R1177" s="33">
        <v>0</v>
      </c>
      <c r="S1177" s="33">
        <f t="shared" si="542"/>
        <v>0.83366246918343823</v>
      </c>
      <c r="T1177" s="8">
        <f t="shared" si="543"/>
        <v>1</v>
      </c>
      <c r="U1177" s="33">
        <f t="shared" si="555"/>
        <v>0</v>
      </c>
      <c r="V1177" s="33">
        <f t="shared" si="556"/>
        <v>-0.1663375308165618</v>
      </c>
      <c r="W1177" s="33">
        <f t="shared" si="557"/>
        <v>498.78706246918352</v>
      </c>
      <c r="X1177" s="33">
        <v>96485</v>
      </c>
      <c r="Y1177" s="16">
        <f t="shared" si="558"/>
        <v>-32.17620878413927</v>
      </c>
      <c r="Z1177" s="16">
        <v>8</v>
      </c>
      <c r="AA1177" s="16">
        <v>17</v>
      </c>
      <c r="AB1177" s="8">
        <f t="shared" si="559"/>
        <v>0.29721362229102166</v>
      </c>
      <c r="AC1177" s="16">
        <f t="shared" si="560"/>
        <v>64.735504357721567</v>
      </c>
      <c r="AD1177" s="20">
        <f>'PFAS Properties'!$W$56</f>
        <v>8</v>
      </c>
      <c r="AE1177" s="8">
        <f>'PFAS Properties'!$S$56</f>
        <v>0.90525604874845123</v>
      </c>
      <c r="AF1177" s="2">
        <f>'PFAS Properties'!$V$56</f>
        <v>4.8</v>
      </c>
      <c r="AG1177" s="26">
        <v>5.5</v>
      </c>
      <c r="AH1177" s="2" t="s">
        <v>701</v>
      </c>
      <c r="AI1177" s="15">
        <f t="shared" ref="AI1177:AI1185" si="564">AJ1177*55.845/1000</f>
        <v>7.2598499999999992</v>
      </c>
      <c r="AJ1177" s="16">
        <v>130</v>
      </c>
      <c r="AK1177" s="8">
        <f t="shared" si="561"/>
        <v>0.72598499999999988</v>
      </c>
      <c r="AL1177" s="15">
        <f t="shared" ref="AL1177:AL1185" si="565">AM1177*26.982/1000</f>
        <v>13.491</v>
      </c>
      <c r="AM1177" s="16">
        <v>500</v>
      </c>
      <c r="AN1177" s="8">
        <f t="shared" si="562"/>
        <v>1.3491</v>
      </c>
      <c r="AO1177" s="15" t="s">
        <v>705</v>
      </c>
      <c r="AP1177" s="2">
        <v>1</v>
      </c>
      <c r="AQ1177" s="15" t="s">
        <v>702</v>
      </c>
      <c r="AR1177" s="4">
        <v>54</v>
      </c>
      <c r="AS1177" s="4">
        <v>42</v>
      </c>
      <c r="AT1177" s="4">
        <v>4</v>
      </c>
      <c r="AU1177" s="2" t="s">
        <v>703</v>
      </c>
      <c r="AV1177" s="16">
        <f t="shared" ref="AV1177:AV1195" si="566">SUM(AR1177:AT1177)</f>
        <v>100</v>
      </c>
      <c r="AW1177" s="7">
        <v>2.2000000000000002</v>
      </c>
      <c r="AX1177" s="8">
        <f t="shared" si="551"/>
        <v>2.2000000000000002E-2</v>
      </c>
      <c r="AY1177" s="8" t="s">
        <v>704</v>
      </c>
      <c r="AZ1177" s="16">
        <v>10</v>
      </c>
      <c r="BA1177" s="16" t="s">
        <v>55</v>
      </c>
      <c r="BB1177" s="16" t="s">
        <v>55</v>
      </c>
      <c r="BC1177" s="16" t="s">
        <v>55</v>
      </c>
      <c r="BD1177" s="24">
        <f t="shared" ref="BD1177:BD1185" si="567">10^BG1177</f>
        <v>188.36490894898014</v>
      </c>
      <c r="BE1177" s="16">
        <f t="shared" si="552"/>
        <v>8562.0413158627325</v>
      </c>
      <c r="BF1177" s="16">
        <f t="shared" si="553"/>
        <v>3.9325773191777937</v>
      </c>
      <c r="BG1177" s="8">
        <f>(2.48+2.07)/2</f>
        <v>2.2749999999999999</v>
      </c>
      <c r="BH1177" s="15" t="s">
        <v>847</v>
      </c>
      <c r="BI1177" s="1"/>
      <c r="BJ1177" s="2"/>
      <c r="BK1177" s="1"/>
      <c r="BL1177" s="1"/>
      <c r="BM1177" s="7"/>
      <c r="BN1177" s="7"/>
      <c r="BO1177" s="1"/>
      <c r="BP1177" s="11"/>
      <c r="BQ1177" s="11"/>
    </row>
    <row r="1178" spans="1:69" x14ac:dyDescent="0.3">
      <c r="A1178" s="20">
        <v>1202</v>
      </c>
      <c r="B1178" s="2" t="s">
        <v>690</v>
      </c>
      <c r="C1178" s="2">
        <v>2023</v>
      </c>
      <c r="D1178" s="2" t="s">
        <v>199</v>
      </c>
      <c r="E1178" s="10" t="s">
        <v>803</v>
      </c>
      <c r="F1178" s="20" t="s">
        <v>29</v>
      </c>
      <c r="G1178" s="2" t="s">
        <v>694</v>
      </c>
      <c r="H1178" s="2" t="str">
        <f>'PFAS Properties'!$B$56</f>
        <v>PFOSA</v>
      </c>
      <c r="I1178" s="2" t="str">
        <f>'PFAS Properties'!$C$56</f>
        <v>FOSA</v>
      </c>
      <c r="J1178" s="2" t="str">
        <f>'PFAS Properties'!$D$56</f>
        <v>C8H2F17NO2S</v>
      </c>
      <c r="K1178" s="25">
        <f>'PFAS Properties'!$P$56</f>
        <v>498.95340000000004</v>
      </c>
      <c r="L1178" s="2">
        <f>'PFAS Properties'!$X$56</f>
        <v>6.2</v>
      </c>
      <c r="M1178" s="2" t="str">
        <f>'PFAS Properties'!$Y$56</f>
        <v>-</v>
      </c>
      <c r="N1178" s="33">
        <v>0</v>
      </c>
      <c r="O1178" s="33">
        <v>0</v>
      </c>
      <c r="P1178" s="33">
        <v>0</v>
      </c>
      <c r="Q1178" s="33">
        <f t="shared" si="541"/>
        <v>0.99009900990099009</v>
      </c>
      <c r="R1178" s="33">
        <v>0</v>
      </c>
      <c r="S1178" s="33">
        <f t="shared" si="542"/>
        <v>9.9009900990099133E-3</v>
      </c>
      <c r="T1178" s="8">
        <f t="shared" si="543"/>
        <v>1</v>
      </c>
      <c r="U1178" s="33">
        <f t="shared" si="555"/>
        <v>0</v>
      </c>
      <c r="V1178" s="33">
        <f t="shared" si="556"/>
        <v>-0.99009900990099009</v>
      </c>
      <c r="W1178" s="33">
        <f t="shared" si="557"/>
        <v>497.96330099009907</v>
      </c>
      <c r="X1178" s="33">
        <v>96485</v>
      </c>
      <c r="Y1178" s="16">
        <f t="shared" si="558"/>
        <v>-191.84085007942468</v>
      </c>
      <c r="Z1178" s="16">
        <v>8</v>
      </c>
      <c r="AA1178" s="16">
        <v>17</v>
      </c>
      <c r="AB1178" s="8">
        <f t="shared" si="559"/>
        <v>0.29721362229102166</v>
      </c>
      <c r="AC1178" s="16">
        <f t="shared" si="560"/>
        <v>64.735504357721567</v>
      </c>
      <c r="AD1178" s="20">
        <f>'PFAS Properties'!$W$56</f>
        <v>8</v>
      </c>
      <c r="AE1178" s="8">
        <f>'PFAS Properties'!$S$56</f>
        <v>0.90525604874845123</v>
      </c>
      <c r="AF1178" s="2">
        <f>'PFAS Properties'!$V$56</f>
        <v>4.8</v>
      </c>
      <c r="AG1178" s="26">
        <v>8.1999999999999993</v>
      </c>
      <c r="AH1178" s="2" t="s">
        <v>701</v>
      </c>
      <c r="AI1178" s="15">
        <f t="shared" si="564"/>
        <v>1.89873</v>
      </c>
      <c r="AJ1178" s="16">
        <v>34</v>
      </c>
      <c r="AK1178" s="8">
        <f t="shared" si="561"/>
        <v>0.18987300000000001</v>
      </c>
      <c r="AL1178" s="15">
        <f t="shared" si="565"/>
        <v>0.75549599999999995</v>
      </c>
      <c r="AM1178" s="16">
        <v>28</v>
      </c>
      <c r="AN1178" s="8">
        <f t="shared" si="562"/>
        <v>7.5549599999999995E-2</v>
      </c>
      <c r="AO1178" s="15" t="s">
        <v>705</v>
      </c>
      <c r="AP1178" s="2">
        <v>15</v>
      </c>
      <c r="AQ1178" s="15" t="s">
        <v>702</v>
      </c>
      <c r="AR1178" s="4">
        <v>27</v>
      </c>
      <c r="AS1178" s="4">
        <v>56</v>
      </c>
      <c r="AT1178" s="4">
        <v>16</v>
      </c>
      <c r="AU1178" s="2" t="s">
        <v>703</v>
      </c>
      <c r="AV1178" s="16">
        <f t="shared" si="566"/>
        <v>99</v>
      </c>
      <c r="AW1178" s="7">
        <v>1.6</v>
      </c>
      <c r="AX1178" s="8">
        <f t="shared" si="551"/>
        <v>1.6E-2</v>
      </c>
      <c r="AY1178" s="8" t="s">
        <v>704</v>
      </c>
      <c r="AZ1178" s="16">
        <v>10</v>
      </c>
      <c r="BA1178" s="16" t="s">
        <v>55</v>
      </c>
      <c r="BB1178" s="16" t="s">
        <v>55</v>
      </c>
      <c r="BC1178" s="16" t="s">
        <v>55</v>
      </c>
      <c r="BD1178" s="24">
        <f t="shared" si="567"/>
        <v>9.7723722095581103</v>
      </c>
      <c r="BE1178" s="16">
        <f t="shared" si="552"/>
        <v>610.77326309738191</v>
      </c>
      <c r="BF1178" s="16">
        <f t="shared" si="553"/>
        <v>2.7858800173440752</v>
      </c>
      <c r="BG1178" s="8">
        <v>0.99</v>
      </c>
      <c r="BH1178" s="15" t="s">
        <v>848</v>
      </c>
      <c r="BI1178" s="1"/>
      <c r="BJ1178" s="2"/>
      <c r="BK1178" s="1"/>
      <c r="BL1178" s="1"/>
      <c r="BM1178" s="7"/>
      <c r="BN1178" s="7"/>
      <c r="BO1178" s="1"/>
      <c r="BP1178" s="11"/>
      <c r="BQ1178" s="11"/>
    </row>
    <row r="1179" spans="1:69" x14ac:dyDescent="0.3">
      <c r="A1179" s="20">
        <v>1203</v>
      </c>
      <c r="B1179" s="2" t="s">
        <v>690</v>
      </c>
      <c r="C1179" s="2">
        <v>2023</v>
      </c>
      <c r="D1179" s="2" t="s">
        <v>199</v>
      </c>
      <c r="E1179" s="10" t="s">
        <v>803</v>
      </c>
      <c r="F1179" s="20" t="s">
        <v>29</v>
      </c>
      <c r="G1179" s="2" t="s">
        <v>693</v>
      </c>
      <c r="H1179" s="2" t="str">
        <f>'PFAS Properties'!$B$56</f>
        <v>PFOSA</v>
      </c>
      <c r="I1179" s="2" t="str">
        <f>'PFAS Properties'!$C$56</f>
        <v>FOSA</v>
      </c>
      <c r="J1179" s="2" t="str">
        <f>'PFAS Properties'!$D$56</f>
        <v>C8H2F17NO2S</v>
      </c>
      <c r="K1179" s="25">
        <f>'PFAS Properties'!$P$56</f>
        <v>498.95340000000004</v>
      </c>
      <c r="L1179" s="2">
        <f>'PFAS Properties'!$X$56</f>
        <v>6.2</v>
      </c>
      <c r="M1179" s="2" t="str">
        <f>'PFAS Properties'!$Y$56</f>
        <v>-</v>
      </c>
      <c r="N1179" s="33">
        <v>0</v>
      </c>
      <c r="O1179" s="33">
        <v>0</v>
      </c>
      <c r="P1179" s="33">
        <v>0</v>
      </c>
      <c r="Q1179" s="33">
        <f t="shared" si="541"/>
        <v>0.1663375308165618</v>
      </c>
      <c r="R1179" s="33">
        <v>0</v>
      </c>
      <c r="S1179" s="33">
        <f t="shared" si="542"/>
        <v>0.83366246918343823</v>
      </c>
      <c r="T1179" s="8">
        <f t="shared" si="543"/>
        <v>1</v>
      </c>
      <c r="U1179" s="33">
        <f t="shared" si="555"/>
        <v>0</v>
      </c>
      <c r="V1179" s="33">
        <f t="shared" si="556"/>
        <v>-0.1663375308165618</v>
      </c>
      <c r="W1179" s="33">
        <f t="shared" si="557"/>
        <v>498.78706246918352</v>
      </c>
      <c r="X1179" s="33">
        <v>96485</v>
      </c>
      <c r="Y1179" s="16">
        <f t="shared" si="558"/>
        <v>-32.17620878413927</v>
      </c>
      <c r="Z1179" s="16">
        <v>8</v>
      </c>
      <c r="AA1179" s="16">
        <v>17</v>
      </c>
      <c r="AB1179" s="8">
        <f t="shared" si="559"/>
        <v>0.29721362229102166</v>
      </c>
      <c r="AC1179" s="16">
        <f t="shared" si="560"/>
        <v>64.735504357721567</v>
      </c>
      <c r="AD1179" s="20">
        <f>'PFAS Properties'!$W$56</f>
        <v>8</v>
      </c>
      <c r="AE1179" s="8">
        <f>'PFAS Properties'!$S$56</f>
        <v>0.90525604874845123</v>
      </c>
      <c r="AF1179" s="2">
        <f>'PFAS Properties'!$V$56</f>
        <v>4.8</v>
      </c>
      <c r="AG1179" s="26">
        <v>5.5</v>
      </c>
      <c r="AH1179" s="2" t="s">
        <v>701</v>
      </c>
      <c r="AI1179" s="15">
        <f t="shared" si="564"/>
        <v>6.1429499999999999</v>
      </c>
      <c r="AJ1179" s="16">
        <v>110</v>
      </c>
      <c r="AK1179" s="8">
        <f t="shared" si="561"/>
        <v>0.61429500000000004</v>
      </c>
      <c r="AL1179" s="15">
        <f t="shared" si="565"/>
        <v>0.83644200000000002</v>
      </c>
      <c r="AM1179" s="16">
        <v>31</v>
      </c>
      <c r="AN1179" s="8">
        <f t="shared" si="562"/>
        <v>8.3644200000000002E-2</v>
      </c>
      <c r="AO1179" s="15" t="s">
        <v>705</v>
      </c>
      <c r="AP1179" s="2">
        <v>8.6</v>
      </c>
      <c r="AQ1179" s="15" t="s">
        <v>702</v>
      </c>
      <c r="AR1179" s="4">
        <v>27</v>
      </c>
      <c r="AS1179" s="4">
        <v>44</v>
      </c>
      <c r="AT1179" s="4">
        <v>29</v>
      </c>
      <c r="AU1179" s="2" t="s">
        <v>703</v>
      </c>
      <c r="AV1179" s="16">
        <f t="shared" si="566"/>
        <v>100</v>
      </c>
      <c r="AW1179" s="7">
        <v>1.3</v>
      </c>
      <c r="AX1179" s="8">
        <f t="shared" si="551"/>
        <v>1.3000000000000001E-2</v>
      </c>
      <c r="AY1179" s="8" t="s">
        <v>704</v>
      </c>
      <c r="AZ1179" s="16">
        <v>10</v>
      </c>
      <c r="BA1179" s="16" t="s">
        <v>55</v>
      </c>
      <c r="BB1179" s="16" t="s">
        <v>55</v>
      </c>
      <c r="BC1179" s="16" t="s">
        <v>55</v>
      </c>
      <c r="BD1179" s="24">
        <f t="shared" si="567"/>
        <v>142.88939585111027</v>
      </c>
      <c r="BE1179" s="16">
        <f t="shared" si="552"/>
        <v>10991.491988546943</v>
      </c>
      <c r="BF1179" s="16">
        <f t="shared" si="553"/>
        <v>4.0410566476931633</v>
      </c>
      <c r="BG1179" s="8">
        <v>2.1549999999999998</v>
      </c>
      <c r="BH1179" s="15" t="s">
        <v>849</v>
      </c>
      <c r="BI1179" s="1"/>
      <c r="BJ1179" s="2"/>
      <c r="BK1179" s="1"/>
      <c r="BL1179" s="1"/>
      <c r="BM1179" s="7"/>
      <c r="BN1179" s="7"/>
      <c r="BO1179" s="1"/>
      <c r="BP1179" s="11"/>
      <c r="BQ1179" s="11"/>
    </row>
    <row r="1180" spans="1:69" x14ac:dyDescent="0.3">
      <c r="A1180" s="20">
        <v>1204</v>
      </c>
      <c r="B1180" s="2" t="s">
        <v>690</v>
      </c>
      <c r="C1180" s="2">
        <v>2023</v>
      </c>
      <c r="D1180" s="2" t="s">
        <v>199</v>
      </c>
      <c r="E1180" s="10" t="s">
        <v>803</v>
      </c>
      <c r="F1180" s="20" t="s">
        <v>29</v>
      </c>
      <c r="G1180" s="2" t="s">
        <v>695</v>
      </c>
      <c r="H1180" s="2" t="str">
        <f>'PFAS Properties'!$B$56</f>
        <v>PFOSA</v>
      </c>
      <c r="I1180" s="2" t="str">
        <f>'PFAS Properties'!$C$56</f>
        <v>FOSA</v>
      </c>
      <c r="J1180" s="2" t="str">
        <f>'PFAS Properties'!$D$56</f>
        <v>C8H2F17NO2S</v>
      </c>
      <c r="K1180" s="25">
        <f>'PFAS Properties'!$P$56</f>
        <v>498.95340000000004</v>
      </c>
      <c r="L1180" s="2">
        <f>'PFAS Properties'!$X$56</f>
        <v>6.2</v>
      </c>
      <c r="M1180" s="2" t="str">
        <f>'PFAS Properties'!$Y$56</f>
        <v>-</v>
      </c>
      <c r="N1180" s="33">
        <v>0</v>
      </c>
      <c r="O1180" s="33">
        <v>0</v>
      </c>
      <c r="P1180" s="33">
        <v>0</v>
      </c>
      <c r="Q1180" s="33">
        <f t="shared" si="541"/>
        <v>0.99211931614966975</v>
      </c>
      <c r="R1180" s="33">
        <v>0</v>
      </c>
      <c r="S1180" s="33">
        <f t="shared" si="542"/>
        <v>7.8806838503302744E-3</v>
      </c>
      <c r="T1180" s="8">
        <f t="shared" si="543"/>
        <v>1</v>
      </c>
      <c r="U1180" s="33">
        <f t="shared" si="555"/>
        <v>0</v>
      </c>
      <c r="V1180" s="33">
        <f t="shared" si="556"/>
        <v>-0.99211931614966975</v>
      </c>
      <c r="W1180" s="33">
        <f t="shared" si="557"/>
        <v>497.96128068385042</v>
      </c>
      <c r="X1180" s="33">
        <v>96485</v>
      </c>
      <c r="Y1180" s="16">
        <f t="shared" si="558"/>
        <v>-192.23308303658112</v>
      </c>
      <c r="Z1180" s="16">
        <v>8</v>
      </c>
      <c r="AA1180" s="16">
        <v>17</v>
      </c>
      <c r="AB1180" s="8">
        <f t="shared" si="559"/>
        <v>0.29721362229102166</v>
      </c>
      <c r="AC1180" s="16">
        <f t="shared" si="560"/>
        <v>64.735504357721567</v>
      </c>
      <c r="AD1180" s="20">
        <f>'PFAS Properties'!$W$56</f>
        <v>8</v>
      </c>
      <c r="AE1180" s="8">
        <f>'PFAS Properties'!$S$56</f>
        <v>0.90525604874845123</v>
      </c>
      <c r="AF1180" s="2">
        <f>'PFAS Properties'!$V$56</f>
        <v>4.8</v>
      </c>
      <c r="AG1180" s="26">
        <v>8.3000000000000007</v>
      </c>
      <c r="AH1180" s="2" t="s">
        <v>701</v>
      </c>
      <c r="AI1180" s="15">
        <f t="shared" si="564"/>
        <v>2.066265</v>
      </c>
      <c r="AJ1180" s="16">
        <v>37</v>
      </c>
      <c r="AK1180" s="8">
        <f t="shared" si="561"/>
        <v>0.20662649999999999</v>
      </c>
      <c r="AL1180" s="15">
        <f t="shared" si="565"/>
        <v>0.72851399999999999</v>
      </c>
      <c r="AM1180" s="16">
        <v>27</v>
      </c>
      <c r="AN1180" s="8">
        <f t="shared" si="562"/>
        <v>7.2851399999999997E-2</v>
      </c>
      <c r="AO1180" s="15" t="s">
        <v>705</v>
      </c>
      <c r="AP1180" s="2">
        <v>14</v>
      </c>
      <c r="AQ1180" s="15" t="s">
        <v>702</v>
      </c>
      <c r="AR1180" s="4">
        <v>80</v>
      </c>
      <c r="AS1180" s="4">
        <v>15</v>
      </c>
      <c r="AT1180" s="4">
        <v>4.4000000000000004</v>
      </c>
      <c r="AU1180" s="2" t="s">
        <v>703</v>
      </c>
      <c r="AV1180" s="16">
        <f t="shared" si="566"/>
        <v>99.4</v>
      </c>
      <c r="AW1180" s="7">
        <v>1.2</v>
      </c>
      <c r="AX1180" s="8">
        <f t="shared" ref="AX1180:AX1208" si="568">AW1180/100</f>
        <v>1.2E-2</v>
      </c>
      <c r="AY1180" s="8" t="s">
        <v>704</v>
      </c>
      <c r="AZ1180" s="16">
        <v>10</v>
      </c>
      <c r="BA1180" s="16" t="s">
        <v>55</v>
      </c>
      <c r="BB1180" s="16" t="s">
        <v>55</v>
      </c>
      <c r="BC1180" s="16" t="s">
        <v>55</v>
      </c>
      <c r="BD1180" s="24">
        <f t="shared" si="567"/>
        <v>25.703957827688658</v>
      </c>
      <c r="BE1180" s="16">
        <f t="shared" si="552"/>
        <v>2141.9964856407214</v>
      </c>
      <c r="BF1180" s="16">
        <f t="shared" si="553"/>
        <v>3.3308187539523755</v>
      </c>
      <c r="BG1180" s="8">
        <f>(1.47+1.35)/2</f>
        <v>1.4100000000000001</v>
      </c>
      <c r="BH1180" s="15" t="s">
        <v>850</v>
      </c>
      <c r="BI1180" s="1"/>
      <c r="BJ1180" s="2"/>
      <c r="BK1180" s="1"/>
      <c r="BL1180" s="1"/>
      <c r="BM1180" s="7"/>
      <c r="BN1180" s="7"/>
      <c r="BO1180" s="1"/>
      <c r="BP1180" s="11"/>
      <c r="BQ1180" s="11"/>
    </row>
    <row r="1181" spans="1:69" x14ac:dyDescent="0.3">
      <c r="A1181" s="20">
        <v>1205</v>
      </c>
      <c r="B1181" s="2" t="s">
        <v>690</v>
      </c>
      <c r="C1181" s="2">
        <v>2023</v>
      </c>
      <c r="D1181" s="2" t="s">
        <v>199</v>
      </c>
      <c r="E1181" s="10" t="s">
        <v>803</v>
      </c>
      <c r="F1181" s="20" t="s">
        <v>29</v>
      </c>
      <c r="G1181" s="2" t="s">
        <v>696</v>
      </c>
      <c r="H1181" s="2" t="str">
        <f>'PFAS Properties'!$B$56</f>
        <v>PFOSA</v>
      </c>
      <c r="I1181" s="2" t="str">
        <f>'PFAS Properties'!$C$56</f>
        <v>FOSA</v>
      </c>
      <c r="J1181" s="2" t="str">
        <f>'PFAS Properties'!$D$56</f>
        <v>C8H2F17NO2S</v>
      </c>
      <c r="K1181" s="25">
        <f>'PFAS Properties'!$P$56</f>
        <v>498.95340000000004</v>
      </c>
      <c r="L1181" s="2">
        <f>'PFAS Properties'!$X$56</f>
        <v>6.2</v>
      </c>
      <c r="M1181" s="2" t="str">
        <f>'PFAS Properties'!$Y$56</f>
        <v>-</v>
      </c>
      <c r="N1181" s="33">
        <v>0</v>
      </c>
      <c r="O1181" s="33">
        <v>0</v>
      </c>
      <c r="P1181" s="33">
        <v>0</v>
      </c>
      <c r="Q1181" s="33">
        <f t="shared" si="541"/>
        <v>0.1663375308165618</v>
      </c>
      <c r="R1181" s="33">
        <v>0</v>
      </c>
      <c r="S1181" s="33">
        <f t="shared" si="542"/>
        <v>0.83366246918343823</v>
      </c>
      <c r="T1181" s="8">
        <f t="shared" ref="T1181:T1208" si="569">SUM(N1181:S1181)</f>
        <v>1</v>
      </c>
      <c r="U1181" s="33">
        <f t="shared" si="555"/>
        <v>0</v>
      </c>
      <c r="V1181" s="33">
        <f t="shared" si="556"/>
        <v>-0.1663375308165618</v>
      </c>
      <c r="W1181" s="33">
        <f t="shared" si="557"/>
        <v>498.78706246918352</v>
      </c>
      <c r="X1181" s="33">
        <v>96485</v>
      </c>
      <c r="Y1181" s="16">
        <f t="shared" si="558"/>
        <v>-32.17620878413927</v>
      </c>
      <c r="Z1181" s="16">
        <v>8</v>
      </c>
      <c r="AA1181" s="16">
        <v>17</v>
      </c>
      <c r="AB1181" s="8">
        <f t="shared" si="559"/>
        <v>0.29721362229102166</v>
      </c>
      <c r="AC1181" s="16">
        <f t="shared" si="560"/>
        <v>64.735504357721567</v>
      </c>
      <c r="AD1181" s="20">
        <f>'PFAS Properties'!$W$56</f>
        <v>8</v>
      </c>
      <c r="AE1181" s="8">
        <f>'PFAS Properties'!$S$56</f>
        <v>0.90525604874845123</v>
      </c>
      <c r="AF1181" s="2">
        <f>'PFAS Properties'!$V$56</f>
        <v>4.8</v>
      </c>
      <c r="AG1181" s="26">
        <v>5.5</v>
      </c>
      <c r="AH1181" s="2" t="s">
        <v>701</v>
      </c>
      <c r="AI1181" s="15">
        <f t="shared" si="564"/>
        <v>1.3402799999999999</v>
      </c>
      <c r="AJ1181" s="16">
        <v>24</v>
      </c>
      <c r="AK1181" s="8">
        <f t="shared" si="561"/>
        <v>0.13402799999999998</v>
      </c>
      <c r="AL1181" s="15">
        <f t="shared" si="565"/>
        <v>0.32378400000000002</v>
      </c>
      <c r="AM1181" s="16">
        <v>12</v>
      </c>
      <c r="AN1181" s="8">
        <f t="shared" si="562"/>
        <v>3.2378400000000002E-2</v>
      </c>
      <c r="AO1181" s="15" t="s">
        <v>705</v>
      </c>
      <c r="AP1181" s="2">
        <v>2.6</v>
      </c>
      <c r="AQ1181" s="15" t="s">
        <v>702</v>
      </c>
      <c r="AR1181" s="4">
        <v>86</v>
      </c>
      <c r="AS1181" s="4">
        <v>8</v>
      </c>
      <c r="AT1181" s="4">
        <v>6</v>
      </c>
      <c r="AU1181" s="2" t="s">
        <v>703</v>
      </c>
      <c r="AV1181" s="16">
        <f t="shared" si="566"/>
        <v>100</v>
      </c>
      <c r="AW1181" s="7">
        <v>1.2</v>
      </c>
      <c r="AX1181" s="8">
        <f t="shared" si="568"/>
        <v>1.2E-2</v>
      </c>
      <c r="AY1181" s="8" t="s">
        <v>704</v>
      </c>
      <c r="AZ1181" s="16">
        <v>10</v>
      </c>
      <c r="BA1181" s="16" t="s">
        <v>55</v>
      </c>
      <c r="BB1181" s="16" t="s">
        <v>55</v>
      </c>
      <c r="BC1181" s="16" t="s">
        <v>55</v>
      </c>
      <c r="BD1181" s="24">
        <f t="shared" si="567"/>
        <v>74.98942093324564</v>
      </c>
      <c r="BE1181" s="16">
        <f t="shared" si="552"/>
        <v>6249.1184111038028</v>
      </c>
      <c r="BF1181" s="16">
        <f t="shared" si="553"/>
        <v>3.7958187539523753</v>
      </c>
      <c r="BG1181" s="8">
        <f>(1.85+1.9)/2</f>
        <v>1.875</v>
      </c>
      <c r="BH1181" s="15" t="s">
        <v>851</v>
      </c>
      <c r="BI1181" s="1"/>
      <c r="BJ1181" s="2"/>
      <c r="BK1181" s="1"/>
      <c r="BL1181" s="1"/>
      <c r="BM1181" s="7"/>
      <c r="BN1181" s="7"/>
      <c r="BO1181" s="1"/>
      <c r="BP1181" s="11"/>
      <c r="BQ1181" s="11"/>
    </row>
    <row r="1182" spans="1:69" x14ac:dyDescent="0.3">
      <c r="A1182" s="20">
        <v>1206</v>
      </c>
      <c r="B1182" s="2" t="s">
        <v>690</v>
      </c>
      <c r="C1182" s="2">
        <v>2023</v>
      </c>
      <c r="D1182" s="2" t="s">
        <v>199</v>
      </c>
      <c r="E1182" s="10" t="s">
        <v>803</v>
      </c>
      <c r="F1182" s="20" t="s">
        <v>29</v>
      </c>
      <c r="G1182" s="2" t="s">
        <v>697</v>
      </c>
      <c r="H1182" s="2" t="str">
        <f>'PFAS Properties'!$B$56</f>
        <v>PFOSA</v>
      </c>
      <c r="I1182" s="2" t="str">
        <f>'PFAS Properties'!$C$56</f>
        <v>FOSA</v>
      </c>
      <c r="J1182" s="2" t="str">
        <f>'PFAS Properties'!$D$56</f>
        <v>C8H2F17NO2S</v>
      </c>
      <c r="K1182" s="25">
        <f>'PFAS Properties'!$P$56</f>
        <v>498.95340000000004</v>
      </c>
      <c r="L1182" s="2">
        <f>'PFAS Properties'!$X$56</f>
        <v>6.2</v>
      </c>
      <c r="M1182" s="2" t="str">
        <f>'PFAS Properties'!$Y$56</f>
        <v>-</v>
      </c>
      <c r="N1182" s="33">
        <v>0</v>
      </c>
      <c r="O1182" s="33">
        <v>0</v>
      </c>
      <c r="P1182" s="33">
        <v>0</v>
      </c>
      <c r="Q1182" s="33">
        <f t="shared" ref="Q1182:Q1208" si="570">(10^(AG1182-L1182))/(1+(10^(AG1182-L1182)))</f>
        <v>2.4503367550335952E-2</v>
      </c>
      <c r="R1182" s="33">
        <v>0</v>
      </c>
      <c r="S1182" s="33">
        <f t="shared" ref="S1182:S1208" si="571">(1/(1+(10^(AG1182-L1182))))</f>
        <v>0.97549663244966411</v>
      </c>
      <c r="T1182" s="8">
        <f t="shared" si="569"/>
        <v>1</v>
      </c>
      <c r="U1182" s="33">
        <f t="shared" si="555"/>
        <v>0</v>
      </c>
      <c r="V1182" s="33">
        <f t="shared" si="556"/>
        <v>-2.4503367550335952E-2</v>
      </c>
      <c r="W1182" s="33">
        <f t="shared" si="557"/>
        <v>498.92889663244978</v>
      </c>
      <c r="X1182" s="33">
        <v>96485</v>
      </c>
      <c r="Y1182" s="16">
        <f t="shared" si="558"/>
        <v>-4.7385658238108137</v>
      </c>
      <c r="Z1182" s="16">
        <v>8</v>
      </c>
      <c r="AA1182" s="16">
        <v>17</v>
      </c>
      <c r="AB1182" s="8">
        <f t="shared" si="559"/>
        <v>0.29721362229102166</v>
      </c>
      <c r="AC1182" s="16">
        <f t="shared" si="560"/>
        <v>64.735504357721567</v>
      </c>
      <c r="AD1182" s="20">
        <f>'PFAS Properties'!$W$56</f>
        <v>8</v>
      </c>
      <c r="AE1182" s="8">
        <f>'PFAS Properties'!$S$56</f>
        <v>0.90525604874845123</v>
      </c>
      <c r="AF1182" s="2">
        <f>'PFAS Properties'!$V$56</f>
        <v>4.8</v>
      </c>
      <c r="AG1182" s="26">
        <v>4.5999999999999996</v>
      </c>
      <c r="AH1182" s="2" t="s">
        <v>701</v>
      </c>
      <c r="AI1182" s="15">
        <f t="shared" si="564"/>
        <v>0.1396125</v>
      </c>
      <c r="AJ1182" s="16">
        <v>2.5</v>
      </c>
      <c r="AK1182" s="8">
        <f t="shared" si="561"/>
        <v>1.396125E-2</v>
      </c>
      <c r="AL1182" s="15">
        <f t="shared" si="565"/>
        <v>5.12658E-2</v>
      </c>
      <c r="AM1182" s="16">
        <v>1.9</v>
      </c>
      <c r="AN1182" s="8">
        <f t="shared" si="562"/>
        <v>5.1265800000000004E-3</v>
      </c>
      <c r="AO1182" s="15" t="s">
        <v>705</v>
      </c>
      <c r="AP1182" s="2">
        <v>1.8</v>
      </c>
      <c r="AQ1182" s="15" t="s">
        <v>702</v>
      </c>
      <c r="AR1182" s="4">
        <v>53</v>
      </c>
      <c r="AS1182" s="4">
        <v>40</v>
      </c>
      <c r="AT1182" s="4">
        <v>7</v>
      </c>
      <c r="AU1182" s="2" t="s">
        <v>703</v>
      </c>
      <c r="AV1182" s="16">
        <f t="shared" si="566"/>
        <v>100</v>
      </c>
      <c r="AW1182" s="7">
        <v>1.1000000000000001</v>
      </c>
      <c r="AX1182" s="8">
        <f t="shared" si="568"/>
        <v>1.1000000000000001E-2</v>
      </c>
      <c r="AY1182" s="8" t="s">
        <v>704</v>
      </c>
      <c r="AZ1182" s="16">
        <v>10</v>
      </c>
      <c r="BA1182" s="16" t="s">
        <v>55</v>
      </c>
      <c r="BB1182" s="16" t="s">
        <v>55</v>
      </c>
      <c r="BC1182" s="16" t="s">
        <v>55</v>
      </c>
      <c r="BD1182" s="24">
        <f t="shared" si="567"/>
        <v>70.794578438413865</v>
      </c>
      <c r="BE1182" s="16">
        <f t="shared" si="552"/>
        <v>6435.8707671285329</v>
      </c>
      <c r="BF1182" s="16">
        <f t="shared" si="553"/>
        <v>3.8086073148417752</v>
      </c>
      <c r="BG1182" s="8">
        <v>1.85</v>
      </c>
      <c r="BH1182" s="15" t="s">
        <v>849</v>
      </c>
      <c r="BI1182" s="1"/>
      <c r="BJ1182" s="2"/>
      <c r="BK1182" s="1"/>
      <c r="BL1182" s="1"/>
      <c r="BM1182" s="7"/>
      <c r="BN1182" s="7"/>
      <c r="BO1182" s="1"/>
      <c r="BP1182" s="11"/>
      <c r="BQ1182" s="11"/>
    </row>
    <row r="1183" spans="1:69" x14ac:dyDescent="0.3">
      <c r="A1183" s="20">
        <v>1207</v>
      </c>
      <c r="B1183" s="2" t="s">
        <v>690</v>
      </c>
      <c r="C1183" s="2">
        <v>2023</v>
      </c>
      <c r="D1183" s="2" t="s">
        <v>199</v>
      </c>
      <c r="E1183" s="10" t="s">
        <v>803</v>
      </c>
      <c r="F1183" s="20" t="s">
        <v>29</v>
      </c>
      <c r="G1183" s="2" t="s">
        <v>698</v>
      </c>
      <c r="H1183" s="2" t="str">
        <f>'PFAS Properties'!$B$56</f>
        <v>PFOSA</v>
      </c>
      <c r="I1183" s="2" t="str">
        <f>'PFAS Properties'!$C$56</f>
        <v>FOSA</v>
      </c>
      <c r="J1183" s="2" t="str">
        <f>'PFAS Properties'!$D$56</f>
        <v>C8H2F17NO2S</v>
      </c>
      <c r="K1183" s="25">
        <f>'PFAS Properties'!$P$56</f>
        <v>498.95340000000004</v>
      </c>
      <c r="L1183" s="2">
        <f>'PFAS Properties'!$X$56</f>
        <v>6.2</v>
      </c>
      <c r="M1183" s="2" t="str">
        <f>'PFAS Properties'!$Y$56</f>
        <v>-</v>
      </c>
      <c r="N1183" s="33">
        <v>0</v>
      </c>
      <c r="O1183" s="33">
        <v>0</v>
      </c>
      <c r="P1183" s="33">
        <v>0</v>
      </c>
      <c r="Q1183" s="33">
        <f t="shared" si="570"/>
        <v>0.71525275104919839</v>
      </c>
      <c r="R1183" s="33">
        <v>0</v>
      </c>
      <c r="S1183" s="33">
        <f t="shared" si="571"/>
        <v>0.28474724895080167</v>
      </c>
      <c r="T1183" s="8">
        <f t="shared" si="569"/>
        <v>1</v>
      </c>
      <c r="U1183" s="33">
        <f t="shared" si="555"/>
        <v>0</v>
      </c>
      <c r="V1183" s="33">
        <f t="shared" si="556"/>
        <v>-0.71525275104919839</v>
      </c>
      <c r="W1183" s="33">
        <f t="shared" si="557"/>
        <v>498.23814724895084</v>
      </c>
      <c r="X1183" s="33">
        <v>96485</v>
      </c>
      <c r="Y1183" s="16">
        <f t="shared" si="558"/>
        <v>-138.51039320459665</v>
      </c>
      <c r="Z1183" s="16">
        <v>8</v>
      </c>
      <c r="AA1183" s="16">
        <v>17</v>
      </c>
      <c r="AB1183" s="8">
        <f t="shared" si="559"/>
        <v>0.29721362229102166</v>
      </c>
      <c r="AC1183" s="16">
        <f t="shared" si="560"/>
        <v>64.735504357721567</v>
      </c>
      <c r="AD1183" s="20">
        <f>'PFAS Properties'!$W$56</f>
        <v>8</v>
      </c>
      <c r="AE1183" s="8">
        <f>'PFAS Properties'!$S$56</f>
        <v>0.90525604874845123</v>
      </c>
      <c r="AF1183" s="2">
        <f>'PFAS Properties'!$V$56</f>
        <v>4.8</v>
      </c>
      <c r="AG1183" s="26">
        <v>6.6</v>
      </c>
      <c r="AH1183" s="2" t="s">
        <v>701</v>
      </c>
      <c r="AI1183" s="15">
        <f t="shared" si="564"/>
        <v>11.169</v>
      </c>
      <c r="AJ1183" s="16">
        <v>200</v>
      </c>
      <c r="AK1183" s="8">
        <f t="shared" si="561"/>
        <v>1.1169</v>
      </c>
      <c r="AL1183" s="15">
        <f t="shared" si="565"/>
        <v>1.3760819999999998</v>
      </c>
      <c r="AM1183" s="16">
        <v>51</v>
      </c>
      <c r="AN1183" s="8">
        <f t="shared" si="562"/>
        <v>0.13760819999999999</v>
      </c>
      <c r="AO1183" s="15" t="s">
        <v>705</v>
      </c>
      <c r="AP1183" s="2">
        <v>16</v>
      </c>
      <c r="AQ1183" s="15" t="s">
        <v>702</v>
      </c>
      <c r="AR1183" s="4">
        <v>0.68</v>
      </c>
      <c r="AS1183" s="4">
        <v>48</v>
      </c>
      <c r="AT1183" s="4">
        <v>52</v>
      </c>
      <c r="AU1183" s="2" t="s">
        <v>703</v>
      </c>
      <c r="AV1183" s="16">
        <f t="shared" si="566"/>
        <v>100.68</v>
      </c>
      <c r="AW1183" s="7">
        <v>0.91</v>
      </c>
      <c r="AX1183" s="8">
        <f t="shared" si="568"/>
        <v>9.1000000000000004E-3</v>
      </c>
      <c r="AY1183" s="8" t="s">
        <v>704</v>
      </c>
      <c r="AZ1183" s="16">
        <v>10</v>
      </c>
      <c r="BA1183" s="16" t="s">
        <v>55</v>
      </c>
      <c r="BB1183" s="16" t="s">
        <v>55</v>
      </c>
      <c r="BC1183" s="16" t="s">
        <v>55</v>
      </c>
      <c r="BD1183" s="24">
        <f t="shared" si="567"/>
        <v>42.657951880159267</v>
      </c>
      <c r="BE1183" s="16">
        <f t="shared" si="552"/>
        <v>4687.6870197977214</v>
      </c>
      <c r="BF1183" s="16">
        <f t="shared" si="553"/>
        <v>3.6709586076789065</v>
      </c>
      <c r="BG1183" s="8">
        <f>(1.65+1.61)/2</f>
        <v>1.63</v>
      </c>
      <c r="BH1183" s="15" t="s">
        <v>852</v>
      </c>
      <c r="BI1183" s="1"/>
      <c r="BJ1183" s="2"/>
      <c r="BK1183" s="1"/>
      <c r="BL1183" s="1"/>
      <c r="BM1183" s="7"/>
      <c r="BN1183" s="7"/>
      <c r="BO1183" s="1"/>
      <c r="BP1183" s="11"/>
      <c r="BQ1183" s="11"/>
    </row>
    <row r="1184" spans="1:69" x14ac:dyDescent="0.3">
      <c r="A1184" s="20">
        <v>1208</v>
      </c>
      <c r="B1184" s="2" t="s">
        <v>690</v>
      </c>
      <c r="C1184" s="2">
        <v>2023</v>
      </c>
      <c r="D1184" s="2" t="s">
        <v>199</v>
      </c>
      <c r="E1184" s="10" t="s">
        <v>803</v>
      </c>
      <c r="F1184" s="20" t="s">
        <v>29</v>
      </c>
      <c r="G1184" s="2" t="s">
        <v>699</v>
      </c>
      <c r="H1184" s="2" t="str">
        <f>'PFAS Properties'!$B$56</f>
        <v>PFOSA</v>
      </c>
      <c r="I1184" s="2" t="str">
        <f>'PFAS Properties'!$C$56</f>
        <v>FOSA</v>
      </c>
      <c r="J1184" s="2" t="str">
        <f>'PFAS Properties'!$D$56</f>
        <v>C8H2F17NO2S</v>
      </c>
      <c r="K1184" s="25">
        <f>'PFAS Properties'!$P$56</f>
        <v>498.95340000000004</v>
      </c>
      <c r="L1184" s="2">
        <f>'PFAS Properties'!$X$56</f>
        <v>6.2</v>
      </c>
      <c r="M1184" s="2" t="str">
        <f>'PFAS Properties'!$Y$56</f>
        <v>-</v>
      </c>
      <c r="N1184" s="33">
        <v>0</v>
      </c>
      <c r="O1184" s="33">
        <v>0</v>
      </c>
      <c r="P1184" s="33">
        <v>0</v>
      </c>
      <c r="Q1184" s="33">
        <f t="shared" si="570"/>
        <v>0.28474724895080122</v>
      </c>
      <c r="R1184" s="33">
        <v>0</v>
      </c>
      <c r="S1184" s="33">
        <f t="shared" si="571"/>
        <v>0.71525275104919883</v>
      </c>
      <c r="T1184" s="8">
        <f t="shared" si="569"/>
        <v>1</v>
      </c>
      <c r="U1184" s="33">
        <f t="shared" si="555"/>
        <v>0</v>
      </c>
      <c r="V1184" s="33">
        <f t="shared" si="556"/>
        <v>-0.28474724895080122</v>
      </c>
      <c r="W1184" s="33">
        <f t="shared" si="557"/>
        <v>498.66865275104925</v>
      </c>
      <c r="X1184" s="33">
        <v>96485</v>
      </c>
      <c r="Y1184" s="16">
        <f t="shared" si="558"/>
        <v>-55.094376122202014</v>
      </c>
      <c r="Z1184" s="16">
        <v>8</v>
      </c>
      <c r="AA1184" s="16">
        <v>17</v>
      </c>
      <c r="AB1184" s="8">
        <f t="shared" si="559"/>
        <v>0.29721362229102166</v>
      </c>
      <c r="AC1184" s="16">
        <f t="shared" si="560"/>
        <v>64.735504357721567</v>
      </c>
      <c r="AD1184" s="20">
        <f>'PFAS Properties'!$W$56</f>
        <v>8</v>
      </c>
      <c r="AE1184" s="8">
        <f>'PFAS Properties'!$S$56</f>
        <v>0.90525604874845123</v>
      </c>
      <c r="AF1184" s="2">
        <f>'PFAS Properties'!$V$56</f>
        <v>4.8</v>
      </c>
      <c r="AG1184" s="26">
        <v>5.8</v>
      </c>
      <c r="AH1184" s="2" t="s">
        <v>701</v>
      </c>
      <c r="AI1184" s="15">
        <f t="shared" si="564"/>
        <v>1.6753499999999999</v>
      </c>
      <c r="AJ1184" s="16">
        <v>30</v>
      </c>
      <c r="AK1184" s="8">
        <f t="shared" si="561"/>
        <v>0.16753499999999999</v>
      </c>
      <c r="AL1184" s="15">
        <f t="shared" si="565"/>
        <v>0.75549599999999995</v>
      </c>
      <c r="AM1184" s="16">
        <v>28</v>
      </c>
      <c r="AN1184" s="8">
        <f t="shared" si="562"/>
        <v>7.5549599999999995E-2</v>
      </c>
      <c r="AO1184" s="15" t="s">
        <v>705</v>
      </c>
      <c r="AP1184" s="2">
        <v>0.77</v>
      </c>
      <c r="AQ1184" s="15" t="s">
        <v>702</v>
      </c>
      <c r="AR1184" s="4">
        <v>89</v>
      </c>
      <c r="AS1184" s="4">
        <v>8</v>
      </c>
      <c r="AT1184" s="4">
        <v>3</v>
      </c>
      <c r="AU1184" s="2" t="s">
        <v>703</v>
      </c>
      <c r="AV1184" s="16">
        <f t="shared" si="566"/>
        <v>100</v>
      </c>
      <c r="AW1184" s="7">
        <v>0.3</v>
      </c>
      <c r="AX1184" s="8">
        <f t="shared" si="568"/>
        <v>3.0000000000000001E-3</v>
      </c>
      <c r="AY1184" s="8" t="s">
        <v>704</v>
      </c>
      <c r="AZ1184" s="16">
        <v>10</v>
      </c>
      <c r="BA1184" s="16" t="s">
        <v>55</v>
      </c>
      <c r="BB1184" s="16" t="s">
        <v>55</v>
      </c>
      <c r="BC1184" s="16" t="s">
        <v>55</v>
      </c>
      <c r="BD1184" s="24">
        <f t="shared" si="567"/>
        <v>64.565422903465588</v>
      </c>
      <c r="BE1184" s="16">
        <f t="shared" si="552"/>
        <v>21521.80763448853</v>
      </c>
      <c r="BF1184" s="16">
        <f t="shared" si="553"/>
        <v>4.3328787452803379</v>
      </c>
      <c r="BG1184" s="8">
        <v>1.81</v>
      </c>
      <c r="BH1184" s="15" t="s">
        <v>853</v>
      </c>
      <c r="BI1184" s="1"/>
      <c r="BJ1184" s="2"/>
      <c r="BK1184" s="1"/>
      <c r="BL1184" s="1"/>
      <c r="BM1184" s="7"/>
      <c r="BN1184" s="7"/>
      <c r="BO1184" s="1"/>
      <c r="BP1184" s="11"/>
      <c r="BQ1184" s="11"/>
    </row>
    <row r="1185" spans="1:69" x14ac:dyDescent="0.3">
      <c r="A1185" s="20">
        <v>1209</v>
      </c>
      <c r="B1185" s="2" t="s">
        <v>690</v>
      </c>
      <c r="C1185" s="2">
        <v>2023</v>
      </c>
      <c r="D1185" s="2" t="s">
        <v>199</v>
      </c>
      <c r="E1185" s="10" t="s">
        <v>803</v>
      </c>
      <c r="F1185" s="20" t="s">
        <v>29</v>
      </c>
      <c r="G1185" s="2" t="s">
        <v>700</v>
      </c>
      <c r="H1185" s="2" t="str">
        <f>'PFAS Properties'!$B$56</f>
        <v>PFOSA</v>
      </c>
      <c r="I1185" s="2" t="str">
        <f>'PFAS Properties'!$C$56</f>
        <v>FOSA</v>
      </c>
      <c r="J1185" s="2" t="str">
        <f>'PFAS Properties'!$D$56</f>
        <v>C8H2F17NO2S</v>
      </c>
      <c r="K1185" s="25">
        <f>'PFAS Properties'!$P$56</f>
        <v>498.95340000000004</v>
      </c>
      <c r="L1185" s="2">
        <f>'PFAS Properties'!$X$56</f>
        <v>6.2</v>
      </c>
      <c r="M1185" s="2" t="str">
        <f>'PFAS Properties'!$Y$56</f>
        <v>-</v>
      </c>
      <c r="N1185" s="33">
        <v>0</v>
      </c>
      <c r="O1185" s="33">
        <v>0</v>
      </c>
      <c r="P1185" s="33">
        <v>0</v>
      </c>
      <c r="Q1185" s="33">
        <f t="shared" si="570"/>
        <v>0.11181576977811683</v>
      </c>
      <c r="R1185" s="33">
        <v>0</v>
      </c>
      <c r="S1185" s="33">
        <f t="shared" si="571"/>
        <v>0.8881842302218832</v>
      </c>
      <c r="T1185" s="8">
        <f t="shared" si="569"/>
        <v>1</v>
      </c>
      <c r="U1185" s="33">
        <f t="shared" si="555"/>
        <v>0</v>
      </c>
      <c r="V1185" s="33">
        <f t="shared" si="556"/>
        <v>-0.11181576977811683</v>
      </c>
      <c r="W1185" s="33">
        <f t="shared" si="557"/>
        <v>498.84158423022194</v>
      </c>
      <c r="X1185" s="33">
        <v>96485</v>
      </c>
      <c r="Y1185" s="16">
        <f t="shared" si="558"/>
        <v>-21.627195663107646</v>
      </c>
      <c r="Z1185" s="16">
        <v>8</v>
      </c>
      <c r="AA1185" s="16">
        <v>17</v>
      </c>
      <c r="AB1185" s="8">
        <f t="shared" si="559"/>
        <v>0.29721362229102166</v>
      </c>
      <c r="AC1185" s="16">
        <f t="shared" si="560"/>
        <v>64.735504357721567</v>
      </c>
      <c r="AD1185" s="20">
        <f>'PFAS Properties'!$W$56</f>
        <v>8</v>
      </c>
      <c r="AE1185" s="8">
        <f>'PFAS Properties'!$S$56</f>
        <v>0.90525604874845123</v>
      </c>
      <c r="AF1185" s="2">
        <f>'PFAS Properties'!$V$56</f>
        <v>4.8</v>
      </c>
      <c r="AG1185" s="26">
        <v>5.3</v>
      </c>
      <c r="AH1185" s="2" t="s">
        <v>701</v>
      </c>
      <c r="AI1185" s="15">
        <f t="shared" si="564"/>
        <v>1.2285899999999998</v>
      </c>
      <c r="AJ1185" s="16">
        <v>22</v>
      </c>
      <c r="AK1185" s="8">
        <f t="shared" si="561"/>
        <v>0.12285899999999998</v>
      </c>
      <c r="AL1185" s="15">
        <f t="shared" si="565"/>
        <v>2.15856</v>
      </c>
      <c r="AM1185" s="16">
        <v>80</v>
      </c>
      <c r="AN1185" s="8">
        <f t="shared" si="562"/>
        <v>0.21585599999999999</v>
      </c>
      <c r="AO1185" s="15" t="s">
        <v>705</v>
      </c>
      <c r="AP1185" s="2">
        <v>0.45</v>
      </c>
      <c r="AQ1185" s="15" t="s">
        <v>702</v>
      </c>
      <c r="AR1185" s="4">
        <v>96</v>
      </c>
      <c r="AS1185" s="4">
        <v>3</v>
      </c>
      <c r="AT1185" s="4">
        <v>2</v>
      </c>
      <c r="AU1185" s="2" t="s">
        <v>703</v>
      </c>
      <c r="AV1185" s="16">
        <f t="shared" si="566"/>
        <v>101</v>
      </c>
      <c r="AW1185" s="7">
        <v>0.19</v>
      </c>
      <c r="AX1185" s="8">
        <f t="shared" si="568"/>
        <v>1.9E-3</v>
      </c>
      <c r="AY1185" s="8" t="s">
        <v>704</v>
      </c>
      <c r="AZ1185" s="16">
        <v>10</v>
      </c>
      <c r="BA1185" s="16" t="s">
        <v>55</v>
      </c>
      <c r="BB1185" s="16" t="s">
        <v>55</v>
      </c>
      <c r="BC1185" s="16" t="s">
        <v>55</v>
      </c>
      <c r="BD1185" s="24">
        <f t="shared" si="567"/>
        <v>38.018939632056139</v>
      </c>
      <c r="BE1185" s="16">
        <f t="shared" si="552"/>
        <v>20009.968227397967</v>
      </c>
      <c r="BF1185" s="16">
        <f t="shared" si="553"/>
        <v>4.3012463990471712</v>
      </c>
      <c r="BG1185" s="8">
        <v>1.58</v>
      </c>
      <c r="BH1185" s="15" t="s">
        <v>846</v>
      </c>
      <c r="BI1185" s="1"/>
      <c r="BJ1185" s="2"/>
      <c r="BK1185" s="1"/>
      <c r="BL1185" s="1"/>
      <c r="BM1185" s="7"/>
      <c r="BN1185" s="7"/>
      <c r="BO1185" s="1"/>
      <c r="BP1185" s="11"/>
      <c r="BQ1185" s="11"/>
    </row>
    <row r="1186" spans="1:69" s="14" customFormat="1" x14ac:dyDescent="0.3">
      <c r="A1186" s="20">
        <v>1210</v>
      </c>
      <c r="B1186" s="2" t="s">
        <v>181</v>
      </c>
      <c r="C1186" s="2">
        <v>2020</v>
      </c>
      <c r="D1186" s="2" t="s">
        <v>203</v>
      </c>
      <c r="E1186" s="10" t="s">
        <v>787</v>
      </c>
      <c r="F1186" s="20" t="s">
        <v>29</v>
      </c>
      <c r="G1186" s="2" t="s">
        <v>62</v>
      </c>
      <c r="H1186" s="2" t="str">
        <f>'PFAS Properties'!$B$56</f>
        <v>PFOSA</v>
      </c>
      <c r="I1186" s="2" t="str">
        <f>'PFAS Properties'!$C$56</f>
        <v>FOSA</v>
      </c>
      <c r="J1186" s="2" t="str">
        <f>'PFAS Properties'!$D$56</f>
        <v>C8H2F17NO2S</v>
      </c>
      <c r="K1186" s="25">
        <f>'PFAS Properties'!$P$56</f>
        <v>498.95340000000004</v>
      </c>
      <c r="L1186" s="2">
        <f>'PFAS Properties'!$X$56</f>
        <v>6.2</v>
      </c>
      <c r="M1186" s="2" t="str">
        <f>'PFAS Properties'!$Y$56</f>
        <v>-</v>
      </c>
      <c r="N1186" s="33">
        <v>0</v>
      </c>
      <c r="O1186" s="33">
        <v>0</v>
      </c>
      <c r="P1186" s="33">
        <v>0</v>
      </c>
      <c r="Q1186" s="33">
        <f t="shared" si="570"/>
        <v>0.95227327896579606</v>
      </c>
      <c r="R1186" s="33">
        <v>0</v>
      </c>
      <c r="S1186" s="33">
        <f t="shared" si="571"/>
        <v>4.7726721034203903E-2</v>
      </c>
      <c r="T1186" s="8">
        <f t="shared" si="569"/>
        <v>1</v>
      </c>
      <c r="U1186" s="33">
        <f t="shared" si="555"/>
        <v>0</v>
      </c>
      <c r="V1186" s="33">
        <f t="shared" si="556"/>
        <v>-0.95227327896579606</v>
      </c>
      <c r="W1186" s="33">
        <f t="shared" si="557"/>
        <v>498.00112672103421</v>
      </c>
      <c r="X1186" s="33">
        <v>96485</v>
      </c>
      <c r="Y1186" s="16">
        <f t="shared" si="558"/>
        <v>-184.49774988658487</v>
      </c>
      <c r="Z1186" s="16">
        <v>8</v>
      </c>
      <c r="AA1186" s="16">
        <v>17</v>
      </c>
      <c r="AB1186" s="8">
        <f t="shared" si="559"/>
        <v>0.29721362229102166</v>
      </c>
      <c r="AC1186" s="16">
        <f t="shared" si="560"/>
        <v>64.735504357721567</v>
      </c>
      <c r="AD1186" s="20">
        <f>'PFAS Properties'!$W$56</f>
        <v>8</v>
      </c>
      <c r="AE1186" s="8">
        <f>'PFAS Properties'!$S$56</f>
        <v>0.90525604874845123</v>
      </c>
      <c r="AF1186" s="2">
        <f>'PFAS Properties'!$V$56</f>
        <v>4.8</v>
      </c>
      <c r="AG1186" s="24">
        <v>7.5</v>
      </c>
      <c r="AH1186" s="2" t="s">
        <v>183</v>
      </c>
      <c r="AI1186" s="2" t="s">
        <v>661</v>
      </c>
      <c r="AJ1186" s="2" t="s">
        <v>661</v>
      </c>
      <c r="AK1186" s="2" t="s">
        <v>661</v>
      </c>
      <c r="AL1186" s="2" t="s">
        <v>661</v>
      </c>
      <c r="AM1186" s="2" t="s">
        <v>661</v>
      </c>
      <c r="AN1186" s="2" t="s">
        <v>661</v>
      </c>
      <c r="AO1186" s="2" t="s">
        <v>661</v>
      </c>
      <c r="AP1186" s="15">
        <v>41.4</v>
      </c>
      <c r="AQ1186" s="2" t="s">
        <v>661</v>
      </c>
      <c r="AR1186" s="16">
        <v>16.899999999999999</v>
      </c>
      <c r="AS1186" s="16">
        <v>17.5</v>
      </c>
      <c r="AT1186" s="16">
        <v>65.599999999999994</v>
      </c>
      <c r="AU1186" s="2" t="s">
        <v>661</v>
      </c>
      <c r="AV1186" s="16">
        <f t="shared" si="566"/>
        <v>100</v>
      </c>
      <c r="AW1186" s="20">
        <v>0.7</v>
      </c>
      <c r="AX1186" s="8">
        <f t="shared" si="568"/>
        <v>6.9999999999999993E-3</v>
      </c>
      <c r="AY1186" s="13" t="s">
        <v>184</v>
      </c>
      <c r="AZ1186" s="16">
        <v>100</v>
      </c>
      <c r="BA1186" s="16" t="s">
        <v>55</v>
      </c>
      <c r="BB1186" s="16">
        <v>5</v>
      </c>
      <c r="BC1186" s="16" t="s">
        <v>55</v>
      </c>
      <c r="BD1186" s="24">
        <v>7.42</v>
      </c>
      <c r="BE1186" s="16">
        <f t="shared" si="552"/>
        <v>1060</v>
      </c>
      <c r="BF1186" s="16">
        <f t="shared" si="553"/>
        <v>3.0253058652647704</v>
      </c>
      <c r="BG1186" s="8">
        <f t="shared" ref="BG1186:BG1208" si="572">LOG(BD1186)</f>
        <v>0.87040390527902711</v>
      </c>
      <c r="BH1186" s="13" t="s">
        <v>345</v>
      </c>
      <c r="BI1186" s="13"/>
      <c r="BJ1186" s="13"/>
      <c r="BK1186" s="13"/>
      <c r="BL1186" s="13"/>
      <c r="BM1186" s="17"/>
      <c r="BN1186" s="17"/>
      <c r="BO1186" s="2"/>
    </row>
    <row r="1187" spans="1:69" s="14" customFormat="1" x14ac:dyDescent="0.3">
      <c r="A1187" s="20">
        <v>1211</v>
      </c>
      <c r="B1187" s="2" t="s">
        <v>181</v>
      </c>
      <c r="C1187" s="2">
        <v>2020</v>
      </c>
      <c r="D1187" s="2" t="s">
        <v>203</v>
      </c>
      <c r="E1187" s="10" t="s">
        <v>787</v>
      </c>
      <c r="F1187" s="20" t="s">
        <v>29</v>
      </c>
      <c r="G1187" s="2" t="s">
        <v>57</v>
      </c>
      <c r="H1187" s="2" t="str">
        <f>'PFAS Properties'!$B$56</f>
        <v>PFOSA</v>
      </c>
      <c r="I1187" s="2" t="str">
        <f>'PFAS Properties'!$C$56</f>
        <v>FOSA</v>
      </c>
      <c r="J1187" s="2" t="str">
        <f>'PFAS Properties'!$D$56</f>
        <v>C8H2F17NO2S</v>
      </c>
      <c r="K1187" s="25">
        <f>'PFAS Properties'!$P$56</f>
        <v>498.95340000000004</v>
      </c>
      <c r="L1187" s="2">
        <f>'PFAS Properties'!$X$56</f>
        <v>6.2</v>
      </c>
      <c r="M1187" s="2" t="str">
        <f>'PFAS Properties'!$Y$56</f>
        <v>-</v>
      </c>
      <c r="N1187" s="33">
        <v>0</v>
      </c>
      <c r="O1187" s="33">
        <v>0</v>
      </c>
      <c r="P1187" s="33">
        <v>0</v>
      </c>
      <c r="Q1187" s="33">
        <f t="shared" si="570"/>
        <v>0.79923999108689814</v>
      </c>
      <c r="R1187" s="33">
        <v>0</v>
      </c>
      <c r="S1187" s="33">
        <f t="shared" si="571"/>
        <v>0.20076000891310183</v>
      </c>
      <c r="T1187" s="8">
        <f t="shared" si="569"/>
        <v>1</v>
      </c>
      <c r="U1187" s="33">
        <f t="shared" si="555"/>
        <v>0</v>
      </c>
      <c r="V1187" s="33">
        <f t="shared" si="556"/>
        <v>-0.79923999108689814</v>
      </c>
      <c r="W1187" s="33">
        <f t="shared" si="557"/>
        <v>498.1541600089131</v>
      </c>
      <c r="X1187" s="33">
        <v>96485</v>
      </c>
      <c r="Y1187" s="16">
        <f t="shared" si="558"/>
        <v>-154.80081615425956</v>
      </c>
      <c r="Z1187" s="16">
        <v>8</v>
      </c>
      <c r="AA1187" s="16">
        <v>17</v>
      </c>
      <c r="AB1187" s="8">
        <f t="shared" si="559"/>
        <v>0.29721362229102166</v>
      </c>
      <c r="AC1187" s="16">
        <f t="shared" si="560"/>
        <v>64.735504357721567</v>
      </c>
      <c r="AD1187" s="20">
        <f>'PFAS Properties'!$W$56</f>
        <v>8</v>
      </c>
      <c r="AE1187" s="8">
        <f>'PFAS Properties'!$S$56</f>
        <v>0.90525604874845123</v>
      </c>
      <c r="AF1187" s="2">
        <f>'PFAS Properties'!$V$56</f>
        <v>4.8</v>
      </c>
      <c r="AG1187" s="24">
        <v>6.8</v>
      </c>
      <c r="AH1187" s="2" t="s">
        <v>183</v>
      </c>
      <c r="AI1187" s="2" t="s">
        <v>661</v>
      </c>
      <c r="AJ1187" s="2" t="s">
        <v>661</v>
      </c>
      <c r="AK1187" s="2" t="s">
        <v>661</v>
      </c>
      <c r="AL1187" s="2" t="s">
        <v>661</v>
      </c>
      <c r="AM1187" s="2" t="s">
        <v>661</v>
      </c>
      <c r="AN1187" s="2" t="s">
        <v>661</v>
      </c>
      <c r="AO1187" s="2" t="s">
        <v>661</v>
      </c>
      <c r="AP1187" s="15">
        <v>7.1</v>
      </c>
      <c r="AQ1187" s="2" t="s">
        <v>661</v>
      </c>
      <c r="AR1187" s="16">
        <v>48.9</v>
      </c>
      <c r="AS1187" s="16">
        <v>27</v>
      </c>
      <c r="AT1187" s="16">
        <v>24.2</v>
      </c>
      <c r="AU1187" s="2" t="s">
        <v>661</v>
      </c>
      <c r="AV1187" s="16">
        <f t="shared" si="566"/>
        <v>100.10000000000001</v>
      </c>
      <c r="AW1187" s="20">
        <v>0.37</v>
      </c>
      <c r="AX1187" s="8">
        <f t="shared" si="568"/>
        <v>3.7000000000000002E-3</v>
      </c>
      <c r="AY1187" s="13" t="s">
        <v>184</v>
      </c>
      <c r="AZ1187" s="16">
        <v>100</v>
      </c>
      <c r="BA1187" s="16" t="s">
        <v>55</v>
      </c>
      <c r="BB1187" s="16">
        <v>5</v>
      </c>
      <c r="BC1187" s="16" t="s">
        <v>55</v>
      </c>
      <c r="BD1187" s="24">
        <v>6.6639999999999997</v>
      </c>
      <c r="BE1187" s="16">
        <f t="shared" si="552"/>
        <v>1801.0810810810808</v>
      </c>
      <c r="BF1187" s="16">
        <f t="shared" si="553"/>
        <v>3.2555332643317363</v>
      </c>
      <c r="BG1187" s="8">
        <f t="shared" si="572"/>
        <v>0.82373498839873116</v>
      </c>
      <c r="BH1187" s="13" t="s">
        <v>345</v>
      </c>
      <c r="BI1187" s="13"/>
      <c r="BJ1187" s="13"/>
      <c r="BK1187" s="13"/>
      <c r="BL1187" s="13"/>
      <c r="BM1187" s="17"/>
      <c r="BN1187" s="17"/>
      <c r="BO1187" s="2"/>
    </row>
    <row r="1188" spans="1:69" s="14" customFormat="1" x14ac:dyDescent="0.3">
      <c r="A1188" s="20">
        <v>1212</v>
      </c>
      <c r="B1188" s="2" t="s">
        <v>181</v>
      </c>
      <c r="C1188" s="2">
        <v>2020</v>
      </c>
      <c r="D1188" s="2" t="s">
        <v>203</v>
      </c>
      <c r="E1188" s="10" t="s">
        <v>787</v>
      </c>
      <c r="F1188" s="20" t="s">
        <v>29</v>
      </c>
      <c r="G1188" s="2" t="s">
        <v>58</v>
      </c>
      <c r="H1188" s="2" t="str">
        <f>'PFAS Properties'!$B$56</f>
        <v>PFOSA</v>
      </c>
      <c r="I1188" s="2" t="str">
        <f>'PFAS Properties'!$C$56</f>
        <v>FOSA</v>
      </c>
      <c r="J1188" s="2" t="str">
        <f>'PFAS Properties'!$D$56</f>
        <v>C8H2F17NO2S</v>
      </c>
      <c r="K1188" s="25">
        <f>'PFAS Properties'!$P$56</f>
        <v>498.95340000000004</v>
      </c>
      <c r="L1188" s="2">
        <f>'PFAS Properties'!$X$56</f>
        <v>6.2</v>
      </c>
      <c r="M1188" s="2" t="str">
        <f>'PFAS Properties'!$Y$56</f>
        <v>-</v>
      </c>
      <c r="N1188" s="33">
        <v>0</v>
      </c>
      <c r="O1188" s="33">
        <v>0</v>
      </c>
      <c r="P1188" s="33">
        <v>0</v>
      </c>
      <c r="Q1188" s="33">
        <f t="shared" si="570"/>
        <v>0.5</v>
      </c>
      <c r="R1188" s="33">
        <v>0</v>
      </c>
      <c r="S1188" s="33">
        <f t="shared" si="571"/>
        <v>0.5</v>
      </c>
      <c r="T1188" s="8">
        <f t="shared" si="569"/>
        <v>1</v>
      </c>
      <c r="U1188" s="33">
        <f t="shared" si="555"/>
        <v>0</v>
      </c>
      <c r="V1188" s="33">
        <f t="shared" si="556"/>
        <v>-0.5</v>
      </c>
      <c r="W1188" s="33">
        <f t="shared" si="557"/>
        <v>498.45340000000004</v>
      </c>
      <c r="X1188" s="33">
        <v>96485</v>
      </c>
      <c r="Y1188" s="16">
        <f t="shared" si="558"/>
        <v>-96.784373423874726</v>
      </c>
      <c r="Z1188" s="16">
        <v>8</v>
      </c>
      <c r="AA1188" s="16">
        <v>17</v>
      </c>
      <c r="AB1188" s="8">
        <f t="shared" si="559"/>
        <v>0.29721362229102166</v>
      </c>
      <c r="AC1188" s="16">
        <f t="shared" si="560"/>
        <v>64.735504357721567</v>
      </c>
      <c r="AD1188" s="20">
        <f>'PFAS Properties'!$W$56</f>
        <v>8</v>
      </c>
      <c r="AE1188" s="8">
        <f>'PFAS Properties'!$S$56</f>
        <v>0.90525604874845123</v>
      </c>
      <c r="AF1188" s="2">
        <f>'PFAS Properties'!$V$56</f>
        <v>4.8</v>
      </c>
      <c r="AG1188" s="24">
        <v>6.2</v>
      </c>
      <c r="AH1188" s="2" t="s">
        <v>183</v>
      </c>
      <c r="AI1188" s="2" t="s">
        <v>661</v>
      </c>
      <c r="AJ1188" s="2" t="s">
        <v>661</v>
      </c>
      <c r="AK1188" s="2" t="s">
        <v>661</v>
      </c>
      <c r="AL1188" s="2" t="s">
        <v>661</v>
      </c>
      <c r="AM1188" s="2" t="s">
        <v>661</v>
      </c>
      <c r="AN1188" s="2" t="s">
        <v>661</v>
      </c>
      <c r="AO1188" s="2" t="s">
        <v>661</v>
      </c>
      <c r="AP1188" s="15">
        <v>8</v>
      </c>
      <c r="AQ1188" s="2" t="s">
        <v>661</v>
      </c>
      <c r="AR1188" s="16">
        <v>51.44</v>
      </c>
      <c r="AS1188" s="16">
        <v>10.17</v>
      </c>
      <c r="AT1188" s="16">
        <v>38.380000000000003</v>
      </c>
      <c r="AU1188" s="2" t="s">
        <v>661</v>
      </c>
      <c r="AV1188" s="16">
        <f t="shared" si="566"/>
        <v>99.990000000000009</v>
      </c>
      <c r="AW1188" s="20">
        <v>0.08</v>
      </c>
      <c r="AX1188" s="8">
        <f t="shared" si="568"/>
        <v>8.0000000000000004E-4</v>
      </c>
      <c r="AY1188" s="8" t="s">
        <v>184</v>
      </c>
      <c r="AZ1188" s="16">
        <v>100</v>
      </c>
      <c r="BA1188" s="16" t="s">
        <v>55</v>
      </c>
      <c r="BB1188" s="16">
        <v>5</v>
      </c>
      <c r="BC1188" s="16" t="s">
        <v>55</v>
      </c>
      <c r="BD1188" s="24">
        <v>18.16</v>
      </c>
      <c r="BE1188" s="16">
        <f t="shared" si="552"/>
        <v>22700</v>
      </c>
      <c r="BF1188" s="16">
        <f t="shared" si="553"/>
        <v>4.3560258571931225</v>
      </c>
      <c r="BG1188" s="8">
        <f t="shared" si="572"/>
        <v>1.2591158441850663</v>
      </c>
      <c r="BH1188" s="13" t="s">
        <v>345</v>
      </c>
      <c r="BI1188" s="13"/>
      <c r="BJ1188" s="13"/>
      <c r="BK1188" s="13"/>
      <c r="BL1188" s="13"/>
      <c r="BM1188" s="17"/>
      <c r="BN1188" s="17"/>
      <c r="BO1188" s="2"/>
    </row>
    <row r="1189" spans="1:69" s="14" customFormat="1" x14ac:dyDescent="0.3">
      <c r="A1189" s="20">
        <v>1213</v>
      </c>
      <c r="B1189" s="2" t="s">
        <v>181</v>
      </c>
      <c r="C1189" s="2">
        <v>2020</v>
      </c>
      <c r="D1189" s="2" t="s">
        <v>203</v>
      </c>
      <c r="E1189" s="10" t="s">
        <v>787</v>
      </c>
      <c r="F1189" s="20" t="s">
        <v>29</v>
      </c>
      <c r="G1189" s="2" t="s">
        <v>59</v>
      </c>
      <c r="H1189" s="2" t="str">
        <f>'PFAS Properties'!$B$56</f>
        <v>PFOSA</v>
      </c>
      <c r="I1189" s="2" t="str">
        <f>'PFAS Properties'!$C$56</f>
        <v>FOSA</v>
      </c>
      <c r="J1189" s="2" t="str">
        <f>'PFAS Properties'!$D$56</f>
        <v>C8H2F17NO2S</v>
      </c>
      <c r="K1189" s="25">
        <f>'PFAS Properties'!$P$56</f>
        <v>498.95340000000004</v>
      </c>
      <c r="L1189" s="2">
        <f>'PFAS Properties'!$X$56</f>
        <v>6.2</v>
      </c>
      <c r="M1189" s="2" t="str">
        <f>'PFAS Properties'!$Y$56</f>
        <v>-</v>
      </c>
      <c r="N1189" s="33">
        <v>0</v>
      </c>
      <c r="O1189" s="33">
        <v>0</v>
      </c>
      <c r="P1189" s="33">
        <v>0</v>
      </c>
      <c r="Q1189" s="33">
        <f t="shared" si="570"/>
        <v>0.9693465699682845</v>
      </c>
      <c r="R1189" s="33">
        <v>0</v>
      </c>
      <c r="S1189" s="33">
        <f t="shared" si="571"/>
        <v>3.0653430031715501E-2</v>
      </c>
      <c r="T1189" s="8">
        <f t="shared" si="569"/>
        <v>1</v>
      </c>
      <c r="U1189" s="33">
        <f t="shared" si="555"/>
        <v>0</v>
      </c>
      <c r="V1189" s="33">
        <f t="shared" si="556"/>
        <v>-0.9693465699682845</v>
      </c>
      <c r="W1189" s="33">
        <f t="shared" si="557"/>
        <v>497.98405343003174</v>
      </c>
      <c r="X1189" s="33">
        <v>96485</v>
      </c>
      <c r="Y1189" s="16">
        <f t="shared" si="558"/>
        <v>-187.81204570545714</v>
      </c>
      <c r="Z1189" s="16">
        <v>8</v>
      </c>
      <c r="AA1189" s="16">
        <v>17</v>
      </c>
      <c r="AB1189" s="8">
        <f t="shared" si="559"/>
        <v>0.29721362229102166</v>
      </c>
      <c r="AC1189" s="16">
        <f t="shared" si="560"/>
        <v>64.735504357721567</v>
      </c>
      <c r="AD1189" s="20">
        <f>'PFAS Properties'!$W$56</f>
        <v>8</v>
      </c>
      <c r="AE1189" s="8">
        <f>'PFAS Properties'!$S$56</f>
        <v>0.90525604874845123</v>
      </c>
      <c r="AF1189" s="2">
        <f>'PFAS Properties'!$V$56</f>
        <v>4.8</v>
      </c>
      <c r="AG1189" s="24">
        <v>7.7</v>
      </c>
      <c r="AH1189" s="2" t="s">
        <v>183</v>
      </c>
      <c r="AI1189" s="2" t="s">
        <v>661</v>
      </c>
      <c r="AJ1189" s="2" t="s">
        <v>661</v>
      </c>
      <c r="AK1189" s="2" t="s">
        <v>661</v>
      </c>
      <c r="AL1189" s="2" t="s">
        <v>661</v>
      </c>
      <c r="AM1189" s="2" t="s">
        <v>661</v>
      </c>
      <c r="AN1189" s="2" t="s">
        <v>661</v>
      </c>
      <c r="AO1189" s="2" t="s">
        <v>661</v>
      </c>
      <c r="AP1189" s="15">
        <v>4.8</v>
      </c>
      <c r="AQ1189" s="2" t="s">
        <v>661</v>
      </c>
      <c r="AR1189" s="16">
        <v>46</v>
      </c>
      <c r="AS1189" s="16">
        <v>37</v>
      </c>
      <c r="AT1189" s="16">
        <v>17</v>
      </c>
      <c r="AU1189" s="2" t="s">
        <v>661</v>
      </c>
      <c r="AV1189" s="16">
        <f t="shared" si="566"/>
        <v>100</v>
      </c>
      <c r="AW1189" s="20">
        <v>0.25</v>
      </c>
      <c r="AX1189" s="8">
        <f t="shared" si="568"/>
        <v>2.5000000000000001E-3</v>
      </c>
      <c r="AY1189" s="13" t="s">
        <v>184</v>
      </c>
      <c r="AZ1189" s="16">
        <v>100</v>
      </c>
      <c r="BA1189" s="16" t="s">
        <v>55</v>
      </c>
      <c r="BB1189" s="16">
        <v>5</v>
      </c>
      <c r="BC1189" s="16" t="s">
        <v>55</v>
      </c>
      <c r="BD1189" s="24">
        <v>4.18</v>
      </c>
      <c r="BE1189" s="16">
        <f t="shared" si="552"/>
        <v>1671.9999999999998</v>
      </c>
      <c r="BF1189" s="16">
        <f t="shared" si="553"/>
        <v>3.2232362731029975</v>
      </c>
      <c r="BG1189" s="8">
        <f t="shared" si="572"/>
        <v>0.62117628177503514</v>
      </c>
      <c r="BH1189" s="13" t="s">
        <v>345</v>
      </c>
      <c r="BI1189" s="13"/>
      <c r="BJ1189" s="13"/>
      <c r="BK1189" s="13"/>
      <c r="BL1189" s="13"/>
      <c r="BM1189" s="17"/>
      <c r="BN1189" s="17"/>
      <c r="BO1189" s="2"/>
    </row>
    <row r="1190" spans="1:69" s="14" customFormat="1" x14ac:dyDescent="0.3">
      <c r="A1190" s="20">
        <v>1214</v>
      </c>
      <c r="B1190" s="2" t="s">
        <v>181</v>
      </c>
      <c r="C1190" s="2">
        <v>2020</v>
      </c>
      <c r="D1190" s="2" t="s">
        <v>203</v>
      </c>
      <c r="E1190" s="10" t="s">
        <v>787</v>
      </c>
      <c r="F1190" s="20" t="s">
        <v>29</v>
      </c>
      <c r="G1190" s="2" t="s">
        <v>61</v>
      </c>
      <c r="H1190" s="2" t="str">
        <f>'PFAS Properties'!$B$56</f>
        <v>PFOSA</v>
      </c>
      <c r="I1190" s="2" t="str">
        <f>'PFAS Properties'!$C$56</f>
        <v>FOSA</v>
      </c>
      <c r="J1190" s="2" t="str">
        <f>'PFAS Properties'!$D$56</f>
        <v>C8H2F17NO2S</v>
      </c>
      <c r="K1190" s="25">
        <f>'PFAS Properties'!$P$56</f>
        <v>498.95340000000004</v>
      </c>
      <c r="L1190" s="2">
        <f>'PFAS Properties'!$X$56</f>
        <v>6.2</v>
      </c>
      <c r="M1190" s="2" t="str">
        <f>'PFAS Properties'!$Y$56</f>
        <v>-</v>
      </c>
      <c r="N1190" s="33">
        <v>0</v>
      </c>
      <c r="O1190" s="33">
        <v>0</v>
      </c>
      <c r="P1190" s="33">
        <v>0</v>
      </c>
      <c r="Q1190" s="33">
        <f t="shared" si="570"/>
        <v>0.94064905689723244</v>
      </c>
      <c r="R1190" s="33">
        <v>0</v>
      </c>
      <c r="S1190" s="33">
        <f t="shared" si="571"/>
        <v>5.9350943102767569E-2</v>
      </c>
      <c r="T1190" s="8">
        <f t="shared" si="569"/>
        <v>1</v>
      </c>
      <c r="U1190" s="33">
        <f t="shared" si="555"/>
        <v>0</v>
      </c>
      <c r="V1190" s="33">
        <f t="shared" si="556"/>
        <v>-0.94064905689723244</v>
      </c>
      <c r="W1190" s="33">
        <f t="shared" si="557"/>
        <v>498.01275094310284</v>
      </c>
      <c r="X1190" s="33">
        <v>96485</v>
      </c>
      <c r="Y1190" s="16">
        <f t="shared" si="558"/>
        <v>-182.24136647677619</v>
      </c>
      <c r="Z1190" s="16">
        <v>8</v>
      </c>
      <c r="AA1190" s="16">
        <v>17</v>
      </c>
      <c r="AB1190" s="8">
        <f t="shared" si="559"/>
        <v>0.29721362229102166</v>
      </c>
      <c r="AC1190" s="16">
        <f t="shared" si="560"/>
        <v>64.735504357721567</v>
      </c>
      <c r="AD1190" s="20">
        <f>'PFAS Properties'!$W$56</f>
        <v>8</v>
      </c>
      <c r="AE1190" s="8">
        <f>'PFAS Properties'!$S$56</f>
        <v>0.90525604874845123</v>
      </c>
      <c r="AF1190" s="2">
        <f>'PFAS Properties'!$V$56</f>
        <v>4.8</v>
      </c>
      <c r="AG1190" s="24">
        <v>7.4</v>
      </c>
      <c r="AH1190" s="2" t="s">
        <v>183</v>
      </c>
      <c r="AI1190" s="2" t="s">
        <v>661</v>
      </c>
      <c r="AJ1190" s="2" t="s">
        <v>661</v>
      </c>
      <c r="AK1190" s="2" t="s">
        <v>661</v>
      </c>
      <c r="AL1190" s="2" t="s">
        <v>661</v>
      </c>
      <c r="AM1190" s="2" t="s">
        <v>661</v>
      </c>
      <c r="AN1190" s="2" t="s">
        <v>661</v>
      </c>
      <c r="AO1190" s="2" t="s">
        <v>661</v>
      </c>
      <c r="AP1190" s="15">
        <v>29.6</v>
      </c>
      <c r="AQ1190" s="2" t="s">
        <v>661</v>
      </c>
      <c r="AR1190" s="16">
        <v>39.799999999999997</v>
      </c>
      <c r="AS1190" s="16">
        <v>7.7</v>
      </c>
      <c r="AT1190" s="16">
        <v>52.5</v>
      </c>
      <c r="AU1190" s="2" t="s">
        <v>661</v>
      </c>
      <c r="AV1190" s="16">
        <f t="shared" si="566"/>
        <v>100</v>
      </c>
      <c r="AW1190" s="20">
        <v>2.23</v>
      </c>
      <c r="AX1190" s="8">
        <f t="shared" si="568"/>
        <v>2.23E-2</v>
      </c>
      <c r="AY1190" s="8" t="s">
        <v>184</v>
      </c>
      <c r="AZ1190" s="16">
        <v>100</v>
      </c>
      <c r="BA1190" s="16" t="s">
        <v>55</v>
      </c>
      <c r="BB1190" s="16">
        <v>5</v>
      </c>
      <c r="BC1190" s="16" t="s">
        <v>55</v>
      </c>
      <c r="BD1190" s="24">
        <v>3.14</v>
      </c>
      <c r="BE1190" s="16">
        <f t="shared" ref="BE1190:BE1208" si="573">BD1190/AX1190</f>
        <v>140.80717488789239</v>
      </c>
      <c r="BF1190" s="16">
        <f t="shared" ref="BF1190:BF1208" si="574">LOG(BE1190)</f>
        <v>2.1486247850250542</v>
      </c>
      <c r="BG1190" s="8">
        <f t="shared" si="572"/>
        <v>0.49692964807321494</v>
      </c>
      <c r="BH1190" s="13" t="s">
        <v>345</v>
      </c>
      <c r="BI1190" s="13"/>
      <c r="BJ1190" s="13"/>
      <c r="BK1190" s="13"/>
      <c r="BL1190" s="13"/>
      <c r="BM1190" s="17"/>
      <c r="BN1190" s="17"/>
      <c r="BO1190" s="2"/>
    </row>
    <row r="1191" spans="1:69" s="14" customFormat="1" x14ac:dyDescent="0.3">
      <c r="A1191" s="20">
        <v>1215</v>
      </c>
      <c r="B1191" s="2" t="s">
        <v>181</v>
      </c>
      <c r="C1191" s="2">
        <v>2020</v>
      </c>
      <c r="D1191" s="2" t="s">
        <v>203</v>
      </c>
      <c r="E1191" s="10" t="s">
        <v>787</v>
      </c>
      <c r="F1191" s="20" t="s">
        <v>29</v>
      </c>
      <c r="G1191" s="2" t="s">
        <v>60</v>
      </c>
      <c r="H1191" s="2" t="str">
        <f>'PFAS Properties'!$B$56</f>
        <v>PFOSA</v>
      </c>
      <c r="I1191" s="2" t="str">
        <f>'PFAS Properties'!$C$56</f>
        <v>FOSA</v>
      </c>
      <c r="J1191" s="2" t="str">
        <f>'PFAS Properties'!$D$56</f>
        <v>C8H2F17NO2S</v>
      </c>
      <c r="K1191" s="25">
        <f>'PFAS Properties'!$P$56</f>
        <v>498.95340000000004</v>
      </c>
      <c r="L1191" s="2">
        <f>'PFAS Properties'!$X$56</f>
        <v>6.2</v>
      </c>
      <c r="M1191" s="2" t="str">
        <f>'PFAS Properties'!$Y$56</f>
        <v>-</v>
      </c>
      <c r="N1191" s="33">
        <v>0</v>
      </c>
      <c r="O1191" s="33">
        <v>0</v>
      </c>
      <c r="P1191" s="33">
        <v>0</v>
      </c>
      <c r="Q1191" s="33">
        <f t="shared" si="570"/>
        <v>0.9693465699682845</v>
      </c>
      <c r="R1191" s="33">
        <v>0</v>
      </c>
      <c r="S1191" s="33">
        <f t="shared" si="571"/>
        <v>3.0653430031715501E-2</v>
      </c>
      <c r="T1191" s="8">
        <f t="shared" si="569"/>
        <v>1</v>
      </c>
      <c r="U1191" s="33">
        <f t="shared" si="555"/>
        <v>0</v>
      </c>
      <c r="V1191" s="33">
        <f t="shared" si="556"/>
        <v>-0.9693465699682845</v>
      </c>
      <c r="W1191" s="33">
        <f t="shared" si="557"/>
        <v>497.98405343003174</v>
      </c>
      <c r="X1191" s="33">
        <v>96485</v>
      </c>
      <c r="Y1191" s="16">
        <f t="shared" si="558"/>
        <v>-187.81204570545714</v>
      </c>
      <c r="Z1191" s="16">
        <v>8</v>
      </c>
      <c r="AA1191" s="16">
        <v>17</v>
      </c>
      <c r="AB1191" s="8">
        <f t="shared" si="559"/>
        <v>0.29721362229102166</v>
      </c>
      <c r="AC1191" s="16">
        <f t="shared" si="560"/>
        <v>64.735504357721567</v>
      </c>
      <c r="AD1191" s="20">
        <f>'PFAS Properties'!$W$56</f>
        <v>8</v>
      </c>
      <c r="AE1191" s="8">
        <f>'PFAS Properties'!$S$56</f>
        <v>0.90525604874845123</v>
      </c>
      <c r="AF1191" s="2">
        <f>'PFAS Properties'!$V$56</f>
        <v>4.8</v>
      </c>
      <c r="AG1191" s="24">
        <v>7.7</v>
      </c>
      <c r="AH1191" s="2" t="s">
        <v>183</v>
      </c>
      <c r="AI1191" s="2" t="s">
        <v>661</v>
      </c>
      <c r="AJ1191" s="2" t="s">
        <v>661</v>
      </c>
      <c r="AK1191" s="2" t="s">
        <v>661</v>
      </c>
      <c r="AL1191" s="2" t="s">
        <v>661</v>
      </c>
      <c r="AM1191" s="2" t="s">
        <v>661</v>
      </c>
      <c r="AN1191" s="2" t="s">
        <v>661</v>
      </c>
      <c r="AO1191" s="2" t="s">
        <v>661</v>
      </c>
      <c r="AP1191" s="15">
        <v>21.63</v>
      </c>
      <c r="AQ1191" s="2" t="s">
        <v>661</v>
      </c>
      <c r="AR1191" s="16">
        <v>70</v>
      </c>
      <c r="AS1191" s="16">
        <v>11</v>
      </c>
      <c r="AT1191" s="16">
        <v>19</v>
      </c>
      <c r="AU1191" s="2" t="s">
        <v>661</v>
      </c>
      <c r="AV1191" s="16">
        <f t="shared" si="566"/>
        <v>100</v>
      </c>
      <c r="AW1191" s="20">
        <v>4.9000000000000004</v>
      </c>
      <c r="AX1191" s="8">
        <f t="shared" si="568"/>
        <v>4.9000000000000002E-2</v>
      </c>
      <c r="AY1191" s="8" t="s">
        <v>184</v>
      </c>
      <c r="AZ1191" s="16">
        <v>100</v>
      </c>
      <c r="BA1191" s="16" t="s">
        <v>55</v>
      </c>
      <c r="BB1191" s="16">
        <v>5</v>
      </c>
      <c r="BC1191" s="16" t="s">
        <v>55</v>
      </c>
      <c r="BD1191" s="24">
        <v>47.29</v>
      </c>
      <c r="BE1191" s="16">
        <f t="shared" si="573"/>
        <v>965.10204081632651</v>
      </c>
      <c r="BF1191" s="16">
        <f t="shared" si="574"/>
        <v>2.9845732339869127</v>
      </c>
      <c r="BG1191" s="8">
        <f t="shared" si="572"/>
        <v>1.6747693140154263</v>
      </c>
      <c r="BH1191" s="13" t="s">
        <v>345</v>
      </c>
      <c r="BI1191" s="13"/>
      <c r="BJ1191" s="13"/>
      <c r="BK1191" s="13"/>
      <c r="BL1191" s="13"/>
      <c r="BM1191" s="17"/>
      <c r="BN1191" s="17"/>
      <c r="BO1191" s="2"/>
    </row>
    <row r="1192" spans="1:69" s="14" customFormat="1" x14ac:dyDescent="0.3">
      <c r="A1192" s="20">
        <v>1216</v>
      </c>
      <c r="B1192" s="2" t="s">
        <v>181</v>
      </c>
      <c r="C1192" s="2">
        <v>2020</v>
      </c>
      <c r="D1192" s="2" t="s">
        <v>203</v>
      </c>
      <c r="E1192" s="10" t="s">
        <v>787</v>
      </c>
      <c r="F1192" s="20" t="s">
        <v>29</v>
      </c>
      <c r="G1192" s="2" t="s">
        <v>77</v>
      </c>
      <c r="H1192" s="2" t="str">
        <f>'PFAS Properties'!$B$56</f>
        <v>PFOSA</v>
      </c>
      <c r="I1192" s="2" t="str">
        <f>'PFAS Properties'!$C$56</f>
        <v>FOSA</v>
      </c>
      <c r="J1192" s="2" t="str">
        <f>'PFAS Properties'!$D$56</f>
        <v>C8H2F17NO2S</v>
      </c>
      <c r="K1192" s="25">
        <f>'PFAS Properties'!$P$56</f>
        <v>498.95340000000004</v>
      </c>
      <c r="L1192" s="2">
        <f>'PFAS Properties'!$X$56</f>
        <v>6.2</v>
      </c>
      <c r="M1192" s="2" t="str">
        <f>'PFAS Properties'!$Y$56</f>
        <v>-</v>
      </c>
      <c r="N1192" s="33">
        <v>0</v>
      </c>
      <c r="O1192" s="33">
        <v>0</v>
      </c>
      <c r="P1192" s="33">
        <v>0</v>
      </c>
      <c r="Q1192" s="33">
        <f t="shared" si="570"/>
        <v>0.9693465699682845</v>
      </c>
      <c r="R1192" s="33">
        <v>0</v>
      </c>
      <c r="S1192" s="33">
        <f t="shared" si="571"/>
        <v>3.0653430031715501E-2</v>
      </c>
      <c r="T1192" s="8">
        <f t="shared" si="569"/>
        <v>1</v>
      </c>
      <c r="U1192" s="33">
        <f t="shared" si="555"/>
        <v>0</v>
      </c>
      <c r="V1192" s="33">
        <f t="shared" si="556"/>
        <v>-0.9693465699682845</v>
      </c>
      <c r="W1192" s="33">
        <f t="shared" si="557"/>
        <v>497.98405343003174</v>
      </c>
      <c r="X1192" s="33">
        <v>96485</v>
      </c>
      <c r="Y1192" s="16">
        <f t="shared" si="558"/>
        <v>-187.81204570545714</v>
      </c>
      <c r="Z1192" s="16">
        <v>8</v>
      </c>
      <c r="AA1192" s="16">
        <v>17</v>
      </c>
      <c r="AB1192" s="8">
        <f t="shared" si="559"/>
        <v>0.29721362229102166</v>
      </c>
      <c r="AC1192" s="16">
        <f t="shared" si="560"/>
        <v>64.735504357721567</v>
      </c>
      <c r="AD1192" s="20">
        <f>'PFAS Properties'!$W$56</f>
        <v>8</v>
      </c>
      <c r="AE1192" s="8">
        <f>'PFAS Properties'!$S$56</f>
        <v>0.90525604874845123</v>
      </c>
      <c r="AF1192" s="2">
        <f>'PFAS Properties'!$V$56</f>
        <v>4.8</v>
      </c>
      <c r="AG1192" s="24">
        <v>7.7</v>
      </c>
      <c r="AH1192" s="2" t="s">
        <v>183</v>
      </c>
      <c r="AI1192" s="2" t="s">
        <v>661</v>
      </c>
      <c r="AJ1192" s="2" t="s">
        <v>661</v>
      </c>
      <c r="AK1192" s="2" t="s">
        <v>661</v>
      </c>
      <c r="AL1192" s="2" t="s">
        <v>661</v>
      </c>
      <c r="AM1192" s="2" t="s">
        <v>661</v>
      </c>
      <c r="AN1192" s="2" t="s">
        <v>661</v>
      </c>
      <c r="AO1192" s="2" t="s">
        <v>661</v>
      </c>
      <c r="AP1192" s="15">
        <v>7.8</v>
      </c>
      <c r="AQ1192" s="2" t="s">
        <v>661</v>
      </c>
      <c r="AR1192" s="16">
        <v>48.9</v>
      </c>
      <c r="AS1192" s="16">
        <v>32.6</v>
      </c>
      <c r="AT1192" s="16">
        <v>18.5</v>
      </c>
      <c r="AU1192" s="2" t="s">
        <v>661</v>
      </c>
      <c r="AV1192" s="16">
        <f t="shared" si="566"/>
        <v>100</v>
      </c>
      <c r="AW1192" s="20">
        <v>0.13</v>
      </c>
      <c r="AX1192" s="8">
        <f t="shared" si="568"/>
        <v>1.2999999999999999E-3</v>
      </c>
      <c r="AY1192" s="8" t="s">
        <v>184</v>
      </c>
      <c r="AZ1192" s="16">
        <v>100</v>
      </c>
      <c r="BA1192" s="16" t="s">
        <v>55</v>
      </c>
      <c r="BB1192" s="16">
        <v>5</v>
      </c>
      <c r="BC1192" s="16" t="s">
        <v>55</v>
      </c>
      <c r="BD1192" s="24">
        <v>2.2200000000000002</v>
      </c>
      <c r="BE1192" s="16">
        <f t="shared" si="573"/>
        <v>1707.6923076923078</v>
      </c>
      <c r="BF1192" s="16">
        <f t="shared" si="574"/>
        <v>3.2324096221438019</v>
      </c>
      <c r="BG1192" s="8">
        <f t="shared" si="572"/>
        <v>0.34635297445063867</v>
      </c>
      <c r="BH1192" s="13" t="s">
        <v>345</v>
      </c>
      <c r="BI1192" s="13"/>
      <c r="BJ1192" s="13"/>
      <c r="BK1192" s="13"/>
      <c r="BL1192" s="13"/>
      <c r="BM1192" s="17"/>
      <c r="BN1192" s="17"/>
      <c r="BO1192" s="2"/>
    </row>
    <row r="1193" spans="1:69" s="14" customFormat="1" x14ac:dyDescent="0.3">
      <c r="A1193" s="20">
        <v>1217</v>
      </c>
      <c r="B1193" s="2" t="s">
        <v>181</v>
      </c>
      <c r="C1193" s="2">
        <v>2020</v>
      </c>
      <c r="D1193" s="2" t="s">
        <v>203</v>
      </c>
      <c r="E1193" s="10" t="s">
        <v>787</v>
      </c>
      <c r="F1193" s="20" t="s">
        <v>29</v>
      </c>
      <c r="G1193" s="2" t="s">
        <v>182</v>
      </c>
      <c r="H1193" s="2" t="str">
        <f>'PFAS Properties'!$B$56</f>
        <v>PFOSA</v>
      </c>
      <c r="I1193" s="2" t="str">
        <f>'PFAS Properties'!$C$56</f>
        <v>FOSA</v>
      </c>
      <c r="J1193" s="2" t="str">
        <f>'PFAS Properties'!$D$56</f>
        <v>C8H2F17NO2S</v>
      </c>
      <c r="K1193" s="25">
        <f>'PFAS Properties'!$P$56</f>
        <v>498.95340000000004</v>
      </c>
      <c r="L1193" s="2">
        <f>'PFAS Properties'!$X$56</f>
        <v>6.2</v>
      </c>
      <c r="M1193" s="2" t="str">
        <f>'PFAS Properties'!$Y$56</f>
        <v>-</v>
      </c>
      <c r="N1193" s="33">
        <v>0</v>
      </c>
      <c r="O1193" s="33">
        <v>0</v>
      </c>
      <c r="P1193" s="33">
        <v>0</v>
      </c>
      <c r="Q1193" s="33">
        <f t="shared" si="570"/>
        <v>0.95227327896579606</v>
      </c>
      <c r="R1193" s="33">
        <v>0</v>
      </c>
      <c r="S1193" s="33">
        <f t="shared" si="571"/>
        <v>4.7726721034203903E-2</v>
      </c>
      <c r="T1193" s="8">
        <f t="shared" si="569"/>
        <v>1</v>
      </c>
      <c r="U1193" s="33">
        <f t="shared" si="555"/>
        <v>0</v>
      </c>
      <c r="V1193" s="33">
        <f t="shared" si="556"/>
        <v>-0.95227327896579606</v>
      </c>
      <c r="W1193" s="33">
        <f t="shared" si="557"/>
        <v>498.00112672103421</v>
      </c>
      <c r="X1193" s="33">
        <v>96485</v>
      </c>
      <c r="Y1193" s="16">
        <f t="shared" si="558"/>
        <v>-184.49774988658487</v>
      </c>
      <c r="Z1193" s="16">
        <v>8</v>
      </c>
      <c r="AA1193" s="16">
        <v>17</v>
      </c>
      <c r="AB1193" s="8">
        <f t="shared" si="559"/>
        <v>0.29721362229102166</v>
      </c>
      <c r="AC1193" s="16">
        <f t="shared" si="560"/>
        <v>64.735504357721567</v>
      </c>
      <c r="AD1193" s="20">
        <f>'PFAS Properties'!$W$56</f>
        <v>8</v>
      </c>
      <c r="AE1193" s="8">
        <f>'PFAS Properties'!$S$56</f>
        <v>0.90525604874845123</v>
      </c>
      <c r="AF1193" s="2">
        <f>'PFAS Properties'!$V$56</f>
        <v>4.8</v>
      </c>
      <c r="AG1193" s="24">
        <v>7.5</v>
      </c>
      <c r="AH1193" s="2" t="s">
        <v>183</v>
      </c>
      <c r="AI1193" s="2" t="s">
        <v>661</v>
      </c>
      <c r="AJ1193" s="2" t="s">
        <v>661</v>
      </c>
      <c r="AK1193" s="2" t="s">
        <v>661</v>
      </c>
      <c r="AL1193" s="2" t="s">
        <v>661</v>
      </c>
      <c r="AM1193" s="2" t="s">
        <v>661</v>
      </c>
      <c r="AN1193" s="2" t="s">
        <v>661</v>
      </c>
      <c r="AO1193" s="2" t="s">
        <v>661</v>
      </c>
      <c r="AP1193" s="15">
        <v>2.2799999999999998</v>
      </c>
      <c r="AQ1193" s="2" t="s">
        <v>661</v>
      </c>
      <c r="AR1193" s="16">
        <v>93</v>
      </c>
      <c r="AS1193" s="16">
        <v>1</v>
      </c>
      <c r="AT1193" s="16">
        <v>5</v>
      </c>
      <c r="AU1193" s="2" t="s">
        <v>661</v>
      </c>
      <c r="AV1193" s="16">
        <f t="shared" si="566"/>
        <v>99</v>
      </c>
      <c r="AW1193" s="20">
        <v>0.4</v>
      </c>
      <c r="AX1193" s="8">
        <f t="shared" si="568"/>
        <v>4.0000000000000001E-3</v>
      </c>
      <c r="AY1193" s="8" t="s">
        <v>184</v>
      </c>
      <c r="AZ1193" s="16">
        <v>100</v>
      </c>
      <c r="BA1193" s="16" t="s">
        <v>55</v>
      </c>
      <c r="BB1193" s="16">
        <v>5</v>
      </c>
      <c r="BC1193" s="16" t="s">
        <v>55</v>
      </c>
      <c r="BD1193" s="24">
        <v>15.58</v>
      </c>
      <c r="BE1193" s="16">
        <f t="shared" si="573"/>
        <v>3895</v>
      </c>
      <c r="BF1193" s="16">
        <f t="shared" si="574"/>
        <v>3.5905074620085831</v>
      </c>
      <c r="BG1193" s="8">
        <f t="shared" si="572"/>
        <v>1.1925674533365456</v>
      </c>
      <c r="BH1193" s="13" t="s">
        <v>345</v>
      </c>
      <c r="BI1193" s="13"/>
      <c r="BJ1193" s="13"/>
      <c r="BK1193" s="13"/>
      <c r="BL1193" s="13"/>
      <c r="BM1193" s="17"/>
      <c r="BN1193" s="17"/>
      <c r="BO1193" s="2"/>
    </row>
    <row r="1194" spans="1:69" s="14" customFormat="1" x14ac:dyDescent="0.3">
      <c r="A1194" s="20">
        <v>1218</v>
      </c>
      <c r="B1194" s="2" t="s">
        <v>181</v>
      </c>
      <c r="C1194" s="2">
        <v>2020</v>
      </c>
      <c r="D1194" s="2" t="s">
        <v>203</v>
      </c>
      <c r="E1194" s="10" t="s">
        <v>787</v>
      </c>
      <c r="F1194" s="20" t="s">
        <v>29</v>
      </c>
      <c r="G1194" s="2" t="s">
        <v>78</v>
      </c>
      <c r="H1194" s="2" t="str">
        <f>'PFAS Properties'!$B$56</f>
        <v>PFOSA</v>
      </c>
      <c r="I1194" s="2" t="str">
        <f>'PFAS Properties'!$C$56</f>
        <v>FOSA</v>
      </c>
      <c r="J1194" s="2" t="str">
        <f>'PFAS Properties'!$D$56</f>
        <v>C8H2F17NO2S</v>
      </c>
      <c r="K1194" s="25">
        <f>'PFAS Properties'!$P$56</f>
        <v>498.95340000000004</v>
      </c>
      <c r="L1194" s="2">
        <f>'PFAS Properties'!$X$56</f>
        <v>6.2</v>
      </c>
      <c r="M1194" s="2" t="str">
        <f>'PFAS Properties'!$Y$56</f>
        <v>-</v>
      </c>
      <c r="N1194" s="33">
        <v>0</v>
      </c>
      <c r="O1194" s="33">
        <v>0</v>
      </c>
      <c r="P1194" s="33">
        <v>0</v>
      </c>
      <c r="Q1194" s="33">
        <f t="shared" si="570"/>
        <v>0.88818423022188298</v>
      </c>
      <c r="R1194" s="33">
        <v>0</v>
      </c>
      <c r="S1194" s="33">
        <f t="shared" si="571"/>
        <v>0.11181576977811705</v>
      </c>
      <c r="T1194" s="8">
        <f t="shared" si="569"/>
        <v>1</v>
      </c>
      <c r="U1194" s="33">
        <f t="shared" si="555"/>
        <v>0</v>
      </c>
      <c r="V1194" s="33">
        <f t="shared" si="556"/>
        <v>-0.88818423022188298</v>
      </c>
      <c r="W1194" s="33">
        <f t="shared" si="557"/>
        <v>498.06521576977815</v>
      </c>
      <c r="X1194" s="33">
        <v>96485</v>
      </c>
      <c r="Y1194" s="16">
        <f t="shared" si="558"/>
        <v>-172.05870383963943</v>
      </c>
      <c r="Z1194" s="16">
        <v>8</v>
      </c>
      <c r="AA1194" s="16">
        <v>17</v>
      </c>
      <c r="AB1194" s="8">
        <f t="shared" si="559"/>
        <v>0.29721362229102166</v>
      </c>
      <c r="AC1194" s="16">
        <f t="shared" si="560"/>
        <v>64.735504357721567</v>
      </c>
      <c r="AD1194" s="20">
        <f>'PFAS Properties'!$W$56</f>
        <v>8</v>
      </c>
      <c r="AE1194" s="8">
        <f>'PFAS Properties'!$S$56</f>
        <v>0.90525604874845123</v>
      </c>
      <c r="AF1194" s="2">
        <f>'PFAS Properties'!$V$56</f>
        <v>4.8</v>
      </c>
      <c r="AG1194" s="24">
        <v>7.1</v>
      </c>
      <c r="AH1194" s="2" t="s">
        <v>183</v>
      </c>
      <c r="AI1194" s="2" t="s">
        <v>661</v>
      </c>
      <c r="AJ1194" s="2" t="s">
        <v>661</v>
      </c>
      <c r="AK1194" s="2" t="s">
        <v>661</v>
      </c>
      <c r="AL1194" s="2" t="s">
        <v>661</v>
      </c>
      <c r="AM1194" s="2" t="s">
        <v>661</v>
      </c>
      <c r="AN1194" s="2" t="s">
        <v>661</v>
      </c>
      <c r="AO1194" s="2" t="s">
        <v>661</v>
      </c>
      <c r="AP1194" s="15">
        <v>17.420000000000002</v>
      </c>
      <c r="AQ1194" s="2" t="s">
        <v>661</v>
      </c>
      <c r="AR1194" s="16">
        <v>48.86</v>
      </c>
      <c r="AS1194" s="16">
        <v>16.05</v>
      </c>
      <c r="AT1194" s="16">
        <v>35.090000000000003</v>
      </c>
      <c r="AU1194" s="2" t="s">
        <v>661</v>
      </c>
      <c r="AV1194" s="16">
        <f t="shared" si="566"/>
        <v>100</v>
      </c>
      <c r="AW1194" s="20">
        <v>1.19</v>
      </c>
      <c r="AX1194" s="8">
        <f t="shared" si="568"/>
        <v>1.1899999999999999E-2</v>
      </c>
      <c r="AY1194" s="8" t="s">
        <v>184</v>
      </c>
      <c r="AZ1194" s="16">
        <v>100</v>
      </c>
      <c r="BA1194" s="16" t="s">
        <v>55</v>
      </c>
      <c r="BB1194" s="16">
        <v>5</v>
      </c>
      <c r="BC1194" s="16" t="s">
        <v>55</v>
      </c>
      <c r="BD1194" s="24">
        <v>8.49</v>
      </c>
      <c r="BE1194" s="16">
        <f t="shared" si="573"/>
        <v>713.44537815126057</v>
      </c>
      <c r="BF1194" s="16">
        <f t="shared" si="574"/>
        <v>2.8533607288514218</v>
      </c>
      <c r="BG1194" s="8">
        <f t="shared" si="572"/>
        <v>0.9289076902439527</v>
      </c>
      <c r="BH1194" s="13" t="s">
        <v>345</v>
      </c>
      <c r="BI1194" s="13"/>
      <c r="BJ1194" s="13"/>
      <c r="BK1194" s="13"/>
      <c r="BL1194" s="13"/>
      <c r="BM1194" s="17"/>
      <c r="BN1194" s="17"/>
      <c r="BO1194" s="2"/>
    </row>
    <row r="1195" spans="1:69" s="14" customFormat="1" x14ac:dyDescent="0.3">
      <c r="A1195" s="20">
        <v>1219</v>
      </c>
      <c r="B1195" s="2" t="s">
        <v>181</v>
      </c>
      <c r="C1195" s="2">
        <v>2020</v>
      </c>
      <c r="D1195" s="2" t="s">
        <v>203</v>
      </c>
      <c r="E1195" s="10" t="s">
        <v>787</v>
      </c>
      <c r="F1195" s="20" t="s">
        <v>29</v>
      </c>
      <c r="G1195" s="2" t="s">
        <v>98</v>
      </c>
      <c r="H1195" s="2" t="str">
        <f>'PFAS Properties'!$B$56</f>
        <v>PFOSA</v>
      </c>
      <c r="I1195" s="2" t="str">
        <f>'PFAS Properties'!$C$56</f>
        <v>FOSA</v>
      </c>
      <c r="J1195" s="2" t="str">
        <f>'PFAS Properties'!$D$56</f>
        <v>C8H2F17NO2S</v>
      </c>
      <c r="K1195" s="25">
        <f>'PFAS Properties'!$P$56</f>
        <v>498.95340000000004</v>
      </c>
      <c r="L1195" s="2">
        <f>'PFAS Properties'!$X$56</f>
        <v>6.2</v>
      </c>
      <c r="M1195" s="2" t="str">
        <f>'PFAS Properties'!$Y$56</f>
        <v>-</v>
      </c>
      <c r="N1195" s="33">
        <v>0</v>
      </c>
      <c r="O1195" s="33">
        <v>0</v>
      </c>
      <c r="P1195" s="33">
        <v>0</v>
      </c>
      <c r="Q1195" s="33">
        <f t="shared" si="570"/>
        <v>0.61313682015314319</v>
      </c>
      <c r="R1195" s="33">
        <v>0</v>
      </c>
      <c r="S1195" s="33">
        <f t="shared" si="571"/>
        <v>0.38686317984685686</v>
      </c>
      <c r="T1195" s="8">
        <f t="shared" si="569"/>
        <v>1</v>
      </c>
      <c r="U1195" s="33">
        <f t="shared" si="555"/>
        <v>0</v>
      </c>
      <c r="V1195" s="33">
        <f t="shared" si="556"/>
        <v>-0.61313682015314319</v>
      </c>
      <c r="W1195" s="33">
        <f t="shared" si="557"/>
        <v>498.34026317984694</v>
      </c>
      <c r="X1195" s="33">
        <v>96485</v>
      </c>
      <c r="Y1195" s="16">
        <f t="shared" si="558"/>
        <v>-118.71107045413709</v>
      </c>
      <c r="Z1195" s="16">
        <v>8</v>
      </c>
      <c r="AA1195" s="16">
        <v>17</v>
      </c>
      <c r="AB1195" s="8">
        <f t="shared" si="559"/>
        <v>0.29721362229102166</v>
      </c>
      <c r="AC1195" s="16">
        <f t="shared" si="560"/>
        <v>64.735504357721567</v>
      </c>
      <c r="AD1195" s="20">
        <f>'PFAS Properties'!$W$56</f>
        <v>8</v>
      </c>
      <c r="AE1195" s="8">
        <f>'PFAS Properties'!$S$56</f>
        <v>0.90525604874845123</v>
      </c>
      <c r="AF1195" s="2">
        <f>'PFAS Properties'!$V$56</f>
        <v>4.8</v>
      </c>
      <c r="AG1195" s="24">
        <v>6.4</v>
      </c>
      <c r="AH1195" s="2" t="s">
        <v>183</v>
      </c>
      <c r="AI1195" s="2" t="s">
        <v>661</v>
      </c>
      <c r="AJ1195" s="15" t="s">
        <v>661</v>
      </c>
      <c r="AK1195" s="8" t="s">
        <v>661</v>
      </c>
      <c r="AL1195" s="2" t="s">
        <v>661</v>
      </c>
      <c r="AM1195" s="15" t="s">
        <v>661</v>
      </c>
      <c r="AN1195" s="8" t="s">
        <v>661</v>
      </c>
      <c r="AO1195" s="15" t="s">
        <v>661</v>
      </c>
      <c r="AP1195" s="15">
        <v>16.54</v>
      </c>
      <c r="AQ1195" s="13" t="s">
        <v>661</v>
      </c>
      <c r="AR1195" s="16">
        <v>29.38</v>
      </c>
      <c r="AS1195" s="16">
        <v>13.9</v>
      </c>
      <c r="AT1195" s="16">
        <v>56.71</v>
      </c>
      <c r="AU1195" s="15" t="s">
        <v>661</v>
      </c>
      <c r="AV1195" s="16">
        <f t="shared" si="566"/>
        <v>99.990000000000009</v>
      </c>
      <c r="AW1195" s="20">
        <v>0.17</v>
      </c>
      <c r="AX1195" s="8">
        <f t="shared" si="568"/>
        <v>1.7000000000000001E-3</v>
      </c>
      <c r="AY1195" s="8" t="s">
        <v>184</v>
      </c>
      <c r="AZ1195" s="16">
        <v>100</v>
      </c>
      <c r="BA1195" s="16" t="s">
        <v>55</v>
      </c>
      <c r="BB1195" s="16">
        <v>5</v>
      </c>
      <c r="BC1195" s="16" t="s">
        <v>55</v>
      </c>
      <c r="BD1195" s="24">
        <v>12.82</v>
      </c>
      <c r="BE1195" s="16">
        <f t="shared" si="573"/>
        <v>7541.1764705882351</v>
      </c>
      <c r="BF1195" s="16">
        <f t="shared" si="574"/>
        <v>3.8774391038045248</v>
      </c>
      <c r="BG1195" s="8">
        <f t="shared" si="572"/>
        <v>1.1078880251827987</v>
      </c>
      <c r="BH1195" s="13" t="s">
        <v>345</v>
      </c>
      <c r="BI1195" s="13"/>
      <c r="BJ1195" s="13"/>
      <c r="BK1195" s="13"/>
      <c r="BL1195" s="13"/>
      <c r="BM1195" s="17"/>
      <c r="BN1195" s="17"/>
      <c r="BO1195" s="2"/>
    </row>
    <row r="1196" spans="1:69" s="14" customFormat="1" x14ac:dyDescent="0.3">
      <c r="A1196" s="20">
        <v>1220</v>
      </c>
      <c r="B1196" s="2" t="s">
        <v>195</v>
      </c>
      <c r="C1196" s="2">
        <v>2022</v>
      </c>
      <c r="D1196" s="2" t="s">
        <v>199</v>
      </c>
      <c r="E1196" s="10" t="s">
        <v>798</v>
      </c>
      <c r="F1196" s="20" t="s">
        <v>29</v>
      </c>
      <c r="G1196" s="2" t="s">
        <v>237</v>
      </c>
      <c r="H1196" s="2" t="str">
        <f>'PFAS Properties'!$B$57</f>
        <v>EtFOSA</v>
      </c>
      <c r="I1196" s="2" t="str">
        <f>'PFAS Properties'!$C$57</f>
        <v>FOSA</v>
      </c>
      <c r="J1196" s="2" t="str">
        <f>'PFAS Properties'!$D$57</f>
        <v>C10H6F17NO2S</v>
      </c>
      <c r="K1196" s="25">
        <f>'PFAS Properties'!$P$57</f>
        <v>526.9846</v>
      </c>
      <c r="L1196" s="2">
        <f>'PFAS Properties'!$X$57</f>
        <v>9</v>
      </c>
      <c r="M1196" s="2" t="str">
        <f>'PFAS Properties'!$Y$57</f>
        <v>-</v>
      </c>
      <c r="N1196" s="33">
        <v>0</v>
      </c>
      <c r="O1196" s="33">
        <v>0</v>
      </c>
      <c r="P1196" s="33">
        <v>0</v>
      </c>
      <c r="Q1196" s="33">
        <f t="shared" si="570"/>
        <v>5.0116211602181956E-5</v>
      </c>
      <c r="R1196" s="33">
        <v>0</v>
      </c>
      <c r="S1196" s="33">
        <f t="shared" si="571"/>
        <v>0.99994988378839778</v>
      </c>
      <c r="T1196" s="8">
        <f t="shared" si="569"/>
        <v>1</v>
      </c>
      <c r="U1196" s="33">
        <f t="shared" si="555"/>
        <v>0</v>
      </c>
      <c r="V1196" s="33">
        <f t="shared" si="556"/>
        <v>-5.0116211602181956E-5</v>
      </c>
      <c r="W1196" s="33">
        <f t="shared" si="557"/>
        <v>526.98454988378842</v>
      </c>
      <c r="X1196" s="33">
        <v>96485</v>
      </c>
      <c r="Y1196" s="16">
        <f t="shared" si="558"/>
        <v>-9.1757200045102863E-3</v>
      </c>
      <c r="Z1196" s="16">
        <v>10</v>
      </c>
      <c r="AA1196" s="16">
        <v>17</v>
      </c>
      <c r="AB1196" s="8">
        <f t="shared" si="559"/>
        <v>0.37151702786377711</v>
      </c>
      <c r="AC1196" s="16">
        <f t="shared" si="560"/>
        <v>61.292113659488344</v>
      </c>
      <c r="AD1196" s="20">
        <f>'PFAS Properties'!$W$57</f>
        <v>8</v>
      </c>
      <c r="AE1196" s="8">
        <f>'PFAS Properties'!$S$57</f>
        <v>-9.1514981121350217E-2</v>
      </c>
      <c r="AF1196" s="2">
        <f>'PFAS Properties'!$V$57</f>
        <v>5.6</v>
      </c>
      <c r="AG1196" s="24">
        <v>4.7</v>
      </c>
      <c r="AH1196" s="2" t="s">
        <v>832</v>
      </c>
      <c r="AI1196" s="8">
        <f>(6.8*55.845)/1000</f>
        <v>0.37974599999999997</v>
      </c>
      <c r="AJ1196" s="15">
        <f t="shared" ref="AJ1196:AJ1208" si="575">AI1196*1000/55.845</f>
        <v>6.8</v>
      </c>
      <c r="AK1196" s="8">
        <f t="shared" ref="AK1196:AK1208" si="576">AI1196/10</f>
        <v>3.7974599999999997E-2</v>
      </c>
      <c r="AL1196" s="8">
        <f>(4*26.982)/1000</f>
        <v>0.107928</v>
      </c>
      <c r="AM1196" s="15">
        <f>AL1196*1000/55.845</f>
        <v>1.932634971796938</v>
      </c>
      <c r="AN1196" s="8">
        <f t="shared" ref="AN1196:AN1208" si="577">AL1196/10</f>
        <v>1.07928E-2</v>
      </c>
      <c r="AO1196" s="2" t="s">
        <v>86</v>
      </c>
      <c r="AP1196" s="72">
        <v>14.768748</v>
      </c>
      <c r="AQ1196" s="70" t="s">
        <v>752</v>
      </c>
      <c r="AR1196" s="71">
        <v>37.396533331999997</v>
      </c>
      <c r="AS1196" s="71">
        <v>37.430266667999987</v>
      </c>
      <c r="AT1196" s="71">
        <v>24.989000000000001</v>
      </c>
      <c r="AU1196" s="70" t="s">
        <v>752</v>
      </c>
      <c r="AV1196" s="16">
        <f t="shared" ref="AV1196:AV1198" si="578">SUM(AR1196:AT1196)</f>
        <v>99.815799999999996</v>
      </c>
      <c r="AW1196" s="20">
        <v>44.9</v>
      </c>
      <c r="AX1196" s="8">
        <f t="shared" si="568"/>
        <v>0.44900000000000001</v>
      </c>
      <c r="AY1196" s="8" t="s">
        <v>240</v>
      </c>
      <c r="AZ1196" s="16">
        <f>0.75/0.03</f>
        <v>25</v>
      </c>
      <c r="BA1196" s="16" t="s">
        <v>55</v>
      </c>
      <c r="BB1196" s="15">
        <f>(7*K1196)/1000</f>
        <v>3.6888922000000002</v>
      </c>
      <c r="BC1196" s="16">
        <f>(200*K1196)/1000</f>
        <v>105.39691999999999</v>
      </c>
      <c r="BD1196" s="25">
        <f>(10^4.08)*AX1196</f>
        <v>5398.1673114321939</v>
      </c>
      <c r="BE1196" s="16">
        <f t="shared" si="573"/>
        <v>12022.644346174151</v>
      </c>
      <c r="BF1196" s="16">
        <f t="shared" si="574"/>
        <v>4.080000000000001</v>
      </c>
      <c r="BG1196" s="8">
        <f t="shared" si="572"/>
        <v>3.7322463410033238</v>
      </c>
      <c r="BH1196" s="2" t="s">
        <v>588</v>
      </c>
      <c r="BI1196" s="16"/>
      <c r="BJ1196" s="13"/>
      <c r="BK1196" s="15"/>
      <c r="BL1196" s="16"/>
      <c r="BM1196" s="18"/>
      <c r="BN1196" s="8"/>
      <c r="BO1196" s="24"/>
    </row>
    <row r="1197" spans="1:69" s="14" customFormat="1" x14ac:dyDescent="0.3">
      <c r="A1197" s="20">
        <v>1221</v>
      </c>
      <c r="B1197" s="2" t="s">
        <v>195</v>
      </c>
      <c r="C1197" s="2">
        <v>2022</v>
      </c>
      <c r="D1197" s="2" t="s">
        <v>199</v>
      </c>
      <c r="E1197" s="10" t="s">
        <v>798</v>
      </c>
      <c r="F1197" s="20" t="s">
        <v>29</v>
      </c>
      <c r="G1197" s="2" t="s">
        <v>238</v>
      </c>
      <c r="H1197" s="2" t="str">
        <f>'PFAS Properties'!$B$57</f>
        <v>EtFOSA</v>
      </c>
      <c r="I1197" s="2" t="str">
        <f>'PFAS Properties'!$C$57</f>
        <v>FOSA</v>
      </c>
      <c r="J1197" s="2" t="str">
        <f>'PFAS Properties'!$D$57</f>
        <v>C10H6F17NO2S</v>
      </c>
      <c r="K1197" s="25">
        <f>'PFAS Properties'!$P$57</f>
        <v>526.9846</v>
      </c>
      <c r="L1197" s="2">
        <f>'PFAS Properties'!$X$57</f>
        <v>9</v>
      </c>
      <c r="M1197" s="2" t="str">
        <f>'PFAS Properties'!$Y$57</f>
        <v>-</v>
      </c>
      <c r="N1197" s="33">
        <v>0</v>
      </c>
      <c r="O1197" s="33">
        <v>0</v>
      </c>
      <c r="P1197" s="33">
        <v>0</v>
      </c>
      <c r="Q1197" s="33">
        <f t="shared" si="570"/>
        <v>1.258909563061765E-5</v>
      </c>
      <c r="R1197" s="33">
        <v>0</v>
      </c>
      <c r="S1197" s="33">
        <f t="shared" si="571"/>
        <v>0.99998741090436949</v>
      </c>
      <c r="T1197" s="8">
        <f t="shared" si="569"/>
        <v>1</v>
      </c>
      <c r="U1197" s="33">
        <f t="shared" si="555"/>
        <v>0</v>
      </c>
      <c r="V1197" s="33">
        <f t="shared" si="556"/>
        <v>-1.258909563061765E-5</v>
      </c>
      <c r="W1197" s="33">
        <f t="shared" si="557"/>
        <v>526.9845874109044</v>
      </c>
      <c r="X1197" s="33">
        <v>96485</v>
      </c>
      <c r="Y1197" s="16">
        <f t="shared" si="558"/>
        <v>-2.3049229919376007E-3</v>
      </c>
      <c r="Z1197" s="16">
        <v>10</v>
      </c>
      <c r="AA1197" s="16">
        <v>17</v>
      </c>
      <c r="AB1197" s="8">
        <f t="shared" si="559"/>
        <v>0.37151702786377711</v>
      </c>
      <c r="AC1197" s="16">
        <f t="shared" si="560"/>
        <v>61.292113659488344</v>
      </c>
      <c r="AD1197" s="20">
        <f>'PFAS Properties'!$W$57</f>
        <v>8</v>
      </c>
      <c r="AE1197" s="8">
        <f>'PFAS Properties'!$S$57</f>
        <v>-9.1514981121350217E-2</v>
      </c>
      <c r="AF1197" s="2">
        <f>'PFAS Properties'!$V$57</f>
        <v>5.6</v>
      </c>
      <c r="AG1197" s="24">
        <v>4.0999999999999996</v>
      </c>
      <c r="AH1197" s="2" t="s">
        <v>832</v>
      </c>
      <c r="AI1197" s="8">
        <f>(28*55.845)/1000</f>
        <v>1.5636599999999998</v>
      </c>
      <c r="AJ1197" s="15">
        <f t="shared" si="575"/>
        <v>27.999999999999996</v>
      </c>
      <c r="AK1197" s="8">
        <f t="shared" si="576"/>
        <v>0.15636599999999998</v>
      </c>
      <c r="AL1197" s="8">
        <f>(17*26.982)/1000</f>
        <v>0.45869399999999994</v>
      </c>
      <c r="AM1197" s="15">
        <f>AL1197*1000/55.845</f>
        <v>8.2136986301369852</v>
      </c>
      <c r="AN1197" s="8">
        <f t="shared" si="577"/>
        <v>4.5869399999999991E-2</v>
      </c>
      <c r="AO1197" s="2" t="s">
        <v>86</v>
      </c>
      <c r="AP1197" s="72">
        <v>14.715147999999999</v>
      </c>
      <c r="AQ1197" s="70" t="s">
        <v>752</v>
      </c>
      <c r="AR1197" s="71">
        <v>37.490533331999998</v>
      </c>
      <c r="AS1197" s="71">
        <v>37.393866668000001</v>
      </c>
      <c r="AT1197" s="71">
        <v>24.9392</v>
      </c>
      <c r="AU1197" s="70" t="s">
        <v>752</v>
      </c>
      <c r="AV1197" s="16">
        <f t="shared" si="578"/>
        <v>99.823599999999999</v>
      </c>
      <c r="AW1197" s="20">
        <v>46.6</v>
      </c>
      <c r="AX1197" s="8">
        <f t="shared" si="568"/>
        <v>0.46600000000000003</v>
      </c>
      <c r="AY1197" s="8" t="s">
        <v>240</v>
      </c>
      <c r="AZ1197" s="16">
        <f>0.75/0.03</f>
        <v>25</v>
      </c>
      <c r="BA1197" s="16" t="s">
        <v>55</v>
      </c>
      <c r="BB1197" s="15">
        <f>(30*K1197)/1000</f>
        <v>15.809538</v>
      </c>
      <c r="BC1197" s="16" t="s">
        <v>55</v>
      </c>
      <c r="BD1197" s="25">
        <f>(10^3.12)*AX1197</f>
        <v>614.30764016728654</v>
      </c>
      <c r="BE1197" s="16">
        <f t="shared" si="573"/>
        <v>1318.2567385564089</v>
      </c>
      <c r="BF1197" s="16">
        <f t="shared" si="574"/>
        <v>3.1200000000000006</v>
      </c>
      <c r="BG1197" s="8">
        <f t="shared" si="572"/>
        <v>2.7883859166900007</v>
      </c>
      <c r="BH1197" s="35" t="s">
        <v>588</v>
      </c>
      <c r="BI1197" s="2"/>
      <c r="BJ1197" s="2"/>
      <c r="BK1197" s="2"/>
      <c r="BL1197" s="2"/>
      <c r="BM1197" s="20"/>
      <c r="BN1197" s="20"/>
      <c r="BO1197" s="2"/>
    </row>
    <row r="1198" spans="1:69" s="14" customFormat="1" x14ac:dyDescent="0.3">
      <c r="A1198" s="20">
        <v>1222</v>
      </c>
      <c r="B1198" s="2" t="s">
        <v>195</v>
      </c>
      <c r="C1198" s="2">
        <v>2022</v>
      </c>
      <c r="D1198" s="2" t="s">
        <v>199</v>
      </c>
      <c r="E1198" s="10" t="s">
        <v>798</v>
      </c>
      <c r="F1198" s="20" t="s">
        <v>29</v>
      </c>
      <c r="G1198" s="2" t="s">
        <v>239</v>
      </c>
      <c r="H1198" s="2" t="str">
        <f>'PFAS Properties'!$B$57</f>
        <v>EtFOSA</v>
      </c>
      <c r="I1198" s="2" t="str">
        <f>'PFAS Properties'!$C$57</f>
        <v>FOSA</v>
      </c>
      <c r="J1198" s="2" t="str">
        <f>'PFAS Properties'!$D$57</f>
        <v>C10H6F17NO2S</v>
      </c>
      <c r="K1198" s="25">
        <f>'PFAS Properties'!$P$57</f>
        <v>526.9846</v>
      </c>
      <c r="L1198" s="2">
        <f>'PFAS Properties'!$X$57</f>
        <v>9</v>
      </c>
      <c r="M1198" s="2" t="str">
        <f>'PFAS Properties'!$Y$57</f>
        <v>-</v>
      </c>
      <c r="N1198" s="33">
        <v>0</v>
      </c>
      <c r="O1198" s="33">
        <v>0</v>
      </c>
      <c r="P1198" s="33">
        <v>0</v>
      </c>
      <c r="Q1198" s="33">
        <f t="shared" si="570"/>
        <v>9.9999000009999908E-6</v>
      </c>
      <c r="R1198" s="33">
        <v>0</v>
      </c>
      <c r="S1198" s="33">
        <f t="shared" si="571"/>
        <v>0.99999000009999894</v>
      </c>
      <c r="T1198" s="8">
        <f t="shared" si="569"/>
        <v>0.99999999999999989</v>
      </c>
      <c r="U1198" s="33">
        <f t="shared" si="555"/>
        <v>0</v>
      </c>
      <c r="V1198" s="33">
        <f t="shared" si="556"/>
        <v>-9.9999000009999908E-6</v>
      </c>
      <c r="W1198" s="33">
        <f t="shared" si="557"/>
        <v>526.98459000009996</v>
      </c>
      <c r="X1198" s="33">
        <v>96485</v>
      </c>
      <c r="Y1198" s="16">
        <f t="shared" si="558"/>
        <v>-1.8308701428941235E-3</v>
      </c>
      <c r="Z1198" s="16">
        <v>10</v>
      </c>
      <c r="AA1198" s="16">
        <v>17</v>
      </c>
      <c r="AB1198" s="8">
        <f t="shared" si="559"/>
        <v>0.37151702786377711</v>
      </c>
      <c r="AC1198" s="16">
        <f t="shared" si="560"/>
        <v>61.292113659488344</v>
      </c>
      <c r="AD1198" s="20">
        <f>'PFAS Properties'!$W$57</f>
        <v>8</v>
      </c>
      <c r="AE1198" s="8">
        <f>'PFAS Properties'!$S$57</f>
        <v>-9.1514981121350217E-2</v>
      </c>
      <c r="AF1198" s="2">
        <f>'PFAS Properties'!$V$57</f>
        <v>5.6</v>
      </c>
      <c r="AG1198" s="24">
        <v>4</v>
      </c>
      <c r="AH1198" s="2" t="s">
        <v>832</v>
      </c>
      <c r="AI1198" s="8">
        <f>(5*55.845)/1000</f>
        <v>0.279225</v>
      </c>
      <c r="AJ1198" s="15">
        <f t="shared" si="575"/>
        <v>5.0000000000000009</v>
      </c>
      <c r="AK1198" s="8">
        <f t="shared" si="576"/>
        <v>2.7922499999999999E-2</v>
      </c>
      <c r="AL1198" s="8">
        <f>(15*26.982)/1000</f>
        <v>0.40473000000000003</v>
      </c>
      <c r="AM1198" s="15">
        <f>AL1198*1000/55.845</f>
        <v>7.2473811442385179</v>
      </c>
      <c r="AN1198" s="8">
        <f t="shared" si="577"/>
        <v>4.0473000000000002E-2</v>
      </c>
      <c r="AO1198" s="2" t="s">
        <v>86</v>
      </c>
      <c r="AP1198" s="72">
        <v>14.763688</v>
      </c>
      <c r="AQ1198" s="70" t="s">
        <v>752</v>
      </c>
      <c r="AR1198" s="71">
        <v>37.414333332000012</v>
      </c>
      <c r="AS1198" s="71">
        <v>37.430866668</v>
      </c>
      <c r="AT1198" s="71">
        <v>24.970400000000001</v>
      </c>
      <c r="AU1198" s="70" t="s">
        <v>752</v>
      </c>
      <c r="AV1198" s="16">
        <f t="shared" si="578"/>
        <v>99.815600000000003</v>
      </c>
      <c r="AW1198" s="20">
        <v>53.6</v>
      </c>
      <c r="AX1198" s="8">
        <f t="shared" si="568"/>
        <v>0.53600000000000003</v>
      </c>
      <c r="AY1198" s="8" t="s">
        <v>240</v>
      </c>
      <c r="AZ1198" s="16">
        <f>0.75/0.03</f>
        <v>25</v>
      </c>
      <c r="BA1198" s="16" t="s">
        <v>55</v>
      </c>
      <c r="BB1198" s="15">
        <f>(7*K1198)/1000</f>
        <v>3.6888922000000002</v>
      </c>
      <c r="BC1198" s="16">
        <f>(200*K1198)/1000</f>
        <v>105.39691999999999</v>
      </c>
      <c r="BD1198" s="25">
        <f>(10^2.99)*AX1198</f>
        <v>523.79915043231495</v>
      </c>
      <c r="BE1198" s="16">
        <f t="shared" si="573"/>
        <v>977.23722095581138</v>
      </c>
      <c r="BF1198" s="16">
        <f t="shared" si="574"/>
        <v>2.99</v>
      </c>
      <c r="BG1198" s="8">
        <f t="shared" si="572"/>
        <v>2.7191647896927704</v>
      </c>
      <c r="BH1198" s="2" t="s">
        <v>588</v>
      </c>
      <c r="BI1198" s="16"/>
      <c r="BJ1198" s="13"/>
      <c r="BK1198" s="15"/>
      <c r="BL1198" s="16"/>
      <c r="BM1198" s="18"/>
      <c r="BN1198" s="8"/>
      <c r="BO1198" s="24"/>
    </row>
    <row r="1199" spans="1:69" x14ac:dyDescent="0.3">
      <c r="A1199" s="20">
        <v>1223</v>
      </c>
      <c r="B1199" s="1" t="s">
        <v>873</v>
      </c>
      <c r="C1199" s="1">
        <v>2007</v>
      </c>
      <c r="D1199" s="1" t="s">
        <v>203</v>
      </c>
      <c r="E1199" s="10" t="s">
        <v>225</v>
      </c>
      <c r="F1199" s="7" t="s">
        <v>63</v>
      </c>
      <c r="G1199" s="4">
        <v>1</v>
      </c>
      <c r="H1199" s="2" t="str">
        <f>'PFAS Properties'!$B$58</f>
        <v>N-MeFOSAA</v>
      </c>
      <c r="I1199" s="2" t="str">
        <f>'PFAS Properties'!$C$58</f>
        <v>FOSAA</v>
      </c>
      <c r="J1199" s="2" t="str">
        <f>'PFAS Properties'!$D$58</f>
        <v>C11H6F17NO4S</v>
      </c>
      <c r="K1199" s="25">
        <f>'PFAS Properties'!$P$58</f>
        <v>570.97440000000006</v>
      </c>
      <c r="L1199" s="2">
        <f>'PFAS Properties'!$X$58</f>
        <v>3.9</v>
      </c>
      <c r="M1199" s="2" t="str">
        <f>'PFAS Properties'!$Y$58</f>
        <v>-</v>
      </c>
      <c r="N1199" s="33">
        <v>0</v>
      </c>
      <c r="O1199" s="33">
        <v>0</v>
      </c>
      <c r="P1199" s="33">
        <v>0</v>
      </c>
      <c r="Q1199" s="33">
        <f t="shared" si="570"/>
        <v>0.99920630222183071</v>
      </c>
      <c r="R1199" s="33">
        <v>0</v>
      </c>
      <c r="S1199" s="33">
        <f t="shared" si="571"/>
        <v>7.9369777816924324E-4</v>
      </c>
      <c r="T1199" s="8">
        <f t="shared" si="569"/>
        <v>1</v>
      </c>
      <c r="U1199" s="33">
        <f t="shared" si="555"/>
        <v>0</v>
      </c>
      <c r="V1199" s="33">
        <f t="shared" si="556"/>
        <v>-0.99920630222183071</v>
      </c>
      <c r="W1199" s="33">
        <f t="shared" si="557"/>
        <v>569.9751936977782</v>
      </c>
      <c r="X1199" s="33">
        <v>96485</v>
      </c>
      <c r="Y1199" s="16">
        <f t="shared" si="558"/>
        <v>-169.14494022873674</v>
      </c>
      <c r="Z1199" s="16">
        <v>11</v>
      </c>
      <c r="AA1199" s="16">
        <v>17</v>
      </c>
      <c r="AB1199" s="8">
        <f t="shared" si="559"/>
        <v>0.4086687306501548</v>
      </c>
      <c r="AC1199" s="16">
        <f t="shared" si="560"/>
        <v>56.569961805643118</v>
      </c>
      <c r="AD1199" s="20">
        <f>'PFAS Properties'!$W$58</f>
        <v>8</v>
      </c>
      <c r="AE1199" s="8">
        <f>'PFAS Properties'!$S$58</f>
        <v>0.89209460269048035</v>
      </c>
      <c r="AF1199" s="2">
        <f>'PFAS Properties'!$V$58</f>
        <v>5</v>
      </c>
      <c r="AG1199" s="26">
        <v>7</v>
      </c>
      <c r="AH1199" s="1" t="s">
        <v>363</v>
      </c>
      <c r="AI1199" s="6">
        <f>334*55.85/1000</f>
        <v>18.6539</v>
      </c>
      <c r="AJ1199" s="3">
        <f t="shared" si="575"/>
        <v>334.0299041991226</v>
      </c>
      <c r="AK1199" s="8">
        <f t="shared" si="576"/>
        <v>1.8653900000000001</v>
      </c>
      <c r="AL1199" s="6">
        <f>41*26.98/1000</f>
        <v>1.1061800000000002</v>
      </c>
      <c r="AM1199" s="3">
        <f t="shared" ref="AM1199:AM1208" si="579">AL1199*1000/26.98</f>
        <v>41</v>
      </c>
      <c r="AN1199" s="8">
        <f t="shared" si="577"/>
        <v>0.11061800000000002</v>
      </c>
      <c r="AO1199" s="3" t="s">
        <v>93</v>
      </c>
      <c r="AP1199" s="15">
        <v>38.6</v>
      </c>
      <c r="AQ1199" s="1" t="s">
        <v>363</v>
      </c>
      <c r="AR1199" s="4">
        <v>11</v>
      </c>
      <c r="AS1199" s="4">
        <v>36</v>
      </c>
      <c r="AT1199" s="4">
        <v>53</v>
      </c>
      <c r="AU1199" s="1" t="s">
        <v>363</v>
      </c>
      <c r="AV1199" s="16">
        <f t="shared" ref="AV1199:AV1208" si="580">SUM(AR1199:AT1199)</f>
        <v>100</v>
      </c>
      <c r="AW1199" s="7">
        <v>2.48</v>
      </c>
      <c r="AX1199" s="31">
        <f t="shared" si="568"/>
        <v>2.4799999999999999E-2</v>
      </c>
      <c r="AY1199" s="5" t="s">
        <v>87</v>
      </c>
      <c r="AZ1199" s="39">
        <f t="shared" ref="AZ1199:AZ1208" si="581">5/0.05</f>
        <v>100</v>
      </c>
      <c r="BA1199" s="30" t="s">
        <v>55</v>
      </c>
      <c r="BB1199" s="15">
        <f t="shared" ref="BB1199:BB1208" si="582">1*K1199/1000</f>
        <v>0.5709744000000001</v>
      </c>
      <c r="BC1199" s="16">
        <f t="shared" ref="BC1199:BC1208" si="583">200*K1199/1000</f>
        <v>114.19488</v>
      </c>
      <c r="BD1199" s="24">
        <v>83.28</v>
      </c>
      <c r="BE1199" s="16">
        <f t="shared" si="573"/>
        <v>3358.0645161290322</v>
      </c>
      <c r="BF1199" s="16">
        <f t="shared" si="574"/>
        <v>3.5260890356762635</v>
      </c>
      <c r="BG1199" s="8">
        <f t="shared" si="572"/>
        <v>1.9205407165024797</v>
      </c>
      <c r="BH1199" s="5" t="s">
        <v>844</v>
      </c>
      <c r="BI1199" s="13"/>
      <c r="BJ1199" s="13"/>
      <c r="BK1199" s="8"/>
      <c r="BL1199" s="8"/>
      <c r="BM1199" s="18"/>
      <c r="BN1199" s="8"/>
      <c r="BO1199" s="24"/>
      <c r="BP1199" s="11"/>
      <c r="BQ1199" s="11"/>
    </row>
    <row r="1200" spans="1:69" x14ac:dyDescent="0.3">
      <c r="A1200" s="20">
        <v>1224</v>
      </c>
      <c r="B1200" s="1" t="s">
        <v>873</v>
      </c>
      <c r="C1200" s="1">
        <v>2007</v>
      </c>
      <c r="D1200" s="1" t="s">
        <v>203</v>
      </c>
      <c r="E1200" s="10" t="s">
        <v>225</v>
      </c>
      <c r="F1200" s="7" t="s">
        <v>63</v>
      </c>
      <c r="G1200" s="4">
        <v>2</v>
      </c>
      <c r="H1200" s="2" t="str">
        <f>'PFAS Properties'!$B$58</f>
        <v>N-MeFOSAA</v>
      </c>
      <c r="I1200" s="2" t="str">
        <f>'PFAS Properties'!$C$58</f>
        <v>FOSAA</v>
      </c>
      <c r="J1200" s="2" t="str">
        <f>'PFAS Properties'!$D$58</f>
        <v>C11H6F17NO4S</v>
      </c>
      <c r="K1200" s="25">
        <f>'PFAS Properties'!$P$58</f>
        <v>570.97440000000006</v>
      </c>
      <c r="L1200" s="2">
        <f>'PFAS Properties'!$X$58</f>
        <v>3.9</v>
      </c>
      <c r="M1200" s="2" t="str">
        <f>'PFAS Properties'!$Y$58</f>
        <v>-</v>
      </c>
      <c r="N1200" s="33">
        <v>0</v>
      </c>
      <c r="O1200" s="33">
        <v>0</v>
      </c>
      <c r="P1200" s="33">
        <v>0</v>
      </c>
      <c r="Q1200" s="33">
        <f t="shared" si="570"/>
        <v>0.99974887443673854</v>
      </c>
      <c r="R1200" s="33">
        <v>0</v>
      </c>
      <c r="S1200" s="33">
        <f t="shared" si="571"/>
        <v>2.5112556326146155E-4</v>
      </c>
      <c r="T1200" s="8">
        <f t="shared" si="569"/>
        <v>1</v>
      </c>
      <c r="U1200" s="33">
        <f t="shared" si="555"/>
        <v>0</v>
      </c>
      <c r="V1200" s="33">
        <f t="shared" si="556"/>
        <v>-0.99974887443673854</v>
      </c>
      <c r="W1200" s="33">
        <f t="shared" si="557"/>
        <v>569.97465112556324</v>
      </c>
      <c r="X1200" s="33">
        <v>96485</v>
      </c>
      <c r="Y1200" s="16">
        <f t="shared" si="558"/>
        <v>-169.23694757221543</v>
      </c>
      <c r="Z1200" s="16">
        <v>11</v>
      </c>
      <c r="AA1200" s="16">
        <v>17</v>
      </c>
      <c r="AB1200" s="8">
        <f t="shared" si="559"/>
        <v>0.4086687306501548</v>
      </c>
      <c r="AC1200" s="16">
        <f t="shared" si="560"/>
        <v>56.569961805643118</v>
      </c>
      <c r="AD1200" s="20">
        <f>'PFAS Properties'!$W$58</f>
        <v>8</v>
      </c>
      <c r="AE1200" s="8">
        <f>'PFAS Properties'!$S$58</f>
        <v>0.89209460269048035</v>
      </c>
      <c r="AF1200" s="2">
        <f>'PFAS Properties'!$V$58</f>
        <v>5</v>
      </c>
      <c r="AG1200" s="26">
        <v>7.5</v>
      </c>
      <c r="AH1200" s="1" t="s">
        <v>363</v>
      </c>
      <c r="AI1200" s="6">
        <f>116*55.845/1000</f>
        <v>6.4780199999999999</v>
      </c>
      <c r="AJ1200" s="3">
        <f t="shared" si="575"/>
        <v>116</v>
      </c>
      <c r="AK1200" s="8">
        <f t="shared" si="576"/>
        <v>0.64780199999999999</v>
      </c>
      <c r="AL1200" s="6">
        <f>7*26.98/1000</f>
        <v>0.18886</v>
      </c>
      <c r="AM1200" s="3">
        <f t="shared" si="579"/>
        <v>7</v>
      </c>
      <c r="AN1200" s="8">
        <f t="shared" si="577"/>
        <v>1.8886E-2</v>
      </c>
      <c r="AO1200" s="3" t="s">
        <v>93</v>
      </c>
      <c r="AP1200" s="15">
        <v>30</v>
      </c>
      <c r="AQ1200" s="1" t="s">
        <v>363</v>
      </c>
      <c r="AR1200" s="4">
        <v>49</v>
      </c>
      <c r="AS1200" s="4">
        <v>25</v>
      </c>
      <c r="AT1200" s="4">
        <v>26</v>
      </c>
      <c r="AU1200" s="1" t="s">
        <v>363</v>
      </c>
      <c r="AV1200" s="16">
        <f t="shared" si="580"/>
        <v>100</v>
      </c>
      <c r="AW1200" s="7">
        <v>1.02</v>
      </c>
      <c r="AX1200" s="6">
        <f t="shared" si="568"/>
        <v>1.0200000000000001E-2</v>
      </c>
      <c r="AY1200" s="5" t="s">
        <v>87</v>
      </c>
      <c r="AZ1200" s="39">
        <f t="shared" si="581"/>
        <v>100</v>
      </c>
      <c r="BA1200" s="30" t="s">
        <v>55</v>
      </c>
      <c r="BB1200" s="15">
        <f t="shared" si="582"/>
        <v>0.5709744000000001</v>
      </c>
      <c r="BC1200" s="16">
        <f t="shared" si="583"/>
        <v>114.19488</v>
      </c>
      <c r="BD1200" s="26">
        <v>6.65</v>
      </c>
      <c r="BE1200" s="16">
        <f t="shared" si="573"/>
        <v>651.96078431372553</v>
      </c>
      <c r="BF1200" s="16">
        <f t="shared" si="574"/>
        <v>2.814221473541187</v>
      </c>
      <c r="BG1200" s="8">
        <f t="shared" si="572"/>
        <v>0.82282164530310464</v>
      </c>
      <c r="BH1200" s="5" t="s">
        <v>844</v>
      </c>
      <c r="BI1200" s="13"/>
      <c r="BJ1200" s="13"/>
      <c r="BK1200" s="8"/>
      <c r="BL1200" s="8"/>
      <c r="BM1200" s="18"/>
      <c r="BN1200" s="8"/>
      <c r="BO1200" s="24"/>
      <c r="BP1200" s="11"/>
      <c r="BQ1200" s="11"/>
    </row>
    <row r="1201" spans="1:69" x14ac:dyDescent="0.3">
      <c r="A1201" s="20">
        <v>1225</v>
      </c>
      <c r="B1201" s="1" t="s">
        <v>873</v>
      </c>
      <c r="C1201" s="1">
        <v>2007</v>
      </c>
      <c r="D1201" s="1" t="s">
        <v>203</v>
      </c>
      <c r="E1201" s="10" t="s">
        <v>225</v>
      </c>
      <c r="F1201" s="7" t="s">
        <v>63</v>
      </c>
      <c r="G1201" s="4">
        <v>3</v>
      </c>
      <c r="H1201" s="2" t="str">
        <f>'PFAS Properties'!$B$58</f>
        <v>N-MeFOSAA</v>
      </c>
      <c r="I1201" s="2" t="str">
        <f>'PFAS Properties'!$C$58</f>
        <v>FOSAA</v>
      </c>
      <c r="J1201" s="2" t="str">
        <f>'PFAS Properties'!$D$58</f>
        <v>C11H6F17NO4S</v>
      </c>
      <c r="K1201" s="25">
        <f>'PFAS Properties'!$P$58</f>
        <v>570.97440000000006</v>
      </c>
      <c r="L1201" s="2">
        <f>'PFAS Properties'!$X$58</f>
        <v>3.9</v>
      </c>
      <c r="M1201" s="2" t="str">
        <f>'PFAS Properties'!$Y$58</f>
        <v>-</v>
      </c>
      <c r="N1201" s="33">
        <v>0</v>
      </c>
      <c r="O1201" s="33">
        <v>0</v>
      </c>
      <c r="P1201" s="33">
        <v>0</v>
      </c>
      <c r="Q1201" s="33">
        <f t="shared" si="570"/>
        <v>0.99980051357127842</v>
      </c>
      <c r="R1201" s="33">
        <v>0</v>
      </c>
      <c r="S1201" s="33">
        <f t="shared" si="571"/>
        <v>1.9948642872153033E-4</v>
      </c>
      <c r="T1201" s="8">
        <f t="shared" si="569"/>
        <v>1</v>
      </c>
      <c r="U1201" s="33">
        <f t="shared" si="555"/>
        <v>0</v>
      </c>
      <c r="V1201" s="33">
        <f t="shared" si="556"/>
        <v>-0.99980051357127842</v>
      </c>
      <c r="W1201" s="33">
        <f t="shared" si="557"/>
        <v>569.97459948642881</v>
      </c>
      <c r="X1201" s="33">
        <v>96485</v>
      </c>
      <c r="Y1201" s="16">
        <f t="shared" si="558"/>
        <v>-169.2457043504123</v>
      </c>
      <c r="Z1201" s="16">
        <v>11</v>
      </c>
      <c r="AA1201" s="16">
        <v>17</v>
      </c>
      <c r="AB1201" s="8">
        <f t="shared" si="559"/>
        <v>0.4086687306501548</v>
      </c>
      <c r="AC1201" s="16">
        <f t="shared" si="560"/>
        <v>56.569961805643118</v>
      </c>
      <c r="AD1201" s="20">
        <f>'PFAS Properties'!$W$58</f>
        <v>8</v>
      </c>
      <c r="AE1201" s="8">
        <f>'PFAS Properties'!$S$58</f>
        <v>0.89209460269048035</v>
      </c>
      <c r="AF1201" s="2">
        <f>'PFAS Properties'!$V$58</f>
        <v>5</v>
      </c>
      <c r="AG1201" s="26">
        <v>7.6</v>
      </c>
      <c r="AH1201" s="1" t="s">
        <v>363</v>
      </c>
      <c r="AI1201" s="6">
        <f>121*55.85/1000</f>
        <v>6.7578500000000004</v>
      </c>
      <c r="AJ1201" s="3">
        <f t="shared" si="575"/>
        <v>121.01083355716717</v>
      </c>
      <c r="AK1201" s="8">
        <f t="shared" si="576"/>
        <v>0.67578500000000008</v>
      </c>
      <c r="AL1201" s="6">
        <f>14*26.98/1000</f>
        <v>0.37772</v>
      </c>
      <c r="AM1201" s="3">
        <f t="shared" si="579"/>
        <v>14</v>
      </c>
      <c r="AN1201" s="8">
        <f t="shared" si="577"/>
        <v>3.7772E-2</v>
      </c>
      <c r="AO1201" s="3" t="s">
        <v>93</v>
      </c>
      <c r="AP1201" s="15">
        <v>32.1</v>
      </c>
      <c r="AQ1201" s="1" t="s">
        <v>363</v>
      </c>
      <c r="AR1201" s="4">
        <v>31</v>
      </c>
      <c r="AS1201" s="4">
        <v>38</v>
      </c>
      <c r="AT1201" s="4">
        <v>31</v>
      </c>
      <c r="AU1201" s="1" t="s">
        <v>363</v>
      </c>
      <c r="AV1201" s="16">
        <f t="shared" si="580"/>
        <v>100</v>
      </c>
      <c r="AW1201" s="7">
        <v>4.34</v>
      </c>
      <c r="AX1201" s="6">
        <f t="shared" si="568"/>
        <v>4.3400000000000001E-2</v>
      </c>
      <c r="AY1201" s="5" t="s">
        <v>87</v>
      </c>
      <c r="AZ1201" s="39">
        <f t="shared" si="581"/>
        <v>100</v>
      </c>
      <c r="BA1201" s="30" t="s">
        <v>55</v>
      </c>
      <c r="BB1201" s="15">
        <f t="shared" si="582"/>
        <v>0.5709744000000001</v>
      </c>
      <c r="BC1201" s="16">
        <f t="shared" si="583"/>
        <v>114.19488</v>
      </c>
      <c r="BD1201" s="26">
        <v>65.209999999999994</v>
      </c>
      <c r="BE1201" s="16">
        <f t="shared" si="573"/>
        <v>1502.5345622119814</v>
      </c>
      <c r="BF1201" s="16">
        <f t="shared" si="574"/>
        <v>3.1768244706949487</v>
      </c>
      <c r="BG1201" s="8">
        <f t="shared" si="572"/>
        <v>1.8143142002074595</v>
      </c>
      <c r="BH1201" s="5" t="s">
        <v>844</v>
      </c>
      <c r="BI1201" s="13"/>
      <c r="BJ1201" s="13"/>
      <c r="BK1201" s="8"/>
      <c r="BL1201" s="8"/>
      <c r="BM1201" s="18"/>
      <c r="BN1201" s="8"/>
      <c r="BO1201" s="24"/>
      <c r="BP1201" s="11"/>
      <c r="BQ1201" s="11"/>
    </row>
    <row r="1202" spans="1:69" x14ac:dyDescent="0.3">
      <c r="A1202" s="20">
        <v>1226</v>
      </c>
      <c r="B1202" s="1" t="s">
        <v>873</v>
      </c>
      <c r="C1202" s="1">
        <v>2007</v>
      </c>
      <c r="D1202" s="1" t="s">
        <v>203</v>
      </c>
      <c r="E1202" s="10" t="s">
        <v>225</v>
      </c>
      <c r="F1202" s="7" t="s">
        <v>63</v>
      </c>
      <c r="G1202" s="4">
        <v>4</v>
      </c>
      <c r="H1202" s="2" t="str">
        <f>'PFAS Properties'!$B$58</f>
        <v>N-MeFOSAA</v>
      </c>
      <c r="I1202" s="2" t="str">
        <f>'PFAS Properties'!$C$58</f>
        <v>FOSAA</v>
      </c>
      <c r="J1202" s="2" t="str">
        <f>'PFAS Properties'!$D$58</f>
        <v>C11H6F17NO4S</v>
      </c>
      <c r="K1202" s="25">
        <f>'PFAS Properties'!$P$58</f>
        <v>570.97440000000006</v>
      </c>
      <c r="L1202" s="2">
        <f>'PFAS Properties'!$X$58</f>
        <v>3.9</v>
      </c>
      <c r="M1202" s="2" t="str">
        <f>'PFAS Properties'!$Y$58</f>
        <v>-</v>
      </c>
      <c r="N1202" s="33">
        <v>0</v>
      </c>
      <c r="O1202" s="33">
        <v>0</v>
      </c>
      <c r="P1202" s="33">
        <v>0</v>
      </c>
      <c r="Q1202" s="33">
        <f t="shared" si="570"/>
        <v>0.99684769081673974</v>
      </c>
      <c r="R1202" s="33">
        <v>0</v>
      </c>
      <c r="S1202" s="33">
        <f t="shared" si="571"/>
        <v>3.1523091832602059E-3</v>
      </c>
      <c r="T1202" s="8">
        <f t="shared" si="569"/>
        <v>1</v>
      </c>
      <c r="U1202" s="33">
        <f t="shared" si="555"/>
        <v>0</v>
      </c>
      <c r="V1202" s="33">
        <f t="shared" si="556"/>
        <v>-0.99684769081673974</v>
      </c>
      <c r="W1202" s="33">
        <f t="shared" si="557"/>
        <v>569.97755230918324</v>
      </c>
      <c r="X1202" s="33">
        <v>96485</v>
      </c>
      <c r="Y1202" s="16">
        <f t="shared" si="558"/>
        <v>-168.74497786586517</v>
      </c>
      <c r="Z1202" s="16">
        <v>11</v>
      </c>
      <c r="AA1202" s="16">
        <v>17</v>
      </c>
      <c r="AB1202" s="8">
        <f t="shared" si="559"/>
        <v>0.4086687306501548</v>
      </c>
      <c r="AC1202" s="16">
        <f t="shared" si="560"/>
        <v>56.569961805643118</v>
      </c>
      <c r="AD1202" s="20">
        <f>'PFAS Properties'!$W$58</f>
        <v>8</v>
      </c>
      <c r="AE1202" s="8">
        <f>'PFAS Properties'!$S$58</f>
        <v>0.89209460269048035</v>
      </c>
      <c r="AF1202" s="2">
        <f>'PFAS Properties'!$V$58</f>
        <v>5</v>
      </c>
      <c r="AG1202" s="26">
        <v>6.4</v>
      </c>
      <c r="AH1202" s="1" t="s">
        <v>363</v>
      </c>
      <c r="AI1202" s="6">
        <f>1025*55.874/1000</f>
        <v>57.270850000000003</v>
      </c>
      <c r="AJ1202" s="3">
        <f t="shared" si="575"/>
        <v>1025.5322768376759</v>
      </c>
      <c r="AK1202" s="8">
        <f t="shared" si="576"/>
        <v>5.7270850000000006</v>
      </c>
      <c r="AL1202" s="6">
        <f>171*26.98/1000</f>
        <v>4.6135799999999998</v>
      </c>
      <c r="AM1202" s="3">
        <f t="shared" si="579"/>
        <v>171</v>
      </c>
      <c r="AN1202" s="8">
        <f t="shared" si="577"/>
        <v>0.46135799999999999</v>
      </c>
      <c r="AO1202" s="3" t="s">
        <v>93</v>
      </c>
      <c r="AP1202" s="15">
        <v>32.1</v>
      </c>
      <c r="AQ1202" s="1" t="s">
        <v>363</v>
      </c>
      <c r="AR1202" s="4">
        <v>65</v>
      </c>
      <c r="AS1202" s="4">
        <v>22</v>
      </c>
      <c r="AT1202" s="4">
        <v>13</v>
      </c>
      <c r="AU1202" s="1" t="s">
        <v>363</v>
      </c>
      <c r="AV1202" s="16">
        <f t="shared" si="580"/>
        <v>100</v>
      </c>
      <c r="AW1202" s="7">
        <v>0.56000000000000005</v>
      </c>
      <c r="AX1202" s="6">
        <f t="shared" si="568"/>
        <v>5.6000000000000008E-3</v>
      </c>
      <c r="AY1202" s="5" t="s">
        <v>87</v>
      </c>
      <c r="AZ1202" s="39">
        <f t="shared" si="581"/>
        <v>100</v>
      </c>
      <c r="BA1202" s="30" t="s">
        <v>55</v>
      </c>
      <c r="BB1202" s="15">
        <f t="shared" si="582"/>
        <v>0.5709744000000001</v>
      </c>
      <c r="BC1202" s="16">
        <f t="shared" si="583"/>
        <v>114.19488</v>
      </c>
      <c r="BD1202" s="26">
        <v>2.75</v>
      </c>
      <c r="BE1202" s="16">
        <f t="shared" si="573"/>
        <v>491.0714285714285</v>
      </c>
      <c r="BF1202" s="16">
        <f t="shared" si="574"/>
        <v>2.6911446668240622</v>
      </c>
      <c r="BG1202" s="8">
        <f t="shared" si="572"/>
        <v>0.43933269383026263</v>
      </c>
      <c r="BH1202" s="5" t="s">
        <v>844</v>
      </c>
      <c r="BI1202" s="13"/>
      <c r="BJ1202" s="13"/>
      <c r="BK1202" s="8"/>
      <c r="BL1202" s="8"/>
      <c r="BM1202" s="18"/>
      <c r="BN1202" s="8"/>
      <c r="BO1202" s="24"/>
      <c r="BP1202" s="11"/>
      <c r="BQ1202" s="11"/>
    </row>
    <row r="1203" spans="1:69" x14ac:dyDescent="0.3">
      <c r="A1203" s="20">
        <v>1227</v>
      </c>
      <c r="B1203" s="1" t="s">
        <v>873</v>
      </c>
      <c r="C1203" s="1">
        <v>2007</v>
      </c>
      <c r="D1203" s="1" t="s">
        <v>203</v>
      </c>
      <c r="E1203" s="10" t="s">
        <v>225</v>
      </c>
      <c r="F1203" s="7" t="s">
        <v>63</v>
      </c>
      <c r="G1203" s="4">
        <v>5</v>
      </c>
      <c r="H1203" s="2" t="str">
        <f>'PFAS Properties'!$B$58</f>
        <v>N-MeFOSAA</v>
      </c>
      <c r="I1203" s="2" t="str">
        <f>'PFAS Properties'!$C$58</f>
        <v>FOSAA</v>
      </c>
      <c r="J1203" s="2" t="str">
        <f>'PFAS Properties'!$D$58</f>
        <v>C11H6F17NO4S</v>
      </c>
      <c r="K1203" s="25">
        <f>'PFAS Properties'!$P$58</f>
        <v>570.97440000000006</v>
      </c>
      <c r="L1203" s="2">
        <f>'PFAS Properties'!$X$58</f>
        <v>3.9</v>
      </c>
      <c r="M1203" s="2" t="str">
        <f>'PFAS Properties'!$Y$58</f>
        <v>-</v>
      </c>
      <c r="N1203" s="33">
        <v>0</v>
      </c>
      <c r="O1203" s="33">
        <v>0</v>
      </c>
      <c r="P1203" s="33">
        <v>0</v>
      </c>
      <c r="Q1203" s="33">
        <f t="shared" si="570"/>
        <v>0.98439833775817054</v>
      </c>
      <c r="R1203" s="33">
        <v>0</v>
      </c>
      <c r="S1203" s="33">
        <f t="shared" si="571"/>
        <v>1.5601662241829593E-2</v>
      </c>
      <c r="T1203" s="8">
        <f t="shared" si="569"/>
        <v>1.0000000000000002</v>
      </c>
      <c r="U1203" s="33">
        <f t="shared" si="555"/>
        <v>0</v>
      </c>
      <c r="V1203" s="33">
        <f t="shared" si="556"/>
        <v>-0.98439833775817054</v>
      </c>
      <c r="W1203" s="33">
        <f t="shared" si="557"/>
        <v>569.99000166224198</v>
      </c>
      <c r="X1203" s="33">
        <v>96485</v>
      </c>
      <c r="Y1203" s="16">
        <f t="shared" si="558"/>
        <v>-166.63392926474353</v>
      </c>
      <c r="Z1203" s="16">
        <v>11</v>
      </c>
      <c r="AA1203" s="16">
        <v>17</v>
      </c>
      <c r="AB1203" s="8">
        <f t="shared" si="559"/>
        <v>0.4086687306501548</v>
      </c>
      <c r="AC1203" s="16">
        <f t="shared" si="560"/>
        <v>56.569961805643118</v>
      </c>
      <c r="AD1203" s="20">
        <f>'PFAS Properties'!$W$58</f>
        <v>8</v>
      </c>
      <c r="AE1203" s="8">
        <f>'PFAS Properties'!$S$58</f>
        <v>0.89209460269048035</v>
      </c>
      <c r="AF1203" s="2">
        <f>'PFAS Properties'!$V$58</f>
        <v>5</v>
      </c>
      <c r="AG1203" s="26">
        <v>5.7</v>
      </c>
      <c r="AH1203" s="1" t="s">
        <v>363</v>
      </c>
      <c r="AI1203" s="6">
        <f>268*55.85/1000</f>
        <v>14.9678</v>
      </c>
      <c r="AJ1203" s="3">
        <f t="shared" si="575"/>
        <v>268.02399498612232</v>
      </c>
      <c r="AK1203" s="8">
        <f t="shared" si="576"/>
        <v>1.49678</v>
      </c>
      <c r="AL1203" s="6">
        <f>90*26.98/1000</f>
        <v>2.4281999999999999</v>
      </c>
      <c r="AM1203" s="3">
        <f t="shared" si="579"/>
        <v>89.999999999999986</v>
      </c>
      <c r="AN1203" s="8">
        <f t="shared" si="577"/>
        <v>0.24281999999999998</v>
      </c>
      <c r="AO1203" s="3" t="s">
        <v>93</v>
      </c>
      <c r="AP1203" s="15">
        <v>22</v>
      </c>
      <c r="AQ1203" s="1" t="s">
        <v>363</v>
      </c>
      <c r="AR1203" s="4">
        <v>80</v>
      </c>
      <c r="AS1203" s="4">
        <v>15</v>
      </c>
      <c r="AT1203" s="4">
        <v>5</v>
      </c>
      <c r="AU1203" s="1" t="s">
        <v>363</v>
      </c>
      <c r="AV1203" s="16">
        <f t="shared" si="580"/>
        <v>100</v>
      </c>
      <c r="AW1203" s="7">
        <v>9.66</v>
      </c>
      <c r="AX1203" s="6">
        <f t="shared" si="568"/>
        <v>9.6600000000000005E-2</v>
      </c>
      <c r="AY1203" s="5" t="s">
        <v>87</v>
      </c>
      <c r="AZ1203" s="39">
        <f t="shared" si="581"/>
        <v>100</v>
      </c>
      <c r="BA1203" s="30" t="s">
        <v>55</v>
      </c>
      <c r="BB1203" s="15">
        <f t="shared" si="582"/>
        <v>0.5709744000000001</v>
      </c>
      <c r="BC1203" s="16">
        <f t="shared" si="583"/>
        <v>114.19488</v>
      </c>
      <c r="BD1203" s="26">
        <v>211.52</v>
      </c>
      <c r="BE1203" s="16">
        <f t="shared" si="573"/>
        <v>2189.6480331262942</v>
      </c>
      <c r="BF1203" s="16">
        <f t="shared" si="574"/>
        <v>3.340374311390053</v>
      </c>
      <c r="BG1203" s="8">
        <f t="shared" si="572"/>
        <v>2.3253514378055464</v>
      </c>
      <c r="BH1203" s="5" t="s">
        <v>844</v>
      </c>
      <c r="BI1203" s="13"/>
      <c r="BJ1203" s="13"/>
      <c r="BK1203" s="8"/>
      <c r="BL1203" s="8"/>
      <c r="BM1203" s="18"/>
      <c r="BN1203" s="8"/>
      <c r="BO1203" s="24"/>
      <c r="BP1203" s="11"/>
      <c r="BQ1203" s="11"/>
    </row>
    <row r="1204" spans="1:69" x14ac:dyDescent="0.3">
      <c r="A1204" s="20">
        <v>1228</v>
      </c>
      <c r="B1204" s="1" t="s">
        <v>873</v>
      </c>
      <c r="C1204" s="1">
        <v>2007</v>
      </c>
      <c r="D1204" s="1" t="s">
        <v>203</v>
      </c>
      <c r="E1204" s="10" t="s">
        <v>225</v>
      </c>
      <c r="F1204" s="7" t="s">
        <v>63</v>
      </c>
      <c r="G1204" s="4">
        <v>1</v>
      </c>
      <c r="H1204" s="2" t="str">
        <f>'PFAS Properties'!$B$59</f>
        <v>N-EtFOSAA</v>
      </c>
      <c r="I1204" s="2" t="str">
        <f>'PFAS Properties'!$C$59</f>
        <v>FOSAA</v>
      </c>
      <c r="J1204" s="2" t="str">
        <f>'PFAS Properties'!$D$59</f>
        <v>C12H8F17NO4S</v>
      </c>
      <c r="K1204" s="25">
        <f>'PFAS Properties'!$P$59</f>
        <v>584.99</v>
      </c>
      <c r="L1204" s="2">
        <f>'PFAS Properties'!$X$59</f>
        <v>3.9</v>
      </c>
      <c r="M1204" s="2" t="str">
        <f>'PFAS Properties'!$Y$59</f>
        <v>-</v>
      </c>
      <c r="N1204" s="33">
        <v>0</v>
      </c>
      <c r="O1204" s="33">
        <v>0</v>
      </c>
      <c r="P1204" s="33">
        <v>0</v>
      </c>
      <c r="Q1204" s="33">
        <f t="shared" si="570"/>
        <v>0.99920630222183071</v>
      </c>
      <c r="R1204" s="33">
        <v>0</v>
      </c>
      <c r="S1204" s="33">
        <f t="shared" si="571"/>
        <v>7.9369777816924324E-4</v>
      </c>
      <c r="T1204" s="8">
        <f t="shared" si="569"/>
        <v>1</v>
      </c>
      <c r="U1204" s="33">
        <f t="shared" si="555"/>
        <v>0</v>
      </c>
      <c r="V1204" s="33">
        <f t="shared" si="556"/>
        <v>-0.99920630222183071</v>
      </c>
      <c r="W1204" s="33">
        <f t="shared" si="557"/>
        <v>583.99079369777826</v>
      </c>
      <c r="X1204" s="33">
        <v>96485</v>
      </c>
      <c r="Y1204" s="16">
        <f t="shared" si="558"/>
        <v>-165.08551352226584</v>
      </c>
      <c r="Z1204" s="16">
        <v>12</v>
      </c>
      <c r="AA1204" s="16">
        <v>17</v>
      </c>
      <c r="AB1204" s="8">
        <f t="shared" si="559"/>
        <v>0.44582043343653249</v>
      </c>
      <c r="AC1204" s="16">
        <f t="shared" si="560"/>
        <v>55.214619053317151</v>
      </c>
      <c r="AD1204" s="20">
        <f>'PFAS Properties'!$W$59</f>
        <v>8</v>
      </c>
      <c r="AE1204" s="8">
        <f>'PFAS Properties'!$S$59</f>
        <v>0.38021124171160603</v>
      </c>
      <c r="AF1204" s="2">
        <f>'PFAS Properties'!$V$59</f>
        <v>5.4</v>
      </c>
      <c r="AG1204" s="26">
        <v>7</v>
      </c>
      <c r="AH1204" s="1" t="s">
        <v>363</v>
      </c>
      <c r="AI1204" s="6">
        <f>334*55.85/1000</f>
        <v>18.6539</v>
      </c>
      <c r="AJ1204" s="3">
        <f t="shared" si="575"/>
        <v>334.0299041991226</v>
      </c>
      <c r="AK1204" s="8">
        <f t="shared" si="576"/>
        <v>1.8653900000000001</v>
      </c>
      <c r="AL1204" s="6">
        <f>41*26.98/1000</f>
        <v>1.1061800000000002</v>
      </c>
      <c r="AM1204" s="3">
        <f t="shared" si="579"/>
        <v>41</v>
      </c>
      <c r="AN1204" s="8">
        <f t="shared" si="577"/>
        <v>0.11061800000000002</v>
      </c>
      <c r="AO1204" s="3" t="s">
        <v>93</v>
      </c>
      <c r="AP1204" s="15">
        <v>38.6</v>
      </c>
      <c r="AQ1204" s="1" t="s">
        <v>363</v>
      </c>
      <c r="AR1204" s="4">
        <v>11</v>
      </c>
      <c r="AS1204" s="4">
        <v>36</v>
      </c>
      <c r="AT1204" s="4">
        <v>53</v>
      </c>
      <c r="AU1204" s="1" t="s">
        <v>363</v>
      </c>
      <c r="AV1204" s="16">
        <f t="shared" si="580"/>
        <v>100</v>
      </c>
      <c r="AW1204" s="7">
        <v>2.48</v>
      </c>
      <c r="AX1204" s="31">
        <f t="shared" si="568"/>
        <v>2.4799999999999999E-2</v>
      </c>
      <c r="AY1204" s="5" t="s">
        <v>87</v>
      </c>
      <c r="AZ1204" s="39">
        <f t="shared" si="581"/>
        <v>100</v>
      </c>
      <c r="BA1204" s="30" t="s">
        <v>55</v>
      </c>
      <c r="BB1204" s="15">
        <f t="shared" si="582"/>
        <v>0.58499000000000001</v>
      </c>
      <c r="BC1204" s="16">
        <f t="shared" si="583"/>
        <v>116.998</v>
      </c>
      <c r="BD1204" s="26">
        <v>120.09</v>
      </c>
      <c r="BE1204" s="16">
        <f t="shared" si="573"/>
        <v>4842.3387096774195</v>
      </c>
      <c r="BF1204" s="16">
        <f t="shared" si="574"/>
        <v>3.6850551639985514</v>
      </c>
      <c r="BG1204" s="8">
        <f t="shared" si="572"/>
        <v>2.0795068448247678</v>
      </c>
      <c r="BH1204" s="5" t="s">
        <v>844</v>
      </c>
      <c r="BI1204" s="13"/>
      <c r="BJ1204" s="13"/>
      <c r="BK1204" s="8"/>
      <c r="BL1204" s="8"/>
      <c r="BM1204" s="18"/>
      <c r="BN1204" s="8"/>
      <c r="BO1204" s="24"/>
      <c r="BP1204" s="11"/>
      <c r="BQ1204" s="11"/>
    </row>
    <row r="1205" spans="1:69" x14ac:dyDescent="0.3">
      <c r="A1205" s="20">
        <v>1229</v>
      </c>
      <c r="B1205" s="1" t="s">
        <v>873</v>
      </c>
      <c r="C1205" s="1">
        <v>2007</v>
      </c>
      <c r="D1205" s="1" t="s">
        <v>203</v>
      </c>
      <c r="E1205" s="10" t="s">
        <v>225</v>
      </c>
      <c r="F1205" s="7" t="s">
        <v>63</v>
      </c>
      <c r="G1205" s="4">
        <v>2</v>
      </c>
      <c r="H1205" s="2" t="str">
        <f>'PFAS Properties'!$B$59</f>
        <v>N-EtFOSAA</v>
      </c>
      <c r="I1205" s="2" t="str">
        <f>'PFAS Properties'!$C$59</f>
        <v>FOSAA</v>
      </c>
      <c r="J1205" s="2" t="str">
        <f>'PFAS Properties'!$D$59</f>
        <v>C12H8F17NO4S</v>
      </c>
      <c r="K1205" s="25">
        <f>'PFAS Properties'!$P$59</f>
        <v>584.99</v>
      </c>
      <c r="L1205" s="2">
        <f>'PFAS Properties'!$X$59</f>
        <v>3.9</v>
      </c>
      <c r="M1205" s="2" t="str">
        <f>'PFAS Properties'!$Y$59</f>
        <v>-</v>
      </c>
      <c r="N1205" s="33">
        <v>0</v>
      </c>
      <c r="O1205" s="33">
        <v>0</v>
      </c>
      <c r="P1205" s="33">
        <v>0</v>
      </c>
      <c r="Q1205" s="33">
        <f t="shared" si="570"/>
        <v>0.99974887443673854</v>
      </c>
      <c r="R1205" s="33">
        <v>0</v>
      </c>
      <c r="S1205" s="33">
        <f t="shared" si="571"/>
        <v>2.5112556326146155E-4</v>
      </c>
      <c r="T1205" s="8">
        <f t="shared" si="569"/>
        <v>1</v>
      </c>
      <c r="U1205" s="33">
        <f t="shared" si="555"/>
        <v>0</v>
      </c>
      <c r="V1205" s="33">
        <f t="shared" si="556"/>
        <v>-0.99974887443673854</v>
      </c>
      <c r="W1205" s="33">
        <f t="shared" si="557"/>
        <v>583.9902511255633</v>
      </c>
      <c r="X1205" s="33">
        <v>96485</v>
      </c>
      <c r="Y1205" s="16">
        <f t="shared" si="558"/>
        <v>-165.17530894413639</v>
      </c>
      <c r="Z1205" s="16">
        <v>12</v>
      </c>
      <c r="AA1205" s="16">
        <v>17</v>
      </c>
      <c r="AB1205" s="8">
        <f t="shared" si="559"/>
        <v>0.44582043343653249</v>
      </c>
      <c r="AC1205" s="16">
        <f t="shared" si="560"/>
        <v>55.214619053317151</v>
      </c>
      <c r="AD1205" s="20">
        <f>'PFAS Properties'!$W$59</f>
        <v>8</v>
      </c>
      <c r="AE1205" s="8">
        <f>'PFAS Properties'!$S$59</f>
        <v>0.38021124171160603</v>
      </c>
      <c r="AF1205" s="2">
        <f>'PFAS Properties'!$V$59</f>
        <v>5.4</v>
      </c>
      <c r="AG1205" s="26">
        <v>7.5</v>
      </c>
      <c r="AH1205" s="1" t="s">
        <v>363</v>
      </c>
      <c r="AI1205" s="6">
        <f>116*55.845/1000</f>
        <v>6.4780199999999999</v>
      </c>
      <c r="AJ1205" s="3">
        <f t="shared" si="575"/>
        <v>116</v>
      </c>
      <c r="AK1205" s="8">
        <f t="shared" si="576"/>
        <v>0.64780199999999999</v>
      </c>
      <c r="AL1205" s="6">
        <f>7*26.98/1000</f>
        <v>0.18886</v>
      </c>
      <c r="AM1205" s="3">
        <f t="shared" si="579"/>
        <v>7</v>
      </c>
      <c r="AN1205" s="8">
        <f t="shared" si="577"/>
        <v>1.8886E-2</v>
      </c>
      <c r="AO1205" s="3" t="s">
        <v>93</v>
      </c>
      <c r="AP1205" s="15">
        <v>30</v>
      </c>
      <c r="AQ1205" s="1" t="s">
        <v>363</v>
      </c>
      <c r="AR1205" s="4">
        <v>49</v>
      </c>
      <c r="AS1205" s="4">
        <v>25</v>
      </c>
      <c r="AT1205" s="4">
        <v>26</v>
      </c>
      <c r="AU1205" s="1" t="s">
        <v>363</v>
      </c>
      <c r="AV1205" s="16">
        <f t="shared" si="580"/>
        <v>100</v>
      </c>
      <c r="AW1205" s="7">
        <v>1.02</v>
      </c>
      <c r="AX1205" s="6">
        <f t="shared" si="568"/>
        <v>1.0200000000000001E-2</v>
      </c>
      <c r="AY1205" s="5" t="s">
        <v>87</v>
      </c>
      <c r="AZ1205" s="39">
        <f t="shared" si="581"/>
        <v>100</v>
      </c>
      <c r="BA1205" s="30" t="s">
        <v>55</v>
      </c>
      <c r="BB1205" s="15">
        <f t="shared" si="582"/>
        <v>0.58499000000000001</v>
      </c>
      <c r="BC1205" s="16">
        <f t="shared" si="583"/>
        <v>116.998</v>
      </c>
      <c r="BD1205" s="26">
        <v>9.5299999999999994</v>
      </c>
      <c r="BE1205" s="16">
        <f t="shared" si="573"/>
        <v>934.31372549019591</v>
      </c>
      <c r="BF1205" s="16">
        <f t="shared" si="574"/>
        <v>2.9704927288764087</v>
      </c>
      <c r="BG1205" s="8">
        <f t="shared" si="572"/>
        <v>0.97909290063832632</v>
      </c>
      <c r="BH1205" s="5" t="s">
        <v>844</v>
      </c>
      <c r="BI1205" s="13"/>
      <c r="BJ1205" s="13"/>
      <c r="BK1205" s="8"/>
      <c r="BL1205" s="8"/>
      <c r="BM1205" s="18"/>
      <c r="BN1205" s="8"/>
      <c r="BO1205" s="24"/>
      <c r="BP1205" s="11"/>
      <c r="BQ1205" s="11"/>
    </row>
    <row r="1206" spans="1:69" x14ac:dyDescent="0.3">
      <c r="A1206" s="20">
        <v>1230</v>
      </c>
      <c r="B1206" s="1" t="s">
        <v>873</v>
      </c>
      <c r="C1206" s="1">
        <v>2007</v>
      </c>
      <c r="D1206" s="1" t="s">
        <v>203</v>
      </c>
      <c r="E1206" s="10" t="s">
        <v>225</v>
      </c>
      <c r="F1206" s="7" t="s">
        <v>63</v>
      </c>
      <c r="G1206" s="4">
        <v>3</v>
      </c>
      <c r="H1206" s="2" t="str">
        <f>'PFAS Properties'!$B$59</f>
        <v>N-EtFOSAA</v>
      </c>
      <c r="I1206" s="2" t="str">
        <f>'PFAS Properties'!$C$59</f>
        <v>FOSAA</v>
      </c>
      <c r="J1206" s="2" t="str">
        <f>'PFAS Properties'!$D$59</f>
        <v>C12H8F17NO4S</v>
      </c>
      <c r="K1206" s="25">
        <f>'PFAS Properties'!$P$59</f>
        <v>584.99</v>
      </c>
      <c r="L1206" s="2">
        <f>'PFAS Properties'!$X$59</f>
        <v>3.9</v>
      </c>
      <c r="M1206" s="2" t="str">
        <f>'PFAS Properties'!$Y$59</f>
        <v>-</v>
      </c>
      <c r="N1206" s="33">
        <v>0</v>
      </c>
      <c r="O1206" s="33">
        <v>0</v>
      </c>
      <c r="P1206" s="33">
        <v>0</v>
      </c>
      <c r="Q1206" s="33">
        <f t="shared" si="570"/>
        <v>0.99980051357127842</v>
      </c>
      <c r="R1206" s="33">
        <v>0</v>
      </c>
      <c r="S1206" s="33">
        <f t="shared" si="571"/>
        <v>1.9948642872153033E-4</v>
      </c>
      <c r="T1206" s="8">
        <f t="shared" si="569"/>
        <v>1</v>
      </c>
      <c r="U1206" s="33">
        <f t="shared" si="555"/>
        <v>0</v>
      </c>
      <c r="V1206" s="33">
        <f t="shared" si="556"/>
        <v>-0.99980051357127842</v>
      </c>
      <c r="W1206" s="33">
        <f t="shared" si="557"/>
        <v>583.99019948642865</v>
      </c>
      <c r="X1206" s="33">
        <v>96485</v>
      </c>
      <c r="Y1206" s="16">
        <f t="shared" si="558"/>
        <v>-165.18385520297858</v>
      </c>
      <c r="Z1206" s="16">
        <v>12</v>
      </c>
      <c r="AA1206" s="16">
        <v>17</v>
      </c>
      <c r="AB1206" s="8">
        <f t="shared" si="559"/>
        <v>0.44582043343653249</v>
      </c>
      <c r="AC1206" s="16">
        <f t="shared" si="560"/>
        <v>55.214619053317151</v>
      </c>
      <c r="AD1206" s="20">
        <f>'PFAS Properties'!$W$59</f>
        <v>8</v>
      </c>
      <c r="AE1206" s="8">
        <f>'PFAS Properties'!$S$59</f>
        <v>0.38021124171160603</v>
      </c>
      <c r="AF1206" s="2">
        <f>'PFAS Properties'!$V$59</f>
        <v>5.4</v>
      </c>
      <c r="AG1206" s="26">
        <v>7.6</v>
      </c>
      <c r="AH1206" s="1" t="s">
        <v>363</v>
      </c>
      <c r="AI1206" s="6">
        <f>121*55.85/1000</f>
        <v>6.7578500000000004</v>
      </c>
      <c r="AJ1206" s="3">
        <f t="shared" si="575"/>
        <v>121.01083355716717</v>
      </c>
      <c r="AK1206" s="8">
        <f t="shared" si="576"/>
        <v>0.67578500000000008</v>
      </c>
      <c r="AL1206" s="6">
        <f>14*26.98/1000</f>
        <v>0.37772</v>
      </c>
      <c r="AM1206" s="3">
        <f t="shared" si="579"/>
        <v>14</v>
      </c>
      <c r="AN1206" s="8">
        <f t="shared" si="577"/>
        <v>3.7772E-2</v>
      </c>
      <c r="AO1206" s="3" t="s">
        <v>93</v>
      </c>
      <c r="AP1206" s="15">
        <v>32.1</v>
      </c>
      <c r="AQ1206" s="1" t="s">
        <v>363</v>
      </c>
      <c r="AR1206" s="4">
        <v>31</v>
      </c>
      <c r="AS1206" s="4">
        <v>38</v>
      </c>
      <c r="AT1206" s="4">
        <v>31</v>
      </c>
      <c r="AU1206" s="1" t="s">
        <v>363</v>
      </c>
      <c r="AV1206" s="16">
        <f t="shared" si="580"/>
        <v>100</v>
      </c>
      <c r="AW1206" s="7">
        <v>4.34</v>
      </c>
      <c r="AX1206" s="6">
        <f t="shared" si="568"/>
        <v>4.3400000000000001E-2</v>
      </c>
      <c r="AY1206" s="5" t="s">
        <v>87</v>
      </c>
      <c r="AZ1206" s="39">
        <f t="shared" si="581"/>
        <v>100</v>
      </c>
      <c r="BA1206" s="30" t="s">
        <v>55</v>
      </c>
      <c r="BB1206" s="15">
        <f t="shared" si="582"/>
        <v>0.58499000000000001</v>
      </c>
      <c r="BC1206" s="16">
        <f t="shared" si="583"/>
        <v>116.998</v>
      </c>
      <c r="BD1206" s="26">
        <v>94.29</v>
      </c>
      <c r="BE1206" s="16">
        <f t="shared" si="573"/>
        <v>2172.5806451612902</v>
      </c>
      <c r="BF1206" s="16">
        <f t="shared" si="574"/>
        <v>3.3369759062247315</v>
      </c>
      <c r="BG1206" s="8">
        <f t="shared" si="572"/>
        <v>1.9744656357372425</v>
      </c>
      <c r="BH1206" s="5" t="s">
        <v>844</v>
      </c>
      <c r="BI1206" s="13"/>
      <c r="BJ1206" s="13"/>
      <c r="BK1206" s="8"/>
      <c r="BL1206" s="8"/>
      <c r="BM1206" s="18"/>
      <c r="BN1206" s="8"/>
      <c r="BO1206" s="24"/>
      <c r="BP1206" s="11"/>
      <c r="BQ1206" s="11"/>
    </row>
    <row r="1207" spans="1:69" x14ac:dyDescent="0.3">
      <c r="A1207" s="20">
        <v>1231</v>
      </c>
      <c r="B1207" s="1" t="s">
        <v>873</v>
      </c>
      <c r="C1207" s="1">
        <v>2007</v>
      </c>
      <c r="D1207" s="1" t="s">
        <v>203</v>
      </c>
      <c r="E1207" s="10" t="s">
        <v>225</v>
      </c>
      <c r="F1207" s="7" t="s">
        <v>63</v>
      </c>
      <c r="G1207" s="4">
        <v>4</v>
      </c>
      <c r="H1207" s="2" t="str">
        <f>'PFAS Properties'!$B$59</f>
        <v>N-EtFOSAA</v>
      </c>
      <c r="I1207" s="2" t="str">
        <f>'PFAS Properties'!$C$59</f>
        <v>FOSAA</v>
      </c>
      <c r="J1207" s="2" t="str">
        <f>'PFAS Properties'!$D$59</f>
        <v>C12H8F17NO4S</v>
      </c>
      <c r="K1207" s="25">
        <f>'PFAS Properties'!$P$59</f>
        <v>584.99</v>
      </c>
      <c r="L1207" s="2">
        <f>'PFAS Properties'!$X$59</f>
        <v>3.9</v>
      </c>
      <c r="M1207" s="2" t="str">
        <f>'PFAS Properties'!$Y$59</f>
        <v>-</v>
      </c>
      <c r="N1207" s="33">
        <v>0</v>
      </c>
      <c r="O1207" s="33">
        <v>0</v>
      </c>
      <c r="P1207" s="33">
        <v>0</v>
      </c>
      <c r="Q1207" s="33">
        <f t="shared" si="570"/>
        <v>0.99684769081673974</v>
      </c>
      <c r="R1207" s="33">
        <v>0</v>
      </c>
      <c r="S1207" s="33">
        <f t="shared" si="571"/>
        <v>3.1523091832602059E-3</v>
      </c>
      <c r="T1207" s="8">
        <f t="shared" si="569"/>
        <v>1</v>
      </c>
      <c r="U1207" s="33">
        <f t="shared" si="555"/>
        <v>0</v>
      </c>
      <c r="V1207" s="33">
        <f t="shared" si="556"/>
        <v>-0.99684769081673974</v>
      </c>
      <c r="W1207" s="33">
        <f t="shared" si="557"/>
        <v>583.9931523091833</v>
      </c>
      <c r="X1207" s="33">
        <v>96485</v>
      </c>
      <c r="Y1207" s="16">
        <f t="shared" si="558"/>
        <v>-164.69516648978129</v>
      </c>
      <c r="Z1207" s="16">
        <v>12</v>
      </c>
      <c r="AA1207" s="16">
        <v>17</v>
      </c>
      <c r="AB1207" s="8">
        <f t="shared" si="559"/>
        <v>0.44582043343653249</v>
      </c>
      <c r="AC1207" s="16">
        <f t="shared" si="560"/>
        <v>55.214619053317151</v>
      </c>
      <c r="AD1207" s="20">
        <f>'PFAS Properties'!$W$59</f>
        <v>8</v>
      </c>
      <c r="AE1207" s="8">
        <f>'PFAS Properties'!$S$59</f>
        <v>0.38021124171160603</v>
      </c>
      <c r="AF1207" s="2">
        <f>'PFAS Properties'!$V$59</f>
        <v>5.4</v>
      </c>
      <c r="AG1207" s="26">
        <v>6.4</v>
      </c>
      <c r="AH1207" s="1" t="s">
        <v>363</v>
      </c>
      <c r="AI1207" s="6">
        <f>1025*55.874/1000</f>
        <v>57.270850000000003</v>
      </c>
      <c r="AJ1207" s="3">
        <f t="shared" si="575"/>
        <v>1025.5322768376759</v>
      </c>
      <c r="AK1207" s="8">
        <f t="shared" si="576"/>
        <v>5.7270850000000006</v>
      </c>
      <c r="AL1207" s="6">
        <f>171*26.98/1000</f>
        <v>4.6135799999999998</v>
      </c>
      <c r="AM1207" s="3">
        <f t="shared" si="579"/>
        <v>171</v>
      </c>
      <c r="AN1207" s="8">
        <f t="shared" si="577"/>
        <v>0.46135799999999999</v>
      </c>
      <c r="AO1207" s="3" t="s">
        <v>93</v>
      </c>
      <c r="AP1207" s="15">
        <v>32.1</v>
      </c>
      <c r="AQ1207" s="1" t="s">
        <v>363</v>
      </c>
      <c r="AR1207" s="4">
        <v>65</v>
      </c>
      <c r="AS1207" s="4">
        <v>22</v>
      </c>
      <c r="AT1207" s="4">
        <v>13</v>
      </c>
      <c r="AU1207" s="1" t="s">
        <v>363</v>
      </c>
      <c r="AV1207" s="16">
        <f t="shared" si="580"/>
        <v>100</v>
      </c>
      <c r="AW1207" s="7">
        <v>0.56000000000000005</v>
      </c>
      <c r="AX1207" s="6">
        <f t="shared" si="568"/>
        <v>5.6000000000000008E-3</v>
      </c>
      <c r="AY1207" s="5" t="s">
        <v>87</v>
      </c>
      <c r="AZ1207" s="39">
        <f t="shared" si="581"/>
        <v>100</v>
      </c>
      <c r="BA1207" s="30" t="s">
        <v>55</v>
      </c>
      <c r="BB1207" s="15">
        <f t="shared" si="582"/>
        <v>0.58499000000000001</v>
      </c>
      <c r="BC1207" s="16">
        <f t="shared" si="583"/>
        <v>116.998</v>
      </c>
      <c r="BD1207" s="26">
        <v>2.76</v>
      </c>
      <c r="BE1207" s="16">
        <f t="shared" si="573"/>
        <v>492.85714285714278</v>
      </c>
      <c r="BF1207" s="16">
        <f t="shared" si="574"/>
        <v>2.692721055059017</v>
      </c>
      <c r="BG1207" s="8">
        <f t="shared" si="572"/>
        <v>0.44090908206521767</v>
      </c>
      <c r="BH1207" s="5" t="s">
        <v>844</v>
      </c>
      <c r="BI1207" s="13"/>
      <c r="BJ1207" s="13"/>
      <c r="BK1207" s="8"/>
      <c r="BL1207" s="8"/>
      <c r="BM1207" s="18"/>
      <c r="BN1207" s="8"/>
      <c r="BO1207" s="24"/>
      <c r="BP1207" s="11"/>
      <c r="BQ1207" s="11"/>
    </row>
    <row r="1208" spans="1:69" x14ac:dyDescent="0.3">
      <c r="A1208" s="20">
        <v>1232</v>
      </c>
      <c r="B1208" s="1" t="s">
        <v>873</v>
      </c>
      <c r="C1208" s="1">
        <v>2007</v>
      </c>
      <c r="D1208" s="1" t="s">
        <v>203</v>
      </c>
      <c r="E1208" s="10" t="s">
        <v>225</v>
      </c>
      <c r="F1208" s="7" t="s">
        <v>63</v>
      </c>
      <c r="G1208" s="4">
        <v>5</v>
      </c>
      <c r="H1208" s="2" t="str">
        <f>'PFAS Properties'!$B$59</f>
        <v>N-EtFOSAA</v>
      </c>
      <c r="I1208" s="2" t="str">
        <f>'PFAS Properties'!$C$59</f>
        <v>FOSAA</v>
      </c>
      <c r="J1208" s="2" t="str">
        <f>'PFAS Properties'!$D$59</f>
        <v>C12H8F17NO4S</v>
      </c>
      <c r="K1208" s="25">
        <f>'PFAS Properties'!$P$59</f>
        <v>584.99</v>
      </c>
      <c r="L1208" s="2">
        <f>'PFAS Properties'!$X$59</f>
        <v>3.9</v>
      </c>
      <c r="M1208" s="2" t="str">
        <f>'PFAS Properties'!$Y$59</f>
        <v>-</v>
      </c>
      <c r="N1208" s="33">
        <v>0</v>
      </c>
      <c r="O1208" s="33">
        <v>0</v>
      </c>
      <c r="P1208" s="33">
        <v>0</v>
      </c>
      <c r="Q1208" s="33">
        <f t="shared" si="570"/>
        <v>0.98439833775817054</v>
      </c>
      <c r="R1208" s="33">
        <v>0</v>
      </c>
      <c r="S1208" s="33">
        <f t="shared" si="571"/>
        <v>1.5601662241829593E-2</v>
      </c>
      <c r="T1208" s="8">
        <f t="shared" si="569"/>
        <v>1.0000000000000002</v>
      </c>
      <c r="U1208" s="33">
        <f t="shared" si="555"/>
        <v>0</v>
      </c>
      <c r="V1208" s="33">
        <f t="shared" si="556"/>
        <v>-0.98439833775817054</v>
      </c>
      <c r="W1208" s="33">
        <f t="shared" si="557"/>
        <v>584.00560166224193</v>
      </c>
      <c r="X1208" s="33">
        <v>96485</v>
      </c>
      <c r="Y1208" s="16">
        <f t="shared" si="558"/>
        <v>-162.63486745376858</v>
      </c>
      <c r="Z1208" s="16">
        <v>12</v>
      </c>
      <c r="AA1208" s="16">
        <v>17</v>
      </c>
      <c r="AB1208" s="8">
        <f t="shared" si="559"/>
        <v>0.44582043343653249</v>
      </c>
      <c r="AC1208" s="16">
        <f t="shared" si="560"/>
        <v>55.214619053317151</v>
      </c>
      <c r="AD1208" s="20">
        <f>'PFAS Properties'!$W$59</f>
        <v>8</v>
      </c>
      <c r="AE1208" s="8">
        <f>'PFAS Properties'!$S$59</f>
        <v>0.38021124171160603</v>
      </c>
      <c r="AF1208" s="2">
        <f>'PFAS Properties'!$V$59</f>
        <v>5.4</v>
      </c>
      <c r="AG1208" s="26">
        <v>5.7</v>
      </c>
      <c r="AH1208" s="1" t="s">
        <v>363</v>
      </c>
      <c r="AI1208" s="6">
        <f>268*55.85/1000</f>
        <v>14.9678</v>
      </c>
      <c r="AJ1208" s="3">
        <f t="shared" si="575"/>
        <v>268.02399498612232</v>
      </c>
      <c r="AK1208" s="8">
        <f t="shared" si="576"/>
        <v>1.49678</v>
      </c>
      <c r="AL1208" s="6">
        <f>90*26.98/1000</f>
        <v>2.4281999999999999</v>
      </c>
      <c r="AM1208" s="3">
        <f t="shared" si="579"/>
        <v>89.999999999999986</v>
      </c>
      <c r="AN1208" s="8">
        <f t="shared" si="577"/>
        <v>0.24281999999999998</v>
      </c>
      <c r="AO1208" s="3" t="s">
        <v>93</v>
      </c>
      <c r="AP1208" s="15">
        <v>22</v>
      </c>
      <c r="AQ1208" s="1" t="s">
        <v>363</v>
      </c>
      <c r="AR1208" s="4">
        <v>80</v>
      </c>
      <c r="AS1208" s="4">
        <v>15</v>
      </c>
      <c r="AT1208" s="4">
        <v>5</v>
      </c>
      <c r="AU1208" s="1" t="s">
        <v>363</v>
      </c>
      <c r="AV1208" s="16">
        <f t="shared" si="580"/>
        <v>100</v>
      </c>
      <c r="AW1208" s="7">
        <v>9.66</v>
      </c>
      <c r="AX1208" s="6">
        <f t="shared" si="568"/>
        <v>9.6600000000000005E-2</v>
      </c>
      <c r="AY1208" s="5" t="s">
        <v>87</v>
      </c>
      <c r="AZ1208" s="39">
        <f t="shared" si="581"/>
        <v>100</v>
      </c>
      <c r="BA1208" s="30" t="s">
        <v>55</v>
      </c>
      <c r="BB1208" s="15">
        <f t="shared" si="582"/>
        <v>0.58499000000000001</v>
      </c>
      <c r="BC1208" s="16">
        <f t="shared" si="583"/>
        <v>116.998</v>
      </c>
      <c r="BD1208" s="26">
        <v>293.69</v>
      </c>
      <c r="BE1208" s="16">
        <f t="shared" si="573"/>
        <v>3040.2691511387161</v>
      </c>
      <c r="BF1208" s="16">
        <f t="shared" si="574"/>
        <v>3.4829120328456256</v>
      </c>
      <c r="BG1208" s="8">
        <f t="shared" si="572"/>
        <v>2.467889159261119</v>
      </c>
      <c r="BH1208" s="5" t="s">
        <v>844</v>
      </c>
      <c r="BI1208" s="13"/>
      <c r="BJ1208" s="13"/>
      <c r="BK1208" s="8"/>
      <c r="BL1208" s="8"/>
      <c r="BM1208" s="18"/>
      <c r="BN1208" s="8"/>
      <c r="BO1208" s="24"/>
      <c r="BP1208" s="11"/>
      <c r="BQ1208" s="11"/>
    </row>
    <row r="1209" spans="1:69" s="14" customFormat="1" x14ac:dyDescent="0.3">
      <c r="A1209" s="20">
        <v>1233</v>
      </c>
      <c r="B1209" s="2" t="s">
        <v>358</v>
      </c>
      <c r="C1209" s="2">
        <v>2017</v>
      </c>
      <c r="D1209" s="2" t="s">
        <v>203</v>
      </c>
      <c r="E1209" s="10" t="s">
        <v>359</v>
      </c>
      <c r="F1209" s="20" t="s">
        <v>29</v>
      </c>
      <c r="G1209" s="2" t="s">
        <v>360</v>
      </c>
      <c r="H1209" s="2" t="str">
        <f>'PFAS Properties'!$B$60</f>
        <v>PFHxPA</v>
      </c>
      <c r="I1209" s="2" t="str">
        <f>'PFAS Properties'!$C$60</f>
        <v>PFPA</v>
      </c>
      <c r="J1209" s="2" t="str">
        <f>'PFAS Properties'!$D$60</f>
        <v>C6H2F13O3P</v>
      </c>
      <c r="K1209" s="25">
        <f>'PFAS Properties'!$P$60</f>
        <v>399.95329999999996</v>
      </c>
      <c r="L1209" s="2">
        <f>'PFAS Properties'!$X$60</f>
        <v>2.1</v>
      </c>
      <c r="M1209" s="2">
        <f>'PFAS Properties'!$Y$60</f>
        <v>2.4</v>
      </c>
      <c r="N1209" s="33">
        <v>0</v>
      </c>
      <c r="O1209" s="33">
        <v>0</v>
      </c>
      <c r="P1209" s="33">
        <v>0</v>
      </c>
      <c r="Q1209" s="33">
        <f t="shared" ref="Q1209:Q1229" si="584">1/(1+(10^(L1209-AG1209))+(10^(AG1209-M1209)))</f>
        <v>1.5823832918514553E-3</v>
      </c>
      <c r="R1209" s="33">
        <f t="shared" ref="R1209:R1229" si="585">1/(1+(10^(M1209-AG1209))+(10^((L1209+M1209)-(2*AG1209))))</f>
        <v>0.99841635977642174</v>
      </c>
      <c r="S1209" s="33">
        <f t="shared" ref="S1209:S1229" si="586">1/(1+(10^(AG1209-L1209))+(10^((2*AG1209)-L1209-M1209)))</f>
        <v>1.2569317268735621E-6</v>
      </c>
      <c r="T1209" s="8">
        <f t="shared" ref="T1209:T1229" si="587">SUM(Q1209:S1209)</f>
        <v>1</v>
      </c>
      <c r="U1209" s="33">
        <f t="shared" ref="U1209:U1229" si="588">((1*N1209)+(1*O1209)+(1*P1209))</f>
        <v>0</v>
      </c>
      <c r="V1209" s="33">
        <f t="shared" ref="V1209:V1229" si="589">-((1*O1209)+(2*P1209)+(1*Q1209)+(2*R1209))</f>
        <v>-1.998415102844695</v>
      </c>
      <c r="W1209" s="33">
        <f t="shared" ref="W1209:W1229" si="590">(N1209*(K1209+1))+(O1209*K1209)+(P1209*(K1209-1))+(Q1209*(K1209-1))+(R1209*(K1209-2))+(S1209*K1209)</f>
        <v>397.9548848971553</v>
      </c>
      <c r="X1209" s="33">
        <v>96485</v>
      </c>
      <c r="Y1209" s="16">
        <f t="shared" ref="Y1209:Y1229" si="591">((V1209+U1209)/W1209)*X1209</f>
        <v>-484.51995066677148</v>
      </c>
      <c r="Z1209" s="16">
        <v>6</v>
      </c>
      <c r="AA1209" s="16">
        <v>13</v>
      </c>
      <c r="AB1209" s="8">
        <f t="shared" ref="AB1209:AB1229" si="592">(Z1209/AA1209)*(12/19)</f>
        <v>0.291497975708502</v>
      </c>
      <c r="AC1209" s="16">
        <f t="shared" ref="AC1209:AC1229" si="593">((AA1209*19)/K1209)*100</f>
        <v>61.757210154285524</v>
      </c>
      <c r="AD1209" s="20">
        <f>'PFAS Properties'!$W$60</f>
        <v>6</v>
      </c>
      <c r="AE1209" s="8">
        <f>'PFAS Properties'!$S$60</f>
        <v>3.8720979742742268</v>
      </c>
      <c r="AF1209" s="2">
        <f>'PFAS Properties'!$V$60</f>
        <v>3</v>
      </c>
      <c r="AG1209" s="24">
        <v>5.2</v>
      </c>
      <c r="AH1209" s="2" t="s">
        <v>363</v>
      </c>
      <c r="AI1209" s="2" t="s">
        <v>363</v>
      </c>
      <c r="AJ1209" s="2" t="s">
        <v>363</v>
      </c>
      <c r="AK1209" s="2" t="s">
        <v>363</v>
      </c>
      <c r="AL1209" s="2" t="s">
        <v>363</v>
      </c>
      <c r="AM1209" s="2" t="s">
        <v>363</v>
      </c>
      <c r="AN1209" s="2" t="s">
        <v>363</v>
      </c>
      <c r="AO1209" s="2" t="s">
        <v>363</v>
      </c>
      <c r="AP1209" s="15">
        <v>9.6</v>
      </c>
      <c r="AQ1209" s="2" t="s">
        <v>363</v>
      </c>
      <c r="AR1209" s="16">
        <v>63</v>
      </c>
      <c r="AS1209" s="16">
        <v>32</v>
      </c>
      <c r="AT1209" s="16">
        <v>5</v>
      </c>
      <c r="AU1209" s="2" t="s">
        <v>363</v>
      </c>
      <c r="AV1209" s="16">
        <f t="shared" ref="AV1209:AV1229" si="594">SUM(AR1209:AT1209)</f>
        <v>100</v>
      </c>
      <c r="AW1209" s="20">
        <v>1</v>
      </c>
      <c r="AX1209" s="8">
        <f t="shared" ref="AX1209:AX1229" si="595">AW1209/100</f>
        <v>0.01</v>
      </c>
      <c r="AY1209" s="13" t="s">
        <v>364</v>
      </c>
      <c r="AZ1209" s="16">
        <f>5/0.05</f>
        <v>100</v>
      </c>
      <c r="BA1209" s="16" t="s">
        <v>55</v>
      </c>
      <c r="BB1209" s="16">
        <v>500</v>
      </c>
      <c r="BC1209" s="16">
        <v>50000</v>
      </c>
      <c r="BD1209" s="18">
        <f>10^-0.28</f>
        <v>0.52480746024977254</v>
      </c>
      <c r="BE1209" s="16">
        <f t="shared" ref="BE1209:BE1229" si="596">BD1209/AX1209</f>
        <v>52.48074602497725</v>
      </c>
      <c r="BF1209" s="16">
        <f t="shared" ref="BF1209:BF1229" si="597">LOG(BE1209)</f>
        <v>1.72</v>
      </c>
      <c r="BG1209" s="8">
        <f t="shared" ref="BG1209:BG1229" si="598">LOG(BD1209)</f>
        <v>-0.28000000000000003</v>
      </c>
      <c r="BH1209" s="13" t="s">
        <v>367</v>
      </c>
      <c r="BI1209" s="8"/>
      <c r="BJ1209" s="16"/>
      <c r="BK1209" s="8"/>
      <c r="BL1209" s="13"/>
      <c r="BM1209" s="16"/>
      <c r="BN1209" s="16"/>
      <c r="BO1209" s="18"/>
    </row>
    <row r="1210" spans="1:69" s="14" customFormat="1" x14ac:dyDescent="0.3">
      <c r="A1210" s="20">
        <v>1234</v>
      </c>
      <c r="B1210" s="2" t="s">
        <v>358</v>
      </c>
      <c r="C1210" s="2">
        <v>2017</v>
      </c>
      <c r="D1210" s="2" t="s">
        <v>203</v>
      </c>
      <c r="E1210" s="10" t="s">
        <v>359</v>
      </c>
      <c r="F1210" s="20" t="s">
        <v>29</v>
      </c>
      <c r="G1210" s="2" t="s">
        <v>88</v>
      </c>
      <c r="H1210" s="2" t="str">
        <f>'PFAS Properties'!$B$60</f>
        <v>PFHxPA</v>
      </c>
      <c r="I1210" s="2" t="str">
        <f>'PFAS Properties'!$C$60</f>
        <v>PFPA</v>
      </c>
      <c r="J1210" s="2" t="str">
        <f>'PFAS Properties'!$D$60</f>
        <v>C6H2F13O3P</v>
      </c>
      <c r="K1210" s="25">
        <f>'PFAS Properties'!$P$60</f>
        <v>399.95329999999996</v>
      </c>
      <c r="L1210" s="2">
        <f>'PFAS Properties'!$X$60</f>
        <v>2.1</v>
      </c>
      <c r="M1210" s="2">
        <f>'PFAS Properties'!$Y$60</f>
        <v>2.4</v>
      </c>
      <c r="N1210" s="33">
        <v>0</v>
      </c>
      <c r="O1210" s="33">
        <v>0</v>
      </c>
      <c r="P1210" s="33">
        <v>0</v>
      </c>
      <c r="Q1210" s="33">
        <f t="shared" si="584"/>
        <v>6.3091753501609994E-5</v>
      </c>
      <c r="R1210" s="33">
        <f t="shared" si="585"/>
        <v>0.99993690625136178</v>
      </c>
      <c r="S1210" s="33">
        <f t="shared" si="586"/>
        <v>1.9951364263899148E-9</v>
      </c>
      <c r="T1210" s="8">
        <f t="shared" si="587"/>
        <v>0.99999999999999978</v>
      </c>
      <c r="U1210" s="33">
        <f t="shared" si="588"/>
        <v>0</v>
      </c>
      <c r="V1210" s="33">
        <f t="shared" si="589"/>
        <v>-1.9999369042562252</v>
      </c>
      <c r="W1210" s="33">
        <f t="shared" si="590"/>
        <v>397.95336309574367</v>
      </c>
      <c r="X1210" s="33">
        <v>96485</v>
      </c>
      <c r="Y1210" s="16">
        <f t="shared" si="591"/>
        <v>-484.89076887317736</v>
      </c>
      <c r="Z1210" s="16">
        <v>6</v>
      </c>
      <c r="AA1210" s="16">
        <v>13</v>
      </c>
      <c r="AB1210" s="8">
        <f t="shared" si="592"/>
        <v>0.291497975708502</v>
      </c>
      <c r="AC1210" s="16">
        <f t="shared" si="593"/>
        <v>61.757210154285524</v>
      </c>
      <c r="AD1210" s="20">
        <f>'PFAS Properties'!$W$60</f>
        <v>6</v>
      </c>
      <c r="AE1210" s="8">
        <f>'PFAS Properties'!$S$60</f>
        <v>3.8720979742742268</v>
      </c>
      <c r="AF1210" s="2">
        <f>'PFAS Properties'!$V$60</f>
        <v>3</v>
      </c>
      <c r="AG1210" s="24">
        <v>6.6</v>
      </c>
      <c r="AH1210" s="2" t="s">
        <v>363</v>
      </c>
      <c r="AI1210" s="2" t="s">
        <v>363</v>
      </c>
      <c r="AJ1210" s="2" t="s">
        <v>363</v>
      </c>
      <c r="AK1210" s="2" t="s">
        <v>363</v>
      </c>
      <c r="AL1210" s="2" t="s">
        <v>363</v>
      </c>
      <c r="AM1210" s="2" t="s">
        <v>363</v>
      </c>
      <c r="AN1210" s="2" t="s">
        <v>363</v>
      </c>
      <c r="AO1210" s="2" t="s">
        <v>363</v>
      </c>
      <c r="AP1210" s="15">
        <v>33.5</v>
      </c>
      <c r="AQ1210" s="2" t="s">
        <v>363</v>
      </c>
      <c r="AR1210" s="16">
        <v>25</v>
      </c>
      <c r="AS1210" s="16">
        <v>38</v>
      </c>
      <c r="AT1210" s="16">
        <v>37</v>
      </c>
      <c r="AU1210" s="2" t="s">
        <v>363</v>
      </c>
      <c r="AV1210" s="16">
        <f t="shared" si="594"/>
        <v>100</v>
      </c>
      <c r="AW1210" s="20">
        <v>1.1000000000000001</v>
      </c>
      <c r="AX1210" s="8">
        <f t="shared" si="595"/>
        <v>1.1000000000000001E-2</v>
      </c>
      <c r="AY1210" s="13" t="s">
        <v>364</v>
      </c>
      <c r="AZ1210" s="16">
        <v>100</v>
      </c>
      <c r="BA1210" s="16" t="s">
        <v>55</v>
      </c>
      <c r="BB1210" s="16">
        <v>500</v>
      </c>
      <c r="BC1210" s="16">
        <v>50000</v>
      </c>
      <c r="BD1210" s="18">
        <f>10^-0.35</f>
        <v>0.44668359215096315</v>
      </c>
      <c r="BE1210" s="16">
        <f t="shared" si="596"/>
        <v>40.60759928645119</v>
      </c>
      <c r="BF1210" s="16">
        <f t="shared" si="597"/>
        <v>1.608607314841775</v>
      </c>
      <c r="BG1210" s="8">
        <f t="shared" si="598"/>
        <v>-0.35</v>
      </c>
      <c r="BH1210" s="13" t="s">
        <v>367</v>
      </c>
      <c r="BI1210" s="8"/>
      <c r="BJ1210" s="16"/>
      <c r="BK1210" s="8"/>
      <c r="BL1210" s="13"/>
      <c r="BM1210" s="16"/>
      <c r="BN1210" s="16"/>
      <c r="BO1210" s="18"/>
    </row>
    <row r="1211" spans="1:69" s="14" customFormat="1" x14ac:dyDescent="0.3">
      <c r="A1211" s="20">
        <v>1235</v>
      </c>
      <c r="B1211" s="2" t="s">
        <v>358</v>
      </c>
      <c r="C1211" s="2">
        <v>2017</v>
      </c>
      <c r="D1211" s="2" t="s">
        <v>203</v>
      </c>
      <c r="E1211" s="10" t="s">
        <v>359</v>
      </c>
      <c r="F1211" s="20" t="s">
        <v>29</v>
      </c>
      <c r="G1211" s="2" t="s">
        <v>365</v>
      </c>
      <c r="H1211" s="2" t="str">
        <f>'PFAS Properties'!$B$60</f>
        <v>PFHxPA</v>
      </c>
      <c r="I1211" s="2" t="str">
        <f>'PFAS Properties'!$C$60</f>
        <v>PFPA</v>
      </c>
      <c r="J1211" s="2" t="str">
        <f>'PFAS Properties'!$D$60</f>
        <v>C6H2F13O3P</v>
      </c>
      <c r="K1211" s="25">
        <f>'PFAS Properties'!$P$60</f>
        <v>399.95329999999996</v>
      </c>
      <c r="L1211" s="2">
        <f>'PFAS Properties'!$X$60</f>
        <v>2.1</v>
      </c>
      <c r="M1211" s="2">
        <f>'PFAS Properties'!$Y$60</f>
        <v>2.4</v>
      </c>
      <c r="N1211" s="33">
        <v>0</v>
      </c>
      <c r="O1211" s="33">
        <v>0</v>
      </c>
      <c r="P1211" s="33">
        <v>0</v>
      </c>
      <c r="Q1211" s="33">
        <f t="shared" si="584"/>
        <v>2.5118233365656961E-5</v>
      </c>
      <c r="R1211" s="33">
        <f t="shared" si="585"/>
        <v>0.99997488145041469</v>
      </c>
      <c r="S1211" s="33">
        <f t="shared" si="586"/>
        <v>3.1621982283401642E-10</v>
      </c>
      <c r="T1211" s="8">
        <f t="shared" si="587"/>
        <v>1.0000000000000002</v>
      </c>
      <c r="U1211" s="33">
        <f t="shared" si="588"/>
        <v>0</v>
      </c>
      <c r="V1211" s="33">
        <f t="shared" si="589"/>
        <v>-1.9999748811341951</v>
      </c>
      <c r="W1211" s="33">
        <f t="shared" si="590"/>
        <v>397.95332511886579</v>
      </c>
      <c r="X1211" s="33">
        <v>96485</v>
      </c>
      <c r="Y1211" s="16">
        <f t="shared" si="591"/>
        <v>-484.90002275667581</v>
      </c>
      <c r="Z1211" s="16">
        <v>6</v>
      </c>
      <c r="AA1211" s="16">
        <v>13</v>
      </c>
      <c r="AB1211" s="8">
        <f t="shared" si="592"/>
        <v>0.291497975708502</v>
      </c>
      <c r="AC1211" s="16">
        <f t="shared" si="593"/>
        <v>61.757210154285524</v>
      </c>
      <c r="AD1211" s="20">
        <f>'PFAS Properties'!$W$60</f>
        <v>6</v>
      </c>
      <c r="AE1211" s="8">
        <f>'PFAS Properties'!$S$60</f>
        <v>3.8720979742742268</v>
      </c>
      <c r="AF1211" s="2">
        <f>'PFAS Properties'!$V$60</f>
        <v>3</v>
      </c>
      <c r="AG1211" s="24">
        <v>7</v>
      </c>
      <c r="AH1211" s="2" t="s">
        <v>363</v>
      </c>
      <c r="AI1211" s="2" t="s">
        <v>363</v>
      </c>
      <c r="AJ1211" s="2" t="s">
        <v>363</v>
      </c>
      <c r="AK1211" s="2" t="s">
        <v>363</v>
      </c>
      <c r="AL1211" s="2" t="s">
        <v>363</v>
      </c>
      <c r="AM1211" s="2" t="s">
        <v>363</v>
      </c>
      <c r="AN1211" s="2" t="s">
        <v>363</v>
      </c>
      <c r="AO1211" s="2" t="s">
        <v>363</v>
      </c>
      <c r="AP1211" s="15">
        <v>23.3</v>
      </c>
      <c r="AQ1211" s="2" t="s">
        <v>363</v>
      </c>
      <c r="AR1211" s="16">
        <v>28</v>
      </c>
      <c r="AS1211" s="16">
        <v>48</v>
      </c>
      <c r="AT1211" s="16">
        <v>22</v>
      </c>
      <c r="AU1211" s="2" t="s">
        <v>363</v>
      </c>
      <c r="AV1211" s="16">
        <f t="shared" si="594"/>
        <v>98</v>
      </c>
      <c r="AW1211" s="20">
        <v>1.1000000000000001</v>
      </c>
      <c r="AX1211" s="8">
        <f t="shared" si="595"/>
        <v>1.1000000000000001E-2</v>
      </c>
      <c r="AY1211" s="8" t="s">
        <v>364</v>
      </c>
      <c r="AZ1211" s="16">
        <v>100</v>
      </c>
      <c r="BA1211" s="16" t="s">
        <v>55</v>
      </c>
      <c r="BB1211" s="16">
        <v>500</v>
      </c>
      <c r="BC1211" s="16">
        <v>50000</v>
      </c>
      <c r="BD1211" s="18">
        <f>10^-0.23</f>
        <v>0.58884365535558891</v>
      </c>
      <c r="BE1211" s="16">
        <f t="shared" si="596"/>
        <v>53.531241395962624</v>
      </c>
      <c r="BF1211" s="16">
        <f t="shared" si="597"/>
        <v>1.7286073148417749</v>
      </c>
      <c r="BG1211" s="8">
        <f t="shared" si="598"/>
        <v>-0.23000000000000004</v>
      </c>
      <c r="BH1211" s="13" t="s">
        <v>367</v>
      </c>
      <c r="BI1211" s="8"/>
      <c r="BJ1211" s="16"/>
      <c r="BK1211" s="8"/>
      <c r="BL1211" s="13"/>
      <c r="BM1211" s="16"/>
      <c r="BN1211" s="16"/>
      <c r="BO1211" s="18"/>
    </row>
    <row r="1212" spans="1:69" s="14" customFormat="1" x14ac:dyDescent="0.3">
      <c r="A1212" s="20">
        <v>1236</v>
      </c>
      <c r="B1212" s="2" t="s">
        <v>358</v>
      </c>
      <c r="C1212" s="2">
        <v>2017</v>
      </c>
      <c r="D1212" s="2" t="s">
        <v>203</v>
      </c>
      <c r="E1212" s="10" t="s">
        <v>359</v>
      </c>
      <c r="F1212" s="20" t="s">
        <v>29</v>
      </c>
      <c r="G1212" s="2" t="s">
        <v>89</v>
      </c>
      <c r="H1212" s="2" t="str">
        <f>'PFAS Properties'!$B$60</f>
        <v>PFHxPA</v>
      </c>
      <c r="I1212" s="2" t="str">
        <f>'PFAS Properties'!$C$60</f>
        <v>PFPA</v>
      </c>
      <c r="J1212" s="2" t="str">
        <f>'PFAS Properties'!$D$60</f>
        <v>C6H2F13O3P</v>
      </c>
      <c r="K1212" s="25">
        <f>'PFAS Properties'!$P$60</f>
        <v>399.95329999999996</v>
      </c>
      <c r="L1212" s="2">
        <f>'PFAS Properties'!$X$60</f>
        <v>2.1</v>
      </c>
      <c r="M1212" s="2">
        <f>'PFAS Properties'!$Y$60</f>
        <v>2.4</v>
      </c>
      <c r="N1212" s="33">
        <v>0</v>
      </c>
      <c r="O1212" s="33">
        <v>0</v>
      </c>
      <c r="P1212" s="33">
        <v>0</v>
      </c>
      <c r="Q1212" s="33">
        <f t="shared" si="584"/>
        <v>3.8257278528043545E-2</v>
      </c>
      <c r="R1212" s="33">
        <f t="shared" si="585"/>
        <v>0.96097938841075381</v>
      </c>
      <c r="S1212" s="33">
        <f t="shared" si="586"/>
        <v>7.6333306120273325E-4</v>
      </c>
      <c r="T1212" s="8">
        <f t="shared" si="587"/>
        <v>1</v>
      </c>
      <c r="U1212" s="33">
        <f t="shared" si="588"/>
        <v>0</v>
      </c>
      <c r="V1212" s="33">
        <f t="shared" si="589"/>
        <v>-1.9602160553495511</v>
      </c>
      <c r="W1212" s="33">
        <f t="shared" si="590"/>
        <v>397.99308394465044</v>
      </c>
      <c r="X1212" s="33">
        <v>96485</v>
      </c>
      <c r="Y1212" s="16">
        <f t="shared" si="591"/>
        <v>-475.21289622888082</v>
      </c>
      <c r="Z1212" s="16">
        <v>6</v>
      </c>
      <c r="AA1212" s="16">
        <v>13</v>
      </c>
      <c r="AB1212" s="8">
        <f t="shared" si="592"/>
        <v>0.291497975708502</v>
      </c>
      <c r="AC1212" s="16">
        <f t="shared" si="593"/>
        <v>61.757210154285524</v>
      </c>
      <c r="AD1212" s="20">
        <f>'PFAS Properties'!$W$60</f>
        <v>6</v>
      </c>
      <c r="AE1212" s="8">
        <f>'PFAS Properties'!$S$60</f>
        <v>3.8720979742742268</v>
      </c>
      <c r="AF1212" s="2">
        <f>'PFAS Properties'!$V$60</f>
        <v>3</v>
      </c>
      <c r="AG1212" s="24">
        <v>3.8</v>
      </c>
      <c r="AH1212" s="2" t="s">
        <v>363</v>
      </c>
      <c r="AI1212" s="2" t="s">
        <v>363</v>
      </c>
      <c r="AJ1212" s="2" t="s">
        <v>363</v>
      </c>
      <c r="AK1212" s="2" t="s">
        <v>363</v>
      </c>
      <c r="AL1212" s="2" t="s">
        <v>363</v>
      </c>
      <c r="AM1212" s="2" t="s">
        <v>363</v>
      </c>
      <c r="AN1212" s="2" t="s">
        <v>363</v>
      </c>
      <c r="AO1212" s="2" t="s">
        <v>363</v>
      </c>
      <c r="AP1212" s="15">
        <v>23.89</v>
      </c>
      <c r="AQ1212" s="2" t="s">
        <v>363</v>
      </c>
      <c r="AR1212" s="16">
        <v>53</v>
      </c>
      <c r="AS1212" s="16">
        <v>41</v>
      </c>
      <c r="AT1212" s="16">
        <v>6</v>
      </c>
      <c r="AU1212" s="2" t="s">
        <v>363</v>
      </c>
      <c r="AV1212" s="16">
        <f t="shared" si="594"/>
        <v>100</v>
      </c>
      <c r="AW1212" s="20">
        <v>3.6</v>
      </c>
      <c r="AX1212" s="8">
        <f t="shared" si="595"/>
        <v>3.6000000000000004E-2</v>
      </c>
      <c r="AY1212" s="13" t="s">
        <v>364</v>
      </c>
      <c r="AZ1212" s="16">
        <v>100</v>
      </c>
      <c r="BA1212" s="16" t="s">
        <v>55</v>
      </c>
      <c r="BB1212" s="16">
        <v>500</v>
      </c>
      <c r="BC1212" s="16">
        <v>50000</v>
      </c>
      <c r="BD1212" s="18">
        <f>10^1.44</f>
        <v>27.542287033381665</v>
      </c>
      <c r="BE1212" s="16">
        <f t="shared" si="596"/>
        <v>765.06352870504622</v>
      </c>
      <c r="BF1212" s="16">
        <f t="shared" si="597"/>
        <v>2.8836974992327127</v>
      </c>
      <c r="BG1212" s="8">
        <f t="shared" si="598"/>
        <v>1.44</v>
      </c>
      <c r="BH1212" s="13" t="s">
        <v>367</v>
      </c>
      <c r="BI1212" s="8"/>
      <c r="BJ1212" s="16"/>
      <c r="BK1212" s="8"/>
      <c r="BL1212" s="13"/>
      <c r="BM1212" s="16"/>
      <c r="BN1212" s="16"/>
      <c r="BO1212" s="18"/>
    </row>
    <row r="1213" spans="1:69" s="14" customFormat="1" x14ac:dyDescent="0.3">
      <c r="A1213" s="20">
        <v>1237</v>
      </c>
      <c r="B1213" s="2" t="s">
        <v>358</v>
      </c>
      <c r="C1213" s="2">
        <v>2017</v>
      </c>
      <c r="D1213" s="2" t="s">
        <v>203</v>
      </c>
      <c r="E1213" s="10" t="s">
        <v>359</v>
      </c>
      <c r="F1213" s="20" t="s">
        <v>29</v>
      </c>
      <c r="G1213" s="2" t="s">
        <v>361</v>
      </c>
      <c r="H1213" s="2" t="str">
        <f>'PFAS Properties'!$B$60</f>
        <v>PFHxPA</v>
      </c>
      <c r="I1213" s="2" t="str">
        <f>'PFAS Properties'!$C$60</f>
        <v>PFPA</v>
      </c>
      <c r="J1213" s="2" t="str">
        <f>'PFAS Properties'!$D$60</f>
        <v>C6H2F13O3P</v>
      </c>
      <c r="K1213" s="25">
        <f>'PFAS Properties'!$P$60</f>
        <v>399.95329999999996</v>
      </c>
      <c r="L1213" s="2">
        <f>'PFAS Properties'!$X$60</f>
        <v>2.1</v>
      </c>
      <c r="M1213" s="2">
        <f>'PFAS Properties'!$Y$60</f>
        <v>2.4</v>
      </c>
      <c r="N1213" s="33">
        <v>0</v>
      </c>
      <c r="O1213" s="33">
        <v>0</v>
      </c>
      <c r="P1213" s="33">
        <v>0</v>
      </c>
      <c r="Q1213" s="33">
        <f t="shared" si="584"/>
        <v>9.9004988115236631E-3</v>
      </c>
      <c r="R1213" s="33">
        <f t="shared" si="585"/>
        <v>0.99004988115236747</v>
      </c>
      <c r="S1213" s="33">
        <f t="shared" si="586"/>
        <v>4.9620036108776318E-5</v>
      </c>
      <c r="T1213" s="8">
        <f t="shared" si="587"/>
        <v>0.99999999999999989</v>
      </c>
      <c r="U1213" s="33">
        <f t="shared" si="588"/>
        <v>0</v>
      </c>
      <c r="V1213" s="33">
        <f t="shared" si="589"/>
        <v>-1.9900002611162586</v>
      </c>
      <c r="W1213" s="33">
        <f t="shared" si="590"/>
        <v>397.96329973888368</v>
      </c>
      <c r="X1213" s="33">
        <v>96485</v>
      </c>
      <c r="Y1213" s="16">
        <f t="shared" si="591"/>
        <v>-482.46955264413299</v>
      </c>
      <c r="Z1213" s="16">
        <v>6</v>
      </c>
      <c r="AA1213" s="16">
        <v>13</v>
      </c>
      <c r="AB1213" s="8">
        <f t="shared" si="592"/>
        <v>0.291497975708502</v>
      </c>
      <c r="AC1213" s="16">
        <f t="shared" si="593"/>
        <v>61.757210154285524</v>
      </c>
      <c r="AD1213" s="20">
        <f>'PFAS Properties'!$W$60</f>
        <v>6</v>
      </c>
      <c r="AE1213" s="8">
        <f>'PFAS Properties'!$S$60</f>
        <v>3.8720979742742268</v>
      </c>
      <c r="AF1213" s="2">
        <f>'PFAS Properties'!$V$60</f>
        <v>3</v>
      </c>
      <c r="AG1213" s="24">
        <v>4.4000000000000004</v>
      </c>
      <c r="AH1213" s="2" t="s">
        <v>363</v>
      </c>
      <c r="AI1213" s="2" t="s">
        <v>363</v>
      </c>
      <c r="AJ1213" s="2" t="s">
        <v>363</v>
      </c>
      <c r="AK1213" s="2" t="s">
        <v>363</v>
      </c>
      <c r="AL1213" s="2" t="s">
        <v>363</v>
      </c>
      <c r="AM1213" s="2" t="s">
        <v>363</v>
      </c>
      <c r="AN1213" s="2" t="s">
        <v>363</v>
      </c>
      <c r="AO1213" s="2" t="s">
        <v>363</v>
      </c>
      <c r="AP1213" s="15">
        <v>11.3</v>
      </c>
      <c r="AQ1213" s="2" t="s">
        <v>363</v>
      </c>
      <c r="AR1213" s="16">
        <v>58</v>
      </c>
      <c r="AS1213" s="16">
        <v>20</v>
      </c>
      <c r="AT1213" s="16">
        <v>22</v>
      </c>
      <c r="AU1213" s="2" t="s">
        <v>363</v>
      </c>
      <c r="AV1213" s="16">
        <f t="shared" si="594"/>
        <v>100</v>
      </c>
      <c r="AW1213" s="20">
        <v>10.199999999999999</v>
      </c>
      <c r="AX1213" s="8">
        <f t="shared" si="595"/>
        <v>0.10199999999999999</v>
      </c>
      <c r="AY1213" s="8" t="s">
        <v>364</v>
      </c>
      <c r="AZ1213" s="16">
        <v>100</v>
      </c>
      <c r="BA1213" s="16" t="s">
        <v>55</v>
      </c>
      <c r="BB1213" s="16">
        <v>500</v>
      </c>
      <c r="BC1213" s="16">
        <v>50000</v>
      </c>
      <c r="BD1213" s="18">
        <f>10^0.42</f>
        <v>2.6302679918953822</v>
      </c>
      <c r="BE1213" s="16">
        <f t="shared" si="596"/>
        <v>25.786941097013553</v>
      </c>
      <c r="BF1213" s="16">
        <f t="shared" si="597"/>
        <v>1.4113998282380826</v>
      </c>
      <c r="BG1213" s="8">
        <f t="shared" si="598"/>
        <v>0.42000000000000004</v>
      </c>
      <c r="BH1213" s="13" t="s">
        <v>367</v>
      </c>
      <c r="BI1213" s="8"/>
      <c r="BJ1213" s="16"/>
      <c r="BK1213" s="8"/>
      <c r="BL1213" s="13"/>
      <c r="BM1213" s="16"/>
      <c r="BN1213" s="16"/>
      <c r="BO1213" s="18"/>
    </row>
    <row r="1214" spans="1:69" s="14" customFormat="1" x14ac:dyDescent="0.3">
      <c r="A1214" s="20">
        <v>1238</v>
      </c>
      <c r="B1214" s="2" t="s">
        <v>358</v>
      </c>
      <c r="C1214" s="2">
        <v>2017</v>
      </c>
      <c r="D1214" s="2" t="s">
        <v>203</v>
      </c>
      <c r="E1214" s="10" t="s">
        <v>359</v>
      </c>
      <c r="F1214" s="20" t="s">
        <v>29</v>
      </c>
      <c r="G1214" s="2" t="s">
        <v>274</v>
      </c>
      <c r="H1214" s="2" t="str">
        <f>'PFAS Properties'!$B$60</f>
        <v>PFHxPA</v>
      </c>
      <c r="I1214" s="2" t="str">
        <f>'PFAS Properties'!$C$60</f>
        <v>PFPA</v>
      </c>
      <c r="J1214" s="2" t="str">
        <f>'PFAS Properties'!$D$60</f>
        <v>C6H2F13O3P</v>
      </c>
      <c r="K1214" s="25">
        <f>'PFAS Properties'!$P$60</f>
        <v>399.95329999999996</v>
      </c>
      <c r="L1214" s="2">
        <f>'PFAS Properties'!$X$60</f>
        <v>2.1</v>
      </c>
      <c r="M1214" s="2">
        <f>'PFAS Properties'!$Y$60</f>
        <v>2.4</v>
      </c>
      <c r="N1214" s="33">
        <v>0</v>
      </c>
      <c r="O1214" s="33">
        <v>0</v>
      </c>
      <c r="P1214" s="33">
        <v>0</v>
      </c>
      <c r="Q1214" s="33">
        <f t="shared" si="584"/>
        <v>1.9948642474204687E-4</v>
      </c>
      <c r="R1214" s="33">
        <f t="shared" si="585"/>
        <v>0.99980049362661549</v>
      </c>
      <c r="S1214" s="33">
        <f t="shared" si="586"/>
        <v>1.9948642474204673E-8</v>
      </c>
      <c r="T1214" s="8">
        <f t="shared" si="587"/>
        <v>1</v>
      </c>
      <c r="U1214" s="33">
        <f t="shared" si="588"/>
        <v>0</v>
      </c>
      <c r="V1214" s="33">
        <f t="shared" si="589"/>
        <v>-1.9998004736779731</v>
      </c>
      <c r="W1214" s="33">
        <f t="shared" si="590"/>
        <v>397.95349952632199</v>
      </c>
      <c r="X1214" s="33">
        <v>96485</v>
      </c>
      <c r="Y1214" s="16">
        <f t="shared" si="591"/>
        <v>-484.85752464166188</v>
      </c>
      <c r="Z1214" s="16">
        <v>6</v>
      </c>
      <c r="AA1214" s="16">
        <v>13</v>
      </c>
      <c r="AB1214" s="8">
        <f t="shared" si="592"/>
        <v>0.291497975708502</v>
      </c>
      <c r="AC1214" s="16">
        <f t="shared" si="593"/>
        <v>61.757210154285524</v>
      </c>
      <c r="AD1214" s="20">
        <f>'PFAS Properties'!$W$60</f>
        <v>6</v>
      </c>
      <c r="AE1214" s="8">
        <f>'PFAS Properties'!$S$60</f>
        <v>3.8720979742742268</v>
      </c>
      <c r="AF1214" s="2">
        <f>'PFAS Properties'!$V$60</f>
        <v>3</v>
      </c>
      <c r="AG1214" s="24">
        <v>6.1</v>
      </c>
      <c r="AH1214" s="2" t="s">
        <v>363</v>
      </c>
      <c r="AI1214" s="2" t="s">
        <v>363</v>
      </c>
      <c r="AJ1214" s="2" t="s">
        <v>363</v>
      </c>
      <c r="AK1214" s="2" t="s">
        <v>363</v>
      </c>
      <c r="AL1214" s="2" t="s">
        <v>363</v>
      </c>
      <c r="AM1214" s="2" t="s">
        <v>363</v>
      </c>
      <c r="AN1214" s="2" t="s">
        <v>363</v>
      </c>
      <c r="AO1214" s="2" t="s">
        <v>363</v>
      </c>
      <c r="AP1214" s="15">
        <v>24.2</v>
      </c>
      <c r="AQ1214" s="2" t="s">
        <v>363</v>
      </c>
      <c r="AR1214" s="16">
        <v>10</v>
      </c>
      <c r="AS1214" s="16">
        <v>61</v>
      </c>
      <c r="AT1214" s="16">
        <v>27</v>
      </c>
      <c r="AU1214" s="2" t="s">
        <v>363</v>
      </c>
      <c r="AV1214" s="16">
        <f t="shared" si="594"/>
        <v>98</v>
      </c>
      <c r="AW1214" s="20">
        <v>2.63</v>
      </c>
      <c r="AX1214" s="8">
        <f t="shared" si="595"/>
        <v>2.63E-2</v>
      </c>
      <c r="AY1214" s="8" t="s">
        <v>364</v>
      </c>
      <c r="AZ1214" s="16">
        <v>100</v>
      </c>
      <c r="BA1214" s="16" t="s">
        <v>55</v>
      </c>
      <c r="BB1214" s="16">
        <v>500</v>
      </c>
      <c r="BC1214" s="16">
        <v>50000</v>
      </c>
      <c r="BD1214" s="18">
        <f>10^0.02</f>
        <v>1.0471285480508996</v>
      </c>
      <c r="BE1214" s="16">
        <f t="shared" si="596"/>
        <v>39.814773690148272</v>
      </c>
      <c r="BF1214" s="16">
        <f t="shared" si="597"/>
        <v>1.6000442515102422</v>
      </c>
      <c r="BG1214" s="8">
        <f t="shared" si="598"/>
        <v>2.0000000000000032E-2</v>
      </c>
      <c r="BH1214" s="13" t="s">
        <v>367</v>
      </c>
      <c r="BI1214" s="8"/>
      <c r="BJ1214" s="16"/>
      <c r="BK1214" s="8"/>
      <c r="BL1214" s="13"/>
      <c r="BM1214" s="16"/>
      <c r="BN1214" s="16"/>
      <c r="BO1214" s="18"/>
    </row>
    <row r="1215" spans="1:69" s="14" customFormat="1" x14ac:dyDescent="0.3">
      <c r="A1215" s="20">
        <v>1239</v>
      </c>
      <c r="B1215" s="2" t="s">
        <v>358</v>
      </c>
      <c r="C1215" s="2">
        <v>2017</v>
      </c>
      <c r="D1215" s="2" t="s">
        <v>203</v>
      </c>
      <c r="E1215" s="10" t="s">
        <v>359</v>
      </c>
      <c r="F1215" s="20" t="s">
        <v>29</v>
      </c>
      <c r="G1215" s="2" t="s">
        <v>362</v>
      </c>
      <c r="H1215" s="2" t="str">
        <f>'PFAS Properties'!$B$60</f>
        <v>PFHxPA</v>
      </c>
      <c r="I1215" s="2" t="str">
        <f>'PFAS Properties'!$C$60</f>
        <v>PFPA</v>
      </c>
      <c r="J1215" s="2" t="str">
        <f>'PFAS Properties'!$D$60</f>
        <v>C6H2F13O3P</v>
      </c>
      <c r="K1215" s="25">
        <f>'PFAS Properties'!$P$60</f>
        <v>399.95329999999996</v>
      </c>
      <c r="L1215" s="2">
        <f>'PFAS Properties'!$X$60</f>
        <v>2.1</v>
      </c>
      <c r="M1215" s="2">
        <f>'PFAS Properties'!$Y$60</f>
        <v>2.4</v>
      </c>
      <c r="N1215" s="33">
        <v>0</v>
      </c>
      <c r="O1215" s="33">
        <v>0</v>
      </c>
      <c r="P1215" s="33">
        <v>0</v>
      </c>
      <c r="Q1215" s="33">
        <f t="shared" si="584"/>
        <v>7.8804366129203024E-3</v>
      </c>
      <c r="R1215" s="33">
        <f t="shared" si="585"/>
        <v>0.9920881908038528</v>
      </c>
      <c r="S1215" s="33">
        <f t="shared" si="586"/>
        <v>3.1372583226958831E-5</v>
      </c>
      <c r="T1215" s="8">
        <f t="shared" si="587"/>
        <v>1</v>
      </c>
      <c r="U1215" s="33">
        <f t="shared" si="588"/>
        <v>0</v>
      </c>
      <c r="V1215" s="33">
        <f t="shared" si="589"/>
        <v>-1.992056818220626</v>
      </c>
      <c r="W1215" s="33">
        <f t="shared" si="590"/>
        <v>397.96124318177937</v>
      </c>
      <c r="X1215" s="33">
        <v>96485</v>
      </c>
      <c r="Y1215" s="16">
        <f t="shared" si="591"/>
        <v>-482.97065455246604</v>
      </c>
      <c r="Z1215" s="16">
        <v>6</v>
      </c>
      <c r="AA1215" s="16">
        <v>13</v>
      </c>
      <c r="AB1215" s="8">
        <f t="shared" si="592"/>
        <v>0.291497975708502</v>
      </c>
      <c r="AC1215" s="16">
        <f t="shared" si="593"/>
        <v>61.757210154285524</v>
      </c>
      <c r="AD1215" s="20">
        <f>'PFAS Properties'!$W$60</f>
        <v>6</v>
      </c>
      <c r="AE1215" s="8">
        <f>'PFAS Properties'!$S$60</f>
        <v>3.8720979742742268</v>
      </c>
      <c r="AF1215" s="2">
        <f>'PFAS Properties'!$V$60</f>
        <v>3</v>
      </c>
      <c r="AG1215" s="24">
        <v>4.5</v>
      </c>
      <c r="AH1215" s="2" t="s">
        <v>363</v>
      </c>
      <c r="AI1215" s="2" t="s">
        <v>363</v>
      </c>
      <c r="AJ1215" s="2" t="s">
        <v>363</v>
      </c>
      <c r="AK1215" s="2" t="s">
        <v>363</v>
      </c>
      <c r="AL1215" s="2" t="s">
        <v>363</v>
      </c>
      <c r="AM1215" s="2" t="s">
        <v>363</v>
      </c>
      <c r="AN1215" s="2" t="s">
        <v>363</v>
      </c>
      <c r="AO1215" s="2" t="s">
        <v>363</v>
      </c>
      <c r="AP1215" s="72">
        <v>21.496500000000001</v>
      </c>
      <c r="AQ1215" s="70" t="s">
        <v>752</v>
      </c>
      <c r="AR1215" s="71">
        <v>41.737499999999997</v>
      </c>
      <c r="AS1215" s="71">
        <v>35.036999999999999</v>
      </c>
      <c r="AT1215" s="71">
        <v>21.971</v>
      </c>
      <c r="AU1215" s="70" t="s">
        <v>752</v>
      </c>
      <c r="AV1215" s="16">
        <f t="shared" si="594"/>
        <v>98.745499999999993</v>
      </c>
      <c r="AW1215" s="20">
        <v>45.7</v>
      </c>
      <c r="AX1215" s="8">
        <f t="shared" si="595"/>
        <v>0.45700000000000002</v>
      </c>
      <c r="AY1215" s="8" t="s">
        <v>364</v>
      </c>
      <c r="AZ1215" s="16">
        <v>100</v>
      </c>
      <c r="BA1215" s="16" t="s">
        <v>55</v>
      </c>
      <c r="BB1215" s="16">
        <v>500</v>
      </c>
      <c r="BC1215" s="16">
        <v>50000</v>
      </c>
      <c r="BD1215" s="18">
        <f>10^0.55</f>
        <v>3.5481338923357555</v>
      </c>
      <c r="BE1215" s="16">
        <f t="shared" si="596"/>
        <v>7.7639691298375393</v>
      </c>
      <c r="BF1215" s="16">
        <f t="shared" si="597"/>
        <v>0.89008379993014985</v>
      </c>
      <c r="BG1215" s="8">
        <f t="shared" si="598"/>
        <v>0.55000000000000016</v>
      </c>
      <c r="BH1215" s="13" t="s">
        <v>367</v>
      </c>
      <c r="BI1215" s="8"/>
      <c r="BJ1215" s="16"/>
      <c r="BK1215" s="8"/>
      <c r="BL1215" s="13"/>
      <c r="BM1215" s="16"/>
      <c r="BN1215" s="16"/>
      <c r="BO1215" s="18"/>
    </row>
    <row r="1216" spans="1:69" s="14" customFormat="1" x14ac:dyDescent="0.3">
      <c r="A1216" s="20">
        <v>1240</v>
      </c>
      <c r="B1216" s="2" t="s">
        <v>358</v>
      </c>
      <c r="C1216" s="2">
        <v>2017</v>
      </c>
      <c r="D1216" s="2" t="s">
        <v>203</v>
      </c>
      <c r="E1216" s="10" t="s">
        <v>359</v>
      </c>
      <c r="F1216" s="20" t="s">
        <v>29</v>
      </c>
      <c r="G1216" s="2" t="s">
        <v>360</v>
      </c>
      <c r="H1216" s="2" t="str">
        <f>'PFAS Properties'!$B$61</f>
        <v>PFOPA</v>
      </c>
      <c r="I1216" s="2" t="str">
        <f>'PFAS Properties'!$C$61</f>
        <v>PFPA</v>
      </c>
      <c r="J1216" s="2" t="str">
        <f>'PFAS Properties'!$D$61</f>
        <v>C8H2F17O3P</v>
      </c>
      <c r="K1216" s="25">
        <f>'PFAS Properties'!$P$61</f>
        <v>499.94689999999997</v>
      </c>
      <c r="L1216" s="2">
        <f>'PFAS Properties'!$X$61</f>
        <v>2.4</v>
      </c>
      <c r="M1216" s="2">
        <f>'PFAS Properties'!$Y$61</f>
        <v>4.5</v>
      </c>
      <c r="N1216" s="33">
        <v>0</v>
      </c>
      <c r="O1216" s="33">
        <v>0</v>
      </c>
      <c r="P1216" s="33">
        <v>0</v>
      </c>
      <c r="Q1216" s="33">
        <f t="shared" si="584"/>
        <v>0.16629369127298774</v>
      </c>
      <c r="R1216" s="33">
        <f t="shared" si="585"/>
        <v>0.83344275098776444</v>
      </c>
      <c r="S1216" s="33">
        <f t="shared" si="586"/>
        <v>2.6355773924778835E-4</v>
      </c>
      <c r="T1216" s="8">
        <f t="shared" si="587"/>
        <v>1</v>
      </c>
      <c r="U1216" s="33">
        <f t="shared" si="588"/>
        <v>0</v>
      </c>
      <c r="V1216" s="33">
        <f t="shared" si="589"/>
        <v>-1.8331791932485166</v>
      </c>
      <c r="W1216" s="33">
        <f t="shared" si="590"/>
        <v>498.11372080675142</v>
      </c>
      <c r="X1216" s="33">
        <v>96485</v>
      </c>
      <c r="Y1216" s="16">
        <f t="shared" si="591"/>
        <v>-355.08817981186149</v>
      </c>
      <c r="Z1216" s="16">
        <v>8</v>
      </c>
      <c r="AA1216" s="16">
        <v>17</v>
      </c>
      <c r="AB1216" s="8">
        <f t="shared" si="592"/>
        <v>0.29721362229102166</v>
      </c>
      <c r="AC1216" s="16">
        <f t="shared" si="593"/>
        <v>64.606861248664615</v>
      </c>
      <c r="AD1216" s="20">
        <f>'PFAS Properties'!$W$61</f>
        <v>8</v>
      </c>
      <c r="AE1216" s="8">
        <f>'PFAS Properties'!$S$61</f>
        <v>2.0969100130080562</v>
      </c>
      <c r="AF1216" s="2">
        <f>'PFAS Properties'!$V$61</f>
        <v>4.3</v>
      </c>
      <c r="AG1216" s="24">
        <v>5.2</v>
      </c>
      <c r="AH1216" s="2" t="s">
        <v>363</v>
      </c>
      <c r="AI1216" s="2" t="s">
        <v>363</v>
      </c>
      <c r="AJ1216" s="2" t="s">
        <v>363</v>
      </c>
      <c r="AK1216" s="2" t="s">
        <v>363</v>
      </c>
      <c r="AL1216" s="2" t="s">
        <v>363</v>
      </c>
      <c r="AM1216" s="2" t="s">
        <v>363</v>
      </c>
      <c r="AN1216" s="2" t="s">
        <v>363</v>
      </c>
      <c r="AO1216" s="2" t="s">
        <v>363</v>
      </c>
      <c r="AP1216" s="15">
        <v>9.6</v>
      </c>
      <c r="AQ1216" s="2" t="s">
        <v>363</v>
      </c>
      <c r="AR1216" s="16">
        <v>63</v>
      </c>
      <c r="AS1216" s="16">
        <v>32</v>
      </c>
      <c r="AT1216" s="16">
        <v>5</v>
      </c>
      <c r="AU1216" s="2" t="s">
        <v>363</v>
      </c>
      <c r="AV1216" s="16">
        <f t="shared" si="594"/>
        <v>100</v>
      </c>
      <c r="AW1216" s="20">
        <v>1</v>
      </c>
      <c r="AX1216" s="8">
        <f t="shared" si="595"/>
        <v>0.01</v>
      </c>
      <c r="AY1216" s="13" t="s">
        <v>364</v>
      </c>
      <c r="AZ1216" s="16">
        <f>5/0.05</f>
        <v>100</v>
      </c>
      <c r="BA1216" s="16" t="s">
        <v>55</v>
      </c>
      <c r="BB1216" s="16">
        <v>500</v>
      </c>
      <c r="BC1216" s="16">
        <v>50000</v>
      </c>
      <c r="BD1216" s="18">
        <f>10^0.73</f>
        <v>5.3703179637025285</v>
      </c>
      <c r="BE1216" s="16">
        <f t="shared" si="596"/>
        <v>537.03179637025278</v>
      </c>
      <c r="BF1216" s="16">
        <f t="shared" si="597"/>
        <v>2.73</v>
      </c>
      <c r="BG1216" s="8">
        <f t="shared" si="598"/>
        <v>0.73000000000000009</v>
      </c>
      <c r="BH1216" s="13" t="s">
        <v>367</v>
      </c>
      <c r="BI1216" s="8"/>
      <c r="BJ1216" s="16"/>
      <c r="BK1216" s="8"/>
      <c r="BL1216" s="13"/>
      <c r="BM1216" s="16"/>
      <c r="BN1216" s="16"/>
      <c r="BO1216" s="18"/>
    </row>
    <row r="1217" spans="1:69" s="14" customFormat="1" x14ac:dyDescent="0.3">
      <c r="A1217" s="20">
        <v>1241</v>
      </c>
      <c r="B1217" s="2" t="s">
        <v>358</v>
      </c>
      <c r="C1217" s="2">
        <v>2017</v>
      </c>
      <c r="D1217" s="2" t="s">
        <v>203</v>
      </c>
      <c r="E1217" s="10" t="s">
        <v>359</v>
      </c>
      <c r="F1217" s="20" t="s">
        <v>29</v>
      </c>
      <c r="G1217" s="2" t="s">
        <v>88</v>
      </c>
      <c r="H1217" s="2" t="str">
        <f>'PFAS Properties'!$B$61</f>
        <v>PFOPA</v>
      </c>
      <c r="I1217" s="2" t="str">
        <f>'PFAS Properties'!$C$61</f>
        <v>PFPA</v>
      </c>
      <c r="J1217" s="2" t="str">
        <f>'PFAS Properties'!$D$61</f>
        <v>C8H2F17O3P</v>
      </c>
      <c r="K1217" s="25">
        <f>'PFAS Properties'!$P$61</f>
        <v>499.94689999999997</v>
      </c>
      <c r="L1217" s="2">
        <f>'PFAS Properties'!$X$61</f>
        <v>2.4</v>
      </c>
      <c r="M1217" s="2">
        <f>'PFAS Properties'!$Y$61</f>
        <v>4.5</v>
      </c>
      <c r="N1217" s="33">
        <v>0</v>
      </c>
      <c r="O1217" s="33">
        <v>0</v>
      </c>
      <c r="P1217" s="33">
        <v>0</v>
      </c>
      <c r="Q1217" s="33">
        <f t="shared" si="584"/>
        <v>7.8806799317604221E-3</v>
      </c>
      <c r="R1217" s="33">
        <f t="shared" si="585"/>
        <v>0.99211882283095132</v>
      </c>
      <c r="S1217" s="33">
        <f t="shared" si="586"/>
        <v>4.9723728824419116E-7</v>
      </c>
      <c r="T1217" s="8">
        <f t="shared" si="587"/>
        <v>1</v>
      </c>
      <c r="U1217" s="33">
        <f t="shared" si="588"/>
        <v>0</v>
      </c>
      <c r="V1217" s="33">
        <f t="shared" si="589"/>
        <v>-1.992118325593663</v>
      </c>
      <c r="W1217" s="33">
        <f t="shared" si="590"/>
        <v>497.95478167440632</v>
      </c>
      <c r="X1217" s="33">
        <v>96485</v>
      </c>
      <c r="Y1217" s="16">
        <f t="shared" si="591"/>
        <v>-385.99797354809431</v>
      </c>
      <c r="Z1217" s="16">
        <v>8</v>
      </c>
      <c r="AA1217" s="16">
        <v>17</v>
      </c>
      <c r="AB1217" s="8">
        <f t="shared" si="592"/>
        <v>0.29721362229102166</v>
      </c>
      <c r="AC1217" s="16">
        <f t="shared" si="593"/>
        <v>64.606861248664615</v>
      </c>
      <c r="AD1217" s="20">
        <f>'PFAS Properties'!$W$61</f>
        <v>8</v>
      </c>
      <c r="AE1217" s="8">
        <f>'PFAS Properties'!$S$61</f>
        <v>2.0969100130080562</v>
      </c>
      <c r="AF1217" s="2">
        <f>'PFAS Properties'!$V$61</f>
        <v>4.3</v>
      </c>
      <c r="AG1217" s="24">
        <v>6.6</v>
      </c>
      <c r="AH1217" s="2" t="s">
        <v>363</v>
      </c>
      <c r="AI1217" s="2" t="s">
        <v>363</v>
      </c>
      <c r="AJ1217" s="2" t="s">
        <v>363</v>
      </c>
      <c r="AK1217" s="2" t="s">
        <v>363</v>
      </c>
      <c r="AL1217" s="2" t="s">
        <v>363</v>
      </c>
      <c r="AM1217" s="2" t="s">
        <v>363</v>
      </c>
      <c r="AN1217" s="2" t="s">
        <v>363</v>
      </c>
      <c r="AO1217" s="2" t="s">
        <v>363</v>
      </c>
      <c r="AP1217" s="15">
        <v>33.5</v>
      </c>
      <c r="AQ1217" s="2" t="s">
        <v>363</v>
      </c>
      <c r="AR1217" s="16">
        <v>25</v>
      </c>
      <c r="AS1217" s="16">
        <v>38</v>
      </c>
      <c r="AT1217" s="16">
        <v>37</v>
      </c>
      <c r="AU1217" s="2" t="s">
        <v>363</v>
      </c>
      <c r="AV1217" s="16">
        <f t="shared" si="594"/>
        <v>100</v>
      </c>
      <c r="AW1217" s="20">
        <v>1.1000000000000001</v>
      </c>
      <c r="AX1217" s="8">
        <f t="shared" si="595"/>
        <v>1.1000000000000001E-2</v>
      </c>
      <c r="AY1217" s="13" t="s">
        <v>364</v>
      </c>
      <c r="AZ1217" s="16">
        <v>100</v>
      </c>
      <c r="BA1217" s="16" t="s">
        <v>55</v>
      </c>
      <c r="BB1217" s="16">
        <v>500</v>
      </c>
      <c r="BC1217" s="16">
        <v>50000</v>
      </c>
      <c r="BD1217" s="18">
        <f>10^0.93</f>
        <v>8.5113803820237681</v>
      </c>
      <c r="BE1217" s="16">
        <f t="shared" si="596"/>
        <v>773.76185291125159</v>
      </c>
      <c r="BF1217" s="16">
        <f t="shared" si="597"/>
        <v>2.8886073148417752</v>
      </c>
      <c r="BG1217" s="8">
        <f t="shared" si="598"/>
        <v>0.93000000000000016</v>
      </c>
      <c r="BH1217" s="13" t="s">
        <v>367</v>
      </c>
      <c r="BI1217" s="8"/>
      <c r="BJ1217" s="16"/>
      <c r="BK1217" s="8"/>
      <c r="BL1217" s="13"/>
      <c r="BM1217" s="16"/>
      <c r="BN1217" s="16"/>
      <c r="BO1217" s="18"/>
    </row>
    <row r="1218" spans="1:69" s="14" customFormat="1" x14ac:dyDescent="0.3">
      <c r="A1218" s="20">
        <v>1242</v>
      </c>
      <c r="B1218" s="2" t="s">
        <v>358</v>
      </c>
      <c r="C1218" s="2">
        <v>2017</v>
      </c>
      <c r="D1218" s="2" t="s">
        <v>203</v>
      </c>
      <c r="E1218" s="10" t="s">
        <v>359</v>
      </c>
      <c r="F1218" s="20" t="s">
        <v>29</v>
      </c>
      <c r="G1218" s="2" t="s">
        <v>365</v>
      </c>
      <c r="H1218" s="2" t="str">
        <f>'PFAS Properties'!$B$61</f>
        <v>PFOPA</v>
      </c>
      <c r="I1218" s="2" t="str">
        <f>'PFAS Properties'!$C$61</f>
        <v>PFPA</v>
      </c>
      <c r="J1218" s="2" t="str">
        <f>'PFAS Properties'!$D$61</f>
        <v>C8H2F17O3P</v>
      </c>
      <c r="K1218" s="25">
        <f>'PFAS Properties'!$P$61</f>
        <v>499.94689999999997</v>
      </c>
      <c r="L1218" s="2">
        <f>'PFAS Properties'!$X$61</f>
        <v>2.4</v>
      </c>
      <c r="M1218" s="2">
        <f>'PFAS Properties'!$Y$61</f>
        <v>4.5</v>
      </c>
      <c r="N1218" s="33">
        <v>0</v>
      </c>
      <c r="O1218" s="33">
        <v>0</v>
      </c>
      <c r="P1218" s="33">
        <v>0</v>
      </c>
      <c r="Q1218" s="33">
        <f t="shared" si="584"/>
        <v>3.152308933652738E-3</v>
      </c>
      <c r="R1218" s="33">
        <f t="shared" si="585"/>
        <v>0.99684761188392701</v>
      </c>
      <c r="S1218" s="33">
        <f t="shared" si="586"/>
        <v>7.9182420383687557E-8</v>
      </c>
      <c r="T1218" s="8">
        <f t="shared" si="587"/>
        <v>1</v>
      </c>
      <c r="U1218" s="33">
        <f t="shared" si="588"/>
        <v>0</v>
      </c>
      <c r="V1218" s="33">
        <f t="shared" si="589"/>
        <v>-1.9968475327015067</v>
      </c>
      <c r="W1218" s="33">
        <f t="shared" si="590"/>
        <v>497.95005246729858</v>
      </c>
      <c r="X1218" s="33">
        <v>96485</v>
      </c>
      <c r="Y1218" s="16">
        <f t="shared" si="591"/>
        <v>-386.91799154967987</v>
      </c>
      <c r="Z1218" s="16">
        <v>8</v>
      </c>
      <c r="AA1218" s="16">
        <v>17</v>
      </c>
      <c r="AB1218" s="8">
        <f t="shared" si="592"/>
        <v>0.29721362229102166</v>
      </c>
      <c r="AC1218" s="16">
        <f t="shared" si="593"/>
        <v>64.606861248664615</v>
      </c>
      <c r="AD1218" s="20">
        <f>'PFAS Properties'!$W$61</f>
        <v>8</v>
      </c>
      <c r="AE1218" s="8">
        <f>'PFAS Properties'!$S$61</f>
        <v>2.0969100130080562</v>
      </c>
      <c r="AF1218" s="2">
        <f>'PFAS Properties'!$V$61</f>
        <v>4.3</v>
      </c>
      <c r="AG1218" s="24">
        <v>7</v>
      </c>
      <c r="AH1218" s="2" t="s">
        <v>363</v>
      </c>
      <c r="AI1218" s="2" t="s">
        <v>363</v>
      </c>
      <c r="AJ1218" s="2" t="s">
        <v>363</v>
      </c>
      <c r="AK1218" s="2" t="s">
        <v>363</v>
      </c>
      <c r="AL1218" s="2" t="s">
        <v>363</v>
      </c>
      <c r="AM1218" s="2" t="s">
        <v>363</v>
      </c>
      <c r="AN1218" s="2" t="s">
        <v>363</v>
      </c>
      <c r="AO1218" s="2" t="s">
        <v>363</v>
      </c>
      <c r="AP1218" s="15">
        <v>23.3</v>
      </c>
      <c r="AQ1218" s="2" t="s">
        <v>363</v>
      </c>
      <c r="AR1218" s="16">
        <v>28</v>
      </c>
      <c r="AS1218" s="16">
        <v>48</v>
      </c>
      <c r="AT1218" s="16">
        <v>22</v>
      </c>
      <c r="AU1218" s="2" t="s">
        <v>363</v>
      </c>
      <c r="AV1218" s="16">
        <f t="shared" si="594"/>
        <v>98</v>
      </c>
      <c r="AW1218" s="20">
        <v>1.1000000000000001</v>
      </c>
      <c r="AX1218" s="8">
        <f t="shared" si="595"/>
        <v>1.1000000000000001E-2</v>
      </c>
      <c r="AY1218" s="8" t="s">
        <v>364</v>
      </c>
      <c r="AZ1218" s="16">
        <v>100</v>
      </c>
      <c r="BA1218" s="16" t="s">
        <v>55</v>
      </c>
      <c r="BB1218" s="16">
        <v>500</v>
      </c>
      <c r="BC1218" s="16">
        <v>50000</v>
      </c>
      <c r="BD1218" s="18">
        <f>10^0.73</f>
        <v>5.3703179637025285</v>
      </c>
      <c r="BE1218" s="16">
        <f t="shared" si="596"/>
        <v>488.21072397295706</v>
      </c>
      <c r="BF1218" s="16">
        <f t="shared" si="597"/>
        <v>2.6886073148417751</v>
      </c>
      <c r="BG1218" s="8">
        <f t="shared" si="598"/>
        <v>0.73000000000000009</v>
      </c>
      <c r="BH1218" s="13" t="s">
        <v>367</v>
      </c>
      <c r="BI1218" s="8"/>
      <c r="BJ1218" s="16"/>
      <c r="BK1218" s="8"/>
      <c r="BL1218" s="13"/>
      <c r="BM1218" s="16"/>
      <c r="BN1218" s="16"/>
      <c r="BO1218" s="18"/>
    </row>
    <row r="1219" spans="1:69" s="14" customFormat="1" x14ac:dyDescent="0.3">
      <c r="A1219" s="20">
        <v>1243</v>
      </c>
      <c r="B1219" s="2" t="s">
        <v>358</v>
      </c>
      <c r="C1219" s="2">
        <v>2017</v>
      </c>
      <c r="D1219" s="2" t="s">
        <v>203</v>
      </c>
      <c r="E1219" s="10" t="s">
        <v>359</v>
      </c>
      <c r="F1219" s="20" t="s">
        <v>29</v>
      </c>
      <c r="G1219" s="2" t="s">
        <v>89</v>
      </c>
      <c r="H1219" s="2" t="str">
        <f>'PFAS Properties'!$B$61</f>
        <v>PFOPA</v>
      </c>
      <c r="I1219" s="2" t="str">
        <f>'PFAS Properties'!$C$61</f>
        <v>PFPA</v>
      </c>
      <c r="J1219" s="2" t="str">
        <f>'PFAS Properties'!$D$61</f>
        <v>C8H2F17O3P</v>
      </c>
      <c r="K1219" s="25">
        <f>'PFAS Properties'!$P$61</f>
        <v>499.94689999999997</v>
      </c>
      <c r="L1219" s="2">
        <f>'PFAS Properties'!$X$61</f>
        <v>2.4</v>
      </c>
      <c r="M1219" s="2">
        <f>'PFAS Properties'!$Y$61</f>
        <v>4.5</v>
      </c>
      <c r="N1219" s="33">
        <v>0</v>
      </c>
      <c r="O1219" s="33">
        <v>0</v>
      </c>
      <c r="P1219" s="33">
        <v>0</v>
      </c>
      <c r="Q1219" s="33">
        <f t="shared" si="584"/>
        <v>0.80688306853771696</v>
      </c>
      <c r="R1219" s="33">
        <f t="shared" si="585"/>
        <v>0.16099433792397572</v>
      </c>
      <c r="S1219" s="33">
        <f t="shared" si="586"/>
        <v>3.212259353830741E-2</v>
      </c>
      <c r="T1219" s="8">
        <f t="shared" si="587"/>
        <v>1</v>
      </c>
      <c r="U1219" s="33">
        <f t="shared" si="588"/>
        <v>0</v>
      </c>
      <c r="V1219" s="33">
        <f t="shared" si="589"/>
        <v>-1.1288717443856684</v>
      </c>
      <c r="W1219" s="33">
        <f t="shared" si="590"/>
        <v>498.81802825561431</v>
      </c>
      <c r="X1219" s="33">
        <v>96485</v>
      </c>
      <c r="Y1219" s="16">
        <f t="shared" si="591"/>
        <v>-218.35455835055879</v>
      </c>
      <c r="Z1219" s="16">
        <v>8</v>
      </c>
      <c r="AA1219" s="16">
        <v>17</v>
      </c>
      <c r="AB1219" s="8">
        <f t="shared" si="592"/>
        <v>0.29721362229102166</v>
      </c>
      <c r="AC1219" s="16">
        <f t="shared" si="593"/>
        <v>64.606861248664615</v>
      </c>
      <c r="AD1219" s="20">
        <f>'PFAS Properties'!$W$61</f>
        <v>8</v>
      </c>
      <c r="AE1219" s="8">
        <f>'PFAS Properties'!$S$61</f>
        <v>2.0969100130080562</v>
      </c>
      <c r="AF1219" s="2">
        <f>'PFAS Properties'!$V$61</f>
        <v>4.3</v>
      </c>
      <c r="AG1219" s="24">
        <v>3.8</v>
      </c>
      <c r="AH1219" s="2" t="s">
        <v>363</v>
      </c>
      <c r="AI1219" s="2" t="s">
        <v>363</v>
      </c>
      <c r="AJ1219" s="2" t="s">
        <v>363</v>
      </c>
      <c r="AK1219" s="2" t="s">
        <v>363</v>
      </c>
      <c r="AL1219" s="2" t="s">
        <v>363</v>
      </c>
      <c r="AM1219" s="2" t="s">
        <v>363</v>
      </c>
      <c r="AN1219" s="2" t="s">
        <v>363</v>
      </c>
      <c r="AO1219" s="2" t="s">
        <v>363</v>
      </c>
      <c r="AP1219" s="15">
        <v>23.89</v>
      </c>
      <c r="AQ1219" s="2" t="s">
        <v>363</v>
      </c>
      <c r="AR1219" s="16">
        <v>53</v>
      </c>
      <c r="AS1219" s="16">
        <v>41</v>
      </c>
      <c r="AT1219" s="16">
        <v>6</v>
      </c>
      <c r="AU1219" s="2" t="s">
        <v>363</v>
      </c>
      <c r="AV1219" s="16">
        <f t="shared" si="594"/>
        <v>100</v>
      </c>
      <c r="AW1219" s="20">
        <v>3.6</v>
      </c>
      <c r="AX1219" s="8">
        <f t="shared" si="595"/>
        <v>3.6000000000000004E-2</v>
      </c>
      <c r="AY1219" s="13" t="s">
        <v>364</v>
      </c>
      <c r="AZ1219" s="16">
        <v>100</v>
      </c>
      <c r="BA1219" s="16" t="s">
        <v>55</v>
      </c>
      <c r="BB1219" s="16">
        <v>500</v>
      </c>
      <c r="BC1219" s="16">
        <v>50000</v>
      </c>
      <c r="BD1219" s="18">
        <f>10^1.88</f>
        <v>75.857757502918361</v>
      </c>
      <c r="BE1219" s="16">
        <f t="shared" si="596"/>
        <v>2107.1599306366211</v>
      </c>
      <c r="BF1219" s="16">
        <f t="shared" si="597"/>
        <v>3.3236974992327126</v>
      </c>
      <c r="BG1219" s="8">
        <f t="shared" si="598"/>
        <v>1.88</v>
      </c>
      <c r="BH1219" s="13" t="s">
        <v>367</v>
      </c>
      <c r="BI1219" s="8"/>
      <c r="BJ1219" s="16"/>
      <c r="BK1219" s="8"/>
      <c r="BL1219" s="13"/>
      <c r="BM1219" s="16"/>
      <c r="BN1219" s="16"/>
      <c r="BO1219" s="18"/>
    </row>
    <row r="1220" spans="1:69" s="14" customFormat="1" x14ac:dyDescent="0.3">
      <c r="A1220" s="20">
        <v>1244</v>
      </c>
      <c r="B1220" s="2" t="s">
        <v>358</v>
      </c>
      <c r="C1220" s="2">
        <v>2017</v>
      </c>
      <c r="D1220" s="2" t="s">
        <v>203</v>
      </c>
      <c r="E1220" s="10" t="s">
        <v>359</v>
      </c>
      <c r="F1220" s="20" t="s">
        <v>29</v>
      </c>
      <c r="G1220" s="2" t="s">
        <v>361</v>
      </c>
      <c r="H1220" s="2" t="str">
        <f>'PFAS Properties'!$B$61</f>
        <v>PFOPA</v>
      </c>
      <c r="I1220" s="2" t="str">
        <f>'PFAS Properties'!$C$61</f>
        <v>PFPA</v>
      </c>
      <c r="J1220" s="2" t="str">
        <f>'PFAS Properties'!$D$61</f>
        <v>C8H2F17O3P</v>
      </c>
      <c r="K1220" s="25">
        <f>'PFAS Properties'!$P$61</f>
        <v>499.94689999999997</v>
      </c>
      <c r="L1220" s="2">
        <f>'PFAS Properties'!$X$61</f>
        <v>2.4</v>
      </c>
      <c r="M1220" s="2">
        <f>'PFAS Properties'!$Y$61</f>
        <v>4.5</v>
      </c>
      <c r="N1220" s="33">
        <v>0</v>
      </c>
      <c r="O1220" s="33">
        <v>0</v>
      </c>
      <c r="P1220" s="33">
        <v>0</v>
      </c>
      <c r="Q1220" s="33">
        <f t="shared" si="584"/>
        <v>0.55422288514639861</v>
      </c>
      <c r="R1220" s="33">
        <f t="shared" si="585"/>
        <v>0.44023488600213739</v>
      </c>
      <c r="S1220" s="33">
        <f t="shared" si="586"/>
        <v>5.5422288514639815E-3</v>
      </c>
      <c r="T1220" s="8">
        <f t="shared" si="587"/>
        <v>1</v>
      </c>
      <c r="U1220" s="33">
        <f t="shared" si="588"/>
        <v>0</v>
      </c>
      <c r="V1220" s="33">
        <f t="shared" si="589"/>
        <v>-1.4346926571506735</v>
      </c>
      <c r="W1220" s="33">
        <f t="shared" si="590"/>
        <v>498.51220734284925</v>
      </c>
      <c r="X1220" s="33">
        <v>96485</v>
      </c>
      <c r="Y1220" s="16">
        <f t="shared" si="591"/>
        <v>-277.67889930522955</v>
      </c>
      <c r="Z1220" s="16">
        <v>8</v>
      </c>
      <c r="AA1220" s="16">
        <v>17</v>
      </c>
      <c r="AB1220" s="8">
        <f t="shared" si="592"/>
        <v>0.29721362229102166</v>
      </c>
      <c r="AC1220" s="16">
        <f t="shared" si="593"/>
        <v>64.606861248664615</v>
      </c>
      <c r="AD1220" s="20">
        <f>'PFAS Properties'!$W$61</f>
        <v>8</v>
      </c>
      <c r="AE1220" s="8">
        <f>'PFAS Properties'!$S$61</f>
        <v>2.0969100130080562</v>
      </c>
      <c r="AF1220" s="2">
        <f>'PFAS Properties'!$V$61</f>
        <v>4.3</v>
      </c>
      <c r="AG1220" s="24">
        <v>4.4000000000000004</v>
      </c>
      <c r="AH1220" s="2" t="s">
        <v>363</v>
      </c>
      <c r="AI1220" s="2" t="s">
        <v>363</v>
      </c>
      <c r="AJ1220" s="2" t="s">
        <v>363</v>
      </c>
      <c r="AK1220" s="2" t="s">
        <v>363</v>
      </c>
      <c r="AL1220" s="2" t="s">
        <v>363</v>
      </c>
      <c r="AM1220" s="2" t="s">
        <v>363</v>
      </c>
      <c r="AN1220" s="2" t="s">
        <v>363</v>
      </c>
      <c r="AO1220" s="2" t="s">
        <v>363</v>
      </c>
      <c r="AP1220" s="15">
        <v>11.3</v>
      </c>
      <c r="AQ1220" s="2" t="s">
        <v>363</v>
      </c>
      <c r="AR1220" s="16">
        <v>58</v>
      </c>
      <c r="AS1220" s="16">
        <v>20</v>
      </c>
      <c r="AT1220" s="16">
        <v>22</v>
      </c>
      <c r="AU1220" s="2" t="s">
        <v>363</v>
      </c>
      <c r="AV1220" s="16">
        <f t="shared" si="594"/>
        <v>100</v>
      </c>
      <c r="AW1220" s="20">
        <v>10.199999999999999</v>
      </c>
      <c r="AX1220" s="8">
        <f t="shared" si="595"/>
        <v>0.10199999999999999</v>
      </c>
      <c r="AY1220" s="8" t="s">
        <v>364</v>
      </c>
      <c r="AZ1220" s="16">
        <v>100</v>
      </c>
      <c r="BA1220" s="16" t="s">
        <v>55</v>
      </c>
      <c r="BB1220" s="16">
        <v>500</v>
      </c>
      <c r="BC1220" s="16">
        <v>50000</v>
      </c>
      <c r="BD1220" s="18">
        <f>10^1.2</f>
        <v>15.848931924611136</v>
      </c>
      <c r="BE1220" s="16">
        <f t="shared" si="596"/>
        <v>155.38168553540331</v>
      </c>
      <c r="BF1220" s="16">
        <f t="shared" si="597"/>
        <v>2.1913998282380827</v>
      </c>
      <c r="BG1220" s="8">
        <f t="shared" si="598"/>
        <v>1.2</v>
      </c>
      <c r="BH1220" s="13" t="s">
        <v>367</v>
      </c>
      <c r="BI1220" s="8"/>
      <c r="BJ1220" s="16"/>
      <c r="BK1220" s="8"/>
      <c r="BL1220" s="13"/>
      <c r="BM1220" s="16"/>
      <c r="BN1220" s="16"/>
      <c r="BO1220" s="18"/>
    </row>
    <row r="1221" spans="1:69" s="14" customFormat="1" x14ac:dyDescent="0.3">
      <c r="A1221" s="20">
        <v>1245</v>
      </c>
      <c r="B1221" s="2" t="s">
        <v>358</v>
      </c>
      <c r="C1221" s="2">
        <v>2017</v>
      </c>
      <c r="D1221" s="2" t="s">
        <v>203</v>
      </c>
      <c r="E1221" s="10" t="s">
        <v>359</v>
      </c>
      <c r="F1221" s="20" t="s">
        <v>29</v>
      </c>
      <c r="G1221" s="2" t="s">
        <v>274</v>
      </c>
      <c r="H1221" s="2" t="str">
        <f>'PFAS Properties'!$B$61</f>
        <v>PFOPA</v>
      </c>
      <c r="I1221" s="2" t="str">
        <f>'PFAS Properties'!$C$61</f>
        <v>PFPA</v>
      </c>
      <c r="J1221" s="2" t="str">
        <f>'PFAS Properties'!$D$61</f>
        <v>C8H2F17O3P</v>
      </c>
      <c r="K1221" s="25">
        <f>'PFAS Properties'!$P$61</f>
        <v>499.94689999999997</v>
      </c>
      <c r="L1221" s="2">
        <f>'PFAS Properties'!$X$61</f>
        <v>2.4</v>
      </c>
      <c r="M1221" s="2">
        <f>'PFAS Properties'!$Y$61</f>
        <v>4.5</v>
      </c>
      <c r="N1221" s="33">
        <v>0</v>
      </c>
      <c r="O1221" s="33">
        <v>0</v>
      </c>
      <c r="P1221" s="33">
        <v>0</v>
      </c>
      <c r="Q1221" s="33">
        <f t="shared" si="584"/>
        <v>2.4503247752375171E-2</v>
      </c>
      <c r="R1221" s="33">
        <f t="shared" si="585"/>
        <v>0.97549186320694126</v>
      </c>
      <c r="S1221" s="33">
        <f t="shared" si="586"/>
        <v>4.8890406834660091E-6</v>
      </c>
      <c r="T1221" s="8">
        <f t="shared" si="587"/>
        <v>1</v>
      </c>
      <c r="U1221" s="33">
        <f t="shared" si="588"/>
        <v>0</v>
      </c>
      <c r="V1221" s="33">
        <f t="shared" si="589"/>
        <v>-1.9754869741662577</v>
      </c>
      <c r="W1221" s="33">
        <f t="shared" si="590"/>
        <v>497.97141302583361</v>
      </c>
      <c r="X1221" s="33">
        <v>96485</v>
      </c>
      <c r="Y1221" s="16">
        <f t="shared" si="591"/>
        <v>-382.7626560815113</v>
      </c>
      <c r="Z1221" s="16">
        <v>8</v>
      </c>
      <c r="AA1221" s="16">
        <v>17</v>
      </c>
      <c r="AB1221" s="8">
        <f t="shared" si="592"/>
        <v>0.29721362229102166</v>
      </c>
      <c r="AC1221" s="16">
        <f t="shared" si="593"/>
        <v>64.606861248664615</v>
      </c>
      <c r="AD1221" s="20">
        <f>'PFAS Properties'!$W$61</f>
        <v>8</v>
      </c>
      <c r="AE1221" s="8">
        <f>'PFAS Properties'!$S$61</f>
        <v>2.0969100130080562</v>
      </c>
      <c r="AF1221" s="2">
        <f>'PFAS Properties'!$V$61</f>
        <v>4.3</v>
      </c>
      <c r="AG1221" s="24">
        <v>6.1</v>
      </c>
      <c r="AH1221" s="2" t="s">
        <v>363</v>
      </c>
      <c r="AI1221" s="2" t="s">
        <v>363</v>
      </c>
      <c r="AJ1221" s="2" t="s">
        <v>363</v>
      </c>
      <c r="AK1221" s="2" t="s">
        <v>363</v>
      </c>
      <c r="AL1221" s="2" t="s">
        <v>363</v>
      </c>
      <c r="AM1221" s="2" t="s">
        <v>363</v>
      </c>
      <c r="AN1221" s="2" t="s">
        <v>363</v>
      </c>
      <c r="AO1221" s="2" t="s">
        <v>363</v>
      </c>
      <c r="AP1221" s="15">
        <v>24.2</v>
      </c>
      <c r="AQ1221" s="2" t="s">
        <v>363</v>
      </c>
      <c r="AR1221" s="16">
        <v>10</v>
      </c>
      <c r="AS1221" s="16">
        <v>61</v>
      </c>
      <c r="AT1221" s="16">
        <v>27</v>
      </c>
      <c r="AU1221" s="2" t="s">
        <v>363</v>
      </c>
      <c r="AV1221" s="16">
        <f t="shared" si="594"/>
        <v>98</v>
      </c>
      <c r="AW1221" s="20">
        <v>2.63</v>
      </c>
      <c r="AX1221" s="8">
        <f t="shared" si="595"/>
        <v>2.63E-2</v>
      </c>
      <c r="AY1221" s="8" t="s">
        <v>364</v>
      </c>
      <c r="AZ1221" s="16">
        <v>100</v>
      </c>
      <c r="BA1221" s="16" t="s">
        <v>55</v>
      </c>
      <c r="BB1221" s="16">
        <v>500</v>
      </c>
      <c r="BC1221" s="16">
        <v>50000</v>
      </c>
      <c r="BD1221" s="18">
        <f>10^1.09</f>
        <v>12.302687708123818</v>
      </c>
      <c r="BE1221" s="16">
        <f t="shared" si="596"/>
        <v>467.78280259025922</v>
      </c>
      <c r="BF1221" s="16">
        <f t="shared" si="597"/>
        <v>2.6700442515102423</v>
      </c>
      <c r="BG1221" s="8">
        <f t="shared" si="598"/>
        <v>1.0900000000000001</v>
      </c>
      <c r="BH1221" s="13" t="s">
        <v>367</v>
      </c>
      <c r="BI1221" s="8"/>
      <c r="BJ1221" s="16"/>
      <c r="BK1221" s="8"/>
      <c r="BL1221" s="13"/>
      <c r="BM1221" s="16"/>
      <c r="BN1221" s="16"/>
      <c r="BO1221" s="18"/>
    </row>
    <row r="1222" spans="1:69" s="14" customFormat="1" x14ac:dyDescent="0.3">
      <c r="A1222" s="20">
        <v>1246</v>
      </c>
      <c r="B1222" s="2" t="s">
        <v>358</v>
      </c>
      <c r="C1222" s="2">
        <v>2017</v>
      </c>
      <c r="D1222" s="2" t="s">
        <v>203</v>
      </c>
      <c r="E1222" s="10" t="s">
        <v>359</v>
      </c>
      <c r="F1222" s="20" t="s">
        <v>29</v>
      </c>
      <c r="G1222" s="2" t="s">
        <v>362</v>
      </c>
      <c r="H1222" s="2" t="str">
        <f>'PFAS Properties'!$B$61</f>
        <v>PFOPA</v>
      </c>
      <c r="I1222" s="2" t="str">
        <f>'PFAS Properties'!$C$61</f>
        <v>PFPA</v>
      </c>
      <c r="J1222" s="2" t="str">
        <f>'PFAS Properties'!$D$61</f>
        <v>C8H2F17O3P</v>
      </c>
      <c r="K1222" s="25">
        <f>'PFAS Properties'!$P$61</f>
        <v>499.94689999999997</v>
      </c>
      <c r="L1222" s="2">
        <f>'PFAS Properties'!$X$61</f>
        <v>2.4</v>
      </c>
      <c r="M1222" s="2">
        <f>'PFAS Properties'!$Y$61</f>
        <v>4.5</v>
      </c>
      <c r="N1222" s="33">
        <v>0</v>
      </c>
      <c r="O1222" s="33">
        <v>0</v>
      </c>
      <c r="P1222" s="33">
        <v>0</v>
      </c>
      <c r="Q1222" s="33">
        <f t="shared" si="584"/>
        <v>0.49802203517970961</v>
      </c>
      <c r="R1222" s="33">
        <f t="shared" si="585"/>
        <v>0.4980220351797095</v>
      </c>
      <c r="S1222" s="33">
        <f t="shared" si="586"/>
        <v>3.9559296405809272E-3</v>
      </c>
      <c r="T1222" s="8">
        <f t="shared" si="587"/>
        <v>1</v>
      </c>
      <c r="U1222" s="33">
        <f t="shared" si="588"/>
        <v>0</v>
      </c>
      <c r="V1222" s="33">
        <f t="shared" si="589"/>
        <v>-1.4940661055391287</v>
      </c>
      <c r="W1222" s="33">
        <f t="shared" si="590"/>
        <v>498.45283389446087</v>
      </c>
      <c r="X1222" s="33">
        <v>96485</v>
      </c>
      <c r="Y1222" s="16">
        <f t="shared" si="591"/>
        <v>-289.20483221380431</v>
      </c>
      <c r="Z1222" s="16">
        <v>8</v>
      </c>
      <c r="AA1222" s="16">
        <v>17</v>
      </c>
      <c r="AB1222" s="8">
        <f t="shared" si="592"/>
        <v>0.29721362229102166</v>
      </c>
      <c r="AC1222" s="16">
        <f t="shared" si="593"/>
        <v>64.606861248664615</v>
      </c>
      <c r="AD1222" s="20">
        <f>'PFAS Properties'!$W$61</f>
        <v>8</v>
      </c>
      <c r="AE1222" s="8">
        <f>'PFAS Properties'!$S$61</f>
        <v>2.0969100130080562</v>
      </c>
      <c r="AF1222" s="2">
        <f>'PFAS Properties'!$V$61</f>
        <v>4.3</v>
      </c>
      <c r="AG1222" s="24">
        <v>4.5</v>
      </c>
      <c r="AH1222" s="2" t="s">
        <v>363</v>
      </c>
      <c r="AI1222" s="2" t="s">
        <v>363</v>
      </c>
      <c r="AJ1222" s="2" t="s">
        <v>363</v>
      </c>
      <c r="AK1222" s="2" t="s">
        <v>363</v>
      </c>
      <c r="AL1222" s="2" t="s">
        <v>363</v>
      </c>
      <c r="AM1222" s="2" t="s">
        <v>363</v>
      </c>
      <c r="AN1222" s="2" t="s">
        <v>363</v>
      </c>
      <c r="AO1222" s="2" t="s">
        <v>363</v>
      </c>
      <c r="AP1222" s="72">
        <v>21.496500000000001</v>
      </c>
      <c r="AQ1222" s="70" t="s">
        <v>752</v>
      </c>
      <c r="AR1222" s="71">
        <v>41.737499999999997</v>
      </c>
      <c r="AS1222" s="71">
        <v>35.036999999999999</v>
      </c>
      <c r="AT1222" s="71">
        <v>21.971</v>
      </c>
      <c r="AU1222" s="70" t="s">
        <v>752</v>
      </c>
      <c r="AV1222" s="16">
        <f t="shared" si="594"/>
        <v>98.745499999999993</v>
      </c>
      <c r="AW1222" s="20">
        <v>45.7</v>
      </c>
      <c r="AX1222" s="8">
        <f t="shared" si="595"/>
        <v>0.45700000000000002</v>
      </c>
      <c r="AY1222" s="8" t="s">
        <v>364</v>
      </c>
      <c r="AZ1222" s="16">
        <v>100</v>
      </c>
      <c r="BA1222" s="16" t="s">
        <v>55</v>
      </c>
      <c r="BB1222" s="16">
        <v>500</v>
      </c>
      <c r="BC1222" s="16">
        <v>50000</v>
      </c>
      <c r="BD1222" s="18">
        <f>10^1.7</f>
        <v>50.118723362727238</v>
      </c>
      <c r="BE1222" s="16">
        <f t="shared" si="596"/>
        <v>109.66897891187578</v>
      </c>
      <c r="BF1222" s="16">
        <f t="shared" si="597"/>
        <v>2.0400837999301498</v>
      </c>
      <c r="BG1222" s="8">
        <f t="shared" si="598"/>
        <v>1.7000000000000002</v>
      </c>
      <c r="BH1222" s="13" t="s">
        <v>367</v>
      </c>
      <c r="BI1222" s="8"/>
      <c r="BJ1222" s="16"/>
      <c r="BK1222" s="8"/>
      <c r="BL1222" s="13"/>
      <c r="BM1222" s="16"/>
      <c r="BN1222" s="16"/>
      <c r="BO1222" s="18"/>
    </row>
    <row r="1223" spans="1:69" s="14" customFormat="1" x14ac:dyDescent="0.3">
      <c r="A1223" s="20">
        <v>1247</v>
      </c>
      <c r="B1223" s="2" t="s">
        <v>358</v>
      </c>
      <c r="C1223" s="2">
        <v>2017</v>
      </c>
      <c r="D1223" s="2" t="s">
        <v>203</v>
      </c>
      <c r="E1223" s="10" t="s">
        <v>359</v>
      </c>
      <c r="F1223" s="20" t="s">
        <v>29</v>
      </c>
      <c r="G1223" s="2" t="s">
        <v>360</v>
      </c>
      <c r="H1223" s="2" t="str">
        <f>'PFAS Properties'!$B$62</f>
        <v>PFDPA</v>
      </c>
      <c r="I1223" s="2" t="str">
        <f>'PFAS Properties'!$C$62</f>
        <v>PFPA</v>
      </c>
      <c r="J1223" s="2" t="str">
        <f>'PFAS Properties'!$D$62</f>
        <v>C10H2F21O3P</v>
      </c>
      <c r="K1223" s="25">
        <f>'PFAS Properties'!$P$62</f>
        <v>599.94049999999993</v>
      </c>
      <c r="L1223" s="2">
        <f>'PFAS Properties'!$X$62</f>
        <v>3.4</v>
      </c>
      <c r="M1223" s="2">
        <f>'PFAS Properties'!$Y$62</f>
        <v>5.6</v>
      </c>
      <c r="N1223" s="33">
        <v>0</v>
      </c>
      <c r="O1223" s="33">
        <v>0</v>
      </c>
      <c r="P1223" s="33">
        <v>0</v>
      </c>
      <c r="Q1223" s="33">
        <f t="shared" si="584"/>
        <v>0.70723553457380561</v>
      </c>
      <c r="R1223" s="33">
        <f t="shared" si="585"/>
        <v>0.28155553758406815</v>
      </c>
      <c r="S1223" s="33">
        <f t="shared" si="586"/>
        <v>1.1208927842126206E-2</v>
      </c>
      <c r="T1223" s="8">
        <f t="shared" si="587"/>
        <v>1</v>
      </c>
      <c r="U1223" s="33">
        <f t="shared" si="588"/>
        <v>0</v>
      </c>
      <c r="V1223" s="33">
        <f t="shared" si="589"/>
        <v>-1.2703466097419418</v>
      </c>
      <c r="W1223" s="33">
        <f t="shared" si="590"/>
        <v>598.67015339025795</v>
      </c>
      <c r="X1223" s="33">
        <v>96485</v>
      </c>
      <c r="Y1223" s="16">
        <f t="shared" si="591"/>
        <v>-204.73610041663687</v>
      </c>
      <c r="Z1223" s="16">
        <v>10</v>
      </c>
      <c r="AA1223" s="16">
        <v>21</v>
      </c>
      <c r="AB1223" s="8">
        <f t="shared" si="592"/>
        <v>0.3007518796992481</v>
      </c>
      <c r="AC1223" s="16">
        <f t="shared" si="593"/>
        <v>66.50659523736104</v>
      </c>
      <c r="AD1223" s="20">
        <f>'PFAS Properties'!$W$62</f>
        <v>10</v>
      </c>
      <c r="AE1223" s="8">
        <f>'PFAS Properties'!$S$62</f>
        <v>0.30535136944662378</v>
      </c>
      <c r="AF1223" s="2">
        <f>'PFAS Properties'!$V$62</f>
        <v>5.6</v>
      </c>
      <c r="AG1223" s="24">
        <v>5.2</v>
      </c>
      <c r="AH1223" s="2" t="s">
        <v>363</v>
      </c>
      <c r="AI1223" s="2" t="s">
        <v>363</v>
      </c>
      <c r="AJ1223" s="2" t="s">
        <v>363</v>
      </c>
      <c r="AK1223" s="2" t="s">
        <v>363</v>
      </c>
      <c r="AL1223" s="2" t="s">
        <v>363</v>
      </c>
      <c r="AM1223" s="2" t="s">
        <v>363</v>
      </c>
      <c r="AN1223" s="2" t="s">
        <v>363</v>
      </c>
      <c r="AO1223" s="2" t="s">
        <v>363</v>
      </c>
      <c r="AP1223" s="15">
        <v>9.6</v>
      </c>
      <c r="AQ1223" s="2" t="s">
        <v>363</v>
      </c>
      <c r="AR1223" s="16">
        <v>63</v>
      </c>
      <c r="AS1223" s="16">
        <v>32</v>
      </c>
      <c r="AT1223" s="16">
        <v>5</v>
      </c>
      <c r="AU1223" s="2" t="s">
        <v>363</v>
      </c>
      <c r="AV1223" s="16">
        <f t="shared" si="594"/>
        <v>100</v>
      </c>
      <c r="AW1223" s="20">
        <v>1</v>
      </c>
      <c r="AX1223" s="8">
        <f t="shared" si="595"/>
        <v>0.01</v>
      </c>
      <c r="AY1223" s="13" t="s">
        <v>364</v>
      </c>
      <c r="AZ1223" s="16">
        <f>5/0.05</f>
        <v>100</v>
      </c>
      <c r="BA1223" s="16" t="s">
        <v>55</v>
      </c>
      <c r="BB1223" s="16">
        <v>500</v>
      </c>
      <c r="BC1223" s="16">
        <v>50000</v>
      </c>
      <c r="BD1223" s="18">
        <f>10^1.11</f>
        <v>12.882495516931346</v>
      </c>
      <c r="BE1223" s="16">
        <f t="shared" si="596"/>
        <v>1288.2495516931347</v>
      </c>
      <c r="BF1223" s="16">
        <f t="shared" si="597"/>
        <v>3.1100000000000003</v>
      </c>
      <c r="BG1223" s="8">
        <f t="shared" si="598"/>
        <v>1.1100000000000003</v>
      </c>
      <c r="BH1223" s="13" t="s">
        <v>367</v>
      </c>
      <c r="BI1223" s="8"/>
      <c r="BJ1223" s="16"/>
      <c r="BK1223" s="8"/>
      <c r="BL1223" s="13"/>
      <c r="BM1223" s="16"/>
      <c r="BN1223" s="16"/>
      <c r="BO1223" s="18"/>
    </row>
    <row r="1224" spans="1:69" s="14" customFormat="1" x14ac:dyDescent="0.3">
      <c r="A1224" s="20">
        <v>1248</v>
      </c>
      <c r="B1224" s="2" t="s">
        <v>358</v>
      </c>
      <c r="C1224" s="2">
        <v>2017</v>
      </c>
      <c r="D1224" s="2" t="s">
        <v>203</v>
      </c>
      <c r="E1224" s="10" t="s">
        <v>359</v>
      </c>
      <c r="F1224" s="20" t="s">
        <v>29</v>
      </c>
      <c r="G1224" s="2" t="s">
        <v>88</v>
      </c>
      <c r="H1224" s="2" t="str">
        <f>'PFAS Properties'!$B$62</f>
        <v>PFDPA</v>
      </c>
      <c r="I1224" s="2" t="str">
        <f>'PFAS Properties'!$C$62</f>
        <v>PFPA</v>
      </c>
      <c r="J1224" s="2" t="str">
        <f>'PFAS Properties'!$D$62</f>
        <v>C10H2F21O3P</v>
      </c>
      <c r="K1224" s="25">
        <f>'PFAS Properties'!$P$62</f>
        <v>599.94049999999993</v>
      </c>
      <c r="L1224" s="2">
        <f>'PFAS Properties'!$X$62</f>
        <v>3.4</v>
      </c>
      <c r="M1224" s="2">
        <f>'PFAS Properties'!$Y$62</f>
        <v>5.6</v>
      </c>
      <c r="N1224" s="33">
        <v>0</v>
      </c>
      <c r="O1224" s="33">
        <v>0</v>
      </c>
      <c r="P1224" s="33">
        <v>0</v>
      </c>
      <c r="Q1224" s="33">
        <f t="shared" si="584"/>
        <v>9.0903876684669468E-2</v>
      </c>
      <c r="R1224" s="33">
        <f t="shared" si="585"/>
        <v>0.90903876684669449</v>
      </c>
      <c r="S1224" s="33">
        <f t="shared" si="586"/>
        <v>5.7356468635914049E-5</v>
      </c>
      <c r="T1224" s="8">
        <f t="shared" si="587"/>
        <v>0.99999999999999989</v>
      </c>
      <c r="U1224" s="33">
        <f t="shared" si="588"/>
        <v>0</v>
      </c>
      <c r="V1224" s="33">
        <f t="shared" si="589"/>
        <v>-1.9089814103780585</v>
      </c>
      <c r="W1224" s="33">
        <f t="shared" si="590"/>
        <v>598.0315185896219</v>
      </c>
      <c r="X1224" s="33">
        <v>96485</v>
      </c>
      <c r="Y1224" s="16">
        <f t="shared" si="591"/>
        <v>-307.99057517020196</v>
      </c>
      <c r="Z1224" s="16">
        <v>10</v>
      </c>
      <c r="AA1224" s="16">
        <v>21</v>
      </c>
      <c r="AB1224" s="8">
        <f t="shared" si="592"/>
        <v>0.3007518796992481</v>
      </c>
      <c r="AC1224" s="16">
        <f t="shared" si="593"/>
        <v>66.50659523736104</v>
      </c>
      <c r="AD1224" s="20">
        <f>'PFAS Properties'!$W$62</f>
        <v>10</v>
      </c>
      <c r="AE1224" s="8">
        <f>'PFAS Properties'!$S$62</f>
        <v>0.30535136944662378</v>
      </c>
      <c r="AF1224" s="2">
        <f>'PFAS Properties'!$V$62</f>
        <v>5.6</v>
      </c>
      <c r="AG1224" s="24">
        <v>6.6</v>
      </c>
      <c r="AH1224" s="2" t="s">
        <v>363</v>
      </c>
      <c r="AI1224" s="2" t="s">
        <v>363</v>
      </c>
      <c r="AJ1224" s="2" t="s">
        <v>363</v>
      </c>
      <c r="AK1224" s="2" t="s">
        <v>363</v>
      </c>
      <c r="AL1224" s="2" t="s">
        <v>363</v>
      </c>
      <c r="AM1224" s="2" t="s">
        <v>363</v>
      </c>
      <c r="AN1224" s="2" t="s">
        <v>363</v>
      </c>
      <c r="AO1224" s="2" t="s">
        <v>363</v>
      </c>
      <c r="AP1224" s="15">
        <v>33.5</v>
      </c>
      <c r="AQ1224" s="2" t="s">
        <v>363</v>
      </c>
      <c r="AR1224" s="16">
        <v>25</v>
      </c>
      <c r="AS1224" s="16">
        <v>38</v>
      </c>
      <c r="AT1224" s="16">
        <v>37</v>
      </c>
      <c r="AU1224" s="2" t="s">
        <v>363</v>
      </c>
      <c r="AV1224" s="16">
        <f t="shared" si="594"/>
        <v>100</v>
      </c>
      <c r="AW1224" s="20">
        <v>1.1000000000000001</v>
      </c>
      <c r="AX1224" s="8">
        <f t="shared" si="595"/>
        <v>1.1000000000000001E-2</v>
      </c>
      <c r="AY1224" s="13" t="s">
        <v>364</v>
      </c>
      <c r="AZ1224" s="16">
        <v>100</v>
      </c>
      <c r="BA1224" s="16" t="s">
        <v>55</v>
      </c>
      <c r="BB1224" s="16">
        <v>500</v>
      </c>
      <c r="BC1224" s="16">
        <v>50000</v>
      </c>
      <c r="BD1224" s="18">
        <f>10^1.41</f>
        <v>25.703957827688647</v>
      </c>
      <c r="BE1224" s="16">
        <f t="shared" si="596"/>
        <v>2336.723438880786</v>
      </c>
      <c r="BF1224" s="16">
        <f t="shared" si="597"/>
        <v>3.3686073148417752</v>
      </c>
      <c r="BG1224" s="8">
        <f t="shared" si="598"/>
        <v>1.4100000000000001</v>
      </c>
      <c r="BH1224" s="13" t="s">
        <v>367</v>
      </c>
      <c r="BI1224" s="8"/>
      <c r="BJ1224" s="16"/>
      <c r="BK1224" s="8"/>
      <c r="BL1224" s="13"/>
      <c r="BM1224" s="16"/>
      <c r="BN1224" s="16"/>
      <c r="BO1224" s="18"/>
    </row>
    <row r="1225" spans="1:69" s="14" customFormat="1" x14ac:dyDescent="0.3">
      <c r="A1225" s="20">
        <v>1249</v>
      </c>
      <c r="B1225" s="2" t="s">
        <v>358</v>
      </c>
      <c r="C1225" s="2">
        <v>2017</v>
      </c>
      <c r="D1225" s="2" t="s">
        <v>203</v>
      </c>
      <c r="E1225" s="10" t="s">
        <v>359</v>
      </c>
      <c r="F1225" s="20" t="s">
        <v>29</v>
      </c>
      <c r="G1225" s="2" t="s">
        <v>365</v>
      </c>
      <c r="H1225" s="2" t="str">
        <f>'PFAS Properties'!$B$62</f>
        <v>PFDPA</v>
      </c>
      <c r="I1225" s="2" t="str">
        <f>'PFAS Properties'!$C$62</f>
        <v>PFPA</v>
      </c>
      <c r="J1225" s="2" t="str">
        <f>'PFAS Properties'!$D$62</f>
        <v>C10H2F21O3P</v>
      </c>
      <c r="K1225" s="25">
        <f>'PFAS Properties'!$P$62</f>
        <v>599.94049999999993</v>
      </c>
      <c r="L1225" s="2">
        <f>'PFAS Properties'!$X$62</f>
        <v>3.4</v>
      </c>
      <c r="M1225" s="2">
        <f>'PFAS Properties'!$Y$62</f>
        <v>5.6</v>
      </c>
      <c r="N1225" s="33">
        <v>0</v>
      </c>
      <c r="O1225" s="33">
        <v>0</v>
      </c>
      <c r="P1225" s="33">
        <v>0</v>
      </c>
      <c r="Q1225" s="33">
        <f t="shared" si="584"/>
        <v>3.8286135679320717E-2</v>
      </c>
      <c r="R1225" s="33">
        <f t="shared" si="585"/>
        <v>0.96170424727820647</v>
      </c>
      <c r="S1225" s="33">
        <f t="shared" si="586"/>
        <v>9.6170424727820642E-6</v>
      </c>
      <c r="T1225" s="8">
        <f t="shared" si="587"/>
        <v>1</v>
      </c>
      <c r="U1225" s="33">
        <f t="shared" si="588"/>
        <v>0</v>
      </c>
      <c r="V1225" s="33">
        <f t="shared" si="589"/>
        <v>-1.9616946302357336</v>
      </c>
      <c r="W1225" s="33">
        <f t="shared" si="590"/>
        <v>597.97880536976413</v>
      </c>
      <c r="X1225" s="33">
        <v>96485</v>
      </c>
      <c r="Y1225" s="16">
        <f t="shared" si="591"/>
        <v>-316.52310198729515</v>
      </c>
      <c r="Z1225" s="16">
        <v>10</v>
      </c>
      <c r="AA1225" s="16">
        <v>21</v>
      </c>
      <c r="AB1225" s="8">
        <f t="shared" si="592"/>
        <v>0.3007518796992481</v>
      </c>
      <c r="AC1225" s="16">
        <f t="shared" si="593"/>
        <v>66.50659523736104</v>
      </c>
      <c r="AD1225" s="20">
        <f>'PFAS Properties'!$W$62</f>
        <v>10</v>
      </c>
      <c r="AE1225" s="8">
        <f>'PFAS Properties'!$S$62</f>
        <v>0.30535136944662378</v>
      </c>
      <c r="AF1225" s="2">
        <f>'PFAS Properties'!$V$62</f>
        <v>5.6</v>
      </c>
      <c r="AG1225" s="24">
        <v>7</v>
      </c>
      <c r="AH1225" s="2" t="s">
        <v>363</v>
      </c>
      <c r="AI1225" s="2" t="s">
        <v>363</v>
      </c>
      <c r="AJ1225" s="2" t="s">
        <v>363</v>
      </c>
      <c r="AK1225" s="2" t="s">
        <v>363</v>
      </c>
      <c r="AL1225" s="2" t="s">
        <v>363</v>
      </c>
      <c r="AM1225" s="2" t="s">
        <v>363</v>
      </c>
      <c r="AN1225" s="2" t="s">
        <v>363</v>
      </c>
      <c r="AO1225" s="2" t="s">
        <v>363</v>
      </c>
      <c r="AP1225" s="15">
        <v>23.3</v>
      </c>
      <c r="AQ1225" s="2" t="s">
        <v>363</v>
      </c>
      <c r="AR1225" s="16">
        <v>28</v>
      </c>
      <c r="AS1225" s="16">
        <v>48</v>
      </c>
      <c r="AT1225" s="16">
        <v>22</v>
      </c>
      <c r="AU1225" s="2" t="s">
        <v>363</v>
      </c>
      <c r="AV1225" s="16">
        <f t="shared" si="594"/>
        <v>98</v>
      </c>
      <c r="AW1225" s="20">
        <v>1.1000000000000001</v>
      </c>
      <c r="AX1225" s="8">
        <f t="shared" si="595"/>
        <v>1.1000000000000001E-2</v>
      </c>
      <c r="AY1225" s="8" t="s">
        <v>364</v>
      </c>
      <c r="AZ1225" s="16">
        <v>100</v>
      </c>
      <c r="BA1225" s="16" t="s">
        <v>55</v>
      </c>
      <c r="BB1225" s="16">
        <v>500</v>
      </c>
      <c r="BC1225" s="16">
        <v>50000</v>
      </c>
      <c r="BD1225" s="18">
        <f>10^1.22</f>
        <v>16.595869074375614</v>
      </c>
      <c r="BE1225" s="16">
        <f t="shared" si="596"/>
        <v>1508.7153703977829</v>
      </c>
      <c r="BF1225" s="16">
        <f t="shared" si="597"/>
        <v>3.1786073148417753</v>
      </c>
      <c r="BG1225" s="8">
        <f t="shared" si="598"/>
        <v>1.2200000000000002</v>
      </c>
      <c r="BH1225" s="13" t="s">
        <v>367</v>
      </c>
      <c r="BI1225" s="8"/>
      <c r="BJ1225" s="16"/>
      <c r="BK1225" s="8"/>
      <c r="BL1225" s="13"/>
      <c r="BM1225" s="16"/>
      <c r="BN1225" s="16"/>
      <c r="BO1225" s="18"/>
    </row>
    <row r="1226" spans="1:69" s="14" customFormat="1" x14ac:dyDescent="0.3">
      <c r="A1226" s="20">
        <v>1250</v>
      </c>
      <c r="B1226" s="2" t="s">
        <v>358</v>
      </c>
      <c r="C1226" s="2">
        <v>2017</v>
      </c>
      <c r="D1226" s="2" t="s">
        <v>203</v>
      </c>
      <c r="E1226" s="10" t="s">
        <v>359</v>
      </c>
      <c r="F1226" s="20" t="s">
        <v>29</v>
      </c>
      <c r="G1226" s="2" t="s">
        <v>89</v>
      </c>
      <c r="H1226" s="2" t="str">
        <f>'PFAS Properties'!$B$62</f>
        <v>PFDPA</v>
      </c>
      <c r="I1226" s="2" t="str">
        <f>'PFAS Properties'!$C$62</f>
        <v>PFPA</v>
      </c>
      <c r="J1226" s="2" t="str">
        <f>'PFAS Properties'!$D$62</f>
        <v>C10H2F21O3P</v>
      </c>
      <c r="K1226" s="25">
        <f>'PFAS Properties'!$P$62</f>
        <v>599.94049999999993</v>
      </c>
      <c r="L1226" s="2">
        <f>'PFAS Properties'!$X$62</f>
        <v>3.4</v>
      </c>
      <c r="M1226" s="2">
        <f>'PFAS Properties'!$Y$62</f>
        <v>5.6</v>
      </c>
      <c r="N1226" s="33">
        <v>0</v>
      </c>
      <c r="O1226" s="33">
        <v>0</v>
      </c>
      <c r="P1226" s="33">
        <v>0</v>
      </c>
      <c r="Q1226" s="33">
        <f t="shared" si="584"/>
        <v>0.70723553457380584</v>
      </c>
      <c r="R1226" s="33">
        <f t="shared" si="585"/>
        <v>1.1208927842126213E-2</v>
      </c>
      <c r="S1226" s="33">
        <f t="shared" si="586"/>
        <v>0.28155553758406793</v>
      </c>
      <c r="T1226" s="8">
        <f t="shared" si="587"/>
        <v>1</v>
      </c>
      <c r="U1226" s="33">
        <f t="shared" si="588"/>
        <v>0</v>
      </c>
      <c r="V1226" s="33">
        <f t="shared" si="589"/>
        <v>-0.72965339025805831</v>
      </c>
      <c r="W1226" s="33">
        <f t="shared" si="590"/>
        <v>599.21084660974191</v>
      </c>
      <c r="X1226" s="33">
        <v>96485</v>
      </c>
      <c r="Y1226" s="16">
        <f t="shared" si="591"/>
        <v>-117.48887350315229</v>
      </c>
      <c r="Z1226" s="16">
        <v>10</v>
      </c>
      <c r="AA1226" s="16">
        <v>21</v>
      </c>
      <c r="AB1226" s="8">
        <f t="shared" si="592"/>
        <v>0.3007518796992481</v>
      </c>
      <c r="AC1226" s="16">
        <f t="shared" si="593"/>
        <v>66.50659523736104</v>
      </c>
      <c r="AD1226" s="20">
        <f>'PFAS Properties'!$W$62</f>
        <v>10</v>
      </c>
      <c r="AE1226" s="8">
        <f>'PFAS Properties'!$S$62</f>
        <v>0.30535136944662378</v>
      </c>
      <c r="AF1226" s="2">
        <f>'PFAS Properties'!$V$62</f>
        <v>5.6</v>
      </c>
      <c r="AG1226" s="24">
        <v>3.8</v>
      </c>
      <c r="AH1226" s="2" t="s">
        <v>363</v>
      </c>
      <c r="AI1226" s="2" t="s">
        <v>363</v>
      </c>
      <c r="AJ1226" s="2" t="s">
        <v>363</v>
      </c>
      <c r="AK1226" s="2" t="s">
        <v>363</v>
      </c>
      <c r="AL1226" s="2" t="s">
        <v>363</v>
      </c>
      <c r="AM1226" s="2" t="s">
        <v>363</v>
      </c>
      <c r="AN1226" s="2" t="s">
        <v>363</v>
      </c>
      <c r="AO1226" s="2" t="s">
        <v>363</v>
      </c>
      <c r="AP1226" s="15">
        <v>23.89</v>
      </c>
      <c r="AQ1226" s="2" t="s">
        <v>363</v>
      </c>
      <c r="AR1226" s="16">
        <v>53</v>
      </c>
      <c r="AS1226" s="16">
        <v>41</v>
      </c>
      <c r="AT1226" s="16">
        <v>6</v>
      </c>
      <c r="AU1226" s="2" t="s">
        <v>363</v>
      </c>
      <c r="AV1226" s="16">
        <f t="shared" si="594"/>
        <v>100</v>
      </c>
      <c r="AW1226" s="20">
        <v>3.6</v>
      </c>
      <c r="AX1226" s="8">
        <f t="shared" si="595"/>
        <v>3.6000000000000004E-2</v>
      </c>
      <c r="AY1226" s="13" t="s">
        <v>364</v>
      </c>
      <c r="AZ1226" s="16">
        <v>100</v>
      </c>
      <c r="BA1226" s="16" t="s">
        <v>55</v>
      </c>
      <c r="BB1226" s="16">
        <v>500</v>
      </c>
      <c r="BC1226" s="16">
        <v>50000</v>
      </c>
      <c r="BD1226" s="18">
        <f>10^0.95</f>
        <v>8.9125093813374576</v>
      </c>
      <c r="BE1226" s="16">
        <f t="shared" si="596"/>
        <v>247.56970503715158</v>
      </c>
      <c r="BF1226" s="16">
        <f t="shared" si="597"/>
        <v>2.3936974992327129</v>
      </c>
      <c r="BG1226" s="8">
        <f t="shared" si="598"/>
        <v>0.95000000000000007</v>
      </c>
      <c r="BH1226" s="13" t="s">
        <v>367</v>
      </c>
      <c r="BI1226" s="8"/>
      <c r="BJ1226" s="16"/>
      <c r="BK1226" s="8"/>
      <c r="BL1226" s="13"/>
      <c r="BM1226" s="16"/>
      <c r="BN1226" s="16"/>
      <c r="BO1226" s="18"/>
    </row>
    <row r="1227" spans="1:69" s="14" customFormat="1" x14ac:dyDescent="0.3">
      <c r="A1227" s="20">
        <v>1251</v>
      </c>
      <c r="B1227" s="2" t="s">
        <v>358</v>
      </c>
      <c r="C1227" s="2">
        <v>2017</v>
      </c>
      <c r="D1227" s="2" t="s">
        <v>203</v>
      </c>
      <c r="E1227" s="10" t="s">
        <v>359</v>
      </c>
      <c r="F1227" s="20" t="s">
        <v>29</v>
      </c>
      <c r="G1227" s="2" t="s">
        <v>361</v>
      </c>
      <c r="H1227" s="2" t="str">
        <f>'PFAS Properties'!$B$62</f>
        <v>PFDPA</v>
      </c>
      <c r="I1227" s="2" t="str">
        <f>'PFAS Properties'!$C$62</f>
        <v>PFPA</v>
      </c>
      <c r="J1227" s="2" t="str">
        <f>'PFAS Properties'!$D$62</f>
        <v>C10H2F21O3P</v>
      </c>
      <c r="K1227" s="25">
        <f>'PFAS Properties'!$P$62</f>
        <v>599.94049999999993</v>
      </c>
      <c r="L1227" s="2">
        <f>'PFAS Properties'!$X$62</f>
        <v>3.4</v>
      </c>
      <c r="M1227" s="2">
        <f>'PFAS Properties'!$Y$62</f>
        <v>5.6</v>
      </c>
      <c r="N1227" s="33">
        <v>0</v>
      </c>
      <c r="O1227" s="33">
        <v>0</v>
      </c>
      <c r="P1227" s="33">
        <v>0</v>
      </c>
      <c r="Q1227" s="33">
        <f t="shared" si="584"/>
        <v>0.85977445397010155</v>
      </c>
      <c r="R1227" s="33">
        <f t="shared" si="585"/>
        <v>5.4248100632888409E-2</v>
      </c>
      <c r="S1227" s="33">
        <f t="shared" si="586"/>
        <v>8.5977445397010063E-2</v>
      </c>
      <c r="T1227" s="8">
        <f t="shared" si="587"/>
        <v>1</v>
      </c>
      <c r="U1227" s="33">
        <f t="shared" si="588"/>
        <v>0</v>
      </c>
      <c r="V1227" s="33">
        <f t="shared" si="589"/>
        <v>-0.96827065523587841</v>
      </c>
      <c r="W1227" s="33">
        <f t="shared" si="590"/>
        <v>598.97222934476406</v>
      </c>
      <c r="X1227" s="33">
        <v>96485</v>
      </c>
      <c r="Y1227" s="16">
        <f t="shared" si="591"/>
        <v>-155.97316468683857</v>
      </c>
      <c r="Z1227" s="16">
        <v>10</v>
      </c>
      <c r="AA1227" s="16">
        <v>21</v>
      </c>
      <c r="AB1227" s="8">
        <f t="shared" si="592"/>
        <v>0.3007518796992481</v>
      </c>
      <c r="AC1227" s="16">
        <f t="shared" si="593"/>
        <v>66.50659523736104</v>
      </c>
      <c r="AD1227" s="20">
        <f>'PFAS Properties'!$W$62</f>
        <v>10</v>
      </c>
      <c r="AE1227" s="8">
        <f>'PFAS Properties'!$S$62</f>
        <v>0.30535136944662378</v>
      </c>
      <c r="AF1227" s="2">
        <f>'PFAS Properties'!$V$62</f>
        <v>5.6</v>
      </c>
      <c r="AG1227" s="24">
        <v>4.4000000000000004</v>
      </c>
      <c r="AH1227" s="2" t="s">
        <v>363</v>
      </c>
      <c r="AI1227" s="2" t="s">
        <v>363</v>
      </c>
      <c r="AJ1227" s="2" t="s">
        <v>363</v>
      </c>
      <c r="AK1227" s="2" t="s">
        <v>363</v>
      </c>
      <c r="AL1227" s="2" t="s">
        <v>363</v>
      </c>
      <c r="AM1227" s="2" t="s">
        <v>363</v>
      </c>
      <c r="AN1227" s="2" t="s">
        <v>363</v>
      </c>
      <c r="AO1227" s="2" t="s">
        <v>363</v>
      </c>
      <c r="AP1227" s="15">
        <v>11.3</v>
      </c>
      <c r="AQ1227" s="2" t="s">
        <v>363</v>
      </c>
      <c r="AR1227" s="16">
        <v>58</v>
      </c>
      <c r="AS1227" s="16">
        <v>20</v>
      </c>
      <c r="AT1227" s="16">
        <v>22</v>
      </c>
      <c r="AU1227" s="2" t="s">
        <v>363</v>
      </c>
      <c r="AV1227" s="16">
        <f t="shared" si="594"/>
        <v>100</v>
      </c>
      <c r="AW1227" s="20">
        <v>10.199999999999999</v>
      </c>
      <c r="AX1227" s="8">
        <f t="shared" si="595"/>
        <v>0.10199999999999999</v>
      </c>
      <c r="AY1227" s="8" t="s">
        <v>364</v>
      </c>
      <c r="AZ1227" s="16">
        <v>100</v>
      </c>
      <c r="BA1227" s="16" t="s">
        <v>55</v>
      </c>
      <c r="BB1227" s="16">
        <v>500</v>
      </c>
      <c r="BC1227" s="16">
        <v>50000</v>
      </c>
      <c r="BD1227" s="18">
        <f>10^1.57</f>
        <v>37.153522909717275</v>
      </c>
      <c r="BE1227" s="16">
        <f t="shared" si="596"/>
        <v>364.25022460507137</v>
      </c>
      <c r="BF1227" s="16">
        <f t="shared" si="597"/>
        <v>2.5613998282380828</v>
      </c>
      <c r="BG1227" s="8">
        <f t="shared" si="598"/>
        <v>1.5700000000000003</v>
      </c>
      <c r="BH1227" s="13" t="s">
        <v>367</v>
      </c>
      <c r="BI1227" s="8"/>
      <c r="BJ1227" s="16"/>
      <c r="BK1227" s="8"/>
      <c r="BL1227" s="13"/>
      <c r="BM1227" s="16"/>
      <c r="BN1227" s="16"/>
      <c r="BO1227" s="18"/>
    </row>
    <row r="1228" spans="1:69" s="14" customFormat="1" x14ac:dyDescent="0.3">
      <c r="A1228" s="20">
        <v>1252</v>
      </c>
      <c r="B1228" s="2" t="s">
        <v>358</v>
      </c>
      <c r="C1228" s="2">
        <v>2017</v>
      </c>
      <c r="D1228" s="2" t="s">
        <v>203</v>
      </c>
      <c r="E1228" s="10" t="s">
        <v>359</v>
      </c>
      <c r="F1228" s="20" t="s">
        <v>29</v>
      </c>
      <c r="G1228" s="2" t="s">
        <v>274</v>
      </c>
      <c r="H1228" s="2" t="str">
        <f>'PFAS Properties'!$B$62</f>
        <v>PFDPA</v>
      </c>
      <c r="I1228" s="2" t="str">
        <f>'PFAS Properties'!$C$62</f>
        <v>PFPA</v>
      </c>
      <c r="J1228" s="2" t="str">
        <f>'PFAS Properties'!$D$62</f>
        <v>C10H2F21O3P</v>
      </c>
      <c r="K1228" s="25">
        <f>'PFAS Properties'!$P$62</f>
        <v>599.94049999999993</v>
      </c>
      <c r="L1228" s="2">
        <f>'PFAS Properties'!$X$62</f>
        <v>3.4</v>
      </c>
      <c r="M1228" s="2">
        <f>'PFAS Properties'!$Y$62</f>
        <v>5.6</v>
      </c>
      <c r="N1228" s="33">
        <v>0</v>
      </c>
      <c r="O1228" s="33">
        <v>0</v>
      </c>
      <c r="P1228" s="33">
        <v>0</v>
      </c>
      <c r="Q1228" s="33">
        <f t="shared" si="584"/>
        <v>0.2401379589221673</v>
      </c>
      <c r="R1228" s="33">
        <f t="shared" si="585"/>
        <v>0.75938290285800158</v>
      </c>
      <c r="S1228" s="33">
        <f t="shared" si="586"/>
        <v>4.7913821983094576E-4</v>
      </c>
      <c r="T1228" s="8">
        <f t="shared" si="587"/>
        <v>0.99999999999999978</v>
      </c>
      <c r="U1228" s="33">
        <f t="shared" si="588"/>
        <v>0</v>
      </c>
      <c r="V1228" s="33">
        <f t="shared" si="589"/>
        <v>-1.7589037646381704</v>
      </c>
      <c r="W1228" s="33">
        <f t="shared" si="590"/>
        <v>598.18159623536167</v>
      </c>
      <c r="X1228" s="33">
        <v>96485</v>
      </c>
      <c r="Y1228" s="16">
        <f t="shared" si="591"/>
        <v>-283.70620359965119</v>
      </c>
      <c r="Z1228" s="16">
        <v>10</v>
      </c>
      <c r="AA1228" s="16">
        <v>21</v>
      </c>
      <c r="AB1228" s="8">
        <f t="shared" si="592"/>
        <v>0.3007518796992481</v>
      </c>
      <c r="AC1228" s="16">
        <f t="shared" si="593"/>
        <v>66.50659523736104</v>
      </c>
      <c r="AD1228" s="20">
        <f>'PFAS Properties'!$W$62</f>
        <v>10</v>
      </c>
      <c r="AE1228" s="8">
        <f>'PFAS Properties'!$S$62</f>
        <v>0.30535136944662378</v>
      </c>
      <c r="AF1228" s="2">
        <f>'PFAS Properties'!$V$62</f>
        <v>5.6</v>
      </c>
      <c r="AG1228" s="24">
        <v>6.1</v>
      </c>
      <c r="AH1228" s="2" t="s">
        <v>363</v>
      </c>
      <c r="AI1228" s="2" t="s">
        <v>363</v>
      </c>
      <c r="AJ1228" s="2" t="s">
        <v>363</v>
      </c>
      <c r="AK1228" s="2" t="s">
        <v>363</v>
      </c>
      <c r="AL1228" s="2" t="s">
        <v>363</v>
      </c>
      <c r="AM1228" s="2" t="s">
        <v>363</v>
      </c>
      <c r="AN1228" s="2" t="s">
        <v>363</v>
      </c>
      <c r="AO1228" s="2" t="s">
        <v>363</v>
      </c>
      <c r="AP1228" s="15">
        <v>24.2</v>
      </c>
      <c r="AQ1228" s="2" t="s">
        <v>363</v>
      </c>
      <c r="AR1228" s="16">
        <v>10</v>
      </c>
      <c r="AS1228" s="16">
        <v>61</v>
      </c>
      <c r="AT1228" s="16">
        <v>27</v>
      </c>
      <c r="AU1228" s="2" t="s">
        <v>363</v>
      </c>
      <c r="AV1228" s="16">
        <f t="shared" si="594"/>
        <v>98</v>
      </c>
      <c r="AW1228" s="20">
        <v>2.63</v>
      </c>
      <c r="AX1228" s="8">
        <f t="shared" si="595"/>
        <v>2.63E-2</v>
      </c>
      <c r="AY1228" s="8" t="s">
        <v>364</v>
      </c>
      <c r="AZ1228" s="16">
        <v>100</v>
      </c>
      <c r="BA1228" s="16" t="s">
        <v>55</v>
      </c>
      <c r="BB1228" s="16">
        <v>500</v>
      </c>
      <c r="BC1228" s="16">
        <v>50000</v>
      </c>
      <c r="BD1228" s="18">
        <f>10^2.31</f>
        <v>204.17379446695315</v>
      </c>
      <c r="BE1228" s="16">
        <f t="shared" si="596"/>
        <v>7763.2621470324393</v>
      </c>
      <c r="BF1228" s="16">
        <f t="shared" si="597"/>
        <v>3.8900442515102425</v>
      </c>
      <c r="BG1228" s="8">
        <f t="shared" si="598"/>
        <v>2.3100000000000005</v>
      </c>
      <c r="BH1228" s="13" t="s">
        <v>367</v>
      </c>
      <c r="BI1228" s="8"/>
      <c r="BJ1228" s="16"/>
      <c r="BK1228" s="8"/>
      <c r="BL1228" s="13"/>
      <c r="BM1228" s="16"/>
      <c r="BN1228" s="16"/>
      <c r="BO1228" s="18"/>
    </row>
    <row r="1229" spans="1:69" s="14" customFormat="1" x14ac:dyDescent="0.3">
      <c r="A1229" s="20">
        <v>1253</v>
      </c>
      <c r="B1229" s="2" t="s">
        <v>358</v>
      </c>
      <c r="C1229" s="2">
        <v>2017</v>
      </c>
      <c r="D1229" s="2" t="s">
        <v>203</v>
      </c>
      <c r="E1229" s="10" t="s">
        <v>359</v>
      </c>
      <c r="F1229" s="20" t="s">
        <v>29</v>
      </c>
      <c r="G1229" s="2" t="s">
        <v>362</v>
      </c>
      <c r="H1229" s="2" t="str">
        <f>'PFAS Properties'!$B$62</f>
        <v>PFDPA</v>
      </c>
      <c r="I1229" s="2" t="str">
        <f>'PFAS Properties'!$C$62</f>
        <v>PFPA</v>
      </c>
      <c r="J1229" s="2" t="str">
        <f>'PFAS Properties'!$D$62</f>
        <v>C10H2F21O3P</v>
      </c>
      <c r="K1229" s="25">
        <f>'PFAS Properties'!$P$62</f>
        <v>599.94049999999993</v>
      </c>
      <c r="L1229" s="2">
        <f>'PFAS Properties'!$X$62</f>
        <v>3.4</v>
      </c>
      <c r="M1229" s="2">
        <f>'PFAS Properties'!$Y$62</f>
        <v>5.6</v>
      </c>
      <c r="N1229" s="33">
        <v>0</v>
      </c>
      <c r="O1229" s="33">
        <v>0</v>
      </c>
      <c r="P1229" s="33">
        <v>0</v>
      </c>
      <c r="Q1229" s="33">
        <f t="shared" si="584"/>
        <v>0.8629127998023951</v>
      </c>
      <c r="R1229" s="33">
        <f t="shared" si="585"/>
        <v>6.8543600098802435E-2</v>
      </c>
      <c r="S1229" s="33">
        <f t="shared" si="586"/>
        <v>6.8543600098802351E-2</v>
      </c>
      <c r="T1229" s="8">
        <f t="shared" si="587"/>
        <v>0.99999999999999989</v>
      </c>
      <c r="U1229" s="33">
        <f t="shared" si="588"/>
        <v>0</v>
      </c>
      <c r="V1229" s="33">
        <f t="shared" si="589"/>
        <v>-1</v>
      </c>
      <c r="W1229" s="33">
        <f t="shared" si="590"/>
        <v>598.94049999999982</v>
      </c>
      <c r="X1229" s="33">
        <v>96485</v>
      </c>
      <c r="Y1229" s="16">
        <f t="shared" si="591"/>
        <v>-161.09279636291089</v>
      </c>
      <c r="Z1229" s="16">
        <v>10</v>
      </c>
      <c r="AA1229" s="16">
        <v>21</v>
      </c>
      <c r="AB1229" s="8">
        <f t="shared" si="592"/>
        <v>0.3007518796992481</v>
      </c>
      <c r="AC1229" s="16">
        <f t="shared" si="593"/>
        <v>66.50659523736104</v>
      </c>
      <c r="AD1229" s="20">
        <f>'PFAS Properties'!$W$62</f>
        <v>10</v>
      </c>
      <c r="AE1229" s="8">
        <f>'PFAS Properties'!$S$62</f>
        <v>0.30535136944662378</v>
      </c>
      <c r="AF1229" s="2">
        <f>'PFAS Properties'!$V$62</f>
        <v>5.6</v>
      </c>
      <c r="AG1229" s="24">
        <v>4.5</v>
      </c>
      <c r="AH1229" s="2" t="s">
        <v>363</v>
      </c>
      <c r="AI1229" s="2" t="s">
        <v>363</v>
      </c>
      <c r="AJ1229" s="2" t="s">
        <v>363</v>
      </c>
      <c r="AK1229" s="2" t="s">
        <v>363</v>
      </c>
      <c r="AL1229" s="2" t="s">
        <v>363</v>
      </c>
      <c r="AM1229" s="2" t="s">
        <v>363</v>
      </c>
      <c r="AN1229" s="2" t="s">
        <v>363</v>
      </c>
      <c r="AO1229" s="2" t="s">
        <v>363</v>
      </c>
      <c r="AP1229" s="72">
        <v>21.496500000000001</v>
      </c>
      <c r="AQ1229" s="70" t="s">
        <v>752</v>
      </c>
      <c r="AR1229" s="71">
        <v>41.737499999999997</v>
      </c>
      <c r="AS1229" s="71">
        <v>35.036999999999999</v>
      </c>
      <c r="AT1229" s="71">
        <v>21.971</v>
      </c>
      <c r="AU1229" s="70" t="s">
        <v>752</v>
      </c>
      <c r="AV1229" s="16">
        <f t="shared" si="594"/>
        <v>98.745499999999993</v>
      </c>
      <c r="AW1229" s="20">
        <v>45.7</v>
      </c>
      <c r="AX1229" s="8">
        <f t="shared" si="595"/>
        <v>0.45700000000000002</v>
      </c>
      <c r="AY1229" s="8" t="s">
        <v>364</v>
      </c>
      <c r="AZ1229" s="16">
        <v>100</v>
      </c>
      <c r="BA1229" s="16" t="s">
        <v>55</v>
      </c>
      <c r="BB1229" s="16">
        <v>500</v>
      </c>
      <c r="BC1229" s="16">
        <v>50000</v>
      </c>
      <c r="BD1229" s="18">
        <f>10^1.55</f>
        <v>35.481338923357555</v>
      </c>
      <c r="BE1229" s="16">
        <f t="shared" si="596"/>
        <v>77.639691298375396</v>
      </c>
      <c r="BF1229" s="16">
        <f t="shared" si="597"/>
        <v>1.8900837999301499</v>
      </c>
      <c r="BG1229" s="8">
        <f t="shared" si="598"/>
        <v>1.55</v>
      </c>
      <c r="BH1229" s="13" t="s">
        <v>367</v>
      </c>
      <c r="BI1229" s="8"/>
      <c r="BJ1229" s="16"/>
      <c r="BK1229" s="8"/>
      <c r="BL1229" s="13"/>
      <c r="BM1229" s="16"/>
      <c r="BN1229" s="16"/>
      <c r="BO1229" s="18"/>
    </row>
    <row r="1230" spans="1:69" x14ac:dyDescent="0.3">
      <c r="A1230" s="7"/>
      <c r="B1230" s="11"/>
      <c r="C1230" s="11"/>
      <c r="D1230" s="11"/>
      <c r="E1230" s="45"/>
      <c r="F1230" s="44"/>
      <c r="G1230" s="11"/>
      <c r="K1230" s="40"/>
      <c r="N1230" s="11"/>
      <c r="O1230" s="11"/>
      <c r="P1230" s="11"/>
      <c r="Q1230" s="11"/>
      <c r="R1230" s="11"/>
      <c r="S1230" s="11"/>
      <c r="T1230" s="11"/>
      <c r="U1230" s="11"/>
      <c r="V1230" s="11"/>
      <c r="W1230" s="11"/>
      <c r="X1230" s="11"/>
      <c r="Y1230" s="11"/>
      <c r="Z1230" s="11"/>
      <c r="AA1230" s="11"/>
      <c r="AB1230" s="11"/>
      <c r="AC1230" s="11"/>
      <c r="AD1230" s="40"/>
      <c r="AE1230" s="11"/>
      <c r="AF1230" s="40"/>
      <c r="AI1230" s="11"/>
      <c r="AJ1230" s="11"/>
      <c r="AK1230" s="11"/>
      <c r="AL1230" s="11"/>
      <c r="AM1230" s="11"/>
      <c r="AN1230" s="11"/>
      <c r="AO1230" s="11"/>
      <c r="AR1230" s="4"/>
      <c r="AS1230" s="4"/>
      <c r="AT1230" s="4"/>
      <c r="AY1230" s="11"/>
      <c r="BE1230" s="38"/>
      <c r="BF1230" s="38"/>
      <c r="BG1230" s="38"/>
      <c r="BH1230" s="11"/>
      <c r="BI1230" s="1"/>
      <c r="BJ1230" s="2"/>
      <c r="BK1230" s="1"/>
      <c r="BL1230" s="1"/>
      <c r="BM1230" s="7"/>
      <c r="BN1230" s="7"/>
      <c r="BO1230" s="1"/>
      <c r="BP1230" s="11"/>
      <c r="BQ1230" s="11"/>
    </row>
    <row r="1231" spans="1:69" x14ac:dyDescent="0.3">
      <c r="A1231" s="7"/>
      <c r="B1231" s="11"/>
      <c r="C1231" s="11"/>
      <c r="D1231" s="11"/>
      <c r="E1231" s="45"/>
      <c r="F1231" s="44"/>
      <c r="G1231" s="11"/>
      <c r="K1231" s="40"/>
      <c r="N1231" s="11"/>
      <c r="O1231" s="11"/>
      <c r="P1231" s="11"/>
      <c r="Q1231" s="11"/>
      <c r="R1231" s="11"/>
      <c r="S1231" s="11"/>
      <c r="T1231" s="11"/>
      <c r="U1231" s="11"/>
      <c r="V1231" s="11"/>
      <c r="W1231" s="11"/>
      <c r="X1231" s="11"/>
      <c r="Y1231" s="11"/>
      <c r="Z1231" s="11"/>
      <c r="AA1231" s="11"/>
      <c r="AB1231" s="11"/>
      <c r="AC1231" s="11"/>
      <c r="AD1231" s="40"/>
      <c r="AE1231" s="11"/>
      <c r="AF1231" s="40"/>
      <c r="AI1231" s="11"/>
      <c r="AJ1231" s="11"/>
      <c r="AK1231" s="11"/>
      <c r="AL1231" s="11"/>
      <c r="AM1231" s="11"/>
      <c r="AN1231" s="11"/>
      <c r="AO1231" s="11"/>
      <c r="AY1231" s="11"/>
      <c r="BE1231" s="38"/>
      <c r="BF1231" s="38"/>
      <c r="BG1231" s="38"/>
      <c r="BH1231" s="11"/>
      <c r="BI1231" s="1"/>
      <c r="BJ1231" s="2"/>
      <c r="BK1231" s="1"/>
      <c r="BL1231" s="1"/>
      <c r="BM1231" s="7"/>
      <c r="BN1231" s="7"/>
      <c r="BO1231" s="1"/>
      <c r="BP1231" s="11"/>
      <c r="BQ1231" s="11"/>
    </row>
    <row r="1232" spans="1:69" x14ac:dyDescent="0.3">
      <c r="A1232" s="7"/>
      <c r="B1232" s="11"/>
      <c r="C1232" s="11"/>
      <c r="D1232" s="11"/>
      <c r="E1232" s="45"/>
      <c r="F1232" s="44"/>
      <c r="G1232" s="11"/>
      <c r="K1232" s="40"/>
      <c r="N1232" s="11"/>
      <c r="O1232" s="11"/>
      <c r="P1232" s="11"/>
      <c r="Q1232" s="11"/>
      <c r="R1232" s="11"/>
      <c r="S1232" s="11"/>
      <c r="T1232" s="11"/>
      <c r="U1232" s="11"/>
      <c r="V1232" s="11"/>
      <c r="W1232" s="11"/>
      <c r="X1232" s="11"/>
      <c r="Y1232" s="11"/>
      <c r="Z1232" s="11"/>
      <c r="AA1232" s="11"/>
      <c r="AB1232" s="11"/>
      <c r="AC1232" s="11"/>
      <c r="AD1232" s="40"/>
      <c r="AE1232" s="11"/>
      <c r="AF1232" s="40"/>
      <c r="AI1232" s="11"/>
      <c r="AJ1232" s="11"/>
      <c r="AK1232" s="11"/>
      <c r="AL1232" s="11"/>
      <c r="AM1232" s="11"/>
      <c r="AN1232" s="11"/>
      <c r="AO1232" s="11"/>
      <c r="AY1232" s="11"/>
      <c r="BE1232" s="38"/>
      <c r="BF1232" s="38"/>
      <c r="BG1232" s="38"/>
      <c r="BH1232" s="11"/>
      <c r="BI1232" s="1"/>
      <c r="BJ1232" s="2"/>
      <c r="BK1232" s="1"/>
      <c r="BL1232" s="1"/>
      <c r="BM1232" s="7"/>
      <c r="BN1232" s="7"/>
      <c r="BO1232" s="1"/>
      <c r="BP1232" s="11"/>
      <c r="BQ1232" s="11"/>
    </row>
    <row r="1233" spans="1:69" x14ac:dyDescent="0.3">
      <c r="A1233" s="7"/>
      <c r="B1233" s="11"/>
      <c r="C1233" s="11"/>
      <c r="D1233" s="11"/>
      <c r="E1233" s="45"/>
      <c r="F1233" s="44"/>
      <c r="G1233" s="11"/>
      <c r="K1233" s="40"/>
      <c r="N1233" s="11"/>
      <c r="O1233" s="11"/>
      <c r="P1233" s="11"/>
      <c r="Q1233" s="11"/>
      <c r="R1233" s="11"/>
      <c r="S1233" s="11"/>
      <c r="T1233" s="11"/>
      <c r="U1233" s="11"/>
      <c r="V1233" s="11"/>
      <c r="W1233" s="11"/>
      <c r="X1233" s="11"/>
      <c r="Y1233" s="11"/>
      <c r="Z1233" s="11"/>
      <c r="AA1233" s="11"/>
      <c r="AB1233" s="11"/>
      <c r="AC1233" s="11"/>
      <c r="AD1233" s="40"/>
      <c r="AE1233" s="11"/>
      <c r="AF1233" s="40"/>
      <c r="AI1233" s="11"/>
      <c r="AJ1233" s="11"/>
      <c r="AK1233" s="11"/>
      <c r="AL1233" s="11"/>
      <c r="AM1233" s="11"/>
      <c r="AN1233" s="11"/>
      <c r="AO1233" s="11"/>
      <c r="AY1233" s="11"/>
      <c r="BE1233" s="38"/>
      <c r="BF1233" s="38"/>
      <c r="BG1233" s="38"/>
      <c r="BH1233" s="11"/>
      <c r="BI1233" s="1"/>
      <c r="BJ1233" s="2"/>
      <c r="BK1233" s="1"/>
      <c r="BL1233" s="1"/>
      <c r="BM1233" s="7"/>
      <c r="BN1233" s="7"/>
      <c r="BO1233" s="1"/>
      <c r="BP1233" s="11"/>
      <c r="BQ1233" s="11"/>
    </row>
    <row r="1234" spans="1:69" x14ac:dyDescent="0.3">
      <c r="A1234" s="7"/>
      <c r="B1234" s="11"/>
      <c r="C1234" s="11"/>
      <c r="D1234" s="11"/>
      <c r="E1234" s="45"/>
      <c r="F1234" s="44"/>
      <c r="G1234" s="11"/>
      <c r="K1234" s="40"/>
      <c r="N1234" s="11"/>
      <c r="O1234" s="11"/>
      <c r="P1234" s="11"/>
      <c r="Q1234" s="11"/>
      <c r="R1234" s="11"/>
      <c r="S1234" s="11"/>
      <c r="T1234" s="11"/>
      <c r="U1234" s="11"/>
      <c r="V1234" s="11"/>
      <c r="W1234" s="11"/>
      <c r="X1234" s="11"/>
      <c r="Y1234" s="77"/>
      <c r="Z1234" s="11"/>
      <c r="AA1234" s="11"/>
      <c r="AB1234" s="11"/>
      <c r="AC1234" s="11"/>
      <c r="AD1234" s="40"/>
      <c r="AE1234" s="11"/>
      <c r="AF1234" s="40"/>
      <c r="AG1234" s="126"/>
      <c r="AI1234" s="11"/>
      <c r="AJ1234" s="11"/>
      <c r="AK1234" s="11"/>
      <c r="AL1234" s="11"/>
      <c r="AM1234" s="11"/>
      <c r="AN1234" s="11"/>
      <c r="AO1234" s="11"/>
      <c r="AP1234" s="78"/>
      <c r="AR1234" s="78"/>
      <c r="AS1234" s="78"/>
      <c r="AT1234" s="78"/>
      <c r="AW1234" s="78"/>
      <c r="AY1234" s="11"/>
      <c r="BE1234" s="38"/>
      <c r="BF1234" s="38"/>
      <c r="BG1234" s="79"/>
      <c r="BH1234" s="11"/>
      <c r="BI1234" s="1"/>
      <c r="BJ1234" s="2"/>
      <c r="BK1234" s="1"/>
      <c r="BL1234" s="1"/>
      <c r="BM1234" s="7"/>
      <c r="BN1234" s="7"/>
      <c r="BO1234" s="1"/>
      <c r="BP1234" s="11"/>
      <c r="BQ1234" s="11"/>
    </row>
    <row r="1235" spans="1:69" x14ac:dyDescent="0.3">
      <c r="A1235" s="7"/>
      <c r="B1235" s="11"/>
      <c r="C1235" s="11"/>
      <c r="D1235" s="11"/>
      <c r="E1235" s="45"/>
      <c r="F1235" s="44"/>
      <c r="G1235" s="11"/>
      <c r="K1235" s="40"/>
      <c r="N1235" s="11"/>
      <c r="O1235" s="11"/>
      <c r="P1235" s="11"/>
      <c r="Q1235" s="11"/>
      <c r="R1235" s="11"/>
      <c r="S1235" s="11"/>
      <c r="T1235" s="11"/>
      <c r="U1235" s="11"/>
      <c r="V1235" s="11"/>
      <c r="W1235" s="11"/>
      <c r="X1235" s="11"/>
      <c r="Y1235" s="77"/>
      <c r="Z1235" s="11"/>
      <c r="AA1235" s="11"/>
      <c r="AB1235" s="11"/>
      <c r="AC1235" s="11"/>
      <c r="AD1235" s="40"/>
      <c r="AE1235" s="11"/>
      <c r="AF1235" s="40"/>
      <c r="AG1235" s="126"/>
      <c r="AI1235" s="11"/>
      <c r="AJ1235" s="11"/>
      <c r="AK1235" s="11"/>
      <c r="AL1235" s="11"/>
      <c r="AM1235" s="11"/>
      <c r="AN1235" s="11"/>
      <c r="AO1235" s="11"/>
      <c r="AP1235" s="78"/>
      <c r="AR1235" s="78"/>
      <c r="AS1235" s="78"/>
      <c r="AT1235" s="78"/>
      <c r="AW1235" s="78"/>
      <c r="AY1235" s="11"/>
      <c r="BE1235" s="38"/>
      <c r="BF1235" s="38"/>
      <c r="BG1235" s="79"/>
      <c r="BH1235" s="11"/>
      <c r="BI1235" s="1"/>
      <c r="BJ1235" s="2"/>
      <c r="BK1235" s="1"/>
      <c r="BL1235" s="1"/>
      <c r="BM1235" s="7"/>
      <c r="BN1235" s="7"/>
      <c r="BO1235" s="1"/>
      <c r="BP1235" s="11"/>
      <c r="BQ1235" s="11"/>
    </row>
    <row r="1236" spans="1:69" x14ac:dyDescent="0.3">
      <c r="A1236" s="7"/>
      <c r="B1236" s="11"/>
      <c r="C1236" s="11"/>
      <c r="D1236" s="11"/>
      <c r="E1236" s="45"/>
      <c r="F1236" s="44"/>
      <c r="G1236" s="11"/>
      <c r="K1236" s="40"/>
      <c r="N1236" s="11"/>
      <c r="O1236" s="11"/>
      <c r="P1236" s="11"/>
      <c r="Q1236" s="11"/>
      <c r="R1236" s="11"/>
      <c r="S1236" s="11"/>
      <c r="T1236" s="11"/>
      <c r="U1236" s="11"/>
      <c r="V1236" s="11"/>
      <c r="W1236" s="11"/>
      <c r="X1236" s="11"/>
      <c r="Y1236" s="11"/>
      <c r="Z1236" s="11"/>
      <c r="AA1236" s="11"/>
      <c r="AB1236" s="11"/>
      <c r="AC1236" s="11"/>
      <c r="AD1236" s="40"/>
      <c r="AE1236" s="11"/>
      <c r="AF1236" s="40"/>
      <c r="AI1236" s="11"/>
      <c r="AJ1236" s="11"/>
      <c r="AK1236" s="11"/>
      <c r="AL1236" s="11"/>
      <c r="AM1236" s="11"/>
      <c r="AN1236" s="11"/>
      <c r="AO1236" s="11"/>
      <c r="AY1236" s="11"/>
      <c r="BE1236" s="38"/>
      <c r="BF1236" s="38"/>
      <c r="BG1236" s="38"/>
      <c r="BH1236" s="11"/>
      <c r="BI1236" s="1"/>
      <c r="BJ1236" s="2"/>
      <c r="BK1236" s="1"/>
      <c r="BL1236" s="1"/>
      <c r="BM1236" s="7"/>
      <c r="BN1236" s="7"/>
      <c r="BO1236" s="1"/>
      <c r="BP1236" s="11"/>
      <c r="BQ1236" s="11"/>
    </row>
    <row r="1237" spans="1:69" x14ac:dyDescent="0.3">
      <c r="A1237" s="7"/>
      <c r="B1237" s="11"/>
      <c r="C1237" s="11"/>
      <c r="D1237" s="11"/>
      <c r="E1237" s="45"/>
      <c r="F1237" s="40"/>
      <c r="G1237" s="11"/>
      <c r="K1237" s="40"/>
      <c r="N1237" s="11"/>
      <c r="O1237" s="11"/>
      <c r="P1237" s="11"/>
      <c r="Q1237" s="11"/>
      <c r="R1237" s="11"/>
      <c r="S1237" s="11"/>
      <c r="T1237" s="11"/>
      <c r="U1237" s="11"/>
      <c r="V1237" s="11"/>
      <c r="W1237" s="11"/>
      <c r="X1237" s="11"/>
      <c r="Y1237" s="11"/>
      <c r="Z1237" s="11"/>
      <c r="AA1237" s="11"/>
      <c r="AB1237" s="11"/>
      <c r="AC1237" s="11"/>
      <c r="AD1237" s="40"/>
      <c r="AE1237" s="11"/>
      <c r="AF1237" s="40"/>
      <c r="AI1237" s="11"/>
      <c r="AJ1237" s="11"/>
      <c r="AK1237" s="11"/>
      <c r="AL1237" s="11"/>
      <c r="AM1237" s="11"/>
      <c r="AN1237" s="11"/>
      <c r="AO1237" s="11"/>
      <c r="AY1237" s="11"/>
      <c r="BE1237" s="38"/>
      <c r="BF1237" s="38"/>
      <c r="BG1237" s="38"/>
      <c r="BH1237" s="11"/>
      <c r="BI1237" s="1"/>
      <c r="BJ1237" s="2"/>
      <c r="BK1237" s="1"/>
      <c r="BL1237" s="1"/>
      <c r="BM1237" s="7"/>
      <c r="BN1237" s="7"/>
      <c r="BO1237" s="1"/>
      <c r="BP1237" s="11"/>
      <c r="BQ1237" s="11"/>
    </row>
    <row r="1238" spans="1:69" x14ac:dyDescent="0.3">
      <c r="A1238" s="7"/>
      <c r="B1238" s="11"/>
      <c r="C1238" s="11"/>
      <c r="D1238" s="11"/>
      <c r="E1238" s="45"/>
      <c r="F1238" s="40"/>
      <c r="G1238" s="11"/>
      <c r="K1238" s="40"/>
      <c r="N1238" s="11"/>
      <c r="O1238" s="11"/>
      <c r="P1238" s="11"/>
      <c r="Q1238" s="11"/>
      <c r="R1238" s="11"/>
      <c r="S1238" s="11"/>
      <c r="T1238" s="11"/>
      <c r="U1238" s="11"/>
      <c r="V1238" s="11"/>
      <c r="W1238" s="11"/>
      <c r="X1238" s="11"/>
      <c r="Y1238" s="11"/>
      <c r="Z1238" s="11"/>
      <c r="AA1238" s="11"/>
      <c r="AB1238" s="11"/>
      <c r="AC1238" s="11"/>
      <c r="AD1238" s="40"/>
      <c r="AE1238" s="11"/>
      <c r="AF1238" s="40"/>
      <c r="AI1238" s="11"/>
      <c r="AJ1238" s="11"/>
      <c r="AK1238" s="11"/>
      <c r="AL1238" s="11"/>
      <c r="AM1238" s="11"/>
      <c r="AN1238" s="11"/>
      <c r="AO1238" s="11"/>
      <c r="AY1238" s="11"/>
      <c r="BE1238" s="38"/>
      <c r="BF1238" s="38"/>
      <c r="BG1238" s="38"/>
      <c r="BH1238" s="11"/>
      <c r="BI1238" s="1"/>
      <c r="BJ1238" s="2"/>
      <c r="BK1238" s="1"/>
      <c r="BL1238" s="1"/>
      <c r="BM1238" s="7"/>
      <c r="BN1238" s="7"/>
      <c r="BO1238" s="1"/>
      <c r="BP1238" s="11"/>
      <c r="BQ1238" s="11"/>
    </row>
    <row r="1239" spans="1:69" x14ac:dyDescent="0.3">
      <c r="A1239" s="7"/>
      <c r="B1239" s="11"/>
      <c r="C1239" s="11"/>
      <c r="D1239" s="11"/>
      <c r="E1239" s="45"/>
      <c r="F1239" s="40"/>
      <c r="G1239" s="11"/>
      <c r="K1239" s="40"/>
      <c r="N1239" s="11"/>
      <c r="O1239" s="11"/>
      <c r="P1239" s="11"/>
      <c r="Q1239" s="11"/>
      <c r="R1239" s="11"/>
      <c r="S1239" s="11"/>
      <c r="T1239" s="11"/>
      <c r="U1239" s="11"/>
      <c r="V1239" s="11"/>
      <c r="W1239" s="11"/>
      <c r="X1239" s="11"/>
      <c r="Y1239" s="11"/>
      <c r="Z1239" s="11"/>
      <c r="AA1239" s="11"/>
      <c r="AB1239" s="11"/>
      <c r="AC1239" s="11"/>
      <c r="AD1239" s="40"/>
      <c r="AE1239" s="11"/>
      <c r="AF1239" s="40"/>
      <c r="AI1239" s="11"/>
      <c r="AJ1239" s="11"/>
      <c r="AK1239" s="11"/>
      <c r="AL1239" s="11"/>
      <c r="AM1239" s="11"/>
      <c r="AN1239" s="11"/>
      <c r="AO1239" s="11"/>
      <c r="AY1239" s="11"/>
      <c r="BE1239" s="38"/>
      <c r="BF1239" s="38"/>
      <c r="BG1239" s="38"/>
      <c r="BH1239" s="11"/>
      <c r="BI1239" s="1"/>
      <c r="BJ1239" s="2"/>
      <c r="BK1239" s="1"/>
      <c r="BL1239" s="1"/>
      <c r="BM1239" s="7"/>
      <c r="BN1239" s="7"/>
      <c r="BO1239" s="1"/>
      <c r="BP1239" s="11"/>
      <c r="BQ1239" s="11"/>
    </row>
    <row r="1240" spans="1:69" x14ac:dyDescent="0.3">
      <c r="A1240" s="7"/>
      <c r="B1240" s="11"/>
      <c r="C1240" s="11"/>
      <c r="D1240" s="11"/>
      <c r="E1240" s="45"/>
      <c r="F1240" s="40"/>
      <c r="G1240" s="11"/>
      <c r="K1240" s="40"/>
      <c r="N1240" s="11"/>
      <c r="O1240" s="11"/>
      <c r="P1240" s="11"/>
      <c r="Q1240" s="11"/>
      <c r="R1240" s="11"/>
      <c r="S1240" s="11"/>
      <c r="T1240" s="11"/>
      <c r="U1240" s="11"/>
      <c r="V1240" s="11"/>
      <c r="W1240" s="11"/>
      <c r="X1240" s="11"/>
      <c r="Y1240" s="11"/>
      <c r="Z1240" s="11"/>
      <c r="AA1240" s="11"/>
      <c r="AB1240" s="11"/>
      <c r="AC1240" s="11"/>
      <c r="AD1240" s="40"/>
      <c r="AE1240" s="11"/>
      <c r="AF1240" s="40"/>
      <c r="AI1240" s="11"/>
      <c r="AJ1240" s="11"/>
      <c r="AK1240" s="11"/>
      <c r="AL1240" s="11"/>
      <c r="AM1240" s="11"/>
      <c r="AN1240" s="11"/>
      <c r="AO1240" s="11"/>
      <c r="AY1240" s="11"/>
      <c r="BE1240" s="38"/>
      <c r="BF1240" s="38"/>
      <c r="BG1240" s="38"/>
      <c r="BH1240" s="11"/>
      <c r="BI1240" s="1"/>
      <c r="BJ1240" s="2"/>
      <c r="BK1240" s="1"/>
      <c r="BL1240" s="1"/>
      <c r="BM1240" s="7"/>
      <c r="BN1240" s="7"/>
      <c r="BO1240" s="1"/>
      <c r="BP1240" s="11"/>
      <c r="BQ1240" s="11"/>
    </row>
    <row r="1241" spans="1:69" x14ac:dyDescent="0.3">
      <c r="A1241" s="7"/>
      <c r="B1241" s="11"/>
      <c r="C1241" s="11"/>
      <c r="D1241" s="11"/>
      <c r="E1241" s="45"/>
      <c r="F1241" s="40"/>
      <c r="G1241" s="11"/>
      <c r="K1241" s="40"/>
      <c r="N1241" s="11"/>
      <c r="O1241" s="11"/>
      <c r="P1241" s="11"/>
      <c r="Q1241" s="11"/>
      <c r="R1241" s="11"/>
      <c r="S1241" s="11"/>
      <c r="T1241" s="11"/>
      <c r="U1241" s="11"/>
      <c r="V1241" s="11"/>
      <c r="W1241" s="11"/>
      <c r="X1241" s="11"/>
      <c r="Y1241" s="11"/>
      <c r="Z1241" s="11"/>
      <c r="AA1241" s="11"/>
      <c r="AB1241" s="11"/>
      <c r="AC1241" s="11"/>
      <c r="AD1241" s="40"/>
      <c r="AE1241" s="11"/>
      <c r="AF1241" s="40"/>
      <c r="AI1241" s="11"/>
      <c r="AJ1241" s="11"/>
      <c r="AK1241" s="11"/>
      <c r="AL1241" s="11"/>
      <c r="AM1241" s="11"/>
      <c r="AN1241" s="11"/>
      <c r="AO1241" s="11"/>
      <c r="AY1241" s="11"/>
      <c r="BE1241" s="38"/>
      <c r="BF1241" s="38"/>
      <c r="BG1241" s="38"/>
      <c r="BH1241" s="11"/>
      <c r="BI1241" s="1"/>
      <c r="BJ1241" s="2"/>
      <c r="BK1241" s="1"/>
      <c r="BL1241" s="1"/>
      <c r="BM1241" s="7"/>
      <c r="BN1241" s="7"/>
      <c r="BO1241" s="1"/>
      <c r="BP1241" s="11"/>
      <c r="BQ1241" s="11"/>
    </row>
    <row r="1242" spans="1:69" x14ac:dyDescent="0.3">
      <c r="A1242" s="7"/>
      <c r="B1242" s="11"/>
      <c r="C1242" s="11"/>
      <c r="D1242" s="11"/>
      <c r="E1242" s="45"/>
      <c r="F1242" s="40"/>
      <c r="G1242" s="11"/>
      <c r="K1242" s="40"/>
      <c r="N1242" s="11"/>
      <c r="O1242" s="11"/>
      <c r="P1242" s="11"/>
      <c r="Q1242" s="11"/>
      <c r="R1242" s="11"/>
      <c r="S1242" s="11"/>
      <c r="T1242" s="11"/>
      <c r="U1242" s="11"/>
      <c r="V1242" s="11"/>
      <c r="W1242" s="11"/>
      <c r="X1242" s="11"/>
      <c r="Y1242" s="11"/>
      <c r="Z1242" s="11"/>
      <c r="AA1242" s="11"/>
      <c r="AB1242" s="11"/>
      <c r="AC1242" s="11"/>
      <c r="AD1242" s="40"/>
      <c r="AE1242" s="11"/>
      <c r="AF1242" s="40"/>
      <c r="AI1242" s="11"/>
      <c r="AJ1242" s="11"/>
      <c r="AK1242" s="11"/>
      <c r="AL1242" s="11"/>
      <c r="AM1242" s="11"/>
      <c r="AN1242" s="11"/>
      <c r="AO1242" s="11"/>
      <c r="AY1242" s="11"/>
      <c r="BE1242" s="38"/>
      <c r="BF1242" s="38"/>
      <c r="BG1242" s="38"/>
      <c r="BH1242" s="11"/>
      <c r="BI1242" s="1"/>
      <c r="BJ1242" s="2"/>
      <c r="BK1242" s="1"/>
      <c r="BL1242" s="1"/>
      <c r="BM1242" s="7"/>
      <c r="BN1242" s="7"/>
      <c r="BO1242" s="1"/>
      <c r="BP1242" s="11"/>
      <c r="BQ1242" s="11"/>
    </row>
    <row r="1243" spans="1:69" x14ac:dyDescent="0.3">
      <c r="A1243" s="7"/>
      <c r="B1243" s="11"/>
      <c r="C1243" s="11"/>
      <c r="D1243" s="11"/>
      <c r="E1243" s="45"/>
      <c r="F1243" s="40"/>
      <c r="G1243" s="11"/>
      <c r="K1243" s="40"/>
      <c r="N1243" s="11"/>
      <c r="O1243" s="11"/>
      <c r="P1243" s="11"/>
      <c r="Q1243" s="11"/>
      <c r="R1243" s="11"/>
      <c r="S1243" s="11"/>
      <c r="T1243" s="11"/>
      <c r="U1243" s="11"/>
      <c r="V1243" s="11"/>
      <c r="W1243" s="11"/>
      <c r="X1243" s="11"/>
      <c r="Y1243" s="11"/>
      <c r="Z1243" s="11"/>
      <c r="AA1243" s="11"/>
      <c r="AB1243" s="11"/>
      <c r="AC1243" s="11"/>
      <c r="AD1243" s="40"/>
      <c r="AE1243" s="11"/>
      <c r="AF1243" s="40"/>
      <c r="AI1243" s="11"/>
      <c r="AJ1243" s="11"/>
      <c r="AK1243" s="11"/>
      <c r="AL1243" s="11"/>
      <c r="AM1243" s="11"/>
      <c r="AN1243" s="11"/>
      <c r="AO1243" s="11"/>
      <c r="AY1243" s="11"/>
      <c r="BE1243" s="38"/>
      <c r="BF1243" s="38"/>
      <c r="BG1243" s="38"/>
      <c r="BH1243" s="11"/>
      <c r="BI1243" s="1"/>
      <c r="BJ1243" s="2"/>
      <c r="BK1243" s="1"/>
      <c r="BL1243" s="1"/>
      <c r="BM1243" s="7"/>
      <c r="BN1243" s="7"/>
      <c r="BO1243" s="1"/>
      <c r="BP1243" s="11"/>
      <c r="BQ1243" s="11"/>
    </row>
    <row r="1244" spans="1:69" x14ac:dyDescent="0.3">
      <c r="A1244" s="7"/>
      <c r="B1244" s="11"/>
      <c r="C1244" s="11"/>
      <c r="D1244" s="11"/>
      <c r="E1244" s="45"/>
      <c r="F1244" s="40"/>
      <c r="G1244" s="11"/>
      <c r="K1244" s="40"/>
      <c r="N1244" s="11"/>
      <c r="O1244" s="11"/>
      <c r="P1244" s="11"/>
      <c r="Q1244" s="11"/>
      <c r="R1244" s="11"/>
      <c r="S1244" s="11"/>
      <c r="T1244" s="11"/>
      <c r="U1244" s="11"/>
      <c r="V1244" s="11"/>
      <c r="W1244" s="11"/>
      <c r="X1244" s="11"/>
      <c r="Y1244" s="11"/>
      <c r="Z1244" s="11"/>
      <c r="AA1244" s="11"/>
      <c r="AB1244" s="11"/>
      <c r="AC1244" s="11"/>
      <c r="AD1244" s="40"/>
      <c r="AE1244" s="11"/>
      <c r="AF1244" s="40"/>
      <c r="AI1244" s="11"/>
      <c r="AJ1244" s="11"/>
      <c r="AK1244" s="11"/>
      <c r="AL1244" s="11"/>
      <c r="AM1244" s="11"/>
      <c r="AN1244" s="11"/>
      <c r="AO1244" s="11"/>
      <c r="AY1244" s="11"/>
      <c r="BE1244" s="38"/>
      <c r="BF1244" s="38"/>
      <c r="BG1244" s="38"/>
      <c r="BH1244" s="11"/>
      <c r="BI1244" s="1"/>
      <c r="BJ1244" s="2"/>
      <c r="BK1244" s="1"/>
      <c r="BL1244" s="1"/>
      <c r="BM1244" s="7"/>
      <c r="BN1244" s="7"/>
      <c r="BO1244" s="1"/>
      <c r="BP1244" s="11"/>
      <c r="BQ1244" s="11"/>
    </row>
    <row r="1245" spans="1:69" x14ac:dyDescent="0.3">
      <c r="A1245" s="7"/>
      <c r="B1245" s="11"/>
      <c r="C1245" s="11"/>
      <c r="D1245" s="11"/>
      <c r="E1245" s="45"/>
      <c r="F1245" s="40"/>
      <c r="G1245" s="11"/>
      <c r="K1245" s="40"/>
      <c r="N1245" s="11"/>
      <c r="O1245" s="11"/>
      <c r="P1245" s="11"/>
      <c r="Q1245" s="11"/>
      <c r="R1245" s="11"/>
      <c r="S1245" s="11"/>
      <c r="T1245" s="11"/>
      <c r="U1245" s="11"/>
      <c r="V1245" s="11"/>
      <c r="W1245" s="11"/>
      <c r="X1245" s="11"/>
      <c r="Y1245" s="11"/>
      <c r="Z1245" s="11"/>
      <c r="AA1245" s="11"/>
      <c r="AB1245" s="11"/>
      <c r="AC1245" s="11"/>
      <c r="AD1245" s="40"/>
      <c r="AE1245" s="11"/>
      <c r="AF1245" s="40"/>
      <c r="AI1245" s="11"/>
      <c r="AJ1245" s="11"/>
      <c r="AK1245" s="11"/>
      <c r="AL1245" s="11"/>
      <c r="AM1245" s="11"/>
      <c r="AN1245" s="11"/>
      <c r="AO1245" s="11"/>
      <c r="AY1245" s="11"/>
      <c r="BE1245" s="38"/>
      <c r="BF1245" s="38"/>
      <c r="BG1245" s="38"/>
      <c r="BH1245" s="11"/>
      <c r="BI1245" s="1"/>
      <c r="BJ1245" s="2"/>
      <c r="BK1245" s="1"/>
      <c r="BL1245" s="1"/>
      <c r="BM1245" s="7"/>
      <c r="BN1245" s="7"/>
      <c r="BO1245" s="1"/>
      <c r="BP1245" s="11"/>
      <c r="BQ1245" s="11"/>
    </row>
    <row r="1246" spans="1:69" x14ac:dyDescent="0.3">
      <c r="A1246" s="7"/>
      <c r="B1246" s="11"/>
      <c r="C1246" s="11"/>
      <c r="D1246" s="11"/>
      <c r="E1246" s="45"/>
      <c r="F1246" s="40"/>
      <c r="G1246" s="11"/>
      <c r="K1246" s="40"/>
      <c r="N1246" s="11"/>
      <c r="O1246" s="11"/>
      <c r="P1246" s="11"/>
      <c r="Q1246" s="11"/>
      <c r="R1246" s="11"/>
      <c r="S1246" s="11"/>
      <c r="T1246" s="11"/>
      <c r="U1246" s="11"/>
      <c r="V1246" s="11"/>
      <c r="W1246" s="11"/>
      <c r="X1246" s="11"/>
      <c r="Y1246" s="11"/>
      <c r="Z1246" s="11"/>
      <c r="AA1246" s="11"/>
      <c r="AB1246" s="11"/>
      <c r="AC1246" s="11"/>
      <c r="AD1246" s="40"/>
      <c r="AE1246" s="11"/>
      <c r="AF1246" s="40"/>
      <c r="AI1246" s="11"/>
      <c r="AJ1246" s="11"/>
      <c r="AK1246" s="11"/>
      <c r="AL1246" s="11"/>
      <c r="AM1246" s="11"/>
      <c r="AN1246" s="11"/>
      <c r="AO1246" s="11"/>
      <c r="AY1246" s="11"/>
      <c r="BE1246" s="38"/>
      <c r="BF1246" s="38"/>
      <c r="BG1246" s="38"/>
      <c r="BH1246" s="11"/>
      <c r="BI1246" s="1"/>
      <c r="BJ1246" s="2"/>
      <c r="BK1246" s="1"/>
      <c r="BL1246" s="1"/>
      <c r="BM1246" s="7"/>
      <c r="BN1246" s="7"/>
      <c r="BO1246" s="1"/>
      <c r="BP1246" s="11"/>
      <c r="BQ1246" s="11"/>
    </row>
    <row r="1247" spans="1:69" x14ac:dyDescent="0.3">
      <c r="A1247" s="7"/>
      <c r="B1247" s="11"/>
      <c r="C1247" s="11"/>
      <c r="D1247" s="11"/>
      <c r="E1247" s="45"/>
      <c r="F1247" s="40"/>
      <c r="G1247" s="11"/>
      <c r="K1247" s="40"/>
      <c r="N1247" s="11"/>
      <c r="O1247" s="11"/>
      <c r="P1247" s="11"/>
      <c r="Q1247" s="11"/>
      <c r="R1247" s="11"/>
      <c r="S1247" s="11"/>
      <c r="T1247" s="11"/>
      <c r="U1247" s="11"/>
      <c r="V1247" s="11"/>
      <c r="W1247" s="11"/>
      <c r="X1247" s="11"/>
      <c r="Y1247" s="11"/>
      <c r="Z1247" s="11"/>
      <c r="AA1247" s="11"/>
      <c r="AB1247" s="11"/>
      <c r="AC1247" s="11"/>
      <c r="AD1247" s="40"/>
      <c r="AE1247" s="11"/>
      <c r="AF1247" s="40"/>
      <c r="AI1247" s="11"/>
      <c r="AJ1247" s="11"/>
      <c r="AK1247" s="11"/>
      <c r="AL1247" s="11"/>
      <c r="AM1247" s="11"/>
      <c r="AN1247" s="11"/>
      <c r="AO1247" s="11"/>
      <c r="AY1247" s="11"/>
      <c r="BE1247" s="38"/>
      <c r="BF1247" s="38"/>
      <c r="BG1247" s="38"/>
      <c r="BH1247" s="11"/>
      <c r="BI1247" s="1"/>
      <c r="BJ1247" s="2"/>
      <c r="BK1247" s="1"/>
      <c r="BL1247" s="1"/>
      <c r="BM1247" s="7"/>
      <c r="BN1247" s="7"/>
      <c r="BO1247" s="1"/>
      <c r="BP1247" s="11"/>
      <c r="BQ1247" s="11"/>
    </row>
    <row r="1248" spans="1:69" x14ac:dyDescent="0.3">
      <c r="A1248" s="7"/>
      <c r="B1248" s="11"/>
      <c r="C1248" s="11"/>
      <c r="D1248" s="11"/>
      <c r="E1248" s="45"/>
      <c r="F1248" s="40"/>
      <c r="G1248" s="11"/>
      <c r="K1248" s="40"/>
      <c r="N1248" s="11"/>
      <c r="O1248" s="11"/>
      <c r="P1248" s="11"/>
      <c r="Q1248" s="11"/>
      <c r="R1248" s="11"/>
      <c r="S1248" s="11"/>
      <c r="T1248" s="11"/>
      <c r="U1248" s="11"/>
      <c r="V1248" s="11"/>
      <c r="W1248" s="11"/>
      <c r="X1248" s="11"/>
      <c r="Y1248" s="11"/>
      <c r="Z1248" s="11"/>
      <c r="AA1248" s="11"/>
      <c r="AB1248" s="11"/>
      <c r="AC1248" s="11"/>
      <c r="AD1248" s="40"/>
      <c r="AE1248" s="11"/>
      <c r="AF1248" s="40"/>
      <c r="AI1248" s="11"/>
      <c r="AJ1248" s="11"/>
      <c r="AK1248" s="11"/>
      <c r="AL1248" s="11"/>
      <c r="AM1248" s="11"/>
      <c r="AN1248" s="11"/>
      <c r="AO1248" s="11"/>
      <c r="AY1248" s="11"/>
      <c r="BE1248" s="38"/>
      <c r="BF1248" s="38"/>
      <c r="BG1248" s="38"/>
      <c r="BH1248" s="11"/>
      <c r="BI1248" s="1"/>
      <c r="BJ1248" s="2"/>
      <c r="BK1248" s="1"/>
      <c r="BL1248" s="1"/>
      <c r="BM1248" s="7"/>
      <c r="BN1248" s="7"/>
      <c r="BO1248" s="1"/>
      <c r="BP1248" s="11"/>
      <c r="BQ1248" s="11"/>
    </row>
    <row r="1249" spans="1:69" x14ac:dyDescent="0.3">
      <c r="A1249" s="7"/>
      <c r="B1249" s="11"/>
      <c r="C1249" s="11"/>
      <c r="D1249" s="11"/>
      <c r="E1249" s="45"/>
      <c r="F1249" s="40"/>
      <c r="G1249" s="11"/>
      <c r="K1249" s="40"/>
      <c r="N1249" s="11"/>
      <c r="O1249" s="11"/>
      <c r="P1249" s="11"/>
      <c r="Q1249" s="11"/>
      <c r="R1249" s="11"/>
      <c r="S1249" s="11"/>
      <c r="T1249" s="11"/>
      <c r="U1249" s="11"/>
      <c r="V1249" s="11"/>
      <c r="W1249" s="11"/>
      <c r="X1249" s="11"/>
      <c r="Y1249" s="11"/>
      <c r="Z1249" s="11"/>
      <c r="AA1249" s="11"/>
      <c r="AB1249" s="11"/>
      <c r="AC1249" s="11"/>
      <c r="AD1249" s="40"/>
      <c r="AE1249" s="11"/>
      <c r="AF1249" s="40"/>
      <c r="AI1249" s="11"/>
      <c r="AJ1249" s="11"/>
      <c r="AK1249" s="11"/>
      <c r="AL1249" s="11"/>
      <c r="AM1249" s="11"/>
      <c r="AN1249" s="11"/>
      <c r="AO1249" s="11"/>
      <c r="AY1249" s="11"/>
      <c r="BE1249" s="38"/>
      <c r="BF1249" s="38"/>
      <c r="BG1249" s="38"/>
      <c r="BH1249" s="11"/>
      <c r="BI1249" s="1"/>
      <c r="BJ1249" s="2"/>
      <c r="BK1249" s="1"/>
      <c r="BL1249" s="1"/>
      <c r="BM1249" s="7"/>
      <c r="BN1249" s="7"/>
      <c r="BO1249" s="1"/>
      <c r="BP1249" s="11"/>
      <c r="BQ1249" s="11"/>
    </row>
    <row r="1250" spans="1:69" x14ac:dyDescent="0.3">
      <c r="A1250" s="7"/>
      <c r="B1250" s="11"/>
      <c r="C1250" s="11"/>
      <c r="D1250" s="11"/>
      <c r="E1250" s="45"/>
      <c r="F1250" s="40"/>
      <c r="G1250" s="11"/>
      <c r="K1250" s="40"/>
      <c r="N1250" s="11"/>
      <c r="O1250" s="11"/>
      <c r="P1250" s="11"/>
      <c r="Q1250" s="11"/>
      <c r="R1250" s="11"/>
      <c r="S1250" s="11"/>
      <c r="T1250" s="11"/>
      <c r="U1250" s="11"/>
      <c r="V1250" s="11"/>
      <c r="W1250" s="11"/>
      <c r="X1250" s="11"/>
      <c r="Y1250" s="11"/>
      <c r="Z1250" s="11"/>
      <c r="AA1250" s="11"/>
      <c r="AB1250" s="11"/>
      <c r="AC1250" s="11"/>
      <c r="AD1250" s="40"/>
      <c r="AE1250" s="11"/>
      <c r="AF1250" s="40"/>
      <c r="AI1250" s="11"/>
      <c r="AJ1250" s="11"/>
      <c r="AK1250" s="11"/>
      <c r="AL1250" s="11"/>
      <c r="AM1250" s="11"/>
      <c r="AN1250" s="11"/>
      <c r="AO1250" s="11"/>
      <c r="AY1250" s="11"/>
      <c r="BE1250" s="38"/>
      <c r="BF1250" s="38"/>
      <c r="BG1250" s="38"/>
      <c r="BH1250" s="11"/>
      <c r="BI1250" s="1"/>
      <c r="BJ1250" s="2"/>
      <c r="BK1250" s="1"/>
      <c r="BL1250" s="1"/>
      <c r="BM1250" s="7"/>
      <c r="BN1250" s="7"/>
      <c r="BO1250" s="1"/>
      <c r="BP1250" s="11"/>
      <c r="BQ1250" s="11"/>
    </row>
    <row r="1251" spans="1:69" x14ac:dyDescent="0.3">
      <c r="A1251" s="7"/>
      <c r="B1251" s="11"/>
      <c r="C1251" s="11"/>
      <c r="D1251" s="11"/>
      <c r="E1251" s="45"/>
      <c r="F1251" s="40"/>
      <c r="G1251" s="11"/>
      <c r="K1251" s="40"/>
      <c r="N1251" s="11"/>
      <c r="O1251" s="11"/>
      <c r="P1251" s="11"/>
      <c r="Q1251" s="11"/>
      <c r="R1251" s="11"/>
      <c r="S1251" s="11"/>
      <c r="T1251" s="11"/>
      <c r="U1251" s="11"/>
      <c r="V1251" s="11"/>
      <c r="W1251" s="11"/>
      <c r="X1251" s="11"/>
      <c r="Y1251" s="11"/>
      <c r="Z1251" s="11"/>
      <c r="AA1251" s="11"/>
      <c r="AB1251" s="11"/>
      <c r="AC1251" s="11"/>
      <c r="AD1251" s="40"/>
      <c r="AE1251" s="11"/>
      <c r="AF1251" s="40"/>
      <c r="AI1251" s="11"/>
      <c r="AJ1251" s="11"/>
      <c r="AK1251" s="11"/>
      <c r="AL1251" s="11"/>
      <c r="AM1251" s="11"/>
      <c r="AN1251" s="11"/>
      <c r="AO1251" s="11"/>
      <c r="AY1251" s="11"/>
      <c r="BE1251" s="38"/>
      <c r="BF1251" s="38"/>
      <c r="BG1251" s="38"/>
      <c r="BH1251" s="11"/>
      <c r="BI1251" s="1"/>
      <c r="BJ1251" s="2"/>
      <c r="BK1251" s="1"/>
      <c r="BL1251" s="1"/>
      <c r="BM1251" s="7"/>
      <c r="BN1251" s="7"/>
      <c r="BO1251" s="1"/>
      <c r="BP1251" s="11"/>
      <c r="BQ1251" s="11"/>
    </row>
    <row r="1252" spans="1:69" x14ac:dyDescent="0.3">
      <c r="A1252" s="7"/>
      <c r="B1252" s="11"/>
      <c r="C1252" s="11"/>
      <c r="D1252" s="11"/>
      <c r="E1252" s="45"/>
      <c r="F1252" s="40"/>
      <c r="G1252" s="11"/>
      <c r="K1252" s="40"/>
      <c r="N1252" s="11"/>
      <c r="O1252" s="11"/>
      <c r="P1252" s="11"/>
      <c r="Q1252" s="11"/>
      <c r="R1252" s="11"/>
      <c r="S1252" s="11"/>
      <c r="T1252" s="11"/>
      <c r="U1252" s="11"/>
      <c r="V1252" s="11"/>
      <c r="W1252" s="11"/>
      <c r="X1252" s="11"/>
      <c r="Y1252" s="11"/>
      <c r="Z1252" s="11"/>
      <c r="AA1252" s="11"/>
      <c r="AB1252" s="11"/>
      <c r="AC1252" s="11"/>
      <c r="AD1252" s="40"/>
      <c r="AE1252" s="11"/>
      <c r="AF1252" s="40"/>
      <c r="AI1252" s="11"/>
      <c r="AJ1252" s="11"/>
      <c r="AK1252" s="11"/>
      <c r="AL1252" s="11"/>
      <c r="AM1252" s="11"/>
      <c r="AN1252" s="11"/>
      <c r="AO1252" s="11"/>
      <c r="AY1252" s="11"/>
      <c r="BE1252" s="38"/>
      <c r="BF1252" s="38"/>
      <c r="BG1252" s="38"/>
      <c r="BH1252" s="11"/>
      <c r="BI1252" s="1"/>
      <c r="BJ1252" s="2"/>
      <c r="BK1252" s="1"/>
      <c r="BL1252" s="1"/>
      <c r="BM1252" s="7"/>
      <c r="BN1252" s="7"/>
      <c r="BO1252" s="1"/>
      <c r="BP1252" s="11"/>
      <c r="BQ1252" s="11"/>
    </row>
    <row r="1253" spans="1:69" x14ac:dyDescent="0.3">
      <c r="A1253" s="7"/>
      <c r="B1253" s="11"/>
      <c r="C1253" s="11"/>
      <c r="D1253" s="11"/>
      <c r="E1253" s="45"/>
      <c r="F1253" s="40"/>
      <c r="G1253" s="11"/>
      <c r="K1253" s="40"/>
      <c r="N1253" s="11"/>
      <c r="O1253" s="11"/>
      <c r="P1253" s="11"/>
      <c r="Q1253" s="11"/>
      <c r="R1253" s="11"/>
      <c r="S1253" s="11"/>
      <c r="T1253" s="11"/>
      <c r="U1253" s="11"/>
      <c r="V1253" s="11"/>
      <c r="W1253" s="11"/>
      <c r="X1253" s="11"/>
      <c r="Y1253" s="11"/>
      <c r="Z1253" s="11"/>
      <c r="AA1253" s="11"/>
      <c r="AB1253" s="11"/>
      <c r="AC1253" s="11"/>
      <c r="AD1253" s="40"/>
      <c r="AE1253" s="11"/>
      <c r="AF1253" s="40"/>
      <c r="AI1253" s="11"/>
      <c r="AJ1253" s="11"/>
      <c r="AK1253" s="11"/>
      <c r="AL1253" s="11"/>
      <c r="AM1253" s="11"/>
      <c r="AN1253" s="11"/>
      <c r="AO1253" s="11"/>
      <c r="AY1253" s="11"/>
      <c r="BE1253" s="38"/>
      <c r="BF1253" s="38"/>
      <c r="BG1253" s="38"/>
      <c r="BH1253" s="11"/>
      <c r="BI1253" s="1"/>
      <c r="BJ1253" s="2"/>
      <c r="BK1253" s="1"/>
      <c r="BL1253" s="1"/>
      <c r="BM1253" s="7"/>
      <c r="BN1253" s="7"/>
      <c r="BO1253" s="1"/>
      <c r="BP1253" s="11"/>
      <c r="BQ1253" s="11"/>
    </row>
    <row r="1254" spans="1:69" x14ac:dyDescent="0.3">
      <c r="A1254" s="7"/>
      <c r="B1254" s="11"/>
      <c r="C1254" s="11"/>
      <c r="D1254" s="11"/>
      <c r="E1254" s="45"/>
      <c r="F1254" s="40"/>
      <c r="G1254" s="11"/>
      <c r="K1254" s="40"/>
      <c r="N1254" s="11"/>
      <c r="O1254" s="11"/>
      <c r="P1254" s="11"/>
      <c r="Q1254" s="11"/>
      <c r="R1254" s="11"/>
      <c r="S1254" s="11"/>
      <c r="T1254" s="11"/>
      <c r="U1254" s="11"/>
      <c r="V1254" s="11"/>
      <c r="W1254" s="11"/>
      <c r="X1254" s="11"/>
      <c r="Y1254" s="11"/>
      <c r="Z1254" s="11"/>
      <c r="AA1254" s="11"/>
      <c r="AB1254" s="11"/>
      <c r="AC1254" s="11"/>
      <c r="AD1254" s="40"/>
      <c r="AE1254" s="11"/>
      <c r="AF1254" s="40"/>
      <c r="AI1254" s="11"/>
      <c r="AJ1254" s="11"/>
      <c r="AK1254" s="11"/>
      <c r="AL1254" s="11"/>
      <c r="AM1254" s="11"/>
      <c r="AN1254" s="11"/>
      <c r="AO1254" s="11"/>
      <c r="AY1254" s="11"/>
      <c r="BE1254" s="38"/>
      <c r="BF1254" s="38"/>
      <c r="BG1254" s="38"/>
      <c r="BH1254" s="11"/>
      <c r="BI1254" s="1"/>
      <c r="BJ1254" s="2"/>
      <c r="BK1254" s="1"/>
      <c r="BL1254" s="1"/>
      <c r="BM1254" s="7"/>
      <c r="BN1254" s="7"/>
      <c r="BO1254" s="1"/>
      <c r="BP1254" s="11"/>
      <c r="BQ1254" s="11"/>
    </row>
    <row r="1255" spans="1:69" x14ac:dyDescent="0.3">
      <c r="A1255" s="7"/>
      <c r="B1255" s="11"/>
      <c r="C1255" s="11"/>
      <c r="D1255" s="11"/>
      <c r="E1255" s="45"/>
      <c r="F1255" s="40"/>
      <c r="G1255" s="11"/>
      <c r="K1255" s="40"/>
      <c r="N1255" s="11"/>
      <c r="O1255" s="11"/>
      <c r="P1255" s="11"/>
      <c r="Q1255" s="11"/>
      <c r="R1255" s="11"/>
      <c r="S1255" s="11"/>
      <c r="T1255" s="11"/>
      <c r="U1255" s="11"/>
      <c r="V1255" s="11"/>
      <c r="W1255" s="11"/>
      <c r="X1255" s="11"/>
      <c r="Y1255" s="11"/>
      <c r="Z1255" s="11"/>
      <c r="AA1255" s="11"/>
      <c r="AB1255" s="11"/>
      <c r="AC1255" s="11"/>
      <c r="AD1255" s="40"/>
      <c r="AE1255" s="11"/>
      <c r="AF1255" s="40"/>
      <c r="AI1255" s="11"/>
      <c r="AJ1255" s="11"/>
      <c r="AK1255" s="11"/>
      <c r="AL1255" s="11"/>
      <c r="AM1255" s="11"/>
      <c r="AN1255" s="11"/>
      <c r="AO1255" s="11"/>
      <c r="AY1255" s="11"/>
      <c r="BE1255" s="38"/>
      <c r="BF1255" s="38"/>
      <c r="BG1255" s="38"/>
      <c r="BH1255" s="11"/>
      <c r="BI1255" s="1"/>
      <c r="BJ1255" s="2"/>
      <c r="BK1255" s="1"/>
      <c r="BL1255" s="1"/>
      <c r="BM1255" s="7"/>
      <c r="BN1255" s="7"/>
      <c r="BO1255" s="1"/>
      <c r="BP1255" s="11"/>
      <c r="BQ1255" s="11"/>
    </row>
    <row r="1256" spans="1:69" x14ac:dyDescent="0.3">
      <c r="A1256" s="7"/>
      <c r="B1256" s="11"/>
      <c r="C1256" s="11"/>
      <c r="D1256" s="11"/>
      <c r="E1256" s="45"/>
      <c r="F1256" s="40"/>
      <c r="G1256" s="11"/>
      <c r="K1256" s="40"/>
      <c r="N1256" s="11"/>
      <c r="O1256" s="11"/>
      <c r="P1256" s="11"/>
      <c r="Q1256" s="11"/>
      <c r="R1256" s="11"/>
      <c r="S1256" s="11"/>
      <c r="T1256" s="11"/>
      <c r="U1256" s="11"/>
      <c r="V1256" s="11"/>
      <c r="W1256" s="11"/>
      <c r="X1256" s="11"/>
      <c r="Y1256" s="11"/>
      <c r="Z1256" s="11"/>
      <c r="AA1256" s="11"/>
      <c r="AB1256" s="11"/>
      <c r="AC1256" s="11"/>
      <c r="AD1256" s="40"/>
      <c r="AE1256" s="11"/>
      <c r="AF1256" s="40"/>
      <c r="AI1256" s="11"/>
      <c r="AJ1256" s="11"/>
      <c r="AK1256" s="11"/>
      <c r="AL1256" s="11"/>
      <c r="AM1256" s="11"/>
      <c r="AN1256" s="11"/>
      <c r="AO1256" s="11"/>
      <c r="AY1256" s="11"/>
      <c r="BE1256" s="38"/>
      <c r="BF1256" s="38"/>
      <c r="BG1256" s="38"/>
      <c r="BH1256" s="11"/>
      <c r="BI1256" s="1"/>
      <c r="BJ1256" s="2"/>
      <c r="BK1256" s="1"/>
      <c r="BL1256" s="1"/>
      <c r="BM1256" s="7"/>
      <c r="BN1256" s="7"/>
      <c r="BO1256" s="1"/>
      <c r="BP1256" s="11"/>
      <c r="BQ1256" s="11"/>
    </row>
    <row r="1257" spans="1:69" x14ac:dyDescent="0.3">
      <c r="A1257" s="7"/>
      <c r="B1257" s="11"/>
      <c r="C1257" s="11"/>
      <c r="D1257" s="11"/>
      <c r="E1257" s="45"/>
      <c r="F1257" s="40"/>
      <c r="G1257" s="11"/>
      <c r="K1257" s="40"/>
      <c r="N1257" s="11"/>
      <c r="O1257" s="11"/>
      <c r="P1257" s="11"/>
      <c r="Q1257" s="11"/>
      <c r="R1257" s="11"/>
      <c r="S1257" s="11"/>
      <c r="T1257" s="11"/>
      <c r="U1257" s="11"/>
      <c r="V1257" s="11"/>
      <c r="W1257" s="11"/>
      <c r="X1257" s="11"/>
      <c r="Y1257" s="11"/>
      <c r="Z1257" s="11"/>
      <c r="AA1257" s="11"/>
      <c r="AB1257" s="11"/>
      <c r="AC1257" s="11"/>
      <c r="AD1257" s="40"/>
      <c r="AE1257" s="11"/>
      <c r="AF1257" s="40"/>
      <c r="AI1257" s="11"/>
      <c r="AJ1257" s="11"/>
      <c r="AK1257" s="11"/>
      <c r="AL1257" s="11"/>
      <c r="AM1257" s="11"/>
      <c r="AN1257" s="11"/>
      <c r="AO1257" s="11"/>
      <c r="AY1257" s="11"/>
      <c r="BE1257" s="38"/>
      <c r="BF1257" s="38"/>
      <c r="BG1257" s="38"/>
      <c r="BH1257" s="11"/>
      <c r="BI1257" s="1"/>
      <c r="BJ1257" s="2"/>
      <c r="BK1257" s="1"/>
      <c r="BL1257" s="1"/>
      <c r="BM1257" s="7"/>
      <c r="BN1257" s="7"/>
      <c r="BO1257" s="1"/>
      <c r="BP1257" s="11"/>
      <c r="BQ1257" s="11"/>
    </row>
    <row r="1258" spans="1:69" x14ac:dyDescent="0.3">
      <c r="A1258" s="7"/>
      <c r="B1258" s="11"/>
      <c r="C1258" s="11"/>
      <c r="D1258" s="11"/>
      <c r="E1258" s="45"/>
      <c r="F1258" s="40"/>
      <c r="G1258" s="11"/>
      <c r="K1258" s="40"/>
      <c r="N1258" s="11"/>
      <c r="O1258" s="11"/>
      <c r="P1258" s="11"/>
      <c r="Q1258" s="11"/>
      <c r="R1258" s="11"/>
      <c r="S1258" s="11"/>
      <c r="T1258" s="11"/>
      <c r="U1258" s="11"/>
      <c r="V1258" s="11"/>
      <c r="W1258" s="11"/>
      <c r="X1258" s="11"/>
      <c r="Y1258" s="11"/>
      <c r="Z1258" s="11"/>
      <c r="AA1258" s="11"/>
      <c r="AB1258" s="11"/>
      <c r="AC1258" s="11"/>
      <c r="AD1258" s="40"/>
      <c r="AE1258" s="11"/>
      <c r="AF1258" s="40"/>
      <c r="AI1258" s="11"/>
      <c r="AJ1258" s="11"/>
      <c r="AK1258" s="11"/>
      <c r="AL1258" s="11"/>
      <c r="AM1258" s="11"/>
      <c r="AN1258" s="11"/>
      <c r="AO1258" s="11"/>
      <c r="AY1258" s="11"/>
      <c r="BE1258" s="38"/>
      <c r="BF1258" s="38"/>
      <c r="BG1258" s="38"/>
      <c r="BH1258" s="11"/>
      <c r="BI1258" s="1"/>
      <c r="BJ1258" s="2"/>
      <c r="BK1258" s="1"/>
      <c r="BL1258" s="1"/>
      <c r="BM1258" s="7"/>
      <c r="BN1258" s="7"/>
      <c r="BO1258" s="1"/>
      <c r="BP1258" s="11"/>
      <c r="BQ1258" s="11"/>
    </row>
    <row r="1259" spans="1:69" x14ac:dyDescent="0.3">
      <c r="A1259" s="7"/>
      <c r="B1259" s="11"/>
      <c r="C1259" s="11"/>
      <c r="D1259" s="11"/>
      <c r="E1259" s="45"/>
      <c r="F1259" s="40"/>
      <c r="G1259" s="11"/>
      <c r="K1259" s="40"/>
      <c r="N1259" s="11"/>
      <c r="O1259" s="11"/>
      <c r="P1259" s="11"/>
      <c r="Q1259" s="11"/>
      <c r="R1259" s="11"/>
      <c r="S1259" s="11"/>
      <c r="T1259" s="11"/>
      <c r="U1259" s="11"/>
      <c r="V1259" s="11"/>
      <c r="W1259" s="11"/>
      <c r="X1259" s="11"/>
      <c r="Y1259" s="11"/>
      <c r="Z1259" s="11"/>
      <c r="AA1259" s="11"/>
      <c r="AB1259" s="11"/>
      <c r="AC1259" s="11"/>
      <c r="AD1259" s="40"/>
      <c r="AE1259" s="11"/>
      <c r="AF1259" s="40"/>
      <c r="AI1259" s="11"/>
      <c r="AJ1259" s="11"/>
      <c r="AK1259" s="11"/>
      <c r="AL1259" s="11"/>
      <c r="AM1259" s="11"/>
      <c r="AN1259" s="11"/>
      <c r="AO1259" s="11"/>
      <c r="AY1259" s="11"/>
      <c r="BE1259" s="38"/>
      <c r="BF1259" s="38"/>
      <c r="BG1259" s="38"/>
      <c r="BH1259" s="11"/>
      <c r="BI1259" s="1"/>
      <c r="BJ1259" s="2"/>
      <c r="BK1259" s="1"/>
      <c r="BL1259" s="1"/>
      <c r="BM1259" s="7"/>
      <c r="BN1259" s="7"/>
      <c r="BO1259" s="1"/>
      <c r="BP1259" s="11"/>
      <c r="BQ1259" s="11"/>
    </row>
    <row r="1260" spans="1:69" x14ac:dyDescent="0.3">
      <c r="A1260" s="7"/>
      <c r="B1260" s="11"/>
      <c r="C1260" s="11"/>
      <c r="D1260" s="11"/>
      <c r="E1260" s="45"/>
      <c r="F1260" s="40"/>
      <c r="G1260" s="11"/>
      <c r="K1260" s="40"/>
      <c r="N1260" s="11"/>
      <c r="O1260" s="11"/>
      <c r="P1260" s="11"/>
      <c r="Q1260" s="11"/>
      <c r="R1260" s="11"/>
      <c r="S1260" s="11"/>
      <c r="T1260" s="11"/>
      <c r="U1260" s="11"/>
      <c r="V1260" s="11"/>
      <c r="W1260" s="11"/>
      <c r="X1260" s="11"/>
      <c r="Y1260" s="11"/>
      <c r="Z1260" s="11"/>
      <c r="AA1260" s="11"/>
      <c r="AB1260" s="11"/>
      <c r="AC1260" s="11"/>
      <c r="AD1260" s="40"/>
      <c r="AE1260" s="11"/>
      <c r="AF1260" s="40"/>
      <c r="AI1260" s="11"/>
      <c r="AJ1260" s="11"/>
      <c r="AK1260" s="11"/>
      <c r="AL1260" s="11"/>
      <c r="AM1260" s="11"/>
      <c r="AN1260" s="11"/>
      <c r="AO1260" s="11"/>
      <c r="AY1260" s="11"/>
      <c r="BE1260" s="38"/>
      <c r="BF1260" s="38"/>
      <c r="BG1260" s="38"/>
      <c r="BH1260" s="11"/>
      <c r="BI1260" s="1"/>
      <c r="BJ1260" s="2"/>
      <c r="BK1260" s="1"/>
      <c r="BL1260" s="1"/>
      <c r="BM1260" s="7"/>
      <c r="BN1260" s="7"/>
      <c r="BO1260" s="1"/>
      <c r="BP1260" s="11"/>
      <c r="BQ1260" s="11"/>
    </row>
    <row r="1261" spans="1:69" x14ac:dyDescent="0.3">
      <c r="A1261" s="7"/>
      <c r="B1261" s="11"/>
      <c r="C1261" s="11"/>
      <c r="D1261" s="11"/>
      <c r="E1261" s="45"/>
      <c r="F1261" s="40"/>
      <c r="G1261" s="11"/>
      <c r="K1261" s="40"/>
      <c r="N1261" s="11"/>
      <c r="O1261" s="11"/>
      <c r="P1261" s="11"/>
      <c r="Q1261" s="11"/>
      <c r="R1261" s="11"/>
      <c r="S1261" s="11"/>
      <c r="T1261" s="11"/>
      <c r="U1261" s="11"/>
      <c r="V1261" s="11"/>
      <c r="W1261" s="11"/>
      <c r="X1261" s="11"/>
      <c r="Y1261" s="11"/>
      <c r="Z1261" s="11"/>
      <c r="AA1261" s="11"/>
      <c r="AB1261" s="11"/>
      <c r="AC1261" s="11"/>
      <c r="AD1261" s="40"/>
      <c r="AE1261" s="11"/>
      <c r="AF1261" s="40"/>
      <c r="AI1261" s="11"/>
      <c r="AJ1261" s="11"/>
      <c r="AK1261" s="11"/>
      <c r="AL1261" s="11"/>
      <c r="AM1261" s="11"/>
      <c r="AN1261" s="11"/>
      <c r="AO1261" s="11"/>
      <c r="AY1261" s="11"/>
      <c r="BE1261" s="38"/>
      <c r="BF1261" s="38"/>
      <c r="BG1261" s="38"/>
      <c r="BH1261" s="11"/>
      <c r="BI1261" s="1"/>
      <c r="BJ1261" s="2"/>
      <c r="BK1261" s="1"/>
      <c r="BL1261" s="1"/>
      <c r="BM1261" s="7"/>
      <c r="BN1261" s="7"/>
      <c r="BO1261" s="1"/>
      <c r="BP1261" s="11"/>
      <c r="BQ1261" s="11"/>
    </row>
    <row r="1262" spans="1:69" x14ac:dyDescent="0.3">
      <c r="A1262" s="7"/>
      <c r="B1262" s="11"/>
      <c r="C1262" s="11"/>
      <c r="D1262" s="11"/>
      <c r="E1262" s="45"/>
      <c r="F1262" s="40"/>
      <c r="G1262" s="11"/>
      <c r="K1262" s="40"/>
      <c r="N1262" s="11"/>
      <c r="O1262" s="11"/>
      <c r="P1262" s="11"/>
      <c r="Q1262" s="11"/>
      <c r="R1262" s="11"/>
      <c r="S1262" s="11"/>
      <c r="T1262" s="11"/>
      <c r="U1262" s="11"/>
      <c r="V1262" s="11"/>
      <c r="W1262" s="11"/>
      <c r="X1262" s="11"/>
      <c r="Y1262" s="11"/>
      <c r="Z1262" s="11"/>
      <c r="AA1262" s="11"/>
      <c r="AB1262" s="11"/>
      <c r="AC1262" s="11"/>
      <c r="AD1262" s="40"/>
      <c r="AE1262" s="11"/>
      <c r="AF1262" s="40"/>
      <c r="AI1262" s="11"/>
      <c r="AJ1262" s="11"/>
      <c r="AK1262" s="11"/>
      <c r="AL1262" s="11"/>
      <c r="AM1262" s="11"/>
      <c r="AN1262" s="11"/>
      <c r="AO1262" s="11"/>
      <c r="AY1262" s="11"/>
      <c r="BE1262" s="38"/>
      <c r="BF1262" s="38"/>
      <c r="BG1262" s="38"/>
      <c r="BH1262" s="11"/>
      <c r="BI1262" s="1"/>
      <c r="BJ1262" s="2"/>
      <c r="BK1262" s="1"/>
      <c r="BL1262" s="1"/>
      <c r="BM1262" s="7"/>
      <c r="BN1262" s="7"/>
      <c r="BO1262" s="1"/>
      <c r="BP1262" s="11"/>
      <c r="BQ1262" s="11"/>
    </row>
    <row r="1263" spans="1:69" x14ac:dyDescent="0.3">
      <c r="A1263" s="7"/>
      <c r="B1263" s="11"/>
      <c r="C1263" s="11"/>
      <c r="D1263" s="11"/>
      <c r="E1263" s="45"/>
      <c r="F1263" s="40"/>
      <c r="G1263" s="11"/>
      <c r="K1263" s="40"/>
      <c r="N1263" s="11"/>
      <c r="O1263" s="11"/>
      <c r="P1263" s="11"/>
      <c r="Q1263" s="11"/>
      <c r="R1263" s="11"/>
      <c r="S1263" s="11"/>
      <c r="T1263" s="11"/>
      <c r="U1263" s="11"/>
      <c r="V1263" s="11"/>
      <c r="W1263" s="11"/>
      <c r="X1263" s="11"/>
      <c r="Y1263" s="11"/>
      <c r="Z1263" s="11"/>
      <c r="AA1263" s="11"/>
      <c r="AB1263" s="11"/>
      <c r="AC1263" s="11"/>
      <c r="AD1263" s="40"/>
      <c r="AE1263" s="11"/>
      <c r="AF1263" s="40"/>
      <c r="AI1263" s="11"/>
      <c r="AJ1263" s="11"/>
      <c r="AK1263" s="11"/>
      <c r="AL1263" s="11"/>
      <c r="AM1263" s="11"/>
      <c r="AN1263" s="11"/>
      <c r="AO1263" s="11"/>
      <c r="AY1263" s="11"/>
      <c r="BE1263" s="38"/>
      <c r="BF1263" s="38"/>
      <c r="BG1263" s="38"/>
      <c r="BH1263" s="11"/>
      <c r="BI1263" s="1"/>
      <c r="BJ1263" s="2"/>
      <c r="BK1263" s="1"/>
      <c r="BL1263" s="1"/>
      <c r="BM1263" s="7"/>
      <c r="BN1263" s="7"/>
      <c r="BO1263" s="1"/>
      <c r="BP1263" s="11"/>
      <c r="BQ1263" s="11"/>
    </row>
    <row r="1264" spans="1:69" x14ac:dyDescent="0.3">
      <c r="A1264" s="7"/>
      <c r="B1264" s="11"/>
      <c r="C1264" s="11"/>
      <c r="D1264" s="11"/>
      <c r="E1264" s="45"/>
      <c r="F1264" s="40"/>
      <c r="G1264" s="11"/>
      <c r="K1264" s="40"/>
      <c r="N1264" s="11"/>
      <c r="O1264" s="11"/>
      <c r="P1264" s="11"/>
      <c r="Q1264" s="11"/>
      <c r="R1264" s="11"/>
      <c r="S1264" s="11"/>
      <c r="T1264" s="11"/>
      <c r="U1264" s="11"/>
      <c r="V1264" s="11"/>
      <c r="W1264" s="11"/>
      <c r="X1264" s="11"/>
      <c r="Y1264" s="11"/>
      <c r="Z1264" s="11"/>
      <c r="AA1264" s="11"/>
      <c r="AB1264" s="11"/>
      <c r="AC1264" s="11"/>
      <c r="AD1264" s="40"/>
      <c r="AE1264" s="11"/>
      <c r="AF1264" s="40"/>
      <c r="AI1264" s="11"/>
      <c r="AJ1264" s="11"/>
      <c r="AK1264" s="11"/>
      <c r="AL1264" s="11"/>
      <c r="AM1264" s="11"/>
      <c r="AN1264" s="11"/>
      <c r="AO1264" s="11"/>
      <c r="AY1264" s="11"/>
      <c r="BE1264" s="38"/>
      <c r="BF1264" s="38"/>
      <c r="BG1264" s="38"/>
      <c r="BH1264" s="11"/>
      <c r="BI1264" s="1"/>
      <c r="BJ1264" s="2"/>
      <c r="BK1264" s="1"/>
      <c r="BL1264" s="1"/>
      <c r="BM1264" s="7"/>
      <c r="BN1264" s="7"/>
      <c r="BO1264" s="1"/>
      <c r="BP1264" s="11"/>
      <c r="BQ1264" s="11"/>
    </row>
    <row r="1265" spans="1:69" x14ac:dyDescent="0.3">
      <c r="A1265" s="7"/>
      <c r="B1265" s="11"/>
      <c r="C1265" s="11"/>
      <c r="D1265" s="11"/>
      <c r="E1265" s="45"/>
      <c r="F1265" s="40"/>
      <c r="G1265" s="11"/>
      <c r="K1265" s="40"/>
      <c r="N1265" s="11"/>
      <c r="O1265" s="11"/>
      <c r="P1265" s="11"/>
      <c r="Q1265" s="11"/>
      <c r="R1265" s="11"/>
      <c r="S1265" s="11"/>
      <c r="T1265" s="11"/>
      <c r="U1265" s="11"/>
      <c r="V1265" s="11"/>
      <c r="W1265" s="11"/>
      <c r="X1265" s="11"/>
      <c r="Y1265" s="11"/>
      <c r="Z1265" s="11"/>
      <c r="AA1265" s="11"/>
      <c r="AB1265" s="11"/>
      <c r="AC1265" s="11"/>
      <c r="AD1265" s="40"/>
      <c r="AE1265" s="11"/>
      <c r="AF1265" s="40"/>
      <c r="AI1265" s="11"/>
      <c r="AJ1265" s="11"/>
      <c r="AK1265" s="11"/>
      <c r="AL1265" s="11"/>
      <c r="AM1265" s="11"/>
      <c r="AN1265" s="11"/>
      <c r="AO1265" s="11"/>
      <c r="AY1265" s="11"/>
      <c r="BE1265" s="38"/>
      <c r="BF1265" s="38"/>
      <c r="BG1265" s="38"/>
      <c r="BH1265" s="11"/>
      <c r="BI1265" s="1"/>
      <c r="BJ1265" s="2"/>
      <c r="BK1265" s="1"/>
      <c r="BL1265" s="1"/>
      <c r="BM1265" s="7"/>
      <c r="BN1265" s="7"/>
      <c r="BO1265" s="1"/>
      <c r="BP1265" s="11"/>
      <c r="BQ1265" s="11"/>
    </row>
    <row r="1266" spans="1:69" x14ac:dyDescent="0.3">
      <c r="A1266" s="7"/>
      <c r="B1266" s="11"/>
      <c r="C1266" s="11"/>
      <c r="D1266" s="11"/>
      <c r="E1266" s="45"/>
      <c r="F1266" s="40"/>
      <c r="G1266" s="11"/>
      <c r="K1266" s="40"/>
      <c r="N1266" s="11"/>
      <c r="O1266" s="11"/>
      <c r="P1266" s="11"/>
      <c r="Q1266" s="11"/>
      <c r="R1266" s="11"/>
      <c r="S1266" s="11"/>
      <c r="T1266" s="11"/>
      <c r="U1266" s="11"/>
      <c r="V1266" s="11"/>
      <c r="W1266" s="11"/>
      <c r="X1266" s="11"/>
      <c r="Y1266" s="11"/>
      <c r="Z1266" s="11"/>
      <c r="AA1266" s="11"/>
      <c r="AB1266" s="11"/>
      <c r="AC1266" s="11"/>
      <c r="AD1266" s="40"/>
      <c r="AE1266" s="11"/>
      <c r="AF1266" s="40"/>
      <c r="AI1266" s="11"/>
      <c r="AJ1266" s="11"/>
      <c r="AK1266" s="11"/>
      <c r="AL1266" s="11"/>
      <c r="AM1266" s="11"/>
      <c r="AN1266" s="11"/>
      <c r="AO1266" s="11"/>
      <c r="AY1266" s="11"/>
      <c r="BE1266" s="38"/>
      <c r="BF1266" s="38"/>
      <c r="BG1266" s="38"/>
      <c r="BH1266" s="11"/>
      <c r="BI1266" s="1"/>
      <c r="BJ1266" s="2"/>
      <c r="BK1266" s="1"/>
      <c r="BL1266" s="1"/>
      <c r="BM1266" s="7"/>
      <c r="BN1266" s="7"/>
      <c r="BO1266" s="1"/>
      <c r="BP1266" s="11"/>
      <c r="BQ1266" s="11"/>
    </row>
    <row r="1267" spans="1:69" x14ac:dyDescent="0.3">
      <c r="A1267" s="7"/>
      <c r="B1267" s="11"/>
      <c r="C1267" s="11"/>
      <c r="D1267" s="11"/>
      <c r="E1267" s="45"/>
      <c r="F1267" s="40"/>
      <c r="G1267" s="11"/>
      <c r="K1267" s="40"/>
      <c r="N1267" s="11"/>
      <c r="O1267" s="11"/>
      <c r="P1267" s="11"/>
      <c r="Q1267" s="11"/>
      <c r="R1267" s="11"/>
      <c r="S1267" s="11"/>
      <c r="T1267" s="11"/>
      <c r="U1267" s="11"/>
      <c r="V1267" s="11"/>
      <c r="W1267" s="11"/>
      <c r="X1267" s="11"/>
      <c r="Y1267" s="11"/>
      <c r="Z1267" s="11"/>
      <c r="AA1267" s="11"/>
      <c r="AB1267" s="11"/>
      <c r="AC1267" s="11"/>
      <c r="AD1267" s="40"/>
      <c r="AE1267" s="11"/>
      <c r="AF1267" s="40"/>
      <c r="AI1267" s="11"/>
      <c r="AJ1267" s="11"/>
      <c r="AK1267" s="11"/>
      <c r="AL1267" s="11"/>
      <c r="AM1267" s="11"/>
      <c r="AN1267" s="11"/>
      <c r="AO1267" s="11"/>
      <c r="AY1267" s="11"/>
      <c r="BE1267" s="38"/>
      <c r="BF1267" s="38"/>
      <c r="BG1267" s="38"/>
      <c r="BH1267" s="11"/>
      <c r="BI1267" s="1"/>
      <c r="BJ1267" s="2"/>
      <c r="BK1267" s="1"/>
      <c r="BL1267" s="1"/>
      <c r="BM1267" s="7"/>
      <c r="BN1267" s="7"/>
      <c r="BO1267" s="1"/>
      <c r="BP1267" s="11"/>
      <c r="BQ1267" s="11"/>
    </row>
    <row r="1268" spans="1:69" x14ac:dyDescent="0.3">
      <c r="A1268" s="7"/>
      <c r="B1268" s="11"/>
      <c r="C1268" s="11"/>
      <c r="D1268" s="11"/>
      <c r="E1268" s="45"/>
      <c r="F1268" s="40"/>
      <c r="G1268" s="11"/>
      <c r="K1268" s="40"/>
      <c r="N1268" s="11"/>
      <c r="O1268" s="11"/>
      <c r="P1268" s="11"/>
      <c r="Q1268" s="11"/>
      <c r="R1268" s="11"/>
      <c r="S1268" s="11"/>
      <c r="T1268" s="11"/>
      <c r="U1268" s="11"/>
      <c r="V1268" s="11"/>
      <c r="W1268" s="11"/>
      <c r="X1268" s="11"/>
      <c r="Y1268" s="11"/>
      <c r="Z1268" s="11"/>
      <c r="AA1268" s="11"/>
      <c r="AB1268" s="11"/>
      <c r="AC1268" s="11"/>
      <c r="AD1268" s="40"/>
      <c r="AE1268" s="11"/>
      <c r="AF1268" s="40"/>
      <c r="AI1268" s="11"/>
      <c r="AJ1268" s="11"/>
      <c r="AK1268" s="11"/>
      <c r="AL1268" s="11"/>
      <c r="AM1268" s="11"/>
      <c r="AN1268" s="11"/>
      <c r="AO1268" s="11"/>
      <c r="AY1268" s="11"/>
      <c r="BE1268" s="38"/>
      <c r="BF1268" s="38"/>
      <c r="BG1268" s="38"/>
      <c r="BH1268" s="11"/>
      <c r="BI1268" s="1"/>
      <c r="BJ1268" s="2"/>
      <c r="BK1268" s="1"/>
      <c r="BL1268" s="1"/>
      <c r="BM1268" s="7"/>
      <c r="BN1268" s="7"/>
      <c r="BO1268" s="1"/>
      <c r="BP1268" s="11"/>
      <c r="BQ1268" s="11"/>
    </row>
    <row r="1269" spans="1:69" x14ac:dyDescent="0.3">
      <c r="A1269" s="7"/>
      <c r="B1269" s="11"/>
      <c r="C1269" s="11"/>
      <c r="D1269" s="11"/>
      <c r="E1269" s="45"/>
      <c r="F1269" s="40"/>
      <c r="G1269" s="11"/>
      <c r="K1269" s="40"/>
      <c r="N1269" s="11"/>
      <c r="O1269" s="11"/>
      <c r="P1269" s="11"/>
      <c r="Q1269" s="11"/>
      <c r="R1269" s="11"/>
      <c r="S1269" s="11"/>
      <c r="T1269" s="11"/>
      <c r="U1269" s="11"/>
      <c r="V1269" s="11"/>
      <c r="W1269" s="11"/>
      <c r="X1269" s="11"/>
      <c r="Y1269" s="11"/>
      <c r="Z1269" s="11"/>
      <c r="AA1269" s="11"/>
      <c r="AB1269" s="11"/>
      <c r="AC1269" s="11"/>
      <c r="AD1269" s="40"/>
      <c r="AE1269" s="11"/>
      <c r="AF1269" s="40"/>
      <c r="AI1269" s="11"/>
      <c r="AJ1269" s="11"/>
      <c r="AK1269" s="11"/>
      <c r="AL1269" s="11"/>
      <c r="AM1269" s="11"/>
      <c r="AN1269" s="11"/>
      <c r="AO1269" s="11"/>
      <c r="AY1269" s="11"/>
      <c r="BE1269" s="38"/>
      <c r="BF1269" s="38"/>
      <c r="BG1269" s="38"/>
      <c r="BH1269" s="11"/>
      <c r="BI1269" s="1"/>
      <c r="BJ1269" s="2"/>
      <c r="BK1269" s="1"/>
      <c r="BL1269" s="1"/>
      <c r="BM1269" s="7"/>
      <c r="BN1269" s="7"/>
      <c r="BO1269" s="1"/>
      <c r="BP1269" s="11"/>
      <c r="BQ1269" s="11"/>
    </row>
    <row r="1270" spans="1:69" x14ac:dyDescent="0.3">
      <c r="A1270" s="7"/>
      <c r="B1270" s="11"/>
      <c r="C1270" s="11"/>
      <c r="D1270" s="11"/>
      <c r="E1270" s="45"/>
      <c r="F1270" s="40"/>
      <c r="G1270" s="11"/>
      <c r="K1270" s="40"/>
      <c r="N1270" s="11"/>
      <c r="O1270" s="11"/>
      <c r="P1270" s="11"/>
      <c r="Q1270" s="11"/>
      <c r="R1270" s="11"/>
      <c r="S1270" s="11"/>
      <c r="T1270" s="11"/>
      <c r="U1270" s="11"/>
      <c r="V1270" s="11"/>
      <c r="W1270" s="11"/>
      <c r="X1270" s="11"/>
      <c r="Y1270" s="11"/>
      <c r="Z1270" s="11"/>
      <c r="AA1270" s="11"/>
      <c r="AB1270" s="11"/>
      <c r="AC1270" s="11"/>
      <c r="AD1270" s="40"/>
      <c r="AE1270" s="11"/>
      <c r="AF1270" s="40"/>
      <c r="AI1270" s="11"/>
      <c r="AJ1270" s="11"/>
      <c r="AK1270" s="11"/>
      <c r="AL1270" s="11"/>
      <c r="AM1270" s="11"/>
      <c r="AN1270" s="11"/>
      <c r="AO1270" s="11"/>
      <c r="AY1270" s="11"/>
      <c r="BE1270" s="38"/>
      <c r="BF1270" s="38"/>
      <c r="BG1270" s="38"/>
      <c r="BH1270" s="11"/>
      <c r="BI1270" s="1"/>
      <c r="BJ1270" s="2"/>
      <c r="BK1270" s="1"/>
      <c r="BL1270" s="1"/>
      <c r="BM1270" s="7"/>
      <c r="BN1270" s="7"/>
      <c r="BO1270" s="1"/>
      <c r="BP1270" s="11"/>
      <c r="BQ1270" s="11"/>
    </row>
    <row r="1271" spans="1:69" x14ac:dyDescent="0.3">
      <c r="A1271" s="7"/>
      <c r="B1271" s="11"/>
      <c r="C1271" s="11"/>
      <c r="D1271" s="11"/>
      <c r="E1271" s="45"/>
      <c r="F1271" s="40"/>
      <c r="G1271" s="11"/>
      <c r="K1271" s="40"/>
      <c r="N1271" s="11"/>
      <c r="O1271" s="11"/>
      <c r="P1271" s="11"/>
      <c r="Q1271" s="11"/>
      <c r="R1271" s="11"/>
      <c r="S1271" s="11"/>
      <c r="T1271" s="11"/>
      <c r="U1271" s="11"/>
      <c r="V1271" s="11"/>
      <c r="W1271" s="11"/>
      <c r="X1271" s="11"/>
      <c r="Y1271" s="11"/>
      <c r="Z1271" s="11"/>
      <c r="AA1271" s="11"/>
      <c r="AB1271" s="11"/>
      <c r="AC1271" s="11"/>
      <c r="AD1271" s="40"/>
      <c r="AE1271" s="11"/>
      <c r="AF1271" s="40"/>
      <c r="AI1271" s="11"/>
      <c r="AJ1271" s="11"/>
      <c r="AK1271" s="11"/>
      <c r="AL1271" s="11"/>
      <c r="AM1271" s="11"/>
      <c r="AN1271" s="11"/>
      <c r="AO1271" s="11"/>
      <c r="AY1271" s="11"/>
      <c r="BE1271" s="38"/>
      <c r="BF1271" s="38"/>
      <c r="BG1271" s="38"/>
      <c r="BH1271" s="11"/>
      <c r="BI1271" s="1"/>
      <c r="BJ1271" s="2"/>
      <c r="BK1271" s="1"/>
      <c r="BL1271" s="1"/>
      <c r="BM1271" s="7"/>
      <c r="BN1271" s="7"/>
      <c r="BO1271" s="1"/>
      <c r="BP1271" s="11"/>
      <c r="BQ1271" s="11"/>
    </row>
    <row r="1272" spans="1:69" x14ac:dyDescent="0.3">
      <c r="A1272" s="7"/>
      <c r="B1272" s="11"/>
      <c r="C1272" s="11"/>
      <c r="D1272" s="11"/>
      <c r="E1272" s="45"/>
      <c r="F1272" s="40"/>
      <c r="G1272" s="11"/>
      <c r="K1272" s="40"/>
      <c r="N1272" s="11"/>
      <c r="O1272" s="11"/>
      <c r="P1272" s="11"/>
      <c r="Q1272" s="11"/>
      <c r="R1272" s="11"/>
      <c r="S1272" s="11"/>
      <c r="T1272" s="11"/>
      <c r="U1272" s="11"/>
      <c r="V1272" s="11"/>
      <c r="W1272" s="11"/>
      <c r="X1272" s="11"/>
      <c r="Y1272" s="11"/>
      <c r="Z1272" s="11"/>
      <c r="AA1272" s="11"/>
      <c r="AB1272" s="11"/>
      <c r="AC1272" s="11"/>
      <c r="AD1272" s="40"/>
      <c r="AE1272" s="11"/>
      <c r="AF1272" s="40"/>
      <c r="AI1272" s="11"/>
      <c r="AJ1272" s="11"/>
      <c r="AK1272" s="11"/>
      <c r="AL1272" s="11"/>
      <c r="AM1272" s="11"/>
      <c r="AN1272" s="11"/>
      <c r="AO1272" s="11"/>
      <c r="AY1272" s="11"/>
      <c r="BE1272" s="38"/>
      <c r="BF1272" s="38"/>
      <c r="BG1272" s="38"/>
      <c r="BH1272" s="11"/>
      <c r="BI1272" s="1"/>
      <c r="BJ1272" s="2"/>
      <c r="BK1272" s="1"/>
      <c r="BL1272" s="1"/>
      <c r="BM1272" s="7"/>
      <c r="BN1272" s="7"/>
      <c r="BO1272" s="1"/>
      <c r="BP1272" s="11"/>
      <c r="BQ1272" s="11"/>
    </row>
    <row r="1273" spans="1:69" x14ac:dyDescent="0.3">
      <c r="A1273" s="7"/>
      <c r="B1273" s="11"/>
      <c r="C1273" s="11"/>
      <c r="D1273" s="11"/>
      <c r="E1273" s="45"/>
      <c r="F1273" s="40"/>
      <c r="G1273" s="11"/>
      <c r="K1273" s="40"/>
      <c r="N1273" s="11"/>
      <c r="O1273" s="11"/>
      <c r="P1273" s="11"/>
      <c r="Q1273" s="11"/>
      <c r="R1273" s="11"/>
      <c r="S1273" s="11"/>
      <c r="T1273" s="11"/>
      <c r="U1273" s="11"/>
      <c r="V1273" s="11"/>
      <c r="W1273" s="11"/>
      <c r="X1273" s="11"/>
      <c r="Y1273" s="11"/>
      <c r="Z1273" s="11"/>
      <c r="AA1273" s="11"/>
      <c r="AB1273" s="11"/>
      <c r="AC1273" s="11"/>
      <c r="AD1273" s="40"/>
      <c r="AE1273" s="11"/>
      <c r="AF1273" s="40"/>
      <c r="AI1273" s="11"/>
      <c r="AJ1273" s="11"/>
      <c r="AK1273" s="11"/>
      <c r="AL1273" s="11"/>
      <c r="AM1273" s="11"/>
      <c r="AN1273" s="11"/>
      <c r="AO1273" s="11"/>
      <c r="AY1273" s="11"/>
      <c r="BE1273" s="38"/>
      <c r="BF1273" s="38"/>
      <c r="BG1273" s="38"/>
      <c r="BH1273" s="11"/>
      <c r="BI1273" s="1"/>
      <c r="BJ1273" s="2"/>
      <c r="BK1273" s="1"/>
      <c r="BL1273" s="1"/>
      <c r="BM1273" s="7"/>
      <c r="BN1273" s="7"/>
      <c r="BO1273" s="1"/>
      <c r="BP1273" s="11"/>
      <c r="BQ1273" s="11"/>
    </row>
    <row r="1274" spans="1:69" x14ac:dyDescent="0.3">
      <c r="A1274" s="7"/>
      <c r="B1274" s="11"/>
      <c r="C1274" s="11"/>
      <c r="D1274" s="11"/>
      <c r="E1274" s="45"/>
      <c r="F1274" s="40"/>
      <c r="G1274" s="11"/>
      <c r="K1274" s="40"/>
      <c r="N1274" s="11"/>
      <c r="O1274" s="11"/>
      <c r="P1274" s="11"/>
      <c r="Q1274" s="11"/>
      <c r="R1274" s="11"/>
      <c r="S1274" s="11"/>
      <c r="T1274" s="11"/>
      <c r="U1274" s="11"/>
      <c r="V1274" s="11"/>
      <c r="W1274" s="11"/>
      <c r="X1274" s="11"/>
      <c r="Y1274" s="11"/>
      <c r="Z1274" s="11"/>
      <c r="AA1274" s="11"/>
      <c r="AB1274" s="11"/>
      <c r="AC1274" s="11"/>
      <c r="AD1274" s="40"/>
      <c r="AE1274" s="11"/>
      <c r="AF1274" s="40"/>
      <c r="AI1274" s="11"/>
      <c r="AJ1274" s="11"/>
      <c r="AK1274" s="11"/>
      <c r="AL1274" s="11"/>
      <c r="AM1274" s="11"/>
      <c r="AN1274" s="11"/>
      <c r="AO1274" s="11"/>
      <c r="AY1274" s="11"/>
      <c r="BE1274" s="38"/>
      <c r="BF1274" s="38"/>
      <c r="BG1274" s="38"/>
      <c r="BH1274" s="11"/>
      <c r="BI1274" s="1"/>
      <c r="BJ1274" s="2"/>
      <c r="BK1274" s="1"/>
      <c r="BL1274" s="1"/>
      <c r="BM1274" s="7"/>
      <c r="BN1274" s="7"/>
      <c r="BO1274" s="1"/>
      <c r="BP1274" s="11"/>
      <c r="BQ1274" s="11"/>
    </row>
    <row r="1275" spans="1:69" x14ac:dyDescent="0.3">
      <c r="A1275" s="7"/>
      <c r="B1275" s="11"/>
      <c r="C1275" s="11"/>
      <c r="D1275" s="11"/>
      <c r="E1275" s="45"/>
      <c r="F1275" s="40"/>
      <c r="G1275" s="11"/>
      <c r="K1275" s="40"/>
      <c r="N1275" s="11"/>
      <c r="O1275" s="11"/>
      <c r="P1275" s="11"/>
      <c r="Q1275" s="11"/>
      <c r="R1275" s="11"/>
      <c r="S1275" s="11"/>
      <c r="T1275" s="11"/>
      <c r="U1275" s="11"/>
      <c r="V1275" s="11"/>
      <c r="W1275" s="11"/>
      <c r="X1275" s="11"/>
      <c r="Y1275" s="11"/>
      <c r="Z1275" s="11"/>
      <c r="AA1275" s="11"/>
      <c r="AB1275" s="11"/>
      <c r="AC1275" s="11"/>
      <c r="AD1275" s="40"/>
      <c r="AE1275" s="11"/>
      <c r="AF1275" s="40"/>
      <c r="AI1275" s="11"/>
      <c r="AJ1275" s="11"/>
      <c r="AK1275" s="11"/>
      <c r="AL1275" s="11"/>
      <c r="AM1275" s="11"/>
      <c r="AN1275" s="11"/>
      <c r="AO1275" s="11"/>
      <c r="AY1275" s="11"/>
      <c r="BE1275" s="38"/>
      <c r="BF1275" s="38"/>
      <c r="BG1275" s="38"/>
      <c r="BH1275" s="11"/>
      <c r="BI1275" s="1"/>
      <c r="BJ1275" s="2"/>
      <c r="BK1275" s="1"/>
      <c r="BL1275" s="1"/>
      <c r="BM1275" s="7"/>
      <c r="BN1275" s="7"/>
      <c r="BO1275" s="1"/>
      <c r="BP1275" s="11"/>
      <c r="BQ1275" s="11"/>
    </row>
    <row r="1276" spans="1:69" x14ac:dyDescent="0.3">
      <c r="A1276" s="7"/>
      <c r="B1276" s="11"/>
      <c r="C1276" s="11"/>
      <c r="D1276" s="11"/>
      <c r="E1276" s="45"/>
      <c r="F1276" s="40"/>
      <c r="G1276" s="11"/>
      <c r="K1276" s="40"/>
      <c r="N1276" s="11"/>
      <c r="O1276" s="11"/>
      <c r="P1276" s="11"/>
      <c r="Q1276" s="11"/>
      <c r="R1276" s="11"/>
      <c r="S1276" s="11"/>
      <c r="T1276" s="11"/>
      <c r="U1276" s="11"/>
      <c r="V1276" s="11"/>
      <c r="W1276" s="11"/>
      <c r="X1276" s="11"/>
      <c r="Y1276" s="11"/>
      <c r="Z1276" s="11"/>
      <c r="AA1276" s="11"/>
      <c r="AB1276" s="11"/>
      <c r="AC1276" s="11"/>
      <c r="AD1276" s="40"/>
      <c r="AE1276" s="11"/>
      <c r="AF1276" s="40"/>
      <c r="AI1276" s="11"/>
      <c r="AJ1276" s="11"/>
      <c r="AK1276" s="11"/>
      <c r="AL1276" s="11"/>
      <c r="AM1276" s="11"/>
      <c r="AN1276" s="11"/>
      <c r="AO1276" s="11"/>
      <c r="AY1276" s="11"/>
      <c r="BE1276" s="38"/>
      <c r="BF1276" s="38"/>
      <c r="BG1276" s="38"/>
      <c r="BH1276" s="11"/>
      <c r="BI1276" s="1"/>
      <c r="BJ1276" s="2"/>
      <c r="BK1276" s="1"/>
      <c r="BL1276" s="1"/>
      <c r="BM1276" s="7"/>
      <c r="BN1276" s="7"/>
      <c r="BO1276" s="1"/>
      <c r="BP1276" s="11"/>
      <c r="BQ1276" s="11"/>
    </row>
    <row r="1277" spans="1:69" x14ac:dyDescent="0.3">
      <c r="A1277" s="7"/>
      <c r="B1277" s="11"/>
      <c r="C1277" s="11"/>
      <c r="D1277" s="11"/>
      <c r="E1277" s="45"/>
      <c r="F1277" s="40"/>
      <c r="G1277" s="11"/>
      <c r="K1277" s="40"/>
      <c r="N1277" s="11"/>
      <c r="O1277" s="11"/>
      <c r="P1277" s="11"/>
      <c r="Q1277" s="11"/>
      <c r="R1277" s="11"/>
      <c r="S1277" s="11"/>
      <c r="T1277" s="11"/>
      <c r="U1277" s="11"/>
      <c r="V1277" s="11"/>
      <c r="W1277" s="11"/>
      <c r="X1277" s="11"/>
      <c r="Y1277" s="11"/>
      <c r="Z1277" s="11"/>
      <c r="AA1277" s="11"/>
      <c r="AB1277" s="11"/>
      <c r="AC1277" s="11"/>
      <c r="AD1277" s="40"/>
      <c r="AE1277" s="11"/>
      <c r="AF1277" s="40"/>
      <c r="AI1277" s="11"/>
      <c r="AJ1277" s="11"/>
      <c r="AK1277" s="11"/>
      <c r="AL1277" s="11"/>
      <c r="AM1277" s="11"/>
      <c r="AN1277" s="11"/>
      <c r="AO1277" s="11"/>
      <c r="AY1277" s="11"/>
      <c r="BE1277" s="38"/>
      <c r="BF1277" s="38"/>
      <c r="BG1277" s="38"/>
      <c r="BH1277" s="11"/>
      <c r="BI1277" s="1"/>
      <c r="BJ1277" s="2"/>
      <c r="BK1277" s="1"/>
      <c r="BL1277" s="1"/>
      <c r="BM1277" s="7"/>
      <c r="BN1277" s="7"/>
      <c r="BO1277" s="1"/>
      <c r="BP1277" s="11"/>
      <c r="BQ1277" s="11"/>
    </row>
    <row r="1278" spans="1:69" x14ac:dyDescent="0.3">
      <c r="A1278" s="7"/>
      <c r="B1278" s="11"/>
      <c r="C1278" s="11"/>
      <c r="D1278" s="11"/>
      <c r="E1278" s="45"/>
      <c r="F1278" s="40"/>
      <c r="G1278" s="11"/>
      <c r="K1278" s="40"/>
      <c r="N1278" s="11"/>
      <c r="O1278" s="11"/>
      <c r="P1278" s="11"/>
      <c r="Q1278" s="11"/>
      <c r="R1278" s="11"/>
      <c r="S1278" s="11"/>
      <c r="T1278" s="11"/>
      <c r="U1278" s="11"/>
      <c r="V1278" s="11"/>
      <c r="W1278" s="11"/>
      <c r="X1278" s="11"/>
      <c r="Y1278" s="11"/>
      <c r="Z1278" s="11"/>
      <c r="AA1278" s="11"/>
      <c r="AB1278" s="11"/>
      <c r="AC1278" s="11"/>
      <c r="AD1278" s="40"/>
      <c r="AE1278" s="11"/>
      <c r="AF1278" s="40"/>
      <c r="AI1278" s="11"/>
      <c r="AJ1278" s="11"/>
      <c r="AK1278" s="11"/>
      <c r="AL1278" s="11"/>
      <c r="AM1278" s="11"/>
      <c r="AN1278" s="11"/>
      <c r="AO1278" s="11"/>
      <c r="AY1278" s="11"/>
      <c r="BE1278" s="38"/>
      <c r="BF1278" s="38"/>
      <c r="BG1278" s="38"/>
      <c r="BH1278" s="11"/>
      <c r="BI1278" s="1"/>
      <c r="BJ1278" s="2"/>
      <c r="BK1278" s="1"/>
      <c r="BL1278" s="1"/>
      <c r="BM1278" s="7"/>
      <c r="BN1278" s="7"/>
      <c r="BO1278" s="1"/>
      <c r="BP1278" s="11"/>
      <c r="BQ1278" s="11"/>
    </row>
    <row r="1279" spans="1:69" x14ac:dyDescent="0.3">
      <c r="A1279" s="7"/>
      <c r="B1279" s="11"/>
      <c r="C1279" s="11"/>
      <c r="D1279" s="11"/>
      <c r="E1279" s="45"/>
      <c r="F1279" s="40"/>
      <c r="G1279" s="11"/>
      <c r="K1279" s="40"/>
      <c r="N1279" s="11"/>
      <c r="O1279" s="11"/>
      <c r="P1279" s="11"/>
      <c r="Q1279" s="11"/>
      <c r="R1279" s="11"/>
      <c r="S1279" s="11"/>
      <c r="T1279" s="11"/>
      <c r="U1279" s="11"/>
      <c r="V1279" s="11"/>
      <c r="W1279" s="11"/>
      <c r="X1279" s="11"/>
      <c r="Y1279" s="11"/>
      <c r="Z1279" s="11"/>
      <c r="AA1279" s="11"/>
      <c r="AB1279" s="11"/>
      <c r="AC1279" s="11"/>
      <c r="AD1279" s="40"/>
      <c r="AE1279" s="11"/>
      <c r="AF1279" s="40"/>
      <c r="AI1279" s="11"/>
      <c r="AJ1279" s="11"/>
      <c r="AK1279" s="11"/>
      <c r="AL1279" s="11"/>
      <c r="AM1279" s="11"/>
      <c r="AN1279" s="11"/>
      <c r="AO1279" s="11"/>
      <c r="AY1279" s="11"/>
      <c r="BE1279" s="38"/>
      <c r="BF1279" s="38"/>
      <c r="BG1279" s="38"/>
      <c r="BH1279" s="11"/>
      <c r="BI1279" s="1"/>
      <c r="BJ1279" s="2"/>
      <c r="BK1279" s="1"/>
      <c r="BL1279" s="1"/>
      <c r="BM1279" s="7"/>
      <c r="BN1279" s="7"/>
      <c r="BO1279" s="1"/>
      <c r="BP1279" s="11"/>
      <c r="BQ1279" s="11"/>
    </row>
    <row r="1280" spans="1:69" x14ac:dyDescent="0.3">
      <c r="A1280" s="7"/>
      <c r="B1280" s="11"/>
      <c r="C1280" s="11"/>
      <c r="D1280" s="11"/>
      <c r="E1280" s="45"/>
      <c r="F1280" s="40"/>
      <c r="G1280" s="11"/>
      <c r="K1280" s="40"/>
      <c r="N1280" s="11"/>
      <c r="O1280" s="11"/>
      <c r="P1280" s="11"/>
      <c r="Q1280" s="11"/>
      <c r="R1280" s="11"/>
      <c r="S1280" s="11"/>
      <c r="T1280" s="11"/>
      <c r="U1280" s="11"/>
      <c r="V1280" s="11"/>
      <c r="W1280" s="11"/>
      <c r="X1280" s="11"/>
      <c r="Y1280" s="11"/>
      <c r="Z1280" s="11"/>
      <c r="AA1280" s="11"/>
      <c r="AB1280" s="11"/>
      <c r="AC1280" s="11"/>
      <c r="AD1280" s="40"/>
      <c r="AE1280" s="11"/>
      <c r="AF1280" s="40"/>
      <c r="AI1280" s="11"/>
      <c r="AJ1280" s="11"/>
      <c r="AK1280" s="11"/>
      <c r="AL1280" s="11"/>
      <c r="AM1280" s="11"/>
      <c r="AN1280" s="11"/>
      <c r="AO1280" s="11"/>
      <c r="AY1280" s="11"/>
      <c r="BE1280" s="38"/>
      <c r="BF1280" s="38"/>
      <c r="BG1280" s="38"/>
      <c r="BH1280" s="11"/>
      <c r="BI1280" s="1"/>
      <c r="BJ1280" s="2"/>
      <c r="BK1280" s="1"/>
      <c r="BL1280" s="1"/>
      <c r="BM1280" s="7"/>
      <c r="BN1280" s="7"/>
      <c r="BO1280" s="1"/>
      <c r="BP1280" s="11"/>
      <c r="BQ1280" s="11"/>
    </row>
    <row r="1281" spans="1:69" x14ac:dyDescent="0.3">
      <c r="A1281" s="7"/>
      <c r="B1281" s="11"/>
      <c r="C1281" s="11"/>
      <c r="D1281" s="11"/>
      <c r="E1281" s="45"/>
      <c r="F1281" s="40"/>
      <c r="G1281" s="11"/>
      <c r="K1281" s="40"/>
      <c r="N1281" s="11"/>
      <c r="O1281" s="11"/>
      <c r="P1281" s="11"/>
      <c r="Q1281" s="11"/>
      <c r="R1281" s="11"/>
      <c r="S1281" s="11"/>
      <c r="T1281" s="11"/>
      <c r="U1281" s="11"/>
      <c r="V1281" s="11"/>
      <c r="W1281" s="11"/>
      <c r="X1281" s="11"/>
      <c r="Y1281" s="11"/>
      <c r="Z1281" s="11"/>
      <c r="AA1281" s="11"/>
      <c r="AB1281" s="11"/>
      <c r="AC1281" s="11"/>
      <c r="AD1281" s="40"/>
      <c r="AE1281" s="11"/>
      <c r="AF1281" s="40"/>
      <c r="AI1281" s="11"/>
      <c r="AJ1281" s="11"/>
      <c r="AK1281" s="11"/>
      <c r="AL1281" s="11"/>
      <c r="AM1281" s="11"/>
      <c r="AN1281" s="11"/>
      <c r="AO1281" s="11"/>
      <c r="AY1281" s="11"/>
      <c r="BE1281" s="38"/>
      <c r="BF1281" s="38"/>
      <c r="BG1281" s="38"/>
      <c r="BH1281" s="11"/>
      <c r="BI1281" s="1"/>
      <c r="BJ1281" s="2"/>
      <c r="BK1281" s="1"/>
      <c r="BL1281" s="1"/>
      <c r="BM1281" s="7"/>
      <c r="BN1281" s="7"/>
      <c r="BO1281" s="1"/>
      <c r="BP1281" s="11"/>
      <c r="BQ1281" s="11"/>
    </row>
    <row r="1282" spans="1:69" x14ac:dyDescent="0.3">
      <c r="A1282" s="7"/>
      <c r="B1282" s="11"/>
      <c r="C1282" s="11"/>
      <c r="D1282" s="11"/>
      <c r="E1282" s="45"/>
      <c r="F1282" s="40"/>
      <c r="G1282" s="11"/>
      <c r="K1282" s="40"/>
      <c r="N1282" s="11"/>
      <c r="O1282" s="11"/>
      <c r="P1282" s="11"/>
      <c r="Q1282" s="11"/>
      <c r="R1282" s="11"/>
      <c r="S1282" s="11"/>
      <c r="T1282" s="11"/>
      <c r="U1282" s="11"/>
      <c r="V1282" s="11"/>
      <c r="W1282" s="11"/>
      <c r="X1282" s="11"/>
      <c r="Y1282" s="11"/>
      <c r="Z1282" s="11"/>
      <c r="AA1282" s="11"/>
      <c r="AB1282" s="11"/>
      <c r="AC1282" s="11"/>
      <c r="AD1282" s="40"/>
      <c r="AE1282" s="11"/>
      <c r="AF1282" s="40"/>
      <c r="AI1282" s="11"/>
      <c r="AJ1282" s="11"/>
      <c r="AK1282" s="11"/>
      <c r="AL1282" s="11"/>
      <c r="AM1282" s="11"/>
      <c r="AN1282" s="11"/>
      <c r="AO1282" s="11"/>
      <c r="AY1282" s="11"/>
      <c r="BE1282" s="38"/>
      <c r="BF1282" s="38"/>
      <c r="BG1282" s="38"/>
      <c r="BH1282" s="11"/>
      <c r="BI1282" s="1"/>
      <c r="BJ1282" s="2"/>
      <c r="BK1282" s="1"/>
      <c r="BL1282" s="1"/>
      <c r="BM1282" s="7"/>
      <c r="BN1282" s="7"/>
      <c r="BO1282" s="1"/>
      <c r="BP1282" s="11"/>
      <c r="BQ1282" s="11"/>
    </row>
    <row r="1283" spans="1:69" x14ac:dyDescent="0.3">
      <c r="A1283" s="7"/>
      <c r="B1283" s="11"/>
      <c r="C1283" s="11"/>
      <c r="D1283" s="11"/>
      <c r="E1283" s="45"/>
      <c r="F1283" s="40"/>
      <c r="G1283" s="11"/>
      <c r="K1283" s="40"/>
      <c r="N1283" s="11"/>
      <c r="O1283" s="11"/>
      <c r="P1283" s="11"/>
      <c r="Q1283" s="11"/>
      <c r="R1283" s="11"/>
      <c r="S1283" s="11"/>
      <c r="T1283" s="11"/>
      <c r="U1283" s="11"/>
      <c r="V1283" s="11"/>
      <c r="W1283" s="11"/>
      <c r="X1283" s="11"/>
      <c r="Y1283" s="11"/>
      <c r="Z1283" s="11"/>
      <c r="AA1283" s="11"/>
      <c r="AB1283" s="11"/>
      <c r="AC1283" s="11"/>
      <c r="AD1283" s="40"/>
      <c r="AE1283" s="11"/>
      <c r="AF1283" s="40"/>
      <c r="AI1283" s="11"/>
      <c r="AJ1283" s="11"/>
      <c r="AK1283" s="11"/>
      <c r="AL1283" s="11"/>
      <c r="AM1283" s="11"/>
      <c r="AN1283" s="11"/>
      <c r="AO1283" s="11"/>
      <c r="AY1283" s="11"/>
      <c r="BE1283" s="38"/>
      <c r="BF1283" s="38"/>
      <c r="BG1283" s="38"/>
      <c r="BH1283" s="11"/>
      <c r="BI1283" s="1"/>
      <c r="BJ1283" s="2"/>
      <c r="BK1283" s="1"/>
      <c r="BL1283" s="1"/>
      <c r="BM1283" s="7"/>
      <c r="BN1283" s="7"/>
      <c r="BO1283" s="1"/>
      <c r="BP1283" s="11"/>
      <c r="BQ1283" s="11"/>
    </row>
    <row r="1284" spans="1:69" x14ac:dyDescent="0.3">
      <c r="A1284" s="7"/>
      <c r="B1284" s="11"/>
      <c r="C1284" s="11"/>
      <c r="D1284" s="11"/>
      <c r="E1284" s="45"/>
      <c r="F1284" s="40"/>
      <c r="G1284" s="11"/>
      <c r="K1284" s="40"/>
      <c r="N1284" s="11"/>
      <c r="O1284" s="11"/>
      <c r="P1284" s="11"/>
      <c r="Q1284" s="11"/>
      <c r="R1284" s="11"/>
      <c r="S1284" s="11"/>
      <c r="T1284" s="11"/>
      <c r="U1284" s="11"/>
      <c r="V1284" s="11"/>
      <c r="W1284" s="11"/>
      <c r="X1284" s="11"/>
      <c r="Y1284" s="11"/>
      <c r="Z1284" s="11"/>
      <c r="AA1284" s="11"/>
      <c r="AB1284" s="11"/>
      <c r="AC1284" s="11"/>
      <c r="AD1284" s="40"/>
      <c r="AE1284" s="11"/>
      <c r="AF1284" s="40"/>
      <c r="AI1284" s="11"/>
      <c r="AJ1284" s="11"/>
      <c r="AK1284" s="11"/>
      <c r="AL1284" s="11"/>
      <c r="AM1284" s="11"/>
      <c r="AN1284" s="11"/>
      <c r="AO1284" s="11"/>
      <c r="AY1284" s="11"/>
      <c r="BE1284" s="38"/>
      <c r="BF1284" s="38"/>
      <c r="BG1284" s="38"/>
      <c r="BH1284" s="11"/>
      <c r="BI1284" s="1"/>
      <c r="BJ1284" s="2"/>
      <c r="BK1284" s="1"/>
      <c r="BL1284" s="1"/>
      <c r="BM1284" s="7"/>
      <c r="BN1284" s="7"/>
      <c r="BO1284" s="1"/>
      <c r="BP1284" s="11"/>
      <c r="BQ1284" s="11"/>
    </row>
    <row r="1285" spans="1:69" x14ac:dyDescent="0.3">
      <c r="A1285" s="7"/>
      <c r="B1285" s="11"/>
      <c r="C1285" s="11"/>
      <c r="D1285" s="11"/>
      <c r="E1285" s="45"/>
      <c r="F1285" s="40"/>
      <c r="G1285" s="11"/>
      <c r="K1285" s="40"/>
      <c r="N1285" s="11"/>
      <c r="O1285" s="11"/>
      <c r="P1285" s="11"/>
      <c r="Q1285" s="11"/>
      <c r="R1285" s="11"/>
      <c r="S1285" s="11"/>
      <c r="T1285" s="11"/>
      <c r="U1285" s="11"/>
      <c r="V1285" s="11"/>
      <c r="W1285" s="11"/>
      <c r="X1285" s="11"/>
      <c r="Y1285" s="11"/>
      <c r="Z1285" s="11"/>
      <c r="AA1285" s="11"/>
      <c r="AB1285" s="11"/>
      <c r="AC1285" s="11"/>
      <c r="AD1285" s="40"/>
      <c r="AE1285" s="11"/>
      <c r="AF1285" s="40"/>
      <c r="AI1285" s="11"/>
      <c r="AJ1285" s="11"/>
      <c r="AK1285" s="11"/>
      <c r="AL1285" s="11"/>
      <c r="AM1285" s="11"/>
      <c r="AN1285" s="11"/>
      <c r="AO1285" s="11"/>
      <c r="AY1285" s="11"/>
      <c r="BE1285" s="38"/>
      <c r="BF1285" s="38"/>
      <c r="BG1285" s="38"/>
      <c r="BH1285" s="11"/>
      <c r="BI1285" s="1"/>
      <c r="BJ1285" s="2"/>
      <c r="BK1285" s="1"/>
      <c r="BL1285" s="1"/>
      <c r="BM1285" s="7"/>
      <c r="BN1285" s="7"/>
      <c r="BO1285" s="1"/>
      <c r="BP1285" s="11"/>
      <c r="BQ1285" s="11"/>
    </row>
    <row r="1286" spans="1:69" x14ac:dyDescent="0.3">
      <c r="A1286" s="7"/>
      <c r="B1286" s="11"/>
      <c r="C1286" s="11"/>
      <c r="D1286" s="11"/>
      <c r="E1286" s="45"/>
      <c r="F1286" s="40"/>
      <c r="G1286" s="11"/>
      <c r="K1286" s="40"/>
      <c r="N1286" s="11"/>
      <c r="O1286" s="11"/>
      <c r="P1286" s="11"/>
      <c r="Q1286" s="11"/>
      <c r="R1286" s="11"/>
      <c r="S1286" s="11"/>
      <c r="T1286" s="11"/>
      <c r="U1286" s="11"/>
      <c r="V1286" s="11"/>
      <c r="W1286" s="11"/>
      <c r="X1286" s="11"/>
      <c r="Y1286" s="11"/>
      <c r="Z1286" s="11"/>
      <c r="AA1286" s="11"/>
      <c r="AB1286" s="11"/>
      <c r="AC1286" s="11"/>
      <c r="AD1286" s="40"/>
      <c r="AE1286" s="11"/>
      <c r="AF1286" s="40"/>
      <c r="AI1286" s="11"/>
      <c r="AJ1286" s="11"/>
      <c r="AK1286" s="11"/>
      <c r="AL1286" s="11"/>
      <c r="AM1286" s="11"/>
      <c r="AN1286" s="11"/>
      <c r="AO1286" s="11"/>
      <c r="AY1286" s="11"/>
      <c r="BE1286" s="38"/>
      <c r="BF1286" s="38"/>
      <c r="BG1286" s="38"/>
      <c r="BH1286" s="11"/>
      <c r="BI1286" s="1"/>
      <c r="BJ1286" s="2"/>
      <c r="BK1286" s="1"/>
      <c r="BL1286" s="1"/>
      <c r="BM1286" s="7"/>
      <c r="BN1286" s="7"/>
      <c r="BO1286" s="1"/>
      <c r="BP1286" s="11"/>
      <c r="BQ1286" s="11"/>
    </row>
    <row r="1287" spans="1:69" x14ac:dyDescent="0.3">
      <c r="A1287" s="7"/>
      <c r="B1287" s="11"/>
      <c r="C1287" s="11"/>
      <c r="D1287" s="11"/>
      <c r="E1287" s="45"/>
      <c r="F1287" s="40"/>
      <c r="G1287" s="11"/>
      <c r="K1287" s="40"/>
      <c r="N1287" s="11"/>
      <c r="O1287" s="11"/>
      <c r="P1287" s="11"/>
      <c r="Q1287" s="11"/>
      <c r="R1287" s="11"/>
      <c r="S1287" s="11"/>
      <c r="T1287" s="11"/>
      <c r="U1287" s="11"/>
      <c r="V1287" s="11"/>
      <c r="W1287" s="11"/>
      <c r="X1287" s="11"/>
      <c r="Y1287" s="11"/>
      <c r="Z1287" s="11"/>
      <c r="AA1287" s="11"/>
      <c r="AB1287" s="11"/>
      <c r="AC1287" s="11"/>
      <c r="AD1287" s="40"/>
      <c r="AE1287" s="11"/>
      <c r="AF1287" s="40"/>
      <c r="AI1287" s="11"/>
      <c r="AJ1287" s="11"/>
      <c r="AK1287" s="11"/>
      <c r="AL1287" s="11"/>
      <c r="AM1287" s="11"/>
      <c r="AN1287" s="11"/>
      <c r="AO1287" s="11"/>
      <c r="AY1287" s="11"/>
      <c r="BE1287" s="38"/>
      <c r="BF1287" s="38"/>
      <c r="BG1287" s="38"/>
      <c r="BH1287" s="11"/>
      <c r="BI1287" s="1"/>
      <c r="BJ1287" s="2"/>
      <c r="BK1287" s="1"/>
      <c r="BL1287" s="1"/>
      <c r="BM1287" s="7"/>
      <c r="BN1287" s="7"/>
      <c r="BO1287" s="1"/>
      <c r="BP1287" s="11"/>
      <c r="BQ1287" s="11"/>
    </row>
    <row r="1288" spans="1:69" x14ac:dyDescent="0.3">
      <c r="A1288" s="7"/>
      <c r="B1288" s="11"/>
      <c r="C1288" s="11"/>
      <c r="D1288" s="11"/>
      <c r="E1288" s="45"/>
      <c r="F1288" s="40"/>
      <c r="G1288" s="11"/>
      <c r="K1288" s="40"/>
      <c r="N1288" s="11"/>
      <c r="O1288" s="11"/>
      <c r="P1288" s="11"/>
      <c r="Q1288" s="11"/>
      <c r="R1288" s="11"/>
      <c r="S1288" s="11"/>
      <c r="T1288" s="11"/>
      <c r="U1288" s="11"/>
      <c r="V1288" s="11"/>
      <c r="W1288" s="11"/>
      <c r="X1288" s="11"/>
      <c r="Y1288" s="11"/>
      <c r="Z1288" s="11"/>
      <c r="AA1288" s="11"/>
      <c r="AB1288" s="11"/>
      <c r="AC1288" s="11"/>
      <c r="AD1288" s="40"/>
      <c r="AE1288" s="11"/>
      <c r="AF1288" s="40"/>
      <c r="AI1288" s="11"/>
      <c r="AJ1288" s="11"/>
      <c r="AK1288" s="11"/>
      <c r="AL1288" s="11"/>
      <c r="AM1288" s="11"/>
      <c r="AN1288" s="11"/>
      <c r="AO1288" s="11"/>
      <c r="AY1288" s="11"/>
      <c r="BE1288" s="38"/>
      <c r="BF1288" s="38"/>
      <c r="BG1288" s="38"/>
      <c r="BH1288" s="11"/>
      <c r="BI1288" s="1"/>
      <c r="BJ1288" s="2"/>
      <c r="BK1288" s="1"/>
      <c r="BL1288" s="1"/>
      <c r="BM1288" s="7"/>
      <c r="BN1288" s="7"/>
      <c r="BO1288" s="1"/>
      <c r="BP1288" s="11"/>
      <c r="BQ1288" s="11"/>
    </row>
    <row r="1289" spans="1:69" x14ac:dyDescent="0.3">
      <c r="A1289" s="7"/>
      <c r="B1289" s="11"/>
      <c r="C1289" s="11"/>
      <c r="D1289" s="11"/>
      <c r="E1289" s="45"/>
      <c r="F1289" s="40"/>
      <c r="G1289" s="11"/>
      <c r="K1289" s="40"/>
      <c r="N1289" s="11"/>
      <c r="O1289" s="11"/>
      <c r="P1289" s="11"/>
      <c r="Q1289" s="11"/>
      <c r="R1289" s="11"/>
      <c r="S1289" s="11"/>
      <c r="T1289" s="11"/>
      <c r="U1289" s="11"/>
      <c r="V1289" s="11"/>
      <c r="W1289" s="11"/>
      <c r="X1289" s="11"/>
      <c r="Y1289" s="11"/>
      <c r="Z1289" s="11"/>
      <c r="AA1289" s="11"/>
      <c r="AB1289" s="11"/>
      <c r="AC1289" s="11"/>
      <c r="AD1289" s="40"/>
      <c r="AE1289" s="11"/>
      <c r="AF1289" s="40"/>
      <c r="AI1289" s="11"/>
      <c r="AJ1289" s="11"/>
      <c r="AK1289" s="11"/>
      <c r="AL1289" s="11"/>
      <c r="AM1289" s="11"/>
      <c r="AN1289" s="11"/>
      <c r="AO1289" s="11"/>
      <c r="AY1289" s="11"/>
      <c r="BE1289" s="38"/>
      <c r="BF1289" s="38"/>
      <c r="BG1289" s="38"/>
      <c r="BH1289" s="11"/>
      <c r="BI1289" s="1"/>
      <c r="BJ1289" s="2"/>
      <c r="BK1289" s="1"/>
      <c r="BL1289" s="1"/>
      <c r="BM1289" s="7"/>
      <c r="BN1289" s="7"/>
      <c r="BO1289" s="1"/>
      <c r="BP1289" s="11"/>
      <c r="BQ1289" s="11"/>
    </row>
    <row r="1290" spans="1:69" x14ac:dyDescent="0.3">
      <c r="A1290" s="7"/>
      <c r="B1290" s="11"/>
      <c r="C1290" s="11"/>
      <c r="D1290" s="11"/>
      <c r="E1290" s="45"/>
      <c r="F1290" s="40"/>
      <c r="G1290" s="11"/>
      <c r="K1290" s="40"/>
      <c r="N1290" s="11"/>
      <c r="O1290" s="11"/>
      <c r="P1290" s="11"/>
      <c r="Q1290" s="11"/>
      <c r="R1290" s="11"/>
      <c r="S1290" s="11"/>
      <c r="T1290" s="11"/>
      <c r="U1290" s="11"/>
      <c r="V1290" s="11"/>
      <c r="W1290" s="11"/>
      <c r="X1290" s="11"/>
      <c r="Y1290" s="11"/>
      <c r="Z1290" s="11"/>
      <c r="AA1290" s="11"/>
      <c r="AB1290" s="11"/>
      <c r="AC1290" s="11"/>
      <c r="AD1290" s="40"/>
      <c r="AE1290" s="11"/>
      <c r="AF1290" s="40"/>
      <c r="AI1290" s="11"/>
      <c r="AJ1290" s="11"/>
      <c r="AK1290" s="11"/>
      <c r="AL1290" s="11"/>
      <c r="AM1290" s="11"/>
      <c r="AN1290" s="11"/>
      <c r="AO1290" s="11"/>
      <c r="AY1290" s="11"/>
      <c r="BE1290" s="38"/>
      <c r="BF1290" s="38"/>
      <c r="BG1290" s="38"/>
      <c r="BH1290" s="11"/>
      <c r="BI1290" s="1"/>
      <c r="BJ1290" s="2"/>
      <c r="BK1290" s="1"/>
      <c r="BL1290" s="1"/>
      <c r="BM1290" s="7"/>
      <c r="BN1290" s="7"/>
      <c r="BO1290" s="1"/>
      <c r="BP1290" s="11"/>
      <c r="BQ1290" s="11"/>
    </row>
    <row r="1291" spans="1:69" x14ac:dyDescent="0.3">
      <c r="A1291" s="7"/>
      <c r="B1291" s="11"/>
      <c r="C1291" s="11"/>
      <c r="D1291" s="11"/>
      <c r="E1291" s="45"/>
      <c r="F1291" s="40"/>
      <c r="G1291" s="11"/>
      <c r="K1291" s="40"/>
      <c r="N1291" s="11"/>
      <c r="O1291" s="11"/>
      <c r="P1291" s="11"/>
      <c r="Q1291" s="11"/>
      <c r="R1291" s="11"/>
      <c r="S1291" s="11"/>
      <c r="T1291" s="11"/>
      <c r="U1291" s="11"/>
      <c r="V1291" s="11"/>
      <c r="W1291" s="11"/>
      <c r="X1291" s="11"/>
      <c r="Y1291" s="11"/>
      <c r="Z1291" s="11"/>
      <c r="AA1291" s="11"/>
      <c r="AB1291" s="11"/>
      <c r="AC1291" s="11"/>
      <c r="AD1291" s="40"/>
      <c r="AE1291" s="11"/>
      <c r="AF1291" s="40"/>
      <c r="AI1291" s="11"/>
      <c r="AJ1291" s="11"/>
      <c r="AK1291" s="11"/>
      <c r="AL1291" s="11"/>
      <c r="AM1291" s="11"/>
      <c r="AN1291" s="11"/>
      <c r="AO1291" s="11"/>
      <c r="AY1291" s="11"/>
      <c r="BE1291" s="38"/>
      <c r="BF1291" s="38"/>
      <c r="BG1291" s="38"/>
      <c r="BH1291" s="11"/>
      <c r="BI1291" s="1"/>
      <c r="BJ1291" s="2"/>
      <c r="BK1291" s="1"/>
      <c r="BL1291" s="1"/>
      <c r="BM1291" s="7"/>
      <c r="BN1291" s="7"/>
      <c r="BO1291" s="1"/>
      <c r="BP1291" s="11"/>
      <c r="BQ1291" s="11"/>
    </row>
    <row r="1292" spans="1:69" x14ac:dyDescent="0.3">
      <c r="A1292" s="7"/>
      <c r="B1292" s="11"/>
      <c r="C1292" s="11"/>
      <c r="D1292" s="11"/>
      <c r="E1292" s="45"/>
      <c r="F1292" s="40"/>
      <c r="G1292" s="11"/>
      <c r="K1292" s="40"/>
      <c r="N1292" s="11"/>
      <c r="O1292" s="11"/>
      <c r="P1292" s="11"/>
      <c r="Q1292" s="11"/>
      <c r="R1292" s="11"/>
      <c r="S1292" s="11"/>
      <c r="T1292" s="11"/>
      <c r="U1292" s="11"/>
      <c r="V1292" s="11"/>
      <c r="W1292" s="11"/>
      <c r="X1292" s="11"/>
      <c r="Y1292" s="11"/>
      <c r="Z1292" s="11"/>
      <c r="AA1292" s="11"/>
      <c r="AB1292" s="11"/>
      <c r="AC1292" s="11"/>
      <c r="AD1292" s="40"/>
      <c r="AE1292" s="11"/>
      <c r="AF1292" s="40"/>
      <c r="AI1292" s="11"/>
      <c r="AJ1292" s="11"/>
      <c r="AK1292" s="11"/>
      <c r="AL1292" s="11"/>
      <c r="AM1292" s="11"/>
      <c r="AN1292" s="11"/>
      <c r="AO1292" s="11"/>
      <c r="AY1292" s="11"/>
      <c r="BE1292" s="38"/>
      <c r="BF1292" s="38"/>
      <c r="BG1292" s="38"/>
      <c r="BH1292" s="11"/>
      <c r="BI1292" s="1"/>
      <c r="BJ1292" s="2"/>
      <c r="BK1292" s="1"/>
      <c r="BL1292" s="1"/>
      <c r="BM1292" s="7"/>
      <c r="BN1292" s="7"/>
      <c r="BO1292" s="1"/>
      <c r="BP1292" s="11"/>
      <c r="BQ1292" s="11"/>
    </row>
    <row r="1293" spans="1:69" x14ac:dyDescent="0.3">
      <c r="A1293" s="7"/>
      <c r="B1293" s="11"/>
      <c r="C1293" s="11"/>
      <c r="D1293" s="11"/>
      <c r="E1293" s="45"/>
      <c r="F1293" s="40"/>
      <c r="G1293" s="11"/>
      <c r="K1293" s="40"/>
      <c r="N1293" s="11"/>
      <c r="O1293" s="11"/>
      <c r="P1293" s="11"/>
      <c r="Q1293" s="11"/>
      <c r="R1293" s="11"/>
      <c r="S1293" s="11"/>
      <c r="T1293" s="11"/>
      <c r="U1293" s="11"/>
      <c r="V1293" s="11"/>
      <c r="W1293" s="11"/>
      <c r="X1293" s="11"/>
      <c r="Y1293" s="11"/>
      <c r="Z1293" s="11"/>
      <c r="AA1293" s="11"/>
      <c r="AB1293" s="11"/>
      <c r="AC1293" s="11"/>
      <c r="AD1293" s="40"/>
      <c r="AE1293" s="11"/>
      <c r="AF1293" s="40"/>
      <c r="AI1293" s="11"/>
      <c r="AJ1293" s="11"/>
      <c r="AK1293" s="11"/>
      <c r="AL1293" s="11"/>
      <c r="AM1293" s="11"/>
      <c r="AN1293" s="11"/>
      <c r="AO1293" s="11"/>
      <c r="AY1293" s="11"/>
      <c r="BE1293" s="38"/>
      <c r="BF1293" s="38"/>
      <c r="BG1293" s="38"/>
      <c r="BH1293" s="11"/>
      <c r="BI1293" s="1"/>
      <c r="BJ1293" s="2"/>
      <c r="BK1293" s="1"/>
      <c r="BL1293" s="1"/>
      <c r="BM1293" s="7"/>
      <c r="BN1293" s="7"/>
      <c r="BO1293" s="1"/>
      <c r="BP1293" s="11"/>
      <c r="BQ1293" s="11"/>
    </row>
    <row r="1294" spans="1:69" x14ac:dyDescent="0.3">
      <c r="A1294" s="7"/>
      <c r="B1294" s="11"/>
      <c r="C1294" s="11"/>
      <c r="D1294" s="11"/>
      <c r="E1294" s="45"/>
      <c r="F1294" s="40"/>
      <c r="G1294" s="11"/>
      <c r="K1294" s="40"/>
      <c r="N1294" s="11"/>
      <c r="O1294" s="11"/>
      <c r="P1294" s="11"/>
      <c r="Q1294" s="11"/>
      <c r="R1294" s="11"/>
      <c r="S1294" s="11"/>
      <c r="T1294" s="11"/>
      <c r="U1294" s="11"/>
      <c r="V1294" s="11"/>
      <c r="W1294" s="11"/>
      <c r="X1294" s="11"/>
      <c r="Y1294" s="11"/>
      <c r="Z1294" s="11"/>
      <c r="AA1294" s="11"/>
      <c r="AB1294" s="11"/>
      <c r="AC1294" s="11"/>
      <c r="AD1294" s="40"/>
      <c r="AE1294" s="11"/>
      <c r="AF1294" s="40"/>
      <c r="AI1294" s="11"/>
      <c r="AJ1294" s="11"/>
      <c r="AK1294" s="11"/>
      <c r="AL1294" s="11"/>
      <c r="AM1294" s="11"/>
      <c r="AN1294" s="11"/>
      <c r="AO1294" s="11"/>
      <c r="AY1294" s="11"/>
      <c r="BE1294" s="38"/>
      <c r="BF1294" s="38"/>
      <c r="BG1294" s="38"/>
      <c r="BH1294" s="11"/>
      <c r="BI1294" s="1"/>
      <c r="BJ1294" s="2"/>
      <c r="BK1294" s="1"/>
      <c r="BL1294" s="1"/>
      <c r="BM1294" s="7"/>
      <c r="BN1294" s="7"/>
      <c r="BO1294" s="1"/>
      <c r="BP1294" s="11"/>
      <c r="BQ1294" s="11"/>
    </row>
    <row r="1295" spans="1:69" x14ac:dyDescent="0.3">
      <c r="A1295" s="7"/>
      <c r="B1295" s="11"/>
      <c r="C1295" s="11"/>
      <c r="D1295" s="11"/>
      <c r="E1295" s="45"/>
      <c r="F1295" s="40"/>
      <c r="G1295" s="11"/>
      <c r="K1295" s="40"/>
      <c r="N1295" s="11"/>
      <c r="O1295" s="11"/>
      <c r="P1295" s="11"/>
      <c r="Q1295" s="11"/>
      <c r="R1295" s="11"/>
      <c r="S1295" s="11"/>
      <c r="T1295" s="11"/>
      <c r="U1295" s="11"/>
      <c r="V1295" s="11"/>
      <c r="W1295" s="11"/>
      <c r="X1295" s="11"/>
      <c r="Y1295" s="11"/>
      <c r="Z1295" s="11"/>
      <c r="AA1295" s="11"/>
      <c r="AB1295" s="11"/>
      <c r="AC1295" s="11"/>
      <c r="AD1295" s="40"/>
      <c r="AE1295" s="11"/>
      <c r="AF1295" s="40"/>
      <c r="AI1295" s="11"/>
      <c r="AJ1295" s="11"/>
      <c r="AK1295" s="11"/>
      <c r="AL1295" s="11"/>
      <c r="AM1295" s="11"/>
      <c r="AN1295" s="11"/>
      <c r="AO1295" s="11"/>
      <c r="AY1295" s="11"/>
      <c r="BE1295" s="38"/>
      <c r="BF1295" s="38"/>
      <c r="BG1295" s="38"/>
      <c r="BH1295" s="11"/>
      <c r="BI1295" s="1"/>
      <c r="BJ1295" s="2"/>
      <c r="BK1295" s="1"/>
      <c r="BL1295" s="1"/>
      <c r="BM1295" s="7"/>
      <c r="BN1295" s="7"/>
      <c r="BO1295" s="1"/>
      <c r="BP1295" s="11"/>
      <c r="BQ1295" s="11"/>
    </row>
    <row r="1296" spans="1:69" x14ac:dyDescent="0.3">
      <c r="A1296" s="7"/>
      <c r="B1296" s="11"/>
      <c r="C1296" s="11"/>
      <c r="D1296" s="11"/>
      <c r="E1296" s="45"/>
      <c r="F1296" s="40"/>
      <c r="G1296" s="11"/>
      <c r="K1296" s="40"/>
      <c r="N1296" s="11"/>
      <c r="O1296" s="11"/>
      <c r="P1296" s="11"/>
      <c r="Q1296" s="11"/>
      <c r="R1296" s="11"/>
      <c r="S1296" s="11"/>
      <c r="T1296" s="11"/>
      <c r="U1296" s="11"/>
      <c r="V1296" s="11"/>
      <c r="W1296" s="11"/>
      <c r="X1296" s="11"/>
      <c r="Y1296" s="11"/>
      <c r="Z1296" s="11"/>
      <c r="AA1296" s="11"/>
      <c r="AB1296" s="11"/>
      <c r="AC1296" s="11"/>
      <c r="AD1296" s="40"/>
      <c r="AE1296" s="11"/>
      <c r="AF1296" s="40"/>
      <c r="AI1296" s="11"/>
      <c r="AJ1296" s="11"/>
      <c r="AK1296" s="11"/>
      <c r="AL1296" s="11"/>
      <c r="AM1296" s="11"/>
      <c r="AN1296" s="11"/>
      <c r="AO1296" s="11"/>
      <c r="AY1296" s="11"/>
      <c r="BE1296" s="38"/>
      <c r="BF1296" s="38"/>
      <c r="BG1296" s="38"/>
      <c r="BH1296" s="11"/>
      <c r="BI1296" s="1"/>
      <c r="BJ1296" s="2"/>
      <c r="BK1296" s="1"/>
      <c r="BL1296" s="1"/>
      <c r="BM1296" s="7"/>
      <c r="BN1296" s="7"/>
      <c r="BO1296" s="1"/>
      <c r="BP1296" s="11"/>
      <c r="BQ1296" s="11"/>
    </row>
    <row r="1297" spans="1:69" x14ac:dyDescent="0.3">
      <c r="A1297" s="7"/>
      <c r="B1297" s="11"/>
      <c r="C1297" s="11"/>
      <c r="D1297" s="11"/>
      <c r="E1297" s="45"/>
      <c r="F1297" s="40"/>
      <c r="G1297" s="11"/>
      <c r="K1297" s="40"/>
      <c r="N1297" s="11"/>
      <c r="O1297" s="11"/>
      <c r="P1297" s="11"/>
      <c r="Q1297" s="11"/>
      <c r="R1297" s="11"/>
      <c r="S1297" s="11"/>
      <c r="T1297" s="11"/>
      <c r="U1297" s="11"/>
      <c r="V1297" s="11"/>
      <c r="W1297" s="11"/>
      <c r="X1297" s="11"/>
      <c r="Y1297" s="11"/>
      <c r="Z1297" s="11"/>
      <c r="AA1297" s="11"/>
      <c r="AB1297" s="11"/>
      <c r="AC1297" s="11"/>
      <c r="AD1297" s="40"/>
      <c r="AE1297" s="11"/>
      <c r="AF1297" s="40"/>
      <c r="AI1297" s="11"/>
      <c r="AJ1297" s="11"/>
      <c r="AK1297" s="11"/>
      <c r="AL1297" s="11"/>
      <c r="AM1297" s="11"/>
      <c r="AN1297" s="11"/>
      <c r="AO1297" s="11"/>
      <c r="AY1297" s="11"/>
      <c r="BE1297" s="38"/>
      <c r="BF1297" s="38"/>
      <c r="BG1297" s="38"/>
      <c r="BH1297" s="11"/>
      <c r="BI1297" s="1"/>
      <c r="BJ1297" s="2"/>
      <c r="BK1297" s="1"/>
      <c r="BL1297" s="1"/>
      <c r="BM1297" s="7"/>
      <c r="BN1297" s="7"/>
      <c r="BO1297" s="1"/>
      <c r="BP1297" s="11"/>
      <c r="BQ1297" s="11"/>
    </row>
    <row r="1298" spans="1:69" x14ac:dyDescent="0.3">
      <c r="A1298" s="7"/>
      <c r="B1298" s="11"/>
      <c r="C1298" s="11"/>
      <c r="D1298" s="11"/>
      <c r="E1298" s="45"/>
      <c r="F1298" s="40"/>
      <c r="G1298" s="11"/>
      <c r="K1298" s="40"/>
      <c r="N1298" s="11"/>
      <c r="O1298" s="11"/>
      <c r="P1298" s="11"/>
      <c r="Q1298" s="11"/>
      <c r="R1298" s="11"/>
      <c r="S1298" s="11"/>
      <c r="T1298" s="11"/>
      <c r="U1298" s="11"/>
      <c r="V1298" s="11"/>
      <c r="W1298" s="11"/>
      <c r="X1298" s="11"/>
      <c r="Y1298" s="11"/>
      <c r="Z1298" s="11"/>
      <c r="AA1298" s="11"/>
      <c r="AB1298" s="11"/>
      <c r="AC1298" s="11"/>
      <c r="AD1298" s="40"/>
      <c r="AE1298" s="11"/>
      <c r="AF1298" s="40"/>
      <c r="AI1298" s="11"/>
      <c r="AJ1298" s="11"/>
      <c r="AK1298" s="11"/>
      <c r="AL1298" s="11"/>
      <c r="AM1298" s="11"/>
      <c r="AN1298" s="11"/>
      <c r="AO1298" s="11"/>
      <c r="AY1298" s="11"/>
      <c r="BE1298" s="38"/>
      <c r="BF1298" s="38"/>
      <c r="BG1298" s="38"/>
      <c r="BH1298" s="11"/>
      <c r="BI1298" s="1"/>
      <c r="BJ1298" s="2"/>
      <c r="BK1298" s="1"/>
      <c r="BL1298" s="1"/>
      <c r="BM1298" s="7"/>
      <c r="BN1298" s="7"/>
      <c r="BO1298" s="1"/>
      <c r="BP1298" s="11"/>
      <c r="BQ1298" s="11"/>
    </row>
    <row r="1299" spans="1:69" x14ac:dyDescent="0.3">
      <c r="A1299" s="7"/>
      <c r="B1299" s="11"/>
      <c r="C1299" s="11"/>
      <c r="D1299" s="11"/>
      <c r="E1299" s="45"/>
      <c r="F1299" s="40"/>
      <c r="G1299" s="11"/>
      <c r="K1299" s="40"/>
      <c r="N1299" s="11"/>
      <c r="O1299" s="11"/>
      <c r="P1299" s="11"/>
      <c r="Q1299" s="11"/>
      <c r="R1299" s="11"/>
      <c r="S1299" s="11"/>
      <c r="T1299" s="11"/>
      <c r="U1299" s="11"/>
      <c r="V1299" s="11"/>
      <c r="W1299" s="11"/>
      <c r="X1299" s="11"/>
      <c r="Y1299" s="11"/>
      <c r="Z1299" s="11"/>
      <c r="AA1299" s="11"/>
      <c r="AB1299" s="11"/>
      <c r="AC1299" s="11"/>
      <c r="AD1299" s="40"/>
      <c r="AE1299" s="11"/>
      <c r="AF1299" s="40"/>
      <c r="AI1299" s="11"/>
      <c r="AJ1299" s="11"/>
      <c r="AK1299" s="11"/>
      <c r="AL1299" s="11"/>
      <c r="AM1299" s="11"/>
      <c r="AN1299" s="11"/>
      <c r="AO1299" s="11"/>
      <c r="AY1299" s="11"/>
      <c r="BE1299" s="38"/>
      <c r="BF1299" s="38"/>
      <c r="BG1299" s="38"/>
      <c r="BH1299" s="11"/>
      <c r="BI1299" s="1"/>
      <c r="BJ1299" s="2"/>
      <c r="BK1299" s="1"/>
      <c r="BL1299" s="1"/>
      <c r="BM1299" s="7"/>
      <c r="BN1299" s="7"/>
      <c r="BO1299" s="1"/>
      <c r="BP1299" s="11"/>
      <c r="BQ1299" s="11"/>
    </row>
    <row r="1300" spans="1:69" x14ac:dyDescent="0.3">
      <c r="A1300" s="7"/>
      <c r="B1300" s="11"/>
      <c r="C1300" s="11"/>
      <c r="D1300" s="11"/>
      <c r="E1300" s="45"/>
      <c r="F1300" s="40"/>
      <c r="G1300" s="11"/>
      <c r="K1300" s="40"/>
      <c r="N1300" s="11"/>
      <c r="O1300" s="11"/>
      <c r="P1300" s="11"/>
      <c r="Q1300" s="11"/>
      <c r="R1300" s="11"/>
      <c r="S1300" s="11"/>
      <c r="T1300" s="11"/>
      <c r="U1300" s="11"/>
      <c r="V1300" s="11"/>
      <c r="W1300" s="11"/>
      <c r="X1300" s="11"/>
      <c r="Y1300" s="11"/>
      <c r="Z1300" s="11"/>
      <c r="AA1300" s="11"/>
      <c r="AB1300" s="11"/>
      <c r="AC1300" s="11"/>
      <c r="AD1300" s="40"/>
      <c r="AE1300" s="11"/>
      <c r="AF1300" s="40"/>
      <c r="AI1300" s="11"/>
      <c r="AJ1300" s="11"/>
      <c r="AK1300" s="11"/>
      <c r="AL1300" s="11"/>
      <c r="AM1300" s="11"/>
      <c r="AN1300" s="11"/>
      <c r="AO1300" s="11"/>
      <c r="AY1300" s="11"/>
      <c r="BE1300" s="38"/>
      <c r="BF1300" s="38"/>
      <c r="BG1300" s="38"/>
      <c r="BH1300" s="11"/>
      <c r="BI1300" s="1"/>
      <c r="BJ1300" s="2"/>
      <c r="BK1300" s="1"/>
      <c r="BL1300" s="1"/>
      <c r="BM1300" s="7"/>
      <c r="BN1300" s="7"/>
      <c r="BO1300" s="1"/>
      <c r="BP1300" s="11"/>
      <c r="BQ1300" s="11"/>
    </row>
    <row r="1301" spans="1:69" x14ac:dyDescent="0.3">
      <c r="A1301" s="7"/>
      <c r="B1301" s="11"/>
      <c r="C1301" s="11"/>
      <c r="D1301" s="11"/>
      <c r="E1301" s="45"/>
      <c r="F1301" s="40"/>
      <c r="G1301" s="11"/>
      <c r="K1301" s="40"/>
      <c r="N1301" s="11"/>
      <c r="O1301" s="11"/>
      <c r="P1301" s="11"/>
      <c r="Q1301" s="11"/>
      <c r="R1301" s="11"/>
      <c r="S1301" s="11"/>
      <c r="T1301" s="11"/>
      <c r="U1301" s="11"/>
      <c r="V1301" s="11"/>
      <c r="W1301" s="11"/>
      <c r="X1301" s="11"/>
      <c r="Y1301" s="11"/>
      <c r="Z1301" s="11"/>
      <c r="AA1301" s="11"/>
      <c r="AB1301" s="11"/>
      <c r="AC1301" s="11"/>
      <c r="AD1301" s="40"/>
      <c r="AE1301" s="11"/>
      <c r="AF1301" s="40"/>
      <c r="AI1301" s="11"/>
      <c r="AJ1301" s="11"/>
      <c r="AK1301" s="11"/>
      <c r="AL1301" s="11"/>
      <c r="AM1301" s="11"/>
      <c r="AN1301" s="11"/>
      <c r="AO1301" s="11"/>
      <c r="AY1301" s="11"/>
      <c r="BE1301" s="38"/>
      <c r="BF1301" s="38"/>
      <c r="BG1301" s="38"/>
      <c r="BH1301" s="11"/>
      <c r="BI1301" s="1"/>
      <c r="BJ1301" s="2"/>
      <c r="BK1301" s="1"/>
      <c r="BL1301" s="1"/>
      <c r="BM1301" s="7"/>
      <c r="BN1301" s="7"/>
      <c r="BO1301" s="1"/>
      <c r="BP1301" s="11"/>
      <c r="BQ1301" s="11"/>
    </row>
    <row r="1302" spans="1:69" x14ac:dyDescent="0.3">
      <c r="A1302" s="7"/>
      <c r="B1302" s="11"/>
      <c r="C1302" s="11"/>
      <c r="D1302" s="11"/>
      <c r="E1302" s="45"/>
      <c r="F1302" s="40"/>
      <c r="G1302" s="11"/>
      <c r="K1302" s="40"/>
      <c r="N1302" s="11"/>
      <c r="O1302" s="11"/>
      <c r="P1302" s="11"/>
      <c r="Q1302" s="11"/>
      <c r="R1302" s="11"/>
      <c r="S1302" s="11"/>
      <c r="T1302" s="11"/>
      <c r="U1302" s="11"/>
      <c r="V1302" s="11"/>
      <c r="W1302" s="11"/>
      <c r="X1302" s="11"/>
      <c r="Y1302" s="11"/>
      <c r="Z1302" s="11"/>
      <c r="AA1302" s="11"/>
      <c r="AB1302" s="11"/>
      <c r="AC1302" s="11"/>
      <c r="AD1302" s="40"/>
      <c r="AE1302" s="11"/>
      <c r="AF1302" s="40"/>
      <c r="AI1302" s="11"/>
      <c r="AJ1302" s="11"/>
      <c r="AK1302" s="11"/>
      <c r="AL1302" s="11"/>
      <c r="AM1302" s="11"/>
      <c r="AN1302" s="11"/>
      <c r="AO1302" s="11"/>
      <c r="AY1302" s="11"/>
      <c r="BE1302" s="38"/>
      <c r="BF1302" s="38"/>
      <c r="BG1302" s="38"/>
      <c r="BH1302" s="11"/>
      <c r="BI1302" s="1"/>
      <c r="BJ1302" s="2"/>
      <c r="BK1302" s="1"/>
      <c r="BL1302" s="1"/>
      <c r="BM1302" s="7"/>
      <c r="BN1302" s="7"/>
      <c r="BO1302" s="1"/>
      <c r="BP1302" s="11"/>
      <c r="BQ1302" s="11"/>
    </row>
    <row r="1303" spans="1:69" x14ac:dyDescent="0.3">
      <c r="A1303" s="7"/>
      <c r="B1303" s="11"/>
      <c r="C1303" s="11"/>
      <c r="D1303" s="11"/>
      <c r="E1303" s="45"/>
      <c r="F1303" s="40"/>
      <c r="G1303" s="11"/>
      <c r="K1303" s="40"/>
      <c r="N1303" s="11"/>
      <c r="O1303" s="11"/>
      <c r="P1303" s="11"/>
      <c r="Q1303" s="11"/>
      <c r="R1303" s="11"/>
      <c r="S1303" s="11"/>
      <c r="T1303" s="11"/>
      <c r="U1303" s="11"/>
      <c r="V1303" s="11"/>
      <c r="W1303" s="11"/>
      <c r="X1303" s="11"/>
      <c r="Y1303" s="11"/>
      <c r="Z1303" s="11"/>
      <c r="AA1303" s="11"/>
      <c r="AB1303" s="11"/>
      <c r="AC1303" s="11"/>
      <c r="AD1303" s="40"/>
      <c r="AE1303" s="11"/>
      <c r="AF1303" s="40"/>
      <c r="AI1303" s="11"/>
      <c r="AJ1303" s="11"/>
      <c r="AK1303" s="11"/>
      <c r="AL1303" s="11"/>
      <c r="AM1303" s="11"/>
      <c r="AN1303" s="11"/>
      <c r="AO1303" s="11"/>
      <c r="AY1303" s="11"/>
      <c r="BE1303" s="38"/>
      <c r="BF1303" s="38"/>
      <c r="BG1303" s="38"/>
      <c r="BH1303" s="11"/>
      <c r="BI1303" s="1"/>
      <c r="BJ1303" s="2"/>
      <c r="BK1303" s="1"/>
      <c r="BL1303" s="1"/>
      <c r="BM1303" s="7"/>
      <c r="BN1303" s="7"/>
      <c r="BO1303" s="1"/>
      <c r="BP1303" s="11"/>
      <c r="BQ1303" s="11"/>
    </row>
    <row r="1304" spans="1:69" x14ac:dyDescent="0.3">
      <c r="A1304" s="7"/>
      <c r="B1304" s="11"/>
      <c r="C1304" s="11"/>
      <c r="D1304" s="11"/>
      <c r="E1304" s="45"/>
      <c r="F1304" s="40"/>
      <c r="G1304" s="11"/>
      <c r="K1304" s="40"/>
      <c r="N1304" s="11"/>
      <c r="O1304" s="11"/>
      <c r="P1304" s="11"/>
      <c r="Q1304" s="11"/>
      <c r="R1304" s="11"/>
      <c r="S1304" s="11"/>
      <c r="T1304" s="11"/>
      <c r="U1304" s="11"/>
      <c r="V1304" s="11"/>
      <c r="W1304" s="11"/>
      <c r="X1304" s="11"/>
      <c r="Y1304" s="11"/>
      <c r="Z1304" s="11"/>
      <c r="AA1304" s="11"/>
      <c r="AB1304" s="11"/>
      <c r="AC1304" s="11"/>
      <c r="AD1304" s="40"/>
      <c r="AE1304" s="11"/>
      <c r="AF1304" s="40"/>
      <c r="AI1304" s="11"/>
      <c r="AJ1304" s="11"/>
      <c r="AK1304" s="11"/>
      <c r="AL1304" s="11"/>
      <c r="AM1304" s="11"/>
      <c r="AN1304" s="11"/>
      <c r="AO1304" s="11"/>
      <c r="AY1304" s="11"/>
      <c r="BE1304" s="38"/>
      <c r="BF1304" s="38"/>
      <c r="BG1304" s="38"/>
      <c r="BH1304" s="11"/>
      <c r="BI1304" s="1"/>
      <c r="BJ1304" s="2"/>
      <c r="BK1304" s="1"/>
      <c r="BL1304" s="1"/>
      <c r="BM1304" s="7"/>
      <c r="BN1304" s="7"/>
      <c r="BO1304" s="1"/>
      <c r="BP1304" s="11"/>
      <c r="BQ1304" s="11"/>
    </row>
    <row r="1305" spans="1:69" x14ac:dyDescent="0.3">
      <c r="A1305" s="7"/>
      <c r="B1305" s="11"/>
      <c r="C1305" s="11"/>
      <c r="D1305" s="11"/>
      <c r="E1305" s="45"/>
      <c r="F1305" s="40"/>
      <c r="G1305" s="11"/>
      <c r="K1305" s="40"/>
      <c r="N1305" s="11"/>
      <c r="O1305" s="11"/>
      <c r="P1305" s="11"/>
      <c r="Q1305" s="11"/>
      <c r="R1305" s="11"/>
      <c r="S1305" s="11"/>
      <c r="T1305" s="11"/>
      <c r="U1305" s="11"/>
      <c r="V1305" s="11"/>
      <c r="W1305" s="11"/>
      <c r="X1305" s="11"/>
      <c r="Y1305" s="11"/>
      <c r="Z1305" s="11"/>
      <c r="AA1305" s="11"/>
      <c r="AB1305" s="11"/>
      <c r="AC1305" s="11"/>
      <c r="AD1305" s="40"/>
      <c r="AE1305" s="11"/>
      <c r="AF1305" s="40"/>
      <c r="AI1305" s="11"/>
      <c r="AJ1305" s="11"/>
      <c r="AK1305" s="11"/>
      <c r="AL1305" s="11"/>
      <c r="AM1305" s="11"/>
      <c r="AN1305" s="11"/>
      <c r="AO1305" s="11"/>
      <c r="AY1305" s="11"/>
      <c r="BE1305" s="38"/>
      <c r="BF1305" s="38"/>
      <c r="BG1305" s="38"/>
      <c r="BH1305" s="11"/>
      <c r="BI1305" s="1"/>
      <c r="BJ1305" s="2"/>
      <c r="BK1305" s="1"/>
      <c r="BL1305" s="1"/>
      <c r="BM1305" s="7"/>
      <c r="BN1305" s="7"/>
      <c r="BO1305" s="1"/>
      <c r="BP1305" s="11"/>
      <c r="BQ1305" s="11"/>
    </row>
    <row r="1306" spans="1:69" x14ac:dyDescent="0.3">
      <c r="A1306" s="7"/>
      <c r="B1306" s="11"/>
      <c r="C1306" s="11"/>
      <c r="D1306" s="11"/>
      <c r="E1306" s="45"/>
      <c r="F1306" s="40"/>
      <c r="G1306" s="11"/>
      <c r="K1306" s="40"/>
      <c r="N1306" s="11"/>
      <c r="O1306" s="11"/>
      <c r="P1306" s="11"/>
      <c r="Q1306" s="11"/>
      <c r="R1306" s="11"/>
      <c r="S1306" s="11"/>
      <c r="T1306" s="11"/>
      <c r="U1306" s="11"/>
      <c r="V1306" s="11"/>
      <c r="W1306" s="11"/>
      <c r="X1306" s="11"/>
      <c r="Y1306" s="11"/>
      <c r="Z1306" s="11"/>
      <c r="AA1306" s="11"/>
      <c r="AB1306" s="11"/>
      <c r="AC1306" s="11"/>
      <c r="AD1306" s="40"/>
      <c r="AE1306" s="11"/>
      <c r="AF1306" s="40"/>
      <c r="AI1306" s="11"/>
      <c r="AJ1306" s="11"/>
      <c r="AK1306" s="11"/>
      <c r="AL1306" s="11"/>
      <c r="AM1306" s="11"/>
      <c r="AN1306" s="11"/>
      <c r="AO1306" s="11"/>
      <c r="AY1306" s="11"/>
      <c r="BE1306" s="38"/>
      <c r="BF1306" s="38"/>
      <c r="BG1306" s="38"/>
      <c r="BH1306" s="11"/>
      <c r="BI1306" s="1"/>
      <c r="BJ1306" s="2"/>
      <c r="BK1306" s="1"/>
      <c r="BL1306" s="1"/>
      <c r="BM1306" s="7"/>
      <c r="BN1306" s="7"/>
      <c r="BO1306" s="1"/>
      <c r="BP1306" s="11"/>
      <c r="BQ1306" s="11"/>
    </row>
    <row r="1307" spans="1:69" x14ac:dyDescent="0.3">
      <c r="A1307" s="7"/>
      <c r="B1307" s="11"/>
      <c r="C1307" s="11"/>
      <c r="D1307" s="11"/>
      <c r="E1307" s="45"/>
      <c r="F1307" s="40"/>
      <c r="G1307" s="11"/>
      <c r="K1307" s="40"/>
      <c r="N1307" s="11"/>
      <c r="O1307" s="11"/>
      <c r="P1307" s="11"/>
      <c r="Q1307" s="11"/>
      <c r="R1307" s="11"/>
      <c r="S1307" s="11"/>
      <c r="T1307" s="11"/>
      <c r="U1307" s="11"/>
      <c r="V1307" s="11"/>
      <c r="W1307" s="11"/>
      <c r="X1307" s="11"/>
      <c r="Y1307" s="11"/>
      <c r="Z1307" s="11"/>
      <c r="AA1307" s="11"/>
      <c r="AB1307" s="11"/>
      <c r="AC1307" s="11"/>
      <c r="AD1307" s="40"/>
      <c r="AE1307" s="11"/>
      <c r="AF1307" s="40"/>
      <c r="AI1307" s="11"/>
      <c r="AJ1307" s="11"/>
      <c r="AK1307" s="11"/>
      <c r="AL1307" s="11"/>
      <c r="AM1307" s="11"/>
      <c r="AN1307" s="11"/>
      <c r="AO1307" s="11"/>
      <c r="AY1307" s="11"/>
      <c r="BE1307" s="38"/>
      <c r="BF1307" s="38"/>
      <c r="BG1307" s="38"/>
      <c r="BH1307" s="11"/>
      <c r="BI1307" s="1"/>
      <c r="BJ1307" s="2"/>
      <c r="BK1307" s="1"/>
      <c r="BL1307" s="1"/>
      <c r="BM1307" s="7"/>
      <c r="BN1307" s="7"/>
      <c r="BO1307" s="1"/>
      <c r="BP1307" s="11"/>
      <c r="BQ1307" s="11"/>
    </row>
    <row r="1308" spans="1:69" x14ac:dyDescent="0.3">
      <c r="A1308" s="7"/>
      <c r="B1308" s="11"/>
      <c r="C1308" s="11"/>
      <c r="D1308" s="11"/>
      <c r="E1308" s="45"/>
      <c r="F1308" s="40"/>
      <c r="G1308" s="11"/>
      <c r="K1308" s="40"/>
      <c r="N1308" s="11"/>
      <c r="O1308" s="11"/>
      <c r="P1308" s="11"/>
      <c r="Q1308" s="11"/>
      <c r="R1308" s="11"/>
      <c r="S1308" s="11"/>
      <c r="T1308" s="11"/>
      <c r="U1308" s="11"/>
      <c r="V1308" s="11"/>
      <c r="W1308" s="11"/>
      <c r="X1308" s="11"/>
      <c r="Y1308" s="11"/>
      <c r="Z1308" s="11"/>
      <c r="AA1308" s="11"/>
      <c r="AB1308" s="11"/>
      <c r="AC1308" s="11"/>
      <c r="AD1308" s="40"/>
      <c r="AE1308" s="11"/>
      <c r="AF1308" s="40"/>
      <c r="AI1308" s="11"/>
      <c r="AJ1308" s="11"/>
      <c r="AK1308" s="11"/>
      <c r="AL1308" s="11"/>
      <c r="AM1308" s="11"/>
      <c r="AN1308" s="11"/>
      <c r="AO1308" s="11"/>
      <c r="AY1308" s="11"/>
      <c r="BE1308" s="38"/>
      <c r="BF1308" s="38"/>
      <c r="BG1308" s="38"/>
      <c r="BH1308" s="11"/>
      <c r="BI1308" s="1"/>
      <c r="BJ1308" s="2"/>
      <c r="BK1308" s="1"/>
      <c r="BL1308" s="1"/>
      <c r="BM1308" s="7"/>
      <c r="BN1308" s="7"/>
      <c r="BO1308" s="1"/>
      <c r="BP1308" s="11"/>
      <c r="BQ1308" s="11"/>
    </row>
    <row r="1309" spans="1:69" x14ac:dyDescent="0.3">
      <c r="A1309" s="7"/>
      <c r="B1309" s="11"/>
      <c r="C1309" s="11"/>
      <c r="D1309" s="11"/>
      <c r="E1309" s="45"/>
      <c r="F1309" s="40"/>
      <c r="G1309" s="11"/>
      <c r="K1309" s="40"/>
      <c r="N1309" s="11"/>
      <c r="O1309" s="11"/>
      <c r="P1309" s="11"/>
      <c r="Q1309" s="11"/>
      <c r="R1309" s="11"/>
      <c r="S1309" s="11"/>
      <c r="T1309" s="11"/>
      <c r="U1309" s="11"/>
      <c r="V1309" s="11"/>
      <c r="W1309" s="11"/>
      <c r="X1309" s="11"/>
      <c r="Y1309" s="11"/>
      <c r="Z1309" s="11"/>
      <c r="AA1309" s="11"/>
      <c r="AB1309" s="11"/>
      <c r="AC1309" s="11"/>
      <c r="AD1309" s="40"/>
      <c r="AE1309" s="11"/>
      <c r="AF1309" s="40"/>
      <c r="AI1309" s="11"/>
      <c r="AJ1309" s="11"/>
      <c r="AK1309" s="11"/>
      <c r="AL1309" s="11"/>
      <c r="AM1309" s="11"/>
      <c r="AN1309" s="11"/>
      <c r="AO1309" s="11"/>
      <c r="AY1309" s="11"/>
      <c r="BE1309" s="38"/>
      <c r="BF1309" s="38"/>
      <c r="BG1309" s="38"/>
      <c r="BH1309" s="11"/>
      <c r="BI1309" s="1"/>
      <c r="BJ1309" s="2"/>
      <c r="BK1309" s="1"/>
      <c r="BL1309" s="1"/>
      <c r="BM1309" s="7"/>
      <c r="BN1309" s="7"/>
      <c r="BO1309" s="1"/>
      <c r="BP1309" s="11"/>
      <c r="BQ1309" s="11"/>
    </row>
    <row r="1310" spans="1:69" x14ac:dyDescent="0.3">
      <c r="A1310" s="7"/>
      <c r="B1310" s="11"/>
      <c r="C1310" s="11"/>
      <c r="D1310" s="11"/>
      <c r="E1310" s="45"/>
      <c r="F1310" s="40"/>
      <c r="G1310" s="11"/>
      <c r="K1310" s="40"/>
      <c r="N1310" s="11"/>
      <c r="O1310" s="11"/>
      <c r="P1310" s="11"/>
      <c r="Q1310" s="11"/>
      <c r="R1310" s="11"/>
      <c r="S1310" s="11"/>
      <c r="T1310" s="11"/>
      <c r="U1310" s="11"/>
      <c r="V1310" s="11"/>
      <c r="W1310" s="11"/>
      <c r="X1310" s="11"/>
      <c r="Y1310" s="11"/>
      <c r="Z1310" s="11"/>
      <c r="AA1310" s="11"/>
      <c r="AB1310" s="11"/>
      <c r="AC1310" s="11"/>
      <c r="AD1310" s="40"/>
      <c r="AE1310" s="11"/>
      <c r="AF1310" s="40"/>
      <c r="AI1310" s="11"/>
      <c r="AJ1310" s="11"/>
      <c r="AK1310" s="11"/>
      <c r="AL1310" s="11"/>
      <c r="AM1310" s="11"/>
      <c r="AN1310" s="11"/>
      <c r="AO1310" s="11"/>
      <c r="AY1310" s="11"/>
      <c r="BE1310" s="38"/>
      <c r="BF1310" s="38"/>
      <c r="BG1310" s="38"/>
      <c r="BH1310" s="11"/>
      <c r="BI1310" s="1"/>
      <c r="BJ1310" s="2"/>
      <c r="BK1310" s="1"/>
      <c r="BL1310" s="1"/>
      <c r="BM1310" s="7"/>
      <c r="BN1310" s="7"/>
      <c r="BO1310" s="1"/>
      <c r="BP1310" s="11"/>
      <c r="BQ1310" s="11"/>
    </row>
    <row r="1311" spans="1:69" x14ac:dyDescent="0.3">
      <c r="A1311" s="7"/>
      <c r="B1311" s="11"/>
      <c r="C1311" s="11"/>
      <c r="D1311" s="11"/>
      <c r="E1311" s="45"/>
      <c r="F1311" s="40"/>
      <c r="G1311" s="11"/>
      <c r="K1311" s="40"/>
      <c r="N1311" s="11"/>
      <c r="O1311" s="11"/>
      <c r="P1311" s="11"/>
      <c r="Q1311" s="11"/>
      <c r="R1311" s="11"/>
      <c r="S1311" s="11"/>
      <c r="T1311" s="11"/>
      <c r="U1311" s="11"/>
      <c r="V1311" s="11"/>
      <c r="W1311" s="11"/>
      <c r="X1311" s="11"/>
      <c r="Y1311" s="11"/>
      <c r="Z1311" s="11"/>
      <c r="AA1311" s="11"/>
      <c r="AB1311" s="11"/>
      <c r="AC1311" s="11"/>
      <c r="AD1311" s="40"/>
      <c r="AE1311" s="11"/>
      <c r="AF1311" s="40"/>
      <c r="AI1311" s="11"/>
      <c r="AJ1311" s="11"/>
      <c r="AK1311" s="11"/>
      <c r="AL1311" s="11"/>
      <c r="AM1311" s="11"/>
      <c r="AN1311" s="11"/>
      <c r="AO1311" s="11"/>
      <c r="AY1311" s="11"/>
      <c r="BE1311" s="38"/>
      <c r="BF1311" s="38"/>
      <c r="BG1311" s="38"/>
      <c r="BH1311" s="11"/>
      <c r="BI1311" s="1"/>
      <c r="BJ1311" s="2"/>
      <c r="BK1311" s="1"/>
      <c r="BL1311" s="1"/>
      <c r="BM1311" s="7"/>
      <c r="BN1311" s="7"/>
      <c r="BO1311" s="1"/>
      <c r="BP1311" s="11"/>
      <c r="BQ1311" s="11"/>
    </row>
    <row r="1312" spans="1:69" x14ac:dyDescent="0.3">
      <c r="A1312" s="7"/>
      <c r="B1312" s="11"/>
      <c r="C1312" s="11"/>
      <c r="D1312" s="11"/>
      <c r="E1312" s="45"/>
      <c r="F1312" s="40"/>
      <c r="G1312" s="11"/>
      <c r="K1312" s="40"/>
      <c r="N1312" s="11"/>
      <c r="O1312" s="11"/>
      <c r="P1312" s="11"/>
      <c r="Q1312" s="11"/>
      <c r="R1312" s="11"/>
      <c r="S1312" s="11"/>
      <c r="T1312" s="11"/>
      <c r="U1312" s="11"/>
      <c r="V1312" s="11"/>
      <c r="W1312" s="11"/>
      <c r="X1312" s="11"/>
      <c r="Y1312" s="11"/>
      <c r="Z1312" s="11"/>
      <c r="AA1312" s="11"/>
      <c r="AB1312" s="11"/>
      <c r="AC1312" s="11"/>
      <c r="AD1312" s="40"/>
      <c r="AE1312" s="11"/>
      <c r="AF1312" s="40"/>
      <c r="AI1312" s="11"/>
      <c r="AJ1312" s="11"/>
      <c r="AK1312" s="11"/>
      <c r="AL1312" s="11"/>
      <c r="AM1312" s="11"/>
      <c r="AN1312" s="11"/>
      <c r="AO1312" s="11"/>
      <c r="AY1312" s="11"/>
      <c r="BE1312" s="38"/>
      <c r="BF1312" s="38"/>
      <c r="BG1312" s="38"/>
      <c r="BH1312" s="11"/>
      <c r="BI1312" s="1"/>
      <c r="BJ1312" s="2"/>
      <c r="BK1312" s="1"/>
      <c r="BL1312" s="1"/>
      <c r="BM1312" s="7"/>
      <c r="BN1312" s="7"/>
      <c r="BO1312" s="1"/>
      <c r="BP1312" s="11"/>
      <c r="BQ1312" s="11"/>
    </row>
    <row r="1313" spans="1:69" x14ac:dyDescent="0.3">
      <c r="A1313" s="7"/>
      <c r="B1313" s="11"/>
      <c r="C1313" s="11"/>
      <c r="D1313" s="11"/>
      <c r="E1313" s="45"/>
      <c r="F1313" s="40"/>
      <c r="G1313" s="11"/>
      <c r="K1313" s="40"/>
      <c r="N1313" s="11"/>
      <c r="O1313" s="11"/>
      <c r="P1313" s="11"/>
      <c r="Q1313" s="11"/>
      <c r="R1313" s="11"/>
      <c r="S1313" s="11"/>
      <c r="T1313" s="11"/>
      <c r="U1313" s="11"/>
      <c r="V1313" s="11"/>
      <c r="W1313" s="11"/>
      <c r="X1313" s="11"/>
      <c r="Y1313" s="11"/>
      <c r="Z1313" s="11"/>
      <c r="AA1313" s="11"/>
      <c r="AB1313" s="11"/>
      <c r="AC1313" s="11"/>
      <c r="AD1313" s="40"/>
      <c r="AE1313" s="11"/>
      <c r="AF1313" s="40"/>
      <c r="AI1313" s="11"/>
      <c r="AJ1313" s="11"/>
      <c r="AK1313" s="11"/>
      <c r="AL1313" s="11"/>
      <c r="AM1313" s="11"/>
      <c r="AN1313" s="11"/>
      <c r="AO1313" s="11"/>
      <c r="AY1313" s="11"/>
      <c r="BE1313" s="38"/>
      <c r="BF1313" s="38"/>
      <c r="BG1313" s="38"/>
      <c r="BH1313" s="11"/>
      <c r="BI1313" s="1"/>
      <c r="BJ1313" s="2"/>
      <c r="BK1313" s="1"/>
      <c r="BL1313" s="1"/>
      <c r="BM1313" s="7"/>
      <c r="BN1313" s="7"/>
      <c r="BO1313" s="1"/>
      <c r="BP1313" s="11"/>
      <c r="BQ1313" s="11"/>
    </row>
    <row r="1314" spans="1:69" x14ac:dyDescent="0.3">
      <c r="A1314" s="7"/>
      <c r="B1314" s="11"/>
      <c r="C1314" s="11"/>
      <c r="D1314" s="11"/>
      <c r="E1314" s="45"/>
      <c r="F1314" s="40"/>
      <c r="G1314" s="11"/>
      <c r="K1314" s="40"/>
      <c r="N1314" s="11"/>
      <c r="O1314" s="11"/>
      <c r="P1314" s="11"/>
      <c r="Q1314" s="11"/>
      <c r="R1314" s="11"/>
      <c r="S1314" s="11"/>
      <c r="T1314" s="11"/>
      <c r="U1314" s="11"/>
      <c r="V1314" s="11"/>
      <c r="W1314" s="11"/>
      <c r="X1314" s="11"/>
      <c r="Y1314" s="11"/>
      <c r="Z1314" s="11"/>
      <c r="AA1314" s="11"/>
      <c r="AB1314" s="11"/>
      <c r="AC1314" s="11"/>
      <c r="AD1314" s="40"/>
      <c r="AE1314" s="11"/>
      <c r="AF1314" s="40"/>
      <c r="AI1314" s="11"/>
      <c r="AJ1314" s="11"/>
      <c r="AK1314" s="11"/>
      <c r="AL1314" s="11"/>
      <c r="AM1314" s="11"/>
      <c r="AN1314" s="11"/>
      <c r="AO1314" s="11"/>
      <c r="AY1314" s="11"/>
      <c r="BE1314" s="38"/>
      <c r="BF1314" s="38"/>
      <c r="BG1314" s="38"/>
      <c r="BH1314" s="11"/>
      <c r="BI1314" s="1"/>
      <c r="BJ1314" s="2"/>
      <c r="BK1314" s="1"/>
      <c r="BL1314" s="1"/>
      <c r="BM1314" s="7"/>
      <c r="BN1314" s="7"/>
      <c r="BO1314" s="1"/>
      <c r="BP1314" s="11"/>
      <c r="BQ1314" s="11"/>
    </row>
    <row r="1315" spans="1:69" x14ac:dyDescent="0.3">
      <c r="A1315" s="7"/>
      <c r="B1315" s="11"/>
      <c r="C1315" s="11"/>
      <c r="D1315" s="11"/>
      <c r="E1315" s="45"/>
      <c r="F1315" s="40"/>
      <c r="G1315" s="11"/>
      <c r="K1315" s="40"/>
      <c r="N1315" s="11"/>
      <c r="O1315" s="11"/>
      <c r="P1315" s="11"/>
      <c r="Q1315" s="11"/>
      <c r="R1315" s="11"/>
      <c r="S1315" s="11"/>
      <c r="T1315" s="11"/>
      <c r="U1315" s="11"/>
      <c r="V1315" s="11"/>
      <c r="W1315" s="11"/>
      <c r="X1315" s="11"/>
      <c r="Y1315" s="11"/>
      <c r="Z1315" s="11"/>
      <c r="AA1315" s="11"/>
      <c r="AB1315" s="11"/>
      <c r="AC1315" s="11"/>
      <c r="AD1315" s="40"/>
      <c r="AE1315" s="11"/>
      <c r="AF1315" s="40"/>
      <c r="AI1315" s="11"/>
      <c r="AJ1315" s="11"/>
      <c r="AK1315" s="11"/>
      <c r="AL1315" s="11"/>
      <c r="AM1315" s="11"/>
      <c r="AN1315" s="11"/>
      <c r="AO1315" s="11"/>
      <c r="AY1315" s="11"/>
      <c r="BE1315" s="38"/>
      <c r="BF1315" s="38"/>
      <c r="BG1315" s="38"/>
      <c r="BH1315" s="11"/>
      <c r="BI1315" s="1"/>
      <c r="BJ1315" s="2"/>
      <c r="BK1315" s="1"/>
      <c r="BL1315" s="1"/>
      <c r="BM1315" s="7"/>
      <c r="BN1315" s="7"/>
      <c r="BO1315" s="1"/>
      <c r="BP1315" s="11"/>
      <c r="BQ1315" s="11"/>
    </row>
    <row r="1316" spans="1:69" x14ac:dyDescent="0.3">
      <c r="A1316" s="7"/>
      <c r="B1316" s="11"/>
      <c r="C1316" s="11"/>
      <c r="D1316" s="11"/>
      <c r="E1316" s="45"/>
      <c r="F1316" s="40"/>
      <c r="G1316" s="11"/>
      <c r="K1316" s="40"/>
      <c r="N1316" s="11"/>
      <c r="O1316" s="11"/>
      <c r="P1316" s="11"/>
      <c r="Q1316" s="11"/>
      <c r="R1316" s="11"/>
      <c r="S1316" s="11"/>
      <c r="T1316" s="11"/>
      <c r="U1316" s="11"/>
      <c r="V1316" s="11"/>
      <c r="W1316" s="11"/>
      <c r="X1316" s="11"/>
      <c r="Y1316" s="11"/>
      <c r="Z1316" s="11"/>
      <c r="AA1316" s="11"/>
      <c r="AB1316" s="11"/>
      <c r="AC1316" s="11"/>
      <c r="AD1316" s="40"/>
      <c r="AE1316" s="11"/>
      <c r="AF1316" s="40"/>
      <c r="AI1316" s="11"/>
      <c r="AJ1316" s="11"/>
      <c r="AK1316" s="11"/>
      <c r="AL1316" s="11"/>
      <c r="AM1316" s="11"/>
      <c r="AN1316" s="11"/>
      <c r="AO1316" s="11"/>
      <c r="AY1316" s="11"/>
      <c r="BE1316" s="38"/>
      <c r="BF1316" s="38"/>
      <c r="BG1316" s="38"/>
      <c r="BH1316" s="11"/>
      <c r="BI1316" s="1"/>
      <c r="BJ1316" s="2"/>
      <c r="BK1316" s="1"/>
      <c r="BL1316" s="1"/>
      <c r="BM1316" s="7"/>
      <c r="BN1316" s="7"/>
      <c r="BO1316" s="1"/>
      <c r="BP1316" s="11"/>
      <c r="BQ1316" s="11"/>
    </row>
    <row r="1317" spans="1:69" x14ac:dyDescent="0.3">
      <c r="A1317" s="7"/>
      <c r="B1317" s="11"/>
      <c r="C1317" s="11"/>
      <c r="D1317" s="11"/>
      <c r="E1317" s="45"/>
      <c r="F1317" s="40"/>
      <c r="G1317" s="11"/>
      <c r="K1317" s="40"/>
      <c r="N1317" s="11"/>
      <c r="O1317" s="11"/>
      <c r="P1317" s="11"/>
      <c r="Q1317" s="11"/>
      <c r="R1317" s="11"/>
      <c r="S1317" s="11"/>
      <c r="T1317" s="11"/>
      <c r="U1317" s="11"/>
      <c r="V1317" s="11"/>
      <c r="W1317" s="11"/>
      <c r="X1317" s="11"/>
      <c r="Y1317" s="11"/>
      <c r="Z1317" s="11"/>
      <c r="AA1317" s="11"/>
      <c r="AB1317" s="11"/>
      <c r="AC1317" s="11"/>
      <c r="AD1317" s="40"/>
      <c r="AE1317" s="11"/>
      <c r="AF1317" s="40"/>
      <c r="AI1317" s="11"/>
      <c r="AJ1317" s="11"/>
      <c r="AK1317" s="11"/>
      <c r="AL1317" s="11"/>
      <c r="AM1317" s="11"/>
      <c r="AN1317" s="11"/>
      <c r="AO1317" s="11"/>
      <c r="AY1317" s="11"/>
      <c r="BE1317" s="38"/>
      <c r="BF1317" s="38"/>
      <c r="BG1317" s="38"/>
      <c r="BH1317" s="11"/>
      <c r="BI1317" s="1"/>
      <c r="BJ1317" s="2"/>
      <c r="BK1317" s="1"/>
      <c r="BL1317" s="1"/>
      <c r="BM1317" s="7"/>
      <c r="BN1317" s="7"/>
      <c r="BO1317" s="1"/>
      <c r="BP1317" s="11"/>
      <c r="BQ1317" s="11"/>
    </row>
    <row r="1318" spans="1:69" x14ac:dyDescent="0.3">
      <c r="A1318" s="7"/>
      <c r="B1318" s="11"/>
      <c r="C1318" s="11"/>
      <c r="D1318" s="11"/>
      <c r="E1318" s="45"/>
      <c r="F1318" s="40"/>
      <c r="G1318" s="11"/>
      <c r="K1318" s="40"/>
      <c r="N1318" s="11"/>
      <c r="O1318" s="11"/>
      <c r="P1318" s="11"/>
      <c r="Q1318" s="11"/>
      <c r="R1318" s="11"/>
      <c r="S1318" s="11"/>
      <c r="T1318" s="11"/>
      <c r="U1318" s="11"/>
      <c r="V1318" s="11"/>
      <c r="W1318" s="11"/>
      <c r="X1318" s="11"/>
      <c r="Y1318" s="11"/>
      <c r="Z1318" s="11"/>
      <c r="AA1318" s="11"/>
      <c r="AB1318" s="11"/>
      <c r="AC1318" s="11"/>
      <c r="AD1318" s="40"/>
      <c r="AE1318" s="11"/>
      <c r="AF1318" s="40"/>
      <c r="AI1318" s="11"/>
      <c r="AJ1318" s="11"/>
      <c r="AK1318" s="11"/>
      <c r="AL1318" s="11"/>
      <c r="AM1318" s="11"/>
      <c r="AN1318" s="11"/>
      <c r="AO1318" s="11"/>
      <c r="AY1318" s="11"/>
      <c r="BE1318" s="38"/>
      <c r="BF1318" s="38"/>
      <c r="BG1318" s="38"/>
      <c r="BH1318" s="11"/>
      <c r="BI1318" s="1"/>
      <c r="BJ1318" s="2"/>
      <c r="BK1318" s="1"/>
      <c r="BL1318" s="1"/>
      <c r="BM1318" s="7"/>
      <c r="BN1318" s="7"/>
      <c r="BO1318" s="1"/>
      <c r="BP1318" s="11"/>
      <c r="BQ1318" s="11"/>
    </row>
    <row r="1319" spans="1:69" x14ac:dyDescent="0.3">
      <c r="A1319" s="7"/>
      <c r="B1319" s="11"/>
      <c r="C1319" s="11"/>
      <c r="D1319" s="11"/>
      <c r="E1319" s="45"/>
      <c r="F1319" s="40"/>
      <c r="G1319" s="11"/>
      <c r="K1319" s="40"/>
      <c r="N1319" s="11"/>
      <c r="O1319" s="11"/>
      <c r="P1319" s="11"/>
      <c r="Q1319" s="11"/>
      <c r="R1319" s="11"/>
      <c r="S1319" s="11"/>
      <c r="T1319" s="11"/>
      <c r="U1319" s="11"/>
      <c r="V1319" s="11"/>
      <c r="W1319" s="11"/>
      <c r="X1319" s="11"/>
      <c r="Y1319" s="11"/>
      <c r="Z1319" s="11"/>
      <c r="AA1319" s="11"/>
      <c r="AB1319" s="11"/>
      <c r="AC1319" s="11"/>
      <c r="AD1319" s="40"/>
      <c r="AE1319" s="11"/>
      <c r="AF1319" s="40"/>
      <c r="AI1319" s="11"/>
      <c r="AJ1319" s="11"/>
      <c r="AK1319" s="11"/>
      <c r="AL1319" s="11"/>
      <c r="AM1319" s="11"/>
      <c r="AN1319" s="11"/>
      <c r="AO1319" s="11"/>
      <c r="AY1319" s="11"/>
      <c r="BE1319" s="38"/>
      <c r="BF1319" s="38"/>
      <c r="BG1319" s="38"/>
      <c r="BH1319" s="11"/>
      <c r="BI1319" s="1"/>
      <c r="BJ1319" s="2"/>
      <c r="BK1319" s="1"/>
      <c r="BL1319" s="1"/>
      <c r="BM1319" s="7"/>
      <c r="BN1319" s="7"/>
      <c r="BO1319" s="1"/>
      <c r="BP1319" s="11"/>
      <c r="BQ1319" s="11"/>
    </row>
    <row r="1320" spans="1:69" x14ac:dyDescent="0.3">
      <c r="A1320" s="7"/>
      <c r="B1320" s="11"/>
      <c r="C1320" s="11"/>
      <c r="D1320" s="11"/>
      <c r="E1320" s="45"/>
      <c r="F1320" s="40"/>
      <c r="G1320" s="11"/>
      <c r="K1320" s="40"/>
      <c r="N1320" s="11"/>
      <c r="O1320" s="11"/>
      <c r="P1320" s="11"/>
      <c r="Q1320" s="11"/>
      <c r="R1320" s="11"/>
      <c r="S1320" s="11"/>
      <c r="T1320" s="11"/>
      <c r="U1320" s="11"/>
      <c r="V1320" s="11"/>
      <c r="W1320" s="11"/>
      <c r="X1320" s="11"/>
      <c r="Y1320" s="11"/>
      <c r="Z1320" s="11"/>
      <c r="AA1320" s="11"/>
      <c r="AB1320" s="11"/>
      <c r="AC1320" s="11"/>
      <c r="AD1320" s="40"/>
      <c r="AE1320" s="11"/>
      <c r="AF1320" s="40"/>
      <c r="AI1320" s="11"/>
      <c r="AJ1320" s="11"/>
      <c r="AK1320" s="11"/>
      <c r="AL1320" s="11"/>
      <c r="AM1320" s="11"/>
      <c r="AN1320" s="11"/>
      <c r="AO1320" s="11"/>
      <c r="AY1320" s="11"/>
      <c r="BE1320" s="38"/>
      <c r="BF1320" s="38"/>
      <c r="BG1320" s="38"/>
      <c r="BH1320" s="11"/>
      <c r="BI1320" s="1"/>
      <c r="BJ1320" s="2"/>
      <c r="BK1320" s="1"/>
      <c r="BL1320" s="1"/>
      <c r="BM1320" s="7"/>
      <c r="BN1320" s="7"/>
      <c r="BO1320" s="1"/>
      <c r="BP1320" s="11"/>
      <c r="BQ1320" s="11"/>
    </row>
    <row r="1321" spans="1:69" x14ac:dyDescent="0.3">
      <c r="A1321" s="7"/>
      <c r="B1321" s="11"/>
      <c r="C1321" s="11"/>
      <c r="D1321" s="11"/>
      <c r="E1321" s="45"/>
      <c r="F1321" s="40"/>
      <c r="G1321" s="11"/>
      <c r="K1321" s="40"/>
      <c r="N1321" s="11"/>
      <c r="O1321" s="11"/>
      <c r="P1321" s="11"/>
      <c r="Q1321" s="11"/>
      <c r="R1321" s="11"/>
      <c r="S1321" s="11"/>
      <c r="T1321" s="11"/>
      <c r="U1321" s="11"/>
      <c r="V1321" s="11"/>
      <c r="W1321" s="11"/>
      <c r="X1321" s="11"/>
      <c r="Y1321" s="11"/>
      <c r="Z1321" s="11"/>
      <c r="AA1321" s="11"/>
      <c r="AB1321" s="11"/>
      <c r="AC1321" s="11"/>
      <c r="AD1321" s="40"/>
      <c r="AE1321" s="11"/>
      <c r="AF1321" s="40"/>
      <c r="AI1321" s="11"/>
      <c r="AJ1321" s="11"/>
      <c r="AK1321" s="11"/>
      <c r="AL1321" s="11"/>
      <c r="AM1321" s="11"/>
      <c r="AN1321" s="11"/>
      <c r="AO1321" s="11"/>
      <c r="AY1321" s="11"/>
      <c r="BE1321" s="38"/>
      <c r="BF1321" s="38"/>
      <c r="BG1321" s="38"/>
      <c r="BH1321" s="11"/>
      <c r="BI1321" s="1"/>
      <c r="BJ1321" s="2"/>
      <c r="BK1321" s="1"/>
      <c r="BL1321" s="1"/>
      <c r="BM1321" s="7"/>
      <c r="BN1321" s="7"/>
      <c r="BO1321" s="1"/>
      <c r="BP1321" s="11"/>
      <c r="BQ1321" s="11"/>
    </row>
    <row r="1322" spans="1:69" x14ac:dyDescent="0.3">
      <c r="A1322" s="7"/>
      <c r="B1322" s="11"/>
      <c r="C1322" s="11"/>
      <c r="D1322" s="11"/>
      <c r="E1322" s="45"/>
      <c r="F1322" s="40"/>
      <c r="G1322" s="11"/>
      <c r="K1322" s="40"/>
      <c r="N1322" s="11"/>
      <c r="O1322" s="11"/>
      <c r="P1322" s="11"/>
      <c r="Q1322" s="11"/>
      <c r="R1322" s="11"/>
      <c r="S1322" s="11"/>
      <c r="T1322" s="11"/>
      <c r="U1322" s="11"/>
      <c r="V1322" s="11"/>
      <c r="W1322" s="11"/>
      <c r="X1322" s="11"/>
      <c r="Y1322" s="11"/>
      <c r="Z1322" s="11"/>
      <c r="AA1322" s="11"/>
      <c r="AB1322" s="11"/>
      <c r="AC1322" s="11"/>
      <c r="AD1322" s="40"/>
      <c r="AE1322" s="11"/>
      <c r="AF1322" s="40"/>
      <c r="AI1322" s="11"/>
      <c r="AJ1322" s="11"/>
      <c r="AK1322" s="11"/>
      <c r="AL1322" s="11"/>
      <c r="AM1322" s="11"/>
      <c r="AN1322" s="11"/>
      <c r="AO1322" s="11"/>
      <c r="AY1322" s="11"/>
      <c r="BE1322" s="38"/>
      <c r="BF1322" s="38"/>
      <c r="BG1322" s="38"/>
      <c r="BH1322" s="11"/>
      <c r="BI1322" s="1"/>
      <c r="BJ1322" s="2"/>
      <c r="BK1322" s="1"/>
      <c r="BL1322" s="1"/>
      <c r="BM1322" s="7"/>
      <c r="BN1322" s="7"/>
      <c r="BO1322" s="1"/>
      <c r="BP1322" s="11"/>
      <c r="BQ1322" s="11"/>
    </row>
    <row r="1323" spans="1:69" x14ac:dyDescent="0.3">
      <c r="A1323" s="7"/>
      <c r="B1323" s="11"/>
      <c r="C1323" s="11"/>
      <c r="D1323" s="11"/>
      <c r="E1323" s="45"/>
      <c r="F1323" s="40"/>
      <c r="G1323" s="11"/>
      <c r="K1323" s="40"/>
      <c r="N1323" s="11"/>
      <c r="O1323" s="11"/>
      <c r="P1323" s="11"/>
      <c r="Q1323" s="11"/>
      <c r="R1323" s="11"/>
      <c r="S1323" s="11"/>
      <c r="T1323" s="11"/>
      <c r="U1323" s="11"/>
      <c r="V1323" s="11"/>
      <c r="W1323" s="11"/>
      <c r="X1323" s="11"/>
      <c r="Y1323" s="11"/>
      <c r="Z1323" s="11"/>
      <c r="AA1323" s="11"/>
      <c r="AB1323" s="11"/>
      <c r="AC1323" s="11"/>
      <c r="AD1323" s="40"/>
      <c r="AE1323" s="11"/>
      <c r="AF1323" s="40"/>
      <c r="AI1323" s="11"/>
      <c r="AJ1323" s="11"/>
      <c r="AK1323" s="11"/>
      <c r="AL1323" s="11"/>
      <c r="AM1323" s="11"/>
      <c r="AN1323" s="11"/>
      <c r="AO1323" s="11"/>
      <c r="AY1323" s="11"/>
      <c r="BE1323" s="38"/>
      <c r="BF1323" s="38"/>
      <c r="BG1323" s="38"/>
      <c r="BH1323" s="11"/>
      <c r="BI1323" s="1"/>
      <c r="BJ1323" s="2"/>
      <c r="BK1323" s="1"/>
      <c r="BL1323" s="1"/>
      <c r="BM1323" s="7"/>
      <c r="BN1323" s="7"/>
      <c r="BO1323" s="1"/>
      <c r="BP1323" s="11"/>
      <c r="BQ1323" s="11"/>
    </row>
    <row r="1324" spans="1:69" x14ac:dyDescent="0.3">
      <c r="A1324" s="7"/>
      <c r="B1324" s="11"/>
      <c r="C1324" s="11"/>
      <c r="D1324" s="11"/>
      <c r="E1324" s="45"/>
      <c r="F1324" s="40"/>
      <c r="G1324" s="11"/>
      <c r="K1324" s="40"/>
      <c r="N1324" s="11"/>
      <c r="O1324" s="11"/>
      <c r="P1324" s="11"/>
      <c r="Q1324" s="11"/>
      <c r="R1324" s="11"/>
      <c r="S1324" s="11"/>
      <c r="T1324" s="11"/>
      <c r="U1324" s="11"/>
      <c r="V1324" s="11"/>
      <c r="W1324" s="11"/>
      <c r="X1324" s="11"/>
      <c r="Y1324" s="11"/>
      <c r="Z1324" s="11"/>
      <c r="AA1324" s="11"/>
      <c r="AB1324" s="11"/>
      <c r="AC1324" s="11"/>
      <c r="AD1324" s="40"/>
      <c r="AE1324" s="11"/>
      <c r="AF1324" s="40"/>
      <c r="AI1324" s="11"/>
      <c r="AJ1324" s="11"/>
      <c r="AK1324" s="11"/>
      <c r="AL1324" s="11"/>
      <c r="AM1324" s="11"/>
      <c r="AN1324" s="11"/>
      <c r="AO1324" s="11"/>
      <c r="AY1324" s="11"/>
      <c r="BE1324" s="38"/>
      <c r="BF1324" s="38"/>
      <c r="BG1324" s="38"/>
      <c r="BH1324" s="11"/>
      <c r="BI1324" s="1"/>
      <c r="BJ1324" s="2"/>
      <c r="BK1324" s="1"/>
      <c r="BL1324" s="1"/>
      <c r="BM1324" s="7"/>
      <c r="BN1324" s="7"/>
      <c r="BO1324" s="1"/>
      <c r="BP1324" s="11"/>
      <c r="BQ1324" s="11"/>
    </row>
    <row r="1325" spans="1:69" x14ac:dyDescent="0.3">
      <c r="A1325" s="7"/>
      <c r="B1325" s="11"/>
      <c r="C1325" s="11"/>
      <c r="D1325" s="11"/>
      <c r="E1325" s="45"/>
      <c r="F1325" s="40"/>
      <c r="G1325" s="11"/>
      <c r="K1325" s="40"/>
      <c r="N1325" s="11"/>
      <c r="O1325" s="11"/>
      <c r="P1325" s="11"/>
      <c r="Q1325" s="11"/>
      <c r="R1325" s="11"/>
      <c r="S1325" s="11"/>
      <c r="T1325" s="11"/>
      <c r="U1325" s="11"/>
      <c r="V1325" s="11"/>
      <c r="W1325" s="11"/>
      <c r="X1325" s="11"/>
      <c r="Y1325" s="11"/>
      <c r="Z1325" s="11"/>
      <c r="AA1325" s="11"/>
      <c r="AB1325" s="11"/>
      <c r="AC1325" s="11"/>
      <c r="AD1325" s="40"/>
      <c r="AE1325" s="11"/>
      <c r="AF1325" s="40"/>
      <c r="AI1325" s="11"/>
      <c r="AJ1325" s="11"/>
      <c r="AK1325" s="11"/>
      <c r="AL1325" s="11"/>
      <c r="AM1325" s="11"/>
      <c r="AN1325" s="11"/>
      <c r="AO1325" s="11"/>
      <c r="AY1325" s="11"/>
      <c r="BE1325" s="38"/>
      <c r="BF1325" s="38"/>
      <c r="BG1325" s="38"/>
      <c r="BH1325" s="11"/>
      <c r="BI1325" s="1"/>
      <c r="BJ1325" s="2"/>
      <c r="BK1325" s="1"/>
      <c r="BL1325" s="1"/>
      <c r="BM1325" s="7"/>
      <c r="BN1325" s="7"/>
      <c r="BO1325" s="1"/>
      <c r="BP1325" s="11"/>
      <c r="BQ1325" s="11"/>
    </row>
    <row r="1326" spans="1:69" x14ac:dyDescent="0.3">
      <c r="A1326" s="7"/>
      <c r="B1326" s="11"/>
      <c r="C1326" s="11"/>
      <c r="D1326" s="11"/>
      <c r="E1326" s="45"/>
      <c r="F1326" s="40"/>
      <c r="G1326" s="11"/>
      <c r="K1326" s="40"/>
      <c r="N1326" s="11"/>
      <c r="O1326" s="11"/>
      <c r="P1326" s="11"/>
      <c r="Q1326" s="11"/>
      <c r="R1326" s="11"/>
      <c r="S1326" s="11"/>
      <c r="T1326" s="11"/>
      <c r="U1326" s="11"/>
      <c r="V1326" s="11"/>
      <c r="W1326" s="11"/>
      <c r="X1326" s="11"/>
      <c r="Y1326" s="11"/>
      <c r="Z1326" s="11"/>
      <c r="AA1326" s="11"/>
      <c r="AB1326" s="11"/>
      <c r="AC1326" s="11"/>
      <c r="AD1326" s="40"/>
      <c r="AE1326" s="11"/>
      <c r="AF1326" s="40"/>
      <c r="AI1326" s="11"/>
      <c r="AJ1326" s="11"/>
      <c r="AK1326" s="11"/>
      <c r="AL1326" s="11"/>
      <c r="AM1326" s="11"/>
      <c r="AN1326" s="11"/>
      <c r="AO1326" s="11"/>
      <c r="AY1326" s="11"/>
      <c r="BE1326" s="38"/>
      <c r="BF1326" s="38"/>
      <c r="BG1326" s="38"/>
      <c r="BH1326" s="11"/>
      <c r="BI1326" s="1"/>
      <c r="BJ1326" s="2"/>
      <c r="BK1326" s="1"/>
      <c r="BL1326" s="1"/>
      <c r="BM1326" s="7"/>
      <c r="BN1326" s="7"/>
      <c r="BO1326" s="1"/>
      <c r="BP1326" s="11"/>
      <c r="BQ1326" s="11"/>
    </row>
    <row r="1327" spans="1:69" x14ac:dyDescent="0.3">
      <c r="A1327" s="7"/>
      <c r="B1327" s="11"/>
      <c r="C1327" s="11"/>
      <c r="D1327" s="11"/>
      <c r="E1327" s="45"/>
      <c r="F1327" s="40"/>
      <c r="G1327" s="11"/>
      <c r="K1327" s="40"/>
      <c r="N1327" s="11"/>
      <c r="O1327" s="11"/>
      <c r="P1327" s="11"/>
      <c r="Q1327" s="11"/>
      <c r="R1327" s="11"/>
      <c r="S1327" s="11"/>
      <c r="T1327" s="11"/>
      <c r="U1327" s="11"/>
      <c r="V1327" s="11"/>
      <c r="W1327" s="11"/>
      <c r="X1327" s="11"/>
      <c r="Y1327" s="11"/>
      <c r="Z1327" s="11"/>
      <c r="AA1327" s="11"/>
      <c r="AB1327" s="11"/>
      <c r="AC1327" s="11"/>
      <c r="AD1327" s="40"/>
      <c r="AE1327" s="11"/>
      <c r="AF1327" s="40"/>
      <c r="AI1327" s="11"/>
      <c r="AJ1327" s="11"/>
      <c r="AK1327" s="11"/>
      <c r="AL1327" s="11"/>
      <c r="AM1327" s="11"/>
      <c r="AN1327" s="11"/>
      <c r="AO1327" s="11"/>
      <c r="AY1327" s="11"/>
      <c r="BE1327" s="38"/>
      <c r="BF1327" s="38"/>
      <c r="BG1327" s="38"/>
      <c r="BH1327" s="11"/>
      <c r="BI1327" s="1"/>
      <c r="BJ1327" s="2"/>
      <c r="BK1327" s="1"/>
      <c r="BL1327" s="1"/>
      <c r="BM1327" s="7"/>
      <c r="BN1327" s="7"/>
      <c r="BO1327" s="1"/>
      <c r="BP1327" s="11"/>
      <c r="BQ1327" s="11"/>
    </row>
    <row r="1328" spans="1:69" x14ac:dyDescent="0.3">
      <c r="A1328" s="7"/>
      <c r="B1328" s="11"/>
      <c r="C1328" s="11"/>
      <c r="D1328" s="11"/>
      <c r="E1328" s="45"/>
      <c r="F1328" s="40"/>
      <c r="G1328" s="11"/>
      <c r="K1328" s="40"/>
      <c r="N1328" s="11"/>
      <c r="O1328" s="11"/>
      <c r="P1328" s="11"/>
      <c r="Q1328" s="11"/>
      <c r="R1328" s="11"/>
      <c r="S1328" s="11"/>
      <c r="T1328" s="11"/>
      <c r="U1328" s="11"/>
      <c r="V1328" s="11"/>
      <c r="W1328" s="11"/>
      <c r="X1328" s="11"/>
      <c r="Y1328" s="11"/>
      <c r="Z1328" s="11"/>
      <c r="AA1328" s="11"/>
      <c r="AB1328" s="11"/>
      <c r="AC1328" s="11"/>
      <c r="AD1328" s="40"/>
      <c r="AE1328" s="11"/>
      <c r="AF1328" s="40"/>
      <c r="AI1328" s="11"/>
      <c r="AJ1328" s="11"/>
      <c r="AK1328" s="11"/>
      <c r="AL1328" s="11"/>
      <c r="AM1328" s="11"/>
      <c r="AN1328" s="11"/>
      <c r="AO1328" s="11"/>
      <c r="AY1328" s="11"/>
      <c r="BE1328" s="38"/>
      <c r="BF1328" s="38"/>
      <c r="BG1328" s="38"/>
      <c r="BH1328" s="11"/>
      <c r="BI1328" s="1"/>
      <c r="BJ1328" s="2"/>
      <c r="BK1328" s="1"/>
      <c r="BL1328" s="1"/>
      <c r="BM1328" s="7"/>
      <c r="BN1328" s="7"/>
      <c r="BO1328" s="1"/>
      <c r="BP1328" s="11"/>
      <c r="BQ1328" s="11"/>
    </row>
    <row r="1329" spans="1:69" x14ac:dyDescent="0.3">
      <c r="A1329" s="7"/>
      <c r="B1329" s="11"/>
      <c r="C1329" s="11"/>
      <c r="D1329" s="11"/>
      <c r="E1329" s="45"/>
      <c r="F1329" s="40"/>
      <c r="G1329" s="11"/>
      <c r="K1329" s="40"/>
      <c r="N1329" s="11"/>
      <c r="O1329" s="11"/>
      <c r="P1329" s="11"/>
      <c r="Q1329" s="11"/>
      <c r="R1329" s="11"/>
      <c r="S1329" s="11"/>
      <c r="T1329" s="11"/>
      <c r="U1329" s="11"/>
      <c r="V1329" s="11"/>
      <c r="W1329" s="11"/>
      <c r="X1329" s="11"/>
      <c r="Y1329" s="11"/>
      <c r="Z1329" s="11"/>
      <c r="AA1329" s="11"/>
      <c r="AB1329" s="11"/>
      <c r="AC1329" s="11"/>
      <c r="AD1329" s="40"/>
      <c r="AE1329" s="11"/>
      <c r="AF1329" s="40"/>
      <c r="AI1329" s="11"/>
      <c r="AJ1329" s="11"/>
      <c r="AK1329" s="11"/>
      <c r="AL1329" s="11"/>
      <c r="AM1329" s="11"/>
      <c r="AN1329" s="11"/>
      <c r="AO1329" s="11"/>
      <c r="AY1329" s="11"/>
      <c r="BE1329" s="38"/>
      <c r="BF1329" s="38"/>
      <c r="BG1329" s="38"/>
      <c r="BH1329" s="11"/>
      <c r="BI1329" s="1"/>
      <c r="BJ1329" s="2"/>
      <c r="BK1329" s="1"/>
      <c r="BL1329" s="1"/>
      <c r="BM1329" s="7"/>
      <c r="BN1329" s="7"/>
      <c r="BO1329" s="1"/>
      <c r="BP1329" s="11"/>
      <c r="BQ1329" s="11"/>
    </row>
    <row r="1330" spans="1:69" x14ac:dyDescent="0.3">
      <c r="A1330" s="7"/>
      <c r="B1330" s="11"/>
      <c r="C1330" s="11"/>
      <c r="D1330" s="11"/>
      <c r="E1330" s="45"/>
      <c r="F1330" s="40"/>
      <c r="G1330" s="11"/>
      <c r="K1330" s="40"/>
      <c r="N1330" s="11"/>
      <c r="O1330" s="11"/>
      <c r="P1330" s="11"/>
      <c r="Q1330" s="11"/>
      <c r="R1330" s="11"/>
      <c r="S1330" s="11"/>
      <c r="T1330" s="11"/>
      <c r="U1330" s="11"/>
      <c r="V1330" s="11"/>
      <c r="W1330" s="11"/>
      <c r="X1330" s="11"/>
      <c r="Y1330" s="11"/>
      <c r="Z1330" s="11"/>
      <c r="AA1330" s="11"/>
      <c r="AB1330" s="11"/>
      <c r="AC1330" s="11"/>
      <c r="AD1330" s="40"/>
      <c r="AE1330" s="11"/>
      <c r="AF1330" s="40"/>
      <c r="AI1330" s="11"/>
      <c r="AJ1330" s="11"/>
      <c r="AK1330" s="11"/>
      <c r="AL1330" s="11"/>
      <c r="AM1330" s="11"/>
      <c r="AN1330" s="11"/>
      <c r="AO1330" s="11"/>
      <c r="AY1330" s="11"/>
      <c r="BE1330" s="38"/>
      <c r="BF1330" s="38"/>
      <c r="BG1330" s="38"/>
      <c r="BH1330" s="11"/>
      <c r="BI1330" s="1"/>
      <c r="BJ1330" s="2"/>
      <c r="BK1330" s="1"/>
      <c r="BL1330" s="1"/>
      <c r="BM1330" s="7"/>
      <c r="BN1330" s="7"/>
      <c r="BO1330" s="1"/>
      <c r="BP1330" s="11"/>
      <c r="BQ1330" s="11"/>
    </row>
    <row r="1331" spans="1:69" x14ac:dyDescent="0.3">
      <c r="A1331" s="7"/>
      <c r="B1331" s="11"/>
      <c r="C1331" s="11"/>
      <c r="D1331" s="11"/>
      <c r="E1331" s="45"/>
      <c r="F1331" s="40"/>
      <c r="G1331" s="11"/>
      <c r="K1331" s="40"/>
      <c r="N1331" s="11"/>
      <c r="O1331" s="11"/>
      <c r="P1331" s="11"/>
      <c r="Q1331" s="11"/>
      <c r="R1331" s="11"/>
      <c r="S1331" s="11"/>
      <c r="T1331" s="11"/>
      <c r="U1331" s="11"/>
      <c r="V1331" s="11"/>
      <c r="W1331" s="11"/>
      <c r="X1331" s="11"/>
      <c r="Y1331" s="11"/>
      <c r="Z1331" s="11"/>
      <c r="AA1331" s="11"/>
      <c r="AB1331" s="11"/>
      <c r="AC1331" s="11"/>
      <c r="AD1331" s="40"/>
      <c r="AE1331" s="11"/>
      <c r="AF1331" s="40"/>
      <c r="AI1331" s="11"/>
      <c r="AJ1331" s="11"/>
      <c r="AK1331" s="11"/>
      <c r="AL1331" s="11"/>
      <c r="AM1331" s="11"/>
      <c r="AN1331" s="11"/>
      <c r="AO1331" s="11"/>
      <c r="AY1331" s="11"/>
      <c r="BE1331" s="38"/>
      <c r="BF1331" s="38"/>
      <c r="BG1331" s="38"/>
      <c r="BH1331" s="11"/>
      <c r="BI1331" s="1"/>
      <c r="BJ1331" s="2"/>
      <c r="BK1331" s="1"/>
      <c r="BL1331" s="1"/>
      <c r="BM1331" s="7"/>
      <c r="BN1331" s="7"/>
      <c r="BO1331" s="1"/>
      <c r="BP1331" s="11"/>
      <c r="BQ1331" s="11"/>
    </row>
    <row r="1332" spans="1:69" x14ac:dyDescent="0.3">
      <c r="A1332" s="7"/>
      <c r="B1332" s="11"/>
      <c r="C1332" s="11"/>
      <c r="D1332" s="11"/>
      <c r="E1332" s="45"/>
      <c r="F1332" s="40"/>
      <c r="G1332" s="11"/>
      <c r="K1332" s="40"/>
      <c r="N1332" s="11"/>
      <c r="O1332" s="11"/>
      <c r="P1332" s="11"/>
      <c r="Q1332" s="11"/>
      <c r="R1332" s="11"/>
      <c r="S1332" s="11"/>
      <c r="T1332" s="11"/>
      <c r="U1332" s="11"/>
      <c r="V1332" s="11"/>
      <c r="W1332" s="11"/>
      <c r="X1332" s="11"/>
      <c r="Y1332" s="11"/>
      <c r="Z1332" s="11"/>
      <c r="AA1332" s="11"/>
      <c r="AB1332" s="11"/>
      <c r="AC1332" s="11"/>
      <c r="AD1332" s="40"/>
      <c r="AE1332" s="11"/>
      <c r="AF1332" s="40"/>
      <c r="AI1332" s="11"/>
      <c r="AJ1332" s="11"/>
      <c r="AK1332" s="11"/>
      <c r="AL1332" s="11"/>
      <c r="AM1332" s="11"/>
      <c r="AN1332" s="11"/>
      <c r="AO1332" s="11"/>
      <c r="AY1332" s="11"/>
      <c r="BE1332" s="38"/>
      <c r="BF1332" s="38"/>
      <c r="BG1332" s="38"/>
      <c r="BH1332" s="11"/>
      <c r="BI1332" s="1"/>
      <c r="BJ1332" s="2"/>
      <c r="BK1332" s="1"/>
      <c r="BL1332" s="1"/>
      <c r="BM1332" s="7"/>
      <c r="BN1332" s="7"/>
      <c r="BO1332" s="1"/>
      <c r="BP1332" s="11"/>
      <c r="BQ1332" s="11"/>
    </row>
    <row r="1333" spans="1:69" x14ac:dyDescent="0.3">
      <c r="A1333" s="7"/>
      <c r="B1333" s="11"/>
      <c r="C1333" s="11"/>
      <c r="D1333" s="11"/>
      <c r="E1333" s="45"/>
      <c r="F1333" s="40"/>
      <c r="G1333" s="11"/>
      <c r="K1333" s="40"/>
      <c r="N1333" s="11"/>
      <c r="O1333" s="11"/>
      <c r="P1333" s="11"/>
      <c r="Q1333" s="11"/>
      <c r="R1333" s="11"/>
      <c r="S1333" s="11"/>
      <c r="T1333" s="11"/>
      <c r="U1333" s="11"/>
      <c r="V1333" s="11"/>
      <c r="W1333" s="11"/>
      <c r="X1333" s="11"/>
      <c r="Y1333" s="11"/>
      <c r="Z1333" s="11"/>
      <c r="AA1333" s="11"/>
      <c r="AB1333" s="11"/>
      <c r="AC1333" s="11"/>
      <c r="AD1333" s="40"/>
      <c r="AE1333" s="11"/>
      <c r="AF1333" s="40"/>
      <c r="AI1333" s="11"/>
      <c r="AJ1333" s="11"/>
      <c r="AK1333" s="11"/>
      <c r="AL1333" s="11"/>
      <c r="AM1333" s="11"/>
      <c r="AN1333" s="11"/>
      <c r="AO1333" s="11"/>
      <c r="AY1333" s="11"/>
      <c r="BE1333" s="38"/>
      <c r="BF1333" s="38"/>
      <c r="BG1333" s="38"/>
      <c r="BH1333" s="11"/>
      <c r="BI1333" s="1"/>
      <c r="BJ1333" s="2"/>
      <c r="BK1333" s="1"/>
      <c r="BL1333" s="1"/>
      <c r="BM1333" s="7"/>
      <c r="BN1333" s="7"/>
      <c r="BO1333" s="1"/>
      <c r="BP1333" s="11"/>
      <c r="BQ1333" s="11"/>
    </row>
    <row r="1334" spans="1:69" x14ac:dyDescent="0.3">
      <c r="A1334" s="7"/>
      <c r="B1334" s="11"/>
      <c r="C1334" s="11"/>
      <c r="D1334" s="11"/>
      <c r="E1334" s="45"/>
      <c r="F1334" s="40"/>
      <c r="G1334" s="11"/>
      <c r="K1334" s="40"/>
      <c r="N1334" s="11"/>
      <c r="O1334" s="11"/>
      <c r="P1334" s="11"/>
      <c r="Q1334" s="11"/>
      <c r="R1334" s="11"/>
      <c r="S1334" s="11"/>
      <c r="T1334" s="11"/>
      <c r="U1334" s="11"/>
      <c r="V1334" s="11"/>
      <c r="W1334" s="11"/>
      <c r="X1334" s="11"/>
      <c r="Y1334" s="11"/>
      <c r="Z1334" s="11"/>
      <c r="AA1334" s="11"/>
      <c r="AB1334" s="11"/>
      <c r="AC1334" s="11"/>
      <c r="AD1334" s="40"/>
      <c r="AE1334" s="11"/>
      <c r="AF1334" s="40"/>
      <c r="AI1334" s="11"/>
      <c r="AJ1334" s="11"/>
      <c r="AK1334" s="11"/>
      <c r="AL1334" s="11"/>
      <c r="AM1334" s="11"/>
      <c r="AN1334" s="11"/>
      <c r="AO1334" s="11"/>
      <c r="AY1334" s="11"/>
      <c r="BE1334" s="38"/>
      <c r="BF1334" s="38"/>
      <c r="BG1334" s="38"/>
      <c r="BH1334" s="11"/>
      <c r="BI1334" s="1"/>
      <c r="BJ1334" s="2"/>
      <c r="BK1334" s="1"/>
      <c r="BL1334" s="1"/>
      <c r="BM1334" s="7"/>
      <c r="BN1334" s="7"/>
      <c r="BO1334" s="1"/>
      <c r="BP1334" s="11"/>
      <c r="BQ1334" s="11"/>
    </row>
    <row r="1335" spans="1:69" x14ac:dyDescent="0.3">
      <c r="A1335" s="7"/>
      <c r="B1335" s="11"/>
      <c r="C1335" s="11"/>
      <c r="D1335" s="11"/>
      <c r="E1335" s="45"/>
      <c r="F1335" s="40"/>
      <c r="G1335" s="11"/>
      <c r="K1335" s="40"/>
      <c r="N1335" s="11"/>
      <c r="O1335" s="11"/>
      <c r="P1335" s="11"/>
      <c r="Q1335" s="11"/>
      <c r="R1335" s="11"/>
      <c r="S1335" s="11"/>
      <c r="T1335" s="11"/>
      <c r="U1335" s="11"/>
      <c r="V1335" s="11"/>
      <c r="W1335" s="11"/>
      <c r="X1335" s="11"/>
      <c r="Y1335" s="11"/>
      <c r="Z1335" s="11"/>
      <c r="AA1335" s="11"/>
      <c r="AB1335" s="11"/>
      <c r="AC1335" s="11"/>
      <c r="AD1335" s="40"/>
      <c r="AE1335" s="11"/>
      <c r="AF1335" s="40"/>
      <c r="AI1335" s="11"/>
      <c r="AJ1335" s="11"/>
      <c r="AK1335" s="11"/>
      <c r="AL1335" s="11"/>
      <c r="AM1335" s="11"/>
      <c r="AN1335" s="11"/>
      <c r="AO1335" s="11"/>
      <c r="AY1335" s="11"/>
      <c r="BE1335" s="38"/>
      <c r="BF1335" s="38"/>
      <c r="BG1335" s="38"/>
      <c r="BH1335" s="11"/>
      <c r="BI1335" s="1"/>
      <c r="BJ1335" s="2"/>
      <c r="BK1335" s="1"/>
      <c r="BL1335" s="1"/>
      <c r="BM1335" s="7"/>
      <c r="BN1335" s="7"/>
      <c r="BO1335" s="1"/>
      <c r="BP1335" s="11"/>
      <c r="BQ1335" s="11"/>
    </row>
    <row r="1336" spans="1:69" x14ac:dyDescent="0.3">
      <c r="A1336" s="7"/>
      <c r="B1336" s="11"/>
      <c r="C1336" s="11"/>
      <c r="D1336" s="11"/>
      <c r="E1336" s="45"/>
      <c r="F1336" s="40"/>
      <c r="G1336" s="11"/>
      <c r="K1336" s="40"/>
      <c r="N1336" s="11"/>
      <c r="O1336" s="11"/>
      <c r="P1336" s="11"/>
      <c r="Q1336" s="11"/>
      <c r="R1336" s="11"/>
      <c r="S1336" s="11"/>
      <c r="T1336" s="11"/>
      <c r="U1336" s="11"/>
      <c r="V1336" s="11"/>
      <c r="W1336" s="11"/>
      <c r="X1336" s="11"/>
      <c r="Y1336" s="11"/>
      <c r="Z1336" s="11"/>
      <c r="AA1336" s="11"/>
      <c r="AB1336" s="11"/>
      <c r="AC1336" s="11"/>
      <c r="AD1336" s="40"/>
      <c r="AE1336" s="11"/>
      <c r="AF1336" s="40"/>
      <c r="AI1336" s="11"/>
      <c r="AJ1336" s="11"/>
      <c r="AK1336" s="11"/>
      <c r="AL1336" s="11"/>
      <c r="AM1336" s="11"/>
      <c r="AN1336" s="11"/>
      <c r="AO1336" s="11"/>
      <c r="AY1336" s="11"/>
      <c r="BE1336" s="38"/>
      <c r="BF1336" s="38"/>
      <c r="BG1336" s="38"/>
      <c r="BH1336" s="11"/>
      <c r="BI1336" s="1"/>
      <c r="BJ1336" s="2"/>
      <c r="BK1336" s="1"/>
      <c r="BL1336" s="1"/>
      <c r="BM1336" s="7"/>
      <c r="BN1336" s="7"/>
      <c r="BO1336" s="1"/>
      <c r="BP1336" s="11"/>
      <c r="BQ1336" s="11"/>
    </row>
    <row r="1337" spans="1:69" x14ac:dyDescent="0.3">
      <c r="A1337" s="7"/>
      <c r="B1337" s="11"/>
      <c r="C1337" s="11"/>
      <c r="D1337" s="11"/>
      <c r="E1337" s="45"/>
      <c r="F1337" s="40"/>
      <c r="G1337" s="11"/>
      <c r="K1337" s="40"/>
      <c r="N1337" s="11"/>
      <c r="O1337" s="11"/>
      <c r="P1337" s="11"/>
      <c r="Q1337" s="11"/>
      <c r="R1337" s="11"/>
      <c r="S1337" s="11"/>
      <c r="T1337" s="11"/>
      <c r="U1337" s="11"/>
      <c r="V1337" s="11"/>
      <c r="W1337" s="11"/>
      <c r="X1337" s="11"/>
      <c r="Y1337" s="11"/>
      <c r="Z1337" s="11"/>
      <c r="AA1337" s="11"/>
      <c r="AB1337" s="11"/>
      <c r="AC1337" s="11"/>
      <c r="AD1337" s="40"/>
      <c r="AE1337" s="11"/>
      <c r="AF1337" s="40"/>
      <c r="AI1337" s="11"/>
      <c r="AJ1337" s="11"/>
      <c r="AK1337" s="11"/>
      <c r="AL1337" s="11"/>
      <c r="AM1337" s="11"/>
      <c r="AN1337" s="11"/>
      <c r="AO1337" s="11"/>
      <c r="AY1337" s="11"/>
      <c r="BE1337" s="38"/>
      <c r="BF1337" s="38"/>
      <c r="BG1337" s="38"/>
      <c r="BH1337" s="11"/>
      <c r="BI1337" s="1"/>
      <c r="BJ1337" s="2"/>
      <c r="BK1337" s="1"/>
      <c r="BL1337" s="1"/>
      <c r="BM1337" s="7"/>
      <c r="BN1337" s="7"/>
      <c r="BO1337" s="1"/>
      <c r="BP1337" s="11"/>
      <c r="BQ1337" s="11"/>
    </row>
    <row r="1338" spans="1:69" x14ac:dyDescent="0.3">
      <c r="A1338" s="7"/>
      <c r="B1338" s="11"/>
      <c r="C1338" s="11"/>
      <c r="D1338" s="11"/>
      <c r="E1338" s="45"/>
      <c r="F1338" s="40"/>
      <c r="G1338" s="11"/>
      <c r="K1338" s="40"/>
      <c r="N1338" s="11"/>
      <c r="O1338" s="11"/>
      <c r="P1338" s="11"/>
      <c r="Q1338" s="11"/>
      <c r="R1338" s="11"/>
      <c r="S1338" s="11"/>
      <c r="T1338" s="11"/>
      <c r="U1338" s="11"/>
      <c r="V1338" s="11"/>
      <c r="W1338" s="11"/>
      <c r="X1338" s="11"/>
      <c r="Y1338" s="11"/>
      <c r="Z1338" s="11"/>
      <c r="AA1338" s="11"/>
      <c r="AB1338" s="11"/>
      <c r="AC1338" s="11"/>
      <c r="AD1338" s="40"/>
      <c r="AE1338" s="11"/>
      <c r="AF1338" s="40"/>
      <c r="AI1338" s="11"/>
      <c r="AJ1338" s="11"/>
      <c r="AK1338" s="11"/>
      <c r="AL1338" s="11"/>
      <c r="AM1338" s="11"/>
      <c r="AN1338" s="11"/>
      <c r="AO1338" s="11"/>
      <c r="AY1338" s="11"/>
      <c r="BE1338" s="38"/>
      <c r="BF1338" s="38"/>
      <c r="BG1338" s="38"/>
      <c r="BH1338" s="11"/>
      <c r="BI1338" s="1"/>
      <c r="BJ1338" s="2"/>
      <c r="BK1338" s="1"/>
      <c r="BL1338" s="1"/>
      <c r="BM1338" s="7"/>
      <c r="BN1338" s="7"/>
      <c r="BO1338" s="1"/>
      <c r="BP1338" s="11"/>
      <c r="BQ1338" s="11"/>
    </row>
    <row r="1339" spans="1:69" x14ac:dyDescent="0.3">
      <c r="A1339" s="7"/>
      <c r="B1339" s="11"/>
      <c r="C1339" s="11"/>
      <c r="D1339" s="11"/>
      <c r="E1339" s="45"/>
      <c r="F1339" s="40"/>
      <c r="G1339" s="11"/>
      <c r="K1339" s="40"/>
      <c r="N1339" s="11"/>
      <c r="O1339" s="11"/>
      <c r="P1339" s="11"/>
      <c r="Q1339" s="11"/>
      <c r="R1339" s="11"/>
      <c r="S1339" s="11"/>
      <c r="T1339" s="11"/>
      <c r="U1339" s="11"/>
      <c r="V1339" s="11"/>
      <c r="W1339" s="11"/>
      <c r="X1339" s="11"/>
      <c r="Y1339" s="11"/>
      <c r="Z1339" s="11"/>
      <c r="AA1339" s="11"/>
      <c r="AB1339" s="11"/>
      <c r="AC1339" s="11"/>
      <c r="AD1339" s="40"/>
      <c r="AE1339" s="11"/>
      <c r="AF1339" s="40"/>
      <c r="AI1339" s="11"/>
      <c r="AJ1339" s="11"/>
      <c r="AK1339" s="11"/>
      <c r="AL1339" s="11"/>
      <c r="AM1339" s="11"/>
      <c r="AN1339" s="11"/>
      <c r="AO1339" s="11"/>
      <c r="AY1339" s="11"/>
      <c r="BE1339" s="38"/>
      <c r="BF1339" s="38"/>
      <c r="BG1339" s="38"/>
      <c r="BH1339" s="11"/>
      <c r="BI1339" s="1"/>
      <c r="BJ1339" s="2"/>
      <c r="BK1339" s="1"/>
      <c r="BL1339" s="1"/>
      <c r="BM1339" s="7"/>
      <c r="BN1339" s="7"/>
      <c r="BO1339" s="1"/>
      <c r="BP1339" s="11"/>
      <c r="BQ1339" s="11"/>
    </row>
    <row r="1340" spans="1:69" x14ac:dyDescent="0.3">
      <c r="A1340" s="7"/>
      <c r="B1340" s="11"/>
      <c r="C1340" s="11"/>
      <c r="D1340" s="11"/>
      <c r="E1340" s="45"/>
      <c r="F1340" s="40"/>
      <c r="G1340" s="11"/>
      <c r="K1340" s="40"/>
      <c r="N1340" s="11"/>
      <c r="O1340" s="11"/>
      <c r="P1340" s="11"/>
      <c r="Q1340" s="11"/>
      <c r="R1340" s="11"/>
      <c r="S1340" s="11"/>
      <c r="T1340" s="11"/>
      <c r="U1340" s="11"/>
      <c r="V1340" s="11"/>
      <c r="W1340" s="11"/>
      <c r="X1340" s="11"/>
      <c r="Y1340" s="11"/>
      <c r="Z1340" s="11"/>
      <c r="AA1340" s="11"/>
      <c r="AB1340" s="11"/>
      <c r="AC1340" s="11"/>
      <c r="AD1340" s="40"/>
      <c r="AE1340" s="11"/>
      <c r="AF1340" s="40"/>
      <c r="AI1340" s="11"/>
      <c r="AJ1340" s="11"/>
      <c r="AK1340" s="11"/>
      <c r="AL1340" s="11"/>
      <c r="AM1340" s="11"/>
      <c r="AN1340" s="11"/>
      <c r="AO1340" s="11"/>
      <c r="AY1340" s="11"/>
      <c r="BE1340" s="38"/>
      <c r="BF1340" s="38"/>
      <c r="BG1340" s="38"/>
      <c r="BH1340" s="11"/>
      <c r="BI1340" s="1"/>
      <c r="BJ1340" s="2"/>
      <c r="BK1340" s="1"/>
      <c r="BL1340" s="1"/>
      <c r="BM1340" s="7"/>
      <c r="BN1340" s="7"/>
      <c r="BO1340" s="1"/>
      <c r="BP1340" s="11"/>
      <c r="BQ1340" s="11"/>
    </row>
    <row r="1341" spans="1:69" x14ac:dyDescent="0.3">
      <c r="A1341" s="7"/>
      <c r="B1341" s="11"/>
      <c r="C1341" s="11"/>
      <c r="D1341" s="11"/>
      <c r="E1341" s="45"/>
      <c r="F1341" s="40"/>
      <c r="G1341" s="11"/>
      <c r="K1341" s="40"/>
      <c r="N1341" s="11"/>
      <c r="O1341" s="11"/>
      <c r="P1341" s="11"/>
      <c r="Q1341" s="11"/>
      <c r="R1341" s="11"/>
      <c r="S1341" s="11"/>
      <c r="T1341" s="11"/>
      <c r="U1341" s="11"/>
      <c r="V1341" s="11"/>
      <c r="W1341" s="11"/>
      <c r="X1341" s="11"/>
      <c r="Y1341" s="11"/>
      <c r="Z1341" s="11"/>
      <c r="AA1341" s="11"/>
      <c r="AB1341" s="11"/>
      <c r="AC1341" s="11"/>
      <c r="AD1341" s="40"/>
      <c r="AE1341" s="11"/>
      <c r="AF1341" s="40"/>
      <c r="AI1341" s="11"/>
      <c r="AJ1341" s="11"/>
      <c r="AK1341" s="11"/>
      <c r="AL1341" s="11"/>
      <c r="AM1341" s="11"/>
      <c r="AN1341" s="11"/>
      <c r="AO1341" s="11"/>
      <c r="AY1341" s="11"/>
      <c r="BE1341" s="38"/>
      <c r="BF1341" s="38"/>
      <c r="BG1341" s="38"/>
      <c r="BH1341" s="11"/>
      <c r="BI1341" s="1"/>
      <c r="BJ1341" s="2"/>
      <c r="BK1341" s="1"/>
      <c r="BL1341" s="1"/>
      <c r="BM1341" s="7"/>
      <c r="BN1341" s="7"/>
      <c r="BO1341" s="1"/>
      <c r="BP1341" s="11"/>
      <c r="BQ1341" s="11"/>
    </row>
    <row r="1342" spans="1:69" x14ac:dyDescent="0.3">
      <c r="A1342" s="7"/>
      <c r="B1342" s="11"/>
      <c r="C1342" s="11"/>
      <c r="D1342" s="11"/>
      <c r="E1342" s="45"/>
      <c r="F1342" s="40"/>
      <c r="G1342" s="11"/>
      <c r="K1342" s="40"/>
      <c r="N1342" s="11"/>
      <c r="O1342" s="11"/>
      <c r="P1342" s="11"/>
      <c r="Q1342" s="11"/>
      <c r="R1342" s="11"/>
      <c r="S1342" s="11"/>
      <c r="T1342" s="11"/>
      <c r="U1342" s="11"/>
      <c r="V1342" s="11"/>
      <c r="W1342" s="11"/>
      <c r="X1342" s="11"/>
      <c r="Y1342" s="11"/>
      <c r="Z1342" s="11"/>
      <c r="AA1342" s="11"/>
      <c r="AB1342" s="11"/>
      <c r="AC1342" s="11"/>
      <c r="AD1342" s="40"/>
      <c r="AE1342" s="11"/>
      <c r="AF1342" s="40"/>
      <c r="AI1342" s="11"/>
      <c r="AJ1342" s="11"/>
      <c r="AK1342" s="11"/>
      <c r="AL1342" s="11"/>
      <c r="AM1342" s="11"/>
      <c r="AN1342" s="11"/>
      <c r="AO1342" s="11"/>
      <c r="AY1342" s="11"/>
      <c r="BE1342" s="38"/>
      <c r="BF1342" s="38"/>
      <c r="BG1342" s="38"/>
      <c r="BH1342" s="11"/>
      <c r="BI1342" s="1"/>
      <c r="BJ1342" s="2"/>
      <c r="BK1342" s="1"/>
      <c r="BL1342" s="1"/>
      <c r="BM1342" s="7"/>
      <c r="BN1342" s="7"/>
      <c r="BO1342" s="1"/>
      <c r="BP1342" s="11"/>
      <c r="BQ1342" s="11"/>
    </row>
    <row r="1343" spans="1:69" x14ac:dyDescent="0.3">
      <c r="A1343" s="7"/>
      <c r="B1343" s="11"/>
      <c r="C1343" s="11"/>
      <c r="D1343" s="11"/>
      <c r="E1343" s="45"/>
      <c r="F1343" s="40"/>
      <c r="G1343" s="11"/>
      <c r="K1343" s="40"/>
      <c r="N1343" s="11"/>
      <c r="O1343" s="11"/>
      <c r="P1343" s="11"/>
      <c r="Q1343" s="11"/>
      <c r="R1343" s="11"/>
      <c r="S1343" s="11"/>
      <c r="T1343" s="11"/>
      <c r="U1343" s="11"/>
      <c r="V1343" s="11"/>
      <c r="W1343" s="11"/>
      <c r="X1343" s="11"/>
      <c r="Y1343" s="11"/>
      <c r="Z1343" s="11"/>
      <c r="AA1343" s="11"/>
      <c r="AB1343" s="11"/>
      <c r="AC1343" s="11"/>
      <c r="AD1343" s="40"/>
      <c r="AE1343" s="11"/>
      <c r="AF1343" s="40"/>
      <c r="AI1343" s="11"/>
      <c r="AJ1343" s="11"/>
      <c r="AK1343" s="11"/>
      <c r="AL1343" s="11"/>
      <c r="AM1343" s="11"/>
      <c r="AN1343" s="11"/>
      <c r="AO1343" s="11"/>
      <c r="AY1343" s="11"/>
      <c r="BE1343" s="38"/>
      <c r="BF1343" s="38"/>
      <c r="BG1343" s="38"/>
      <c r="BH1343" s="11"/>
      <c r="BI1343" s="1"/>
      <c r="BJ1343" s="2"/>
      <c r="BK1343" s="1"/>
      <c r="BL1343" s="1"/>
      <c r="BM1343" s="7"/>
      <c r="BN1343" s="7"/>
      <c r="BO1343" s="1"/>
      <c r="BP1343" s="11"/>
      <c r="BQ1343" s="11"/>
    </row>
    <row r="1344" spans="1:69" x14ac:dyDescent="0.3">
      <c r="A1344" s="7"/>
      <c r="B1344" s="11"/>
      <c r="C1344" s="11"/>
      <c r="D1344" s="11"/>
      <c r="E1344" s="45"/>
      <c r="F1344" s="40"/>
      <c r="G1344" s="11"/>
      <c r="K1344" s="40"/>
      <c r="N1344" s="11"/>
      <c r="O1344" s="11"/>
      <c r="P1344" s="11"/>
      <c r="Q1344" s="11"/>
      <c r="R1344" s="11"/>
      <c r="S1344" s="11"/>
      <c r="T1344" s="11"/>
      <c r="U1344" s="11"/>
      <c r="V1344" s="11"/>
      <c r="W1344" s="11"/>
      <c r="X1344" s="11"/>
      <c r="Y1344" s="11"/>
      <c r="Z1344" s="11"/>
      <c r="AA1344" s="11"/>
      <c r="AB1344" s="11"/>
      <c r="AC1344" s="11"/>
      <c r="AD1344" s="40"/>
      <c r="AE1344" s="11"/>
      <c r="AF1344" s="40"/>
      <c r="AI1344" s="11"/>
      <c r="AJ1344" s="11"/>
      <c r="AK1344" s="11"/>
      <c r="AL1344" s="11"/>
      <c r="AM1344" s="11"/>
      <c r="AN1344" s="11"/>
      <c r="AO1344" s="11"/>
      <c r="AY1344" s="11"/>
      <c r="BE1344" s="38"/>
      <c r="BF1344" s="38"/>
      <c r="BG1344" s="38"/>
      <c r="BH1344" s="11"/>
      <c r="BI1344" s="1"/>
      <c r="BJ1344" s="2"/>
      <c r="BK1344" s="1"/>
      <c r="BL1344" s="1"/>
      <c r="BM1344" s="7"/>
      <c r="BN1344" s="7"/>
      <c r="BO1344" s="1"/>
      <c r="BP1344" s="11"/>
      <c r="BQ1344" s="11"/>
    </row>
    <row r="1345" spans="1:69" x14ac:dyDescent="0.3">
      <c r="A1345" s="7"/>
      <c r="B1345" s="11"/>
      <c r="C1345" s="11"/>
      <c r="D1345" s="11"/>
      <c r="E1345" s="45"/>
      <c r="F1345" s="40"/>
      <c r="G1345" s="11"/>
      <c r="K1345" s="40"/>
      <c r="N1345" s="11"/>
      <c r="O1345" s="11"/>
      <c r="P1345" s="11"/>
      <c r="Q1345" s="11"/>
      <c r="R1345" s="11"/>
      <c r="S1345" s="11"/>
      <c r="T1345" s="11"/>
      <c r="U1345" s="11"/>
      <c r="V1345" s="11"/>
      <c r="W1345" s="11"/>
      <c r="X1345" s="11"/>
      <c r="Y1345" s="11"/>
      <c r="Z1345" s="11"/>
      <c r="AA1345" s="11"/>
      <c r="AB1345" s="11"/>
      <c r="AC1345" s="11"/>
      <c r="AD1345" s="40"/>
      <c r="AE1345" s="11"/>
      <c r="AF1345" s="40"/>
      <c r="AI1345" s="11"/>
      <c r="AJ1345" s="11"/>
      <c r="AK1345" s="11"/>
      <c r="AL1345" s="11"/>
      <c r="AM1345" s="11"/>
      <c r="AN1345" s="11"/>
      <c r="AO1345" s="11"/>
      <c r="AY1345" s="11"/>
      <c r="BE1345" s="38"/>
      <c r="BF1345" s="38"/>
      <c r="BG1345" s="38"/>
      <c r="BH1345" s="11"/>
      <c r="BI1345" s="1"/>
      <c r="BJ1345" s="2"/>
      <c r="BK1345" s="1"/>
      <c r="BL1345" s="1"/>
      <c r="BM1345" s="7"/>
      <c r="BN1345" s="7"/>
      <c r="BO1345" s="1"/>
      <c r="BP1345" s="11"/>
      <c r="BQ1345" s="11"/>
    </row>
    <row r="1346" spans="1:69" x14ac:dyDescent="0.3">
      <c r="A1346" s="7"/>
      <c r="B1346" s="11"/>
      <c r="C1346" s="11"/>
      <c r="D1346" s="11"/>
      <c r="E1346" s="45"/>
      <c r="F1346" s="40"/>
      <c r="G1346" s="11"/>
      <c r="K1346" s="40"/>
      <c r="N1346" s="11"/>
      <c r="O1346" s="11"/>
      <c r="P1346" s="11"/>
      <c r="Q1346" s="11"/>
      <c r="R1346" s="11"/>
      <c r="S1346" s="11"/>
      <c r="T1346" s="11"/>
      <c r="U1346" s="11"/>
      <c r="V1346" s="11"/>
      <c r="W1346" s="11"/>
      <c r="X1346" s="11"/>
      <c r="Y1346" s="11"/>
      <c r="Z1346" s="11"/>
      <c r="AA1346" s="11"/>
      <c r="AB1346" s="11"/>
      <c r="AC1346" s="11"/>
      <c r="AD1346" s="40"/>
      <c r="AE1346" s="11"/>
      <c r="AF1346" s="40"/>
      <c r="AI1346" s="11"/>
      <c r="AJ1346" s="11"/>
      <c r="AK1346" s="11"/>
      <c r="AL1346" s="11"/>
      <c r="AM1346" s="11"/>
      <c r="AN1346" s="11"/>
      <c r="AO1346" s="11"/>
      <c r="AY1346" s="11"/>
      <c r="BE1346" s="38"/>
      <c r="BF1346" s="38"/>
      <c r="BG1346" s="38"/>
      <c r="BH1346" s="11"/>
      <c r="BI1346" s="1"/>
      <c r="BJ1346" s="2"/>
      <c r="BK1346" s="1"/>
      <c r="BL1346" s="1"/>
      <c r="BM1346" s="7"/>
      <c r="BN1346" s="7"/>
      <c r="BO1346" s="1"/>
      <c r="BP1346" s="11"/>
      <c r="BQ1346" s="11"/>
    </row>
    <row r="1347" spans="1:69" x14ac:dyDescent="0.3">
      <c r="A1347" s="7"/>
      <c r="B1347" s="11"/>
      <c r="C1347" s="11"/>
      <c r="D1347" s="11"/>
      <c r="E1347" s="45"/>
      <c r="F1347" s="40"/>
      <c r="G1347" s="11"/>
      <c r="K1347" s="40"/>
      <c r="N1347" s="11"/>
      <c r="O1347" s="11"/>
      <c r="P1347" s="11"/>
      <c r="Q1347" s="11"/>
      <c r="R1347" s="11"/>
      <c r="S1347" s="11"/>
      <c r="T1347" s="11"/>
      <c r="U1347" s="11"/>
      <c r="V1347" s="11"/>
      <c r="W1347" s="11"/>
      <c r="X1347" s="11"/>
      <c r="Y1347" s="11"/>
      <c r="Z1347" s="11"/>
      <c r="AA1347" s="11"/>
      <c r="AB1347" s="11"/>
      <c r="AC1347" s="11"/>
      <c r="AD1347" s="40"/>
      <c r="AE1347" s="11"/>
      <c r="AF1347" s="40"/>
      <c r="AI1347" s="11"/>
      <c r="AJ1347" s="11"/>
      <c r="AK1347" s="11"/>
      <c r="AL1347" s="11"/>
      <c r="AM1347" s="11"/>
      <c r="AN1347" s="11"/>
      <c r="AO1347" s="11"/>
      <c r="AY1347" s="11"/>
      <c r="BE1347" s="38"/>
      <c r="BF1347" s="38"/>
      <c r="BG1347" s="38"/>
      <c r="BH1347" s="11"/>
      <c r="BI1347" s="1"/>
      <c r="BJ1347" s="2"/>
      <c r="BK1347" s="1"/>
      <c r="BL1347" s="1"/>
      <c r="BM1347" s="7"/>
      <c r="BN1347" s="7"/>
      <c r="BO1347" s="1"/>
      <c r="BP1347" s="11"/>
      <c r="BQ1347" s="11"/>
    </row>
    <row r="1348" spans="1:69" x14ac:dyDescent="0.3">
      <c r="A1348" s="7"/>
      <c r="B1348" s="11"/>
      <c r="C1348" s="11"/>
      <c r="D1348" s="11"/>
      <c r="E1348" s="45"/>
      <c r="F1348" s="40"/>
      <c r="G1348" s="11"/>
      <c r="K1348" s="40"/>
      <c r="N1348" s="11"/>
      <c r="O1348" s="11"/>
      <c r="P1348" s="11"/>
      <c r="Q1348" s="11"/>
      <c r="R1348" s="11"/>
      <c r="S1348" s="11"/>
      <c r="T1348" s="11"/>
      <c r="U1348" s="11"/>
      <c r="V1348" s="11"/>
      <c r="W1348" s="11"/>
      <c r="X1348" s="11"/>
      <c r="Y1348" s="11"/>
      <c r="Z1348" s="11"/>
      <c r="AA1348" s="11"/>
      <c r="AB1348" s="11"/>
      <c r="AC1348" s="11"/>
      <c r="AD1348" s="40"/>
      <c r="AE1348" s="11"/>
      <c r="AF1348" s="40"/>
      <c r="AI1348" s="11"/>
      <c r="AJ1348" s="11"/>
      <c r="AK1348" s="11"/>
      <c r="AL1348" s="11"/>
      <c r="AM1348" s="11"/>
      <c r="AN1348" s="11"/>
      <c r="AO1348" s="11"/>
      <c r="AY1348" s="11"/>
      <c r="BE1348" s="38"/>
      <c r="BF1348" s="38"/>
      <c r="BG1348" s="38"/>
      <c r="BH1348" s="11"/>
      <c r="BI1348" s="1"/>
      <c r="BJ1348" s="2"/>
      <c r="BK1348" s="1"/>
      <c r="BL1348" s="1"/>
      <c r="BM1348" s="7"/>
      <c r="BN1348" s="7"/>
      <c r="BO1348" s="1"/>
      <c r="BP1348" s="11"/>
      <c r="BQ1348" s="11"/>
    </row>
    <row r="1349" spans="1:69" x14ac:dyDescent="0.3">
      <c r="A1349" s="7"/>
      <c r="B1349" s="11"/>
      <c r="C1349" s="11"/>
      <c r="D1349" s="11"/>
      <c r="E1349" s="45"/>
      <c r="F1349" s="40"/>
      <c r="G1349" s="11"/>
      <c r="K1349" s="40"/>
      <c r="N1349" s="11"/>
      <c r="O1349" s="11"/>
      <c r="P1349" s="11"/>
      <c r="Q1349" s="11"/>
      <c r="R1349" s="11"/>
      <c r="S1349" s="11"/>
      <c r="T1349" s="11"/>
      <c r="U1349" s="11"/>
      <c r="V1349" s="11"/>
      <c r="W1349" s="11"/>
      <c r="X1349" s="11"/>
      <c r="Y1349" s="11"/>
      <c r="Z1349" s="11"/>
      <c r="AA1349" s="11"/>
      <c r="AB1349" s="11"/>
      <c r="AC1349" s="11"/>
      <c r="AD1349" s="40"/>
      <c r="AE1349" s="11"/>
      <c r="AF1349" s="40"/>
      <c r="AI1349" s="11"/>
      <c r="AJ1349" s="11"/>
      <c r="AK1349" s="11"/>
      <c r="AL1349" s="11"/>
      <c r="AM1349" s="11"/>
      <c r="AN1349" s="11"/>
      <c r="AO1349" s="11"/>
      <c r="AY1349" s="11"/>
      <c r="BE1349" s="38"/>
      <c r="BF1349" s="38"/>
      <c r="BG1349" s="38"/>
      <c r="BH1349" s="11"/>
      <c r="BI1349" s="1"/>
      <c r="BJ1349" s="2"/>
      <c r="BK1349" s="1"/>
      <c r="BL1349" s="1"/>
      <c r="BM1349" s="7"/>
      <c r="BN1349" s="7"/>
      <c r="BO1349" s="1"/>
      <c r="BP1349" s="11"/>
      <c r="BQ1349" s="11"/>
    </row>
    <row r="1350" spans="1:69" x14ac:dyDescent="0.3">
      <c r="A1350" s="7"/>
      <c r="B1350" s="11"/>
      <c r="C1350" s="11"/>
      <c r="D1350" s="11"/>
      <c r="E1350" s="45"/>
      <c r="F1350" s="40"/>
      <c r="G1350" s="11"/>
      <c r="K1350" s="40"/>
      <c r="N1350" s="11"/>
      <c r="O1350" s="11"/>
      <c r="P1350" s="11"/>
      <c r="Q1350" s="11"/>
      <c r="R1350" s="11"/>
      <c r="S1350" s="11"/>
      <c r="T1350" s="11"/>
      <c r="U1350" s="11"/>
      <c r="V1350" s="11"/>
      <c r="W1350" s="11"/>
      <c r="X1350" s="11"/>
      <c r="Y1350" s="11"/>
      <c r="Z1350" s="11"/>
      <c r="AA1350" s="11"/>
      <c r="AB1350" s="11"/>
      <c r="AC1350" s="11"/>
      <c r="AD1350" s="40"/>
      <c r="AE1350" s="11"/>
      <c r="AF1350" s="40"/>
      <c r="AI1350" s="11"/>
      <c r="AJ1350" s="11"/>
      <c r="AK1350" s="11"/>
      <c r="AL1350" s="11"/>
      <c r="AM1350" s="11"/>
      <c r="AN1350" s="11"/>
      <c r="AO1350" s="11"/>
      <c r="AY1350" s="11"/>
      <c r="BE1350" s="38"/>
      <c r="BF1350" s="38"/>
      <c r="BG1350" s="38"/>
      <c r="BH1350" s="11"/>
      <c r="BI1350" s="1"/>
      <c r="BJ1350" s="2"/>
      <c r="BK1350" s="1"/>
      <c r="BL1350" s="1"/>
      <c r="BM1350" s="7"/>
      <c r="BN1350" s="7"/>
      <c r="BO1350" s="1"/>
      <c r="BP1350" s="11"/>
      <c r="BQ1350" s="11"/>
    </row>
    <row r="1351" spans="1:69" x14ac:dyDescent="0.3">
      <c r="A1351" s="7"/>
      <c r="B1351" s="11"/>
      <c r="C1351" s="11"/>
      <c r="D1351" s="11"/>
      <c r="E1351" s="45"/>
      <c r="F1351" s="40"/>
      <c r="G1351" s="11"/>
      <c r="K1351" s="40"/>
      <c r="N1351" s="11"/>
      <c r="O1351" s="11"/>
      <c r="P1351" s="11"/>
      <c r="Q1351" s="11"/>
      <c r="R1351" s="11"/>
      <c r="S1351" s="11"/>
      <c r="T1351" s="11"/>
      <c r="U1351" s="11"/>
      <c r="V1351" s="11"/>
      <c r="W1351" s="11"/>
      <c r="X1351" s="11"/>
      <c r="Y1351" s="11"/>
      <c r="Z1351" s="11"/>
      <c r="AA1351" s="11"/>
      <c r="AB1351" s="11"/>
      <c r="AC1351" s="11"/>
      <c r="AD1351" s="40"/>
      <c r="AE1351" s="11"/>
      <c r="AF1351" s="40"/>
      <c r="AI1351" s="11"/>
      <c r="AJ1351" s="11"/>
      <c r="AK1351" s="11"/>
      <c r="AL1351" s="11"/>
      <c r="AM1351" s="11"/>
      <c r="AN1351" s="11"/>
      <c r="AO1351" s="11"/>
      <c r="AY1351" s="11"/>
      <c r="BE1351" s="38"/>
      <c r="BF1351" s="38"/>
      <c r="BG1351" s="38"/>
      <c r="BH1351" s="11"/>
      <c r="BI1351" s="1"/>
      <c r="BJ1351" s="2"/>
      <c r="BK1351" s="1"/>
      <c r="BL1351" s="1"/>
      <c r="BM1351" s="7"/>
      <c r="BN1351" s="7"/>
      <c r="BO1351" s="1"/>
      <c r="BP1351" s="11"/>
      <c r="BQ1351" s="11"/>
    </row>
    <row r="1352" spans="1:69" x14ac:dyDescent="0.3">
      <c r="A1352" s="7"/>
      <c r="B1352" s="11"/>
      <c r="C1352" s="11"/>
      <c r="D1352" s="11"/>
      <c r="E1352" s="45"/>
      <c r="F1352" s="40"/>
      <c r="G1352" s="11"/>
      <c r="K1352" s="40"/>
      <c r="N1352" s="11"/>
      <c r="O1352" s="11"/>
      <c r="P1352" s="11"/>
      <c r="Q1352" s="11"/>
      <c r="R1352" s="11"/>
      <c r="S1352" s="11"/>
      <c r="T1352" s="11"/>
      <c r="U1352" s="11"/>
      <c r="V1352" s="11"/>
      <c r="W1352" s="11"/>
      <c r="X1352" s="11"/>
      <c r="Y1352" s="11"/>
      <c r="Z1352" s="11"/>
      <c r="AA1352" s="11"/>
      <c r="AB1352" s="11"/>
      <c r="AC1352" s="11"/>
      <c r="AD1352" s="40"/>
      <c r="AE1352" s="11"/>
      <c r="AF1352" s="40"/>
      <c r="AI1352" s="11"/>
      <c r="AJ1352" s="11"/>
      <c r="AK1352" s="11"/>
      <c r="AL1352" s="11"/>
      <c r="AM1352" s="11"/>
      <c r="AN1352" s="11"/>
      <c r="AO1352" s="11"/>
      <c r="AY1352" s="11"/>
      <c r="BE1352" s="38"/>
      <c r="BF1352" s="38"/>
      <c r="BG1352" s="38"/>
      <c r="BH1352" s="11"/>
      <c r="BI1352" s="1"/>
      <c r="BJ1352" s="2"/>
      <c r="BK1352" s="1"/>
      <c r="BL1352" s="1"/>
      <c r="BM1352" s="7"/>
      <c r="BN1352" s="7"/>
      <c r="BO1352" s="1"/>
      <c r="BP1352" s="11"/>
      <c r="BQ1352" s="11"/>
    </row>
    <row r="1353" spans="1:69" x14ac:dyDescent="0.3">
      <c r="A1353" s="7"/>
      <c r="B1353" s="11"/>
      <c r="C1353" s="11"/>
      <c r="D1353" s="11"/>
      <c r="E1353" s="45"/>
      <c r="F1353" s="40"/>
      <c r="G1353" s="11"/>
      <c r="K1353" s="40"/>
      <c r="N1353" s="11"/>
      <c r="O1353" s="11"/>
      <c r="P1353" s="11"/>
      <c r="Q1353" s="11"/>
      <c r="R1353" s="11"/>
      <c r="S1353" s="11"/>
      <c r="T1353" s="11"/>
      <c r="U1353" s="11"/>
      <c r="V1353" s="11"/>
      <c r="W1353" s="11"/>
      <c r="X1353" s="11"/>
      <c r="Y1353" s="11"/>
      <c r="Z1353" s="11"/>
      <c r="AA1353" s="11"/>
      <c r="AB1353" s="11"/>
      <c r="AC1353" s="11"/>
      <c r="AD1353" s="40"/>
      <c r="AE1353" s="11"/>
      <c r="AF1353" s="40"/>
      <c r="AI1353" s="11"/>
      <c r="AJ1353" s="11"/>
      <c r="AK1353" s="11"/>
      <c r="AL1353" s="11"/>
      <c r="AM1353" s="11"/>
      <c r="AN1353" s="11"/>
      <c r="AO1353" s="11"/>
      <c r="AY1353" s="11"/>
      <c r="BE1353" s="38"/>
      <c r="BF1353" s="38"/>
      <c r="BG1353" s="38"/>
      <c r="BH1353" s="11"/>
      <c r="BI1353" s="1"/>
      <c r="BJ1353" s="2"/>
      <c r="BK1353" s="1"/>
      <c r="BL1353" s="1"/>
      <c r="BM1353" s="7"/>
      <c r="BN1353" s="7"/>
      <c r="BO1353" s="1"/>
      <c r="BP1353" s="11"/>
      <c r="BQ1353" s="11"/>
    </row>
    <row r="1354" spans="1:69" x14ac:dyDescent="0.3">
      <c r="A1354" s="7"/>
      <c r="B1354" s="11"/>
      <c r="C1354" s="11"/>
      <c r="D1354" s="11"/>
      <c r="E1354" s="45"/>
      <c r="F1354" s="40"/>
      <c r="G1354" s="11"/>
      <c r="K1354" s="40"/>
      <c r="N1354" s="11"/>
      <c r="O1354" s="11"/>
      <c r="P1354" s="11"/>
      <c r="Q1354" s="11"/>
      <c r="R1354" s="11"/>
      <c r="S1354" s="11"/>
      <c r="T1354" s="11"/>
      <c r="U1354" s="11"/>
      <c r="V1354" s="11"/>
      <c r="W1354" s="11"/>
      <c r="X1354" s="11"/>
      <c r="Y1354" s="11"/>
      <c r="Z1354" s="11"/>
      <c r="AA1354" s="11"/>
      <c r="AB1354" s="11"/>
      <c r="AC1354" s="11"/>
      <c r="AD1354" s="40"/>
      <c r="AE1354" s="11"/>
      <c r="AF1354" s="40"/>
      <c r="AI1354" s="11"/>
      <c r="AJ1354" s="11"/>
      <c r="AK1354" s="11"/>
      <c r="AL1354" s="11"/>
      <c r="AM1354" s="11"/>
      <c r="AN1354" s="11"/>
      <c r="AO1354" s="11"/>
      <c r="AY1354" s="11"/>
      <c r="BE1354" s="38"/>
      <c r="BF1354" s="38"/>
      <c r="BG1354" s="38"/>
      <c r="BH1354" s="11"/>
      <c r="BI1354" s="1"/>
      <c r="BJ1354" s="2"/>
      <c r="BK1354" s="1"/>
      <c r="BL1354" s="1"/>
      <c r="BM1354" s="7"/>
      <c r="BN1354" s="7"/>
      <c r="BO1354" s="1"/>
      <c r="BP1354" s="11"/>
      <c r="BQ1354" s="11"/>
    </row>
    <row r="1355" spans="1:69" x14ac:dyDescent="0.3">
      <c r="A1355" s="7"/>
      <c r="B1355" s="11"/>
      <c r="C1355" s="11"/>
      <c r="D1355" s="11"/>
      <c r="E1355" s="45"/>
      <c r="F1355" s="40"/>
      <c r="G1355" s="11"/>
      <c r="K1355" s="40"/>
      <c r="N1355" s="11"/>
      <c r="O1355" s="11"/>
      <c r="P1355" s="11"/>
      <c r="Q1355" s="11"/>
      <c r="R1355" s="11"/>
      <c r="S1355" s="11"/>
      <c r="T1355" s="11"/>
      <c r="U1355" s="11"/>
      <c r="V1355" s="11"/>
      <c r="W1355" s="11"/>
      <c r="X1355" s="11"/>
      <c r="Y1355" s="11"/>
      <c r="Z1355" s="11"/>
      <c r="AA1355" s="11"/>
      <c r="AB1355" s="11"/>
      <c r="AC1355" s="11"/>
      <c r="AD1355" s="40"/>
      <c r="AE1355" s="11"/>
      <c r="AF1355" s="40"/>
      <c r="AI1355" s="11"/>
      <c r="AJ1355" s="11"/>
      <c r="AK1355" s="11"/>
      <c r="AL1355" s="11"/>
      <c r="AM1355" s="11"/>
      <c r="AN1355" s="11"/>
      <c r="AO1355" s="11"/>
      <c r="AY1355" s="11"/>
      <c r="BE1355" s="38"/>
      <c r="BF1355" s="38"/>
      <c r="BG1355" s="38"/>
      <c r="BH1355" s="11"/>
      <c r="BI1355" s="1"/>
      <c r="BJ1355" s="2"/>
      <c r="BK1355" s="1"/>
      <c r="BL1355" s="1"/>
      <c r="BM1355" s="7"/>
      <c r="BN1355" s="7"/>
      <c r="BO1355" s="1"/>
      <c r="BP1355" s="11"/>
      <c r="BQ1355" s="11"/>
    </row>
    <row r="1356" spans="1:69" x14ac:dyDescent="0.3">
      <c r="A1356" s="7"/>
      <c r="B1356" s="11"/>
      <c r="C1356" s="11"/>
      <c r="D1356" s="11"/>
      <c r="E1356" s="45"/>
      <c r="F1356" s="40"/>
      <c r="G1356" s="11"/>
      <c r="K1356" s="40"/>
      <c r="N1356" s="11"/>
      <c r="O1356" s="11"/>
      <c r="P1356" s="11"/>
      <c r="Q1356" s="11"/>
      <c r="R1356" s="11"/>
      <c r="S1356" s="11"/>
      <c r="T1356" s="11"/>
      <c r="U1356" s="11"/>
      <c r="V1356" s="11"/>
      <c r="W1356" s="11"/>
      <c r="X1356" s="11"/>
      <c r="Y1356" s="11"/>
      <c r="Z1356" s="11"/>
      <c r="AA1356" s="11"/>
      <c r="AB1356" s="11"/>
      <c r="AC1356" s="11"/>
      <c r="AD1356" s="40"/>
      <c r="AE1356" s="11"/>
      <c r="AF1356" s="40"/>
      <c r="AI1356" s="11"/>
      <c r="AJ1356" s="11"/>
      <c r="AK1356" s="11"/>
      <c r="AL1356" s="11"/>
      <c r="AM1356" s="11"/>
      <c r="AN1356" s="11"/>
      <c r="AO1356" s="11"/>
      <c r="AY1356" s="11"/>
      <c r="BE1356" s="38"/>
      <c r="BF1356" s="38"/>
      <c r="BG1356" s="38"/>
      <c r="BH1356" s="11"/>
      <c r="BI1356" s="1"/>
      <c r="BJ1356" s="2"/>
      <c r="BK1356" s="1"/>
      <c r="BL1356" s="1"/>
      <c r="BM1356" s="7"/>
      <c r="BN1356" s="7"/>
      <c r="BO1356" s="1"/>
      <c r="BP1356" s="11"/>
      <c r="BQ1356" s="11"/>
    </row>
    <row r="1357" spans="1:69" x14ac:dyDescent="0.3">
      <c r="A1357" s="7"/>
      <c r="B1357" s="11"/>
      <c r="C1357" s="11"/>
      <c r="D1357" s="11"/>
      <c r="E1357" s="45"/>
      <c r="F1357" s="40"/>
      <c r="G1357" s="11"/>
      <c r="K1357" s="40"/>
      <c r="N1357" s="11"/>
      <c r="O1357" s="11"/>
      <c r="P1357" s="11"/>
      <c r="Q1357" s="11"/>
      <c r="R1357" s="11"/>
      <c r="S1357" s="11"/>
      <c r="T1357" s="11"/>
      <c r="U1357" s="11"/>
      <c r="V1357" s="11"/>
      <c r="W1357" s="11"/>
      <c r="X1357" s="11"/>
      <c r="Y1357" s="11"/>
      <c r="Z1357" s="11"/>
      <c r="AA1357" s="11"/>
      <c r="AB1357" s="11"/>
      <c r="AC1357" s="11"/>
      <c r="AD1357" s="40"/>
      <c r="AE1357" s="11"/>
      <c r="AF1357" s="40"/>
      <c r="AI1357" s="11"/>
      <c r="AJ1357" s="11"/>
      <c r="AK1357" s="11"/>
      <c r="AL1357" s="11"/>
      <c r="AM1357" s="11"/>
      <c r="AN1357" s="11"/>
      <c r="AO1357" s="11"/>
      <c r="AY1357" s="11"/>
      <c r="BE1357" s="38"/>
      <c r="BF1357" s="38"/>
      <c r="BG1357" s="38"/>
      <c r="BH1357" s="11"/>
      <c r="BI1357" s="1"/>
      <c r="BJ1357" s="2"/>
      <c r="BK1357" s="1"/>
      <c r="BL1357" s="1"/>
      <c r="BM1357" s="7"/>
      <c r="BN1357" s="7"/>
      <c r="BO1357" s="1"/>
      <c r="BP1357" s="11"/>
      <c r="BQ1357" s="11"/>
    </row>
    <row r="1358" spans="1:69" x14ac:dyDescent="0.3">
      <c r="A1358" s="7"/>
      <c r="B1358" s="11"/>
      <c r="C1358" s="11"/>
      <c r="D1358" s="11"/>
      <c r="E1358" s="45"/>
      <c r="F1358" s="40"/>
      <c r="G1358" s="11"/>
      <c r="K1358" s="40"/>
      <c r="N1358" s="11"/>
      <c r="O1358" s="11"/>
      <c r="P1358" s="11"/>
      <c r="Q1358" s="11"/>
      <c r="R1358" s="11"/>
      <c r="S1358" s="11"/>
      <c r="T1358" s="11"/>
      <c r="U1358" s="11"/>
      <c r="V1358" s="11"/>
      <c r="W1358" s="11"/>
      <c r="X1358" s="11"/>
      <c r="Y1358" s="11"/>
      <c r="Z1358" s="11"/>
      <c r="AA1358" s="11"/>
      <c r="AB1358" s="11"/>
      <c r="AC1358" s="11"/>
      <c r="AD1358" s="40"/>
      <c r="AE1358" s="11"/>
      <c r="AF1358" s="40"/>
      <c r="AI1358" s="11"/>
      <c r="AJ1358" s="11"/>
      <c r="AK1358" s="11"/>
      <c r="AL1358" s="11"/>
      <c r="AM1358" s="11"/>
      <c r="AN1358" s="11"/>
      <c r="AO1358" s="11"/>
      <c r="AY1358" s="11"/>
      <c r="BE1358" s="38"/>
      <c r="BF1358" s="38"/>
      <c r="BG1358" s="38"/>
      <c r="BH1358" s="11"/>
      <c r="BI1358" s="1"/>
      <c r="BJ1358" s="2"/>
      <c r="BK1358" s="1"/>
      <c r="BL1358" s="1"/>
      <c r="BM1358" s="7"/>
      <c r="BN1358" s="7"/>
      <c r="BO1358" s="1"/>
      <c r="BP1358" s="11"/>
      <c r="BQ1358" s="11"/>
    </row>
    <row r="1359" spans="1:69" x14ac:dyDescent="0.3">
      <c r="A1359" s="7"/>
      <c r="B1359" s="11"/>
      <c r="C1359" s="11"/>
      <c r="D1359" s="11"/>
      <c r="E1359" s="45"/>
      <c r="F1359" s="40"/>
      <c r="G1359" s="11"/>
      <c r="K1359" s="40"/>
      <c r="N1359" s="11"/>
      <c r="O1359" s="11"/>
      <c r="P1359" s="11"/>
      <c r="Q1359" s="11"/>
      <c r="R1359" s="11"/>
      <c r="S1359" s="11"/>
      <c r="T1359" s="11"/>
      <c r="U1359" s="11"/>
      <c r="V1359" s="11"/>
      <c r="W1359" s="11"/>
      <c r="X1359" s="11"/>
      <c r="Y1359" s="11"/>
      <c r="Z1359" s="11"/>
      <c r="AA1359" s="11"/>
      <c r="AB1359" s="11"/>
      <c r="AC1359" s="11"/>
      <c r="AD1359" s="40"/>
      <c r="AE1359" s="11"/>
      <c r="AF1359" s="40"/>
      <c r="AI1359" s="11"/>
      <c r="AJ1359" s="11"/>
      <c r="AK1359" s="11"/>
      <c r="AL1359" s="11"/>
      <c r="AM1359" s="11"/>
      <c r="AN1359" s="11"/>
      <c r="AO1359" s="11"/>
      <c r="AY1359" s="11"/>
      <c r="BE1359" s="38"/>
      <c r="BF1359" s="38"/>
      <c r="BG1359" s="38"/>
      <c r="BH1359" s="11"/>
      <c r="BI1359" s="1"/>
      <c r="BJ1359" s="2"/>
      <c r="BK1359" s="1"/>
      <c r="BL1359" s="1"/>
      <c r="BM1359" s="7"/>
      <c r="BN1359" s="7"/>
      <c r="BO1359" s="1"/>
      <c r="BP1359" s="11"/>
      <c r="BQ1359" s="11"/>
    </row>
    <row r="1360" spans="1:69" x14ac:dyDescent="0.3">
      <c r="A1360" s="7"/>
      <c r="B1360" s="11"/>
      <c r="C1360" s="11"/>
      <c r="D1360" s="11"/>
      <c r="E1360" s="45"/>
      <c r="F1360" s="40"/>
      <c r="G1360" s="11"/>
      <c r="K1360" s="40"/>
      <c r="N1360" s="11"/>
      <c r="O1360" s="11"/>
      <c r="P1360" s="11"/>
      <c r="Q1360" s="11"/>
      <c r="R1360" s="11"/>
      <c r="S1360" s="11"/>
      <c r="T1360" s="11"/>
      <c r="U1360" s="11"/>
      <c r="V1360" s="11"/>
      <c r="W1360" s="11"/>
      <c r="X1360" s="11"/>
      <c r="Y1360" s="11"/>
      <c r="Z1360" s="11"/>
      <c r="AA1360" s="11"/>
      <c r="AB1360" s="11"/>
      <c r="AC1360" s="11"/>
      <c r="AD1360" s="40"/>
      <c r="AE1360" s="11"/>
      <c r="AF1360" s="40"/>
      <c r="AI1360" s="11"/>
      <c r="AJ1360" s="11"/>
      <c r="AK1360" s="11"/>
      <c r="AL1360" s="11"/>
      <c r="AM1360" s="11"/>
      <c r="AN1360" s="11"/>
      <c r="AO1360" s="11"/>
      <c r="AY1360" s="11"/>
      <c r="BE1360" s="38"/>
      <c r="BF1360" s="38"/>
      <c r="BG1360" s="38"/>
      <c r="BH1360" s="11"/>
      <c r="BI1360" s="1"/>
      <c r="BJ1360" s="2"/>
      <c r="BK1360" s="1"/>
      <c r="BL1360" s="1"/>
      <c r="BM1360" s="7"/>
      <c r="BN1360" s="7"/>
      <c r="BO1360" s="1"/>
      <c r="BP1360" s="11"/>
      <c r="BQ1360" s="11"/>
    </row>
    <row r="1361" spans="1:69" x14ac:dyDescent="0.3">
      <c r="A1361" s="7"/>
      <c r="B1361" s="11"/>
      <c r="C1361" s="11"/>
      <c r="D1361" s="11"/>
      <c r="E1361" s="45"/>
      <c r="F1361" s="40"/>
      <c r="G1361" s="11"/>
      <c r="K1361" s="40"/>
      <c r="N1361" s="11"/>
      <c r="O1361" s="11"/>
      <c r="P1361" s="11"/>
      <c r="Q1361" s="11"/>
      <c r="R1361" s="11"/>
      <c r="S1361" s="11"/>
      <c r="T1361" s="11"/>
      <c r="U1361" s="11"/>
      <c r="V1361" s="11"/>
      <c r="W1361" s="11"/>
      <c r="X1361" s="11"/>
      <c r="Y1361" s="11"/>
      <c r="Z1361" s="11"/>
      <c r="AA1361" s="11"/>
      <c r="AB1361" s="11"/>
      <c r="AC1361" s="11"/>
      <c r="AD1361" s="40"/>
      <c r="AE1361" s="11"/>
      <c r="AF1361" s="40"/>
      <c r="AI1361" s="11"/>
      <c r="AJ1361" s="11"/>
      <c r="AK1361" s="11"/>
      <c r="AL1361" s="11"/>
      <c r="AM1361" s="11"/>
      <c r="AN1361" s="11"/>
      <c r="AO1361" s="11"/>
      <c r="AY1361" s="11"/>
      <c r="BE1361" s="38"/>
      <c r="BF1361" s="38"/>
      <c r="BG1361" s="38"/>
      <c r="BH1361" s="11"/>
      <c r="BI1361" s="1"/>
      <c r="BJ1361" s="2"/>
      <c r="BK1361" s="1"/>
      <c r="BL1361" s="1"/>
      <c r="BM1361" s="7"/>
      <c r="BN1361" s="7"/>
      <c r="BO1361" s="1"/>
      <c r="BP1361" s="11"/>
      <c r="BQ1361" s="11"/>
    </row>
    <row r="1362" spans="1:69" x14ac:dyDescent="0.3">
      <c r="A1362" s="7"/>
      <c r="B1362" s="11"/>
      <c r="C1362" s="11"/>
      <c r="D1362" s="11"/>
      <c r="E1362" s="45"/>
      <c r="F1362" s="40"/>
      <c r="G1362" s="11"/>
      <c r="K1362" s="40"/>
      <c r="N1362" s="11"/>
      <c r="O1362" s="11"/>
      <c r="P1362" s="11"/>
      <c r="Q1362" s="11"/>
      <c r="R1362" s="11"/>
      <c r="S1362" s="11"/>
      <c r="T1362" s="11"/>
      <c r="U1362" s="11"/>
      <c r="V1362" s="11"/>
      <c r="W1362" s="11"/>
      <c r="X1362" s="11"/>
      <c r="Y1362" s="11"/>
      <c r="Z1362" s="11"/>
      <c r="AA1362" s="11"/>
      <c r="AB1362" s="11"/>
      <c r="AC1362" s="11"/>
      <c r="AD1362" s="40"/>
      <c r="AE1362" s="11"/>
      <c r="AF1362" s="40"/>
      <c r="AI1362" s="11"/>
      <c r="AJ1362" s="11"/>
      <c r="AK1362" s="11"/>
      <c r="AL1362" s="11"/>
      <c r="AM1362" s="11"/>
      <c r="AN1362" s="11"/>
      <c r="AO1362" s="11"/>
      <c r="AY1362" s="11"/>
      <c r="BE1362" s="38"/>
      <c r="BF1362" s="38"/>
      <c r="BG1362" s="38"/>
      <c r="BH1362" s="11"/>
      <c r="BI1362" s="1"/>
      <c r="BJ1362" s="2"/>
      <c r="BK1362" s="1"/>
      <c r="BL1362" s="1"/>
      <c r="BM1362" s="7"/>
      <c r="BN1362" s="7"/>
      <c r="BO1362" s="1"/>
      <c r="BP1362" s="11"/>
      <c r="BQ1362" s="11"/>
    </row>
    <row r="1363" spans="1:69" x14ac:dyDescent="0.3">
      <c r="A1363" s="7"/>
      <c r="B1363" s="11"/>
      <c r="C1363" s="11"/>
      <c r="D1363" s="11"/>
      <c r="E1363" s="45"/>
      <c r="F1363" s="40"/>
      <c r="G1363" s="11"/>
      <c r="K1363" s="40"/>
      <c r="N1363" s="11"/>
      <c r="O1363" s="11"/>
      <c r="P1363" s="11"/>
      <c r="Q1363" s="11"/>
      <c r="R1363" s="11"/>
      <c r="S1363" s="11"/>
      <c r="T1363" s="11"/>
      <c r="U1363" s="11"/>
      <c r="V1363" s="11"/>
      <c r="W1363" s="11"/>
      <c r="X1363" s="11"/>
      <c r="Y1363" s="11"/>
      <c r="Z1363" s="11"/>
      <c r="AA1363" s="11"/>
      <c r="AB1363" s="11"/>
      <c r="AC1363" s="11"/>
      <c r="AD1363" s="40"/>
      <c r="AE1363" s="11"/>
      <c r="AF1363" s="40"/>
      <c r="AI1363" s="11"/>
      <c r="AJ1363" s="11"/>
      <c r="AK1363" s="11"/>
      <c r="AL1363" s="11"/>
      <c r="AM1363" s="11"/>
      <c r="AN1363" s="11"/>
      <c r="AO1363" s="11"/>
      <c r="AY1363" s="11"/>
      <c r="BE1363" s="38"/>
      <c r="BF1363" s="38"/>
      <c r="BG1363" s="38"/>
      <c r="BH1363" s="11"/>
      <c r="BI1363" s="1"/>
      <c r="BJ1363" s="2"/>
      <c r="BK1363" s="1"/>
      <c r="BL1363" s="1"/>
      <c r="BM1363" s="7"/>
      <c r="BN1363" s="7"/>
      <c r="BO1363" s="1"/>
      <c r="BP1363" s="11"/>
      <c r="BQ1363" s="11"/>
    </row>
    <row r="1364" spans="1:69" x14ac:dyDescent="0.3">
      <c r="A1364" s="7"/>
      <c r="B1364" s="11"/>
      <c r="C1364" s="11"/>
      <c r="D1364" s="11"/>
      <c r="E1364" s="45"/>
      <c r="F1364" s="40"/>
      <c r="G1364" s="11"/>
      <c r="K1364" s="40"/>
      <c r="N1364" s="11"/>
      <c r="O1364" s="11"/>
      <c r="P1364" s="11"/>
      <c r="Q1364" s="11"/>
      <c r="R1364" s="11"/>
      <c r="S1364" s="11"/>
      <c r="T1364" s="11"/>
      <c r="U1364" s="11"/>
      <c r="V1364" s="11"/>
      <c r="W1364" s="11"/>
      <c r="X1364" s="11"/>
      <c r="Y1364" s="11"/>
      <c r="Z1364" s="11"/>
      <c r="AA1364" s="11"/>
      <c r="AB1364" s="11"/>
      <c r="AC1364" s="11"/>
      <c r="AD1364" s="40"/>
      <c r="AE1364" s="11"/>
      <c r="AF1364" s="40"/>
      <c r="AI1364" s="11"/>
      <c r="AJ1364" s="11"/>
      <c r="AK1364" s="11"/>
      <c r="AL1364" s="11"/>
      <c r="AM1364" s="11"/>
      <c r="AN1364" s="11"/>
      <c r="AO1364" s="11"/>
      <c r="AY1364" s="11"/>
      <c r="BE1364" s="38"/>
      <c r="BF1364" s="38"/>
      <c r="BG1364" s="38"/>
      <c r="BH1364" s="11"/>
      <c r="BI1364" s="1"/>
      <c r="BJ1364" s="2"/>
      <c r="BK1364" s="1"/>
      <c r="BL1364" s="1"/>
      <c r="BM1364" s="7"/>
      <c r="BN1364" s="7"/>
      <c r="BO1364" s="1"/>
      <c r="BP1364" s="11"/>
      <c r="BQ1364" s="11"/>
    </row>
    <row r="1365" spans="1:69" x14ac:dyDescent="0.3">
      <c r="A1365" s="7"/>
      <c r="B1365" s="11"/>
      <c r="C1365" s="11"/>
      <c r="D1365" s="11"/>
      <c r="E1365" s="45"/>
      <c r="F1365" s="40"/>
      <c r="G1365" s="11"/>
      <c r="K1365" s="40"/>
      <c r="N1365" s="11"/>
      <c r="O1365" s="11"/>
      <c r="P1365" s="11"/>
      <c r="Q1365" s="11"/>
      <c r="R1365" s="11"/>
      <c r="S1365" s="11"/>
      <c r="T1365" s="11"/>
      <c r="U1365" s="11"/>
      <c r="V1365" s="11"/>
      <c r="W1365" s="11"/>
      <c r="X1365" s="11"/>
      <c r="Y1365" s="11"/>
      <c r="Z1365" s="11"/>
      <c r="AA1365" s="11"/>
      <c r="AB1365" s="11"/>
      <c r="AC1365" s="11"/>
      <c r="AD1365" s="40"/>
      <c r="AE1365" s="11"/>
      <c r="AF1365" s="40"/>
      <c r="AI1365" s="11"/>
      <c r="AJ1365" s="11"/>
      <c r="AK1365" s="11"/>
      <c r="AL1365" s="11"/>
      <c r="AM1365" s="11"/>
      <c r="AN1365" s="11"/>
      <c r="AO1365" s="11"/>
      <c r="AY1365" s="11"/>
      <c r="BE1365" s="38"/>
      <c r="BF1365" s="38"/>
      <c r="BG1365" s="38"/>
      <c r="BH1365" s="11"/>
      <c r="BI1365" s="1"/>
      <c r="BJ1365" s="2"/>
      <c r="BK1365" s="1"/>
      <c r="BL1365" s="1"/>
      <c r="BM1365" s="7"/>
      <c r="BN1365" s="7"/>
      <c r="BO1365" s="1"/>
      <c r="BP1365" s="11"/>
      <c r="BQ1365" s="11"/>
    </row>
    <row r="1366" spans="1:69" x14ac:dyDescent="0.3">
      <c r="A1366" s="7"/>
      <c r="B1366" s="11"/>
      <c r="C1366" s="11"/>
      <c r="D1366" s="11"/>
      <c r="E1366" s="45"/>
      <c r="F1366" s="40"/>
      <c r="G1366" s="11"/>
      <c r="K1366" s="40"/>
      <c r="N1366" s="11"/>
      <c r="O1366" s="11"/>
      <c r="P1366" s="11"/>
      <c r="Q1366" s="11"/>
      <c r="R1366" s="11"/>
      <c r="S1366" s="11"/>
      <c r="T1366" s="11"/>
      <c r="U1366" s="11"/>
      <c r="V1366" s="11"/>
      <c r="W1366" s="11"/>
      <c r="X1366" s="11"/>
      <c r="Y1366" s="11"/>
      <c r="Z1366" s="11"/>
      <c r="AA1366" s="11"/>
      <c r="AB1366" s="11"/>
      <c r="AC1366" s="11"/>
      <c r="AD1366" s="40"/>
      <c r="AE1366" s="11"/>
      <c r="AF1366" s="40"/>
      <c r="AI1366" s="11"/>
      <c r="AJ1366" s="11"/>
      <c r="AK1366" s="11"/>
      <c r="AL1366" s="11"/>
      <c r="AM1366" s="11"/>
      <c r="AN1366" s="11"/>
      <c r="AO1366" s="11"/>
      <c r="AY1366" s="11"/>
      <c r="BE1366" s="38"/>
      <c r="BF1366" s="38"/>
      <c r="BG1366" s="38"/>
      <c r="BH1366" s="11"/>
      <c r="BI1366" s="1"/>
      <c r="BJ1366" s="2"/>
      <c r="BK1366" s="1"/>
      <c r="BL1366" s="1"/>
      <c r="BM1366" s="7"/>
      <c r="BN1366" s="7"/>
      <c r="BO1366" s="1"/>
      <c r="BP1366" s="11"/>
      <c r="BQ1366" s="11"/>
    </row>
    <row r="1367" spans="1:69" x14ac:dyDescent="0.3">
      <c r="A1367" s="7"/>
      <c r="B1367" s="11"/>
      <c r="C1367" s="11"/>
      <c r="D1367" s="11"/>
      <c r="E1367" s="45"/>
      <c r="F1367" s="40"/>
      <c r="G1367" s="11"/>
      <c r="K1367" s="40"/>
      <c r="N1367" s="11"/>
      <c r="O1367" s="11"/>
      <c r="P1367" s="11"/>
      <c r="Q1367" s="11"/>
      <c r="R1367" s="11"/>
      <c r="S1367" s="11"/>
      <c r="T1367" s="11"/>
      <c r="U1367" s="11"/>
      <c r="V1367" s="11"/>
      <c r="W1367" s="11"/>
      <c r="X1367" s="11"/>
      <c r="Y1367" s="11"/>
      <c r="Z1367" s="11"/>
      <c r="AA1367" s="11"/>
      <c r="AB1367" s="11"/>
      <c r="AC1367" s="11"/>
      <c r="AD1367" s="40"/>
      <c r="AE1367" s="11"/>
      <c r="AF1367" s="40"/>
      <c r="AI1367" s="11"/>
      <c r="AJ1367" s="11"/>
      <c r="AK1367" s="11"/>
      <c r="AL1367" s="11"/>
      <c r="AM1367" s="11"/>
      <c r="AN1367" s="11"/>
      <c r="AO1367" s="11"/>
      <c r="AY1367" s="11"/>
      <c r="BE1367" s="38"/>
      <c r="BF1367" s="38"/>
      <c r="BG1367" s="38"/>
      <c r="BH1367" s="11"/>
      <c r="BI1367" s="1"/>
      <c r="BJ1367" s="2"/>
      <c r="BK1367" s="1"/>
      <c r="BL1367" s="1"/>
      <c r="BM1367" s="7"/>
      <c r="BN1367" s="7"/>
      <c r="BO1367" s="1"/>
      <c r="BP1367" s="11"/>
      <c r="BQ1367" s="11"/>
    </row>
    <row r="1368" spans="1:69" x14ac:dyDescent="0.3">
      <c r="A1368" s="7"/>
      <c r="B1368" s="11"/>
      <c r="C1368" s="11"/>
      <c r="D1368" s="11"/>
      <c r="E1368" s="45"/>
      <c r="F1368" s="40"/>
      <c r="G1368" s="11"/>
      <c r="K1368" s="40"/>
      <c r="N1368" s="11"/>
      <c r="O1368" s="11"/>
      <c r="P1368" s="11"/>
      <c r="Q1368" s="11"/>
      <c r="R1368" s="11"/>
      <c r="S1368" s="11"/>
      <c r="T1368" s="11"/>
      <c r="U1368" s="11"/>
      <c r="V1368" s="11"/>
      <c r="W1368" s="11"/>
      <c r="X1368" s="11"/>
      <c r="Y1368" s="11"/>
      <c r="Z1368" s="11"/>
      <c r="AA1368" s="11"/>
      <c r="AB1368" s="11"/>
      <c r="AC1368" s="11"/>
      <c r="AD1368" s="40"/>
      <c r="AE1368" s="11"/>
      <c r="AF1368" s="40"/>
      <c r="AI1368" s="11"/>
      <c r="AJ1368" s="11"/>
      <c r="AK1368" s="11"/>
      <c r="AL1368" s="11"/>
      <c r="AM1368" s="11"/>
      <c r="AN1368" s="11"/>
      <c r="AO1368" s="11"/>
      <c r="AY1368" s="11"/>
      <c r="BE1368" s="38"/>
      <c r="BF1368" s="38"/>
      <c r="BG1368" s="38"/>
      <c r="BH1368" s="11"/>
      <c r="BI1368" s="1"/>
      <c r="BJ1368" s="2"/>
      <c r="BK1368" s="1"/>
      <c r="BL1368" s="1"/>
      <c r="BM1368" s="7"/>
      <c r="BN1368" s="7"/>
      <c r="BO1368" s="1"/>
      <c r="BP1368" s="11"/>
      <c r="BQ1368" s="11"/>
    </row>
    <row r="1369" spans="1:69" x14ac:dyDescent="0.3">
      <c r="A1369" s="7"/>
      <c r="B1369" s="11"/>
      <c r="C1369" s="11"/>
      <c r="D1369" s="11"/>
      <c r="E1369" s="45"/>
      <c r="F1369" s="40"/>
      <c r="G1369" s="11"/>
      <c r="K1369" s="40"/>
      <c r="N1369" s="11"/>
      <c r="O1369" s="11"/>
      <c r="P1369" s="11"/>
      <c r="Q1369" s="11"/>
      <c r="R1369" s="11"/>
      <c r="S1369" s="11"/>
      <c r="T1369" s="11"/>
      <c r="U1369" s="11"/>
      <c r="V1369" s="11"/>
      <c r="W1369" s="11"/>
      <c r="X1369" s="11"/>
      <c r="Y1369" s="11"/>
      <c r="Z1369" s="11"/>
      <c r="AA1369" s="11"/>
      <c r="AB1369" s="11"/>
      <c r="AC1369" s="11"/>
      <c r="AD1369" s="40"/>
      <c r="AE1369" s="11"/>
      <c r="AF1369" s="40"/>
      <c r="AI1369" s="11"/>
      <c r="AJ1369" s="11"/>
      <c r="AK1369" s="11"/>
      <c r="AL1369" s="11"/>
      <c r="AM1369" s="11"/>
      <c r="AN1369" s="11"/>
      <c r="AO1369" s="11"/>
      <c r="AY1369" s="11"/>
      <c r="BE1369" s="38"/>
      <c r="BF1369" s="38"/>
      <c r="BG1369" s="38"/>
      <c r="BH1369" s="11"/>
      <c r="BI1369" s="1"/>
      <c r="BJ1369" s="2"/>
      <c r="BK1369" s="1"/>
      <c r="BL1369" s="1"/>
      <c r="BM1369" s="7"/>
      <c r="BN1369" s="7"/>
      <c r="BO1369" s="1"/>
      <c r="BP1369" s="11"/>
      <c r="BQ1369" s="11"/>
    </row>
    <row r="1370" spans="1:69" x14ac:dyDescent="0.3">
      <c r="A1370" s="7"/>
      <c r="B1370" s="11"/>
      <c r="C1370" s="11"/>
      <c r="D1370" s="11"/>
      <c r="E1370" s="45"/>
      <c r="F1370" s="40"/>
      <c r="G1370" s="11"/>
      <c r="K1370" s="40"/>
      <c r="N1370" s="11"/>
      <c r="O1370" s="11"/>
      <c r="P1370" s="11"/>
      <c r="Q1370" s="11"/>
      <c r="R1370" s="11"/>
      <c r="S1370" s="11"/>
      <c r="T1370" s="11"/>
      <c r="U1370" s="11"/>
      <c r="V1370" s="11"/>
      <c r="W1370" s="11"/>
      <c r="X1370" s="11"/>
      <c r="Y1370" s="11"/>
      <c r="Z1370" s="11"/>
      <c r="AA1370" s="11"/>
      <c r="AB1370" s="11"/>
      <c r="AC1370" s="11"/>
      <c r="AD1370" s="40"/>
      <c r="AE1370" s="11"/>
      <c r="AF1370" s="40"/>
      <c r="AI1370" s="11"/>
      <c r="AJ1370" s="11"/>
      <c r="AK1370" s="11"/>
      <c r="AL1370" s="11"/>
      <c r="AM1370" s="11"/>
      <c r="AN1370" s="11"/>
      <c r="AO1370" s="11"/>
      <c r="AY1370" s="11"/>
      <c r="BE1370" s="38"/>
      <c r="BF1370" s="38"/>
      <c r="BG1370" s="38"/>
      <c r="BH1370" s="11"/>
      <c r="BI1370" s="1"/>
      <c r="BJ1370" s="2"/>
      <c r="BK1370" s="1"/>
      <c r="BL1370" s="1"/>
      <c r="BM1370" s="7"/>
      <c r="BN1370" s="7"/>
      <c r="BO1370" s="1"/>
      <c r="BP1370" s="11"/>
      <c r="BQ1370" s="11"/>
    </row>
    <row r="1371" spans="1:69" x14ac:dyDescent="0.3">
      <c r="A1371" s="7"/>
      <c r="B1371" s="11"/>
      <c r="C1371" s="11"/>
      <c r="D1371" s="11"/>
      <c r="E1371" s="45"/>
      <c r="F1371" s="40"/>
      <c r="G1371" s="11"/>
      <c r="K1371" s="40"/>
      <c r="N1371" s="11"/>
      <c r="O1371" s="11"/>
      <c r="P1371" s="11"/>
      <c r="Q1371" s="11"/>
      <c r="R1371" s="11"/>
      <c r="S1371" s="11"/>
      <c r="T1371" s="11"/>
      <c r="U1371" s="11"/>
      <c r="V1371" s="11"/>
      <c r="W1371" s="11"/>
      <c r="X1371" s="11"/>
      <c r="Y1371" s="11"/>
      <c r="Z1371" s="11"/>
      <c r="AA1371" s="11"/>
      <c r="AB1371" s="11"/>
      <c r="AC1371" s="11"/>
      <c r="AD1371" s="40"/>
      <c r="AE1371" s="11"/>
      <c r="AF1371" s="40"/>
      <c r="AI1371" s="11"/>
      <c r="AJ1371" s="11"/>
      <c r="AK1371" s="11"/>
      <c r="AL1371" s="11"/>
      <c r="AM1371" s="11"/>
      <c r="AN1371" s="11"/>
      <c r="AO1371" s="11"/>
      <c r="AY1371" s="11"/>
      <c r="BE1371" s="38"/>
      <c r="BF1371" s="38"/>
      <c r="BG1371" s="38"/>
      <c r="BH1371" s="11"/>
      <c r="BI1371" s="1"/>
      <c r="BJ1371" s="2"/>
      <c r="BK1371" s="1"/>
      <c r="BL1371" s="1"/>
      <c r="BM1371" s="7"/>
      <c r="BN1371" s="7"/>
      <c r="BO1371" s="1"/>
      <c r="BP1371" s="11"/>
      <c r="BQ1371" s="11"/>
    </row>
    <row r="1372" spans="1:69" x14ac:dyDescent="0.3">
      <c r="A1372" s="7"/>
      <c r="B1372" s="11"/>
      <c r="C1372" s="11"/>
      <c r="D1372" s="11"/>
      <c r="E1372" s="45"/>
      <c r="F1372" s="40"/>
      <c r="G1372" s="11"/>
      <c r="K1372" s="40"/>
      <c r="N1372" s="11"/>
      <c r="O1372" s="11"/>
      <c r="P1372" s="11"/>
      <c r="Q1372" s="11"/>
      <c r="R1372" s="11"/>
      <c r="S1372" s="11"/>
      <c r="T1372" s="11"/>
      <c r="U1372" s="11"/>
      <c r="V1372" s="11"/>
      <c r="W1372" s="11"/>
      <c r="X1372" s="11"/>
      <c r="Y1372" s="11"/>
      <c r="Z1372" s="11"/>
      <c r="AA1372" s="11"/>
      <c r="AB1372" s="11"/>
      <c r="AC1372" s="11"/>
      <c r="AD1372" s="40"/>
      <c r="AE1372" s="11"/>
      <c r="AF1372" s="40"/>
      <c r="AI1372" s="11"/>
      <c r="AJ1372" s="11"/>
      <c r="AK1372" s="11"/>
      <c r="AL1372" s="11"/>
      <c r="AM1372" s="11"/>
      <c r="AN1372" s="11"/>
      <c r="AO1372" s="11"/>
      <c r="AY1372" s="11"/>
      <c r="BE1372" s="38"/>
      <c r="BF1372" s="38"/>
      <c r="BG1372" s="38"/>
      <c r="BH1372" s="11"/>
      <c r="BI1372" s="1"/>
      <c r="BJ1372" s="2"/>
      <c r="BK1372" s="1"/>
      <c r="BL1372" s="1"/>
      <c r="BM1372" s="7"/>
      <c r="BN1372" s="7"/>
      <c r="BO1372" s="1"/>
      <c r="BP1372" s="11"/>
      <c r="BQ1372" s="11"/>
    </row>
    <row r="1373" spans="1:69" x14ac:dyDescent="0.3">
      <c r="A1373" s="7"/>
      <c r="B1373" s="11"/>
      <c r="C1373" s="11"/>
      <c r="D1373" s="11"/>
      <c r="E1373" s="45"/>
      <c r="F1373" s="40"/>
      <c r="G1373" s="11"/>
      <c r="K1373" s="40"/>
      <c r="N1373" s="11"/>
      <c r="O1373" s="11"/>
      <c r="P1373" s="11"/>
      <c r="Q1373" s="11"/>
      <c r="R1373" s="11"/>
      <c r="S1373" s="11"/>
      <c r="T1373" s="11"/>
      <c r="U1373" s="11"/>
      <c r="V1373" s="11"/>
      <c r="W1373" s="11"/>
      <c r="X1373" s="11"/>
      <c r="Y1373" s="11"/>
      <c r="Z1373" s="11"/>
      <c r="AA1373" s="11"/>
      <c r="AB1373" s="11"/>
      <c r="AC1373" s="11"/>
      <c r="AD1373" s="40"/>
      <c r="AE1373" s="11"/>
      <c r="AF1373" s="40"/>
      <c r="AI1373" s="11"/>
      <c r="AJ1373" s="11"/>
      <c r="AK1373" s="11"/>
      <c r="AL1373" s="11"/>
      <c r="AM1373" s="11"/>
      <c r="AN1373" s="11"/>
      <c r="AO1373" s="11"/>
      <c r="AY1373" s="11"/>
      <c r="BE1373" s="38"/>
      <c r="BF1373" s="38"/>
      <c r="BG1373" s="38"/>
      <c r="BH1373" s="11"/>
      <c r="BI1373" s="1"/>
      <c r="BJ1373" s="2"/>
      <c r="BK1373" s="1"/>
      <c r="BL1373" s="1"/>
      <c r="BM1373" s="7"/>
      <c r="BN1373" s="7"/>
      <c r="BO1373" s="1"/>
      <c r="BP1373" s="11"/>
      <c r="BQ1373" s="11"/>
    </row>
    <row r="1374" spans="1:69" x14ac:dyDescent="0.3">
      <c r="A1374" s="7"/>
      <c r="B1374" s="11"/>
      <c r="C1374" s="11"/>
      <c r="D1374" s="11"/>
      <c r="E1374" s="45"/>
      <c r="F1374" s="40"/>
      <c r="G1374" s="11"/>
      <c r="K1374" s="40"/>
      <c r="N1374" s="11"/>
      <c r="O1374" s="11"/>
      <c r="P1374" s="11"/>
      <c r="Q1374" s="11"/>
      <c r="R1374" s="11"/>
      <c r="S1374" s="11"/>
      <c r="T1374" s="11"/>
      <c r="U1374" s="11"/>
      <c r="V1374" s="11"/>
      <c r="W1374" s="11"/>
      <c r="X1374" s="11"/>
      <c r="Y1374" s="11"/>
      <c r="Z1374" s="11"/>
      <c r="AA1374" s="11"/>
      <c r="AB1374" s="11"/>
      <c r="AC1374" s="11"/>
      <c r="AD1374" s="40"/>
      <c r="AE1374" s="11"/>
      <c r="AF1374" s="40"/>
      <c r="AI1374" s="11"/>
      <c r="AJ1374" s="11"/>
      <c r="AK1374" s="11"/>
      <c r="AL1374" s="11"/>
      <c r="AM1374" s="11"/>
      <c r="AN1374" s="11"/>
      <c r="AO1374" s="11"/>
      <c r="AY1374" s="11"/>
      <c r="BE1374" s="38"/>
      <c r="BF1374" s="38"/>
      <c r="BG1374" s="38"/>
      <c r="BH1374" s="11"/>
      <c r="BI1374" s="1"/>
      <c r="BJ1374" s="2"/>
      <c r="BK1374" s="1"/>
      <c r="BL1374" s="1"/>
      <c r="BM1374" s="7"/>
      <c r="BN1374" s="7"/>
      <c r="BO1374" s="1"/>
      <c r="BP1374" s="11"/>
      <c r="BQ1374" s="11"/>
    </row>
    <row r="1375" spans="1:69" x14ac:dyDescent="0.3">
      <c r="A1375" s="7"/>
      <c r="B1375" s="11"/>
      <c r="C1375" s="11"/>
      <c r="D1375" s="11"/>
      <c r="E1375" s="45"/>
      <c r="F1375" s="40"/>
      <c r="G1375" s="11"/>
      <c r="K1375" s="40"/>
      <c r="N1375" s="11"/>
      <c r="O1375" s="11"/>
      <c r="P1375" s="11"/>
      <c r="Q1375" s="11"/>
      <c r="R1375" s="11"/>
      <c r="S1375" s="11"/>
      <c r="T1375" s="11"/>
      <c r="U1375" s="11"/>
      <c r="V1375" s="11"/>
      <c r="W1375" s="11"/>
      <c r="X1375" s="11"/>
      <c r="Y1375" s="11"/>
      <c r="Z1375" s="11"/>
      <c r="AA1375" s="11"/>
      <c r="AB1375" s="11"/>
      <c r="AC1375" s="11"/>
      <c r="AD1375" s="40"/>
      <c r="AE1375" s="11"/>
      <c r="AF1375" s="40"/>
      <c r="AI1375" s="11"/>
      <c r="AJ1375" s="11"/>
      <c r="AK1375" s="11"/>
      <c r="AL1375" s="11"/>
      <c r="AM1375" s="11"/>
      <c r="AN1375" s="11"/>
      <c r="AO1375" s="11"/>
      <c r="AY1375" s="11"/>
      <c r="BE1375" s="38"/>
      <c r="BF1375" s="38"/>
      <c r="BG1375" s="38"/>
      <c r="BH1375" s="11"/>
      <c r="BI1375" s="1"/>
      <c r="BJ1375" s="2"/>
      <c r="BK1375" s="1"/>
      <c r="BL1375" s="1"/>
      <c r="BM1375" s="7"/>
      <c r="BN1375" s="7"/>
      <c r="BO1375" s="1"/>
      <c r="BP1375" s="11"/>
      <c r="BQ1375" s="11"/>
    </row>
    <row r="1376" spans="1:69" x14ac:dyDescent="0.3">
      <c r="A1376" s="7"/>
      <c r="B1376" s="11"/>
      <c r="C1376" s="11"/>
      <c r="D1376" s="11"/>
      <c r="E1376" s="45"/>
      <c r="F1376" s="40"/>
      <c r="G1376" s="11"/>
      <c r="K1376" s="40"/>
      <c r="N1376" s="11"/>
      <c r="O1376" s="11"/>
      <c r="P1376" s="11"/>
      <c r="Q1376" s="11"/>
      <c r="R1376" s="11"/>
      <c r="S1376" s="11"/>
      <c r="T1376" s="11"/>
      <c r="U1376" s="11"/>
      <c r="V1376" s="11"/>
      <c r="W1376" s="11"/>
      <c r="X1376" s="11"/>
      <c r="Y1376" s="11"/>
      <c r="Z1376" s="11"/>
      <c r="AA1376" s="11"/>
      <c r="AB1376" s="11"/>
      <c r="AC1376" s="11"/>
      <c r="AD1376" s="40"/>
      <c r="AE1376" s="11"/>
      <c r="AF1376" s="40"/>
      <c r="AI1376" s="11"/>
      <c r="AJ1376" s="11"/>
      <c r="AK1376" s="11"/>
      <c r="AL1376" s="11"/>
      <c r="AM1376" s="11"/>
      <c r="AN1376" s="11"/>
      <c r="AO1376" s="11"/>
      <c r="AY1376" s="11"/>
      <c r="BE1376" s="38"/>
      <c r="BF1376" s="38"/>
      <c r="BG1376" s="38"/>
      <c r="BH1376" s="11"/>
      <c r="BI1376" s="1"/>
      <c r="BJ1376" s="2"/>
      <c r="BK1376" s="1"/>
      <c r="BL1376" s="1"/>
      <c r="BM1376" s="7"/>
      <c r="BN1376" s="7"/>
      <c r="BO1376" s="1"/>
      <c r="BP1376" s="11"/>
      <c r="BQ1376" s="11"/>
    </row>
    <row r="1377" spans="1:69" x14ac:dyDescent="0.3">
      <c r="A1377" s="7"/>
      <c r="B1377" s="11"/>
      <c r="C1377" s="11"/>
      <c r="D1377" s="11"/>
      <c r="E1377" s="45"/>
      <c r="F1377" s="40"/>
      <c r="G1377" s="11"/>
      <c r="K1377" s="40"/>
      <c r="N1377" s="11"/>
      <c r="O1377" s="11"/>
      <c r="P1377" s="11"/>
      <c r="Q1377" s="11"/>
      <c r="R1377" s="11"/>
      <c r="S1377" s="11"/>
      <c r="T1377" s="11"/>
      <c r="U1377" s="11"/>
      <c r="V1377" s="11"/>
      <c r="W1377" s="11"/>
      <c r="X1377" s="11"/>
      <c r="Y1377" s="11"/>
      <c r="Z1377" s="11"/>
      <c r="AA1377" s="11"/>
      <c r="AB1377" s="11"/>
      <c r="AC1377" s="11"/>
      <c r="AD1377" s="40"/>
      <c r="AE1377" s="11"/>
      <c r="AF1377" s="40"/>
      <c r="AI1377" s="11"/>
      <c r="AJ1377" s="11"/>
      <c r="AK1377" s="11"/>
      <c r="AL1377" s="11"/>
      <c r="AM1377" s="11"/>
      <c r="AN1377" s="11"/>
      <c r="AO1377" s="11"/>
      <c r="AY1377" s="11"/>
      <c r="BE1377" s="38"/>
      <c r="BF1377" s="38"/>
      <c r="BG1377" s="38"/>
      <c r="BH1377" s="11"/>
      <c r="BI1377" s="1"/>
      <c r="BJ1377" s="2"/>
      <c r="BK1377" s="1"/>
      <c r="BL1377" s="1"/>
      <c r="BM1377" s="7"/>
      <c r="BN1377" s="7"/>
      <c r="BO1377" s="1"/>
      <c r="BP1377" s="11"/>
      <c r="BQ1377" s="11"/>
    </row>
    <row r="1378" spans="1:69" x14ac:dyDescent="0.3">
      <c r="A1378" s="7"/>
      <c r="B1378" s="11"/>
      <c r="C1378" s="11"/>
      <c r="D1378" s="11"/>
      <c r="E1378" s="45"/>
      <c r="F1378" s="40"/>
      <c r="G1378" s="11"/>
      <c r="K1378" s="40"/>
      <c r="N1378" s="11"/>
      <c r="O1378" s="11"/>
      <c r="P1378" s="11"/>
      <c r="Q1378" s="11"/>
      <c r="R1378" s="11"/>
      <c r="S1378" s="11"/>
      <c r="T1378" s="11"/>
      <c r="U1378" s="11"/>
      <c r="V1378" s="11"/>
      <c r="W1378" s="11"/>
      <c r="X1378" s="11"/>
      <c r="Y1378" s="11"/>
      <c r="Z1378" s="11"/>
      <c r="AA1378" s="11"/>
      <c r="AB1378" s="11"/>
      <c r="AC1378" s="11"/>
      <c r="AD1378" s="40"/>
      <c r="AE1378" s="11"/>
      <c r="AF1378" s="40"/>
      <c r="AI1378" s="11"/>
      <c r="AJ1378" s="11"/>
      <c r="AK1378" s="11"/>
      <c r="AL1378" s="11"/>
      <c r="AM1378" s="11"/>
      <c r="AN1378" s="11"/>
      <c r="AO1378" s="11"/>
      <c r="AY1378" s="11"/>
      <c r="BE1378" s="38"/>
      <c r="BF1378" s="38"/>
      <c r="BG1378" s="38"/>
      <c r="BH1378" s="11"/>
      <c r="BI1378" s="1"/>
      <c r="BJ1378" s="2"/>
      <c r="BK1378" s="1"/>
      <c r="BL1378" s="1"/>
      <c r="BM1378" s="7"/>
      <c r="BN1378" s="7"/>
      <c r="BO1378" s="1"/>
      <c r="BP1378" s="11"/>
      <c r="BQ1378" s="11"/>
    </row>
    <row r="1379" spans="1:69" x14ac:dyDescent="0.3">
      <c r="A1379" s="7"/>
      <c r="B1379" s="11"/>
      <c r="C1379" s="11"/>
      <c r="D1379" s="11"/>
      <c r="E1379" s="45"/>
      <c r="F1379" s="40"/>
      <c r="G1379" s="11"/>
      <c r="K1379" s="40"/>
      <c r="N1379" s="11"/>
      <c r="O1379" s="11"/>
      <c r="P1379" s="11"/>
      <c r="Q1379" s="11"/>
      <c r="R1379" s="11"/>
      <c r="S1379" s="11"/>
      <c r="T1379" s="11"/>
      <c r="U1379" s="11"/>
      <c r="V1379" s="11"/>
      <c r="W1379" s="11"/>
      <c r="X1379" s="11"/>
      <c r="Y1379" s="11"/>
      <c r="Z1379" s="11"/>
      <c r="AA1379" s="11"/>
      <c r="AB1379" s="11"/>
      <c r="AC1379" s="11"/>
      <c r="AD1379" s="40"/>
      <c r="AE1379" s="11"/>
      <c r="AF1379" s="40"/>
      <c r="AI1379" s="11"/>
      <c r="AJ1379" s="11"/>
      <c r="AK1379" s="11"/>
      <c r="AL1379" s="11"/>
      <c r="AM1379" s="11"/>
      <c r="AN1379" s="11"/>
      <c r="AO1379" s="11"/>
      <c r="AY1379" s="11"/>
      <c r="BE1379" s="38"/>
      <c r="BF1379" s="38"/>
      <c r="BG1379" s="38"/>
      <c r="BH1379" s="11"/>
      <c r="BI1379" s="1"/>
      <c r="BJ1379" s="2"/>
      <c r="BK1379" s="1"/>
      <c r="BL1379" s="1"/>
      <c r="BM1379" s="7"/>
      <c r="BN1379" s="7"/>
      <c r="BO1379" s="1"/>
      <c r="BP1379" s="11"/>
      <c r="BQ1379" s="11"/>
    </row>
    <row r="1380" spans="1:69" x14ac:dyDescent="0.3">
      <c r="A1380" s="7"/>
      <c r="B1380" s="11"/>
      <c r="C1380" s="11"/>
      <c r="D1380" s="11"/>
      <c r="E1380" s="45"/>
      <c r="F1380" s="40"/>
      <c r="G1380" s="11"/>
      <c r="K1380" s="40"/>
      <c r="N1380" s="11"/>
      <c r="O1380" s="11"/>
      <c r="P1380" s="11"/>
      <c r="Q1380" s="11"/>
      <c r="R1380" s="11"/>
      <c r="S1380" s="11"/>
      <c r="T1380" s="11"/>
      <c r="U1380" s="11"/>
      <c r="V1380" s="11"/>
      <c r="W1380" s="11"/>
      <c r="X1380" s="11"/>
      <c r="Y1380" s="11"/>
      <c r="Z1380" s="11"/>
      <c r="AA1380" s="11"/>
      <c r="AB1380" s="11"/>
      <c r="AC1380" s="11"/>
      <c r="AD1380" s="40"/>
      <c r="AE1380" s="11"/>
      <c r="AF1380" s="40"/>
      <c r="AI1380" s="11"/>
      <c r="AJ1380" s="11"/>
      <c r="AK1380" s="11"/>
      <c r="AL1380" s="11"/>
      <c r="AM1380" s="11"/>
      <c r="AN1380" s="11"/>
      <c r="AO1380" s="11"/>
      <c r="AY1380" s="11"/>
      <c r="BE1380" s="38"/>
      <c r="BF1380" s="38"/>
      <c r="BG1380" s="38"/>
      <c r="BH1380" s="11"/>
      <c r="BI1380" s="1"/>
      <c r="BJ1380" s="2"/>
      <c r="BK1380" s="1"/>
      <c r="BL1380" s="1"/>
      <c r="BM1380" s="7"/>
      <c r="BN1380" s="7"/>
      <c r="BO1380" s="1"/>
      <c r="BP1380" s="11"/>
      <c r="BQ1380" s="11"/>
    </row>
    <row r="1381" spans="1:69" x14ac:dyDescent="0.3">
      <c r="A1381" s="7"/>
      <c r="B1381" s="11"/>
      <c r="C1381" s="11"/>
      <c r="D1381" s="11"/>
      <c r="E1381" s="45"/>
      <c r="F1381" s="40"/>
      <c r="G1381" s="11"/>
      <c r="K1381" s="40"/>
      <c r="N1381" s="11"/>
      <c r="O1381" s="11"/>
      <c r="P1381" s="11"/>
      <c r="Q1381" s="11"/>
      <c r="R1381" s="11"/>
      <c r="S1381" s="11"/>
      <c r="T1381" s="11"/>
      <c r="U1381" s="11"/>
      <c r="V1381" s="11"/>
      <c r="W1381" s="11"/>
      <c r="X1381" s="11"/>
      <c r="Y1381" s="11"/>
      <c r="Z1381" s="11"/>
      <c r="AA1381" s="11"/>
      <c r="AB1381" s="11"/>
      <c r="AC1381" s="11"/>
      <c r="AD1381" s="40"/>
      <c r="AE1381" s="11"/>
      <c r="AF1381" s="40"/>
      <c r="AI1381" s="11"/>
      <c r="AJ1381" s="11"/>
      <c r="AK1381" s="11"/>
      <c r="AL1381" s="11"/>
      <c r="AM1381" s="11"/>
      <c r="AN1381" s="11"/>
      <c r="AO1381" s="11"/>
      <c r="AY1381" s="11"/>
      <c r="BE1381" s="38"/>
      <c r="BF1381" s="38"/>
      <c r="BG1381" s="38"/>
      <c r="BH1381" s="11"/>
      <c r="BI1381" s="1"/>
      <c r="BJ1381" s="2"/>
      <c r="BK1381" s="1"/>
      <c r="BL1381" s="1"/>
      <c r="BM1381" s="7"/>
      <c r="BN1381" s="7"/>
      <c r="BO1381" s="1"/>
      <c r="BP1381" s="11"/>
      <c r="BQ1381" s="11"/>
    </row>
    <row r="1382" spans="1:69" x14ac:dyDescent="0.3">
      <c r="A1382" s="7"/>
      <c r="B1382" s="11"/>
      <c r="C1382" s="11"/>
      <c r="D1382" s="11"/>
      <c r="E1382" s="45"/>
      <c r="F1382" s="40"/>
      <c r="G1382" s="11"/>
      <c r="K1382" s="40"/>
      <c r="N1382" s="11"/>
      <c r="O1382" s="11"/>
      <c r="P1382" s="11"/>
      <c r="Q1382" s="11"/>
      <c r="R1382" s="11"/>
      <c r="S1382" s="11"/>
      <c r="T1382" s="11"/>
      <c r="U1382" s="11"/>
      <c r="V1382" s="11"/>
      <c r="W1382" s="11"/>
      <c r="X1382" s="11"/>
      <c r="Y1382" s="11"/>
      <c r="Z1382" s="11"/>
      <c r="AA1382" s="11"/>
      <c r="AB1382" s="11"/>
      <c r="AC1382" s="11"/>
      <c r="AD1382" s="40"/>
      <c r="AE1382" s="11"/>
      <c r="AF1382" s="40"/>
      <c r="AI1382" s="11"/>
      <c r="AJ1382" s="11"/>
      <c r="AK1382" s="11"/>
      <c r="AL1382" s="11"/>
      <c r="AM1382" s="11"/>
      <c r="AN1382" s="11"/>
      <c r="AO1382" s="11"/>
      <c r="AY1382" s="11"/>
      <c r="BE1382" s="38"/>
      <c r="BF1382" s="38"/>
      <c r="BG1382" s="38"/>
      <c r="BH1382" s="11"/>
      <c r="BI1382" s="1"/>
      <c r="BJ1382" s="2"/>
      <c r="BK1382" s="1"/>
      <c r="BL1382" s="1"/>
      <c r="BM1382" s="7"/>
      <c r="BN1382" s="7"/>
      <c r="BO1382" s="1"/>
      <c r="BP1382" s="11"/>
      <c r="BQ1382" s="11"/>
    </row>
    <row r="1383" spans="1:69" x14ac:dyDescent="0.3">
      <c r="A1383" s="7"/>
      <c r="B1383" s="11"/>
      <c r="C1383" s="11"/>
      <c r="D1383" s="11"/>
      <c r="E1383" s="45"/>
      <c r="F1383" s="40"/>
      <c r="G1383" s="11"/>
      <c r="K1383" s="40"/>
      <c r="N1383" s="11"/>
      <c r="O1383" s="11"/>
      <c r="P1383" s="11"/>
      <c r="Q1383" s="11"/>
      <c r="R1383" s="11"/>
      <c r="S1383" s="11"/>
      <c r="T1383" s="11"/>
      <c r="U1383" s="11"/>
      <c r="V1383" s="11"/>
      <c r="W1383" s="11"/>
      <c r="X1383" s="11"/>
      <c r="Y1383" s="11"/>
      <c r="Z1383" s="11"/>
      <c r="AA1383" s="11"/>
      <c r="AB1383" s="11"/>
      <c r="AC1383" s="11"/>
      <c r="AD1383" s="40"/>
      <c r="AE1383" s="11"/>
      <c r="AF1383" s="40"/>
      <c r="AI1383" s="11"/>
      <c r="AJ1383" s="11"/>
      <c r="AK1383" s="11"/>
      <c r="AL1383" s="11"/>
      <c r="AM1383" s="11"/>
      <c r="AN1383" s="11"/>
      <c r="AO1383" s="11"/>
      <c r="AY1383" s="11"/>
      <c r="BE1383" s="38"/>
      <c r="BF1383" s="38"/>
      <c r="BG1383" s="38"/>
      <c r="BH1383" s="11"/>
      <c r="BI1383" s="1"/>
      <c r="BJ1383" s="2"/>
      <c r="BK1383" s="1"/>
      <c r="BL1383" s="1"/>
      <c r="BM1383" s="7"/>
      <c r="BN1383" s="7"/>
      <c r="BO1383" s="1"/>
      <c r="BP1383" s="11"/>
      <c r="BQ1383" s="11"/>
    </row>
    <row r="1384" spans="1:69" x14ac:dyDescent="0.3">
      <c r="A1384" s="7"/>
      <c r="B1384" s="11"/>
      <c r="C1384" s="11"/>
      <c r="D1384" s="11"/>
      <c r="E1384" s="45"/>
      <c r="F1384" s="40"/>
      <c r="G1384" s="11"/>
      <c r="K1384" s="40"/>
      <c r="N1384" s="11"/>
      <c r="O1384" s="11"/>
      <c r="P1384" s="11"/>
      <c r="Q1384" s="11"/>
      <c r="R1384" s="11"/>
      <c r="S1384" s="11"/>
      <c r="T1384" s="11"/>
      <c r="U1384" s="11"/>
      <c r="V1384" s="11"/>
      <c r="W1384" s="11"/>
      <c r="X1384" s="11"/>
      <c r="Y1384" s="11"/>
      <c r="Z1384" s="11"/>
      <c r="AA1384" s="11"/>
      <c r="AB1384" s="11"/>
      <c r="AC1384" s="11"/>
      <c r="AD1384" s="40"/>
      <c r="AE1384" s="11"/>
      <c r="AF1384" s="40"/>
      <c r="AI1384" s="11"/>
      <c r="AJ1384" s="11"/>
      <c r="AK1384" s="11"/>
      <c r="AL1384" s="11"/>
      <c r="AM1384" s="11"/>
      <c r="AN1384" s="11"/>
      <c r="AO1384" s="11"/>
      <c r="AY1384" s="11"/>
      <c r="BE1384" s="38"/>
      <c r="BF1384" s="38"/>
      <c r="BG1384" s="38"/>
      <c r="BH1384" s="11"/>
      <c r="BI1384" s="1"/>
      <c r="BJ1384" s="2"/>
      <c r="BK1384" s="1"/>
      <c r="BL1384" s="1"/>
      <c r="BM1384" s="7"/>
      <c r="BN1384" s="7"/>
      <c r="BO1384" s="1"/>
      <c r="BP1384" s="11"/>
      <c r="BQ1384" s="11"/>
    </row>
    <row r="1385" spans="1:69" x14ac:dyDescent="0.3">
      <c r="A1385" s="7"/>
      <c r="B1385" s="11"/>
      <c r="C1385" s="11"/>
      <c r="D1385" s="11"/>
      <c r="E1385" s="45"/>
      <c r="F1385" s="40"/>
      <c r="G1385" s="11"/>
      <c r="K1385" s="40"/>
      <c r="N1385" s="11"/>
      <c r="O1385" s="11"/>
      <c r="P1385" s="11"/>
      <c r="Q1385" s="11"/>
      <c r="R1385" s="11"/>
      <c r="S1385" s="11"/>
      <c r="T1385" s="11"/>
      <c r="U1385" s="11"/>
      <c r="V1385" s="11"/>
      <c r="W1385" s="11"/>
      <c r="X1385" s="11"/>
      <c r="Y1385" s="11"/>
      <c r="Z1385" s="11"/>
      <c r="AA1385" s="11"/>
      <c r="AB1385" s="11"/>
      <c r="AC1385" s="11"/>
      <c r="AD1385" s="40"/>
      <c r="AE1385" s="11"/>
      <c r="AF1385" s="40"/>
      <c r="AI1385" s="11"/>
      <c r="AJ1385" s="11"/>
      <c r="AK1385" s="11"/>
      <c r="AL1385" s="11"/>
      <c r="AM1385" s="11"/>
      <c r="AN1385" s="11"/>
      <c r="AO1385" s="11"/>
      <c r="AY1385" s="11"/>
      <c r="BE1385" s="38"/>
      <c r="BF1385" s="38"/>
      <c r="BG1385" s="38"/>
      <c r="BH1385" s="11"/>
      <c r="BI1385" s="1"/>
      <c r="BJ1385" s="2"/>
      <c r="BK1385" s="1"/>
      <c r="BL1385" s="1"/>
      <c r="BM1385" s="7"/>
      <c r="BN1385" s="7"/>
      <c r="BO1385" s="1"/>
      <c r="BP1385" s="11"/>
      <c r="BQ1385" s="11"/>
    </row>
    <row r="1386" spans="1:69" x14ac:dyDescent="0.3">
      <c r="A1386" s="7"/>
      <c r="B1386" s="11"/>
      <c r="C1386" s="11"/>
      <c r="D1386" s="11"/>
      <c r="E1386" s="45"/>
      <c r="F1386" s="40"/>
      <c r="G1386" s="11"/>
      <c r="K1386" s="40"/>
      <c r="N1386" s="11"/>
      <c r="O1386" s="11"/>
      <c r="P1386" s="11"/>
      <c r="Q1386" s="11"/>
      <c r="R1386" s="11"/>
      <c r="S1386" s="11"/>
      <c r="T1386" s="11"/>
      <c r="U1386" s="11"/>
      <c r="V1386" s="11"/>
      <c r="W1386" s="11"/>
      <c r="X1386" s="11"/>
      <c r="Y1386" s="11"/>
      <c r="Z1386" s="11"/>
      <c r="AA1386" s="11"/>
      <c r="AB1386" s="11"/>
      <c r="AC1386" s="11"/>
      <c r="AD1386" s="40"/>
      <c r="AE1386" s="11"/>
      <c r="AF1386" s="40"/>
      <c r="AI1386" s="11"/>
      <c r="AJ1386" s="11"/>
      <c r="AK1386" s="11"/>
      <c r="AL1386" s="11"/>
      <c r="AM1386" s="11"/>
      <c r="AN1386" s="11"/>
      <c r="AO1386" s="11"/>
      <c r="AY1386" s="11"/>
      <c r="BE1386" s="38"/>
      <c r="BF1386" s="38"/>
      <c r="BG1386" s="38"/>
      <c r="BH1386" s="11"/>
      <c r="BI1386" s="1"/>
      <c r="BJ1386" s="2"/>
      <c r="BK1386" s="1"/>
      <c r="BL1386" s="1"/>
      <c r="BM1386" s="7"/>
      <c r="BN1386" s="7"/>
      <c r="BO1386" s="1"/>
      <c r="BP1386" s="11"/>
      <c r="BQ1386" s="11"/>
    </row>
    <row r="1387" spans="1:69" x14ac:dyDescent="0.3">
      <c r="A1387" s="7"/>
      <c r="B1387" s="11"/>
      <c r="C1387" s="11"/>
      <c r="D1387" s="11"/>
      <c r="E1387" s="45"/>
      <c r="F1387" s="40"/>
      <c r="G1387" s="11"/>
      <c r="K1387" s="40"/>
      <c r="N1387" s="11"/>
      <c r="O1387" s="11"/>
      <c r="P1387" s="11"/>
      <c r="Q1387" s="11"/>
      <c r="R1387" s="11"/>
      <c r="S1387" s="11"/>
      <c r="T1387" s="11"/>
      <c r="U1387" s="11"/>
      <c r="V1387" s="11"/>
      <c r="W1387" s="11"/>
      <c r="X1387" s="11"/>
      <c r="Y1387" s="11"/>
      <c r="Z1387" s="11"/>
      <c r="AA1387" s="11"/>
      <c r="AB1387" s="11"/>
      <c r="AC1387" s="11"/>
      <c r="AD1387" s="40"/>
      <c r="AE1387" s="11"/>
      <c r="AF1387" s="40"/>
      <c r="AI1387" s="11"/>
      <c r="AJ1387" s="11"/>
      <c r="AK1387" s="11"/>
      <c r="AL1387" s="11"/>
      <c r="AM1387" s="11"/>
      <c r="AN1387" s="11"/>
      <c r="AO1387" s="11"/>
      <c r="AY1387" s="11"/>
      <c r="BE1387" s="38"/>
      <c r="BF1387" s="38"/>
      <c r="BG1387" s="38"/>
      <c r="BH1387" s="11"/>
      <c r="BI1387" s="1"/>
      <c r="BJ1387" s="2"/>
      <c r="BK1387" s="1"/>
      <c r="BL1387" s="1"/>
      <c r="BM1387" s="7"/>
      <c r="BN1387" s="7"/>
      <c r="BO1387" s="1"/>
      <c r="BP1387" s="11"/>
      <c r="BQ1387" s="11"/>
    </row>
    <row r="1388" spans="1:69" x14ac:dyDescent="0.3">
      <c r="A1388" s="7"/>
      <c r="B1388" s="11"/>
      <c r="C1388" s="11"/>
      <c r="D1388" s="11"/>
      <c r="E1388" s="45"/>
      <c r="F1388" s="40"/>
      <c r="G1388" s="11"/>
      <c r="K1388" s="40"/>
      <c r="N1388" s="11"/>
      <c r="O1388" s="11"/>
      <c r="P1388" s="11"/>
      <c r="Q1388" s="11"/>
      <c r="R1388" s="11"/>
      <c r="S1388" s="11"/>
      <c r="T1388" s="11"/>
      <c r="U1388" s="11"/>
      <c r="V1388" s="11"/>
      <c r="W1388" s="11"/>
      <c r="X1388" s="11"/>
      <c r="Y1388" s="11"/>
      <c r="Z1388" s="11"/>
      <c r="AA1388" s="11"/>
      <c r="AB1388" s="11"/>
      <c r="AC1388" s="11"/>
      <c r="AD1388" s="40"/>
      <c r="AE1388" s="11"/>
      <c r="AF1388" s="40"/>
      <c r="AI1388" s="11"/>
      <c r="AJ1388" s="11"/>
      <c r="AK1388" s="11"/>
      <c r="AL1388" s="11"/>
      <c r="AM1388" s="11"/>
      <c r="AN1388" s="11"/>
      <c r="AO1388" s="11"/>
      <c r="AY1388" s="11"/>
      <c r="BE1388" s="38"/>
      <c r="BF1388" s="38"/>
      <c r="BG1388" s="38"/>
      <c r="BH1388" s="11"/>
      <c r="BI1388" s="1"/>
      <c r="BJ1388" s="2"/>
      <c r="BK1388" s="1"/>
      <c r="BL1388" s="1"/>
      <c r="BM1388" s="7"/>
      <c r="BN1388" s="7"/>
      <c r="BO1388" s="1"/>
      <c r="BP1388" s="11"/>
      <c r="BQ1388" s="11"/>
    </row>
    <row r="1389" spans="1:69" x14ac:dyDescent="0.3">
      <c r="A1389" s="7"/>
      <c r="B1389" s="11"/>
      <c r="C1389" s="11"/>
      <c r="D1389" s="11"/>
      <c r="E1389" s="45"/>
      <c r="F1389" s="40"/>
      <c r="G1389" s="11"/>
      <c r="K1389" s="40"/>
      <c r="N1389" s="11"/>
      <c r="O1389" s="11"/>
      <c r="P1389" s="11"/>
      <c r="Q1389" s="11"/>
      <c r="R1389" s="11"/>
      <c r="S1389" s="11"/>
      <c r="T1389" s="11"/>
      <c r="U1389" s="11"/>
      <c r="V1389" s="11"/>
      <c r="W1389" s="11"/>
      <c r="X1389" s="11"/>
      <c r="Y1389" s="11"/>
      <c r="Z1389" s="11"/>
      <c r="AA1389" s="11"/>
      <c r="AB1389" s="11"/>
      <c r="AC1389" s="11"/>
      <c r="AD1389" s="40"/>
      <c r="AE1389" s="11"/>
      <c r="AF1389" s="40"/>
      <c r="AI1389" s="11"/>
      <c r="AJ1389" s="11"/>
      <c r="AK1389" s="11"/>
      <c r="AL1389" s="11"/>
      <c r="AM1389" s="11"/>
      <c r="AN1389" s="11"/>
      <c r="AO1389" s="11"/>
      <c r="AY1389" s="11"/>
      <c r="BE1389" s="38"/>
      <c r="BF1389" s="38"/>
      <c r="BG1389" s="38"/>
      <c r="BH1389" s="11"/>
      <c r="BI1389" s="1"/>
      <c r="BJ1389" s="2"/>
      <c r="BK1389" s="1"/>
      <c r="BL1389" s="1"/>
      <c r="BM1389" s="7"/>
      <c r="BN1389" s="7"/>
      <c r="BO1389" s="1"/>
      <c r="BP1389" s="11"/>
      <c r="BQ1389" s="11"/>
    </row>
    <row r="1390" spans="1:69" x14ac:dyDescent="0.3">
      <c r="A1390" s="7"/>
      <c r="B1390" s="11"/>
      <c r="C1390" s="11"/>
      <c r="D1390" s="11"/>
      <c r="E1390" s="45"/>
      <c r="F1390" s="40"/>
      <c r="G1390" s="11"/>
      <c r="K1390" s="40"/>
      <c r="N1390" s="11"/>
      <c r="O1390" s="11"/>
      <c r="P1390" s="11"/>
      <c r="Q1390" s="11"/>
      <c r="R1390" s="11"/>
      <c r="S1390" s="11"/>
      <c r="T1390" s="11"/>
      <c r="U1390" s="11"/>
      <c r="V1390" s="11"/>
      <c r="W1390" s="11"/>
      <c r="X1390" s="11"/>
      <c r="Y1390" s="11"/>
      <c r="Z1390" s="11"/>
      <c r="AA1390" s="11"/>
      <c r="AB1390" s="11"/>
      <c r="AC1390" s="11"/>
      <c r="AD1390" s="40"/>
      <c r="AE1390" s="11"/>
      <c r="AF1390" s="40"/>
      <c r="AI1390" s="11"/>
      <c r="AJ1390" s="11"/>
      <c r="AK1390" s="11"/>
      <c r="AL1390" s="11"/>
      <c r="AM1390" s="11"/>
      <c r="AN1390" s="11"/>
      <c r="AO1390" s="11"/>
      <c r="AY1390" s="11"/>
      <c r="BE1390" s="38"/>
      <c r="BF1390" s="38"/>
      <c r="BG1390" s="38"/>
      <c r="BH1390" s="11"/>
      <c r="BI1390" s="1"/>
      <c r="BJ1390" s="2"/>
      <c r="BK1390" s="1"/>
      <c r="BL1390" s="1"/>
      <c r="BM1390" s="7"/>
      <c r="BN1390" s="7"/>
      <c r="BO1390" s="1"/>
      <c r="BP1390" s="11"/>
      <c r="BQ1390" s="11"/>
    </row>
    <row r="1391" spans="1:69" x14ac:dyDescent="0.3">
      <c r="A1391" s="7"/>
      <c r="B1391" s="11"/>
      <c r="C1391" s="11"/>
      <c r="D1391" s="11"/>
      <c r="E1391" s="45"/>
      <c r="F1391" s="40"/>
      <c r="G1391" s="11"/>
      <c r="K1391" s="40"/>
      <c r="N1391" s="11"/>
      <c r="O1391" s="11"/>
      <c r="P1391" s="11"/>
      <c r="Q1391" s="11"/>
      <c r="R1391" s="11"/>
      <c r="S1391" s="11"/>
      <c r="T1391" s="11"/>
      <c r="U1391" s="11"/>
      <c r="V1391" s="11"/>
      <c r="W1391" s="11"/>
      <c r="X1391" s="11"/>
      <c r="Y1391" s="11"/>
      <c r="Z1391" s="11"/>
      <c r="AA1391" s="11"/>
      <c r="AB1391" s="11"/>
      <c r="AC1391" s="11"/>
      <c r="AD1391" s="40"/>
      <c r="AE1391" s="11"/>
      <c r="AF1391" s="40"/>
      <c r="AI1391" s="11"/>
      <c r="AJ1391" s="11"/>
      <c r="AK1391" s="11"/>
      <c r="AL1391" s="11"/>
      <c r="AM1391" s="11"/>
      <c r="AN1391" s="11"/>
      <c r="AO1391" s="11"/>
      <c r="AY1391" s="11"/>
      <c r="BE1391" s="38"/>
      <c r="BF1391" s="38"/>
      <c r="BG1391" s="38"/>
      <c r="BH1391" s="11"/>
      <c r="BI1391" s="1"/>
      <c r="BJ1391" s="2"/>
      <c r="BK1391" s="1"/>
      <c r="BL1391" s="1"/>
      <c r="BM1391" s="7"/>
      <c r="BN1391" s="7"/>
      <c r="BO1391" s="1"/>
      <c r="BP1391" s="11"/>
      <c r="BQ1391" s="11"/>
    </row>
    <row r="1392" spans="1:69" x14ac:dyDescent="0.3">
      <c r="A1392" s="7"/>
      <c r="B1392" s="11"/>
      <c r="C1392" s="11"/>
      <c r="D1392" s="11"/>
      <c r="E1392" s="45"/>
      <c r="F1392" s="40"/>
      <c r="G1392" s="11"/>
      <c r="K1392" s="40"/>
      <c r="N1392" s="11"/>
      <c r="O1392" s="11"/>
      <c r="P1392" s="11"/>
      <c r="Q1392" s="11"/>
      <c r="R1392" s="11"/>
      <c r="S1392" s="11"/>
      <c r="T1392" s="11"/>
      <c r="U1392" s="11"/>
      <c r="V1392" s="11"/>
      <c r="W1392" s="11"/>
      <c r="X1392" s="11"/>
      <c r="Y1392" s="11"/>
      <c r="Z1392" s="11"/>
      <c r="AA1392" s="11"/>
      <c r="AB1392" s="11"/>
      <c r="AC1392" s="11"/>
      <c r="AD1392" s="40"/>
      <c r="AE1392" s="11"/>
      <c r="AF1392" s="40"/>
      <c r="AI1392" s="11"/>
      <c r="AJ1392" s="11"/>
      <c r="AK1392" s="11"/>
      <c r="AL1392" s="11"/>
      <c r="AM1392" s="11"/>
      <c r="AN1392" s="11"/>
      <c r="AO1392" s="11"/>
      <c r="AY1392" s="11"/>
      <c r="BE1392" s="38"/>
      <c r="BF1392" s="38"/>
      <c r="BG1392" s="38"/>
      <c r="BH1392" s="11"/>
      <c r="BI1392" s="1"/>
      <c r="BJ1392" s="2"/>
      <c r="BK1392" s="1"/>
      <c r="BL1392" s="1"/>
      <c r="BM1392" s="7"/>
      <c r="BN1392" s="7"/>
      <c r="BO1392" s="1"/>
      <c r="BP1392" s="11"/>
      <c r="BQ1392" s="11"/>
    </row>
    <row r="1393" spans="1:69" x14ac:dyDescent="0.3">
      <c r="A1393" s="7"/>
      <c r="B1393" s="11"/>
      <c r="C1393" s="11"/>
      <c r="D1393" s="11"/>
      <c r="E1393" s="45"/>
      <c r="F1393" s="40"/>
      <c r="G1393" s="11"/>
      <c r="K1393" s="40"/>
      <c r="N1393" s="11"/>
      <c r="O1393" s="11"/>
      <c r="P1393" s="11"/>
      <c r="Q1393" s="11"/>
      <c r="R1393" s="11"/>
      <c r="S1393" s="11"/>
      <c r="T1393" s="11"/>
      <c r="U1393" s="11"/>
      <c r="V1393" s="11"/>
      <c r="W1393" s="11"/>
      <c r="X1393" s="11"/>
      <c r="Y1393" s="11"/>
      <c r="Z1393" s="11"/>
      <c r="AA1393" s="11"/>
      <c r="AB1393" s="11"/>
      <c r="AC1393" s="11"/>
      <c r="AD1393" s="40"/>
      <c r="AE1393" s="11"/>
      <c r="AF1393" s="40"/>
      <c r="AI1393" s="11"/>
      <c r="AJ1393" s="11"/>
      <c r="AK1393" s="11"/>
      <c r="AL1393" s="11"/>
      <c r="AM1393" s="11"/>
      <c r="AN1393" s="11"/>
      <c r="AO1393" s="11"/>
      <c r="AY1393" s="11"/>
      <c r="BE1393" s="38"/>
      <c r="BF1393" s="38"/>
      <c r="BG1393" s="38"/>
      <c r="BH1393" s="11"/>
      <c r="BI1393" s="1"/>
      <c r="BJ1393" s="2"/>
      <c r="BK1393" s="1"/>
      <c r="BL1393" s="1"/>
      <c r="BM1393" s="7"/>
      <c r="BN1393" s="7"/>
      <c r="BO1393" s="1"/>
      <c r="BP1393" s="11"/>
      <c r="BQ1393" s="11"/>
    </row>
    <row r="1394" spans="1:69" x14ac:dyDescent="0.3">
      <c r="A1394" s="7"/>
      <c r="B1394" s="11"/>
      <c r="C1394" s="11"/>
      <c r="D1394" s="11"/>
      <c r="E1394" s="45"/>
      <c r="F1394" s="40"/>
      <c r="G1394" s="11"/>
      <c r="K1394" s="40"/>
      <c r="N1394" s="11"/>
      <c r="O1394" s="11"/>
      <c r="P1394" s="11"/>
      <c r="Q1394" s="11"/>
      <c r="R1394" s="11"/>
      <c r="S1394" s="11"/>
      <c r="T1394" s="11"/>
      <c r="U1394" s="11"/>
      <c r="V1394" s="11"/>
      <c r="W1394" s="11"/>
      <c r="X1394" s="11"/>
      <c r="Y1394" s="11"/>
      <c r="Z1394" s="11"/>
      <c r="AA1394" s="11"/>
      <c r="AB1394" s="11"/>
      <c r="AC1394" s="11"/>
      <c r="AD1394" s="40"/>
      <c r="AE1394" s="11"/>
      <c r="AF1394" s="40"/>
      <c r="AI1394" s="11"/>
      <c r="AJ1394" s="11"/>
      <c r="AK1394" s="11"/>
      <c r="AL1394" s="11"/>
      <c r="AM1394" s="11"/>
      <c r="AN1394" s="11"/>
      <c r="AO1394" s="11"/>
      <c r="AY1394" s="11"/>
      <c r="BE1394" s="38"/>
      <c r="BF1394" s="38"/>
      <c r="BG1394" s="38"/>
      <c r="BH1394" s="11"/>
      <c r="BI1394" s="1"/>
      <c r="BJ1394" s="2"/>
      <c r="BK1394" s="1"/>
      <c r="BL1394" s="1"/>
      <c r="BM1394" s="7"/>
      <c r="BN1394" s="7"/>
      <c r="BO1394" s="1"/>
      <c r="BP1394" s="11"/>
      <c r="BQ1394" s="11"/>
    </row>
    <row r="1395" spans="1:69" x14ac:dyDescent="0.3">
      <c r="A1395" s="7"/>
      <c r="B1395" s="11"/>
      <c r="C1395" s="11"/>
      <c r="D1395" s="11"/>
      <c r="E1395" s="45"/>
      <c r="F1395" s="40"/>
      <c r="G1395" s="11"/>
      <c r="K1395" s="40"/>
      <c r="N1395" s="11"/>
      <c r="O1395" s="11"/>
      <c r="P1395" s="11"/>
      <c r="Q1395" s="11"/>
      <c r="R1395" s="11"/>
      <c r="S1395" s="11"/>
      <c r="T1395" s="11"/>
      <c r="U1395" s="11"/>
      <c r="V1395" s="11"/>
      <c r="W1395" s="11"/>
      <c r="X1395" s="11"/>
      <c r="Y1395" s="11"/>
      <c r="Z1395" s="11"/>
      <c r="AA1395" s="11"/>
      <c r="AB1395" s="11"/>
      <c r="AC1395" s="11"/>
      <c r="AD1395" s="40"/>
      <c r="AE1395" s="11"/>
      <c r="AF1395" s="40"/>
      <c r="AI1395" s="11"/>
      <c r="AJ1395" s="11"/>
      <c r="AK1395" s="11"/>
      <c r="AL1395" s="11"/>
      <c r="AM1395" s="11"/>
      <c r="AN1395" s="11"/>
      <c r="AO1395" s="11"/>
      <c r="AY1395" s="11"/>
      <c r="BE1395" s="38"/>
      <c r="BF1395" s="38"/>
      <c r="BG1395" s="38"/>
      <c r="BH1395" s="11"/>
      <c r="BI1395" s="1"/>
      <c r="BJ1395" s="2"/>
      <c r="BK1395" s="1"/>
      <c r="BL1395" s="1"/>
      <c r="BM1395" s="7"/>
      <c r="BN1395" s="7"/>
      <c r="BO1395" s="1"/>
      <c r="BP1395" s="11"/>
      <c r="BQ1395" s="11"/>
    </row>
    <row r="1396" spans="1:69" x14ac:dyDescent="0.3">
      <c r="A1396" s="7"/>
      <c r="B1396" s="11"/>
      <c r="C1396" s="11"/>
      <c r="D1396" s="11"/>
      <c r="E1396" s="45"/>
      <c r="F1396" s="40"/>
      <c r="G1396" s="11"/>
      <c r="K1396" s="40"/>
      <c r="N1396" s="11"/>
      <c r="O1396" s="11"/>
      <c r="P1396" s="11"/>
      <c r="Q1396" s="11"/>
      <c r="R1396" s="11"/>
      <c r="S1396" s="11"/>
      <c r="T1396" s="11"/>
      <c r="U1396" s="11"/>
      <c r="V1396" s="11"/>
      <c r="W1396" s="11"/>
      <c r="X1396" s="11"/>
      <c r="Y1396" s="11"/>
      <c r="Z1396" s="11"/>
      <c r="AA1396" s="11"/>
      <c r="AB1396" s="11"/>
      <c r="AC1396" s="11"/>
      <c r="AD1396" s="40"/>
      <c r="AE1396" s="11"/>
      <c r="AF1396" s="40"/>
      <c r="AI1396" s="11"/>
      <c r="AJ1396" s="11"/>
      <c r="AK1396" s="11"/>
      <c r="AL1396" s="11"/>
      <c r="AM1396" s="11"/>
      <c r="AN1396" s="11"/>
      <c r="AO1396" s="11"/>
      <c r="AY1396" s="11"/>
      <c r="BE1396" s="38"/>
      <c r="BF1396" s="38"/>
      <c r="BG1396" s="38"/>
      <c r="BH1396" s="11"/>
      <c r="BI1396" s="1"/>
      <c r="BJ1396" s="2"/>
      <c r="BK1396" s="1"/>
      <c r="BL1396" s="1"/>
      <c r="BM1396" s="7"/>
      <c r="BN1396" s="7"/>
      <c r="BO1396" s="1"/>
      <c r="BP1396" s="11"/>
      <c r="BQ1396" s="11"/>
    </row>
    <row r="1397" spans="1:69" x14ac:dyDescent="0.3">
      <c r="A1397" s="7"/>
      <c r="B1397" s="11"/>
      <c r="C1397" s="11"/>
      <c r="D1397" s="11"/>
      <c r="E1397" s="45"/>
      <c r="F1397" s="40"/>
      <c r="G1397" s="11"/>
      <c r="K1397" s="40"/>
      <c r="N1397" s="11"/>
      <c r="O1397" s="11"/>
      <c r="P1397" s="11"/>
      <c r="Q1397" s="11"/>
      <c r="R1397" s="11"/>
      <c r="S1397" s="11"/>
      <c r="T1397" s="11"/>
      <c r="U1397" s="11"/>
      <c r="V1397" s="11"/>
      <c r="W1397" s="11"/>
      <c r="X1397" s="11"/>
      <c r="Y1397" s="11"/>
      <c r="Z1397" s="11"/>
      <c r="AA1397" s="11"/>
      <c r="AB1397" s="11"/>
      <c r="AC1397" s="11"/>
      <c r="AD1397" s="40"/>
      <c r="AE1397" s="11"/>
      <c r="AF1397" s="40"/>
      <c r="AI1397" s="11"/>
      <c r="AJ1397" s="11"/>
      <c r="AK1397" s="11"/>
      <c r="AL1397" s="11"/>
      <c r="AM1397" s="11"/>
      <c r="AN1397" s="11"/>
      <c r="AO1397" s="11"/>
      <c r="AY1397" s="11"/>
      <c r="BE1397" s="38"/>
      <c r="BF1397" s="38"/>
      <c r="BG1397" s="38"/>
      <c r="BH1397" s="11"/>
      <c r="BI1397" s="1"/>
      <c r="BJ1397" s="2"/>
      <c r="BK1397" s="1"/>
      <c r="BL1397" s="1"/>
      <c r="BM1397" s="7"/>
      <c r="BN1397" s="7"/>
      <c r="BO1397" s="1"/>
      <c r="BP1397" s="11"/>
      <c r="BQ1397" s="11"/>
    </row>
    <row r="1398" spans="1:69" x14ac:dyDescent="0.3">
      <c r="A1398" s="7"/>
      <c r="B1398" s="11"/>
      <c r="C1398" s="11"/>
      <c r="D1398" s="11"/>
      <c r="E1398" s="45"/>
      <c r="F1398" s="40"/>
      <c r="G1398" s="11"/>
      <c r="K1398" s="40"/>
      <c r="N1398" s="11"/>
      <c r="O1398" s="11"/>
      <c r="P1398" s="11"/>
      <c r="Q1398" s="11"/>
      <c r="R1398" s="11"/>
      <c r="S1398" s="11"/>
      <c r="T1398" s="11"/>
      <c r="U1398" s="11"/>
      <c r="V1398" s="11"/>
      <c r="W1398" s="11"/>
      <c r="X1398" s="11"/>
      <c r="Y1398" s="11"/>
      <c r="Z1398" s="11"/>
      <c r="AA1398" s="11"/>
      <c r="AB1398" s="11"/>
      <c r="AC1398" s="11"/>
      <c r="AD1398" s="40"/>
      <c r="AE1398" s="11"/>
      <c r="AF1398" s="40"/>
      <c r="AI1398" s="11"/>
      <c r="AJ1398" s="11"/>
      <c r="AK1398" s="11"/>
      <c r="AL1398" s="11"/>
      <c r="AM1398" s="11"/>
      <c r="AN1398" s="11"/>
      <c r="AO1398" s="11"/>
      <c r="AY1398" s="11"/>
      <c r="BE1398" s="38"/>
      <c r="BF1398" s="38"/>
      <c r="BG1398" s="38"/>
      <c r="BH1398" s="11"/>
      <c r="BI1398" s="1"/>
      <c r="BJ1398" s="2"/>
      <c r="BK1398" s="1"/>
      <c r="BL1398" s="1"/>
      <c r="BM1398" s="7"/>
      <c r="BN1398" s="7"/>
      <c r="BO1398" s="1"/>
      <c r="BP1398" s="11"/>
      <c r="BQ1398" s="11"/>
    </row>
    <row r="1399" spans="1:69" x14ac:dyDescent="0.3">
      <c r="A1399" s="7"/>
      <c r="B1399" s="11"/>
      <c r="C1399" s="11"/>
      <c r="D1399" s="11"/>
      <c r="E1399" s="45"/>
      <c r="F1399" s="40"/>
      <c r="G1399" s="11"/>
      <c r="K1399" s="40"/>
      <c r="N1399" s="11"/>
      <c r="O1399" s="11"/>
      <c r="P1399" s="11"/>
      <c r="Q1399" s="11"/>
      <c r="R1399" s="11"/>
      <c r="S1399" s="11"/>
      <c r="T1399" s="11"/>
      <c r="U1399" s="11"/>
      <c r="V1399" s="11"/>
      <c r="W1399" s="11"/>
      <c r="X1399" s="11"/>
      <c r="Y1399" s="11"/>
      <c r="Z1399" s="11"/>
      <c r="AA1399" s="11"/>
      <c r="AB1399" s="11"/>
      <c r="AC1399" s="11"/>
      <c r="AD1399" s="40"/>
      <c r="AE1399" s="11"/>
      <c r="AF1399" s="40"/>
      <c r="AI1399" s="11"/>
      <c r="AJ1399" s="11"/>
      <c r="AK1399" s="11"/>
      <c r="AL1399" s="11"/>
      <c r="AM1399" s="11"/>
      <c r="AN1399" s="11"/>
      <c r="AO1399" s="11"/>
      <c r="AY1399" s="11"/>
      <c r="BE1399" s="38"/>
      <c r="BF1399" s="38"/>
      <c r="BG1399" s="38"/>
      <c r="BH1399" s="11"/>
      <c r="BI1399" s="1"/>
      <c r="BJ1399" s="2"/>
      <c r="BK1399" s="1"/>
      <c r="BL1399" s="1"/>
      <c r="BM1399" s="7"/>
      <c r="BN1399" s="7"/>
      <c r="BO1399" s="1"/>
      <c r="BP1399" s="11"/>
      <c r="BQ1399" s="11"/>
    </row>
    <row r="1400" spans="1:69" x14ac:dyDescent="0.3">
      <c r="A1400" s="7"/>
      <c r="B1400" s="11"/>
      <c r="C1400" s="11"/>
      <c r="D1400" s="11"/>
      <c r="E1400" s="45"/>
      <c r="F1400" s="40"/>
      <c r="G1400" s="11"/>
      <c r="K1400" s="40"/>
      <c r="N1400" s="11"/>
      <c r="O1400" s="11"/>
      <c r="P1400" s="11"/>
      <c r="Q1400" s="11"/>
      <c r="R1400" s="11"/>
      <c r="S1400" s="11"/>
      <c r="T1400" s="11"/>
      <c r="U1400" s="11"/>
      <c r="V1400" s="11"/>
      <c r="W1400" s="11"/>
      <c r="X1400" s="11"/>
      <c r="Y1400" s="11"/>
      <c r="Z1400" s="11"/>
      <c r="AA1400" s="11"/>
      <c r="AB1400" s="11"/>
      <c r="AC1400" s="11"/>
      <c r="AD1400" s="40"/>
      <c r="AE1400" s="11"/>
      <c r="AF1400" s="40"/>
      <c r="AI1400" s="11"/>
      <c r="AJ1400" s="11"/>
      <c r="AK1400" s="11"/>
      <c r="AL1400" s="11"/>
      <c r="AM1400" s="11"/>
      <c r="AN1400" s="11"/>
      <c r="AO1400" s="11"/>
      <c r="AY1400" s="11"/>
      <c r="BE1400" s="38"/>
      <c r="BF1400" s="38"/>
      <c r="BG1400" s="38"/>
      <c r="BH1400" s="11"/>
      <c r="BI1400" s="1"/>
      <c r="BJ1400" s="2"/>
      <c r="BK1400" s="1"/>
      <c r="BL1400" s="1"/>
      <c r="BM1400" s="7"/>
      <c r="BN1400" s="7"/>
      <c r="BO1400" s="1"/>
      <c r="BP1400" s="11"/>
      <c r="BQ1400" s="11"/>
    </row>
    <row r="1401" spans="1:69" x14ac:dyDescent="0.3">
      <c r="A1401" s="7"/>
      <c r="B1401" s="11"/>
      <c r="C1401" s="11"/>
      <c r="D1401" s="11"/>
      <c r="E1401" s="45"/>
      <c r="F1401" s="40"/>
      <c r="G1401" s="11"/>
      <c r="K1401" s="40"/>
      <c r="N1401" s="11"/>
      <c r="O1401" s="11"/>
      <c r="P1401" s="11"/>
      <c r="Q1401" s="11"/>
      <c r="R1401" s="11"/>
      <c r="S1401" s="11"/>
      <c r="T1401" s="11"/>
      <c r="U1401" s="11"/>
      <c r="V1401" s="11"/>
      <c r="W1401" s="11"/>
      <c r="X1401" s="11"/>
      <c r="Y1401" s="11"/>
      <c r="Z1401" s="11"/>
      <c r="AA1401" s="11"/>
      <c r="AB1401" s="11"/>
      <c r="AC1401" s="11"/>
      <c r="AD1401" s="40"/>
      <c r="AE1401" s="11"/>
      <c r="AF1401" s="40"/>
      <c r="AI1401" s="11"/>
      <c r="AJ1401" s="11"/>
      <c r="AK1401" s="11"/>
      <c r="AL1401" s="11"/>
      <c r="AM1401" s="11"/>
      <c r="AN1401" s="11"/>
      <c r="AO1401" s="11"/>
      <c r="AY1401" s="11"/>
      <c r="BE1401" s="38"/>
      <c r="BF1401" s="38"/>
      <c r="BG1401" s="38"/>
      <c r="BH1401" s="11"/>
      <c r="BI1401" s="1"/>
      <c r="BJ1401" s="2"/>
      <c r="BK1401" s="1"/>
      <c r="BL1401" s="1"/>
      <c r="BM1401" s="7"/>
      <c r="BN1401" s="7"/>
      <c r="BO1401" s="1"/>
      <c r="BP1401" s="11"/>
      <c r="BQ1401" s="11"/>
    </row>
    <row r="1402" spans="1:69" x14ac:dyDescent="0.3">
      <c r="A1402" s="7"/>
      <c r="B1402" s="11"/>
      <c r="C1402" s="11"/>
      <c r="D1402" s="11"/>
      <c r="E1402" s="45"/>
      <c r="F1402" s="40"/>
      <c r="G1402" s="11"/>
      <c r="K1402" s="40"/>
      <c r="N1402" s="11"/>
      <c r="O1402" s="11"/>
      <c r="P1402" s="11"/>
      <c r="Q1402" s="11"/>
      <c r="R1402" s="11"/>
      <c r="S1402" s="11"/>
      <c r="T1402" s="11"/>
      <c r="U1402" s="11"/>
      <c r="V1402" s="11"/>
      <c r="W1402" s="11"/>
      <c r="X1402" s="11"/>
      <c r="Y1402" s="11"/>
      <c r="Z1402" s="11"/>
      <c r="AA1402" s="11"/>
      <c r="AB1402" s="11"/>
      <c r="AC1402" s="11"/>
      <c r="AD1402" s="40"/>
      <c r="AE1402" s="11"/>
      <c r="AF1402" s="40"/>
      <c r="AI1402" s="11"/>
      <c r="AJ1402" s="11"/>
      <c r="AK1402" s="11"/>
      <c r="AL1402" s="11"/>
      <c r="AM1402" s="11"/>
      <c r="AN1402" s="11"/>
      <c r="AO1402" s="11"/>
      <c r="AY1402" s="11"/>
      <c r="BE1402" s="38"/>
      <c r="BF1402" s="38"/>
      <c r="BG1402" s="38"/>
      <c r="BH1402" s="11"/>
      <c r="BI1402" s="1"/>
      <c r="BJ1402" s="2"/>
      <c r="BK1402" s="1"/>
      <c r="BL1402" s="1"/>
      <c r="BM1402" s="7"/>
      <c r="BN1402" s="7"/>
      <c r="BO1402" s="1"/>
      <c r="BP1402" s="11"/>
      <c r="BQ1402" s="11"/>
    </row>
    <row r="1403" spans="1:69" x14ac:dyDescent="0.3">
      <c r="A1403" s="7"/>
      <c r="B1403" s="11"/>
      <c r="C1403" s="11"/>
      <c r="D1403" s="11"/>
      <c r="E1403" s="45"/>
      <c r="F1403" s="40"/>
      <c r="G1403" s="11"/>
      <c r="K1403" s="40"/>
      <c r="N1403" s="11"/>
      <c r="O1403" s="11"/>
      <c r="P1403" s="11"/>
      <c r="Q1403" s="11"/>
      <c r="R1403" s="11"/>
      <c r="S1403" s="11"/>
      <c r="T1403" s="11"/>
      <c r="U1403" s="11"/>
      <c r="V1403" s="11"/>
      <c r="W1403" s="11"/>
      <c r="X1403" s="11"/>
      <c r="Y1403" s="11"/>
      <c r="Z1403" s="11"/>
      <c r="AA1403" s="11"/>
      <c r="AB1403" s="11"/>
      <c r="AC1403" s="11"/>
      <c r="AD1403" s="40"/>
      <c r="AE1403" s="11"/>
      <c r="AF1403" s="40"/>
      <c r="AI1403" s="11"/>
      <c r="AJ1403" s="11"/>
      <c r="AK1403" s="11"/>
      <c r="AL1403" s="11"/>
      <c r="AM1403" s="11"/>
      <c r="AN1403" s="11"/>
      <c r="AO1403" s="11"/>
      <c r="AY1403" s="11"/>
      <c r="BE1403" s="38"/>
      <c r="BF1403" s="38"/>
      <c r="BG1403" s="38"/>
      <c r="BH1403" s="11"/>
      <c r="BI1403" s="1"/>
      <c r="BJ1403" s="2"/>
      <c r="BK1403" s="1"/>
      <c r="BL1403" s="1"/>
      <c r="BM1403" s="7"/>
      <c r="BN1403" s="7"/>
      <c r="BO1403" s="1"/>
      <c r="BP1403" s="11"/>
      <c r="BQ1403" s="11"/>
    </row>
    <row r="1404" spans="1:69" x14ac:dyDescent="0.3">
      <c r="A1404" s="7"/>
      <c r="B1404" s="11"/>
      <c r="C1404" s="11"/>
      <c r="D1404" s="11"/>
      <c r="E1404" s="45"/>
      <c r="F1404" s="40"/>
      <c r="G1404" s="11"/>
      <c r="K1404" s="40"/>
      <c r="N1404" s="11"/>
      <c r="O1404" s="11"/>
      <c r="P1404" s="11"/>
      <c r="Q1404" s="11"/>
      <c r="R1404" s="11"/>
      <c r="S1404" s="11"/>
      <c r="T1404" s="11"/>
      <c r="U1404" s="11"/>
      <c r="V1404" s="11"/>
      <c r="W1404" s="11"/>
      <c r="X1404" s="11"/>
      <c r="Y1404" s="11"/>
      <c r="Z1404" s="11"/>
      <c r="AA1404" s="11"/>
      <c r="AB1404" s="11"/>
      <c r="AC1404" s="11"/>
      <c r="AD1404" s="40"/>
      <c r="AE1404" s="11"/>
      <c r="AF1404" s="40"/>
      <c r="AI1404" s="11"/>
      <c r="AJ1404" s="11"/>
      <c r="AK1404" s="11"/>
      <c r="AL1404" s="11"/>
      <c r="AM1404" s="11"/>
      <c r="AN1404" s="11"/>
      <c r="AO1404" s="11"/>
      <c r="AY1404" s="11"/>
      <c r="BE1404" s="38"/>
      <c r="BF1404" s="38"/>
      <c r="BG1404" s="38"/>
      <c r="BH1404" s="11"/>
      <c r="BI1404" s="1"/>
      <c r="BJ1404" s="2"/>
      <c r="BK1404" s="1"/>
      <c r="BL1404" s="1"/>
      <c r="BM1404" s="7"/>
      <c r="BN1404" s="7"/>
      <c r="BO1404" s="1"/>
      <c r="BP1404" s="11"/>
      <c r="BQ1404" s="11"/>
    </row>
    <row r="1405" spans="1:69" x14ac:dyDescent="0.3">
      <c r="A1405" s="7"/>
      <c r="B1405" s="11"/>
      <c r="C1405" s="11"/>
      <c r="D1405" s="11"/>
      <c r="E1405" s="45"/>
      <c r="F1405" s="40"/>
      <c r="G1405" s="11"/>
      <c r="K1405" s="40"/>
      <c r="N1405" s="11"/>
      <c r="O1405" s="11"/>
      <c r="P1405" s="11"/>
      <c r="Q1405" s="11"/>
      <c r="R1405" s="11"/>
      <c r="S1405" s="11"/>
      <c r="T1405" s="11"/>
      <c r="U1405" s="11"/>
      <c r="V1405" s="11"/>
      <c r="W1405" s="11"/>
      <c r="X1405" s="11"/>
      <c r="Y1405" s="11"/>
      <c r="Z1405" s="11"/>
      <c r="AA1405" s="11"/>
      <c r="AB1405" s="11"/>
      <c r="AC1405" s="11"/>
      <c r="AD1405" s="40"/>
      <c r="AE1405" s="11"/>
      <c r="AF1405" s="40"/>
      <c r="AI1405" s="11"/>
      <c r="AJ1405" s="11"/>
      <c r="AK1405" s="11"/>
      <c r="AL1405" s="11"/>
      <c r="AM1405" s="11"/>
      <c r="AN1405" s="11"/>
      <c r="AO1405" s="11"/>
      <c r="AY1405" s="11"/>
      <c r="BE1405" s="38"/>
      <c r="BF1405" s="38"/>
      <c r="BG1405" s="38"/>
      <c r="BH1405" s="11"/>
      <c r="BI1405" s="1"/>
      <c r="BJ1405" s="2"/>
      <c r="BK1405" s="1"/>
      <c r="BL1405" s="1"/>
      <c r="BM1405" s="7"/>
      <c r="BN1405" s="7"/>
      <c r="BO1405" s="1"/>
      <c r="BP1405" s="11"/>
      <c r="BQ1405" s="11"/>
    </row>
    <row r="1406" spans="1:69" x14ac:dyDescent="0.3">
      <c r="A1406" s="7"/>
      <c r="B1406" s="11"/>
      <c r="C1406" s="11"/>
      <c r="D1406" s="11"/>
      <c r="E1406" s="45"/>
      <c r="F1406" s="40"/>
      <c r="G1406" s="11"/>
      <c r="K1406" s="40"/>
      <c r="N1406" s="11"/>
      <c r="O1406" s="11"/>
      <c r="P1406" s="11"/>
      <c r="Q1406" s="11"/>
      <c r="R1406" s="11"/>
      <c r="S1406" s="11"/>
      <c r="T1406" s="11"/>
      <c r="U1406" s="11"/>
      <c r="V1406" s="11"/>
      <c r="W1406" s="11"/>
      <c r="X1406" s="11"/>
      <c r="Y1406" s="11"/>
      <c r="Z1406" s="11"/>
      <c r="AA1406" s="11"/>
      <c r="AB1406" s="11"/>
      <c r="AC1406" s="11"/>
      <c r="AD1406" s="40"/>
      <c r="AE1406" s="11"/>
      <c r="AF1406" s="40"/>
      <c r="AI1406" s="11"/>
      <c r="AJ1406" s="11"/>
      <c r="AK1406" s="11"/>
      <c r="AL1406" s="11"/>
      <c r="AM1406" s="11"/>
      <c r="AN1406" s="11"/>
      <c r="AO1406" s="11"/>
      <c r="AY1406" s="11"/>
      <c r="BE1406" s="38"/>
      <c r="BF1406" s="38"/>
      <c r="BG1406" s="38"/>
      <c r="BH1406" s="11"/>
      <c r="BI1406" s="1"/>
      <c r="BJ1406" s="2"/>
      <c r="BK1406" s="1"/>
      <c r="BL1406" s="1"/>
      <c r="BM1406" s="7"/>
      <c r="BN1406" s="7"/>
      <c r="BO1406" s="1"/>
      <c r="BP1406" s="11"/>
      <c r="BQ1406" s="11"/>
    </row>
    <row r="1407" spans="1:69" x14ac:dyDescent="0.3">
      <c r="A1407" s="7"/>
      <c r="B1407" s="11"/>
      <c r="C1407" s="11"/>
      <c r="D1407" s="11"/>
      <c r="E1407" s="45"/>
      <c r="F1407" s="40"/>
      <c r="G1407" s="11"/>
      <c r="K1407" s="40"/>
      <c r="N1407" s="11"/>
      <c r="O1407" s="11"/>
      <c r="P1407" s="11"/>
      <c r="Q1407" s="11"/>
      <c r="R1407" s="11"/>
      <c r="S1407" s="11"/>
      <c r="T1407" s="11"/>
      <c r="U1407" s="11"/>
      <c r="V1407" s="11"/>
      <c r="W1407" s="11"/>
      <c r="X1407" s="11"/>
      <c r="Y1407" s="11"/>
      <c r="Z1407" s="11"/>
      <c r="AA1407" s="11"/>
      <c r="AB1407" s="11"/>
      <c r="AC1407" s="11"/>
      <c r="AD1407" s="40"/>
      <c r="AE1407" s="11"/>
      <c r="AF1407" s="40"/>
      <c r="AI1407" s="11"/>
      <c r="AJ1407" s="11"/>
      <c r="AK1407" s="11"/>
      <c r="AL1407" s="11"/>
      <c r="AM1407" s="11"/>
      <c r="AN1407" s="11"/>
      <c r="AO1407" s="11"/>
      <c r="AY1407" s="11"/>
      <c r="BE1407" s="38"/>
      <c r="BF1407" s="38"/>
      <c r="BG1407" s="38"/>
      <c r="BH1407" s="11"/>
      <c r="BI1407" s="1"/>
      <c r="BJ1407" s="2"/>
      <c r="BK1407" s="1"/>
      <c r="BL1407" s="1"/>
      <c r="BM1407" s="7"/>
      <c r="BN1407" s="7"/>
      <c r="BO1407" s="1"/>
      <c r="BP1407" s="11"/>
      <c r="BQ1407" s="11"/>
    </row>
    <row r="1408" spans="1:69" x14ac:dyDescent="0.3">
      <c r="A1408" s="7"/>
      <c r="B1408" s="11"/>
      <c r="C1408" s="11"/>
      <c r="D1408" s="11"/>
      <c r="E1408" s="45"/>
      <c r="F1408" s="40"/>
      <c r="G1408" s="11"/>
      <c r="K1408" s="40"/>
      <c r="N1408" s="11"/>
      <c r="O1408" s="11"/>
      <c r="P1408" s="11"/>
      <c r="Q1408" s="11"/>
      <c r="R1408" s="11"/>
      <c r="S1408" s="11"/>
      <c r="T1408" s="11"/>
      <c r="U1408" s="11"/>
      <c r="V1408" s="11"/>
      <c r="W1408" s="11"/>
      <c r="X1408" s="11"/>
      <c r="Y1408" s="11"/>
      <c r="Z1408" s="11"/>
      <c r="AA1408" s="11"/>
      <c r="AB1408" s="11"/>
      <c r="AC1408" s="11"/>
      <c r="AD1408" s="40"/>
      <c r="AE1408" s="11"/>
      <c r="AF1408" s="40"/>
      <c r="AI1408" s="11"/>
      <c r="AJ1408" s="11"/>
      <c r="AK1408" s="11"/>
      <c r="AL1408" s="11"/>
      <c r="AM1408" s="11"/>
      <c r="AN1408" s="11"/>
      <c r="AO1408" s="11"/>
      <c r="AY1408" s="11"/>
      <c r="BE1408" s="38"/>
      <c r="BF1408" s="38"/>
      <c r="BG1408" s="38"/>
      <c r="BH1408" s="11"/>
      <c r="BI1408" s="1"/>
      <c r="BJ1408" s="2"/>
      <c r="BK1408" s="1"/>
      <c r="BL1408" s="1"/>
      <c r="BM1408" s="7"/>
      <c r="BN1408" s="7"/>
      <c r="BO1408" s="1"/>
      <c r="BP1408" s="11"/>
      <c r="BQ1408" s="11"/>
    </row>
    <row r="1409" spans="1:69" x14ac:dyDescent="0.3">
      <c r="A1409" s="7"/>
      <c r="B1409" s="11"/>
      <c r="C1409" s="11"/>
      <c r="D1409" s="11"/>
      <c r="E1409" s="45"/>
      <c r="F1409" s="40"/>
      <c r="G1409" s="11"/>
      <c r="K1409" s="40"/>
      <c r="N1409" s="11"/>
      <c r="O1409" s="11"/>
      <c r="P1409" s="11"/>
      <c r="Q1409" s="11"/>
      <c r="R1409" s="11"/>
      <c r="S1409" s="11"/>
      <c r="T1409" s="11"/>
      <c r="U1409" s="11"/>
      <c r="V1409" s="11"/>
      <c r="W1409" s="11"/>
      <c r="X1409" s="11"/>
      <c r="Y1409" s="11"/>
      <c r="Z1409" s="11"/>
      <c r="AA1409" s="11"/>
      <c r="AB1409" s="11"/>
      <c r="AC1409" s="11"/>
      <c r="AD1409" s="40"/>
      <c r="AE1409" s="11"/>
      <c r="AF1409" s="40"/>
      <c r="AI1409" s="11"/>
      <c r="AJ1409" s="11"/>
      <c r="AK1409" s="11"/>
      <c r="AL1409" s="11"/>
      <c r="AM1409" s="11"/>
      <c r="AN1409" s="11"/>
      <c r="AO1409" s="11"/>
      <c r="AY1409" s="11"/>
      <c r="BE1409" s="38"/>
      <c r="BF1409" s="38"/>
      <c r="BG1409" s="38"/>
      <c r="BH1409" s="11"/>
      <c r="BI1409" s="1"/>
      <c r="BJ1409" s="2"/>
      <c r="BK1409" s="1"/>
      <c r="BL1409" s="1"/>
      <c r="BM1409" s="7"/>
      <c r="BN1409" s="7"/>
      <c r="BO1409" s="1"/>
      <c r="BP1409" s="11"/>
      <c r="BQ1409" s="11"/>
    </row>
    <row r="1410" spans="1:69" x14ac:dyDescent="0.3">
      <c r="A1410" s="7"/>
      <c r="B1410" s="11"/>
      <c r="C1410" s="11"/>
      <c r="D1410" s="11"/>
      <c r="E1410" s="45"/>
      <c r="F1410" s="40"/>
      <c r="G1410" s="11"/>
      <c r="K1410" s="40"/>
      <c r="N1410" s="11"/>
      <c r="O1410" s="11"/>
      <c r="P1410" s="11"/>
      <c r="Q1410" s="11"/>
      <c r="R1410" s="11"/>
      <c r="S1410" s="11"/>
      <c r="T1410" s="11"/>
      <c r="U1410" s="11"/>
      <c r="V1410" s="11"/>
      <c r="W1410" s="11"/>
      <c r="X1410" s="11"/>
      <c r="Y1410" s="11"/>
      <c r="Z1410" s="11"/>
      <c r="AA1410" s="11"/>
      <c r="AB1410" s="11"/>
      <c r="AC1410" s="11"/>
      <c r="AD1410" s="40"/>
      <c r="AE1410" s="11"/>
      <c r="AF1410" s="40"/>
      <c r="AI1410" s="11"/>
      <c r="AJ1410" s="11"/>
      <c r="AK1410" s="11"/>
      <c r="AL1410" s="11"/>
      <c r="AM1410" s="11"/>
      <c r="AN1410" s="11"/>
      <c r="AO1410" s="11"/>
      <c r="AY1410" s="11"/>
      <c r="BE1410" s="38"/>
      <c r="BF1410" s="38"/>
      <c r="BG1410" s="38"/>
      <c r="BH1410" s="11"/>
      <c r="BI1410" s="1"/>
      <c r="BJ1410" s="2"/>
      <c r="BK1410" s="1"/>
      <c r="BL1410" s="1"/>
      <c r="BM1410" s="7"/>
      <c r="BN1410" s="7"/>
      <c r="BO1410" s="1"/>
      <c r="BP1410" s="11"/>
      <c r="BQ1410" s="11"/>
    </row>
    <row r="1411" spans="1:69" x14ac:dyDescent="0.3">
      <c r="A1411" s="7"/>
      <c r="B1411" s="11"/>
      <c r="C1411" s="11"/>
      <c r="D1411" s="11"/>
      <c r="E1411" s="45"/>
      <c r="F1411" s="40"/>
      <c r="G1411" s="11"/>
      <c r="K1411" s="40"/>
      <c r="N1411" s="11"/>
      <c r="O1411" s="11"/>
      <c r="P1411" s="11"/>
      <c r="Q1411" s="11"/>
      <c r="R1411" s="11"/>
      <c r="S1411" s="11"/>
      <c r="T1411" s="11"/>
      <c r="U1411" s="11"/>
      <c r="V1411" s="11"/>
      <c r="W1411" s="11"/>
      <c r="X1411" s="11"/>
      <c r="Y1411" s="11"/>
      <c r="Z1411" s="11"/>
      <c r="AA1411" s="11"/>
      <c r="AB1411" s="11"/>
      <c r="AC1411" s="11"/>
      <c r="AD1411" s="40"/>
      <c r="AE1411" s="11"/>
      <c r="AF1411" s="40"/>
      <c r="AI1411" s="11"/>
      <c r="AJ1411" s="11"/>
      <c r="AK1411" s="11"/>
      <c r="AL1411" s="11"/>
      <c r="AM1411" s="11"/>
      <c r="AN1411" s="11"/>
      <c r="AO1411" s="11"/>
      <c r="AY1411" s="11"/>
      <c r="BE1411" s="38"/>
      <c r="BF1411" s="38"/>
      <c r="BG1411" s="38"/>
      <c r="BH1411" s="11"/>
      <c r="BI1411" s="1"/>
      <c r="BJ1411" s="2"/>
      <c r="BK1411" s="1"/>
      <c r="BL1411" s="1"/>
      <c r="BM1411" s="7"/>
      <c r="BN1411" s="7"/>
      <c r="BO1411" s="1"/>
      <c r="BP1411" s="11"/>
      <c r="BQ1411" s="11"/>
    </row>
    <row r="1412" spans="1:69" x14ac:dyDescent="0.3">
      <c r="A1412" s="7"/>
      <c r="B1412" s="11"/>
      <c r="C1412" s="11"/>
      <c r="D1412" s="11"/>
      <c r="E1412" s="45"/>
      <c r="F1412" s="40"/>
      <c r="G1412" s="11"/>
      <c r="K1412" s="40"/>
      <c r="N1412" s="11"/>
      <c r="O1412" s="11"/>
      <c r="P1412" s="11"/>
      <c r="Q1412" s="11"/>
      <c r="R1412" s="11"/>
      <c r="S1412" s="11"/>
      <c r="T1412" s="11"/>
      <c r="U1412" s="11"/>
      <c r="V1412" s="11"/>
      <c r="W1412" s="11"/>
      <c r="X1412" s="11"/>
      <c r="Y1412" s="11"/>
      <c r="Z1412" s="11"/>
      <c r="AA1412" s="11"/>
      <c r="AB1412" s="11"/>
      <c r="AC1412" s="11"/>
      <c r="AD1412" s="40"/>
      <c r="AE1412" s="11"/>
      <c r="AF1412" s="40"/>
      <c r="AI1412" s="11"/>
      <c r="AJ1412" s="11"/>
      <c r="AK1412" s="11"/>
      <c r="AL1412" s="11"/>
      <c r="AM1412" s="11"/>
      <c r="AN1412" s="11"/>
      <c r="AO1412" s="11"/>
      <c r="AY1412" s="11"/>
      <c r="BE1412" s="38"/>
      <c r="BF1412" s="38"/>
      <c r="BG1412" s="38"/>
      <c r="BH1412" s="11"/>
      <c r="BI1412" s="1"/>
      <c r="BJ1412" s="2"/>
      <c r="BK1412" s="1"/>
      <c r="BL1412" s="1"/>
      <c r="BM1412" s="7"/>
      <c r="BN1412" s="7"/>
      <c r="BO1412" s="1"/>
      <c r="BP1412" s="11"/>
      <c r="BQ1412" s="11"/>
    </row>
    <row r="1413" spans="1:69" x14ac:dyDescent="0.3">
      <c r="A1413" s="7"/>
      <c r="B1413" s="11"/>
      <c r="C1413" s="11"/>
      <c r="D1413" s="11"/>
      <c r="E1413" s="45"/>
      <c r="F1413" s="40"/>
      <c r="G1413" s="11"/>
      <c r="K1413" s="40"/>
      <c r="N1413" s="11"/>
      <c r="O1413" s="11"/>
      <c r="P1413" s="11"/>
      <c r="Q1413" s="11"/>
      <c r="R1413" s="11"/>
      <c r="S1413" s="11"/>
      <c r="T1413" s="11"/>
      <c r="U1413" s="11"/>
      <c r="V1413" s="11"/>
      <c r="W1413" s="11"/>
      <c r="X1413" s="11"/>
      <c r="Y1413" s="11"/>
      <c r="Z1413" s="11"/>
      <c r="AA1413" s="11"/>
      <c r="AB1413" s="11"/>
      <c r="AC1413" s="11"/>
      <c r="AD1413" s="40"/>
      <c r="AE1413" s="11"/>
      <c r="AF1413" s="40"/>
      <c r="AI1413" s="11"/>
      <c r="AJ1413" s="11"/>
      <c r="AK1413" s="11"/>
      <c r="AL1413" s="11"/>
      <c r="AM1413" s="11"/>
      <c r="AN1413" s="11"/>
      <c r="AO1413" s="11"/>
      <c r="AY1413" s="11"/>
      <c r="BE1413" s="38"/>
      <c r="BF1413" s="38"/>
      <c r="BG1413" s="38"/>
      <c r="BH1413" s="11"/>
      <c r="BI1413" s="1"/>
      <c r="BJ1413" s="2"/>
      <c r="BK1413" s="1"/>
      <c r="BL1413" s="1"/>
      <c r="BM1413" s="7"/>
      <c r="BN1413" s="7"/>
      <c r="BO1413" s="1"/>
      <c r="BP1413" s="11"/>
      <c r="BQ1413" s="11"/>
    </row>
    <row r="1414" spans="1:69" x14ac:dyDescent="0.3">
      <c r="A1414" s="7"/>
      <c r="B1414" s="11"/>
      <c r="C1414" s="11"/>
      <c r="D1414" s="11"/>
      <c r="E1414" s="45"/>
      <c r="F1414" s="40"/>
      <c r="G1414" s="11"/>
      <c r="K1414" s="40"/>
      <c r="N1414" s="11"/>
      <c r="O1414" s="11"/>
      <c r="P1414" s="11"/>
      <c r="Q1414" s="11"/>
      <c r="R1414" s="11"/>
      <c r="S1414" s="11"/>
      <c r="T1414" s="11"/>
      <c r="U1414" s="11"/>
      <c r="V1414" s="11"/>
      <c r="W1414" s="11"/>
      <c r="X1414" s="11"/>
      <c r="Y1414" s="11"/>
      <c r="Z1414" s="11"/>
      <c r="AA1414" s="11"/>
      <c r="AB1414" s="11"/>
      <c r="AC1414" s="11"/>
      <c r="AD1414" s="40"/>
      <c r="AE1414" s="11"/>
      <c r="AF1414" s="40"/>
      <c r="AI1414" s="11"/>
      <c r="AJ1414" s="11"/>
      <c r="AK1414" s="11"/>
      <c r="AL1414" s="11"/>
      <c r="AM1414" s="11"/>
      <c r="AN1414" s="11"/>
      <c r="AO1414" s="11"/>
      <c r="AY1414" s="11"/>
      <c r="BE1414" s="38"/>
      <c r="BF1414" s="38"/>
      <c r="BG1414" s="38"/>
      <c r="BH1414" s="11"/>
      <c r="BI1414" s="1"/>
      <c r="BJ1414" s="2"/>
      <c r="BK1414" s="1"/>
      <c r="BL1414" s="1"/>
      <c r="BM1414" s="7"/>
      <c r="BN1414" s="7"/>
      <c r="BO1414" s="1"/>
      <c r="BP1414" s="11"/>
      <c r="BQ1414" s="11"/>
    </row>
    <row r="1415" spans="1:69" x14ac:dyDescent="0.3">
      <c r="A1415" s="7"/>
      <c r="B1415" s="11"/>
      <c r="C1415" s="11"/>
      <c r="D1415" s="11"/>
      <c r="E1415" s="45"/>
      <c r="F1415" s="40"/>
      <c r="G1415" s="11"/>
      <c r="K1415" s="40"/>
      <c r="N1415" s="11"/>
      <c r="O1415" s="11"/>
      <c r="P1415" s="11"/>
      <c r="Q1415" s="11"/>
      <c r="R1415" s="11"/>
      <c r="S1415" s="11"/>
      <c r="T1415" s="11"/>
      <c r="U1415" s="11"/>
      <c r="V1415" s="11"/>
      <c r="W1415" s="11"/>
      <c r="X1415" s="11"/>
      <c r="Y1415" s="11"/>
      <c r="Z1415" s="11"/>
      <c r="AA1415" s="11"/>
      <c r="AB1415" s="11"/>
      <c r="AC1415" s="11"/>
      <c r="AD1415" s="40"/>
      <c r="AE1415" s="11"/>
      <c r="AF1415" s="40"/>
      <c r="AI1415" s="11"/>
      <c r="AJ1415" s="11"/>
      <c r="AK1415" s="11"/>
      <c r="AL1415" s="11"/>
      <c r="AM1415" s="11"/>
      <c r="AN1415" s="11"/>
      <c r="AO1415" s="11"/>
      <c r="AY1415" s="11"/>
      <c r="BE1415" s="38"/>
      <c r="BF1415" s="38"/>
      <c r="BG1415" s="38"/>
      <c r="BH1415" s="11"/>
      <c r="BI1415" s="1"/>
      <c r="BJ1415" s="2"/>
      <c r="BK1415" s="1"/>
      <c r="BL1415" s="1"/>
      <c r="BM1415" s="7"/>
      <c r="BN1415" s="7"/>
      <c r="BO1415" s="1"/>
      <c r="BP1415" s="11"/>
      <c r="BQ1415" s="11"/>
    </row>
    <row r="1416" spans="1:69" x14ac:dyDescent="0.3">
      <c r="A1416" s="7"/>
      <c r="B1416" s="11"/>
      <c r="C1416" s="11"/>
      <c r="D1416" s="11"/>
      <c r="E1416" s="45"/>
      <c r="F1416" s="40"/>
      <c r="G1416" s="11"/>
      <c r="K1416" s="40"/>
      <c r="N1416" s="11"/>
      <c r="O1416" s="11"/>
      <c r="P1416" s="11"/>
      <c r="Q1416" s="11"/>
      <c r="R1416" s="11"/>
      <c r="S1416" s="11"/>
      <c r="T1416" s="11"/>
      <c r="U1416" s="11"/>
      <c r="V1416" s="11"/>
      <c r="W1416" s="11"/>
      <c r="X1416" s="11"/>
      <c r="Y1416" s="11"/>
      <c r="Z1416" s="11"/>
      <c r="AA1416" s="11"/>
      <c r="AB1416" s="11"/>
      <c r="AC1416" s="11"/>
      <c r="AD1416" s="40"/>
      <c r="AE1416" s="11"/>
      <c r="AF1416" s="40"/>
      <c r="AI1416" s="11"/>
      <c r="AJ1416" s="11"/>
      <c r="AK1416" s="11"/>
      <c r="AL1416" s="11"/>
      <c r="AM1416" s="11"/>
      <c r="AN1416" s="11"/>
      <c r="AO1416" s="11"/>
      <c r="AY1416" s="11"/>
      <c r="BE1416" s="38"/>
      <c r="BF1416" s="38"/>
      <c r="BG1416" s="38"/>
      <c r="BH1416" s="11"/>
      <c r="BI1416" s="1"/>
      <c r="BJ1416" s="2"/>
      <c r="BK1416" s="1"/>
      <c r="BL1416" s="1"/>
      <c r="BM1416" s="7"/>
      <c r="BN1416" s="7"/>
      <c r="BO1416" s="1"/>
      <c r="BP1416" s="11"/>
      <c r="BQ1416" s="11"/>
    </row>
    <row r="1417" spans="1:69" x14ac:dyDescent="0.3">
      <c r="A1417" s="7"/>
      <c r="B1417" s="11"/>
      <c r="C1417" s="11"/>
      <c r="D1417" s="11"/>
      <c r="E1417" s="45"/>
      <c r="F1417" s="40"/>
      <c r="G1417" s="11"/>
      <c r="K1417" s="40"/>
      <c r="N1417" s="11"/>
      <c r="O1417" s="11"/>
      <c r="P1417" s="11"/>
      <c r="Q1417" s="11"/>
      <c r="R1417" s="11"/>
      <c r="S1417" s="11"/>
      <c r="T1417" s="11"/>
      <c r="U1417" s="11"/>
      <c r="V1417" s="11"/>
      <c r="W1417" s="11"/>
      <c r="X1417" s="11"/>
      <c r="Y1417" s="11"/>
      <c r="Z1417" s="11"/>
      <c r="AA1417" s="11"/>
      <c r="AB1417" s="11"/>
      <c r="AC1417" s="11"/>
      <c r="AD1417" s="40"/>
      <c r="AE1417" s="11"/>
      <c r="AF1417" s="40"/>
      <c r="AI1417" s="11"/>
      <c r="AJ1417" s="11"/>
      <c r="AK1417" s="11"/>
      <c r="AL1417" s="11"/>
      <c r="AM1417" s="11"/>
      <c r="AN1417" s="11"/>
      <c r="AO1417" s="11"/>
      <c r="AY1417" s="11"/>
      <c r="BE1417" s="38"/>
      <c r="BF1417" s="38"/>
      <c r="BG1417" s="38"/>
      <c r="BH1417" s="11"/>
      <c r="BI1417" s="1"/>
      <c r="BJ1417" s="2"/>
      <c r="BK1417" s="1"/>
      <c r="BL1417" s="1"/>
      <c r="BM1417" s="7"/>
      <c r="BN1417" s="7"/>
      <c r="BO1417" s="1"/>
      <c r="BP1417" s="11"/>
      <c r="BQ1417" s="11"/>
    </row>
    <row r="1418" spans="1:69" x14ac:dyDescent="0.3">
      <c r="A1418" s="7"/>
      <c r="B1418" s="11"/>
      <c r="C1418" s="11"/>
      <c r="D1418" s="11"/>
      <c r="E1418" s="45"/>
      <c r="F1418" s="40"/>
      <c r="G1418" s="11"/>
      <c r="K1418" s="40"/>
      <c r="N1418" s="11"/>
      <c r="O1418" s="11"/>
      <c r="P1418" s="11"/>
      <c r="Q1418" s="11"/>
      <c r="R1418" s="11"/>
      <c r="S1418" s="11"/>
      <c r="T1418" s="11"/>
      <c r="U1418" s="11"/>
      <c r="V1418" s="11"/>
      <c r="W1418" s="11"/>
      <c r="X1418" s="11"/>
      <c r="Y1418" s="11"/>
      <c r="Z1418" s="11"/>
      <c r="AA1418" s="11"/>
      <c r="AB1418" s="11"/>
      <c r="AC1418" s="11"/>
      <c r="AD1418" s="40"/>
      <c r="AE1418" s="11"/>
      <c r="AF1418" s="40"/>
      <c r="AI1418" s="11"/>
      <c r="AJ1418" s="11"/>
      <c r="AK1418" s="11"/>
      <c r="AL1418" s="11"/>
      <c r="AM1418" s="11"/>
      <c r="AN1418" s="11"/>
      <c r="AO1418" s="11"/>
      <c r="AY1418" s="11"/>
      <c r="BE1418" s="38"/>
      <c r="BF1418" s="38"/>
      <c r="BG1418" s="38"/>
      <c r="BH1418" s="11"/>
      <c r="BI1418" s="1"/>
      <c r="BJ1418" s="2"/>
      <c r="BK1418" s="1"/>
      <c r="BL1418" s="1"/>
      <c r="BM1418" s="7"/>
      <c r="BN1418" s="7"/>
      <c r="BO1418" s="1"/>
      <c r="BP1418" s="11"/>
      <c r="BQ1418" s="11"/>
    </row>
    <row r="1419" spans="1:69" x14ac:dyDescent="0.3">
      <c r="A1419" s="7"/>
      <c r="B1419" s="11"/>
      <c r="C1419" s="11"/>
      <c r="D1419" s="11"/>
      <c r="E1419" s="45"/>
      <c r="F1419" s="40"/>
      <c r="G1419" s="11"/>
      <c r="K1419" s="40"/>
      <c r="N1419" s="11"/>
      <c r="O1419" s="11"/>
      <c r="P1419" s="11"/>
      <c r="Q1419" s="11"/>
      <c r="R1419" s="11"/>
      <c r="S1419" s="11"/>
      <c r="T1419" s="11"/>
      <c r="U1419" s="11"/>
      <c r="V1419" s="11"/>
      <c r="W1419" s="11"/>
      <c r="X1419" s="11"/>
      <c r="Y1419" s="11"/>
      <c r="Z1419" s="11"/>
      <c r="AA1419" s="11"/>
      <c r="AB1419" s="11"/>
      <c r="AC1419" s="11"/>
      <c r="AD1419" s="40"/>
      <c r="AE1419" s="11"/>
      <c r="AF1419" s="40"/>
      <c r="AI1419" s="11"/>
      <c r="AJ1419" s="11"/>
      <c r="AK1419" s="11"/>
      <c r="AL1419" s="11"/>
      <c r="AM1419" s="11"/>
      <c r="AN1419" s="11"/>
      <c r="AO1419" s="11"/>
      <c r="AY1419" s="11"/>
      <c r="BE1419" s="38"/>
      <c r="BF1419" s="38"/>
      <c r="BG1419" s="38"/>
      <c r="BH1419" s="11"/>
      <c r="BI1419" s="1"/>
      <c r="BJ1419" s="2"/>
      <c r="BK1419" s="1"/>
      <c r="BL1419" s="1"/>
      <c r="BM1419" s="7"/>
      <c r="BN1419" s="7"/>
      <c r="BO1419" s="1"/>
      <c r="BP1419" s="11"/>
      <c r="BQ1419" s="11"/>
    </row>
    <row r="1420" spans="1:69" x14ac:dyDescent="0.3">
      <c r="A1420" s="7"/>
      <c r="B1420" s="11"/>
      <c r="C1420" s="11"/>
      <c r="D1420" s="11"/>
      <c r="E1420" s="45"/>
      <c r="F1420" s="40"/>
      <c r="G1420" s="11"/>
      <c r="K1420" s="40"/>
      <c r="N1420" s="11"/>
      <c r="O1420" s="11"/>
      <c r="P1420" s="11"/>
      <c r="Q1420" s="11"/>
      <c r="R1420" s="11"/>
      <c r="S1420" s="11"/>
      <c r="T1420" s="11"/>
      <c r="U1420" s="11"/>
      <c r="V1420" s="11"/>
      <c r="W1420" s="11"/>
      <c r="X1420" s="11"/>
      <c r="Y1420" s="11"/>
      <c r="Z1420" s="11"/>
      <c r="AA1420" s="11"/>
      <c r="AB1420" s="11"/>
      <c r="AC1420" s="11"/>
      <c r="AD1420" s="40"/>
      <c r="AE1420" s="11"/>
      <c r="AF1420" s="40"/>
      <c r="AI1420" s="11"/>
      <c r="AJ1420" s="11"/>
      <c r="AK1420" s="11"/>
      <c r="AL1420" s="11"/>
      <c r="AM1420" s="11"/>
      <c r="AN1420" s="11"/>
      <c r="AO1420" s="11"/>
      <c r="AY1420" s="11"/>
      <c r="BE1420" s="38"/>
      <c r="BF1420" s="38"/>
      <c r="BG1420" s="38"/>
      <c r="BH1420" s="11"/>
      <c r="BI1420" s="1"/>
      <c r="BJ1420" s="2"/>
      <c r="BK1420" s="1"/>
      <c r="BL1420" s="1"/>
      <c r="BM1420" s="7"/>
      <c r="BN1420" s="7"/>
      <c r="BO1420" s="1"/>
      <c r="BP1420" s="11"/>
      <c r="BQ1420" s="11"/>
    </row>
    <row r="1421" spans="1:69" x14ac:dyDescent="0.3">
      <c r="A1421" s="7"/>
      <c r="B1421" s="11"/>
      <c r="C1421" s="11"/>
      <c r="D1421" s="11"/>
      <c r="E1421" s="45"/>
      <c r="F1421" s="40"/>
      <c r="G1421" s="11"/>
      <c r="K1421" s="40"/>
      <c r="N1421" s="11"/>
      <c r="O1421" s="11"/>
      <c r="P1421" s="11"/>
      <c r="Q1421" s="11"/>
      <c r="R1421" s="11"/>
      <c r="S1421" s="11"/>
      <c r="T1421" s="11"/>
      <c r="U1421" s="11"/>
      <c r="V1421" s="11"/>
      <c r="W1421" s="11"/>
      <c r="X1421" s="11"/>
      <c r="Y1421" s="11"/>
      <c r="Z1421" s="11"/>
      <c r="AA1421" s="11"/>
      <c r="AB1421" s="11"/>
      <c r="AC1421" s="11"/>
      <c r="AD1421" s="40"/>
      <c r="AE1421" s="11"/>
      <c r="AF1421" s="40"/>
      <c r="AI1421" s="11"/>
      <c r="AJ1421" s="11"/>
      <c r="AK1421" s="11"/>
      <c r="AL1421" s="11"/>
      <c r="AM1421" s="11"/>
      <c r="AN1421" s="11"/>
      <c r="AO1421" s="11"/>
      <c r="AY1421" s="11"/>
      <c r="BE1421" s="38"/>
      <c r="BF1421" s="38"/>
      <c r="BG1421" s="38"/>
      <c r="BH1421" s="11"/>
      <c r="BI1421" s="1"/>
      <c r="BJ1421" s="2"/>
      <c r="BK1421" s="1"/>
      <c r="BL1421" s="1"/>
      <c r="BM1421" s="7"/>
      <c r="BN1421" s="7"/>
      <c r="BO1421" s="1"/>
      <c r="BP1421" s="11"/>
      <c r="BQ1421" s="11"/>
    </row>
    <row r="1422" spans="1:69" x14ac:dyDescent="0.3">
      <c r="A1422" s="7"/>
      <c r="B1422" s="11"/>
      <c r="C1422" s="11"/>
      <c r="D1422" s="11"/>
      <c r="E1422" s="45"/>
      <c r="F1422" s="40"/>
      <c r="G1422" s="11"/>
      <c r="K1422" s="40"/>
      <c r="N1422" s="11"/>
      <c r="O1422" s="11"/>
      <c r="P1422" s="11"/>
      <c r="Q1422" s="11"/>
      <c r="R1422" s="11"/>
      <c r="S1422" s="11"/>
      <c r="T1422" s="11"/>
      <c r="U1422" s="11"/>
      <c r="V1422" s="11"/>
      <c r="W1422" s="11"/>
      <c r="X1422" s="11"/>
      <c r="Y1422" s="11"/>
      <c r="Z1422" s="11"/>
      <c r="AA1422" s="11"/>
      <c r="AB1422" s="11"/>
      <c r="AC1422" s="11"/>
      <c r="AD1422" s="40"/>
      <c r="AE1422" s="11"/>
      <c r="AF1422" s="40"/>
      <c r="AI1422" s="11"/>
      <c r="AJ1422" s="11"/>
      <c r="AK1422" s="11"/>
      <c r="AL1422" s="11"/>
      <c r="AM1422" s="11"/>
      <c r="AN1422" s="11"/>
      <c r="AO1422" s="11"/>
      <c r="AY1422" s="11"/>
      <c r="BE1422" s="38"/>
      <c r="BF1422" s="38"/>
      <c r="BG1422" s="38"/>
      <c r="BH1422" s="11"/>
      <c r="BI1422" s="1"/>
      <c r="BJ1422" s="2"/>
      <c r="BK1422" s="1"/>
      <c r="BL1422" s="1"/>
      <c r="BM1422" s="7"/>
      <c r="BN1422" s="7"/>
      <c r="BO1422" s="1"/>
      <c r="BP1422" s="11"/>
      <c r="BQ1422" s="11"/>
    </row>
    <row r="1423" spans="1:69" x14ac:dyDescent="0.3">
      <c r="A1423" s="7"/>
      <c r="B1423" s="11"/>
      <c r="C1423" s="11"/>
      <c r="D1423" s="11"/>
      <c r="E1423" s="45"/>
      <c r="F1423" s="40"/>
      <c r="G1423" s="11"/>
      <c r="K1423" s="40"/>
      <c r="N1423" s="11"/>
      <c r="O1423" s="11"/>
      <c r="P1423" s="11"/>
      <c r="Q1423" s="11"/>
      <c r="R1423" s="11"/>
      <c r="S1423" s="11"/>
      <c r="T1423" s="11"/>
      <c r="U1423" s="11"/>
      <c r="V1423" s="11"/>
      <c r="W1423" s="11"/>
      <c r="X1423" s="11"/>
      <c r="Y1423" s="11"/>
      <c r="Z1423" s="11"/>
      <c r="AA1423" s="11"/>
      <c r="AB1423" s="11"/>
      <c r="AC1423" s="11"/>
      <c r="AD1423" s="40"/>
      <c r="AE1423" s="11"/>
      <c r="AF1423" s="40"/>
      <c r="AI1423" s="11"/>
      <c r="AJ1423" s="11"/>
      <c r="AK1423" s="11"/>
      <c r="AL1423" s="11"/>
      <c r="AM1423" s="11"/>
      <c r="AN1423" s="11"/>
      <c r="AO1423" s="11"/>
      <c r="AY1423" s="11"/>
      <c r="BE1423" s="38"/>
      <c r="BF1423" s="38"/>
      <c r="BG1423" s="38"/>
      <c r="BH1423" s="11"/>
      <c r="BI1423" s="1"/>
      <c r="BJ1423" s="2"/>
      <c r="BK1423" s="1"/>
      <c r="BL1423" s="1"/>
      <c r="BM1423" s="7"/>
      <c r="BN1423" s="7"/>
      <c r="BO1423" s="1"/>
      <c r="BP1423" s="11"/>
      <c r="BQ1423" s="11"/>
    </row>
    <row r="1424" spans="1:69" x14ac:dyDescent="0.3">
      <c r="A1424" s="7"/>
      <c r="B1424" s="11"/>
      <c r="C1424" s="11"/>
      <c r="D1424" s="11"/>
      <c r="E1424" s="45"/>
      <c r="F1424" s="40"/>
      <c r="G1424" s="11"/>
      <c r="K1424" s="40"/>
      <c r="N1424" s="11"/>
      <c r="O1424" s="11"/>
      <c r="P1424" s="11"/>
      <c r="Q1424" s="11"/>
      <c r="R1424" s="11"/>
      <c r="S1424" s="11"/>
      <c r="T1424" s="11"/>
      <c r="U1424" s="11"/>
      <c r="V1424" s="11"/>
      <c r="W1424" s="11"/>
      <c r="X1424" s="11"/>
      <c r="Y1424" s="11"/>
      <c r="Z1424" s="11"/>
      <c r="AA1424" s="11"/>
      <c r="AB1424" s="11"/>
      <c r="AC1424" s="11"/>
      <c r="AD1424" s="40"/>
      <c r="AE1424" s="11"/>
      <c r="AF1424" s="40"/>
      <c r="AI1424" s="11"/>
      <c r="AJ1424" s="11"/>
      <c r="AK1424" s="11"/>
      <c r="AL1424" s="11"/>
      <c r="AM1424" s="11"/>
      <c r="AN1424" s="11"/>
      <c r="AO1424" s="11"/>
      <c r="AY1424" s="11"/>
      <c r="BE1424" s="38"/>
      <c r="BF1424" s="38"/>
      <c r="BG1424" s="38"/>
      <c r="BH1424" s="11"/>
      <c r="BI1424" s="1"/>
      <c r="BJ1424" s="2"/>
      <c r="BK1424" s="1"/>
      <c r="BL1424" s="1"/>
      <c r="BM1424" s="7"/>
      <c r="BN1424" s="7"/>
      <c r="BO1424" s="1"/>
      <c r="BP1424" s="11"/>
      <c r="BQ1424" s="11"/>
    </row>
    <row r="1425" spans="1:69" x14ac:dyDescent="0.3">
      <c r="A1425" s="7"/>
      <c r="B1425" s="11"/>
      <c r="C1425" s="11"/>
      <c r="D1425" s="11"/>
      <c r="E1425" s="45"/>
      <c r="F1425" s="40"/>
      <c r="G1425" s="11"/>
      <c r="K1425" s="40"/>
      <c r="N1425" s="11"/>
      <c r="O1425" s="11"/>
      <c r="P1425" s="11"/>
      <c r="Q1425" s="11"/>
      <c r="R1425" s="11"/>
      <c r="S1425" s="11"/>
      <c r="T1425" s="11"/>
      <c r="U1425" s="11"/>
      <c r="V1425" s="11"/>
      <c r="W1425" s="11"/>
      <c r="X1425" s="11"/>
      <c r="Y1425" s="11"/>
      <c r="Z1425" s="11"/>
      <c r="AA1425" s="11"/>
      <c r="AB1425" s="11"/>
      <c r="AC1425" s="11"/>
      <c r="AD1425" s="40"/>
      <c r="AE1425" s="11"/>
      <c r="AF1425" s="40"/>
      <c r="AI1425" s="11"/>
      <c r="AJ1425" s="11"/>
      <c r="AK1425" s="11"/>
      <c r="AL1425" s="11"/>
      <c r="AM1425" s="11"/>
      <c r="AN1425" s="11"/>
      <c r="AO1425" s="11"/>
      <c r="AY1425" s="11"/>
      <c r="BE1425" s="38"/>
      <c r="BF1425" s="38"/>
      <c r="BG1425" s="38"/>
      <c r="BH1425" s="11"/>
      <c r="BI1425" s="1"/>
      <c r="BJ1425" s="2"/>
      <c r="BK1425" s="1"/>
      <c r="BL1425" s="1"/>
      <c r="BM1425" s="7"/>
      <c r="BN1425" s="7"/>
      <c r="BO1425" s="1"/>
      <c r="BP1425" s="11"/>
      <c r="BQ1425" s="11"/>
    </row>
    <row r="1426" spans="1:69" x14ac:dyDescent="0.3">
      <c r="A1426" s="7"/>
      <c r="B1426" s="11"/>
      <c r="C1426" s="11"/>
      <c r="D1426" s="11"/>
      <c r="E1426" s="45"/>
      <c r="F1426" s="40"/>
      <c r="G1426" s="11"/>
      <c r="K1426" s="40"/>
      <c r="N1426" s="11"/>
      <c r="O1426" s="11"/>
      <c r="P1426" s="11"/>
      <c r="Q1426" s="11"/>
      <c r="R1426" s="11"/>
      <c r="S1426" s="11"/>
      <c r="T1426" s="11"/>
      <c r="U1426" s="11"/>
      <c r="V1426" s="11"/>
      <c r="W1426" s="11"/>
      <c r="X1426" s="11"/>
      <c r="Y1426" s="11"/>
      <c r="Z1426" s="11"/>
      <c r="AA1426" s="11"/>
      <c r="AB1426" s="11"/>
      <c r="AC1426" s="11"/>
      <c r="AD1426" s="40"/>
      <c r="AE1426" s="11"/>
      <c r="AF1426" s="40"/>
      <c r="AI1426" s="11"/>
      <c r="AJ1426" s="11"/>
      <c r="AK1426" s="11"/>
      <c r="AL1426" s="11"/>
      <c r="AM1426" s="11"/>
      <c r="AN1426" s="11"/>
      <c r="AO1426" s="11"/>
      <c r="AY1426" s="11"/>
      <c r="BE1426" s="38"/>
      <c r="BF1426" s="38"/>
      <c r="BG1426" s="38"/>
      <c r="BH1426" s="11"/>
      <c r="BI1426" s="1"/>
      <c r="BJ1426" s="2"/>
      <c r="BK1426" s="1"/>
      <c r="BL1426" s="1"/>
      <c r="BM1426" s="7"/>
      <c r="BN1426" s="7"/>
      <c r="BO1426" s="1"/>
      <c r="BP1426" s="11"/>
      <c r="BQ1426" s="11"/>
    </row>
    <row r="1427" spans="1:69" x14ac:dyDescent="0.3">
      <c r="A1427" s="7"/>
      <c r="B1427" s="11"/>
      <c r="C1427" s="11"/>
      <c r="D1427" s="11"/>
      <c r="E1427" s="45"/>
      <c r="F1427" s="40"/>
      <c r="G1427" s="11"/>
      <c r="K1427" s="40"/>
      <c r="N1427" s="11"/>
      <c r="O1427" s="11"/>
      <c r="P1427" s="11"/>
      <c r="Q1427" s="11"/>
      <c r="R1427" s="11"/>
      <c r="S1427" s="11"/>
      <c r="T1427" s="11"/>
      <c r="U1427" s="11"/>
      <c r="V1427" s="11"/>
      <c r="W1427" s="11"/>
      <c r="X1427" s="11"/>
      <c r="Y1427" s="11"/>
      <c r="Z1427" s="11"/>
      <c r="AA1427" s="11"/>
      <c r="AB1427" s="11"/>
      <c r="AC1427" s="11"/>
      <c r="AD1427" s="40"/>
      <c r="AE1427" s="11"/>
      <c r="AF1427" s="40"/>
      <c r="AI1427" s="11"/>
      <c r="AJ1427" s="11"/>
      <c r="AK1427" s="11"/>
      <c r="AL1427" s="11"/>
      <c r="AM1427" s="11"/>
      <c r="AN1427" s="11"/>
      <c r="AO1427" s="11"/>
      <c r="AY1427" s="11"/>
      <c r="BE1427" s="38"/>
      <c r="BF1427" s="38"/>
      <c r="BG1427" s="38"/>
      <c r="BH1427" s="11"/>
      <c r="BI1427" s="1"/>
      <c r="BJ1427" s="2"/>
      <c r="BK1427" s="1"/>
      <c r="BL1427" s="1"/>
      <c r="BM1427" s="7"/>
      <c r="BN1427" s="7"/>
      <c r="BO1427" s="1"/>
      <c r="BP1427" s="11"/>
      <c r="BQ1427" s="11"/>
    </row>
    <row r="1428" spans="1:69" x14ac:dyDescent="0.3">
      <c r="A1428" s="7"/>
      <c r="B1428" s="11"/>
      <c r="C1428" s="11"/>
      <c r="D1428" s="11"/>
      <c r="E1428" s="45"/>
      <c r="F1428" s="40"/>
      <c r="G1428" s="11"/>
      <c r="K1428" s="40"/>
      <c r="N1428" s="11"/>
      <c r="O1428" s="11"/>
      <c r="P1428" s="11"/>
      <c r="Q1428" s="11"/>
      <c r="R1428" s="11"/>
      <c r="S1428" s="11"/>
      <c r="T1428" s="11"/>
      <c r="U1428" s="11"/>
      <c r="V1428" s="11"/>
      <c r="W1428" s="11"/>
      <c r="X1428" s="11"/>
      <c r="Y1428" s="11"/>
      <c r="Z1428" s="11"/>
      <c r="AA1428" s="11"/>
      <c r="AB1428" s="11"/>
      <c r="AC1428" s="11"/>
      <c r="AD1428" s="40"/>
      <c r="AE1428" s="11"/>
      <c r="AF1428" s="40"/>
      <c r="AI1428" s="11"/>
      <c r="AJ1428" s="11"/>
      <c r="AK1428" s="11"/>
      <c r="AL1428" s="11"/>
      <c r="AM1428" s="11"/>
      <c r="AN1428" s="11"/>
      <c r="AO1428" s="11"/>
      <c r="AY1428" s="11"/>
      <c r="BE1428" s="38"/>
      <c r="BF1428" s="38"/>
      <c r="BG1428" s="38"/>
      <c r="BH1428" s="11"/>
      <c r="BI1428" s="1"/>
      <c r="BJ1428" s="2"/>
      <c r="BK1428" s="1"/>
      <c r="BL1428" s="1"/>
      <c r="BM1428" s="7"/>
      <c r="BN1428" s="7"/>
      <c r="BO1428" s="1"/>
      <c r="BP1428" s="11"/>
      <c r="BQ1428" s="11"/>
    </row>
    <row r="1429" spans="1:69" x14ac:dyDescent="0.3">
      <c r="A1429" s="7"/>
      <c r="B1429" s="11"/>
      <c r="C1429" s="11"/>
      <c r="D1429" s="11"/>
      <c r="E1429" s="45"/>
      <c r="F1429" s="40"/>
      <c r="G1429" s="11"/>
      <c r="K1429" s="40"/>
      <c r="N1429" s="11"/>
      <c r="O1429" s="11"/>
      <c r="P1429" s="11"/>
      <c r="Q1429" s="11"/>
      <c r="R1429" s="11"/>
      <c r="S1429" s="11"/>
      <c r="T1429" s="11"/>
      <c r="U1429" s="11"/>
      <c r="V1429" s="11"/>
      <c r="W1429" s="11"/>
      <c r="X1429" s="11"/>
      <c r="Y1429" s="11"/>
      <c r="Z1429" s="11"/>
      <c r="AA1429" s="11"/>
      <c r="AB1429" s="11"/>
      <c r="AC1429" s="11"/>
      <c r="AD1429" s="40"/>
      <c r="AE1429" s="11"/>
      <c r="AF1429" s="40"/>
      <c r="AI1429" s="11"/>
      <c r="AJ1429" s="11"/>
      <c r="AK1429" s="11"/>
      <c r="AL1429" s="11"/>
      <c r="AM1429" s="11"/>
      <c r="AN1429" s="11"/>
      <c r="AO1429" s="11"/>
      <c r="AY1429" s="11"/>
      <c r="BE1429" s="38"/>
      <c r="BF1429" s="38"/>
      <c r="BG1429" s="38"/>
      <c r="BH1429" s="11"/>
      <c r="BI1429" s="1"/>
      <c r="BJ1429" s="2"/>
      <c r="BK1429" s="1"/>
      <c r="BL1429" s="1"/>
      <c r="BM1429" s="7"/>
      <c r="BN1429" s="7"/>
      <c r="BO1429" s="1"/>
      <c r="BP1429" s="11"/>
      <c r="BQ1429" s="11"/>
    </row>
    <row r="1430" spans="1:69" x14ac:dyDescent="0.3">
      <c r="A1430" s="7"/>
      <c r="B1430" s="11"/>
      <c r="C1430" s="11"/>
      <c r="D1430" s="11"/>
      <c r="E1430" s="45"/>
      <c r="F1430" s="40"/>
      <c r="G1430" s="11"/>
      <c r="K1430" s="40"/>
      <c r="N1430" s="11"/>
      <c r="O1430" s="11"/>
      <c r="P1430" s="11"/>
      <c r="Q1430" s="11"/>
      <c r="R1430" s="11"/>
      <c r="S1430" s="11"/>
      <c r="T1430" s="11"/>
      <c r="U1430" s="11"/>
      <c r="V1430" s="11"/>
      <c r="W1430" s="11"/>
      <c r="X1430" s="11"/>
      <c r="Y1430" s="11"/>
      <c r="Z1430" s="11"/>
      <c r="AA1430" s="11"/>
      <c r="AB1430" s="11"/>
      <c r="AC1430" s="11"/>
      <c r="AD1430" s="40"/>
      <c r="AE1430" s="11"/>
      <c r="AF1430" s="40"/>
      <c r="AI1430" s="11"/>
      <c r="AJ1430" s="11"/>
      <c r="AK1430" s="11"/>
      <c r="AL1430" s="11"/>
      <c r="AM1430" s="11"/>
      <c r="AN1430" s="11"/>
      <c r="AO1430" s="11"/>
      <c r="AY1430" s="11"/>
      <c r="BE1430" s="38"/>
      <c r="BF1430" s="38"/>
      <c r="BG1430" s="38"/>
      <c r="BH1430" s="11"/>
      <c r="BI1430" s="1"/>
      <c r="BJ1430" s="2"/>
      <c r="BK1430" s="1"/>
      <c r="BL1430" s="1"/>
      <c r="BM1430" s="7"/>
      <c r="BN1430" s="7"/>
      <c r="BO1430" s="1"/>
      <c r="BP1430" s="11"/>
      <c r="BQ1430" s="11"/>
    </row>
    <row r="1431" spans="1:69" x14ac:dyDescent="0.3">
      <c r="A1431" s="7"/>
      <c r="B1431" s="11"/>
      <c r="C1431" s="11"/>
      <c r="D1431" s="11"/>
      <c r="E1431" s="45"/>
      <c r="F1431" s="40"/>
      <c r="G1431" s="11"/>
      <c r="K1431" s="40"/>
      <c r="N1431" s="11"/>
      <c r="O1431" s="11"/>
      <c r="P1431" s="11"/>
      <c r="Q1431" s="11"/>
      <c r="R1431" s="11"/>
      <c r="S1431" s="11"/>
      <c r="T1431" s="11"/>
      <c r="U1431" s="11"/>
      <c r="V1431" s="11"/>
      <c r="W1431" s="11"/>
      <c r="X1431" s="11"/>
      <c r="Y1431" s="11"/>
      <c r="Z1431" s="11"/>
      <c r="AA1431" s="11"/>
      <c r="AB1431" s="11"/>
      <c r="AC1431" s="11"/>
      <c r="AD1431" s="40"/>
      <c r="AE1431" s="11"/>
      <c r="AF1431" s="40"/>
      <c r="AI1431" s="11"/>
      <c r="AJ1431" s="11"/>
      <c r="AK1431" s="11"/>
      <c r="AL1431" s="11"/>
      <c r="AM1431" s="11"/>
      <c r="AN1431" s="11"/>
      <c r="AO1431" s="11"/>
      <c r="AY1431" s="11"/>
      <c r="BE1431" s="38"/>
      <c r="BF1431" s="38"/>
      <c r="BG1431" s="38"/>
      <c r="BH1431" s="11"/>
      <c r="BI1431" s="1"/>
      <c r="BJ1431" s="2"/>
      <c r="BK1431" s="1"/>
      <c r="BL1431" s="1"/>
      <c r="BM1431" s="7"/>
      <c r="BN1431" s="7"/>
      <c r="BO1431" s="1"/>
      <c r="BP1431" s="11"/>
      <c r="BQ1431" s="11"/>
    </row>
    <row r="1432" spans="1:69" x14ac:dyDescent="0.3">
      <c r="A1432" s="7"/>
      <c r="B1432" s="11"/>
      <c r="C1432" s="11"/>
      <c r="D1432" s="11"/>
      <c r="E1432" s="45"/>
      <c r="F1432" s="40"/>
      <c r="G1432" s="11"/>
      <c r="K1432" s="40"/>
      <c r="N1432" s="11"/>
      <c r="O1432" s="11"/>
      <c r="P1432" s="11"/>
      <c r="Q1432" s="11"/>
      <c r="R1432" s="11"/>
      <c r="S1432" s="11"/>
      <c r="T1432" s="11"/>
      <c r="U1432" s="11"/>
      <c r="V1432" s="11"/>
      <c r="W1432" s="11"/>
      <c r="X1432" s="11"/>
      <c r="Y1432" s="11"/>
      <c r="Z1432" s="11"/>
      <c r="AA1432" s="11"/>
      <c r="AB1432" s="11"/>
      <c r="AC1432" s="11"/>
      <c r="AD1432" s="40"/>
      <c r="AE1432" s="11"/>
      <c r="AF1432" s="40"/>
      <c r="AI1432" s="11"/>
      <c r="AJ1432" s="11"/>
      <c r="AK1432" s="11"/>
      <c r="AL1432" s="11"/>
      <c r="AM1432" s="11"/>
      <c r="AN1432" s="11"/>
      <c r="AO1432" s="11"/>
      <c r="AY1432" s="11"/>
      <c r="BE1432" s="38"/>
      <c r="BF1432" s="38"/>
      <c r="BG1432" s="38"/>
      <c r="BH1432" s="11"/>
      <c r="BI1432" s="1"/>
      <c r="BJ1432" s="2"/>
      <c r="BK1432" s="1"/>
      <c r="BL1432" s="1"/>
      <c r="BM1432" s="7"/>
      <c r="BN1432" s="7"/>
      <c r="BO1432" s="1"/>
      <c r="BP1432" s="11"/>
      <c r="BQ1432" s="11"/>
    </row>
    <row r="1433" spans="1:69" x14ac:dyDescent="0.3">
      <c r="A1433" s="7"/>
      <c r="B1433" s="11"/>
      <c r="C1433" s="11"/>
      <c r="D1433" s="11"/>
      <c r="E1433" s="45"/>
      <c r="F1433" s="40"/>
      <c r="G1433" s="11"/>
      <c r="K1433" s="40"/>
      <c r="N1433" s="11"/>
      <c r="O1433" s="11"/>
      <c r="P1433" s="11"/>
      <c r="Q1433" s="11"/>
      <c r="R1433" s="11"/>
      <c r="S1433" s="11"/>
      <c r="T1433" s="11"/>
      <c r="U1433" s="11"/>
      <c r="V1433" s="11"/>
      <c r="W1433" s="11"/>
      <c r="X1433" s="11"/>
      <c r="Y1433" s="11"/>
      <c r="Z1433" s="11"/>
      <c r="AA1433" s="11"/>
      <c r="AB1433" s="11"/>
      <c r="AC1433" s="11"/>
      <c r="AD1433" s="40"/>
      <c r="AE1433" s="11"/>
      <c r="AF1433" s="40"/>
      <c r="AI1433" s="11"/>
      <c r="AJ1433" s="11"/>
      <c r="AK1433" s="11"/>
      <c r="AL1433" s="11"/>
      <c r="AM1433" s="11"/>
      <c r="AN1433" s="11"/>
      <c r="AO1433" s="11"/>
      <c r="AY1433" s="11"/>
      <c r="BE1433" s="38"/>
      <c r="BF1433" s="38"/>
      <c r="BG1433" s="38"/>
      <c r="BH1433" s="11"/>
      <c r="BI1433" s="1"/>
      <c r="BJ1433" s="2"/>
      <c r="BK1433" s="1"/>
      <c r="BL1433" s="1"/>
      <c r="BM1433" s="7"/>
      <c r="BN1433" s="7"/>
      <c r="BO1433" s="1"/>
      <c r="BP1433" s="11"/>
      <c r="BQ1433" s="11"/>
    </row>
    <row r="1434" spans="1:69" x14ac:dyDescent="0.3">
      <c r="A1434" s="7"/>
      <c r="B1434" s="11"/>
      <c r="C1434" s="11"/>
      <c r="D1434" s="11"/>
      <c r="E1434" s="45"/>
      <c r="F1434" s="40"/>
      <c r="G1434" s="11"/>
      <c r="K1434" s="40"/>
      <c r="N1434" s="11"/>
      <c r="O1434" s="11"/>
      <c r="P1434" s="11"/>
      <c r="Q1434" s="11"/>
      <c r="R1434" s="11"/>
      <c r="S1434" s="11"/>
      <c r="T1434" s="11"/>
      <c r="U1434" s="11"/>
      <c r="V1434" s="11"/>
      <c r="W1434" s="11"/>
      <c r="X1434" s="11"/>
      <c r="Y1434" s="11"/>
      <c r="Z1434" s="11"/>
      <c r="AA1434" s="11"/>
      <c r="AB1434" s="11"/>
      <c r="AC1434" s="11"/>
      <c r="AD1434" s="40"/>
      <c r="AE1434" s="11"/>
      <c r="AF1434" s="40"/>
      <c r="AI1434" s="11"/>
      <c r="AJ1434" s="11"/>
      <c r="AK1434" s="11"/>
      <c r="AL1434" s="11"/>
      <c r="AM1434" s="11"/>
      <c r="AN1434" s="11"/>
      <c r="AO1434" s="11"/>
      <c r="AY1434" s="11"/>
      <c r="BE1434" s="38"/>
      <c r="BF1434" s="38"/>
      <c r="BG1434" s="38"/>
      <c r="BH1434" s="11"/>
      <c r="BI1434" s="1"/>
      <c r="BJ1434" s="2"/>
      <c r="BK1434" s="1"/>
      <c r="BL1434" s="1"/>
      <c r="BM1434" s="7"/>
      <c r="BN1434" s="7"/>
      <c r="BO1434" s="1"/>
      <c r="BP1434" s="11"/>
      <c r="BQ1434" s="11"/>
    </row>
    <row r="1435" spans="1:69" x14ac:dyDescent="0.3">
      <c r="A1435" s="7"/>
      <c r="B1435" s="11"/>
      <c r="C1435" s="11"/>
      <c r="D1435" s="11"/>
      <c r="E1435" s="45"/>
      <c r="F1435" s="40"/>
      <c r="G1435" s="11"/>
      <c r="K1435" s="40"/>
      <c r="N1435" s="11"/>
      <c r="O1435" s="11"/>
      <c r="P1435" s="11"/>
      <c r="Q1435" s="11"/>
      <c r="R1435" s="11"/>
      <c r="S1435" s="11"/>
      <c r="T1435" s="11"/>
      <c r="U1435" s="11"/>
      <c r="V1435" s="11"/>
      <c r="W1435" s="11"/>
      <c r="X1435" s="11"/>
      <c r="Y1435" s="11"/>
      <c r="Z1435" s="11"/>
      <c r="AA1435" s="11"/>
      <c r="AB1435" s="11"/>
      <c r="AC1435" s="11"/>
      <c r="AD1435" s="40"/>
      <c r="AE1435" s="11"/>
      <c r="AF1435" s="40"/>
      <c r="AI1435" s="11"/>
      <c r="AJ1435" s="11"/>
      <c r="AK1435" s="11"/>
      <c r="AL1435" s="11"/>
      <c r="AM1435" s="11"/>
      <c r="AN1435" s="11"/>
      <c r="AO1435" s="11"/>
      <c r="AY1435" s="11"/>
      <c r="BE1435" s="38"/>
      <c r="BF1435" s="38"/>
      <c r="BG1435" s="38"/>
      <c r="BH1435" s="11"/>
      <c r="BI1435" s="1"/>
      <c r="BJ1435" s="2"/>
      <c r="BK1435" s="1"/>
      <c r="BL1435" s="1"/>
      <c r="BM1435" s="7"/>
      <c r="BN1435" s="7"/>
      <c r="BO1435" s="1"/>
      <c r="BP1435" s="11"/>
      <c r="BQ1435" s="11"/>
    </row>
    <row r="1436" spans="1:69" x14ac:dyDescent="0.3">
      <c r="A1436" s="7"/>
      <c r="B1436" s="11"/>
      <c r="C1436" s="11"/>
      <c r="D1436" s="11"/>
      <c r="E1436" s="45"/>
      <c r="F1436" s="40"/>
      <c r="G1436" s="11"/>
      <c r="K1436" s="40"/>
      <c r="N1436" s="11"/>
      <c r="O1436" s="11"/>
      <c r="P1436" s="11"/>
      <c r="Q1436" s="11"/>
      <c r="R1436" s="11"/>
      <c r="S1436" s="11"/>
      <c r="T1436" s="11"/>
      <c r="U1436" s="11"/>
      <c r="V1436" s="11"/>
      <c r="W1436" s="11"/>
      <c r="X1436" s="11"/>
      <c r="Y1436" s="11"/>
      <c r="Z1436" s="11"/>
      <c r="AA1436" s="11"/>
      <c r="AB1436" s="11"/>
      <c r="AC1436" s="11"/>
      <c r="AD1436" s="40"/>
      <c r="AE1436" s="11"/>
      <c r="AF1436" s="40"/>
      <c r="AI1436" s="11"/>
      <c r="AJ1436" s="11"/>
      <c r="AK1436" s="11"/>
      <c r="AL1436" s="11"/>
      <c r="AM1436" s="11"/>
      <c r="AN1436" s="11"/>
      <c r="AO1436" s="11"/>
      <c r="AY1436" s="11"/>
      <c r="BE1436" s="38"/>
      <c r="BF1436" s="38"/>
      <c r="BG1436" s="38"/>
      <c r="BH1436" s="11"/>
      <c r="BI1436" s="1"/>
      <c r="BJ1436" s="2"/>
      <c r="BK1436" s="1"/>
      <c r="BL1436" s="1"/>
      <c r="BM1436" s="7"/>
      <c r="BN1436" s="7"/>
      <c r="BO1436" s="1"/>
      <c r="BP1436" s="11"/>
      <c r="BQ1436" s="11"/>
    </row>
    <row r="1437" spans="1:69" x14ac:dyDescent="0.3">
      <c r="A1437" s="7"/>
      <c r="B1437" s="11"/>
      <c r="C1437" s="11"/>
      <c r="D1437" s="11"/>
      <c r="E1437" s="45"/>
      <c r="F1437" s="40"/>
      <c r="G1437" s="11"/>
      <c r="K1437" s="40"/>
      <c r="N1437" s="11"/>
      <c r="O1437" s="11"/>
      <c r="P1437" s="11"/>
      <c r="Q1437" s="11"/>
      <c r="R1437" s="11"/>
      <c r="S1437" s="11"/>
      <c r="T1437" s="11"/>
      <c r="U1437" s="11"/>
      <c r="V1437" s="11"/>
      <c r="W1437" s="11"/>
      <c r="X1437" s="11"/>
      <c r="Y1437" s="11"/>
      <c r="Z1437" s="11"/>
      <c r="AA1437" s="11"/>
      <c r="AB1437" s="11"/>
      <c r="AC1437" s="11"/>
      <c r="AD1437" s="40"/>
      <c r="AE1437" s="11"/>
      <c r="AF1437" s="40"/>
      <c r="AI1437" s="11"/>
      <c r="AJ1437" s="11"/>
      <c r="AK1437" s="11"/>
      <c r="AL1437" s="11"/>
      <c r="AM1437" s="11"/>
      <c r="AN1437" s="11"/>
      <c r="AO1437" s="11"/>
      <c r="AY1437" s="11"/>
      <c r="BE1437" s="38"/>
      <c r="BF1437" s="38"/>
      <c r="BG1437" s="38"/>
      <c r="BH1437" s="11"/>
      <c r="BI1437" s="1"/>
      <c r="BJ1437" s="2"/>
      <c r="BK1437" s="1"/>
      <c r="BL1437" s="1"/>
      <c r="BM1437" s="7"/>
      <c r="BN1437" s="7"/>
      <c r="BO1437" s="1"/>
      <c r="BP1437" s="11"/>
      <c r="BQ1437" s="11"/>
    </row>
    <row r="1438" spans="1:69" x14ac:dyDescent="0.3">
      <c r="A1438" s="7"/>
      <c r="B1438" s="11"/>
      <c r="C1438" s="11"/>
      <c r="D1438" s="11"/>
      <c r="E1438" s="45"/>
      <c r="F1438" s="40"/>
      <c r="G1438" s="11"/>
      <c r="K1438" s="40"/>
      <c r="N1438" s="11"/>
      <c r="O1438" s="11"/>
      <c r="P1438" s="11"/>
      <c r="Q1438" s="11"/>
      <c r="R1438" s="11"/>
      <c r="S1438" s="11"/>
      <c r="T1438" s="11"/>
      <c r="U1438" s="11"/>
      <c r="V1438" s="11"/>
      <c r="W1438" s="11"/>
      <c r="X1438" s="11"/>
      <c r="Y1438" s="11"/>
      <c r="Z1438" s="11"/>
      <c r="AA1438" s="11"/>
      <c r="AB1438" s="11"/>
      <c r="AC1438" s="11"/>
      <c r="AD1438" s="40"/>
      <c r="AE1438" s="11"/>
      <c r="AF1438" s="40"/>
      <c r="AI1438" s="11"/>
      <c r="AJ1438" s="11"/>
      <c r="AK1438" s="11"/>
      <c r="AL1438" s="11"/>
      <c r="AM1438" s="11"/>
      <c r="AN1438" s="11"/>
      <c r="AO1438" s="11"/>
      <c r="AY1438" s="11"/>
      <c r="BE1438" s="38"/>
      <c r="BF1438" s="38"/>
      <c r="BG1438" s="38"/>
      <c r="BH1438" s="11"/>
      <c r="BI1438" s="1"/>
      <c r="BJ1438" s="2"/>
      <c r="BK1438" s="1"/>
      <c r="BL1438" s="1"/>
      <c r="BM1438" s="7"/>
      <c r="BN1438" s="7"/>
      <c r="BO1438" s="1"/>
      <c r="BP1438" s="11"/>
      <c r="BQ1438" s="11"/>
    </row>
    <row r="1439" spans="1:69" x14ac:dyDescent="0.3">
      <c r="A1439" s="7"/>
      <c r="B1439" s="11"/>
      <c r="C1439" s="11"/>
      <c r="D1439" s="11"/>
      <c r="E1439" s="45"/>
      <c r="F1439" s="40"/>
      <c r="G1439" s="11"/>
      <c r="K1439" s="40"/>
      <c r="N1439" s="11"/>
      <c r="O1439" s="11"/>
      <c r="P1439" s="11"/>
      <c r="Q1439" s="11"/>
      <c r="R1439" s="11"/>
      <c r="S1439" s="11"/>
      <c r="T1439" s="11"/>
      <c r="U1439" s="11"/>
      <c r="V1439" s="11"/>
      <c r="W1439" s="11"/>
      <c r="X1439" s="11"/>
      <c r="Y1439" s="11"/>
      <c r="Z1439" s="11"/>
      <c r="AA1439" s="11"/>
      <c r="AB1439" s="11"/>
      <c r="AC1439" s="11"/>
      <c r="AD1439" s="40"/>
      <c r="AE1439" s="11"/>
      <c r="AF1439" s="40"/>
      <c r="AI1439" s="11"/>
      <c r="AJ1439" s="11"/>
      <c r="AK1439" s="11"/>
      <c r="AL1439" s="11"/>
      <c r="AM1439" s="11"/>
      <c r="AN1439" s="11"/>
      <c r="AO1439" s="11"/>
      <c r="AY1439" s="11"/>
      <c r="BE1439" s="38"/>
      <c r="BF1439" s="38"/>
      <c r="BG1439" s="38"/>
      <c r="BH1439" s="11"/>
      <c r="BI1439" s="1"/>
      <c r="BJ1439" s="2"/>
      <c r="BK1439" s="1"/>
      <c r="BL1439" s="1"/>
      <c r="BM1439" s="7"/>
      <c r="BN1439" s="7"/>
      <c r="BO1439" s="1"/>
      <c r="BP1439" s="11"/>
      <c r="BQ1439" s="11"/>
    </row>
    <row r="1440" spans="1:69" x14ac:dyDescent="0.3">
      <c r="A1440" s="7"/>
      <c r="B1440" s="11"/>
      <c r="C1440" s="11"/>
      <c r="D1440" s="11"/>
      <c r="E1440" s="45"/>
      <c r="F1440" s="40"/>
      <c r="G1440" s="11"/>
      <c r="K1440" s="40"/>
      <c r="N1440" s="11"/>
      <c r="O1440" s="11"/>
      <c r="P1440" s="11"/>
      <c r="Q1440" s="11"/>
      <c r="R1440" s="11"/>
      <c r="S1440" s="11"/>
      <c r="T1440" s="11"/>
      <c r="U1440" s="11"/>
      <c r="V1440" s="11"/>
      <c r="W1440" s="11"/>
      <c r="X1440" s="11"/>
      <c r="Y1440" s="11"/>
      <c r="Z1440" s="11"/>
      <c r="AA1440" s="11"/>
      <c r="AB1440" s="11"/>
      <c r="AC1440" s="11"/>
      <c r="AD1440" s="40"/>
      <c r="AE1440" s="11"/>
      <c r="AF1440" s="40"/>
      <c r="AI1440" s="11"/>
      <c r="AJ1440" s="11"/>
      <c r="AK1440" s="11"/>
      <c r="AL1440" s="11"/>
      <c r="AM1440" s="11"/>
      <c r="AN1440" s="11"/>
      <c r="AO1440" s="11"/>
      <c r="AY1440" s="11"/>
      <c r="BE1440" s="38"/>
      <c r="BF1440" s="38"/>
      <c r="BG1440" s="38"/>
      <c r="BH1440" s="11"/>
      <c r="BI1440" s="1"/>
      <c r="BJ1440" s="2"/>
      <c r="BK1440" s="1"/>
      <c r="BL1440" s="1"/>
      <c r="BM1440" s="7"/>
      <c r="BN1440" s="7"/>
      <c r="BO1440" s="1"/>
      <c r="BP1440" s="11"/>
      <c r="BQ1440" s="11"/>
    </row>
    <row r="1441" spans="1:69" x14ac:dyDescent="0.3">
      <c r="A1441" s="7"/>
      <c r="B1441" s="11"/>
      <c r="C1441" s="11"/>
      <c r="D1441" s="11"/>
      <c r="E1441" s="45"/>
      <c r="F1441" s="40"/>
      <c r="G1441" s="11"/>
      <c r="K1441" s="40"/>
      <c r="N1441" s="11"/>
      <c r="O1441" s="11"/>
      <c r="P1441" s="11"/>
      <c r="Q1441" s="11"/>
      <c r="R1441" s="11"/>
      <c r="S1441" s="11"/>
      <c r="T1441" s="11"/>
      <c r="U1441" s="11"/>
      <c r="V1441" s="11"/>
      <c r="W1441" s="11"/>
      <c r="X1441" s="11"/>
      <c r="Y1441" s="11"/>
      <c r="Z1441" s="11"/>
      <c r="AA1441" s="11"/>
      <c r="AB1441" s="11"/>
      <c r="AC1441" s="11"/>
      <c r="AD1441" s="40"/>
      <c r="AE1441" s="11"/>
      <c r="AF1441" s="40"/>
      <c r="AI1441" s="11"/>
      <c r="AJ1441" s="11"/>
      <c r="AK1441" s="11"/>
      <c r="AL1441" s="11"/>
      <c r="AM1441" s="11"/>
      <c r="AN1441" s="11"/>
      <c r="AO1441" s="11"/>
      <c r="AY1441" s="11"/>
      <c r="BE1441" s="38"/>
      <c r="BF1441" s="38"/>
      <c r="BG1441" s="38"/>
      <c r="BH1441" s="11"/>
      <c r="BI1441" s="1"/>
      <c r="BJ1441" s="2"/>
      <c r="BK1441" s="1"/>
      <c r="BL1441" s="1"/>
      <c r="BM1441" s="7"/>
      <c r="BN1441" s="7"/>
      <c r="BO1441" s="1"/>
      <c r="BP1441" s="11"/>
      <c r="BQ1441" s="11"/>
    </row>
    <row r="1442" spans="1:69" x14ac:dyDescent="0.3">
      <c r="A1442" s="7"/>
      <c r="B1442" s="11"/>
      <c r="C1442" s="11"/>
      <c r="D1442" s="11"/>
      <c r="E1442" s="45"/>
      <c r="F1442" s="40"/>
      <c r="G1442" s="11"/>
      <c r="K1442" s="40"/>
      <c r="N1442" s="11"/>
      <c r="O1442" s="11"/>
      <c r="P1442" s="11"/>
      <c r="Q1442" s="11"/>
      <c r="R1442" s="11"/>
      <c r="S1442" s="11"/>
      <c r="T1442" s="11"/>
      <c r="U1442" s="11"/>
      <c r="V1442" s="11"/>
      <c r="W1442" s="11"/>
      <c r="X1442" s="11"/>
      <c r="Y1442" s="11"/>
      <c r="Z1442" s="11"/>
      <c r="AA1442" s="11"/>
      <c r="AB1442" s="11"/>
      <c r="AC1442" s="11"/>
      <c r="AD1442" s="40"/>
      <c r="AE1442" s="11"/>
      <c r="AF1442" s="40"/>
      <c r="AI1442" s="11"/>
      <c r="AJ1442" s="11"/>
      <c r="AK1442" s="11"/>
      <c r="AL1442" s="11"/>
      <c r="AM1442" s="11"/>
      <c r="AN1442" s="11"/>
      <c r="AO1442" s="11"/>
      <c r="AY1442" s="11"/>
      <c r="BE1442" s="38"/>
      <c r="BF1442" s="38"/>
      <c r="BG1442" s="38"/>
      <c r="BH1442" s="11"/>
      <c r="BI1442" s="1"/>
      <c r="BJ1442" s="2"/>
      <c r="BK1442" s="1"/>
      <c r="BL1442" s="1"/>
      <c r="BM1442" s="7"/>
      <c r="BN1442" s="7"/>
      <c r="BO1442" s="1"/>
      <c r="BP1442" s="11"/>
      <c r="BQ1442" s="11"/>
    </row>
    <row r="1443" spans="1:69" x14ac:dyDescent="0.3">
      <c r="A1443" s="7"/>
      <c r="B1443" s="11"/>
      <c r="C1443" s="11"/>
      <c r="D1443" s="11"/>
      <c r="E1443" s="45"/>
      <c r="F1443" s="40"/>
      <c r="G1443" s="11"/>
      <c r="K1443" s="40"/>
      <c r="N1443" s="11"/>
      <c r="O1443" s="11"/>
      <c r="P1443" s="11"/>
      <c r="Q1443" s="11"/>
      <c r="R1443" s="11"/>
      <c r="S1443" s="11"/>
      <c r="T1443" s="11"/>
      <c r="U1443" s="11"/>
      <c r="V1443" s="11"/>
      <c r="W1443" s="11"/>
      <c r="X1443" s="11"/>
      <c r="Y1443" s="11"/>
      <c r="Z1443" s="11"/>
      <c r="AA1443" s="11"/>
      <c r="AB1443" s="11"/>
      <c r="AC1443" s="11"/>
      <c r="AD1443" s="40"/>
      <c r="AE1443" s="11"/>
      <c r="AF1443" s="40"/>
      <c r="AI1443" s="11"/>
      <c r="AJ1443" s="11"/>
      <c r="AK1443" s="11"/>
      <c r="AL1443" s="11"/>
      <c r="AM1443" s="11"/>
      <c r="AN1443" s="11"/>
      <c r="AO1443" s="11"/>
      <c r="AY1443" s="11"/>
      <c r="BE1443" s="38"/>
      <c r="BF1443" s="38"/>
      <c r="BG1443" s="38"/>
      <c r="BH1443" s="11"/>
      <c r="BI1443" s="1"/>
      <c r="BJ1443" s="2"/>
      <c r="BK1443" s="1"/>
      <c r="BL1443" s="1"/>
      <c r="BM1443" s="7"/>
      <c r="BN1443" s="7"/>
      <c r="BO1443" s="1"/>
      <c r="BP1443" s="11"/>
      <c r="BQ1443" s="11"/>
    </row>
    <row r="1444" spans="1:69" x14ac:dyDescent="0.3">
      <c r="A1444" s="7"/>
      <c r="B1444" s="11"/>
      <c r="C1444" s="11"/>
      <c r="D1444" s="11"/>
      <c r="E1444" s="45"/>
      <c r="F1444" s="40"/>
      <c r="G1444" s="11"/>
      <c r="K1444" s="40"/>
      <c r="N1444" s="11"/>
      <c r="O1444" s="11"/>
      <c r="P1444" s="11"/>
      <c r="Q1444" s="11"/>
      <c r="R1444" s="11"/>
      <c r="S1444" s="11"/>
      <c r="T1444" s="11"/>
      <c r="U1444" s="11"/>
      <c r="V1444" s="11"/>
      <c r="W1444" s="11"/>
      <c r="X1444" s="11"/>
      <c r="Y1444" s="11"/>
      <c r="Z1444" s="11"/>
      <c r="AA1444" s="11"/>
      <c r="AB1444" s="11"/>
      <c r="AC1444" s="11"/>
      <c r="AD1444" s="40"/>
      <c r="AE1444" s="11"/>
      <c r="AF1444" s="40"/>
      <c r="AI1444" s="11"/>
      <c r="AJ1444" s="11"/>
      <c r="AK1444" s="11"/>
      <c r="AL1444" s="11"/>
      <c r="AM1444" s="11"/>
      <c r="AN1444" s="11"/>
      <c r="AO1444" s="11"/>
      <c r="AY1444" s="11"/>
      <c r="BE1444" s="38"/>
      <c r="BF1444" s="38"/>
      <c r="BG1444" s="38"/>
      <c r="BH1444" s="11"/>
      <c r="BI1444" s="1"/>
      <c r="BJ1444" s="2"/>
      <c r="BK1444" s="1"/>
      <c r="BL1444" s="1"/>
      <c r="BM1444" s="7"/>
      <c r="BN1444" s="7"/>
      <c r="BO1444" s="1"/>
      <c r="BP1444" s="11"/>
      <c r="BQ1444" s="11"/>
    </row>
    <row r="1445" spans="1:69" x14ac:dyDescent="0.3">
      <c r="A1445" s="7"/>
      <c r="B1445" s="11"/>
      <c r="C1445" s="11"/>
      <c r="D1445" s="11"/>
      <c r="E1445" s="45"/>
      <c r="F1445" s="40"/>
      <c r="G1445" s="11"/>
      <c r="K1445" s="40"/>
      <c r="N1445" s="11"/>
      <c r="O1445" s="11"/>
      <c r="P1445" s="11"/>
      <c r="Q1445" s="11"/>
      <c r="R1445" s="11"/>
      <c r="S1445" s="11"/>
      <c r="T1445" s="11"/>
      <c r="U1445" s="11"/>
      <c r="V1445" s="11"/>
      <c r="W1445" s="11"/>
      <c r="X1445" s="11"/>
      <c r="Y1445" s="11"/>
      <c r="Z1445" s="11"/>
      <c r="AA1445" s="11"/>
      <c r="AB1445" s="11"/>
      <c r="AC1445" s="11"/>
      <c r="AD1445" s="40"/>
      <c r="AE1445" s="11"/>
      <c r="AF1445" s="40"/>
      <c r="AI1445" s="11"/>
      <c r="AJ1445" s="11"/>
      <c r="AK1445" s="11"/>
      <c r="AL1445" s="11"/>
      <c r="AM1445" s="11"/>
      <c r="AN1445" s="11"/>
      <c r="AO1445" s="11"/>
      <c r="AY1445" s="11"/>
      <c r="BE1445" s="38"/>
      <c r="BF1445" s="38"/>
      <c r="BG1445" s="38"/>
      <c r="BH1445" s="11"/>
      <c r="BI1445" s="1"/>
      <c r="BJ1445" s="2"/>
      <c r="BK1445" s="1"/>
      <c r="BL1445" s="1"/>
      <c r="BM1445" s="7"/>
      <c r="BN1445" s="7"/>
      <c r="BO1445" s="1"/>
      <c r="BP1445" s="11"/>
      <c r="BQ1445" s="11"/>
    </row>
    <row r="1446" spans="1:69" x14ac:dyDescent="0.3">
      <c r="A1446" s="7"/>
      <c r="B1446" s="11"/>
      <c r="C1446" s="11"/>
      <c r="D1446" s="11"/>
      <c r="E1446" s="45"/>
      <c r="F1446" s="40"/>
      <c r="G1446" s="11"/>
      <c r="K1446" s="40"/>
      <c r="N1446" s="11"/>
      <c r="O1446" s="11"/>
      <c r="P1446" s="11"/>
      <c r="Q1446" s="11"/>
      <c r="R1446" s="11"/>
      <c r="S1446" s="11"/>
      <c r="T1446" s="11"/>
      <c r="U1446" s="11"/>
      <c r="V1446" s="11"/>
      <c r="W1446" s="11"/>
      <c r="X1446" s="11"/>
      <c r="Y1446" s="11"/>
      <c r="Z1446" s="11"/>
      <c r="AA1446" s="11"/>
      <c r="AB1446" s="11"/>
      <c r="AC1446" s="11"/>
      <c r="AD1446" s="40"/>
      <c r="AE1446" s="11"/>
      <c r="AF1446" s="40"/>
      <c r="AI1446" s="11"/>
      <c r="AJ1446" s="11"/>
      <c r="AK1446" s="11"/>
      <c r="AL1446" s="11"/>
      <c r="AM1446" s="11"/>
      <c r="AN1446" s="11"/>
      <c r="AO1446" s="11"/>
      <c r="AY1446" s="11"/>
      <c r="BE1446" s="38"/>
      <c r="BF1446" s="38"/>
      <c r="BG1446" s="38"/>
      <c r="BH1446" s="11"/>
      <c r="BI1446" s="1"/>
      <c r="BJ1446" s="2"/>
      <c r="BK1446" s="1"/>
      <c r="BL1446" s="1"/>
      <c r="BM1446" s="7"/>
      <c r="BN1446" s="7"/>
      <c r="BO1446" s="1"/>
      <c r="BP1446" s="11"/>
      <c r="BQ1446" s="11"/>
    </row>
    <row r="1447" spans="1:69" x14ac:dyDescent="0.3">
      <c r="A1447" s="7"/>
      <c r="B1447" s="11"/>
      <c r="C1447" s="11"/>
      <c r="D1447" s="11"/>
      <c r="E1447" s="45"/>
      <c r="F1447" s="40"/>
      <c r="G1447" s="11"/>
      <c r="K1447" s="40"/>
      <c r="N1447" s="11"/>
      <c r="O1447" s="11"/>
      <c r="P1447" s="11"/>
      <c r="Q1447" s="11"/>
      <c r="R1447" s="11"/>
      <c r="S1447" s="11"/>
      <c r="T1447" s="11"/>
      <c r="U1447" s="11"/>
      <c r="V1447" s="11"/>
      <c r="W1447" s="11"/>
      <c r="X1447" s="11"/>
      <c r="Y1447" s="11"/>
      <c r="Z1447" s="11"/>
      <c r="AA1447" s="11"/>
      <c r="AB1447" s="11"/>
      <c r="AC1447" s="11"/>
      <c r="AD1447" s="40"/>
      <c r="AE1447" s="11"/>
      <c r="AF1447" s="40"/>
      <c r="AI1447" s="11"/>
      <c r="AJ1447" s="11"/>
      <c r="AK1447" s="11"/>
      <c r="AL1447" s="11"/>
      <c r="AM1447" s="11"/>
      <c r="AN1447" s="11"/>
      <c r="AO1447" s="11"/>
      <c r="AY1447" s="11"/>
      <c r="BE1447" s="38"/>
      <c r="BF1447" s="38"/>
      <c r="BG1447" s="38"/>
      <c r="BH1447" s="11"/>
      <c r="BI1447" s="1"/>
      <c r="BJ1447" s="2"/>
      <c r="BK1447" s="1"/>
      <c r="BL1447" s="1"/>
      <c r="BM1447" s="7"/>
      <c r="BN1447" s="7"/>
      <c r="BO1447" s="1"/>
      <c r="BP1447" s="11"/>
      <c r="BQ1447" s="11"/>
    </row>
    <row r="1448" spans="1:69" x14ac:dyDescent="0.3">
      <c r="A1448" s="7"/>
      <c r="B1448" s="11"/>
      <c r="C1448" s="11"/>
      <c r="D1448" s="11"/>
      <c r="E1448" s="45"/>
      <c r="F1448" s="40"/>
      <c r="G1448" s="11"/>
      <c r="K1448" s="40"/>
      <c r="N1448" s="11"/>
      <c r="O1448" s="11"/>
      <c r="P1448" s="11"/>
      <c r="Q1448" s="11"/>
      <c r="R1448" s="11"/>
      <c r="S1448" s="11"/>
      <c r="T1448" s="11"/>
      <c r="U1448" s="11"/>
      <c r="V1448" s="11"/>
      <c r="W1448" s="11"/>
      <c r="X1448" s="11"/>
      <c r="Y1448" s="11"/>
      <c r="Z1448" s="11"/>
      <c r="AA1448" s="11"/>
      <c r="AB1448" s="11"/>
      <c r="AC1448" s="11"/>
      <c r="AD1448" s="40"/>
      <c r="AE1448" s="11"/>
      <c r="AF1448" s="40"/>
      <c r="AI1448" s="11"/>
      <c r="AJ1448" s="11"/>
      <c r="AK1448" s="11"/>
      <c r="AL1448" s="11"/>
      <c r="AM1448" s="11"/>
      <c r="AN1448" s="11"/>
      <c r="AO1448" s="11"/>
      <c r="AY1448" s="11"/>
      <c r="BE1448" s="38"/>
      <c r="BF1448" s="38"/>
      <c r="BG1448" s="38"/>
      <c r="BH1448" s="11"/>
      <c r="BI1448" s="1"/>
      <c r="BJ1448" s="2"/>
      <c r="BK1448" s="1"/>
      <c r="BL1448" s="1"/>
      <c r="BM1448" s="7"/>
      <c r="BN1448" s="7"/>
      <c r="BO1448" s="1"/>
      <c r="BP1448" s="11"/>
      <c r="BQ1448" s="11"/>
    </row>
    <row r="1449" spans="1:69" x14ac:dyDescent="0.3">
      <c r="A1449" s="7"/>
      <c r="B1449" s="11"/>
      <c r="C1449" s="11"/>
      <c r="D1449" s="11"/>
      <c r="E1449" s="45"/>
      <c r="F1449" s="40"/>
      <c r="G1449" s="11"/>
      <c r="K1449" s="40"/>
      <c r="N1449" s="11"/>
      <c r="O1449" s="11"/>
      <c r="P1449" s="11"/>
      <c r="Q1449" s="11"/>
      <c r="R1449" s="11"/>
      <c r="S1449" s="11"/>
      <c r="T1449" s="11"/>
      <c r="U1449" s="11"/>
      <c r="V1449" s="11"/>
      <c r="W1449" s="11"/>
      <c r="X1449" s="11"/>
      <c r="Y1449" s="11"/>
      <c r="Z1449" s="11"/>
      <c r="AA1449" s="11"/>
      <c r="AB1449" s="11"/>
      <c r="AC1449" s="11"/>
      <c r="AD1449" s="40"/>
      <c r="AE1449" s="11"/>
      <c r="AF1449" s="40"/>
      <c r="AI1449" s="11"/>
      <c r="AJ1449" s="11"/>
      <c r="AK1449" s="11"/>
      <c r="AL1449" s="11"/>
      <c r="AM1449" s="11"/>
      <c r="AN1449" s="11"/>
      <c r="AO1449" s="11"/>
      <c r="AY1449" s="11"/>
      <c r="BE1449" s="38"/>
      <c r="BF1449" s="38"/>
      <c r="BG1449" s="38"/>
      <c r="BH1449" s="11"/>
      <c r="BI1449" s="1"/>
      <c r="BJ1449" s="2"/>
      <c r="BK1449" s="1"/>
      <c r="BL1449" s="1"/>
      <c r="BM1449" s="7"/>
      <c r="BN1449" s="7"/>
      <c r="BO1449" s="1"/>
      <c r="BP1449" s="11"/>
      <c r="BQ1449" s="11"/>
    </row>
    <row r="1450" spans="1:69" x14ac:dyDescent="0.3">
      <c r="A1450" s="7"/>
      <c r="B1450" s="11"/>
      <c r="C1450" s="11"/>
      <c r="D1450" s="11"/>
      <c r="E1450" s="45"/>
      <c r="F1450" s="40"/>
      <c r="G1450" s="11"/>
      <c r="K1450" s="40"/>
      <c r="N1450" s="11"/>
      <c r="O1450" s="11"/>
      <c r="P1450" s="11"/>
      <c r="Q1450" s="11"/>
      <c r="R1450" s="11"/>
      <c r="S1450" s="11"/>
      <c r="T1450" s="11"/>
      <c r="U1450" s="11"/>
      <c r="V1450" s="11"/>
      <c r="W1450" s="11"/>
      <c r="X1450" s="11"/>
      <c r="Y1450" s="11"/>
      <c r="Z1450" s="11"/>
      <c r="AA1450" s="11"/>
      <c r="AB1450" s="11"/>
      <c r="AC1450" s="11"/>
      <c r="AD1450" s="40"/>
      <c r="AE1450" s="11"/>
      <c r="AF1450" s="40"/>
      <c r="AI1450" s="11"/>
      <c r="AJ1450" s="11"/>
      <c r="AK1450" s="11"/>
      <c r="AL1450" s="11"/>
      <c r="AM1450" s="11"/>
      <c r="AN1450" s="11"/>
      <c r="AO1450" s="11"/>
      <c r="AY1450" s="11"/>
      <c r="BE1450" s="38"/>
      <c r="BF1450" s="38"/>
      <c r="BG1450" s="38"/>
      <c r="BH1450" s="11"/>
      <c r="BI1450" s="1"/>
      <c r="BJ1450" s="2"/>
      <c r="BK1450" s="1"/>
      <c r="BL1450" s="1"/>
      <c r="BM1450" s="7"/>
      <c r="BN1450" s="7"/>
      <c r="BO1450" s="1"/>
      <c r="BP1450" s="11"/>
      <c r="BQ1450" s="11"/>
    </row>
    <row r="1451" spans="1:69" x14ac:dyDescent="0.3">
      <c r="A1451" s="7"/>
      <c r="B1451" s="11"/>
      <c r="C1451" s="11"/>
      <c r="D1451" s="11"/>
      <c r="E1451" s="45"/>
      <c r="F1451" s="40"/>
      <c r="G1451" s="11"/>
      <c r="K1451" s="40"/>
      <c r="N1451" s="11"/>
      <c r="O1451" s="11"/>
      <c r="P1451" s="11"/>
      <c r="Q1451" s="11"/>
      <c r="R1451" s="11"/>
      <c r="S1451" s="11"/>
      <c r="T1451" s="11"/>
      <c r="U1451" s="11"/>
      <c r="V1451" s="11"/>
      <c r="W1451" s="11"/>
      <c r="X1451" s="11"/>
      <c r="Y1451" s="11"/>
      <c r="Z1451" s="11"/>
      <c r="AA1451" s="11"/>
      <c r="AB1451" s="11"/>
      <c r="AC1451" s="11"/>
      <c r="AD1451" s="40"/>
      <c r="AE1451" s="11"/>
      <c r="AF1451" s="40"/>
      <c r="AI1451" s="11"/>
      <c r="AJ1451" s="11"/>
      <c r="AK1451" s="11"/>
      <c r="AL1451" s="11"/>
      <c r="AM1451" s="11"/>
      <c r="AN1451" s="11"/>
      <c r="AO1451" s="11"/>
      <c r="AY1451" s="11"/>
      <c r="BE1451" s="38"/>
      <c r="BF1451" s="38"/>
      <c r="BG1451" s="38"/>
      <c r="BH1451" s="11"/>
      <c r="BI1451" s="1"/>
      <c r="BJ1451" s="2"/>
      <c r="BK1451" s="1"/>
      <c r="BL1451" s="1"/>
      <c r="BM1451" s="7"/>
      <c r="BN1451" s="7"/>
      <c r="BO1451" s="1"/>
      <c r="BP1451" s="11"/>
      <c r="BQ1451" s="11"/>
    </row>
    <row r="1452" spans="1:69" x14ac:dyDescent="0.3">
      <c r="A1452" s="7"/>
      <c r="B1452" s="11"/>
      <c r="C1452" s="11"/>
      <c r="D1452" s="11"/>
      <c r="E1452" s="45"/>
      <c r="F1452" s="40"/>
      <c r="G1452" s="11"/>
      <c r="K1452" s="40"/>
      <c r="N1452" s="11"/>
      <c r="O1452" s="11"/>
      <c r="P1452" s="11"/>
      <c r="Q1452" s="11"/>
      <c r="R1452" s="11"/>
      <c r="S1452" s="11"/>
      <c r="T1452" s="11"/>
      <c r="U1452" s="11"/>
      <c r="V1452" s="11"/>
      <c r="W1452" s="11"/>
      <c r="X1452" s="11"/>
      <c r="Y1452" s="11"/>
      <c r="Z1452" s="11"/>
      <c r="AA1452" s="11"/>
      <c r="AB1452" s="11"/>
      <c r="AC1452" s="11"/>
      <c r="AD1452" s="40"/>
      <c r="AE1452" s="11"/>
      <c r="AF1452" s="40"/>
      <c r="AI1452" s="11"/>
      <c r="AJ1452" s="11"/>
      <c r="AK1452" s="11"/>
      <c r="AL1452" s="11"/>
      <c r="AM1452" s="11"/>
      <c r="AN1452" s="11"/>
      <c r="AO1452" s="11"/>
      <c r="AY1452" s="11"/>
      <c r="BE1452" s="38"/>
      <c r="BF1452" s="38"/>
      <c r="BG1452" s="38"/>
      <c r="BH1452" s="11"/>
      <c r="BI1452" s="1"/>
      <c r="BJ1452" s="2"/>
      <c r="BK1452" s="1"/>
      <c r="BL1452" s="1"/>
      <c r="BM1452" s="7"/>
      <c r="BN1452" s="7"/>
      <c r="BO1452" s="1"/>
      <c r="BP1452" s="11"/>
      <c r="BQ1452" s="11"/>
    </row>
    <row r="1453" spans="1:69" x14ac:dyDescent="0.3">
      <c r="A1453" s="7"/>
      <c r="B1453" s="11"/>
      <c r="C1453" s="11"/>
      <c r="D1453" s="11"/>
      <c r="E1453" s="45"/>
      <c r="F1453" s="40"/>
      <c r="G1453" s="11"/>
      <c r="K1453" s="40"/>
      <c r="N1453" s="11"/>
      <c r="O1453" s="11"/>
      <c r="P1453" s="11"/>
      <c r="Q1453" s="11"/>
      <c r="R1453" s="11"/>
      <c r="S1453" s="11"/>
      <c r="T1453" s="11"/>
      <c r="U1453" s="11"/>
      <c r="V1453" s="11"/>
      <c r="W1453" s="11"/>
      <c r="X1453" s="11"/>
      <c r="Y1453" s="11"/>
      <c r="Z1453" s="11"/>
      <c r="AA1453" s="11"/>
      <c r="AB1453" s="11"/>
      <c r="AC1453" s="11"/>
      <c r="AD1453" s="40"/>
      <c r="AE1453" s="11"/>
      <c r="AF1453" s="40"/>
      <c r="AI1453" s="11"/>
      <c r="AJ1453" s="11"/>
      <c r="AK1453" s="11"/>
      <c r="AL1453" s="11"/>
      <c r="AM1453" s="11"/>
      <c r="AN1453" s="11"/>
      <c r="AO1453" s="11"/>
      <c r="AY1453" s="11"/>
      <c r="BE1453" s="38"/>
      <c r="BF1453" s="38"/>
      <c r="BG1453" s="38"/>
      <c r="BH1453" s="11"/>
      <c r="BI1453" s="1"/>
      <c r="BJ1453" s="2"/>
      <c r="BK1453" s="1"/>
      <c r="BL1453" s="1"/>
      <c r="BM1453" s="7"/>
      <c r="BN1453" s="7"/>
      <c r="BO1453" s="1"/>
      <c r="BP1453" s="11"/>
      <c r="BQ1453" s="11"/>
    </row>
    <row r="1454" spans="1:69" x14ac:dyDescent="0.3">
      <c r="A1454" s="7"/>
      <c r="B1454" s="11"/>
      <c r="C1454" s="11"/>
      <c r="D1454" s="11"/>
      <c r="E1454" s="45"/>
      <c r="F1454" s="40"/>
      <c r="G1454" s="11"/>
      <c r="K1454" s="40"/>
      <c r="N1454" s="11"/>
      <c r="O1454" s="11"/>
      <c r="P1454" s="11"/>
      <c r="Q1454" s="11"/>
      <c r="R1454" s="11"/>
      <c r="S1454" s="11"/>
      <c r="T1454" s="11"/>
      <c r="U1454" s="11"/>
      <c r="V1454" s="11"/>
      <c r="W1454" s="11"/>
      <c r="X1454" s="11"/>
      <c r="Y1454" s="11"/>
      <c r="Z1454" s="11"/>
      <c r="AA1454" s="11"/>
      <c r="AB1454" s="11"/>
      <c r="AC1454" s="11"/>
      <c r="AD1454" s="40"/>
      <c r="AE1454" s="11"/>
      <c r="AF1454" s="40"/>
      <c r="AI1454" s="11"/>
      <c r="AJ1454" s="11"/>
      <c r="AK1454" s="11"/>
      <c r="AL1454" s="11"/>
      <c r="AM1454" s="11"/>
      <c r="AN1454" s="11"/>
      <c r="AO1454" s="11"/>
      <c r="AY1454" s="11"/>
      <c r="BE1454" s="38"/>
      <c r="BF1454" s="38"/>
      <c r="BG1454" s="38"/>
      <c r="BH1454" s="11"/>
      <c r="BI1454" s="1"/>
      <c r="BJ1454" s="2"/>
      <c r="BK1454" s="1"/>
      <c r="BL1454" s="1"/>
      <c r="BM1454" s="7"/>
      <c r="BN1454" s="7"/>
      <c r="BO1454" s="1"/>
      <c r="BP1454" s="11"/>
      <c r="BQ1454" s="11"/>
    </row>
    <row r="1455" spans="1:69" x14ac:dyDescent="0.3">
      <c r="A1455" s="7"/>
      <c r="B1455" s="11"/>
      <c r="C1455" s="11"/>
      <c r="D1455" s="11"/>
      <c r="E1455" s="45"/>
      <c r="F1455" s="40"/>
      <c r="G1455" s="11"/>
      <c r="K1455" s="40"/>
      <c r="N1455" s="11"/>
      <c r="O1455" s="11"/>
      <c r="P1455" s="11"/>
      <c r="Q1455" s="11"/>
      <c r="R1455" s="11"/>
      <c r="S1455" s="11"/>
      <c r="T1455" s="11"/>
      <c r="U1455" s="11"/>
      <c r="V1455" s="11"/>
      <c r="W1455" s="11"/>
      <c r="X1455" s="11"/>
      <c r="Y1455" s="11"/>
      <c r="Z1455" s="11"/>
      <c r="AA1455" s="11"/>
      <c r="AB1455" s="11"/>
      <c r="AC1455" s="11"/>
      <c r="AD1455" s="40"/>
      <c r="AE1455" s="11"/>
      <c r="AF1455" s="40"/>
      <c r="AI1455" s="11"/>
      <c r="AJ1455" s="11"/>
      <c r="AK1455" s="11"/>
      <c r="AL1455" s="11"/>
      <c r="AM1455" s="11"/>
      <c r="AN1455" s="11"/>
      <c r="AO1455" s="11"/>
      <c r="AY1455" s="11"/>
      <c r="BE1455" s="38"/>
      <c r="BF1455" s="38"/>
      <c r="BG1455" s="38"/>
      <c r="BH1455" s="11"/>
      <c r="BI1455" s="1"/>
      <c r="BJ1455" s="2"/>
      <c r="BK1455" s="1"/>
      <c r="BL1455" s="1"/>
      <c r="BM1455" s="7"/>
      <c r="BN1455" s="7"/>
      <c r="BO1455" s="1"/>
      <c r="BP1455" s="11"/>
      <c r="BQ1455" s="11"/>
    </row>
    <row r="1456" spans="1:69" x14ac:dyDescent="0.3">
      <c r="A1456" s="7"/>
      <c r="B1456" s="11"/>
      <c r="C1456" s="11"/>
      <c r="D1456" s="11"/>
      <c r="E1456" s="45"/>
      <c r="F1456" s="40"/>
      <c r="G1456" s="11"/>
      <c r="K1456" s="40"/>
      <c r="N1456" s="11"/>
      <c r="O1456" s="11"/>
      <c r="P1456" s="11"/>
      <c r="Q1456" s="11"/>
      <c r="R1456" s="11"/>
      <c r="S1456" s="11"/>
      <c r="T1456" s="11"/>
      <c r="U1456" s="11"/>
      <c r="V1456" s="11"/>
      <c r="W1456" s="11"/>
      <c r="X1456" s="11"/>
      <c r="Y1456" s="11"/>
      <c r="Z1456" s="11"/>
      <c r="AA1456" s="11"/>
      <c r="AB1456" s="11"/>
      <c r="AC1456" s="11"/>
      <c r="AD1456" s="40"/>
      <c r="AE1456" s="11"/>
      <c r="AF1456" s="40"/>
      <c r="AI1456" s="11"/>
      <c r="AJ1456" s="11"/>
      <c r="AK1456" s="11"/>
      <c r="AL1456" s="11"/>
      <c r="AM1456" s="11"/>
      <c r="AN1456" s="11"/>
      <c r="AO1456" s="11"/>
      <c r="AY1456" s="11"/>
      <c r="BE1456" s="38"/>
      <c r="BF1456" s="38"/>
      <c r="BG1456" s="38"/>
      <c r="BH1456" s="11"/>
      <c r="BI1456" s="1"/>
      <c r="BJ1456" s="2"/>
      <c r="BK1456" s="1"/>
      <c r="BL1456" s="1"/>
      <c r="BM1456" s="7"/>
      <c r="BN1456" s="7"/>
      <c r="BO1456" s="1"/>
      <c r="BP1456" s="11"/>
      <c r="BQ1456" s="11"/>
    </row>
    <row r="1457" spans="1:69" x14ac:dyDescent="0.3">
      <c r="A1457" s="7"/>
      <c r="B1457" s="11"/>
      <c r="C1457" s="11"/>
      <c r="D1457" s="11"/>
      <c r="E1457" s="45"/>
      <c r="F1457" s="40"/>
      <c r="G1457" s="11"/>
      <c r="K1457" s="40"/>
      <c r="N1457" s="11"/>
      <c r="O1457" s="11"/>
      <c r="P1457" s="11"/>
      <c r="Q1457" s="11"/>
      <c r="R1457" s="11"/>
      <c r="S1457" s="11"/>
      <c r="T1457" s="11"/>
      <c r="U1457" s="11"/>
      <c r="V1457" s="11"/>
      <c r="W1457" s="11"/>
      <c r="X1457" s="11"/>
      <c r="Y1457" s="11"/>
      <c r="Z1457" s="11"/>
      <c r="AA1457" s="11"/>
      <c r="AB1457" s="11"/>
      <c r="AC1457" s="11"/>
      <c r="AD1457" s="40"/>
      <c r="AE1457" s="11"/>
      <c r="AF1457" s="40"/>
      <c r="AI1457" s="11"/>
      <c r="AJ1457" s="11"/>
      <c r="AK1457" s="11"/>
      <c r="AL1457" s="11"/>
      <c r="AM1457" s="11"/>
      <c r="AN1457" s="11"/>
      <c r="AO1457" s="11"/>
      <c r="AY1457" s="11"/>
      <c r="BE1457" s="38"/>
      <c r="BF1457" s="38"/>
      <c r="BG1457" s="38"/>
      <c r="BH1457" s="11"/>
      <c r="BI1457" s="1"/>
      <c r="BJ1457" s="2"/>
      <c r="BK1457" s="1"/>
      <c r="BL1457" s="1"/>
      <c r="BM1457" s="7"/>
      <c r="BN1457" s="7"/>
      <c r="BO1457" s="1"/>
      <c r="BP1457" s="11"/>
      <c r="BQ1457" s="11"/>
    </row>
    <row r="1458" spans="1:69" x14ac:dyDescent="0.3">
      <c r="A1458" s="7"/>
      <c r="B1458" s="11"/>
      <c r="C1458" s="11"/>
      <c r="D1458" s="11"/>
      <c r="E1458" s="45"/>
      <c r="F1458" s="40"/>
      <c r="G1458" s="11"/>
      <c r="K1458" s="40"/>
      <c r="N1458" s="11"/>
      <c r="O1458" s="11"/>
      <c r="P1458" s="11"/>
      <c r="Q1458" s="11"/>
      <c r="R1458" s="11"/>
      <c r="S1458" s="11"/>
      <c r="T1458" s="11"/>
      <c r="U1458" s="11"/>
      <c r="V1458" s="11"/>
      <c r="W1458" s="11"/>
      <c r="X1458" s="11"/>
      <c r="Y1458" s="11"/>
      <c r="Z1458" s="11"/>
      <c r="AA1458" s="11"/>
      <c r="AB1458" s="11"/>
      <c r="AC1458" s="11"/>
      <c r="AD1458" s="40"/>
      <c r="AE1458" s="11"/>
      <c r="AF1458" s="40"/>
      <c r="AI1458" s="11"/>
      <c r="AJ1458" s="11"/>
      <c r="AK1458" s="11"/>
      <c r="AL1458" s="11"/>
      <c r="AM1458" s="11"/>
      <c r="AN1458" s="11"/>
      <c r="AO1458" s="11"/>
      <c r="AY1458" s="11"/>
      <c r="BE1458" s="38"/>
      <c r="BF1458" s="38"/>
      <c r="BG1458" s="38"/>
      <c r="BH1458" s="11"/>
      <c r="BI1458" s="1"/>
      <c r="BJ1458" s="2"/>
      <c r="BK1458" s="1"/>
      <c r="BL1458" s="1"/>
      <c r="BM1458" s="7"/>
      <c r="BN1458" s="7"/>
      <c r="BO1458" s="1"/>
      <c r="BP1458" s="11"/>
      <c r="BQ1458" s="11"/>
    </row>
    <row r="1459" spans="1:69" x14ac:dyDescent="0.3">
      <c r="A1459" s="7"/>
      <c r="B1459" s="11"/>
      <c r="C1459" s="11"/>
      <c r="D1459" s="11"/>
      <c r="E1459" s="45"/>
      <c r="F1459" s="40"/>
      <c r="G1459" s="11"/>
      <c r="K1459" s="40"/>
      <c r="N1459" s="11"/>
      <c r="O1459" s="11"/>
      <c r="P1459" s="11"/>
      <c r="Q1459" s="11"/>
      <c r="R1459" s="11"/>
      <c r="S1459" s="11"/>
      <c r="T1459" s="11"/>
      <c r="U1459" s="11"/>
      <c r="V1459" s="11"/>
      <c r="W1459" s="11"/>
      <c r="X1459" s="11"/>
      <c r="Y1459" s="11"/>
      <c r="Z1459" s="11"/>
      <c r="AA1459" s="11"/>
      <c r="AB1459" s="11"/>
      <c r="AC1459" s="11"/>
      <c r="AD1459" s="40"/>
      <c r="AE1459" s="11"/>
      <c r="AF1459" s="40"/>
      <c r="AI1459" s="11"/>
      <c r="AJ1459" s="11"/>
      <c r="AK1459" s="11"/>
      <c r="AL1459" s="11"/>
      <c r="AM1459" s="11"/>
      <c r="AN1459" s="11"/>
      <c r="AO1459" s="11"/>
      <c r="AY1459" s="11"/>
      <c r="BE1459" s="38"/>
      <c r="BF1459" s="38"/>
      <c r="BG1459" s="38"/>
      <c r="BH1459" s="11"/>
      <c r="BI1459" s="1"/>
      <c r="BJ1459" s="2"/>
      <c r="BK1459" s="1"/>
      <c r="BL1459" s="1"/>
      <c r="BM1459" s="7"/>
      <c r="BN1459" s="7"/>
      <c r="BO1459" s="1"/>
      <c r="BP1459" s="11"/>
      <c r="BQ1459" s="11"/>
    </row>
    <row r="1460" spans="1:69" x14ac:dyDescent="0.3">
      <c r="A1460" s="7"/>
      <c r="B1460" s="11"/>
      <c r="C1460" s="11"/>
      <c r="D1460" s="11"/>
      <c r="E1460" s="45"/>
      <c r="F1460" s="40"/>
      <c r="G1460" s="11"/>
      <c r="K1460" s="40"/>
      <c r="N1460" s="11"/>
      <c r="O1460" s="11"/>
      <c r="P1460" s="11"/>
      <c r="Q1460" s="11"/>
      <c r="R1460" s="11"/>
      <c r="S1460" s="11"/>
      <c r="T1460" s="11"/>
      <c r="U1460" s="11"/>
      <c r="V1460" s="11"/>
      <c r="W1460" s="11"/>
      <c r="X1460" s="11"/>
      <c r="Y1460" s="11"/>
      <c r="Z1460" s="11"/>
      <c r="AA1460" s="11"/>
      <c r="AB1460" s="11"/>
      <c r="AC1460" s="11"/>
      <c r="AD1460" s="40"/>
      <c r="AE1460" s="11"/>
      <c r="AF1460" s="40"/>
      <c r="AI1460" s="11"/>
      <c r="AJ1460" s="11"/>
      <c r="AK1460" s="11"/>
      <c r="AL1460" s="11"/>
      <c r="AM1460" s="11"/>
      <c r="AN1460" s="11"/>
      <c r="AO1460" s="11"/>
      <c r="AY1460" s="11"/>
      <c r="BE1460" s="38"/>
      <c r="BF1460" s="38"/>
      <c r="BG1460" s="38"/>
      <c r="BH1460" s="11"/>
      <c r="BI1460" s="1"/>
      <c r="BJ1460" s="2"/>
      <c r="BK1460" s="1"/>
      <c r="BL1460" s="1"/>
      <c r="BM1460" s="7"/>
      <c r="BN1460" s="7"/>
      <c r="BO1460" s="1"/>
      <c r="BP1460" s="11"/>
      <c r="BQ1460" s="11"/>
    </row>
    <row r="1461" spans="1:69" x14ac:dyDescent="0.3">
      <c r="A1461" s="7"/>
      <c r="B1461" s="11"/>
      <c r="C1461" s="11"/>
      <c r="D1461" s="11"/>
      <c r="E1461" s="45"/>
      <c r="F1461" s="40"/>
      <c r="G1461" s="11"/>
      <c r="K1461" s="40"/>
      <c r="N1461" s="11"/>
      <c r="O1461" s="11"/>
      <c r="P1461" s="11"/>
      <c r="Q1461" s="11"/>
      <c r="R1461" s="11"/>
      <c r="S1461" s="11"/>
      <c r="T1461" s="11"/>
      <c r="U1461" s="11"/>
      <c r="V1461" s="11"/>
      <c r="W1461" s="11"/>
      <c r="X1461" s="11"/>
      <c r="Y1461" s="11"/>
      <c r="Z1461" s="11"/>
      <c r="AA1461" s="11"/>
      <c r="AB1461" s="11"/>
      <c r="AC1461" s="11"/>
      <c r="AD1461" s="40"/>
      <c r="AE1461" s="11"/>
      <c r="AF1461" s="40"/>
      <c r="AI1461" s="11"/>
      <c r="AJ1461" s="11"/>
      <c r="AK1461" s="11"/>
      <c r="AL1461" s="11"/>
      <c r="AM1461" s="11"/>
      <c r="AN1461" s="11"/>
      <c r="AO1461" s="11"/>
      <c r="AY1461" s="11"/>
      <c r="BE1461" s="38"/>
      <c r="BF1461" s="38"/>
      <c r="BG1461" s="38"/>
      <c r="BH1461" s="11"/>
      <c r="BI1461" s="1"/>
      <c r="BJ1461" s="2"/>
      <c r="BK1461" s="1"/>
      <c r="BL1461" s="1"/>
      <c r="BM1461" s="7"/>
      <c r="BN1461" s="7"/>
      <c r="BO1461" s="1"/>
      <c r="BP1461" s="11"/>
      <c r="BQ1461" s="11"/>
    </row>
    <row r="1462" spans="1:69" x14ac:dyDescent="0.3">
      <c r="A1462" s="7"/>
      <c r="B1462" s="11"/>
      <c r="C1462" s="11"/>
      <c r="D1462" s="11"/>
      <c r="E1462" s="45"/>
      <c r="F1462" s="40"/>
      <c r="G1462" s="11"/>
      <c r="K1462" s="40"/>
      <c r="N1462" s="11"/>
      <c r="O1462" s="11"/>
      <c r="P1462" s="11"/>
      <c r="Q1462" s="11"/>
      <c r="R1462" s="11"/>
      <c r="S1462" s="11"/>
      <c r="T1462" s="11"/>
      <c r="U1462" s="11"/>
      <c r="V1462" s="11"/>
      <c r="W1462" s="11"/>
      <c r="X1462" s="11"/>
      <c r="Y1462" s="11"/>
      <c r="Z1462" s="11"/>
      <c r="AA1462" s="11"/>
      <c r="AB1462" s="11"/>
      <c r="AC1462" s="11"/>
      <c r="AD1462" s="40"/>
      <c r="AE1462" s="11"/>
      <c r="AF1462" s="40"/>
      <c r="AI1462" s="11"/>
      <c r="AJ1462" s="11"/>
      <c r="AK1462" s="11"/>
      <c r="AL1462" s="11"/>
      <c r="AM1462" s="11"/>
      <c r="AN1462" s="11"/>
      <c r="AO1462" s="11"/>
      <c r="AY1462" s="11"/>
      <c r="BE1462" s="38"/>
      <c r="BF1462" s="38"/>
      <c r="BG1462" s="38"/>
      <c r="BH1462" s="11"/>
      <c r="BI1462" s="1"/>
      <c r="BJ1462" s="2"/>
      <c r="BK1462" s="1"/>
      <c r="BL1462" s="1"/>
      <c r="BM1462" s="7"/>
      <c r="BN1462" s="7"/>
      <c r="BO1462" s="1"/>
      <c r="BP1462" s="11"/>
      <c r="BQ1462" s="11"/>
    </row>
    <row r="1463" spans="1:69" x14ac:dyDescent="0.3">
      <c r="A1463" s="7"/>
      <c r="B1463" s="11"/>
      <c r="C1463" s="11"/>
      <c r="D1463" s="11"/>
      <c r="E1463" s="45"/>
      <c r="F1463" s="40"/>
      <c r="G1463" s="11"/>
      <c r="K1463" s="40"/>
      <c r="N1463" s="11"/>
      <c r="O1463" s="11"/>
      <c r="P1463" s="11"/>
      <c r="Q1463" s="11"/>
      <c r="R1463" s="11"/>
      <c r="S1463" s="11"/>
      <c r="T1463" s="11"/>
      <c r="U1463" s="11"/>
      <c r="V1463" s="11"/>
      <c r="W1463" s="11"/>
      <c r="X1463" s="11"/>
      <c r="Y1463" s="11"/>
      <c r="Z1463" s="11"/>
      <c r="AA1463" s="11"/>
      <c r="AB1463" s="11"/>
      <c r="AC1463" s="11"/>
      <c r="AD1463" s="40"/>
      <c r="AE1463" s="11"/>
      <c r="AF1463" s="40"/>
      <c r="AI1463" s="11"/>
      <c r="AJ1463" s="11"/>
      <c r="AK1463" s="11"/>
      <c r="AL1463" s="11"/>
      <c r="AM1463" s="11"/>
      <c r="AN1463" s="11"/>
      <c r="AO1463" s="11"/>
      <c r="AY1463" s="11"/>
      <c r="BE1463" s="38"/>
      <c r="BF1463" s="38"/>
      <c r="BG1463" s="38"/>
      <c r="BH1463" s="11"/>
      <c r="BI1463" s="1"/>
      <c r="BJ1463" s="2"/>
      <c r="BK1463" s="1"/>
      <c r="BL1463" s="1"/>
      <c r="BM1463" s="7"/>
      <c r="BN1463" s="7"/>
      <c r="BO1463" s="1"/>
      <c r="BP1463" s="11"/>
      <c r="BQ1463" s="11"/>
    </row>
    <row r="1464" spans="1:69" x14ac:dyDescent="0.3">
      <c r="A1464" s="7"/>
      <c r="B1464" s="11"/>
      <c r="C1464" s="11"/>
      <c r="D1464" s="11"/>
      <c r="E1464" s="45"/>
      <c r="F1464" s="40"/>
      <c r="G1464" s="11"/>
      <c r="K1464" s="40"/>
      <c r="N1464" s="11"/>
      <c r="O1464" s="11"/>
      <c r="P1464" s="11"/>
      <c r="Q1464" s="11"/>
      <c r="R1464" s="11"/>
      <c r="S1464" s="11"/>
      <c r="T1464" s="11"/>
      <c r="U1464" s="11"/>
      <c r="V1464" s="11"/>
      <c r="W1464" s="11"/>
      <c r="X1464" s="11"/>
      <c r="Y1464" s="11"/>
      <c r="Z1464" s="11"/>
      <c r="AA1464" s="11"/>
      <c r="AB1464" s="11"/>
      <c r="AC1464" s="11"/>
      <c r="AD1464" s="40"/>
      <c r="AE1464" s="11"/>
      <c r="AF1464" s="40"/>
      <c r="AI1464" s="11"/>
      <c r="AJ1464" s="11"/>
      <c r="AK1464" s="11"/>
      <c r="AL1464" s="11"/>
      <c r="AM1464" s="11"/>
      <c r="AN1464" s="11"/>
      <c r="AO1464" s="11"/>
      <c r="AY1464" s="11"/>
      <c r="BE1464" s="38"/>
      <c r="BF1464" s="38"/>
      <c r="BG1464" s="38"/>
      <c r="BH1464" s="11"/>
      <c r="BI1464" s="1"/>
      <c r="BJ1464" s="2"/>
      <c r="BK1464" s="1"/>
      <c r="BL1464" s="1"/>
      <c r="BM1464" s="7"/>
      <c r="BN1464" s="7"/>
      <c r="BO1464" s="1"/>
      <c r="BP1464" s="11"/>
      <c r="BQ1464" s="11"/>
    </row>
    <row r="1465" spans="1:69" x14ac:dyDescent="0.3">
      <c r="A1465" s="7"/>
      <c r="B1465" s="11"/>
      <c r="C1465" s="11"/>
      <c r="D1465" s="11"/>
      <c r="E1465" s="45"/>
      <c r="F1465" s="40"/>
      <c r="G1465" s="11"/>
      <c r="K1465" s="40"/>
      <c r="N1465" s="11"/>
      <c r="O1465" s="11"/>
      <c r="P1465" s="11"/>
      <c r="Q1465" s="11"/>
      <c r="R1465" s="11"/>
      <c r="S1465" s="11"/>
      <c r="T1465" s="11"/>
      <c r="U1465" s="11"/>
      <c r="V1465" s="11"/>
      <c r="W1465" s="11"/>
      <c r="X1465" s="11"/>
      <c r="Y1465" s="11"/>
      <c r="Z1465" s="11"/>
      <c r="AA1465" s="11"/>
      <c r="AB1465" s="11"/>
      <c r="AC1465" s="11"/>
      <c r="AD1465" s="40"/>
      <c r="AE1465" s="11"/>
      <c r="AF1465" s="40"/>
      <c r="AI1465" s="11"/>
      <c r="AJ1465" s="11"/>
      <c r="AK1465" s="11"/>
      <c r="AL1465" s="11"/>
      <c r="AM1465" s="11"/>
      <c r="AN1465" s="11"/>
      <c r="AO1465" s="11"/>
      <c r="AY1465" s="11"/>
      <c r="BE1465" s="38"/>
      <c r="BF1465" s="38"/>
      <c r="BG1465" s="38"/>
      <c r="BH1465" s="11"/>
      <c r="BI1465" s="1"/>
      <c r="BJ1465" s="2"/>
      <c r="BK1465" s="1"/>
      <c r="BL1465" s="1"/>
      <c r="BM1465" s="7"/>
      <c r="BN1465" s="7"/>
      <c r="BO1465" s="1"/>
      <c r="BP1465" s="11"/>
      <c r="BQ1465" s="11"/>
    </row>
    <row r="1466" spans="1:69" x14ac:dyDescent="0.3">
      <c r="A1466" s="7"/>
      <c r="B1466" s="11"/>
      <c r="C1466" s="11"/>
      <c r="D1466" s="11"/>
      <c r="E1466" s="45"/>
      <c r="F1466" s="40"/>
      <c r="G1466" s="11"/>
      <c r="K1466" s="40"/>
      <c r="N1466" s="11"/>
      <c r="O1466" s="11"/>
      <c r="P1466" s="11"/>
      <c r="Q1466" s="11"/>
      <c r="R1466" s="11"/>
      <c r="S1466" s="11"/>
      <c r="T1466" s="11"/>
      <c r="U1466" s="11"/>
      <c r="V1466" s="11"/>
      <c r="W1466" s="11"/>
      <c r="X1466" s="11"/>
      <c r="Y1466" s="11"/>
      <c r="Z1466" s="11"/>
      <c r="AA1466" s="11"/>
      <c r="AB1466" s="11"/>
      <c r="AC1466" s="11"/>
      <c r="AD1466" s="40"/>
      <c r="AE1466" s="11"/>
      <c r="AF1466" s="40"/>
      <c r="AI1466" s="11"/>
      <c r="AJ1466" s="11"/>
      <c r="AK1466" s="11"/>
      <c r="AL1466" s="11"/>
      <c r="AM1466" s="11"/>
      <c r="AN1466" s="11"/>
      <c r="AO1466" s="11"/>
      <c r="AY1466" s="11"/>
      <c r="BE1466" s="38"/>
      <c r="BF1466" s="38"/>
      <c r="BG1466" s="38"/>
      <c r="BH1466" s="11"/>
      <c r="BI1466" s="1"/>
      <c r="BJ1466" s="2"/>
      <c r="BK1466" s="1"/>
      <c r="BL1466" s="1"/>
      <c r="BM1466" s="7"/>
      <c r="BN1466" s="7"/>
      <c r="BO1466" s="1"/>
      <c r="BP1466" s="11"/>
      <c r="BQ1466" s="11"/>
    </row>
    <row r="1467" spans="1:69" x14ac:dyDescent="0.3">
      <c r="A1467" s="7"/>
      <c r="B1467" s="11"/>
      <c r="C1467" s="11"/>
      <c r="D1467" s="11"/>
      <c r="E1467" s="45"/>
      <c r="F1467" s="40"/>
      <c r="G1467" s="11"/>
      <c r="K1467" s="40"/>
      <c r="N1467" s="11"/>
      <c r="O1467" s="11"/>
      <c r="P1467" s="11"/>
      <c r="Q1467" s="11"/>
      <c r="R1467" s="11"/>
      <c r="S1467" s="11"/>
      <c r="T1467" s="11"/>
      <c r="U1467" s="11"/>
      <c r="V1467" s="11"/>
      <c r="W1467" s="11"/>
      <c r="X1467" s="11"/>
      <c r="Y1467" s="11"/>
      <c r="Z1467" s="11"/>
      <c r="AA1467" s="11"/>
      <c r="AB1467" s="11"/>
      <c r="AC1467" s="11"/>
      <c r="AD1467" s="40"/>
      <c r="AE1467" s="11"/>
      <c r="AF1467" s="40"/>
      <c r="AI1467" s="11"/>
      <c r="AJ1467" s="11"/>
      <c r="AK1467" s="11"/>
      <c r="AL1467" s="11"/>
      <c r="AM1467" s="11"/>
      <c r="AN1467" s="11"/>
      <c r="AO1467" s="11"/>
      <c r="AY1467" s="11"/>
      <c r="BE1467" s="38"/>
      <c r="BF1467" s="38"/>
      <c r="BG1467" s="38"/>
      <c r="BH1467" s="11"/>
      <c r="BI1467" s="1"/>
      <c r="BJ1467" s="2"/>
      <c r="BK1467" s="1"/>
      <c r="BL1467" s="1"/>
      <c r="BM1467" s="7"/>
      <c r="BN1467" s="7"/>
      <c r="BO1467" s="1"/>
      <c r="BP1467" s="11"/>
      <c r="BQ1467" s="11"/>
    </row>
    <row r="1468" spans="1:69" x14ac:dyDescent="0.3">
      <c r="A1468" s="7"/>
      <c r="B1468" s="11"/>
      <c r="C1468" s="11"/>
      <c r="D1468" s="11"/>
      <c r="E1468" s="45"/>
      <c r="F1468" s="40"/>
      <c r="G1468" s="11"/>
      <c r="K1468" s="40"/>
      <c r="N1468" s="11"/>
      <c r="O1468" s="11"/>
      <c r="P1468" s="11"/>
      <c r="Q1468" s="11"/>
      <c r="R1468" s="11"/>
      <c r="S1468" s="11"/>
      <c r="T1468" s="11"/>
      <c r="U1468" s="11"/>
      <c r="V1468" s="11"/>
      <c r="W1468" s="11"/>
      <c r="X1468" s="11"/>
      <c r="Y1468" s="11"/>
      <c r="Z1468" s="11"/>
      <c r="AA1468" s="11"/>
      <c r="AB1468" s="11"/>
      <c r="AC1468" s="11"/>
      <c r="AD1468" s="40"/>
      <c r="AE1468" s="11"/>
      <c r="AF1468" s="40"/>
      <c r="AI1468" s="11"/>
      <c r="AJ1468" s="11"/>
      <c r="AK1468" s="11"/>
      <c r="AL1468" s="11"/>
      <c r="AM1468" s="11"/>
      <c r="AN1468" s="11"/>
      <c r="AO1468" s="11"/>
      <c r="AY1468" s="11"/>
      <c r="BE1468" s="38"/>
      <c r="BF1468" s="38"/>
      <c r="BG1468" s="38"/>
      <c r="BH1468" s="11"/>
      <c r="BI1468" s="1"/>
      <c r="BJ1468" s="2"/>
      <c r="BK1468" s="1"/>
      <c r="BL1468" s="1"/>
      <c r="BM1468" s="7"/>
      <c r="BN1468" s="7"/>
      <c r="BO1468" s="1"/>
      <c r="BP1468" s="11"/>
      <c r="BQ1468" s="11"/>
    </row>
    <row r="1469" spans="1:69" x14ac:dyDescent="0.3">
      <c r="A1469" s="7"/>
      <c r="B1469" s="11"/>
      <c r="C1469" s="11"/>
      <c r="D1469" s="11"/>
      <c r="E1469" s="45"/>
      <c r="F1469" s="40"/>
      <c r="G1469" s="11"/>
      <c r="K1469" s="40"/>
      <c r="N1469" s="11"/>
      <c r="O1469" s="11"/>
      <c r="P1469" s="11"/>
      <c r="Q1469" s="11"/>
      <c r="R1469" s="11"/>
      <c r="S1469" s="11"/>
      <c r="T1469" s="11"/>
      <c r="U1469" s="11"/>
      <c r="V1469" s="11"/>
      <c r="W1469" s="11"/>
      <c r="X1469" s="11"/>
      <c r="Y1469" s="11"/>
      <c r="Z1469" s="11"/>
      <c r="AA1469" s="11"/>
      <c r="AB1469" s="11"/>
      <c r="AC1469" s="11"/>
      <c r="AD1469" s="40"/>
      <c r="AE1469" s="11"/>
      <c r="AF1469" s="40"/>
      <c r="AI1469" s="11"/>
      <c r="AJ1469" s="11"/>
      <c r="AK1469" s="11"/>
      <c r="AL1469" s="11"/>
      <c r="AM1469" s="11"/>
      <c r="AN1469" s="11"/>
      <c r="AO1469" s="11"/>
      <c r="AY1469" s="11"/>
      <c r="BE1469" s="38"/>
      <c r="BF1469" s="38"/>
      <c r="BG1469" s="38"/>
      <c r="BH1469" s="11"/>
      <c r="BI1469" s="1"/>
      <c r="BJ1469" s="2"/>
      <c r="BK1469" s="1"/>
      <c r="BL1469" s="1"/>
      <c r="BM1469" s="7"/>
      <c r="BN1469" s="7"/>
      <c r="BO1469" s="1"/>
      <c r="BP1469" s="11"/>
      <c r="BQ1469" s="11"/>
    </row>
    <row r="1470" spans="1:69" x14ac:dyDescent="0.3">
      <c r="A1470" s="7"/>
      <c r="B1470" s="11"/>
      <c r="C1470" s="11"/>
      <c r="D1470" s="11"/>
      <c r="E1470" s="45"/>
      <c r="F1470" s="40"/>
      <c r="G1470" s="11"/>
      <c r="K1470" s="40"/>
      <c r="N1470" s="11"/>
      <c r="O1470" s="11"/>
      <c r="P1470" s="11"/>
      <c r="Q1470" s="11"/>
      <c r="R1470" s="11"/>
      <c r="S1470" s="11"/>
      <c r="T1470" s="11"/>
      <c r="U1470" s="11"/>
      <c r="V1470" s="11"/>
      <c r="W1470" s="11"/>
      <c r="X1470" s="11"/>
      <c r="Y1470" s="11"/>
      <c r="Z1470" s="11"/>
      <c r="AA1470" s="11"/>
      <c r="AB1470" s="11"/>
      <c r="AC1470" s="11"/>
      <c r="AD1470" s="40"/>
      <c r="AE1470" s="11"/>
      <c r="AF1470" s="40"/>
      <c r="AI1470" s="11"/>
      <c r="AJ1470" s="11"/>
      <c r="AK1470" s="11"/>
      <c r="AL1470" s="11"/>
      <c r="AM1470" s="11"/>
      <c r="AN1470" s="11"/>
      <c r="AO1470" s="11"/>
      <c r="AY1470" s="11"/>
      <c r="BE1470" s="38"/>
      <c r="BF1470" s="38"/>
      <c r="BG1470" s="38"/>
      <c r="BH1470" s="11"/>
      <c r="BI1470" s="1"/>
      <c r="BJ1470" s="2"/>
      <c r="BK1470" s="1"/>
      <c r="BL1470" s="1"/>
      <c r="BM1470" s="7"/>
      <c r="BN1470" s="7"/>
      <c r="BO1470" s="1"/>
      <c r="BP1470" s="11"/>
      <c r="BQ1470" s="11"/>
    </row>
    <row r="1471" spans="1:69" x14ac:dyDescent="0.3">
      <c r="A1471" s="7"/>
      <c r="B1471" s="11"/>
      <c r="C1471" s="11"/>
      <c r="D1471" s="11"/>
      <c r="E1471" s="45"/>
      <c r="F1471" s="40"/>
      <c r="G1471" s="11"/>
      <c r="K1471" s="40"/>
      <c r="N1471" s="11"/>
      <c r="O1471" s="11"/>
      <c r="P1471" s="11"/>
      <c r="Q1471" s="11"/>
      <c r="R1471" s="11"/>
      <c r="S1471" s="11"/>
      <c r="T1471" s="11"/>
      <c r="U1471" s="11"/>
      <c r="V1471" s="11"/>
      <c r="W1471" s="11"/>
      <c r="X1471" s="11"/>
      <c r="Y1471" s="11"/>
      <c r="Z1471" s="11"/>
      <c r="AA1471" s="11"/>
      <c r="AB1471" s="11"/>
      <c r="AC1471" s="11"/>
      <c r="AD1471" s="40"/>
      <c r="AE1471" s="11"/>
      <c r="AF1471" s="40"/>
      <c r="AI1471" s="11"/>
      <c r="AJ1471" s="11"/>
      <c r="AK1471" s="11"/>
      <c r="AL1471" s="11"/>
      <c r="AM1471" s="11"/>
      <c r="AN1471" s="11"/>
      <c r="AO1471" s="11"/>
      <c r="AY1471" s="11"/>
      <c r="BE1471" s="38"/>
      <c r="BF1471" s="38"/>
      <c r="BG1471" s="38"/>
      <c r="BH1471" s="11"/>
      <c r="BI1471" s="1"/>
      <c r="BJ1471" s="2"/>
      <c r="BK1471" s="1"/>
      <c r="BL1471" s="1"/>
      <c r="BM1471" s="7"/>
      <c r="BN1471" s="7"/>
      <c r="BO1471" s="1"/>
      <c r="BP1471" s="11"/>
      <c r="BQ1471" s="11"/>
    </row>
    <row r="1472" spans="1:69" x14ac:dyDescent="0.3">
      <c r="A1472" s="7"/>
      <c r="B1472" s="11"/>
      <c r="C1472" s="11"/>
      <c r="D1472" s="11"/>
      <c r="E1472" s="45"/>
      <c r="F1472" s="40"/>
      <c r="G1472" s="11"/>
      <c r="K1472" s="40"/>
      <c r="N1472" s="11"/>
      <c r="O1472" s="11"/>
      <c r="P1472" s="11"/>
      <c r="Q1472" s="11"/>
      <c r="R1472" s="11"/>
      <c r="S1472" s="11"/>
      <c r="T1472" s="11"/>
      <c r="U1472" s="11"/>
      <c r="V1472" s="11"/>
      <c r="W1472" s="11"/>
      <c r="X1472" s="11"/>
      <c r="Y1472" s="11"/>
      <c r="Z1472" s="11"/>
      <c r="AA1472" s="11"/>
      <c r="AB1472" s="11"/>
      <c r="AC1472" s="11"/>
      <c r="AD1472" s="40"/>
      <c r="AE1472" s="11"/>
      <c r="AF1472" s="40"/>
      <c r="AI1472" s="11"/>
      <c r="AJ1472" s="11"/>
      <c r="AK1472" s="11"/>
      <c r="AL1472" s="11"/>
      <c r="AM1472" s="11"/>
      <c r="AN1472" s="11"/>
      <c r="AO1472" s="11"/>
      <c r="AY1472" s="11"/>
      <c r="BE1472" s="38"/>
      <c r="BF1472" s="38"/>
      <c r="BG1472" s="38"/>
      <c r="BH1472" s="11"/>
      <c r="BI1472" s="1"/>
      <c r="BJ1472" s="2"/>
      <c r="BK1472" s="1"/>
      <c r="BL1472" s="1"/>
      <c r="BM1472" s="7"/>
      <c r="BN1472" s="7"/>
      <c r="BO1472" s="1"/>
      <c r="BP1472" s="11"/>
      <c r="BQ1472" s="11"/>
    </row>
    <row r="1473" spans="1:69" x14ac:dyDescent="0.3">
      <c r="A1473" s="7"/>
      <c r="B1473" s="11"/>
      <c r="C1473" s="11"/>
      <c r="D1473" s="11"/>
      <c r="E1473" s="45"/>
      <c r="F1473" s="40"/>
      <c r="G1473" s="11"/>
      <c r="K1473" s="40"/>
      <c r="N1473" s="11"/>
      <c r="O1473" s="11"/>
      <c r="P1473" s="11"/>
      <c r="Q1473" s="11"/>
      <c r="R1473" s="11"/>
      <c r="S1473" s="11"/>
      <c r="T1473" s="11"/>
      <c r="U1473" s="11"/>
      <c r="V1473" s="11"/>
      <c r="W1473" s="11"/>
      <c r="X1473" s="11"/>
      <c r="Y1473" s="11"/>
      <c r="Z1473" s="11"/>
      <c r="AA1473" s="11"/>
      <c r="AB1473" s="11"/>
      <c r="AC1473" s="11"/>
      <c r="AD1473" s="40"/>
      <c r="AE1473" s="11"/>
      <c r="AF1473" s="40"/>
      <c r="AI1473" s="11"/>
      <c r="AJ1473" s="11"/>
      <c r="AK1473" s="11"/>
      <c r="AL1473" s="11"/>
      <c r="AM1473" s="11"/>
      <c r="AN1473" s="11"/>
      <c r="AO1473" s="11"/>
      <c r="AY1473" s="11"/>
      <c r="BE1473" s="38"/>
      <c r="BF1473" s="38"/>
      <c r="BG1473" s="38"/>
      <c r="BH1473" s="11"/>
      <c r="BI1473" s="1"/>
      <c r="BJ1473" s="2"/>
      <c r="BK1473" s="1"/>
      <c r="BL1473" s="1"/>
      <c r="BM1473" s="7"/>
      <c r="BN1473" s="7"/>
      <c r="BO1473" s="1"/>
      <c r="BP1473" s="11"/>
      <c r="BQ1473" s="11"/>
    </row>
    <row r="1474" spans="1:69" x14ac:dyDescent="0.3">
      <c r="A1474" s="7"/>
      <c r="B1474" s="11"/>
      <c r="C1474" s="11"/>
      <c r="D1474" s="11"/>
      <c r="E1474" s="45"/>
      <c r="F1474" s="40"/>
      <c r="G1474" s="11"/>
      <c r="K1474" s="40"/>
      <c r="N1474" s="11"/>
      <c r="O1474" s="11"/>
      <c r="P1474" s="11"/>
      <c r="Q1474" s="11"/>
      <c r="R1474" s="11"/>
      <c r="S1474" s="11"/>
      <c r="T1474" s="11"/>
      <c r="U1474" s="11"/>
      <c r="V1474" s="11"/>
      <c r="W1474" s="11"/>
      <c r="X1474" s="11"/>
      <c r="Y1474" s="11"/>
      <c r="Z1474" s="11"/>
      <c r="AA1474" s="11"/>
      <c r="AB1474" s="11"/>
      <c r="AC1474" s="11"/>
      <c r="AD1474" s="40"/>
      <c r="AE1474" s="11"/>
      <c r="AF1474" s="40"/>
      <c r="AI1474" s="11"/>
      <c r="AJ1474" s="11"/>
      <c r="AK1474" s="11"/>
      <c r="AL1474" s="11"/>
      <c r="AM1474" s="11"/>
      <c r="AN1474" s="11"/>
      <c r="AO1474" s="11"/>
      <c r="AY1474" s="11"/>
      <c r="BE1474" s="38"/>
      <c r="BF1474" s="38"/>
      <c r="BG1474" s="38"/>
      <c r="BH1474" s="11"/>
      <c r="BI1474" s="1"/>
      <c r="BJ1474" s="2"/>
      <c r="BK1474" s="1"/>
      <c r="BL1474" s="1"/>
      <c r="BM1474" s="7"/>
      <c r="BN1474" s="7"/>
      <c r="BO1474" s="1"/>
      <c r="BP1474" s="11"/>
      <c r="BQ1474" s="11"/>
    </row>
    <row r="1475" spans="1:69" x14ac:dyDescent="0.3">
      <c r="A1475" s="7"/>
      <c r="B1475" s="11"/>
      <c r="C1475" s="11"/>
      <c r="D1475" s="11"/>
      <c r="E1475" s="45"/>
      <c r="F1475" s="40"/>
      <c r="G1475" s="11"/>
      <c r="K1475" s="40"/>
      <c r="N1475" s="11"/>
      <c r="O1475" s="11"/>
      <c r="P1475" s="11"/>
      <c r="Q1475" s="11"/>
      <c r="R1475" s="11"/>
      <c r="S1475" s="11"/>
      <c r="T1475" s="11"/>
      <c r="U1475" s="11"/>
      <c r="V1475" s="11"/>
      <c r="W1475" s="11"/>
      <c r="X1475" s="11"/>
      <c r="Y1475" s="11"/>
      <c r="Z1475" s="11"/>
      <c r="AA1475" s="11"/>
      <c r="AB1475" s="11"/>
      <c r="AC1475" s="11"/>
      <c r="AD1475" s="40"/>
      <c r="AE1475" s="11"/>
      <c r="AF1475" s="40"/>
      <c r="AI1475" s="11"/>
      <c r="AJ1475" s="11"/>
      <c r="AK1475" s="11"/>
      <c r="AL1475" s="11"/>
      <c r="AM1475" s="11"/>
      <c r="AN1475" s="11"/>
      <c r="AO1475" s="11"/>
      <c r="AY1475" s="11"/>
      <c r="BE1475" s="38"/>
      <c r="BF1475" s="38"/>
      <c r="BG1475" s="38"/>
      <c r="BH1475" s="11"/>
      <c r="BI1475" s="1"/>
      <c r="BJ1475" s="2"/>
      <c r="BK1475" s="1"/>
      <c r="BL1475" s="1"/>
      <c r="BM1475" s="7"/>
      <c r="BN1475" s="7"/>
      <c r="BO1475" s="1"/>
      <c r="BP1475" s="11"/>
      <c r="BQ1475" s="11"/>
    </row>
    <row r="1476" spans="1:69" x14ac:dyDescent="0.3">
      <c r="A1476" s="7"/>
      <c r="B1476" s="11"/>
      <c r="C1476" s="11"/>
      <c r="D1476" s="11"/>
      <c r="E1476" s="45"/>
      <c r="F1476" s="40"/>
      <c r="G1476" s="11"/>
      <c r="K1476" s="40"/>
      <c r="N1476" s="11"/>
      <c r="O1476" s="11"/>
      <c r="P1476" s="11"/>
      <c r="Q1476" s="11"/>
      <c r="R1476" s="11"/>
      <c r="S1476" s="11"/>
      <c r="T1476" s="11"/>
      <c r="U1476" s="11"/>
      <c r="V1476" s="11"/>
      <c r="W1476" s="11"/>
      <c r="X1476" s="11"/>
      <c r="Y1476" s="11"/>
      <c r="Z1476" s="11"/>
      <c r="AA1476" s="11"/>
      <c r="AB1476" s="11"/>
      <c r="AC1476" s="11"/>
      <c r="AD1476" s="40"/>
      <c r="AE1476" s="11"/>
      <c r="AF1476" s="40"/>
      <c r="AI1476" s="11"/>
      <c r="AJ1476" s="11"/>
      <c r="AK1476" s="11"/>
      <c r="AL1476" s="11"/>
      <c r="AM1476" s="11"/>
      <c r="AN1476" s="11"/>
      <c r="AO1476" s="11"/>
      <c r="AY1476" s="11"/>
      <c r="BE1476" s="38"/>
      <c r="BF1476" s="38"/>
      <c r="BG1476" s="38"/>
      <c r="BH1476" s="11"/>
      <c r="BI1476" s="1"/>
      <c r="BJ1476" s="2"/>
      <c r="BK1476" s="1"/>
      <c r="BL1476" s="1"/>
      <c r="BM1476" s="7"/>
      <c r="BN1476" s="7"/>
      <c r="BO1476" s="1"/>
      <c r="BP1476" s="11"/>
      <c r="BQ1476" s="11"/>
    </row>
    <row r="1477" spans="1:69" x14ac:dyDescent="0.3">
      <c r="A1477" s="7"/>
      <c r="B1477" s="11"/>
      <c r="C1477" s="11"/>
      <c r="D1477" s="11"/>
      <c r="E1477" s="45"/>
      <c r="F1477" s="40"/>
      <c r="G1477" s="11"/>
      <c r="K1477" s="40"/>
      <c r="N1477" s="11"/>
      <c r="O1477" s="11"/>
      <c r="P1477" s="11"/>
      <c r="Q1477" s="11"/>
      <c r="R1477" s="11"/>
      <c r="S1477" s="11"/>
      <c r="T1477" s="11"/>
      <c r="U1477" s="11"/>
      <c r="V1477" s="11"/>
      <c r="W1477" s="11"/>
      <c r="X1477" s="11"/>
      <c r="Y1477" s="11"/>
      <c r="Z1477" s="11"/>
      <c r="AA1477" s="11"/>
      <c r="AB1477" s="11"/>
      <c r="AC1477" s="11"/>
      <c r="AD1477" s="40"/>
      <c r="AE1477" s="11"/>
      <c r="AF1477" s="40"/>
      <c r="AI1477" s="11"/>
      <c r="AJ1477" s="11"/>
      <c r="AK1477" s="11"/>
      <c r="AL1477" s="11"/>
      <c r="AM1477" s="11"/>
      <c r="AN1477" s="11"/>
      <c r="AO1477" s="11"/>
      <c r="AY1477" s="11"/>
      <c r="BE1477" s="38"/>
      <c r="BF1477" s="38"/>
      <c r="BG1477" s="38"/>
      <c r="BH1477" s="11"/>
      <c r="BI1477" s="1"/>
      <c r="BJ1477" s="2"/>
      <c r="BK1477" s="1"/>
      <c r="BL1477" s="1"/>
      <c r="BM1477" s="7"/>
      <c r="BN1477" s="7"/>
      <c r="BO1477" s="1"/>
      <c r="BP1477" s="11"/>
      <c r="BQ1477" s="11"/>
    </row>
    <row r="1478" spans="1:69" x14ac:dyDescent="0.3">
      <c r="A1478" s="7"/>
      <c r="B1478" s="11"/>
      <c r="C1478" s="11"/>
      <c r="D1478" s="11"/>
      <c r="E1478" s="45"/>
      <c r="F1478" s="40"/>
      <c r="G1478" s="11"/>
      <c r="K1478" s="40"/>
      <c r="N1478" s="11"/>
      <c r="O1478" s="11"/>
      <c r="P1478" s="11"/>
      <c r="Q1478" s="11"/>
      <c r="R1478" s="11"/>
      <c r="S1478" s="11"/>
      <c r="T1478" s="11"/>
      <c r="U1478" s="11"/>
      <c r="V1478" s="11"/>
      <c r="W1478" s="11"/>
      <c r="X1478" s="11"/>
      <c r="Y1478" s="11"/>
      <c r="Z1478" s="11"/>
      <c r="AA1478" s="11"/>
      <c r="AB1478" s="11"/>
      <c r="AC1478" s="11"/>
      <c r="AD1478" s="40"/>
      <c r="AE1478" s="11"/>
      <c r="AF1478" s="40"/>
      <c r="AI1478" s="11"/>
      <c r="AJ1478" s="11"/>
      <c r="AK1478" s="11"/>
      <c r="AL1478" s="11"/>
      <c r="AM1478" s="11"/>
      <c r="AN1478" s="11"/>
      <c r="AO1478" s="11"/>
      <c r="AY1478" s="11"/>
      <c r="BE1478" s="38"/>
      <c r="BF1478" s="38"/>
      <c r="BG1478" s="38"/>
      <c r="BH1478" s="11"/>
      <c r="BI1478" s="1"/>
      <c r="BJ1478" s="2"/>
      <c r="BK1478" s="1"/>
      <c r="BL1478" s="1"/>
      <c r="BM1478" s="7"/>
      <c r="BN1478" s="7"/>
      <c r="BO1478" s="1"/>
      <c r="BP1478" s="11"/>
      <c r="BQ1478" s="11"/>
    </row>
    <row r="1479" spans="1:69" x14ac:dyDescent="0.3">
      <c r="A1479" s="7"/>
      <c r="B1479" s="11"/>
      <c r="C1479" s="11"/>
      <c r="D1479" s="11"/>
      <c r="E1479" s="45"/>
      <c r="F1479" s="40"/>
      <c r="G1479" s="11"/>
      <c r="K1479" s="40"/>
      <c r="N1479" s="11"/>
      <c r="O1479" s="11"/>
      <c r="P1479" s="11"/>
      <c r="Q1479" s="11"/>
      <c r="R1479" s="11"/>
      <c r="S1479" s="11"/>
      <c r="T1479" s="11"/>
      <c r="U1479" s="11"/>
      <c r="V1479" s="11"/>
      <c r="W1479" s="11"/>
      <c r="X1479" s="11"/>
      <c r="Y1479" s="11"/>
      <c r="Z1479" s="11"/>
      <c r="AA1479" s="11"/>
      <c r="AB1479" s="11"/>
      <c r="AC1479" s="11"/>
      <c r="AD1479" s="40"/>
      <c r="AE1479" s="11"/>
      <c r="AF1479" s="40"/>
      <c r="AI1479" s="11"/>
      <c r="AJ1479" s="11"/>
      <c r="AK1479" s="11"/>
      <c r="AL1479" s="11"/>
      <c r="AM1479" s="11"/>
      <c r="AN1479" s="11"/>
      <c r="AO1479" s="11"/>
      <c r="AY1479" s="11"/>
      <c r="BE1479" s="38"/>
      <c r="BF1479" s="38"/>
      <c r="BG1479" s="38"/>
      <c r="BH1479" s="11"/>
      <c r="BI1479" s="1"/>
      <c r="BJ1479" s="2"/>
      <c r="BK1479" s="1"/>
      <c r="BL1479" s="1"/>
      <c r="BM1479" s="7"/>
      <c r="BN1479" s="7"/>
      <c r="BO1479" s="1"/>
      <c r="BP1479" s="11"/>
      <c r="BQ1479" s="11"/>
    </row>
    <row r="1480" spans="1:69" x14ac:dyDescent="0.3">
      <c r="A1480" s="7"/>
      <c r="B1480" s="11"/>
      <c r="C1480" s="11"/>
      <c r="D1480" s="11"/>
      <c r="E1480" s="45"/>
      <c r="F1480" s="40"/>
      <c r="G1480" s="11"/>
      <c r="K1480" s="40"/>
      <c r="N1480" s="11"/>
      <c r="O1480" s="11"/>
      <c r="P1480" s="11"/>
      <c r="Q1480" s="11"/>
      <c r="R1480" s="11"/>
      <c r="S1480" s="11"/>
      <c r="T1480" s="11"/>
      <c r="U1480" s="11"/>
      <c r="V1480" s="11"/>
      <c r="W1480" s="11"/>
      <c r="X1480" s="11"/>
      <c r="Y1480" s="11"/>
      <c r="Z1480" s="11"/>
      <c r="AA1480" s="11"/>
      <c r="AB1480" s="11"/>
      <c r="AC1480" s="11"/>
      <c r="AD1480" s="40"/>
      <c r="AE1480" s="11"/>
      <c r="AF1480" s="40"/>
      <c r="AI1480" s="11"/>
      <c r="AJ1480" s="11"/>
      <c r="AK1480" s="11"/>
      <c r="AL1480" s="11"/>
      <c r="AM1480" s="11"/>
      <c r="AN1480" s="11"/>
      <c r="AO1480" s="11"/>
      <c r="AY1480" s="11"/>
      <c r="BE1480" s="38"/>
      <c r="BF1480" s="38"/>
      <c r="BG1480" s="38"/>
      <c r="BH1480" s="11"/>
      <c r="BI1480" s="1"/>
      <c r="BJ1480" s="2"/>
      <c r="BK1480" s="1"/>
      <c r="BL1480" s="1"/>
      <c r="BM1480" s="7"/>
      <c r="BN1480" s="7"/>
      <c r="BO1480" s="1"/>
      <c r="BP1480" s="11"/>
      <c r="BQ1480" s="11"/>
    </row>
    <row r="1481" spans="1:69" x14ac:dyDescent="0.3">
      <c r="A1481" s="7"/>
      <c r="B1481" s="11"/>
      <c r="C1481" s="11"/>
      <c r="D1481" s="11"/>
      <c r="E1481" s="45"/>
      <c r="F1481" s="40"/>
      <c r="G1481" s="11"/>
      <c r="K1481" s="40"/>
      <c r="N1481" s="11"/>
      <c r="O1481" s="11"/>
      <c r="P1481" s="11"/>
      <c r="Q1481" s="11"/>
      <c r="R1481" s="11"/>
      <c r="S1481" s="11"/>
      <c r="T1481" s="11"/>
      <c r="U1481" s="11"/>
      <c r="V1481" s="11"/>
      <c r="W1481" s="11"/>
      <c r="X1481" s="11"/>
      <c r="Y1481" s="11"/>
      <c r="Z1481" s="11"/>
      <c r="AA1481" s="11"/>
      <c r="AB1481" s="11"/>
      <c r="AC1481" s="11"/>
      <c r="AD1481" s="40"/>
      <c r="AE1481" s="11"/>
      <c r="AF1481" s="40"/>
      <c r="AI1481" s="11"/>
      <c r="AJ1481" s="11"/>
      <c r="AK1481" s="11"/>
      <c r="AL1481" s="11"/>
      <c r="AM1481" s="11"/>
      <c r="AN1481" s="11"/>
      <c r="AO1481" s="11"/>
      <c r="AY1481" s="11"/>
      <c r="BE1481" s="38"/>
      <c r="BF1481" s="38"/>
      <c r="BG1481" s="38"/>
      <c r="BH1481" s="11"/>
      <c r="BI1481" s="1"/>
      <c r="BJ1481" s="2"/>
      <c r="BK1481" s="1"/>
      <c r="BL1481" s="1"/>
      <c r="BM1481" s="7"/>
      <c r="BN1481" s="7"/>
      <c r="BO1481" s="1"/>
      <c r="BP1481" s="11"/>
      <c r="BQ1481" s="11"/>
    </row>
    <row r="1482" spans="1:69" x14ac:dyDescent="0.3">
      <c r="A1482" s="7"/>
      <c r="B1482" s="11"/>
      <c r="C1482" s="11"/>
      <c r="D1482" s="11"/>
      <c r="E1482" s="45"/>
      <c r="F1482" s="40"/>
      <c r="G1482" s="11"/>
      <c r="K1482" s="40"/>
      <c r="N1482" s="11"/>
      <c r="O1482" s="11"/>
      <c r="P1482" s="11"/>
      <c r="Q1482" s="11"/>
      <c r="R1482" s="11"/>
      <c r="S1482" s="11"/>
      <c r="T1482" s="11"/>
      <c r="U1482" s="11"/>
      <c r="V1482" s="11"/>
      <c r="W1482" s="11"/>
      <c r="X1482" s="11"/>
      <c r="Y1482" s="11"/>
      <c r="Z1482" s="11"/>
      <c r="AA1482" s="11"/>
      <c r="AB1482" s="11"/>
      <c r="AC1482" s="11"/>
      <c r="AD1482" s="40"/>
      <c r="AE1482" s="11"/>
      <c r="AF1482" s="40"/>
      <c r="AI1482" s="11"/>
      <c r="AJ1482" s="11"/>
      <c r="AK1482" s="11"/>
      <c r="AL1482" s="11"/>
      <c r="AM1482" s="11"/>
      <c r="AN1482" s="11"/>
      <c r="AO1482" s="11"/>
      <c r="AY1482" s="11"/>
      <c r="BE1482" s="38"/>
      <c r="BF1482" s="38"/>
      <c r="BG1482" s="38"/>
      <c r="BH1482" s="11"/>
      <c r="BI1482" s="1"/>
      <c r="BJ1482" s="2"/>
      <c r="BK1482" s="1"/>
      <c r="BL1482" s="1"/>
      <c r="BM1482" s="7"/>
      <c r="BN1482" s="7"/>
      <c r="BO1482" s="1"/>
      <c r="BP1482" s="11"/>
      <c r="BQ1482" s="11"/>
    </row>
    <row r="1483" spans="1:69" x14ac:dyDescent="0.3">
      <c r="A1483" s="7"/>
      <c r="B1483" s="11"/>
      <c r="C1483" s="11"/>
      <c r="D1483" s="11"/>
      <c r="E1483" s="45"/>
      <c r="F1483" s="40"/>
      <c r="G1483" s="11"/>
      <c r="K1483" s="40"/>
      <c r="N1483" s="11"/>
      <c r="O1483" s="11"/>
      <c r="P1483" s="11"/>
      <c r="Q1483" s="11"/>
      <c r="R1483" s="11"/>
      <c r="S1483" s="11"/>
      <c r="T1483" s="11"/>
      <c r="U1483" s="11"/>
      <c r="V1483" s="11"/>
      <c r="W1483" s="11"/>
      <c r="X1483" s="11"/>
      <c r="Y1483" s="11"/>
      <c r="Z1483" s="11"/>
      <c r="AA1483" s="11"/>
      <c r="AB1483" s="11"/>
      <c r="AC1483" s="11"/>
      <c r="AD1483" s="40"/>
      <c r="AE1483" s="11"/>
      <c r="AF1483" s="40"/>
      <c r="AI1483" s="11"/>
      <c r="AJ1483" s="11"/>
      <c r="AK1483" s="11"/>
      <c r="AL1483" s="11"/>
      <c r="AM1483" s="11"/>
      <c r="AN1483" s="11"/>
      <c r="AO1483" s="11"/>
      <c r="AY1483" s="11"/>
      <c r="BE1483" s="38"/>
      <c r="BF1483" s="38"/>
      <c r="BG1483" s="38"/>
      <c r="BH1483" s="11"/>
      <c r="BI1483" s="1"/>
      <c r="BJ1483" s="2"/>
      <c r="BK1483" s="1"/>
      <c r="BL1483" s="1"/>
      <c r="BM1483" s="7"/>
      <c r="BN1483" s="7"/>
      <c r="BO1483" s="1"/>
      <c r="BP1483" s="11"/>
      <c r="BQ1483" s="11"/>
    </row>
    <row r="1484" spans="1:69" x14ac:dyDescent="0.3">
      <c r="A1484" s="7"/>
      <c r="B1484" s="11"/>
      <c r="C1484" s="11"/>
      <c r="D1484" s="11"/>
      <c r="E1484" s="45"/>
      <c r="F1484" s="40"/>
      <c r="G1484" s="11"/>
      <c r="K1484" s="40"/>
      <c r="N1484" s="11"/>
      <c r="O1484" s="11"/>
      <c r="P1484" s="11"/>
      <c r="Q1484" s="11"/>
      <c r="R1484" s="11"/>
      <c r="S1484" s="11"/>
      <c r="T1484" s="11"/>
      <c r="U1484" s="11"/>
      <c r="V1484" s="11"/>
      <c r="W1484" s="11"/>
      <c r="X1484" s="11"/>
      <c r="Y1484" s="11"/>
      <c r="Z1484" s="11"/>
      <c r="AA1484" s="11"/>
      <c r="AB1484" s="11"/>
      <c r="AC1484" s="11"/>
      <c r="AD1484" s="40"/>
      <c r="AE1484" s="11"/>
      <c r="AF1484" s="40"/>
      <c r="AI1484" s="11"/>
      <c r="AJ1484" s="11"/>
      <c r="AK1484" s="11"/>
      <c r="AL1484" s="11"/>
      <c r="AM1484" s="11"/>
      <c r="AN1484" s="11"/>
      <c r="AO1484" s="11"/>
      <c r="AY1484" s="11"/>
      <c r="BE1484" s="38"/>
      <c r="BF1484" s="38"/>
      <c r="BG1484" s="38"/>
      <c r="BH1484" s="11"/>
      <c r="BI1484" s="1"/>
      <c r="BJ1484" s="2"/>
      <c r="BK1484" s="1"/>
      <c r="BL1484" s="1"/>
      <c r="BM1484" s="7"/>
      <c r="BN1484" s="7"/>
      <c r="BO1484" s="1"/>
      <c r="BP1484" s="11"/>
      <c r="BQ1484" s="11"/>
    </row>
    <row r="1485" spans="1:69" x14ac:dyDescent="0.3">
      <c r="A1485" s="7"/>
      <c r="B1485" s="11"/>
      <c r="C1485" s="11"/>
      <c r="D1485" s="11"/>
      <c r="E1485" s="45"/>
      <c r="F1485" s="40"/>
      <c r="G1485" s="11"/>
      <c r="K1485" s="40"/>
      <c r="N1485" s="11"/>
      <c r="O1485" s="11"/>
      <c r="P1485" s="11"/>
      <c r="Q1485" s="11"/>
      <c r="R1485" s="11"/>
      <c r="S1485" s="11"/>
      <c r="T1485" s="11"/>
      <c r="U1485" s="11"/>
      <c r="V1485" s="11"/>
      <c r="W1485" s="11"/>
      <c r="X1485" s="11"/>
      <c r="Y1485" s="11"/>
      <c r="Z1485" s="11"/>
      <c r="AA1485" s="11"/>
      <c r="AB1485" s="11"/>
      <c r="AC1485" s="11"/>
      <c r="AD1485" s="40"/>
      <c r="AE1485" s="11"/>
      <c r="AF1485" s="40"/>
      <c r="AI1485" s="11"/>
      <c r="AJ1485" s="11"/>
      <c r="AK1485" s="11"/>
      <c r="AL1485" s="11"/>
      <c r="AM1485" s="11"/>
      <c r="AN1485" s="11"/>
      <c r="AO1485" s="11"/>
      <c r="AY1485" s="11"/>
      <c r="BE1485" s="38"/>
      <c r="BF1485" s="38"/>
      <c r="BG1485" s="38"/>
      <c r="BH1485" s="11"/>
      <c r="BI1485" s="1"/>
      <c r="BJ1485" s="2"/>
      <c r="BK1485" s="1"/>
      <c r="BL1485" s="1"/>
      <c r="BM1485" s="7"/>
      <c r="BN1485" s="7"/>
      <c r="BO1485" s="1"/>
      <c r="BP1485" s="11"/>
      <c r="BQ1485" s="11"/>
    </row>
    <row r="1486" spans="1:69" x14ac:dyDescent="0.3">
      <c r="A1486" s="7"/>
      <c r="B1486" s="11"/>
      <c r="C1486" s="11"/>
      <c r="D1486" s="11"/>
      <c r="E1486" s="45"/>
      <c r="F1486" s="40"/>
      <c r="G1486" s="11"/>
      <c r="K1486" s="40"/>
      <c r="N1486" s="11"/>
      <c r="O1486" s="11"/>
      <c r="P1486" s="11"/>
      <c r="Q1486" s="11"/>
      <c r="R1486" s="11"/>
      <c r="S1486" s="11"/>
      <c r="T1486" s="11"/>
      <c r="U1486" s="11"/>
      <c r="V1486" s="11"/>
      <c r="W1486" s="11"/>
      <c r="X1486" s="11"/>
      <c r="Y1486" s="11"/>
      <c r="Z1486" s="11"/>
      <c r="AA1486" s="11"/>
      <c r="AB1486" s="11"/>
      <c r="AC1486" s="11"/>
      <c r="AD1486" s="40"/>
      <c r="AE1486" s="11"/>
      <c r="AF1486" s="40"/>
      <c r="AI1486" s="11"/>
      <c r="AJ1486" s="11"/>
      <c r="AK1486" s="11"/>
      <c r="AL1486" s="11"/>
      <c r="AM1486" s="11"/>
      <c r="AN1486" s="11"/>
      <c r="AO1486" s="11"/>
      <c r="AY1486" s="11"/>
      <c r="BE1486" s="38"/>
      <c r="BF1486" s="38"/>
      <c r="BG1486" s="38"/>
      <c r="BH1486" s="11"/>
      <c r="BI1486" s="1"/>
      <c r="BJ1486" s="2"/>
      <c r="BK1486" s="1"/>
      <c r="BL1486" s="1"/>
      <c r="BM1486" s="7"/>
      <c r="BN1486" s="7"/>
      <c r="BO1486" s="1"/>
      <c r="BP1486" s="11"/>
      <c r="BQ1486" s="11"/>
    </row>
    <row r="1487" spans="1:69" x14ac:dyDescent="0.3">
      <c r="A1487" s="7"/>
      <c r="B1487" s="11"/>
      <c r="C1487" s="11"/>
      <c r="D1487" s="11"/>
      <c r="E1487" s="45"/>
      <c r="F1487" s="40"/>
      <c r="G1487" s="11"/>
      <c r="K1487" s="40"/>
      <c r="N1487" s="11"/>
      <c r="O1487" s="11"/>
      <c r="P1487" s="11"/>
      <c r="Q1487" s="11"/>
      <c r="R1487" s="11"/>
      <c r="S1487" s="11"/>
      <c r="T1487" s="11"/>
      <c r="U1487" s="11"/>
      <c r="V1487" s="11"/>
      <c r="W1487" s="11"/>
      <c r="X1487" s="11"/>
      <c r="Y1487" s="11"/>
      <c r="Z1487" s="11"/>
      <c r="AA1487" s="11"/>
      <c r="AB1487" s="11"/>
      <c r="AC1487" s="11"/>
      <c r="AD1487" s="40"/>
      <c r="AE1487" s="11"/>
      <c r="AF1487" s="40"/>
      <c r="AI1487" s="11"/>
      <c r="AJ1487" s="11"/>
      <c r="AK1487" s="11"/>
      <c r="AL1487" s="11"/>
      <c r="AM1487" s="11"/>
      <c r="AN1487" s="11"/>
      <c r="AO1487" s="11"/>
      <c r="AY1487" s="11"/>
      <c r="BE1487" s="38"/>
      <c r="BF1487" s="38"/>
      <c r="BG1487" s="38"/>
      <c r="BH1487" s="11"/>
      <c r="BI1487" s="1"/>
      <c r="BJ1487" s="2"/>
      <c r="BK1487" s="1"/>
      <c r="BL1487" s="1"/>
      <c r="BM1487" s="7"/>
      <c r="BN1487" s="7"/>
      <c r="BO1487" s="1"/>
      <c r="BP1487" s="11"/>
      <c r="BQ1487" s="11"/>
    </row>
    <row r="1488" spans="1:69" x14ac:dyDescent="0.3">
      <c r="A1488" s="7"/>
      <c r="B1488" s="11"/>
      <c r="C1488" s="11"/>
      <c r="D1488" s="11"/>
      <c r="E1488" s="45"/>
      <c r="F1488" s="40"/>
      <c r="G1488" s="11"/>
      <c r="K1488" s="40"/>
      <c r="N1488" s="11"/>
      <c r="O1488" s="11"/>
      <c r="P1488" s="11"/>
      <c r="Q1488" s="11"/>
      <c r="R1488" s="11"/>
      <c r="S1488" s="11"/>
      <c r="T1488" s="11"/>
      <c r="U1488" s="11"/>
      <c r="V1488" s="11"/>
      <c r="W1488" s="11"/>
      <c r="X1488" s="11"/>
      <c r="Y1488" s="11"/>
      <c r="Z1488" s="11"/>
      <c r="AA1488" s="11"/>
      <c r="AB1488" s="11"/>
      <c r="AC1488" s="11"/>
      <c r="AD1488" s="40"/>
      <c r="AE1488" s="11"/>
      <c r="AF1488" s="40"/>
      <c r="AI1488" s="11"/>
      <c r="AJ1488" s="11"/>
      <c r="AK1488" s="11"/>
      <c r="AL1488" s="11"/>
      <c r="AM1488" s="11"/>
      <c r="AN1488" s="11"/>
      <c r="AO1488" s="11"/>
      <c r="AY1488" s="11"/>
      <c r="BE1488" s="38"/>
      <c r="BF1488" s="38"/>
      <c r="BG1488" s="38"/>
      <c r="BH1488" s="11"/>
      <c r="BI1488" s="1"/>
      <c r="BJ1488" s="2"/>
      <c r="BK1488" s="1"/>
      <c r="BL1488" s="1"/>
      <c r="BM1488" s="7"/>
      <c r="BN1488" s="7"/>
      <c r="BO1488" s="1"/>
      <c r="BP1488" s="11"/>
      <c r="BQ1488" s="11"/>
    </row>
    <row r="1489" spans="1:69" x14ac:dyDescent="0.3">
      <c r="A1489" s="7"/>
      <c r="B1489" s="11"/>
      <c r="C1489" s="11"/>
      <c r="D1489" s="11"/>
      <c r="E1489" s="45"/>
      <c r="F1489" s="40"/>
      <c r="G1489" s="11"/>
      <c r="K1489" s="40"/>
      <c r="N1489" s="11"/>
      <c r="O1489" s="11"/>
      <c r="P1489" s="11"/>
      <c r="Q1489" s="11"/>
      <c r="R1489" s="11"/>
      <c r="S1489" s="11"/>
      <c r="T1489" s="11"/>
      <c r="U1489" s="11"/>
      <c r="V1489" s="11"/>
      <c r="W1489" s="11"/>
      <c r="X1489" s="11"/>
      <c r="Y1489" s="11"/>
      <c r="Z1489" s="11"/>
      <c r="AA1489" s="11"/>
      <c r="AB1489" s="11"/>
      <c r="AC1489" s="11"/>
      <c r="AD1489" s="40"/>
      <c r="AE1489" s="11"/>
      <c r="AF1489" s="40"/>
      <c r="AI1489" s="11"/>
      <c r="AJ1489" s="11"/>
      <c r="AK1489" s="11"/>
      <c r="AL1489" s="11"/>
      <c r="AM1489" s="11"/>
      <c r="AN1489" s="11"/>
      <c r="AO1489" s="11"/>
      <c r="AY1489" s="11"/>
      <c r="BE1489" s="38"/>
      <c r="BF1489" s="38"/>
      <c r="BG1489" s="38"/>
      <c r="BH1489" s="11"/>
      <c r="BI1489" s="1"/>
      <c r="BJ1489" s="2"/>
      <c r="BK1489" s="1"/>
      <c r="BL1489" s="1"/>
      <c r="BM1489" s="7"/>
      <c r="BN1489" s="7"/>
      <c r="BO1489" s="1"/>
      <c r="BP1489" s="11"/>
      <c r="BQ1489" s="11"/>
    </row>
    <row r="1490" spans="1:69" x14ac:dyDescent="0.3">
      <c r="A1490" s="7"/>
      <c r="B1490" s="11"/>
      <c r="C1490" s="11"/>
      <c r="D1490" s="11"/>
      <c r="E1490" s="45"/>
      <c r="F1490" s="40"/>
      <c r="G1490" s="11"/>
      <c r="K1490" s="40"/>
      <c r="N1490" s="11"/>
      <c r="O1490" s="11"/>
      <c r="P1490" s="11"/>
      <c r="Q1490" s="11"/>
      <c r="R1490" s="11"/>
      <c r="S1490" s="11"/>
      <c r="T1490" s="11"/>
      <c r="U1490" s="11"/>
      <c r="V1490" s="11"/>
      <c r="W1490" s="11"/>
      <c r="X1490" s="11"/>
      <c r="Y1490" s="11"/>
      <c r="Z1490" s="11"/>
      <c r="AA1490" s="11"/>
      <c r="AB1490" s="11"/>
      <c r="AC1490" s="11"/>
      <c r="AD1490" s="40"/>
      <c r="AE1490" s="11"/>
      <c r="AF1490" s="40"/>
      <c r="AI1490" s="11"/>
      <c r="AJ1490" s="11"/>
      <c r="AK1490" s="11"/>
      <c r="AL1490" s="11"/>
      <c r="AM1490" s="11"/>
      <c r="AN1490" s="11"/>
      <c r="AO1490" s="11"/>
      <c r="AY1490" s="11"/>
      <c r="BE1490" s="38"/>
      <c r="BF1490" s="38"/>
      <c r="BG1490" s="38"/>
      <c r="BH1490" s="11"/>
      <c r="BI1490" s="1"/>
      <c r="BJ1490" s="2"/>
      <c r="BK1490" s="1"/>
      <c r="BL1490" s="1"/>
      <c r="BM1490" s="7"/>
      <c r="BN1490" s="7"/>
      <c r="BO1490" s="1"/>
      <c r="BP1490" s="11"/>
      <c r="BQ1490" s="11"/>
    </row>
    <row r="1491" spans="1:69" x14ac:dyDescent="0.3">
      <c r="A1491" s="7"/>
      <c r="B1491" s="11"/>
      <c r="C1491" s="11"/>
      <c r="D1491" s="11"/>
      <c r="E1491" s="45"/>
      <c r="F1491" s="40"/>
      <c r="G1491" s="11"/>
      <c r="K1491" s="40"/>
      <c r="N1491" s="11"/>
      <c r="O1491" s="11"/>
      <c r="P1491" s="11"/>
      <c r="Q1491" s="11"/>
      <c r="R1491" s="11"/>
      <c r="S1491" s="11"/>
      <c r="T1491" s="11"/>
      <c r="U1491" s="11"/>
      <c r="V1491" s="11"/>
      <c r="W1491" s="11"/>
      <c r="X1491" s="11"/>
      <c r="Y1491" s="11"/>
      <c r="Z1491" s="11"/>
      <c r="AA1491" s="11"/>
      <c r="AB1491" s="11"/>
      <c r="AC1491" s="11"/>
      <c r="AD1491" s="40"/>
      <c r="AE1491" s="11"/>
      <c r="AF1491" s="40"/>
      <c r="AI1491" s="11"/>
      <c r="AJ1491" s="11"/>
      <c r="AK1491" s="11"/>
      <c r="AL1491" s="11"/>
      <c r="AM1491" s="11"/>
      <c r="AN1491" s="11"/>
      <c r="AO1491" s="11"/>
      <c r="AY1491" s="11"/>
      <c r="BE1491" s="38"/>
      <c r="BF1491" s="38"/>
      <c r="BG1491" s="38"/>
      <c r="BH1491" s="11"/>
      <c r="BI1491" s="1"/>
      <c r="BJ1491" s="2"/>
      <c r="BK1491" s="1"/>
      <c r="BL1491" s="1"/>
      <c r="BM1491" s="7"/>
      <c r="BN1491" s="7"/>
      <c r="BO1491" s="1"/>
      <c r="BP1491" s="11"/>
      <c r="BQ1491" s="11"/>
    </row>
    <row r="1492" spans="1:69" x14ac:dyDescent="0.3">
      <c r="A1492" s="7"/>
      <c r="B1492" s="11"/>
      <c r="C1492" s="11"/>
      <c r="D1492" s="11"/>
      <c r="E1492" s="45"/>
      <c r="F1492" s="40"/>
      <c r="G1492" s="11"/>
      <c r="K1492" s="40"/>
      <c r="N1492" s="11"/>
      <c r="O1492" s="11"/>
      <c r="P1492" s="11"/>
      <c r="Q1492" s="11"/>
      <c r="R1492" s="11"/>
      <c r="S1492" s="11"/>
      <c r="T1492" s="11"/>
      <c r="U1492" s="11"/>
      <c r="V1492" s="11"/>
      <c r="W1492" s="11"/>
      <c r="X1492" s="11"/>
      <c r="Y1492" s="11"/>
      <c r="Z1492" s="11"/>
      <c r="AA1492" s="11"/>
      <c r="AB1492" s="11"/>
      <c r="AC1492" s="11"/>
      <c r="AD1492" s="40"/>
      <c r="AE1492" s="11"/>
      <c r="AF1492" s="40"/>
      <c r="AI1492" s="11"/>
      <c r="AJ1492" s="11"/>
      <c r="AK1492" s="11"/>
      <c r="AL1492" s="11"/>
      <c r="AM1492" s="11"/>
      <c r="AN1492" s="11"/>
      <c r="AO1492" s="11"/>
      <c r="AY1492" s="11"/>
      <c r="BE1492" s="38"/>
      <c r="BF1492" s="38"/>
      <c r="BG1492" s="38"/>
      <c r="BH1492" s="11"/>
      <c r="BI1492" s="1"/>
      <c r="BJ1492" s="2"/>
      <c r="BK1492" s="1"/>
      <c r="BL1492" s="1"/>
      <c r="BM1492" s="7"/>
      <c r="BN1492" s="7"/>
      <c r="BO1492" s="1"/>
      <c r="BP1492" s="11"/>
      <c r="BQ1492" s="11"/>
    </row>
    <row r="1493" spans="1:69" x14ac:dyDescent="0.3">
      <c r="A1493" s="7"/>
      <c r="B1493" s="11"/>
      <c r="C1493" s="11"/>
      <c r="D1493" s="11"/>
      <c r="E1493" s="45"/>
      <c r="F1493" s="40"/>
      <c r="G1493" s="11"/>
      <c r="K1493" s="40"/>
      <c r="N1493" s="11"/>
      <c r="O1493" s="11"/>
      <c r="P1493" s="11"/>
      <c r="Q1493" s="11"/>
      <c r="R1493" s="11"/>
      <c r="S1493" s="11"/>
      <c r="T1493" s="11"/>
      <c r="U1493" s="11"/>
      <c r="V1493" s="11"/>
      <c r="W1493" s="11"/>
      <c r="X1493" s="11"/>
      <c r="Y1493" s="11"/>
      <c r="Z1493" s="11"/>
      <c r="AA1493" s="11"/>
      <c r="AB1493" s="11"/>
      <c r="AC1493" s="11"/>
      <c r="AD1493" s="40"/>
      <c r="AE1493" s="11"/>
      <c r="AF1493" s="40"/>
      <c r="AI1493" s="11"/>
      <c r="AJ1493" s="11"/>
      <c r="AK1493" s="11"/>
      <c r="AL1493" s="11"/>
      <c r="AM1493" s="11"/>
      <c r="AN1493" s="11"/>
      <c r="AO1493" s="11"/>
      <c r="AY1493" s="11"/>
      <c r="BE1493" s="38"/>
      <c r="BF1493" s="38"/>
      <c r="BG1493" s="38"/>
      <c r="BH1493" s="11"/>
      <c r="BI1493" s="1"/>
      <c r="BJ1493" s="2"/>
      <c r="BK1493" s="1"/>
      <c r="BL1493" s="1"/>
      <c r="BM1493" s="7"/>
      <c r="BN1493" s="7"/>
      <c r="BO1493" s="1"/>
      <c r="BP1493" s="11"/>
      <c r="BQ1493" s="11"/>
    </row>
    <row r="1494" spans="1:69" x14ac:dyDescent="0.3">
      <c r="A1494" s="7"/>
      <c r="B1494" s="11"/>
      <c r="C1494" s="11"/>
      <c r="D1494" s="11"/>
      <c r="E1494" s="45"/>
      <c r="F1494" s="40"/>
      <c r="G1494" s="11"/>
      <c r="K1494" s="40"/>
      <c r="N1494" s="11"/>
      <c r="O1494" s="11"/>
      <c r="P1494" s="11"/>
      <c r="Q1494" s="11"/>
      <c r="R1494" s="11"/>
      <c r="S1494" s="11"/>
      <c r="T1494" s="11"/>
      <c r="U1494" s="11"/>
      <c r="V1494" s="11"/>
      <c r="W1494" s="11"/>
      <c r="X1494" s="11"/>
      <c r="Y1494" s="11"/>
      <c r="Z1494" s="11"/>
      <c r="AA1494" s="11"/>
      <c r="AB1494" s="11"/>
      <c r="AC1494" s="11"/>
      <c r="AD1494" s="40"/>
      <c r="AE1494" s="11"/>
      <c r="AF1494" s="40"/>
      <c r="AI1494" s="11"/>
      <c r="AJ1494" s="11"/>
      <c r="AK1494" s="11"/>
      <c r="AL1494" s="11"/>
      <c r="AM1494" s="11"/>
      <c r="AN1494" s="11"/>
      <c r="AO1494" s="11"/>
      <c r="AY1494" s="11"/>
      <c r="BE1494" s="38"/>
      <c r="BF1494" s="38"/>
      <c r="BG1494" s="38"/>
      <c r="BH1494" s="11"/>
      <c r="BI1494" s="1"/>
      <c r="BJ1494" s="2"/>
      <c r="BK1494" s="1"/>
      <c r="BL1494" s="1"/>
      <c r="BM1494" s="7"/>
      <c r="BN1494" s="7"/>
      <c r="BO1494" s="1"/>
      <c r="BP1494" s="11"/>
      <c r="BQ1494" s="11"/>
    </row>
    <row r="1495" spans="1:69" x14ac:dyDescent="0.3">
      <c r="A1495" s="7"/>
      <c r="B1495" s="11"/>
      <c r="C1495" s="11"/>
      <c r="D1495" s="11"/>
      <c r="E1495" s="45"/>
      <c r="F1495" s="40"/>
      <c r="G1495" s="11"/>
      <c r="K1495" s="40"/>
      <c r="N1495" s="11"/>
      <c r="O1495" s="11"/>
      <c r="P1495" s="11"/>
      <c r="Q1495" s="11"/>
      <c r="R1495" s="11"/>
      <c r="S1495" s="11"/>
      <c r="T1495" s="11"/>
      <c r="U1495" s="11"/>
      <c r="V1495" s="11"/>
      <c r="W1495" s="11"/>
      <c r="X1495" s="11"/>
      <c r="Y1495" s="11"/>
      <c r="Z1495" s="11"/>
      <c r="AA1495" s="11"/>
      <c r="AB1495" s="11"/>
      <c r="AC1495" s="11"/>
      <c r="AD1495" s="40"/>
      <c r="AE1495" s="11"/>
      <c r="AF1495" s="40"/>
      <c r="AI1495" s="11"/>
      <c r="AJ1495" s="11"/>
      <c r="AK1495" s="11"/>
      <c r="AL1495" s="11"/>
      <c r="AM1495" s="11"/>
      <c r="AN1495" s="11"/>
      <c r="AO1495" s="11"/>
      <c r="AY1495" s="11"/>
      <c r="BE1495" s="38"/>
      <c r="BF1495" s="38"/>
      <c r="BG1495" s="38"/>
      <c r="BH1495" s="11"/>
      <c r="BI1495" s="1"/>
      <c r="BJ1495" s="2"/>
      <c r="BK1495" s="1"/>
      <c r="BL1495" s="1"/>
      <c r="BM1495" s="7"/>
      <c r="BN1495" s="7"/>
      <c r="BO1495" s="1"/>
      <c r="BP1495" s="11"/>
      <c r="BQ1495" s="11"/>
    </row>
    <row r="1496" spans="1:69" x14ac:dyDescent="0.3">
      <c r="A1496" s="7"/>
      <c r="B1496" s="11"/>
      <c r="C1496" s="11"/>
      <c r="D1496" s="11"/>
      <c r="E1496" s="45"/>
      <c r="F1496" s="40"/>
      <c r="G1496" s="11"/>
      <c r="K1496" s="40"/>
      <c r="N1496" s="11"/>
      <c r="O1496" s="11"/>
      <c r="P1496" s="11"/>
      <c r="Q1496" s="11"/>
      <c r="R1496" s="11"/>
      <c r="S1496" s="11"/>
      <c r="T1496" s="11"/>
      <c r="U1496" s="11"/>
      <c r="V1496" s="11"/>
      <c r="W1496" s="11"/>
      <c r="X1496" s="11"/>
      <c r="Y1496" s="11"/>
      <c r="Z1496" s="11"/>
      <c r="AA1496" s="11"/>
      <c r="AB1496" s="11"/>
      <c r="AC1496" s="11"/>
      <c r="AD1496" s="40"/>
      <c r="AE1496" s="11"/>
      <c r="AF1496" s="40"/>
      <c r="AI1496" s="11"/>
      <c r="AJ1496" s="11"/>
      <c r="AK1496" s="11"/>
      <c r="AL1496" s="11"/>
      <c r="AM1496" s="11"/>
      <c r="AN1496" s="11"/>
      <c r="AO1496" s="11"/>
      <c r="AY1496" s="11"/>
      <c r="BE1496" s="38"/>
      <c r="BF1496" s="38"/>
      <c r="BG1496" s="38"/>
      <c r="BH1496" s="11"/>
      <c r="BI1496" s="1"/>
      <c r="BJ1496" s="2"/>
      <c r="BK1496" s="1"/>
      <c r="BL1496" s="1"/>
      <c r="BM1496" s="7"/>
      <c r="BN1496" s="7"/>
      <c r="BO1496" s="1"/>
      <c r="BP1496" s="11"/>
      <c r="BQ1496" s="11"/>
    </row>
    <row r="1497" spans="1:69" x14ac:dyDescent="0.3">
      <c r="A1497" s="7"/>
      <c r="B1497" s="11"/>
      <c r="C1497" s="11"/>
      <c r="D1497" s="11"/>
      <c r="E1497" s="45"/>
      <c r="F1497" s="40"/>
      <c r="G1497" s="11"/>
      <c r="K1497" s="40"/>
      <c r="N1497" s="11"/>
      <c r="O1497" s="11"/>
      <c r="P1497" s="11"/>
      <c r="Q1497" s="11"/>
      <c r="R1497" s="11"/>
      <c r="S1497" s="11"/>
      <c r="T1497" s="11"/>
      <c r="U1497" s="11"/>
      <c r="V1497" s="11"/>
      <c r="W1497" s="11"/>
      <c r="X1497" s="11"/>
      <c r="Y1497" s="11"/>
      <c r="Z1497" s="11"/>
      <c r="AA1497" s="11"/>
      <c r="AB1497" s="11"/>
      <c r="AC1497" s="11"/>
      <c r="AD1497" s="40"/>
      <c r="AE1497" s="11"/>
      <c r="AF1497" s="40"/>
      <c r="AI1497" s="11"/>
      <c r="AJ1497" s="11"/>
      <c r="AK1497" s="11"/>
      <c r="AL1497" s="11"/>
      <c r="AM1497" s="11"/>
      <c r="AN1497" s="11"/>
      <c r="AO1497" s="11"/>
      <c r="AY1497" s="11"/>
      <c r="BE1497" s="38"/>
      <c r="BF1497" s="38"/>
      <c r="BG1497" s="38"/>
      <c r="BH1497" s="11"/>
      <c r="BI1497" s="1"/>
      <c r="BJ1497" s="2"/>
      <c r="BK1497" s="1"/>
      <c r="BL1497" s="1"/>
      <c r="BM1497" s="7"/>
      <c r="BN1497" s="7"/>
      <c r="BO1497" s="1"/>
      <c r="BP1497" s="11"/>
      <c r="BQ1497" s="11"/>
    </row>
    <row r="1498" spans="1:69" x14ac:dyDescent="0.3">
      <c r="A1498" s="7"/>
      <c r="B1498" s="11"/>
      <c r="C1498" s="11"/>
      <c r="D1498" s="11"/>
      <c r="E1498" s="45"/>
      <c r="F1498" s="40"/>
      <c r="G1498" s="11"/>
      <c r="K1498" s="40"/>
      <c r="N1498" s="11"/>
      <c r="O1498" s="11"/>
      <c r="P1498" s="11"/>
      <c r="Q1498" s="11"/>
      <c r="R1498" s="11"/>
      <c r="S1498" s="11"/>
      <c r="T1498" s="11"/>
      <c r="U1498" s="11"/>
      <c r="V1498" s="11"/>
      <c r="W1498" s="11"/>
      <c r="X1498" s="11"/>
      <c r="Y1498" s="11"/>
      <c r="Z1498" s="11"/>
      <c r="AA1498" s="11"/>
      <c r="AB1498" s="11"/>
      <c r="AC1498" s="11"/>
      <c r="AD1498" s="40"/>
      <c r="AE1498" s="11"/>
      <c r="AF1498" s="40"/>
      <c r="AI1498" s="11"/>
      <c r="AJ1498" s="11"/>
      <c r="AK1498" s="11"/>
      <c r="AL1498" s="11"/>
      <c r="AM1498" s="11"/>
      <c r="AN1498" s="11"/>
      <c r="AO1498" s="11"/>
      <c r="AY1498" s="11"/>
      <c r="BE1498" s="38"/>
      <c r="BF1498" s="38"/>
      <c r="BG1498" s="38"/>
      <c r="BH1498" s="11"/>
      <c r="BI1498" s="1"/>
      <c r="BJ1498" s="2"/>
      <c r="BK1498" s="1"/>
      <c r="BL1498" s="1"/>
      <c r="BM1498" s="7"/>
      <c r="BN1498" s="7"/>
      <c r="BO1498" s="1"/>
      <c r="BP1498" s="11"/>
      <c r="BQ1498" s="11"/>
    </row>
    <row r="1499" spans="1:69" x14ac:dyDescent="0.3">
      <c r="A1499" s="7"/>
      <c r="B1499" s="11"/>
      <c r="C1499" s="11"/>
      <c r="D1499" s="11"/>
      <c r="E1499" s="45"/>
      <c r="F1499" s="40"/>
      <c r="G1499" s="11"/>
      <c r="K1499" s="40"/>
      <c r="N1499" s="11"/>
      <c r="O1499" s="11"/>
      <c r="P1499" s="11"/>
      <c r="Q1499" s="11"/>
      <c r="R1499" s="11"/>
      <c r="S1499" s="11"/>
      <c r="T1499" s="11"/>
      <c r="U1499" s="11"/>
      <c r="V1499" s="11"/>
      <c r="W1499" s="11"/>
      <c r="X1499" s="11"/>
      <c r="Y1499" s="11"/>
      <c r="Z1499" s="11"/>
      <c r="AA1499" s="11"/>
      <c r="AB1499" s="11"/>
      <c r="AC1499" s="11"/>
      <c r="AD1499" s="40"/>
      <c r="AE1499" s="11"/>
      <c r="AF1499" s="40"/>
      <c r="AI1499" s="11"/>
      <c r="AJ1499" s="11"/>
      <c r="AK1499" s="11"/>
      <c r="AL1499" s="11"/>
      <c r="AM1499" s="11"/>
      <c r="AN1499" s="11"/>
      <c r="AO1499" s="11"/>
      <c r="AY1499" s="11"/>
      <c r="BE1499" s="38"/>
      <c r="BF1499" s="38"/>
      <c r="BG1499" s="38"/>
      <c r="BH1499" s="11"/>
      <c r="BI1499" s="1"/>
      <c r="BJ1499" s="2"/>
      <c r="BK1499" s="1"/>
      <c r="BL1499" s="1"/>
      <c r="BM1499" s="7"/>
      <c r="BN1499" s="7"/>
      <c r="BO1499" s="1"/>
      <c r="BP1499" s="11"/>
      <c r="BQ1499" s="11"/>
    </row>
    <row r="1500" spans="1:69" x14ac:dyDescent="0.3">
      <c r="A1500" s="7"/>
      <c r="B1500" s="11"/>
      <c r="C1500" s="11"/>
      <c r="D1500" s="11"/>
      <c r="E1500" s="45"/>
      <c r="F1500" s="40"/>
      <c r="G1500" s="11"/>
      <c r="K1500" s="40"/>
      <c r="N1500" s="11"/>
      <c r="O1500" s="11"/>
      <c r="P1500" s="11"/>
      <c r="Q1500" s="11"/>
      <c r="R1500" s="11"/>
      <c r="S1500" s="11"/>
      <c r="T1500" s="11"/>
      <c r="U1500" s="11"/>
      <c r="V1500" s="11"/>
      <c r="W1500" s="11"/>
      <c r="X1500" s="11"/>
      <c r="Y1500" s="11"/>
      <c r="Z1500" s="11"/>
      <c r="AA1500" s="11"/>
      <c r="AB1500" s="11"/>
      <c r="AC1500" s="11"/>
      <c r="AD1500" s="40"/>
      <c r="AE1500" s="11"/>
      <c r="AF1500" s="40"/>
      <c r="AI1500" s="11"/>
      <c r="AJ1500" s="11"/>
      <c r="AK1500" s="11"/>
      <c r="AL1500" s="11"/>
      <c r="AM1500" s="11"/>
      <c r="AN1500" s="11"/>
      <c r="AO1500" s="11"/>
      <c r="AY1500" s="11"/>
      <c r="BE1500" s="38"/>
      <c r="BF1500" s="38"/>
      <c r="BG1500" s="38"/>
      <c r="BH1500" s="11"/>
      <c r="BI1500" s="1"/>
      <c r="BJ1500" s="2"/>
      <c r="BK1500" s="1"/>
      <c r="BL1500" s="1"/>
      <c r="BM1500" s="7"/>
      <c r="BN1500" s="7"/>
      <c r="BO1500" s="1"/>
      <c r="BP1500" s="11"/>
      <c r="BQ1500" s="11"/>
    </row>
    <row r="1501" spans="1:69" x14ac:dyDescent="0.3">
      <c r="A1501" s="7"/>
      <c r="B1501" s="11"/>
      <c r="C1501" s="11"/>
      <c r="D1501" s="11"/>
      <c r="E1501" s="45"/>
      <c r="F1501" s="40"/>
      <c r="G1501" s="11"/>
      <c r="K1501" s="40"/>
      <c r="N1501" s="11"/>
      <c r="O1501" s="11"/>
      <c r="P1501" s="11"/>
      <c r="Q1501" s="11"/>
      <c r="R1501" s="11"/>
      <c r="S1501" s="11"/>
      <c r="T1501" s="11"/>
      <c r="U1501" s="11"/>
      <c r="V1501" s="11"/>
      <c r="W1501" s="11"/>
      <c r="X1501" s="11"/>
      <c r="Y1501" s="11"/>
      <c r="Z1501" s="11"/>
      <c r="AA1501" s="11"/>
      <c r="AB1501" s="11"/>
      <c r="AC1501" s="11"/>
      <c r="AD1501" s="40"/>
      <c r="AE1501" s="11"/>
      <c r="AF1501" s="40"/>
      <c r="AI1501" s="11"/>
      <c r="AJ1501" s="11"/>
      <c r="AK1501" s="11"/>
      <c r="AL1501" s="11"/>
      <c r="AM1501" s="11"/>
      <c r="AN1501" s="11"/>
      <c r="AO1501" s="11"/>
      <c r="AY1501" s="11"/>
      <c r="BE1501" s="38"/>
      <c r="BF1501" s="38"/>
      <c r="BG1501" s="38"/>
      <c r="BH1501" s="11"/>
      <c r="BI1501" s="1"/>
      <c r="BJ1501" s="2"/>
      <c r="BK1501" s="1"/>
      <c r="BL1501" s="1"/>
      <c r="BM1501" s="7"/>
      <c r="BN1501" s="7"/>
      <c r="BO1501" s="1"/>
      <c r="BP1501" s="11"/>
      <c r="BQ1501" s="11"/>
    </row>
    <row r="1502" spans="1:69" x14ac:dyDescent="0.3">
      <c r="A1502" s="7"/>
      <c r="B1502" s="11"/>
      <c r="C1502" s="11"/>
      <c r="D1502" s="11"/>
      <c r="E1502" s="45"/>
      <c r="F1502" s="40"/>
      <c r="G1502" s="11"/>
      <c r="K1502" s="40"/>
      <c r="N1502" s="11"/>
      <c r="O1502" s="11"/>
      <c r="P1502" s="11"/>
      <c r="Q1502" s="11"/>
      <c r="R1502" s="11"/>
      <c r="S1502" s="11"/>
      <c r="T1502" s="11"/>
      <c r="U1502" s="11"/>
      <c r="V1502" s="11"/>
      <c r="W1502" s="11"/>
      <c r="X1502" s="11"/>
      <c r="Y1502" s="11"/>
      <c r="Z1502" s="11"/>
      <c r="AA1502" s="11"/>
      <c r="AB1502" s="11"/>
      <c r="AC1502" s="11"/>
      <c r="AD1502" s="40"/>
      <c r="AE1502" s="11"/>
      <c r="AF1502" s="40"/>
      <c r="AI1502" s="11"/>
      <c r="AJ1502" s="11"/>
      <c r="AK1502" s="11"/>
      <c r="AL1502" s="11"/>
      <c r="AM1502" s="11"/>
      <c r="AN1502" s="11"/>
      <c r="AO1502" s="11"/>
      <c r="AY1502" s="11"/>
      <c r="BE1502" s="38"/>
      <c r="BF1502" s="38"/>
      <c r="BG1502" s="38"/>
      <c r="BH1502" s="11"/>
      <c r="BI1502" s="1"/>
      <c r="BJ1502" s="2"/>
      <c r="BK1502" s="1"/>
      <c r="BL1502" s="1"/>
      <c r="BM1502" s="7"/>
      <c r="BN1502" s="7"/>
      <c r="BO1502" s="1"/>
      <c r="BP1502" s="11"/>
      <c r="BQ1502" s="11"/>
    </row>
    <row r="1503" spans="1:69" x14ac:dyDescent="0.3">
      <c r="A1503" s="7"/>
      <c r="B1503" s="11"/>
      <c r="C1503" s="11"/>
      <c r="D1503" s="11"/>
      <c r="E1503" s="45"/>
      <c r="F1503" s="40"/>
      <c r="G1503" s="11"/>
      <c r="K1503" s="40"/>
      <c r="N1503" s="11"/>
      <c r="O1503" s="11"/>
      <c r="P1503" s="11"/>
      <c r="Q1503" s="11"/>
      <c r="R1503" s="11"/>
      <c r="S1503" s="11"/>
      <c r="T1503" s="11"/>
      <c r="U1503" s="11"/>
      <c r="V1503" s="11"/>
      <c r="W1503" s="11"/>
      <c r="X1503" s="11"/>
      <c r="Y1503" s="11"/>
      <c r="Z1503" s="11"/>
      <c r="AA1503" s="11"/>
      <c r="AB1503" s="11"/>
      <c r="AC1503" s="11"/>
      <c r="AD1503" s="40"/>
      <c r="AE1503" s="11"/>
      <c r="AF1503" s="40"/>
      <c r="AI1503" s="11"/>
      <c r="AJ1503" s="11"/>
      <c r="AK1503" s="11"/>
      <c r="AL1503" s="11"/>
      <c r="AM1503" s="11"/>
      <c r="AN1503" s="11"/>
      <c r="AO1503" s="11"/>
      <c r="AY1503" s="11"/>
      <c r="BE1503" s="38"/>
      <c r="BF1503" s="38"/>
      <c r="BG1503" s="38"/>
      <c r="BH1503" s="11"/>
      <c r="BI1503" s="1"/>
      <c r="BJ1503" s="2"/>
      <c r="BK1503" s="1"/>
      <c r="BL1503" s="1"/>
      <c r="BM1503" s="7"/>
      <c r="BN1503" s="7"/>
      <c r="BO1503" s="1"/>
      <c r="BP1503" s="11"/>
      <c r="BQ1503" s="11"/>
    </row>
    <row r="1504" spans="1:69" x14ac:dyDescent="0.3">
      <c r="A1504" s="7"/>
      <c r="B1504" s="11"/>
      <c r="C1504" s="11"/>
      <c r="D1504" s="11"/>
      <c r="E1504" s="45"/>
      <c r="F1504" s="40"/>
      <c r="G1504" s="11"/>
      <c r="K1504" s="40"/>
      <c r="N1504" s="11"/>
      <c r="O1504" s="11"/>
      <c r="P1504" s="11"/>
      <c r="Q1504" s="11"/>
      <c r="R1504" s="11"/>
      <c r="S1504" s="11"/>
      <c r="T1504" s="11"/>
      <c r="U1504" s="11"/>
      <c r="V1504" s="11"/>
      <c r="W1504" s="11"/>
      <c r="X1504" s="11"/>
      <c r="Y1504" s="11"/>
      <c r="Z1504" s="11"/>
      <c r="AA1504" s="11"/>
      <c r="AB1504" s="11"/>
      <c r="AC1504" s="11"/>
      <c r="AD1504" s="40"/>
      <c r="AE1504" s="11"/>
      <c r="AF1504" s="40"/>
      <c r="AI1504" s="11"/>
      <c r="AJ1504" s="11"/>
      <c r="AK1504" s="11"/>
      <c r="AL1504" s="11"/>
      <c r="AM1504" s="11"/>
      <c r="AN1504" s="11"/>
      <c r="AO1504" s="11"/>
      <c r="AY1504" s="11"/>
      <c r="BE1504" s="38"/>
      <c r="BF1504" s="38"/>
      <c r="BG1504" s="38"/>
      <c r="BH1504" s="11"/>
      <c r="BI1504" s="1"/>
      <c r="BJ1504" s="2"/>
      <c r="BK1504" s="1"/>
      <c r="BL1504" s="1"/>
      <c r="BM1504" s="7"/>
      <c r="BN1504" s="7"/>
      <c r="BO1504" s="1"/>
      <c r="BP1504" s="11"/>
      <c r="BQ1504" s="11"/>
    </row>
    <row r="1505" spans="1:69" x14ac:dyDescent="0.3">
      <c r="A1505" s="7"/>
      <c r="B1505" s="11"/>
      <c r="C1505" s="11"/>
      <c r="D1505" s="11"/>
      <c r="E1505" s="45"/>
      <c r="F1505" s="40"/>
      <c r="G1505" s="11"/>
      <c r="K1505" s="40"/>
      <c r="N1505" s="11"/>
      <c r="O1505" s="11"/>
      <c r="P1505" s="11"/>
      <c r="Q1505" s="11"/>
      <c r="R1505" s="11"/>
      <c r="S1505" s="11"/>
      <c r="T1505" s="11"/>
      <c r="U1505" s="11"/>
      <c r="V1505" s="11"/>
      <c r="W1505" s="11"/>
      <c r="X1505" s="11"/>
      <c r="Y1505" s="11"/>
      <c r="Z1505" s="11"/>
      <c r="AA1505" s="11"/>
      <c r="AB1505" s="11"/>
      <c r="AC1505" s="11"/>
      <c r="AD1505" s="40"/>
      <c r="AE1505" s="11"/>
      <c r="AF1505" s="40"/>
      <c r="AI1505" s="11"/>
      <c r="AJ1505" s="11"/>
      <c r="AK1505" s="11"/>
      <c r="AL1505" s="11"/>
      <c r="AM1505" s="11"/>
      <c r="AN1505" s="11"/>
      <c r="AO1505" s="11"/>
      <c r="AY1505" s="11"/>
      <c r="BE1505" s="38"/>
      <c r="BF1505" s="38"/>
      <c r="BG1505" s="38"/>
      <c r="BH1505" s="11"/>
      <c r="BI1505" s="1"/>
      <c r="BJ1505" s="2"/>
      <c r="BK1505" s="1"/>
      <c r="BL1505" s="1"/>
      <c r="BM1505" s="7"/>
      <c r="BN1505" s="7"/>
      <c r="BO1505" s="1"/>
      <c r="BP1505" s="11"/>
      <c r="BQ1505" s="11"/>
    </row>
    <row r="1506" spans="1:69" x14ac:dyDescent="0.3">
      <c r="A1506" s="7"/>
      <c r="B1506" s="11"/>
      <c r="C1506" s="11"/>
      <c r="D1506" s="11"/>
      <c r="E1506" s="45"/>
      <c r="F1506" s="40"/>
      <c r="G1506" s="11"/>
      <c r="K1506" s="40"/>
      <c r="N1506" s="11"/>
      <c r="O1506" s="11"/>
      <c r="P1506" s="11"/>
      <c r="Q1506" s="11"/>
      <c r="R1506" s="11"/>
      <c r="S1506" s="11"/>
      <c r="T1506" s="11"/>
      <c r="U1506" s="11"/>
      <c r="V1506" s="11"/>
      <c r="W1506" s="11"/>
      <c r="X1506" s="11"/>
      <c r="Y1506" s="11"/>
      <c r="Z1506" s="11"/>
      <c r="AA1506" s="11"/>
      <c r="AB1506" s="11"/>
      <c r="AC1506" s="11"/>
      <c r="AD1506" s="40"/>
      <c r="AE1506" s="11"/>
      <c r="AF1506" s="40"/>
      <c r="AI1506" s="11"/>
      <c r="AJ1506" s="11"/>
      <c r="AK1506" s="11"/>
      <c r="AL1506" s="11"/>
      <c r="AM1506" s="11"/>
      <c r="AN1506" s="11"/>
      <c r="AO1506" s="11"/>
      <c r="AY1506" s="11"/>
      <c r="BE1506" s="38"/>
      <c r="BF1506" s="38"/>
      <c r="BG1506" s="38"/>
      <c r="BH1506" s="11"/>
      <c r="BI1506" s="1"/>
      <c r="BJ1506" s="2"/>
      <c r="BK1506" s="1"/>
      <c r="BL1506" s="1"/>
      <c r="BM1506" s="7"/>
      <c r="BN1506" s="7"/>
      <c r="BO1506" s="1"/>
      <c r="BP1506" s="11"/>
      <c r="BQ1506" s="11"/>
    </row>
    <row r="1507" spans="1:69" x14ac:dyDescent="0.3">
      <c r="A1507" s="7"/>
      <c r="B1507" s="11"/>
      <c r="C1507" s="11"/>
      <c r="D1507" s="11"/>
      <c r="E1507" s="45"/>
      <c r="F1507" s="40"/>
      <c r="G1507" s="11"/>
      <c r="K1507" s="40"/>
      <c r="N1507" s="11"/>
      <c r="O1507" s="11"/>
      <c r="P1507" s="11"/>
      <c r="Q1507" s="11"/>
      <c r="R1507" s="11"/>
      <c r="S1507" s="11"/>
      <c r="T1507" s="11"/>
      <c r="U1507" s="11"/>
      <c r="V1507" s="11"/>
      <c r="W1507" s="11"/>
      <c r="X1507" s="11"/>
      <c r="Y1507" s="11"/>
      <c r="Z1507" s="11"/>
      <c r="AA1507" s="11"/>
      <c r="AB1507" s="11"/>
      <c r="AC1507" s="11"/>
      <c r="AD1507" s="40"/>
      <c r="AE1507" s="11"/>
      <c r="AF1507" s="40"/>
      <c r="AI1507" s="11"/>
      <c r="AJ1507" s="11"/>
      <c r="AK1507" s="11"/>
      <c r="AL1507" s="11"/>
      <c r="AM1507" s="11"/>
      <c r="AN1507" s="11"/>
      <c r="AO1507" s="11"/>
      <c r="AY1507" s="11"/>
      <c r="BE1507" s="38"/>
      <c r="BF1507" s="38"/>
      <c r="BG1507" s="38"/>
      <c r="BH1507" s="11"/>
      <c r="BI1507" s="1"/>
      <c r="BJ1507" s="2"/>
      <c r="BK1507" s="1"/>
      <c r="BL1507" s="1"/>
      <c r="BM1507" s="7"/>
      <c r="BN1507" s="7"/>
      <c r="BO1507" s="1"/>
      <c r="BP1507" s="11"/>
      <c r="BQ1507" s="11"/>
    </row>
    <row r="1508" spans="1:69" x14ac:dyDescent="0.3">
      <c r="A1508" s="7"/>
      <c r="B1508" s="11"/>
      <c r="C1508" s="11"/>
      <c r="D1508" s="11"/>
      <c r="E1508" s="45"/>
      <c r="F1508" s="40"/>
      <c r="G1508" s="11"/>
      <c r="K1508" s="40"/>
      <c r="N1508" s="11"/>
      <c r="O1508" s="11"/>
      <c r="P1508" s="11"/>
      <c r="Q1508" s="11"/>
      <c r="R1508" s="11"/>
      <c r="S1508" s="11"/>
      <c r="T1508" s="11"/>
      <c r="U1508" s="11"/>
      <c r="V1508" s="11"/>
      <c r="W1508" s="11"/>
      <c r="X1508" s="11"/>
      <c r="Y1508" s="11"/>
      <c r="Z1508" s="11"/>
      <c r="AA1508" s="11"/>
      <c r="AB1508" s="11"/>
      <c r="AC1508" s="11"/>
      <c r="AD1508" s="40"/>
      <c r="AE1508" s="11"/>
      <c r="AF1508" s="40"/>
      <c r="AI1508" s="11"/>
      <c r="AJ1508" s="11"/>
      <c r="AK1508" s="11"/>
      <c r="AL1508" s="11"/>
      <c r="AM1508" s="11"/>
      <c r="AN1508" s="11"/>
      <c r="AO1508" s="11"/>
      <c r="AY1508" s="11"/>
      <c r="BE1508" s="38"/>
      <c r="BF1508" s="38"/>
      <c r="BG1508" s="38"/>
      <c r="BH1508" s="11"/>
      <c r="BI1508" s="1"/>
      <c r="BJ1508" s="2"/>
      <c r="BK1508" s="1"/>
      <c r="BL1508" s="1"/>
      <c r="BM1508" s="7"/>
      <c r="BN1508" s="7"/>
      <c r="BO1508" s="1"/>
      <c r="BP1508" s="11"/>
      <c r="BQ1508" s="11"/>
    </row>
    <row r="1509" spans="1:69" x14ac:dyDescent="0.3">
      <c r="A1509" s="7"/>
      <c r="B1509" s="11"/>
      <c r="C1509" s="11"/>
      <c r="D1509" s="11"/>
      <c r="E1509" s="45"/>
      <c r="F1509" s="40"/>
      <c r="G1509" s="11"/>
      <c r="K1509" s="40"/>
      <c r="N1509" s="11"/>
      <c r="O1509" s="11"/>
      <c r="P1509" s="11"/>
      <c r="Q1509" s="11"/>
      <c r="R1509" s="11"/>
      <c r="S1509" s="11"/>
      <c r="T1509" s="11"/>
      <c r="U1509" s="11"/>
      <c r="V1509" s="11"/>
      <c r="W1509" s="11"/>
      <c r="X1509" s="11"/>
      <c r="Y1509" s="11"/>
      <c r="Z1509" s="11"/>
      <c r="AA1509" s="11"/>
      <c r="AB1509" s="11"/>
      <c r="AC1509" s="11"/>
      <c r="AD1509" s="40"/>
      <c r="AE1509" s="11"/>
      <c r="AF1509" s="40"/>
      <c r="AI1509" s="11"/>
      <c r="AJ1509" s="11"/>
      <c r="AK1509" s="11"/>
      <c r="AL1509" s="11"/>
      <c r="AM1509" s="11"/>
      <c r="AN1509" s="11"/>
      <c r="AO1509" s="11"/>
      <c r="AY1509" s="11"/>
      <c r="BE1509" s="38"/>
      <c r="BF1509" s="38"/>
      <c r="BG1509" s="38"/>
      <c r="BH1509" s="11"/>
      <c r="BI1509" s="1"/>
      <c r="BJ1509" s="2"/>
      <c r="BK1509" s="1"/>
      <c r="BL1509" s="1"/>
      <c r="BM1509" s="7"/>
      <c r="BN1509" s="7"/>
      <c r="BO1509" s="1"/>
      <c r="BP1509" s="11"/>
      <c r="BQ1509" s="11"/>
    </row>
    <row r="1510" spans="1:69" x14ac:dyDescent="0.3">
      <c r="A1510" s="7"/>
      <c r="B1510" s="11"/>
      <c r="C1510" s="11"/>
      <c r="D1510" s="11"/>
      <c r="E1510" s="45"/>
      <c r="F1510" s="40"/>
      <c r="G1510" s="11"/>
      <c r="K1510" s="40"/>
      <c r="N1510" s="11"/>
      <c r="O1510" s="11"/>
      <c r="P1510" s="11"/>
      <c r="Q1510" s="11"/>
      <c r="R1510" s="11"/>
      <c r="S1510" s="11"/>
      <c r="T1510" s="11"/>
      <c r="U1510" s="11"/>
      <c r="V1510" s="11"/>
      <c r="W1510" s="11"/>
      <c r="X1510" s="11"/>
      <c r="Y1510" s="11"/>
      <c r="Z1510" s="11"/>
      <c r="AA1510" s="11"/>
      <c r="AB1510" s="11"/>
      <c r="AC1510" s="11"/>
      <c r="AD1510" s="40"/>
      <c r="AE1510" s="11"/>
      <c r="AF1510" s="40"/>
      <c r="AI1510" s="11"/>
      <c r="AJ1510" s="11"/>
      <c r="AK1510" s="11"/>
      <c r="AL1510" s="11"/>
      <c r="AM1510" s="11"/>
      <c r="AN1510" s="11"/>
      <c r="AO1510" s="11"/>
      <c r="AY1510" s="11"/>
      <c r="BE1510" s="38"/>
      <c r="BF1510" s="38"/>
      <c r="BG1510" s="38"/>
      <c r="BH1510" s="11"/>
      <c r="BI1510" s="1"/>
      <c r="BJ1510" s="2"/>
      <c r="BK1510" s="1"/>
      <c r="BL1510" s="1"/>
      <c r="BM1510" s="7"/>
      <c r="BN1510" s="7"/>
      <c r="BO1510" s="1"/>
      <c r="BP1510" s="11"/>
      <c r="BQ1510" s="11"/>
    </row>
    <row r="1511" spans="1:69" x14ac:dyDescent="0.3">
      <c r="A1511" s="7"/>
      <c r="B1511" s="11"/>
      <c r="C1511" s="11"/>
      <c r="D1511" s="11"/>
      <c r="E1511" s="45"/>
      <c r="F1511" s="40"/>
      <c r="G1511" s="11"/>
      <c r="K1511" s="40"/>
      <c r="N1511" s="11"/>
      <c r="O1511" s="11"/>
      <c r="P1511" s="11"/>
      <c r="Q1511" s="11"/>
      <c r="R1511" s="11"/>
      <c r="S1511" s="11"/>
      <c r="T1511" s="11"/>
      <c r="U1511" s="11"/>
      <c r="V1511" s="11"/>
      <c r="W1511" s="11"/>
      <c r="X1511" s="11"/>
      <c r="Y1511" s="11"/>
      <c r="Z1511" s="11"/>
      <c r="AA1511" s="11"/>
      <c r="AB1511" s="11"/>
      <c r="AC1511" s="11"/>
      <c r="AD1511" s="40"/>
      <c r="AE1511" s="11"/>
      <c r="AF1511" s="40"/>
      <c r="AI1511" s="11"/>
      <c r="AJ1511" s="11"/>
      <c r="AK1511" s="11"/>
      <c r="AL1511" s="11"/>
      <c r="AM1511" s="11"/>
      <c r="AN1511" s="11"/>
      <c r="AO1511" s="11"/>
      <c r="AY1511" s="11"/>
      <c r="BE1511" s="38"/>
      <c r="BF1511" s="38"/>
      <c r="BG1511" s="38"/>
      <c r="BH1511" s="11"/>
      <c r="BI1511" s="1"/>
      <c r="BJ1511" s="2"/>
      <c r="BK1511" s="1"/>
      <c r="BL1511" s="1"/>
      <c r="BM1511" s="7"/>
      <c r="BN1511" s="7"/>
      <c r="BO1511" s="1"/>
      <c r="BP1511" s="11"/>
      <c r="BQ1511" s="11"/>
    </row>
    <row r="1512" spans="1:69" x14ac:dyDescent="0.3">
      <c r="A1512" s="7"/>
      <c r="B1512" s="11"/>
      <c r="C1512" s="11"/>
      <c r="D1512" s="11"/>
      <c r="E1512" s="45"/>
      <c r="F1512" s="40"/>
      <c r="G1512" s="11"/>
      <c r="K1512" s="40"/>
      <c r="N1512" s="11"/>
      <c r="O1512" s="11"/>
      <c r="P1512" s="11"/>
      <c r="Q1512" s="11"/>
      <c r="R1512" s="11"/>
      <c r="S1512" s="11"/>
      <c r="T1512" s="11"/>
      <c r="U1512" s="11"/>
      <c r="V1512" s="11"/>
      <c r="W1512" s="11"/>
      <c r="X1512" s="11"/>
      <c r="Y1512" s="11"/>
      <c r="Z1512" s="11"/>
      <c r="AA1512" s="11"/>
      <c r="AB1512" s="11"/>
      <c r="AC1512" s="11"/>
      <c r="AD1512" s="40"/>
      <c r="AE1512" s="11"/>
      <c r="AF1512" s="40"/>
      <c r="AI1512" s="11"/>
      <c r="AJ1512" s="11"/>
      <c r="AK1512" s="11"/>
      <c r="AL1512" s="11"/>
      <c r="AM1512" s="11"/>
      <c r="AN1512" s="11"/>
      <c r="AO1512" s="11"/>
      <c r="AY1512" s="11"/>
      <c r="BE1512" s="38"/>
      <c r="BF1512" s="38"/>
      <c r="BG1512" s="38"/>
      <c r="BH1512" s="11"/>
      <c r="BI1512" s="1"/>
      <c r="BJ1512" s="2"/>
      <c r="BK1512" s="1"/>
      <c r="BL1512" s="1"/>
      <c r="BM1512" s="7"/>
      <c r="BN1512" s="7"/>
      <c r="BO1512" s="1"/>
      <c r="BP1512" s="11"/>
      <c r="BQ1512" s="11"/>
    </row>
    <row r="1513" spans="1:69" x14ac:dyDescent="0.3">
      <c r="A1513" s="7"/>
      <c r="B1513" s="11"/>
      <c r="C1513" s="11"/>
      <c r="D1513" s="11"/>
      <c r="E1513" s="45"/>
      <c r="F1513" s="40"/>
      <c r="G1513" s="11"/>
      <c r="K1513" s="40"/>
      <c r="N1513" s="11"/>
      <c r="O1513" s="11"/>
      <c r="P1513" s="11"/>
      <c r="Q1513" s="11"/>
      <c r="R1513" s="11"/>
      <c r="S1513" s="11"/>
      <c r="T1513" s="11"/>
      <c r="U1513" s="11"/>
      <c r="V1513" s="11"/>
      <c r="W1513" s="11"/>
      <c r="X1513" s="11"/>
      <c r="Y1513" s="11"/>
      <c r="Z1513" s="11"/>
      <c r="AA1513" s="11"/>
      <c r="AB1513" s="11"/>
      <c r="AC1513" s="11"/>
      <c r="AD1513" s="40"/>
      <c r="AE1513" s="11"/>
      <c r="AF1513" s="40"/>
      <c r="AI1513" s="11"/>
      <c r="AJ1513" s="11"/>
      <c r="AK1513" s="11"/>
      <c r="AL1513" s="11"/>
      <c r="AM1513" s="11"/>
      <c r="AN1513" s="11"/>
      <c r="AO1513" s="11"/>
      <c r="AY1513" s="11"/>
      <c r="BE1513" s="38"/>
      <c r="BF1513" s="38"/>
      <c r="BG1513" s="38"/>
      <c r="BH1513" s="11"/>
      <c r="BI1513" s="1"/>
      <c r="BJ1513" s="2"/>
      <c r="BK1513" s="1"/>
      <c r="BL1513" s="1"/>
      <c r="BM1513" s="7"/>
      <c r="BN1513" s="7"/>
      <c r="BO1513" s="1"/>
      <c r="BP1513" s="11"/>
      <c r="BQ1513" s="11"/>
    </row>
    <row r="1514" spans="1:69" x14ac:dyDescent="0.3">
      <c r="A1514" s="7"/>
      <c r="B1514" s="11"/>
      <c r="C1514" s="11"/>
      <c r="D1514" s="11"/>
      <c r="E1514" s="45"/>
      <c r="F1514" s="40"/>
      <c r="G1514" s="11"/>
      <c r="K1514" s="40"/>
      <c r="N1514" s="11"/>
      <c r="O1514" s="11"/>
      <c r="P1514" s="11"/>
      <c r="Q1514" s="11"/>
      <c r="R1514" s="11"/>
      <c r="S1514" s="11"/>
      <c r="T1514" s="11"/>
      <c r="U1514" s="11"/>
      <c r="V1514" s="11"/>
      <c r="W1514" s="11"/>
      <c r="X1514" s="11"/>
      <c r="Y1514" s="11"/>
      <c r="Z1514" s="11"/>
      <c r="AA1514" s="11"/>
      <c r="AB1514" s="11"/>
      <c r="AC1514" s="11"/>
      <c r="AD1514" s="40"/>
      <c r="AE1514" s="11"/>
      <c r="AF1514" s="40"/>
      <c r="AI1514" s="11"/>
      <c r="AJ1514" s="11"/>
      <c r="AK1514" s="11"/>
      <c r="AL1514" s="11"/>
      <c r="AM1514" s="11"/>
      <c r="AN1514" s="11"/>
      <c r="AO1514" s="11"/>
      <c r="AY1514" s="11"/>
      <c r="BE1514" s="38"/>
      <c r="BF1514" s="38"/>
      <c r="BG1514" s="38"/>
      <c r="BH1514" s="11"/>
      <c r="BI1514" s="1"/>
      <c r="BJ1514" s="2"/>
      <c r="BK1514" s="1"/>
      <c r="BL1514" s="1"/>
      <c r="BM1514" s="7"/>
      <c r="BN1514" s="7"/>
      <c r="BO1514" s="1"/>
      <c r="BP1514" s="11"/>
      <c r="BQ1514" s="11"/>
    </row>
    <row r="1515" spans="1:69" x14ac:dyDescent="0.3">
      <c r="A1515" s="7"/>
      <c r="B1515" s="11"/>
      <c r="C1515" s="11"/>
      <c r="D1515" s="11"/>
      <c r="E1515" s="45"/>
      <c r="F1515" s="40"/>
      <c r="G1515" s="11"/>
      <c r="K1515" s="40"/>
      <c r="N1515" s="11"/>
      <c r="O1515" s="11"/>
      <c r="P1515" s="11"/>
      <c r="Q1515" s="11"/>
      <c r="R1515" s="11"/>
      <c r="S1515" s="11"/>
      <c r="T1515" s="11"/>
      <c r="U1515" s="11"/>
      <c r="V1515" s="11"/>
      <c r="W1515" s="11"/>
      <c r="X1515" s="11"/>
      <c r="Y1515" s="11"/>
      <c r="Z1515" s="11"/>
      <c r="AA1515" s="11"/>
      <c r="AB1515" s="11"/>
      <c r="AC1515" s="11"/>
      <c r="AD1515" s="40"/>
      <c r="AE1515" s="11"/>
      <c r="AF1515" s="40"/>
      <c r="AI1515" s="11"/>
      <c r="AJ1515" s="11"/>
      <c r="AK1515" s="11"/>
      <c r="AL1515" s="11"/>
      <c r="AM1515" s="11"/>
      <c r="AN1515" s="11"/>
      <c r="AO1515" s="11"/>
      <c r="AY1515" s="11"/>
      <c r="BE1515" s="38"/>
      <c r="BF1515" s="38"/>
      <c r="BG1515" s="38"/>
      <c r="BH1515" s="11"/>
      <c r="BI1515" s="1"/>
      <c r="BJ1515" s="2"/>
      <c r="BK1515" s="1"/>
      <c r="BL1515" s="1"/>
      <c r="BM1515" s="7"/>
      <c r="BN1515" s="7"/>
      <c r="BO1515" s="1"/>
      <c r="BP1515" s="11"/>
      <c r="BQ1515" s="11"/>
    </row>
    <row r="1516" spans="1:69" x14ac:dyDescent="0.3">
      <c r="A1516" s="7"/>
      <c r="B1516" s="11"/>
      <c r="C1516" s="11"/>
      <c r="D1516" s="11"/>
      <c r="E1516" s="45"/>
      <c r="F1516" s="40"/>
      <c r="G1516" s="11"/>
      <c r="K1516" s="40"/>
      <c r="N1516" s="11"/>
      <c r="O1516" s="11"/>
      <c r="P1516" s="11"/>
      <c r="Q1516" s="11"/>
      <c r="R1516" s="11"/>
      <c r="S1516" s="11"/>
      <c r="T1516" s="11"/>
      <c r="U1516" s="11"/>
      <c r="V1516" s="11"/>
      <c r="W1516" s="11"/>
      <c r="X1516" s="11"/>
      <c r="Y1516" s="11"/>
      <c r="Z1516" s="11"/>
      <c r="AA1516" s="11"/>
      <c r="AB1516" s="11"/>
      <c r="AC1516" s="11"/>
      <c r="AD1516" s="40"/>
      <c r="AE1516" s="11"/>
      <c r="AF1516" s="40"/>
      <c r="AI1516" s="11"/>
      <c r="AJ1516" s="11"/>
      <c r="AK1516" s="11"/>
      <c r="AL1516" s="11"/>
      <c r="AM1516" s="11"/>
      <c r="AN1516" s="11"/>
      <c r="AO1516" s="11"/>
      <c r="AY1516" s="11"/>
      <c r="BE1516" s="38"/>
      <c r="BF1516" s="38"/>
      <c r="BG1516" s="38"/>
      <c r="BH1516" s="11"/>
      <c r="BI1516" s="1"/>
      <c r="BJ1516" s="2"/>
      <c r="BK1516" s="1"/>
      <c r="BL1516" s="1"/>
      <c r="BM1516" s="7"/>
      <c r="BN1516" s="7"/>
      <c r="BO1516" s="1"/>
      <c r="BP1516" s="11"/>
      <c r="BQ1516" s="11"/>
    </row>
    <row r="1517" spans="1:69" x14ac:dyDescent="0.3">
      <c r="A1517" s="7"/>
      <c r="B1517" s="11"/>
      <c r="C1517" s="11"/>
      <c r="D1517" s="11"/>
      <c r="E1517" s="45"/>
      <c r="F1517" s="40"/>
      <c r="G1517" s="11"/>
      <c r="K1517" s="40"/>
      <c r="N1517" s="11"/>
      <c r="O1517" s="11"/>
      <c r="P1517" s="11"/>
      <c r="Q1517" s="11"/>
      <c r="R1517" s="11"/>
      <c r="S1517" s="11"/>
      <c r="T1517" s="11"/>
      <c r="U1517" s="11"/>
      <c r="V1517" s="11"/>
      <c r="W1517" s="11"/>
      <c r="X1517" s="11"/>
      <c r="Y1517" s="11"/>
      <c r="Z1517" s="11"/>
      <c r="AA1517" s="11"/>
      <c r="AB1517" s="11"/>
      <c r="AC1517" s="11"/>
      <c r="AD1517" s="40"/>
      <c r="AE1517" s="11"/>
      <c r="AF1517" s="40"/>
      <c r="AI1517" s="11"/>
      <c r="AJ1517" s="11"/>
      <c r="AK1517" s="11"/>
      <c r="AL1517" s="11"/>
      <c r="AM1517" s="11"/>
      <c r="AN1517" s="11"/>
      <c r="AO1517" s="11"/>
      <c r="AY1517" s="11"/>
      <c r="BE1517" s="38"/>
      <c r="BF1517" s="38"/>
      <c r="BG1517" s="38"/>
      <c r="BH1517" s="11"/>
      <c r="BI1517" s="1"/>
      <c r="BJ1517" s="2"/>
      <c r="BK1517" s="1"/>
      <c r="BL1517" s="1"/>
      <c r="BM1517" s="7"/>
      <c r="BN1517" s="7"/>
      <c r="BO1517" s="1"/>
      <c r="BP1517" s="11"/>
      <c r="BQ1517" s="11"/>
    </row>
    <row r="1518" spans="1:69" x14ac:dyDescent="0.3">
      <c r="A1518" s="7"/>
      <c r="B1518" s="11"/>
      <c r="C1518" s="11"/>
      <c r="D1518" s="11"/>
      <c r="E1518" s="45"/>
      <c r="F1518" s="40"/>
      <c r="G1518" s="11"/>
      <c r="K1518" s="40"/>
      <c r="N1518" s="11"/>
      <c r="O1518" s="11"/>
      <c r="P1518" s="11"/>
      <c r="Q1518" s="11"/>
      <c r="R1518" s="11"/>
      <c r="S1518" s="11"/>
      <c r="T1518" s="11"/>
      <c r="U1518" s="11"/>
      <c r="V1518" s="11"/>
      <c r="W1518" s="11"/>
      <c r="X1518" s="11"/>
      <c r="Y1518" s="11"/>
      <c r="Z1518" s="11"/>
      <c r="AA1518" s="11"/>
      <c r="AB1518" s="11"/>
      <c r="AC1518" s="11"/>
      <c r="AD1518" s="40"/>
      <c r="AE1518" s="11"/>
      <c r="AF1518" s="40"/>
      <c r="AI1518" s="11"/>
      <c r="AJ1518" s="11"/>
      <c r="AK1518" s="11"/>
      <c r="AL1518" s="11"/>
      <c r="AM1518" s="11"/>
      <c r="AN1518" s="11"/>
      <c r="AO1518" s="11"/>
      <c r="AY1518" s="11"/>
      <c r="BE1518" s="38"/>
      <c r="BF1518" s="38"/>
      <c r="BG1518" s="38"/>
      <c r="BH1518" s="11"/>
      <c r="BI1518" s="1"/>
      <c r="BJ1518" s="2"/>
      <c r="BK1518" s="1"/>
      <c r="BL1518" s="1"/>
      <c r="BM1518" s="7"/>
      <c r="BN1518" s="7"/>
      <c r="BO1518" s="1"/>
      <c r="BP1518" s="11"/>
      <c r="BQ1518" s="11"/>
    </row>
    <row r="1519" spans="1:69" x14ac:dyDescent="0.3">
      <c r="A1519" s="7"/>
      <c r="B1519" s="11"/>
      <c r="C1519" s="11"/>
      <c r="D1519" s="11"/>
      <c r="E1519" s="45"/>
      <c r="F1519" s="40"/>
      <c r="G1519" s="11"/>
      <c r="K1519" s="40"/>
      <c r="N1519" s="11"/>
      <c r="O1519" s="11"/>
      <c r="P1519" s="11"/>
      <c r="Q1519" s="11"/>
      <c r="R1519" s="11"/>
      <c r="S1519" s="11"/>
      <c r="T1519" s="11"/>
      <c r="U1519" s="11"/>
      <c r="V1519" s="11"/>
      <c r="W1519" s="11"/>
      <c r="X1519" s="11"/>
      <c r="Y1519" s="11"/>
      <c r="Z1519" s="11"/>
      <c r="AA1519" s="11"/>
      <c r="AB1519" s="11"/>
      <c r="AC1519" s="11"/>
      <c r="AD1519" s="40"/>
      <c r="AE1519" s="11"/>
      <c r="AF1519" s="40"/>
      <c r="AI1519" s="11"/>
      <c r="AJ1519" s="11"/>
      <c r="AK1519" s="11"/>
      <c r="AL1519" s="11"/>
      <c r="AM1519" s="11"/>
      <c r="AN1519" s="11"/>
      <c r="AO1519" s="11"/>
      <c r="AY1519" s="11"/>
      <c r="BE1519" s="38"/>
      <c r="BF1519" s="38"/>
      <c r="BG1519" s="38"/>
      <c r="BH1519" s="11"/>
      <c r="BI1519" s="1"/>
      <c r="BJ1519" s="2"/>
      <c r="BK1519" s="1"/>
      <c r="BL1519" s="1"/>
      <c r="BM1519" s="7"/>
      <c r="BN1519" s="7"/>
      <c r="BO1519" s="1"/>
      <c r="BP1519" s="11"/>
      <c r="BQ1519" s="11"/>
    </row>
    <row r="1520" spans="1:69" x14ac:dyDescent="0.3">
      <c r="A1520" s="7"/>
      <c r="B1520" s="11"/>
      <c r="C1520" s="11"/>
      <c r="D1520" s="11"/>
      <c r="E1520" s="45"/>
      <c r="F1520" s="40"/>
      <c r="G1520" s="11"/>
      <c r="K1520" s="40"/>
      <c r="N1520" s="11"/>
      <c r="O1520" s="11"/>
      <c r="P1520" s="11"/>
      <c r="Q1520" s="11"/>
      <c r="R1520" s="11"/>
      <c r="S1520" s="11"/>
      <c r="T1520" s="11"/>
      <c r="U1520" s="11"/>
      <c r="V1520" s="11"/>
      <c r="W1520" s="11"/>
      <c r="X1520" s="11"/>
      <c r="Y1520" s="11"/>
      <c r="Z1520" s="11"/>
      <c r="AA1520" s="11"/>
      <c r="AB1520" s="11"/>
      <c r="AC1520" s="11"/>
      <c r="AD1520" s="40"/>
      <c r="AE1520" s="11"/>
      <c r="AF1520" s="40"/>
      <c r="AI1520" s="11"/>
      <c r="AJ1520" s="11"/>
      <c r="AK1520" s="11"/>
      <c r="AL1520" s="11"/>
      <c r="AM1520" s="11"/>
      <c r="AN1520" s="11"/>
      <c r="AO1520" s="11"/>
      <c r="AY1520" s="11"/>
      <c r="BE1520" s="38"/>
      <c r="BF1520" s="38"/>
      <c r="BG1520" s="38"/>
      <c r="BH1520" s="11"/>
      <c r="BI1520" s="1"/>
      <c r="BJ1520" s="2"/>
      <c r="BK1520" s="1"/>
      <c r="BL1520" s="1"/>
      <c r="BM1520" s="7"/>
      <c r="BN1520" s="7"/>
      <c r="BO1520" s="1"/>
      <c r="BP1520" s="11"/>
      <c r="BQ1520" s="11"/>
    </row>
    <row r="1521" spans="1:69" x14ac:dyDescent="0.3">
      <c r="A1521" s="7"/>
      <c r="B1521" s="11"/>
      <c r="C1521" s="11"/>
      <c r="D1521" s="11"/>
      <c r="E1521" s="45"/>
      <c r="F1521" s="40"/>
      <c r="G1521" s="11"/>
      <c r="K1521" s="40"/>
      <c r="N1521" s="11"/>
      <c r="O1521" s="11"/>
      <c r="P1521" s="11"/>
      <c r="Q1521" s="11"/>
      <c r="R1521" s="11"/>
      <c r="S1521" s="11"/>
      <c r="T1521" s="11"/>
      <c r="U1521" s="11"/>
      <c r="V1521" s="11"/>
      <c r="W1521" s="11"/>
      <c r="X1521" s="11"/>
      <c r="Y1521" s="11"/>
      <c r="Z1521" s="11"/>
      <c r="AA1521" s="11"/>
      <c r="AB1521" s="11"/>
      <c r="AC1521" s="11"/>
      <c r="AD1521" s="40"/>
      <c r="AE1521" s="11"/>
      <c r="AF1521" s="40"/>
      <c r="AI1521" s="11"/>
      <c r="AJ1521" s="11"/>
      <c r="AK1521" s="11"/>
      <c r="AL1521" s="11"/>
      <c r="AM1521" s="11"/>
      <c r="AN1521" s="11"/>
      <c r="AO1521" s="11"/>
      <c r="AY1521" s="11"/>
      <c r="BE1521" s="38"/>
      <c r="BF1521" s="38"/>
      <c r="BG1521" s="38"/>
      <c r="BH1521" s="11"/>
      <c r="BI1521" s="1"/>
      <c r="BJ1521" s="2"/>
      <c r="BK1521" s="1"/>
      <c r="BL1521" s="1"/>
      <c r="BM1521" s="7"/>
      <c r="BN1521" s="7"/>
      <c r="BO1521" s="1"/>
      <c r="BP1521" s="11"/>
      <c r="BQ1521" s="11"/>
    </row>
    <row r="1522" spans="1:69" x14ac:dyDescent="0.3">
      <c r="A1522" s="7"/>
      <c r="B1522" s="11"/>
      <c r="C1522" s="11"/>
      <c r="D1522" s="11"/>
      <c r="E1522" s="45"/>
      <c r="F1522" s="40"/>
      <c r="G1522" s="11"/>
      <c r="K1522" s="40"/>
      <c r="N1522" s="11"/>
      <c r="O1522" s="11"/>
      <c r="P1522" s="11"/>
      <c r="Q1522" s="11"/>
      <c r="R1522" s="11"/>
      <c r="S1522" s="11"/>
      <c r="T1522" s="11"/>
      <c r="U1522" s="11"/>
      <c r="V1522" s="11"/>
      <c r="W1522" s="11"/>
      <c r="X1522" s="11"/>
      <c r="Y1522" s="11"/>
      <c r="Z1522" s="11"/>
      <c r="AA1522" s="11"/>
      <c r="AB1522" s="11"/>
      <c r="AC1522" s="11"/>
      <c r="AD1522" s="40"/>
      <c r="AE1522" s="11"/>
      <c r="AF1522" s="40"/>
      <c r="AI1522" s="11"/>
      <c r="AJ1522" s="11"/>
      <c r="AK1522" s="11"/>
      <c r="AL1522" s="11"/>
      <c r="AM1522" s="11"/>
      <c r="AN1522" s="11"/>
      <c r="AO1522" s="11"/>
      <c r="AY1522" s="11"/>
      <c r="BE1522" s="38"/>
      <c r="BF1522" s="38"/>
      <c r="BG1522" s="38"/>
      <c r="BH1522" s="11"/>
      <c r="BI1522" s="1"/>
      <c r="BJ1522" s="2"/>
      <c r="BK1522" s="1"/>
      <c r="BL1522" s="1"/>
      <c r="BM1522" s="7"/>
      <c r="BN1522" s="7"/>
      <c r="BO1522" s="1"/>
      <c r="BP1522" s="11"/>
      <c r="BQ1522" s="11"/>
    </row>
    <row r="1523" spans="1:69" x14ac:dyDescent="0.3">
      <c r="A1523" s="7"/>
      <c r="B1523" s="11"/>
      <c r="C1523" s="11"/>
      <c r="D1523" s="11"/>
      <c r="E1523" s="45"/>
      <c r="F1523" s="40"/>
      <c r="G1523" s="11"/>
      <c r="K1523" s="40"/>
      <c r="N1523" s="11"/>
      <c r="O1523" s="11"/>
      <c r="P1523" s="11"/>
      <c r="Q1523" s="11"/>
      <c r="R1523" s="11"/>
      <c r="S1523" s="11"/>
      <c r="T1523" s="11"/>
      <c r="U1523" s="11"/>
      <c r="V1523" s="11"/>
      <c r="W1523" s="11"/>
      <c r="X1523" s="11"/>
      <c r="Y1523" s="11"/>
      <c r="Z1523" s="11"/>
      <c r="AA1523" s="11"/>
      <c r="AB1523" s="11"/>
      <c r="AC1523" s="11"/>
      <c r="AD1523" s="40"/>
      <c r="AE1523" s="11"/>
      <c r="AF1523" s="40"/>
      <c r="AI1523" s="11"/>
      <c r="AJ1523" s="11"/>
      <c r="AK1523" s="11"/>
      <c r="AL1523" s="11"/>
      <c r="AM1523" s="11"/>
      <c r="AN1523" s="11"/>
      <c r="AO1523" s="11"/>
      <c r="AY1523" s="11"/>
      <c r="BE1523" s="38"/>
      <c r="BF1523" s="38"/>
      <c r="BG1523" s="38"/>
      <c r="BH1523" s="11"/>
      <c r="BI1523" s="1"/>
      <c r="BJ1523" s="2"/>
      <c r="BK1523" s="1"/>
      <c r="BL1523" s="1"/>
      <c r="BM1523" s="7"/>
      <c r="BN1523" s="7"/>
      <c r="BO1523" s="1"/>
      <c r="BP1523" s="11"/>
      <c r="BQ1523" s="11"/>
    </row>
    <row r="1524" spans="1:69" x14ac:dyDescent="0.3">
      <c r="A1524" s="7"/>
      <c r="B1524" s="11"/>
      <c r="C1524" s="11"/>
      <c r="D1524" s="11"/>
      <c r="E1524" s="45"/>
      <c r="F1524" s="40"/>
      <c r="G1524" s="11"/>
      <c r="K1524" s="40"/>
      <c r="N1524" s="11"/>
      <c r="O1524" s="11"/>
      <c r="P1524" s="11"/>
      <c r="Q1524" s="11"/>
      <c r="R1524" s="11"/>
      <c r="S1524" s="11"/>
      <c r="T1524" s="11"/>
      <c r="U1524" s="11"/>
      <c r="V1524" s="11"/>
      <c r="W1524" s="11"/>
      <c r="X1524" s="11"/>
      <c r="Y1524" s="11"/>
      <c r="Z1524" s="11"/>
      <c r="AA1524" s="11"/>
      <c r="AB1524" s="11"/>
      <c r="AC1524" s="11"/>
      <c r="AD1524" s="40"/>
      <c r="AE1524" s="11"/>
      <c r="AF1524" s="40"/>
      <c r="AI1524" s="11"/>
      <c r="AJ1524" s="11"/>
      <c r="AK1524" s="11"/>
      <c r="AL1524" s="11"/>
      <c r="AM1524" s="11"/>
      <c r="AN1524" s="11"/>
      <c r="AO1524" s="11"/>
      <c r="AY1524" s="11"/>
      <c r="BE1524" s="38"/>
      <c r="BF1524" s="38"/>
      <c r="BG1524" s="38"/>
      <c r="BH1524" s="11"/>
      <c r="BI1524" s="1"/>
      <c r="BJ1524" s="2"/>
      <c r="BK1524" s="1"/>
      <c r="BL1524" s="1"/>
      <c r="BM1524" s="7"/>
      <c r="BN1524" s="7"/>
      <c r="BO1524" s="1"/>
      <c r="BP1524" s="11"/>
      <c r="BQ1524" s="11"/>
    </row>
    <row r="1525" spans="1:69" x14ac:dyDescent="0.3">
      <c r="A1525" s="7"/>
      <c r="B1525" s="11"/>
      <c r="C1525" s="11"/>
      <c r="D1525" s="11"/>
      <c r="E1525" s="45"/>
      <c r="F1525" s="40"/>
      <c r="G1525" s="11"/>
      <c r="K1525" s="40"/>
      <c r="N1525" s="11"/>
      <c r="O1525" s="11"/>
      <c r="P1525" s="11"/>
      <c r="Q1525" s="11"/>
      <c r="R1525" s="11"/>
      <c r="S1525" s="11"/>
      <c r="T1525" s="11"/>
      <c r="U1525" s="11"/>
      <c r="V1525" s="11"/>
      <c r="W1525" s="11"/>
      <c r="X1525" s="11"/>
      <c r="Y1525" s="11"/>
      <c r="Z1525" s="11"/>
      <c r="AA1525" s="11"/>
      <c r="AB1525" s="11"/>
      <c r="AC1525" s="11"/>
      <c r="AD1525" s="40"/>
      <c r="AE1525" s="11"/>
      <c r="AF1525" s="40"/>
      <c r="AI1525" s="11"/>
      <c r="AJ1525" s="11"/>
      <c r="AK1525" s="11"/>
      <c r="AL1525" s="11"/>
      <c r="AM1525" s="11"/>
      <c r="AN1525" s="11"/>
      <c r="AO1525" s="11"/>
      <c r="AY1525" s="11"/>
      <c r="BE1525" s="38"/>
      <c r="BF1525" s="38"/>
      <c r="BG1525" s="38"/>
      <c r="BH1525" s="11"/>
      <c r="BI1525" s="1"/>
      <c r="BJ1525" s="2"/>
      <c r="BK1525" s="1"/>
      <c r="BL1525" s="1"/>
      <c r="BM1525" s="7"/>
      <c r="BN1525" s="7"/>
      <c r="BO1525" s="1"/>
      <c r="BP1525" s="11"/>
      <c r="BQ1525" s="11"/>
    </row>
    <row r="1526" spans="1:69" x14ac:dyDescent="0.3">
      <c r="A1526" s="7"/>
      <c r="B1526" s="11"/>
      <c r="C1526" s="11"/>
      <c r="D1526" s="11"/>
      <c r="E1526" s="45"/>
      <c r="F1526" s="40"/>
      <c r="G1526" s="11"/>
      <c r="K1526" s="40"/>
      <c r="N1526" s="11"/>
      <c r="O1526" s="11"/>
      <c r="P1526" s="11"/>
      <c r="Q1526" s="11"/>
      <c r="R1526" s="11"/>
      <c r="S1526" s="11"/>
      <c r="T1526" s="11"/>
      <c r="U1526" s="11"/>
      <c r="V1526" s="11"/>
      <c r="W1526" s="11"/>
      <c r="X1526" s="11"/>
      <c r="Y1526" s="11"/>
      <c r="Z1526" s="11"/>
      <c r="AA1526" s="11"/>
      <c r="AB1526" s="11"/>
      <c r="AC1526" s="11"/>
      <c r="AD1526" s="40"/>
      <c r="AE1526" s="11"/>
      <c r="AF1526" s="40"/>
      <c r="AI1526" s="11"/>
      <c r="AJ1526" s="11"/>
      <c r="AK1526" s="11"/>
      <c r="AL1526" s="11"/>
      <c r="AM1526" s="11"/>
      <c r="AN1526" s="11"/>
      <c r="AO1526" s="11"/>
      <c r="AY1526" s="11"/>
      <c r="BE1526" s="38"/>
      <c r="BF1526" s="38"/>
      <c r="BG1526" s="38"/>
      <c r="BH1526" s="11"/>
      <c r="BI1526" s="1"/>
      <c r="BJ1526" s="2"/>
      <c r="BK1526" s="1"/>
      <c r="BL1526" s="1"/>
      <c r="BM1526" s="7"/>
      <c r="BN1526" s="7"/>
      <c r="BO1526" s="1"/>
      <c r="BP1526" s="11"/>
      <c r="BQ1526" s="11"/>
    </row>
    <row r="1527" spans="1:69" x14ac:dyDescent="0.3">
      <c r="A1527" s="7"/>
      <c r="B1527" s="11"/>
      <c r="C1527" s="11"/>
      <c r="D1527" s="11"/>
      <c r="E1527" s="45"/>
      <c r="F1527" s="40"/>
      <c r="G1527" s="11"/>
      <c r="K1527" s="40"/>
      <c r="N1527" s="11"/>
      <c r="O1527" s="11"/>
      <c r="P1527" s="11"/>
      <c r="Q1527" s="11"/>
      <c r="R1527" s="11"/>
      <c r="S1527" s="11"/>
      <c r="T1527" s="11"/>
      <c r="U1527" s="11"/>
      <c r="V1527" s="11"/>
      <c r="W1527" s="11"/>
      <c r="X1527" s="11"/>
      <c r="Y1527" s="11"/>
      <c r="Z1527" s="11"/>
      <c r="AA1527" s="11"/>
      <c r="AB1527" s="11"/>
      <c r="AC1527" s="11"/>
      <c r="AD1527" s="40"/>
      <c r="AE1527" s="11"/>
      <c r="AF1527" s="40"/>
      <c r="AI1527" s="11"/>
      <c r="AJ1527" s="11"/>
      <c r="AK1527" s="11"/>
      <c r="AL1527" s="11"/>
      <c r="AM1527" s="11"/>
      <c r="AN1527" s="11"/>
      <c r="AO1527" s="11"/>
      <c r="AY1527" s="11"/>
      <c r="BE1527" s="38"/>
      <c r="BF1527" s="38"/>
      <c r="BG1527" s="38"/>
      <c r="BH1527" s="11"/>
      <c r="BI1527" s="1"/>
      <c r="BJ1527" s="2"/>
      <c r="BK1527" s="1"/>
      <c r="BL1527" s="1"/>
      <c r="BM1527" s="7"/>
      <c r="BN1527" s="7"/>
      <c r="BO1527" s="1"/>
      <c r="BP1527" s="11"/>
      <c r="BQ1527" s="11"/>
    </row>
    <row r="1528" spans="1:69" x14ac:dyDescent="0.3">
      <c r="A1528" s="7"/>
      <c r="B1528" s="11"/>
      <c r="C1528" s="11"/>
      <c r="D1528" s="11"/>
      <c r="E1528" s="45"/>
      <c r="F1528" s="40"/>
      <c r="G1528" s="11"/>
      <c r="K1528" s="40"/>
      <c r="N1528" s="11"/>
      <c r="O1528" s="11"/>
      <c r="P1528" s="11"/>
      <c r="Q1528" s="11"/>
      <c r="R1528" s="11"/>
      <c r="S1528" s="11"/>
      <c r="T1528" s="11"/>
      <c r="U1528" s="11"/>
      <c r="V1528" s="11"/>
      <c r="W1528" s="11"/>
      <c r="X1528" s="11"/>
      <c r="Y1528" s="11"/>
      <c r="Z1528" s="11"/>
      <c r="AA1528" s="11"/>
      <c r="AB1528" s="11"/>
      <c r="AC1528" s="11"/>
      <c r="AD1528" s="40"/>
      <c r="AE1528" s="11"/>
      <c r="AF1528" s="40"/>
      <c r="AI1528" s="11"/>
      <c r="AJ1528" s="11"/>
      <c r="AK1528" s="11"/>
      <c r="AL1528" s="11"/>
      <c r="AM1528" s="11"/>
      <c r="AN1528" s="11"/>
      <c r="AO1528" s="11"/>
      <c r="AY1528" s="11"/>
      <c r="BE1528" s="38"/>
      <c r="BF1528" s="38"/>
      <c r="BG1528" s="38"/>
      <c r="BH1528" s="11"/>
      <c r="BI1528" s="1"/>
      <c r="BJ1528" s="2"/>
      <c r="BK1528" s="1"/>
      <c r="BL1528" s="1"/>
      <c r="BM1528" s="7"/>
      <c r="BN1528" s="7"/>
      <c r="BO1528" s="1"/>
      <c r="BP1528" s="11"/>
      <c r="BQ1528" s="11"/>
    </row>
    <row r="1529" spans="1:69" x14ac:dyDescent="0.3">
      <c r="A1529" s="7"/>
      <c r="B1529" s="11"/>
      <c r="C1529" s="11"/>
      <c r="D1529" s="11"/>
      <c r="E1529" s="45"/>
      <c r="F1529" s="40"/>
      <c r="G1529" s="11"/>
      <c r="K1529" s="40"/>
      <c r="N1529" s="11"/>
      <c r="O1529" s="11"/>
      <c r="P1529" s="11"/>
      <c r="Q1529" s="11"/>
      <c r="R1529" s="11"/>
      <c r="S1529" s="11"/>
      <c r="T1529" s="11"/>
      <c r="U1529" s="11"/>
      <c r="V1529" s="11"/>
      <c r="W1529" s="11"/>
      <c r="X1529" s="11"/>
      <c r="Y1529" s="11"/>
      <c r="Z1529" s="11"/>
      <c r="AA1529" s="11"/>
      <c r="AB1529" s="11"/>
      <c r="AC1529" s="11"/>
      <c r="AD1529" s="40"/>
      <c r="AE1529" s="11"/>
      <c r="AF1529" s="40"/>
      <c r="AI1529" s="11"/>
      <c r="AJ1529" s="11"/>
      <c r="AK1529" s="11"/>
      <c r="AL1529" s="11"/>
      <c r="AM1529" s="11"/>
      <c r="AN1529" s="11"/>
      <c r="AO1529" s="11"/>
      <c r="AY1529" s="11"/>
      <c r="BE1529" s="38"/>
      <c r="BF1529" s="38"/>
      <c r="BG1529" s="38"/>
      <c r="BH1529" s="11"/>
      <c r="BI1529" s="1"/>
      <c r="BJ1529" s="2"/>
      <c r="BK1529" s="1"/>
      <c r="BL1529" s="1"/>
      <c r="BM1529" s="7"/>
      <c r="BN1529" s="7"/>
      <c r="BO1529" s="1"/>
      <c r="BP1529" s="11"/>
      <c r="BQ1529" s="11"/>
    </row>
    <row r="1530" spans="1:69" x14ac:dyDescent="0.3">
      <c r="A1530" s="7"/>
      <c r="B1530" s="11"/>
      <c r="C1530" s="11"/>
      <c r="D1530" s="11"/>
      <c r="E1530" s="45"/>
      <c r="F1530" s="40"/>
      <c r="G1530" s="11"/>
      <c r="K1530" s="40"/>
      <c r="N1530" s="11"/>
      <c r="O1530" s="11"/>
      <c r="P1530" s="11"/>
      <c r="Q1530" s="11"/>
      <c r="R1530" s="11"/>
      <c r="S1530" s="11"/>
      <c r="T1530" s="11"/>
      <c r="U1530" s="11"/>
      <c r="V1530" s="11"/>
      <c r="W1530" s="11"/>
      <c r="X1530" s="11"/>
      <c r="Y1530" s="11"/>
      <c r="Z1530" s="11"/>
      <c r="AA1530" s="11"/>
      <c r="AB1530" s="11"/>
      <c r="AC1530" s="11"/>
      <c r="AD1530" s="40"/>
      <c r="AE1530" s="11"/>
      <c r="AF1530" s="40"/>
      <c r="AI1530" s="11"/>
      <c r="AJ1530" s="11"/>
      <c r="AK1530" s="11"/>
      <c r="AL1530" s="11"/>
      <c r="AM1530" s="11"/>
      <c r="AN1530" s="11"/>
      <c r="AO1530" s="11"/>
      <c r="AY1530" s="11"/>
      <c r="BE1530" s="38"/>
      <c r="BF1530" s="38"/>
      <c r="BG1530" s="38"/>
      <c r="BH1530" s="11"/>
      <c r="BI1530" s="1"/>
      <c r="BJ1530" s="2"/>
      <c r="BK1530" s="1"/>
      <c r="BL1530" s="1"/>
      <c r="BM1530" s="7"/>
      <c r="BN1530" s="7"/>
      <c r="BO1530" s="1"/>
      <c r="BP1530" s="11"/>
      <c r="BQ1530" s="11"/>
    </row>
    <row r="1531" spans="1:69" x14ac:dyDescent="0.3">
      <c r="A1531" s="7"/>
      <c r="B1531" s="11"/>
      <c r="C1531" s="11"/>
      <c r="D1531" s="11"/>
      <c r="E1531" s="45"/>
      <c r="F1531" s="40"/>
      <c r="G1531" s="11"/>
      <c r="K1531" s="40"/>
      <c r="N1531" s="11"/>
      <c r="O1531" s="11"/>
      <c r="P1531" s="11"/>
      <c r="Q1531" s="11"/>
      <c r="R1531" s="11"/>
      <c r="S1531" s="11"/>
      <c r="T1531" s="11"/>
      <c r="U1531" s="11"/>
      <c r="V1531" s="11"/>
      <c r="W1531" s="11"/>
      <c r="X1531" s="11"/>
      <c r="Y1531" s="11"/>
      <c r="Z1531" s="11"/>
      <c r="AA1531" s="11"/>
      <c r="AB1531" s="11"/>
      <c r="AC1531" s="11"/>
      <c r="AD1531" s="40"/>
      <c r="AE1531" s="11"/>
      <c r="AF1531" s="40"/>
      <c r="AI1531" s="11"/>
      <c r="AJ1531" s="11"/>
      <c r="AK1531" s="11"/>
      <c r="AL1531" s="11"/>
      <c r="AM1531" s="11"/>
      <c r="AN1531" s="11"/>
      <c r="AO1531" s="11"/>
      <c r="AY1531" s="11"/>
      <c r="BE1531" s="38"/>
      <c r="BF1531" s="38"/>
      <c r="BG1531" s="38"/>
      <c r="BH1531" s="11"/>
      <c r="BI1531" s="1"/>
      <c r="BJ1531" s="2"/>
      <c r="BK1531" s="1"/>
      <c r="BL1531" s="1"/>
      <c r="BM1531" s="7"/>
      <c r="BN1531" s="7"/>
      <c r="BO1531" s="1"/>
      <c r="BP1531" s="11"/>
      <c r="BQ1531" s="11"/>
    </row>
    <row r="1532" spans="1:69" x14ac:dyDescent="0.3">
      <c r="A1532" s="7"/>
      <c r="B1532" s="11"/>
      <c r="C1532" s="11"/>
      <c r="D1532" s="11"/>
      <c r="E1532" s="45"/>
      <c r="F1532" s="40"/>
      <c r="G1532" s="11"/>
      <c r="K1532" s="40"/>
      <c r="N1532" s="11"/>
      <c r="O1532" s="11"/>
      <c r="P1532" s="11"/>
      <c r="Q1532" s="11"/>
      <c r="R1532" s="11"/>
      <c r="S1532" s="11"/>
      <c r="T1532" s="11"/>
      <c r="U1532" s="11"/>
      <c r="V1532" s="11"/>
      <c r="W1532" s="11"/>
      <c r="X1532" s="11"/>
      <c r="Y1532" s="11"/>
      <c r="Z1532" s="11"/>
      <c r="AA1532" s="11"/>
      <c r="AB1532" s="11"/>
      <c r="AC1532" s="11"/>
      <c r="AD1532" s="40"/>
      <c r="AE1532" s="11"/>
      <c r="AF1532" s="40"/>
      <c r="AI1532" s="11"/>
      <c r="AJ1532" s="11"/>
      <c r="AK1532" s="11"/>
      <c r="AL1532" s="11"/>
      <c r="AM1532" s="11"/>
      <c r="AN1532" s="11"/>
      <c r="AO1532" s="11"/>
      <c r="AY1532" s="11"/>
      <c r="BE1532" s="38"/>
      <c r="BF1532" s="38"/>
      <c r="BG1532" s="38"/>
      <c r="BH1532" s="11"/>
      <c r="BI1532" s="1"/>
      <c r="BJ1532" s="2"/>
      <c r="BK1532" s="1"/>
      <c r="BL1532" s="1"/>
      <c r="BM1532" s="7"/>
      <c r="BN1532" s="7"/>
      <c r="BO1532" s="1"/>
      <c r="BP1532" s="11"/>
      <c r="BQ1532" s="11"/>
    </row>
    <row r="1533" spans="1:69" x14ac:dyDescent="0.3">
      <c r="A1533" s="7"/>
      <c r="B1533" s="11"/>
      <c r="C1533" s="11"/>
      <c r="D1533" s="11"/>
      <c r="E1533" s="45"/>
      <c r="F1533" s="40"/>
      <c r="G1533" s="11"/>
      <c r="K1533" s="40"/>
      <c r="N1533" s="11"/>
      <c r="O1533" s="11"/>
      <c r="P1533" s="11"/>
      <c r="Q1533" s="11"/>
      <c r="R1533" s="11"/>
      <c r="S1533" s="11"/>
      <c r="T1533" s="11"/>
      <c r="U1533" s="11"/>
      <c r="V1533" s="11"/>
      <c r="W1533" s="11"/>
      <c r="X1533" s="11"/>
      <c r="Y1533" s="11"/>
      <c r="Z1533" s="11"/>
      <c r="AA1533" s="11"/>
      <c r="AB1533" s="11"/>
      <c r="AC1533" s="11"/>
      <c r="AD1533" s="40"/>
      <c r="AE1533" s="11"/>
      <c r="AF1533" s="40"/>
      <c r="AI1533" s="11"/>
      <c r="AJ1533" s="11"/>
      <c r="AK1533" s="11"/>
      <c r="AL1533" s="11"/>
      <c r="AM1533" s="11"/>
      <c r="AN1533" s="11"/>
      <c r="AO1533" s="11"/>
      <c r="AY1533" s="11"/>
      <c r="BE1533" s="38"/>
      <c r="BF1533" s="38"/>
      <c r="BG1533" s="38"/>
      <c r="BH1533" s="11"/>
      <c r="BI1533" s="1"/>
      <c r="BJ1533" s="2"/>
      <c r="BK1533" s="1"/>
      <c r="BL1533" s="1"/>
      <c r="BM1533" s="7"/>
      <c r="BN1533" s="7"/>
      <c r="BO1533" s="1"/>
      <c r="BP1533" s="11"/>
      <c r="BQ1533" s="11"/>
    </row>
    <row r="1534" spans="1:69" x14ac:dyDescent="0.3">
      <c r="A1534" s="7"/>
      <c r="B1534" s="11"/>
      <c r="C1534" s="11"/>
      <c r="D1534" s="11"/>
      <c r="E1534" s="45"/>
      <c r="F1534" s="40"/>
      <c r="G1534" s="11"/>
      <c r="K1534" s="40"/>
      <c r="N1534" s="11"/>
      <c r="O1534" s="11"/>
      <c r="P1534" s="11"/>
      <c r="Q1534" s="11"/>
      <c r="R1534" s="11"/>
      <c r="S1534" s="11"/>
      <c r="T1534" s="11"/>
      <c r="U1534" s="11"/>
      <c r="V1534" s="11"/>
      <c r="W1534" s="11"/>
      <c r="X1534" s="11"/>
      <c r="Y1534" s="11"/>
      <c r="Z1534" s="11"/>
      <c r="AA1534" s="11"/>
      <c r="AB1534" s="11"/>
      <c r="AC1534" s="11"/>
      <c r="AD1534" s="40"/>
      <c r="AE1534" s="11"/>
      <c r="AF1534" s="40"/>
      <c r="AI1534" s="11"/>
      <c r="AJ1534" s="11"/>
      <c r="AK1534" s="11"/>
      <c r="AL1534" s="11"/>
      <c r="AM1534" s="11"/>
      <c r="AN1534" s="11"/>
      <c r="AO1534" s="11"/>
      <c r="AY1534" s="11"/>
      <c r="BE1534" s="38"/>
      <c r="BF1534" s="38"/>
      <c r="BG1534" s="38"/>
      <c r="BH1534" s="11"/>
      <c r="BI1534" s="1"/>
      <c r="BJ1534" s="2"/>
      <c r="BK1534" s="1"/>
      <c r="BL1534" s="1"/>
      <c r="BM1534" s="7"/>
      <c r="BN1534" s="7"/>
      <c r="BO1534" s="1"/>
      <c r="BP1534" s="11"/>
      <c r="BQ1534" s="11"/>
    </row>
    <row r="1535" spans="1:69" x14ac:dyDescent="0.3">
      <c r="A1535" s="7"/>
      <c r="B1535" s="11"/>
      <c r="C1535" s="11"/>
      <c r="D1535" s="11"/>
      <c r="E1535" s="45"/>
      <c r="F1535" s="40"/>
      <c r="G1535" s="11"/>
      <c r="K1535" s="40"/>
      <c r="N1535" s="11"/>
      <c r="O1535" s="11"/>
      <c r="P1535" s="11"/>
      <c r="Q1535" s="11"/>
      <c r="R1535" s="11"/>
      <c r="S1535" s="11"/>
      <c r="T1535" s="11"/>
      <c r="U1535" s="11"/>
      <c r="V1535" s="11"/>
      <c r="W1535" s="11"/>
      <c r="X1535" s="11"/>
      <c r="Y1535" s="11"/>
      <c r="Z1535" s="11"/>
      <c r="AA1535" s="11"/>
      <c r="AB1535" s="11"/>
      <c r="AC1535" s="11"/>
      <c r="AD1535" s="40"/>
      <c r="AE1535" s="11"/>
      <c r="AF1535" s="40"/>
      <c r="AI1535" s="11"/>
      <c r="AJ1535" s="11"/>
      <c r="AK1535" s="11"/>
      <c r="AL1535" s="11"/>
      <c r="AM1535" s="11"/>
      <c r="AN1535" s="11"/>
      <c r="AO1535" s="11"/>
      <c r="AY1535" s="11"/>
      <c r="BE1535" s="38"/>
      <c r="BF1535" s="38"/>
      <c r="BG1535" s="38"/>
      <c r="BH1535" s="11"/>
      <c r="BI1535" s="1"/>
      <c r="BJ1535" s="2"/>
      <c r="BK1535" s="1"/>
      <c r="BL1535" s="1"/>
      <c r="BM1535" s="7"/>
      <c r="BN1535" s="7"/>
      <c r="BO1535" s="1"/>
      <c r="BP1535" s="11"/>
      <c r="BQ1535" s="11"/>
    </row>
    <row r="1536" spans="1:69" x14ac:dyDescent="0.3">
      <c r="A1536" s="7"/>
      <c r="B1536" s="11"/>
      <c r="C1536" s="11"/>
      <c r="D1536" s="11"/>
      <c r="E1536" s="45"/>
      <c r="F1536" s="40"/>
      <c r="G1536" s="11"/>
      <c r="K1536" s="40"/>
      <c r="N1536" s="11"/>
      <c r="O1536" s="11"/>
      <c r="P1536" s="11"/>
      <c r="Q1536" s="11"/>
      <c r="R1536" s="11"/>
      <c r="S1536" s="11"/>
      <c r="T1536" s="11"/>
      <c r="U1536" s="11"/>
      <c r="V1536" s="11"/>
      <c r="W1536" s="11"/>
      <c r="X1536" s="11"/>
      <c r="Y1536" s="11"/>
      <c r="Z1536" s="11"/>
      <c r="AA1536" s="11"/>
      <c r="AB1536" s="11"/>
      <c r="AC1536" s="11"/>
      <c r="AD1536" s="40"/>
      <c r="AE1536" s="11"/>
      <c r="AF1536" s="40"/>
      <c r="AI1536" s="11"/>
      <c r="AJ1536" s="11"/>
      <c r="AK1536" s="11"/>
      <c r="AL1536" s="11"/>
      <c r="AM1536" s="11"/>
      <c r="AN1536" s="11"/>
      <c r="AO1536" s="11"/>
      <c r="AY1536" s="11"/>
      <c r="BE1536" s="38"/>
      <c r="BF1536" s="38"/>
      <c r="BG1536" s="38"/>
      <c r="BH1536" s="11"/>
      <c r="BI1536" s="1"/>
      <c r="BJ1536" s="2"/>
      <c r="BK1536" s="1"/>
      <c r="BL1536" s="1"/>
      <c r="BM1536" s="7"/>
      <c r="BN1536" s="7"/>
      <c r="BO1536" s="1"/>
      <c r="BP1536" s="11"/>
      <c r="BQ1536" s="11"/>
    </row>
    <row r="1537" spans="1:69" x14ac:dyDescent="0.3">
      <c r="A1537" s="7"/>
      <c r="B1537" s="11"/>
      <c r="C1537" s="11"/>
      <c r="D1537" s="11"/>
      <c r="E1537" s="45"/>
      <c r="F1537" s="40"/>
      <c r="G1537" s="11"/>
      <c r="K1537" s="40"/>
      <c r="N1537" s="11"/>
      <c r="O1537" s="11"/>
      <c r="P1537" s="11"/>
      <c r="Q1537" s="11"/>
      <c r="R1537" s="11"/>
      <c r="S1537" s="11"/>
      <c r="T1537" s="11"/>
      <c r="U1537" s="11"/>
      <c r="V1537" s="11"/>
      <c r="W1537" s="11"/>
      <c r="X1537" s="11"/>
      <c r="Y1537" s="11"/>
      <c r="Z1537" s="11"/>
      <c r="AA1537" s="11"/>
      <c r="AB1537" s="11"/>
      <c r="AC1537" s="11"/>
      <c r="AD1537" s="40"/>
      <c r="AE1537" s="11"/>
      <c r="AF1537" s="40"/>
      <c r="AI1537" s="11"/>
      <c r="AJ1537" s="11"/>
      <c r="AK1537" s="11"/>
      <c r="AL1537" s="11"/>
      <c r="AM1537" s="11"/>
      <c r="AN1537" s="11"/>
      <c r="AO1537" s="11"/>
      <c r="AY1537" s="11"/>
      <c r="BE1537" s="38"/>
      <c r="BF1537" s="38"/>
      <c r="BG1537" s="38"/>
      <c r="BH1537" s="11"/>
      <c r="BI1537" s="1"/>
      <c r="BJ1537" s="2"/>
      <c r="BK1537" s="1"/>
      <c r="BL1537" s="1"/>
      <c r="BM1537" s="7"/>
      <c r="BN1537" s="7"/>
      <c r="BO1537" s="1"/>
      <c r="BP1537" s="11"/>
      <c r="BQ1537" s="11"/>
    </row>
    <row r="1538" spans="1:69" x14ac:dyDescent="0.3">
      <c r="A1538" s="7"/>
      <c r="B1538" s="11"/>
      <c r="C1538" s="11"/>
      <c r="D1538" s="11"/>
      <c r="E1538" s="45"/>
      <c r="F1538" s="40"/>
      <c r="G1538" s="11"/>
      <c r="K1538" s="40"/>
      <c r="N1538" s="11"/>
      <c r="O1538" s="11"/>
      <c r="P1538" s="11"/>
      <c r="Q1538" s="11"/>
      <c r="R1538" s="11"/>
      <c r="S1538" s="11"/>
      <c r="T1538" s="11"/>
      <c r="U1538" s="11"/>
      <c r="V1538" s="11"/>
      <c r="W1538" s="11"/>
      <c r="X1538" s="11"/>
      <c r="Y1538" s="11"/>
      <c r="Z1538" s="11"/>
      <c r="AA1538" s="11"/>
      <c r="AB1538" s="11"/>
      <c r="AC1538" s="11"/>
      <c r="AD1538" s="40"/>
      <c r="AE1538" s="11"/>
      <c r="AF1538" s="40"/>
      <c r="AI1538" s="11"/>
      <c r="AJ1538" s="11"/>
      <c r="AK1538" s="11"/>
      <c r="AL1538" s="11"/>
      <c r="AM1538" s="11"/>
      <c r="AN1538" s="11"/>
      <c r="AO1538" s="11"/>
      <c r="AY1538" s="11"/>
      <c r="BE1538" s="38"/>
      <c r="BF1538" s="38"/>
      <c r="BG1538" s="38"/>
      <c r="BH1538" s="11"/>
      <c r="BI1538" s="1"/>
      <c r="BJ1538" s="2"/>
      <c r="BK1538" s="1"/>
      <c r="BL1538" s="1"/>
      <c r="BM1538" s="7"/>
      <c r="BN1538" s="7"/>
      <c r="BO1538" s="1"/>
      <c r="BP1538" s="11"/>
      <c r="BQ1538" s="11"/>
    </row>
    <row r="1539" spans="1:69" x14ac:dyDescent="0.3">
      <c r="A1539" s="7"/>
      <c r="B1539" s="11"/>
      <c r="C1539" s="11"/>
      <c r="D1539" s="11"/>
      <c r="E1539" s="45"/>
      <c r="F1539" s="40"/>
      <c r="G1539" s="11"/>
      <c r="K1539" s="40"/>
      <c r="N1539" s="11"/>
      <c r="O1539" s="11"/>
      <c r="P1539" s="11"/>
      <c r="Q1539" s="11"/>
      <c r="R1539" s="11"/>
      <c r="S1539" s="11"/>
      <c r="T1539" s="11"/>
      <c r="U1539" s="11"/>
      <c r="V1539" s="11"/>
      <c r="W1539" s="11"/>
      <c r="X1539" s="11"/>
      <c r="Y1539" s="11"/>
      <c r="Z1539" s="11"/>
      <c r="AA1539" s="11"/>
      <c r="AB1539" s="11"/>
      <c r="AC1539" s="11"/>
      <c r="AD1539" s="40"/>
      <c r="AE1539" s="11"/>
      <c r="AF1539" s="40"/>
      <c r="AI1539" s="11"/>
      <c r="AJ1539" s="11"/>
      <c r="AK1539" s="11"/>
      <c r="AL1539" s="11"/>
      <c r="AM1539" s="11"/>
      <c r="AN1539" s="11"/>
      <c r="AO1539" s="11"/>
      <c r="AY1539" s="11"/>
      <c r="BE1539" s="38"/>
      <c r="BF1539" s="38"/>
      <c r="BG1539" s="38"/>
      <c r="BH1539" s="11"/>
      <c r="BI1539" s="1"/>
      <c r="BJ1539" s="2"/>
      <c r="BK1539" s="1"/>
      <c r="BL1539" s="1"/>
      <c r="BM1539" s="7"/>
      <c r="BN1539" s="7"/>
      <c r="BO1539" s="1"/>
      <c r="BP1539" s="11"/>
      <c r="BQ1539" s="11"/>
    </row>
    <row r="1540" spans="1:69" x14ac:dyDescent="0.3">
      <c r="A1540" s="7"/>
      <c r="B1540" s="11"/>
      <c r="C1540" s="11"/>
      <c r="D1540" s="11"/>
      <c r="E1540" s="45"/>
      <c r="F1540" s="40"/>
      <c r="G1540" s="11"/>
      <c r="K1540" s="40"/>
      <c r="N1540" s="11"/>
      <c r="O1540" s="11"/>
      <c r="P1540" s="11"/>
      <c r="Q1540" s="11"/>
      <c r="R1540" s="11"/>
      <c r="S1540" s="11"/>
      <c r="T1540" s="11"/>
      <c r="U1540" s="11"/>
      <c r="V1540" s="11"/>
      <c r="W1540" s="11"/>
      <c r="X1540" s="11"/>
      <c r="Y1540" s="11"/>
      <c r="Z1540" s="11"/>
      <c r="AA1540" s="11"/>
      <c r="AB1540" s="11"/>
      <c r="AC1540" s="11"/>
      <c r="AD1540" s="40"/>
      <c r="AE1540" s="11"/>
      <c r="AF1540" s="40"/>
      <c r="AI1540" s="11"/>
      <c r="AJ1540" s="11"/>
      <c r="AK1540" s="11"/>
      <c r="AL1540" s="11"/>
      <c r="AM1540" s="11"/>
      <c r="AN1540" s="11"/>
      <c r="AO1540" s="11"/>
      <c r="AY1540" s="11"/>
      <c r="BE1540" s="38"/>
      <c r="BF1540" s="38"/>
      <c r="BG1540" s="38"/>
      <c r="BH1540" s="11"/>
      <c r="BI1540" s="1"/>
      <c r="BJ1540" s="2"/>
      <c r="BK1540" s="1"/>
      <c r="BL1540" s="1"/>
      <c r="BM1540" s="7"/>
      <c r="BN1540" s="7"/>
      <c r="BO1540" s="1"/>
      <c r="BP1540" s="11"/>
      <c r="BQ1540" s="11"/>
    </row>
    <row r="1541" spans="1:69" x14ac:dyDescent="0.3">
      <c r="A1541" s="7"/>
      <c r="B1541" s="11"/>
      <c r="C1541" s="11"/>
      <c r="D1541" s="11"/>
      <c r="E1541" s="45"/>
      <c r="F1541" s="40"/>
      <c r="G1541" s="11"/>
      <c r="K1541" s="40"/>
      <c r="N1541" s="11"/>
      <c r="O1541" s="11"/>
      <c r="P1541" s="11"/>
      <c r="Q1541" s="11"/>
      <c r="R1541" s="11"/>
      <c r="S1541" s="11"/>
      <c r="T1541" s="11"/>
      <c r="U1541" s="11"/>
      <c r="V1541" s="11"/>
      <c r="W1541" s="11"/>
      <c r="X1541" s="11"/>
      <c r="Y1541" s="11"/>
      <c r="Z1541" s="11"/>
      <c r="AA1541" s="11"/>
      <c r="AB1541" s="11"/>
      <c r="AC1541" s="11"/>
      <c r="AD1541" s="40"/>
      <c r="AE1541" s="11"/>
      <c r="AF1541" s="40"/>
      <c r="AI1541" s="11"/>
      <c r="AJ1541" s="11"/>
      <c r="AK1541" s="11"/>
      <c r="AL1541" s="11"/>
      <c r="AM1541" s="11"/>
      <c r="AN1541" s="11"/>
      <c r="AO1541" s="11"/>
      <c r="AY1541" s="11"/>
      <c r="BE1541" s="38"/>
      <c r="BF1541" s="38"/>
      <c r="BG1541" s="38"/>
      <c r="BH1541" s="11"/>
      <c r="BI1541" s="1"/>
      <c r="BJ1541" s="2"/>
      <c r="BK1541" s="1"/>
      <c r="BL1541" s="1"/>
      <c r="BM1541" s="7"/>
      <c r="BN1541" s="7"/>
      <c r="BO1541" s="1"/>
      <c r="BP1541" s="11"/>
      <c r="BQ1541" s="11"/>
    </row>
    <row r="1542" spans="1:69" x14ac:dyDescent="0.3">
      <c r="A1542" s="7"/>
      <c r="B1542" s="11"/>
      <c r="C1542" s="11"/>
      <c r="D1542" s="11"/>
      <c r="E1542" s="45"/>
      <c r="F1542" s="40"/>
      <c r="G1542" s="11"/>
      <c r="K1542" s="40"/>
      <c r="N1542" s="11"/>
      <c r="O1542" s="11"/>
      <c r="P1542" s="11"/>
      <c r="Q1542" s="11"/>
      <c r="R1542" s="11"/>
      <c r="S1542" s="11"/>
      <c r="T1542" s="11"/>
      <c r="U1542" s="11"/>
      <c r="V1542" s="11"/>
      <c r="W1542" s="11"/>
      <c r="X1542" s="11"/>
      <c r="Y1542" s="11"/>
      <c r="Z1542" s="11"/>
      <c r="AA1542" s="11"/>
      <c r="AB1542" s="11"/>
      <c r="AC1542" s="11"/>
      <c r="AD1542" s="40"/>
      <c r="AE1542" s="11"/>
      <c r="AF1542" s="40"/>
      <c r="AI1542" s="11"/>
      <c r="AJ1542" s="11"/>
      <c r="AK1542" s="11"/>
      <c r="AL1542" s="11"/>
      <c r="AM1542" s="11"/>
      <c r="AN1542" s="11"/>
      <c r="AO1542" s="11"/>
      <c r="AY1542" s="11"/>
      <c r="BE1542" s="38"/>
      <c r="BF1542" s="38"/>
      <c r="BG1542" s="38"/>
      <c r="BH1542" s="11"/>
      <c r="BI1542" s="1"/>
      <c r="BJ1542" s="2"/>
      <c r="BK1542" s="1"/>
      <c r="BL1542" s="1"/>
      <c r="BM1542" s="7"/>
      <c r="BN1542" s="7"/>
      <c r="BO1542" s="1"/>
      <c r="BP1542" s="11"/>
      <c r="BQ1542" s="11"/>
    </row>
    <row r="1543" spans="1:69" x14ac:dyDescent="0.3">
      <c r="A1543" s="7"/>
      <c r="B1543" s="11"/>
      <c r="C1543" s="11"/>
      <c r="D1543" s="11"/>
      <c r="E1543" s="45"/>
      <c r="F1543" s="40"/>
      <c r="G1543" s="11"/>
      <c r="K1543" s="40"/>
      <c r="N1543" s="11"/>
      <c r="O1543" s="11"/>
      <c r="P1543" s="11"/>
      <c r="Q1543" s="11"/>
      <c r="R1543" s="11"/>
      <c r="S1543" s="11"/>
      <c r="T1543" s="11"/>
      <c r="U1543" s="11"/>
      <c r="V1543" s="11"/>
      <c r="W1543" s="11"/>
      <c r="X1543" s="11"/>
      <c r="Y1543" s="11"/>
      <c r="Z1543" s="11"/>
      <c r="AA1543" s="11"/>
      <c r="AB1543" s="11"/>
      <c r="AC1543" s="11"/>
      <c r="AD1543" s="40"/>
      <c r="AE1543" s="11"/>
      <c r="AF1543" s="40"/>
      <c r="AI1543" s="11"/>
      <c r="AJ1543" s="11"/>
      <c r="AK1543" s="11"/>
      <c r="AL1543" s="11"/>
      <c r="AM1543" s="11"/>
      <c r="AN1543" s="11"/>
      <c r="AO1543" s="11"/>
      <c r="AY1543" s="11"/>
      <c r="BE1543" s="38"/>
      <c r="BF1543" s="38"/>
      <c r="BG1543" s="38"/>
      <c r="BH1543" s="11"/>
      <c r="BI1543" s="1"/>
      <c r="BJ1543" s="2"/>
      <c r="BK1543" s="1"/>
      <c r="BL1543" s="1"/>
      <c r="BM1543" s="7"/>
      <c r="BN1543" s="7"/>
      <c r="BO1543" s="1"/>
      <c r="BP1543" s="11"/>
      <c r="BQ1543" s="11"/>
    </row>
    <row r="1544" spans="1:69" x14ac:dyDescent="0.3">
      <c r="A1544" s="7"/>
      <c r="B1544" s="11"/>
      <c r="C1544" s="11"/>
      <c r="D1544" s="11"/>
      <c r="E1544" s="45"/>
      <c r="F1544" s="40"/>
      <c r="G1544" s="11"/>
      <c r="K1544" s="40"/>
      <c r="N1544" s="11"/>
      <c r="O1544" s="11"/>
      <c r="P1544" s="11"/>
      <c r="Q1544" s="11"/>
      <c r="R1544" s="11"/>
      <c r="S1544" s="11"/>
      <c r="T1544" s="11"/>
      <c r="U1544" s="11"/>
      <c r="V1544" s="11"/>
      <c r="W1544" s="11"/>
      <c r="X1544" s="11"/>
      <c r="Y1544" s="11"/>
      <c r="Z1544" s="11"/>
      <c r="AA1544" s="11"/>
      <c r="AB1544" s="11"/>
      <c r="AC1544" s="11"/>
      <c r="AD1544" s="40"/>
      <c r="AE1544" s="11"/>
      <c r="AF1544" s="40"/>
      <c r="AI1544" s="11"/>
      <c r="AJ1544" s="11"/>
      <c r="AK1544" s="11"/>
      <c r="AL1544" s="11"/>
      <c r="AM1544" s="11"/>
      <c r="AN1544" s="11"/>
      <c r="AO1544" s="11"/>
      <c r="AY1544" s="11"/>
      <c r="BE1544" s="38"/>
      <c r="BF1544" s="38"/>
      <c r="BG1544" s="38"/>
      <c r="BH1544" s="11"/>
      <c r="BI1544" s="1"/>
      <c r="BJ1544" s="2"/>
      <c r="BK1544" s="1"/>
      <c r="BL1544" s="1"/>
      <c r="BM1544" s="7"/>
      <c r="BN1544" s="7"/>
      <c r="BO1544" s="1"/>
      <c r="BP1544" s="11"/>
      <c r="BQ1544" s="11"/>
    </row>
    <row r="1545" spans="1:69" x14ac:dyDescent="0.3">
      <c r="A1545" s="7"/>
      <c r="B1545" s="11"/>
      <c r="C1545" s="11"/>
      <c r="D1545" s="11"/>
      <c r="E1545" s="45"/>
      <c r="F1545" s="40"/>
      <c r="G1545" s="11"/>
      <c r="K1545" s="40"/>
      <c r="N1545" s="11"/>
      <c r="O1545" s="11"/>
      <c r="P1545" s="11"/>
      <c r="Q1545" s="11"/>
      <c r="R1545" s="11"/>
      <c r="S1545" s="11"/>
      <c r="T1545" s="11"/>
      <c r="U1545" s="11"/>
      <c r="V1545" s="11"/>
      <c r="W1545" s="11"/>
      <c r="X1545" s="11"/>
      <c r="Y1545" s="11"/>
      <c r="Z1545" s="11"/>
      <c r="AA1545" s="11"/>
      <c r="AB1545" s="11"/>
      <c r="AC1545" s="11"/>
      <c r="AD1545" s="40"/>
      <c r="AE1545" s="11"/>
      <c r="AF1545" s="40"/>
      <c r="AI1545" s="11"/>
      <c r="AJ1545" s="11"/>
      <c r="AK1545" s="11"/>
      <c r="AL1545" s="11"/>
      <c r="AM1545" s="11"/>
      <c r="AN1545" s="11"/>
      <c r="AO1545" s="11"/>
      <c r="AY1545" s="11"/>
      <c r="BE1545" s="38"/>
      <c r="BF1545" s="38"/>
      <c r="BG1545" s="38"/>
      <c r="BH1545" s="11"/>
      <c r="BI1545" s="1"/>
      <c r="BJ1545" s="2"/>
      <c r="BK1545" s="1"/>
      <c r="BL1545" s="1"/>
      <c r="BM1545" s="7"/>
      <c r="BN1545" s="7"/>
      <c r="BO1545" s="1"/>
      <c r="BP1545" s="11"/>
      <c r="BQ1545" s="11"/>
    </row>
    <row r="1546" spans="1:69" x14ac:dyDescent="0.3">
      <c r="A1546" s="7"/>
      <c r="B1546" s="11"/>
      <c r="C1546" s="11"/>
      <c r="D1546" s="11"/>
      <c r="E1546" s="45"/>
      <c r="F1546" s="40"/>
      <c r="G1546" s="11"/>
      <c r="K1546" s="40"/>
      <c r="N1546" s="11"/>
      <c r="O1546" s="11"/>
      <c r="P1546" s="11"/>
      <c r="Q1546" s="11"/>
      <c r="R1546" s="11"/>
      <c r="S1546" s="11"/>
      <c r="T1546" s="11"/>
      <c r="U1546" s="11"/>
      <c r="V1546" s="11"/>
      <c r="W1546" s="11"/>
      <c r="X1546" s="11"/>
      <c r="Y1546" s="11"/>
      <c r="Z1546" s="11"/>
      <c r="AA1546" s="11"/>
      <c r="AB1546" s="11"/>
      <c r="AC1546" s="11"/>
      <c r="AD1546" s="40"/>
      <c r="AE1546" s="11"/>
      <c r="AF1546" s="40"/>
      <c r="AI1546" s="11"/>
      <c r="AJ1546" s="11"/>
      <c r="AK1546" s="11"/>
      <c r="AL1546" s="11"/>
      <c r="AM1546" s="11"/>
      <c r="AN1546" s="11"/>
      <c r="AO1546" s="11"/>
      <c r="AY1546" s="11"/>
      <c r="BE1546" s="38"/>
      <c r="BF1546" s="38"/>
      <c r="BG1546" s="38"/>
      <c r="BH1546" s="11"/>
      <c r="BI1546" s="1"/>
      <c r="BJ1546" s="2"/>
      <c r="BK1546" s="1"/>
      <c r="BL1546" s="1"/>
      <c r="BM1546" s="7"/>
      <c r="BN1546" s="7"/>
      <c r="BO1546" s="1"/>
      <c r="BP1546" s="11"/>
      <c r="BQ1546" s="11"/>
    </row>
    <row r="1547" spans="1:69" x14ac:dyDescent="0.3">
      <c r="A1547" s="7"/>
      <c r="B1547" s="11"/>
      <c r="C1547" s="11"/>
      <c r="D1547" s="11"/>
      <c r="E1547" s="45"/>
      <c r="F1547" s="40"/>
      <c r="G1547" s="11"/>
      <c r="K1547" s="40"/>
      <c r="N1547" s="11"/>
      <c r="O1547" s="11"/>
      <c r="P1547" s="11"/>
      <c r="Q1547" s="11"/>
      <c r="R1547" s="11"/>
      <c r="S1547" s="11"/>
      <c r="T1547" s="11"/>
      <c r="U1547" s="11"/>
      <c r="V1547" s="11"/>
      <c r="W1547" s="11"/>
      <c r="X1547" s="11"/>
      <c r="Y1547" s="11"/>
      <c r="Z1547" s="11"/>
      <c r="AA1547" s="11"/>
      <c r="AB1547" s="11"/>
      <c r="AC1547" s="11"/>
      <c r="AD1547" s="40"/>
      <c r="AE1547" s="11"/>
      <c r="AF1547" s="40"/>
      <c r="AI1547" s="11"/>
      <c r="AJ1547" s="11"/>
      <c r="AK1547" s="11"/>
      <c r="AL1547" s="11"/>
      <c r="AM1547" s="11"/>
      <c r="AN1547" s="11"/>
      <c r="AO1547" s="11"/>
      <c r="AY1547" s="11"/>
      <c r="BE1547" s="38"/>
      <c r="BF1547" s="38"/>
      <c r="BG1547" s="38"/>
      <c r="BH1547" s="11"/>
      <c r="BI1547" s="1"/>
      <c r="BJ1547" s="2"/>
      <c r="BK1547" s="1"/>
      <c r="BL1547" s="1"/>
      <c r="BM1547" s="7"/>
      <c r="BN1547" s="7"/>
      <c r="BO1547" s="1"/>
      <c r="BP1547" s="11"/>
      <c r="BQ1547" s="11"/>
    </row>
    <row r="1548" spans="1:69" x14ac:dyDescent="0.3">
      <c r="A1548" s="7"/>
      <c r="B1548" s="11"/>
      <c r="C1548" s="11"/>
      <c r="D1548" s="11"/>
      <c r="E1548" s="45"/>
      <c r="F1548" s="40"/>
      <c r="G1548" s="11"/>
      <c r="K1548" s="40"/>
      <c r="N1548" s="11"/>
      <c r="O1548" s="11"/>
      <c r="P1548" s="11"/>
      <c r="Q1548" s="11"/>
      <c r="R1548" s="11"/>
      <c r="S1548" s="11"/>
      <c r="T1548" s="11"/>
      <c r="U1548" s="11"/>
      <c r="V1548" s="11"/>
      <c r="W1548" s="11"/>
      <c r="X1548" s="11"/>
      <c r="Y1548" s="11"/>
      <c r="Z1548" s="11"/>
      <c r="AA1548" s="11"/>
      <c r="AB1548" s="11"/>
      <c r="AC1548" s="11"/>
      <c r="AD1548" s="40"/>
      <c r="AE1548" s="11"/>
      <c r="AF1548" s="40"/>
      <c r="AI1548" s="11"/>
      <c r="AJ1548" s="11"/>
      <c r="AK1548" s="11"/>
      <c r="AL1548" s="11"/>
      <c r="AM1548" s="11"/>
      <c r="AN1548" s="11"/>
      <c r="AO1548" s="11"/>
      <c r="AY1548" s="11"/>
      <c r="BE1548" s="38"/>
      <c r="BF1548" s="38"/>
      <c r="BG1548" s="38"/>
      <c r="BH1548" s="11"/>
      <c r="BI1548" s="1"/>
      <c r="BJ1548" s="2"/>
      <c r="BK1548" s="1"/>
      <c r="BL1548" s="1"/>
      <c r="BM1548" s="7"/>
      <c r="BN1548" s="7"/>
      <c r="BO1548" s="1"/>
      <c r="BP1548" s="11"/>
      <c r="BQ1548" s="11"/>
    </row>
    <row r="1549" spans="1:69" x14ac:dyDescent="0.3">
      <c r="A1549" s="7"/>
      <c r="B1549" s="11"/>
      <c r="C1549" s="11"/>
      <c r="D1549" s="11"/>
      <c r="E1549" s="45"/>
      <c r="F1549" s="40"/>
      <c r="G1549" s="11"/>
      <c r="K1549" s="40"/>
      <c r="N1549" s="11"/>
      <c r="O1549" s="11"/>
      <c r="P1549" s="11"/>
      <c r="Q1549" s="11"/>
      <c r="R1549" s="11"/>
      <c r="S1549" s="11"/>
      <c r="T1549" s="11"/>
      <c r="U1549" s="11"/>
      <c r="V1549" s="11"/>
      <c r="W1549" s="11"/>
      <c r="X1549" s="11"/>
      <c r="Y1549" s="11"/>
      <c r="Z1549" s="11"/>
      <c r="AA1549" s="11"/>
      <c r="AB1549" s="11"/>
      <c r="AC1549" s="11"/>
      <c r="AD1549" s="40"/>
      <c r="AE1549" s="11"/>
      <c r="AF1549" s="40"/>
      <c r="AI1549" s="11"/>
      <c r="AJ1549" s="11"/>
      <c r="AK1549" s="11"/>
      <c r="AL1549" s="11"/>
      <c r="AM1549" s="11"/>
      <c r="AN1549" s="11"/>
      <c r="AO1549" s="11"/>
      <c r="AY1549" s="11"/>
      <c r="BE1549" s="38"/>
      <c r="BF1549" s="38"/>
      <c r="BG1549" s="38"/>
      <c r="BH1549" s="11"/>
      <c r="BI1549" s="1"/>
      <c r="BJ1549" s="2"/>
      <c r="BK1549" s="1"/>
      <c r="BL1549" s="1"/>
      <c r="BM1549" s="7"/>
      <c r="BN1549" s="7"/>
      <c r="BO1549" s="1"/>
      <c r="BP1549" s="11"/>
      <c r="BQ1549" s="11"/>
    </row>
    <row r="1550" spans="1:69" x14ac:dyDescent="0.3">
      <c r="A1550" s="7"/>
      <c r="B1550" s="11"/>
      <c r="C1550" s="11"/>
      <c r="D1550" s="11"/>
      <c r="E1550" s="45"/>
      <c r="F1550" s="40"/>
      <c r="G1550" s="11"/>
      <c r="K1550" s="40"/>
      <c r="N1550" s="11"/>
      <c r="O1550" s="11"/>
      <c r="P1550" s="11"/>
      <c r="Q1550" s="11"/>
      <c r="R1550" s="11"/>
      <c r="S1550" s="11"/>
      <c r="T1550" s="11"/>
      <c r="U1550" s="11"/>
      <c r="V1550" s="11"/>
      <c r="W1550" s="11"/>
      <c r="X1550" s="11"/>
      <c r="Y1550" s="11"/>
      <c r="Z1550" s="11"/>
      <c r="AA1550" s="11"/>
      <c r="AB1550" s="11"/>
      <c r="AC1550" s="11"/>
      <c r="AD1550" s="40"/>
      <c r="AE1550" s="11"/>
      <c r="AF1550" s="40"/>
      <c r="AI1550" s="11"/>
      <c r="AJ1550" s="11"/>
      <c r="AK1550" s="11"/>
      <c r="AL1550" s="11"/>
      <c r="AM1550" s="11"/>
      <c r="AN1550" s="11"/>
      <c r="AO1550" s="11"/>
      <c r="AY1550" s="11"/>
      <c r="BE1550" s="38"/>
      <c r="BF1550" s="38"/>
      <c r="BG1550" s="38"/>
      <c r="BH1550" s="11"/>
      <c r="BI1550" s="1"/>
      <c r="BJ1550" s="2"/>
      <c r="BK1550" s="1"/>
      <c r="BL1550" s="1"/>
      <c r="BM1550" s="7"/>
      <c r="BN1550" s="7"/>
      <c r="BO1550" s="1"/>
      <c r="BP1550" s="11"/>
      <c r="BQ1550" s="11"/>
    </row>
    <row r="1551" spans="1:69" x14ac:dyDescent="0.3">
      <c r="A1551" s="7"/>
      <c r="B1551" s="11"/>
      <c r="C1551" s="11"/>
      <c r="D1551" s="11"/>
      <c r="E1551" s="45"/>
      <c r="F1551" s="40"/>
      <c r="G1551" s="11"/>
      <c r="K1551" s="40"/>
      <c r="N1551" s="11"/>
      <c r="O1551" s="11"/>
      <c r="P1551" s="11"/>
      <c r="Q1551" s="11"/>
      <c r="R1551" s="11"/>
      <c r="S1551" s="11"/>
      <c r="T1551" s="11"/>
      <c r="U1551" s="11"/>
      <c r="V1551" s="11"/>
      <c r="W1551" s="11"/>
      <c r="X1551" s="11"/>
      <c r="Y1551" s="11"/>
      <c r="Z1551" s="11"/>
      <c r="AA1551" s="11"/>
      <c r="AB1551" s="11"/>
      <c r="AC1551" s="11"/>
      <c r="AD1551" s="40"/>
      <c r="AE1551" s="11"/>
      <c r="AF1551" s="40"/>
      <c r="AI1551" s="11"/>
      <c r="AJ1551" s="11"/>
      <c r="AK1551" s="11"/>
      <c r="AL1551" s="11"/>
      <c r="AM1551" s="11"/>
      <c r="AN1551" s="11"/>
      <c r="AO1551" s="11"/>
      <c r="AY1551" s="11"/>
      <c r="BE1551" s="38"/>
      <c r="BF1551" s="38"/>
      <c r="BG1551" s="38"/>
      <c r="BH1551" s="11"/>
      <c r="BI1551" s="1"/>
      <c r="BJ1551" s="2"/>
      <c r="BK1551" s="1"/>
      <c r="BL1551" s="1"/>
      <c r="BM1551" s="7"/>
      <c r="BN1551" s="7"/>
      <c r="BO1551" s="1"/>
      <c r="BP1551" s="11"/>
      <c r="BQ1551" s="11"/>
    </row>
    <row r="1552" spans="1:69" x14ac:dyDescent="0.3">
      <c r="A1552" s="7"/>
      <c r="B1552" s="11"/>
      <c r="C1552" s="11"/>
      <c r="D1552" s="11"/>
      <c r="E1552" s="45"/>
      <c r="F1552" s="40"/>
      <c r="G1552" s="11"/>
      <c r="K1552" s="40"/>
      <c r="N1552" s="11"/>
      <c r="O1552" s="11"/>
      <c r="P1552" s="11"/>
      <c r="Q1552" s="11"/>
      <c r="R1552" s="11"/>
      <c r="S1552" s="11"/>
      <c r="T1552" s="11"/>
      <c r="U1552" s="11"/>
      <c r="V1552" s="11"/>
      <c r="W1552" s="11"/>
      <c r="X1552" s="11"/>
      <c r="Y1552" s="11"/>
      <c r="Z1552" s="11"/>
      <c r="AA1552" s="11"/>
      <c r="AB1552" s="11"/>
      <c r="AC1552" s="11"/>
      <c r="AD1552" s="40"/>
      <c r="AE1552" s="11"/>
      <c r="AF1552" s="40"/>
      <c r="AI1552" s="11"/>
      <c r="AJ1552" s="11"/>
      <c r="AK1552" s="11"/>
      <c r="AL1552" s="11"/>
      <c r="AM1552" s="11"/>
      <c r="AN1552" s="11"/>
      <c r="AO1552" s="11"/>
      <c r="AY1552" s="11"/>
      <c r="BE1552" s="38"/>
      <c r="BF1552" s="38"/>
      <c r="BG1552" s="38"/>
      <c r="BH1552" s="11"/>
      <c r="BI1552" s="1"/>
      <c r="BJ1552" s="2"/>
      <c r="BK1552" s="1"/>
      <c r="BL1552" s="1"/>
      <c r="BM1552" s="7"/>
      <c r="BN1552" s="7"/>
      <c r="BO1552" s="1"/>
      <c r="BP1552" s="11"/>
      <c r="BQ1552" s="11"/>
    </row>
    <row r="1553" spans="1:69" x14ac:dyDescent="0.3">
      <c r="A1553" s="7"/>
      <c r="B1553" s="11"/>
      <c r="C1553" s="11"/>
      <c r="D1553" s="11"/>
      <c r="E1553" s="45"/>
      <c r="F1553" s="40"/>
      <c r="G1553" s="11"/>
      <c r="K1553" s="40"/>
      <c r="N1553" s="11"/>
      <c r="O1553" s="11"/>
      <c r="P1553" s="11"/>
      <c r="Q1553" s="11"/>
      <c r="R1553" s="11"/>
      <c r="S1553" s="11"/>
      <c r="T1553" s="11"/>
      <c r="U1553" s="11"/>
      <c r="V1553" s="11"/>
      <c r="W1553" s="11"/>
      <c r="X1553" s="11"/>
      <c r="Y1553" s="11"/>
      <c r="Z1553" s="11"/>
      <c r="AA1553" s="11"/>
      <c r="AB1553" s="11"/>
      <c r="AC1553" s="11"/>
      <c r="AD1553" s="40"/>
      <c r="AE1553" s="11"/>
      <c r="AF1553" s="40"/>
      <c r="AI1553" s="11"/>
      <c r="AJ1553" s="11"/>
      <c r="AK1553" s="11"/>
      <c r="AL1553" s="11"/>
      <c r="AM1553" s="11"/>
      <c r="AN1553" s="11"/>
      <c r="AO1553" s="11"/>
      <c r="AY1553" s="11"/>
      <c r="BE1553" s="38"/>
      <c r="BF1553" s="38"/>
      <c r="BG1553" s="38"/>
      <c r="BH1553" s="11"/>
      <c r="BI1553" s="1"/>
      <c r="BJ1553" s="2"/>
      <c r="BK1553" s="1"/>
      <c r="BL1553" s="1"/>
      <c r="BM1553" s="7"/>
      <c r="BN1553" s="7"/>
      <c r="BO1553" s="1"/>
      <c r="BP1553" s="11"/>
      <c r="BQ1553" s="11"/>
    </row>
    <row r="1554" spans="1:69" x14ac:dyDescent="0.3">
      <c r="A1554" s="7"/>
      <c r="B1554" s="11"/>
      <c r="C1554" s="11"/>
      <c r="D1554" s="11"/>
      <c r="E1554" s="45"/>
      <c r="F1554" s="40"/>
      <c r="G1554" s="11"/>
      <c r="K1554" s="40"/>
      <c r="N1554" s="11"/>
      <c r="O1554" s="11"/>
      <c r="P1554" s="11"/>
      <c r="Q1554" s="11"/>
      <c r="R1554" s="11"/>
      <c r="S1554" s="11"/>
      <c r="T1554" s="11"/>
      <c r="U1554" s="11"/>
      <c r="V1554" s="11"/>
      <c r="W1554" s="11"/>
      <c r="X1554" s="11"/>
      <c r="Y1554" s="11"/>
      <c r="Z1554" s="11"/>
      <c r="AA1554" s="11"/>
      <c r="AB1554" s="11"/>
      <c r="AC1554" s="11"/>
      <c r="AD1554" s="40"/>
      <c r="AE1554" s="11"/>
      <c r="AF1554" s="40"/>
      <c r="AI1554" s="11"/>
      <c r="AJ1554" s="11"/>
      <c r="AK1554" s="11"/>
      <c r="AL1554" s="11"/>
      <c r="AM1554" s="11"/>
      <c r="AN1554" s="11"/>
      <c r="AO1554" s="11"/>
      <c r="AY1554" s="11"/>
      <c r="BE1554" s="38"/>
      <c r="BF1554" s="38"/>
      <c r="BG1554" s="38"/>
      <c r="BH1554" s="11"/>
      <c r="BI1554" s="1"/>
      <c r="BJ1554" s="2"/>
      <c r="BK1554" s="1"/>
      <c r="BL1554" s="1"/>
      <c r="BM1554" s="7"/>
      <c r="BN1554" s="7"/>
      <c r="BO1554" s="1"/>
      <c r="BP1554" s="11"/>
      <c r="BQ1554" s="11"/>
    </row>
    <row r="1555" spans="1:69" x14ac:dyDescent="0.3">
      <c r="A1555" s="7"/>
      <c r="B1555" s="11"/>
      <c r="C1555" s="11"/>
      <c r="D1555" s="11"/>
      <c r="E1555" s="45"/>
      <c r="F1555" s="40"/>
      <c r="G1555" s="11"/>
      <c r="K1555" s="40"/>
      <c r="N1555" s="11"/>
      <c r="O1555" s="11"/>
      <c r="P1555" s="11"/>
      <c r="Q1555" s="11"/>
      <c r="R1555" s="11"/>
      <c r="S1555" s="11"/>
      <c r="T1555" s="11"/>
      <c r="U1555" s="11"/>
      <c r="V1555" s="11"/>
      <c r="W1555" s="11"/>
      <c r="X1555" s="11"/>
      <c r="Y1555" s="11"/>
      <c r="Z1555" s="11"/>
      <c r="AA1555" s="11"/>
      <c r="AB1555" s="11"/>
      <c r="AC1555" s="11"/>
      <c r="AD1555" s="40"/>
      <c r="AE1555" s="11"/>
      <c r="AF1555" s="40"/>
      <c r="AI1555" s="11"/>
      <c r="AJ1555" s="11"/>
      <c r="AK1555" s="11"/>
      <c r="AL1555" s="11"/>
      <c r="AM1555" s="11"/>
      <c r="AN1555" s="11"/>
      <c r="AO1555" s="11"/>
      <c r="AY1555" s="11"/>
      <c r="BE1555" s="38"/>
      <c r="BF1555" s="38"/>
      <c r="BG1555" s="38"/>
      <c r="BH1555" s="11"/>
      <c r="BI1555" s="1"/>
      <c r="BJ1555" s="2"/>
      <c r="BK1555" s="1"/>
      <c r="BL1555" s="1"/>
      <c r="BM1555" s="7"/>
      <c r="BN1555" s="7"/>
      <c r="BO1555" s="1"/>
      <c r="BP1555" s="11"/>
      <c r="BQ1555" s="11"/>
    </row>
    <row r="1556" spans="1:69" x14ac:dyDescent="0.3">
      <c r="A1556" s="7"/>
      <c r="B1556" s="11"/>
      <c r="C1556" s="11"/>
      <c r="D1556" s="11"/>
      <c r="E1556" s="45"/>
      <c r="F1556" s="40"/>
      <c r="G1556" s="11"/>
      <c r="K1556" s="40"/>
      <c r="N1556" s="11"/>
      <c r="O1556" s="11"/>
      <c r="P1556" s="11"/>
      <c r="Q1556" s="11"/>
      <c r="R1556" s="11"/>
      <c r="S1556" s="11"/>
      <c r="T1556" s="11"/>
      <c r="U1556" s="11"/>
      <c r="V1556" s="11"/>
      <c r="W1556" s="11"/>
      <c r="X1556" s="11"/>
      <c r="Y1556" s="11"/>
      <c r="Z1556" s="11"/>
      <c r="AA1556" s="11"/>
      <c r="AB1556" s="11"/>
      <c r="AC1556" s="11"/>
      <c r="AD1556" s="40"/>
      <c r="AE1556" s="11"/>
      <c r="AF1556" s="40"/>
      <c r="AI1556" s="11"/>
      <c r="AJ1556" s="11"/>
      <c r="AK1556" s="11"/>
      <c r="AL1556" s="11"/>
      <c r="AM1556" s="11"/>
      <c r="AN1556" s="11"/>
      <c r="AO1556" s="11"/>
      <c r="AY1556" s="11"/>
      <c r="BE1556" s="38"/>
      <c r="BF1556" s="38"/>
      <c r="BG1556" s="38"/>
      <c r="BH1556" s="11"/>
      <c r="BI1556" s="1"/>
      <c r="BJ1556" s="2"/>
      <c r="BK1556" s="1"/>
      <c r="BL1556" s="1"/>
      <c r="BM1556" s="7"/>
      <c r="BN1556" s="7"/>
      <c r="BO1556" s="1"/>
      <c r="BP1556" s="11"/>
      <c r="BQ1556" s="11"/>
    </row>
    <row r="1557" spans="1:69" x14ac:dyDescent="0.3">
      <c r="A1557" s="7"/>
      <c r="B1557" s="11"/>
      <c r="C1557" s="11"/>
      <c r="D1557" s="11"/>
      <c r="E1557" s="45"/>
      <c r="F1557" s="40"/>
      <c r="G1557" s="11"/>
      <c r="K1557" s="40"/>
      <c r="N1557" s="11"/>
      <c r="O1557" s="11"/>
      <c r="P1557" s="11"/>
      <c r="Q1557" s="11"/>
      <c r="R1557" s="11"/>
      <c r="S1557" s="11"/>
      <c r="T1557" s="11"/>
      <c r="U1557" s="11"/>
      <c r="V1557" s="11"/>
      <c r="W1557" s="11"/>
      <c r="X1557" s="11"/>
      <c r="Y1557" s="11"/>
      <c r="Z1557" s="11"/>
      <c r="AA1557" s="11"/>
      <c r="AB1557" s="11"/>
      <c r="AC1557" s="11"/>
      <c r="AD1557" s="40"/>
      <c r="AE1557" s="11"/>
      <c r="AF1557" s="40"/>
      <c r="AI1557" s="11"/>
      <c r="AJ1557" s="11"/>
      <c r="AK1557" s="11"/>
      <c r="AL1557" s="11"/>
      <c r="AM1557" s="11"/>
      <c r="AN1557" s="11"/>
      <c r="AO1557" s="11"/>
      <c r="AY1557" s="11"/>
      <c r="BE1557" s="38"/>
      <c r="BF1557" s="38"/>
      <c r="BG1557" s="38"/>
      <c r="BH1557" s="11"/>
      <c r="BI1557" s="1"/>
      <c r="BJ1557" s="2"/>
      <c r="BK1557" s="1"/>
      <c r="BL1557" s="1"/>
      <c r="BM1557" s="7"/>
      <c r="BN1557" s="7"/>
      <c r="BO1557" s="1"/>
      <c r="BP1557" s="11"/>
      <c r="BQ1557" s="11"/>
    </row>
    <row r="1558" spans="1:69" x14ac:dyDescent="0.3">
      <c r="A1558" s="7"/>
      <c r="B1558" s="11"/>
      <c r="C1558" s="11"/>
      <c r="D1558" s="11"/>
      <c r="E1558" s="45"/>
      <c r="F1558" s="40"/>
      <c r="G1558" s="11"/>
      <c r="K1558" s="40"/>
      <c r="N1558" s="11"/>
      <c r="O1558" s="11"/>
      <c r="P1558" s="11"/>
      <c r="Q1558" s="11"/>
      <c r="R1558" s="11"/>
      <c r="S1558" s="11"/>
      <c r="T1558" s="11"/>
      <c r="U1558" s="11"/>
      <c r="V1558" s="11"/>
      <c r="W1558" s="11"/>
      <c r="X1558" s="11"/>
      <c r="Y1558" s="11"/>
      <c r="Z1558" s="11"/>
      <c r="AA1558" s="11"/>
      <c r="AB1558" s="11"/>
      <c r="AC1558" s="11"/>
      <c r="AD1558" s="40"/>
      <c r="AE1558" s="11"/>
      <c r="AF1558" s="40"/>
      <c r="AI1558" s="11"/>
      <c r="AJ1558" s="11"/>
      <c r="AK1558" s="11"/>
      <c r="AL1558" s="11"/>
      <c r="AM1558" s="11"/>
      <c r="AN1558" s="11"/>
      <c r="AO1558" s="11"/>
      <c r="AY1558" s="11"/>
      <c r="BE1558" s="38"/>
      <c r="BF1558" s="38"/>
      <c r="BG1558" s="38"/>
      <c r="BH1558" s="11"/>
      <c r="BI1558" s="1"/>
      <c r="BJ1558" s="2"/>
      <c r="BK1558" s="1"/>
      <c r="BL1558" s="1"/>
      <c r="BM1558" s="7"/>
      <c r="BN1558" s="7"/>
      <c r="BO1558" s="1"/>
      <c r="BP1558" s="11"/>
      <c r="BQ1558" s="11"/>
    </row>
    <row r="1559" spans="1:69" x14ac:dyDescent="0.3">
      <c r="A1559" s="7"/>
      <c r="B1559" s="11"/>
      <c r="C1559" s="11"/>
      <c r="D1559" s="11"/>
      <c r="E1559" s="45"/>
      <c r="F1559" s="40"/>
      <c r="G1559" s="11"/>
      <c r="K1559" s="40"/>
      <c r="N1559" s="11"/>
      <c r="O1559" s="11"/>
      <c r="P1559" s="11"/>
      <c r="Q1559" s="11"/>
      <c r="R1559" s="11"/>
      <c r="S1559" s="11"/>
      <c r="T1559" s="11"/>
      <c r="U1559" s="11"/>
      <c r="V1559" s="11"/>
      <c r="W1559" s="11"/>
      <c r="X1559" s="11"/>
      <c r="Y1559" s="11"/>
      <c r="Z1559" s="11"/>
      <c r="AA1559" s="11"/>
      <c r="AB1559" s="11"/>
      <c r="AC1559" s="11"/>
      <c r="AD1559" s="40"/>
      <c r="AE1559" s="11"/>
      <c r="AF1559" s="40"/>
      <c r="AI1559" s="11"/>
      <c r="AJ1559" s="11"/>
      <c r="AK1559" s="11"/>
      <c r="AL1559" s="11"/>
      <c r="AM1559" s="11"/>
      <c r="AN1559" s="11"/>
      <c r="AO1559" s="11"/>
      <c r="AY1559" s="11"/>
      <c r="BE1559" s="38"/>
      <c r="BF1559" s="38"/>
      <c r="BG1559" s="38"/>
      <c r="BH1559" s="11"/>
      <c r="BI1559" s="1"/>
      <c r="BJ1559" s="2"/>
      <c r="BK1559" s="1"/>
      <c r="BL1559" s="1"/>
      <c r="BM1559" s="7"/>
      <c r="BN1559" s="7"/>
      <c r="BO1559" s="1"/>
      <c r="BP1559" s="11"/>
      <c r="BQ1559" s="11"/>
    </row>
    <row r="1560" spans="1:69" x14ac:dyDescent="0.3">
      <c r="A1560" s="7"/>
      <c r="B1560" s="11"/>
      <c r="C1560" s="11"/>
      <c r="D1560" s="11"/>
      <c r="E1560" s="45"/>
      <c r="F1560" s="40"/>
      <c r="G1560" s="11"/>
      <c r="K1560" s="40"/>
      <c r="N1560" s="11"/>
      <c r="O1560" s="11"/>
      <c r="P1560" s="11"/>
      <c r="Q1560" s="11"/>
      <c r="R1560" s="11"/>
      <c r="S1560" s="11"/>
      <c r="T1560" s="11"/>
      <c r="U1560" s="11"/>
      <c r="V1560" s="11"/>
      <c r="W1560" s="11"/>
      <c r="X1560" s="11"/>
      <c r="Y1560" s="11"/>
      <c r="Z1560" s="11"/>
      <c r="AA1560" s="11"/>
      <c r="AB1560" s="11"/>
      <c r="AC1560" s="11"/>
      <c r="AD1560" s="40"/>
      <c r="AE1560" s="11"/>
      <c r="AF1560" s="40"/>
      <c r="AI1560" s="11"/>
      <c r="AJ1560" s="11"/>
      <c r="AK1560" s="11"/>
      <c r="AL1560" s="11"/>
      <c r="AM1560" s="11"/>
      <c r="AN1560" s="11"/>
      <c r="AO1560" s="11"/>
      <c r="AY1560" s="11"/>
      <c r="BE1560" s="38"/>
      <c r="BF1560" s="38"/>
      <c r="BG1560" s="38"/>
      <c r="BH1560" s="11"/>
      <c r="BI1560" s="1"/>
      <c r="BJ1560" s="2"/>
      <c r="BK1560" s="1"/>
      <c r="BL1560" s="1"/>
      <c r="BM1560" s="7"/>
      <c r="BN1560" s="7"/>
      <c r="BO1560" s="1"/>
      <c r="BP1560" s="11"/>
      <c r="BQ1560" s="11"/>
    </row>
    <row r="1561" spans="1:69" x14ac:dyDescent="0.3">
      <c r="A1561" s="7"/>
      <c r="B1561" s="11"/>
      <c r="C1561" s="11"/>
      <c r="D1561" s="11"/>
      <c r="E1561" s="45"/>
      <c r="F1561" s="40"/>
      <c r="G1561" s="11"/>
      <c r="K1561" s="40"/>
      <c r="N1561" s="11"/>
      <c r="O1561" s="11"/>
      <c r="P1561" s="11"/>
      <c r="Q1561" s="11"/>
      <c r="R1561" s="11"/>
      <c r="S1561" s="11"/>
      <c r="T1561" s="11"/>
      <c r="U1561" s="11"/>
      <c r="V1561" s="11"/>
      <c r="W1561" s="11"/>
      <c r="X1561" s="11"/>
      <c r="Y1561" s="11"/>
      <c r="Z1561" s="11"/>
      <c r="AA1561" s="11"/>
      <c r="AB1561" s="11"/>
      <c r="AC1561" s="11"/>
      <c r="AD1561" s="40"/>
      <c r="AE1561" s="11"/>
      <c r="AF1561" s="40"/>
      <c r="AI1561" s="11"/>
      <c r="AJ1561" s="11"/>
      <c r="AK1561" s="11"/>
      <c r="AL1561" s="11"/>
      <c r="AM1561" s="11"/>
      <c r="AN1561" s="11"/>
      <c r="AO1561" s="11"/>
      <c r="AY1561" s="11"/>
      <c r="BE1561" s="38"/>
      <c r="BF1561" s="38"/>
      <c r="BG1561" s="38"/>
      <c r="BH1561" s="11"/>
      <c r="BI1561" s="1"/>
      <c r="BJ1561" s="2"/>
      <c r="BK1561" s="1"/>
      <c r="BL1561" s="1"/>
      <c r="BM1561" s="7"/>
      <c r="BN1561" s="7"/>
      <c r="BO1561" s="1"/>
      <c r="BP1561" s="11"/>
      <c r="BQ1561" s="11"/>
    </row>
    <row r="1562" spans="1:69" x14ac:dyDescent="0.3">
      <c r="A1562" s="7"/>
      <c r="B1562" s="11"/>
      <c r="C1562" s="11"/>
      <c r="D1562" s="11"/>
      <c r="E1562" s="45"/>
      <c r="F1562" s="40"/>
      <c r="G1562" s="11"/>
      <c r="K1562" s="40"/>
      <c r="N1562" s="11"/>
      <c r="O1562" s="11"/>
      <c r="P1562" s="11"/>
      <c r="Q1562" s="11"/>
      <c r="R1562" s="11"/>
      <c r="S1562" s="11"/>
      <c r="T1562" s="11"/>
      <c r="U1562" s="11"/>
      <c r="V1562" s="11"/>
      <c r="W1562" s="11"/>
      <c r="X1562" s="11"/>
      <c r="Y1562" s="11"/>
      <c r="Z1562" s="11"/>
      <c r="AA1562" s="11"/>
      <c r="AB1562" s="11"/>
      <c r="AC1562" s="11"/>
      <c r="AD1562" s="40"/>
      <c r="AE1562" s="11"/>
      <c r="AF1562" s="40"/>
      <c r="AI1562" s="11"/>
      <c r="AJ1562" s="11"/>
      <c r="AK1562" s="11"/>
      <c r="AL1562" s="11"/>
      <c r="AM1562" s="11"/>
      <c r="AN1562" s="11"/>
      <c r="AO1562" s="11"/>
      <c r="AY1562" s="11"/>
      <c r="BE1562" s="38"/>
      <c r="BF1562" s="38"/>
      <c r="BG1562" s="38"/>
      <c r="BH1562" s="11"/>
      <c r="BI1562" s="1"/>
      <c r="BJ1562" s="2"/>
      <c r="BK1562" s="1"/>
      <c r="BL1562" s="1"/>
      <c r="BM1562" s="7"/>
      <c r="BN1562" s="7"/>
      <c r="BO1562" s="1"/>
      <c r="BP1562" s="11"/>
      <c r="BQ1562" s="11"/>
    </row>
    <row r="1563" spans="1:69" x14ac:dyDescent="0.3">
      <c r="A1563" s="7"/>
      <c r="B1563" s="11"/>
      <c r="C1563" s="11"/>
      <c r="D1563" s="11"/>
      <c r="E1563" s="45"/>
      <c r="F1563" s="40"/>
      <c r="G1563" s="11"/>
      <c r="K1563" s="40"/>
      <c r="N1563" s="11"/>
      <c r="O1563" s="11"/>
      <c r="P1563" s="11"/>
      <c r="Q1563" s="11"/>
      <c r="R1563" s="11"/>
      <c r="S1563" s="11"/>
      <c r="T1563" s="11"/>
      <c r="U1563" s="11"/>
      <c r="V1563" s="11"/>
      <c r="W1563" s="11"/>
      <c r="X1563" s="11"/>
      <c r="Y1563" s="11"/>
      <c r="Z1563" s="11"/>
      <c r="AA1563" s="11"/>
      <c r="AB1563" s="11"/>
      <c r="AC1563" s="11"/>
      <c r="AD1563" s="40"/>
      <c r="AE1563" s="11"/>
      <c r="AF1563" s="40"/>
      <c r="AI1563" s="11"/>
      <c r="AJ1563" s="11"/>
      <c r="AK1563" s="11"/>
      <c r="AL1563" s="11"/>
      <c r="AM1563" s="11"/>
      <c r="AN1563" s="11"/>
      <c r="AO1563" s="11"/>
      <c r="AY1563" s="11"/>
      <c r="BE1563" s="38"/>
      <c r="BF1563" s="38"/>
      <c r="BG1563" s="38"/>
      <c r="BH1563" s="11"/>
      <c r="BI1563" s="1"/>
      <c r="BJ1563" s="2"/>
      <c r="BK1563" s="1"/>
      <c r="BL1563" s="1"/>
      <c r="BM1563" s="7"/>
      <c r="BN1563" s="7"/>
      <c r="BO1563" s="1"/>
      <c r="BP1563" s="11"/>
      <c r="BQ1563" s="11"/>
    </row>
    <row r="1564" spans="1:69" x14ac:dyDescent="0.3">
      <c r="A1564" s="7"/>
      <c r="B1564" s="11"/>
      <c r="C1564" s="11"/>
      <c r="D1564" s="11"/>
      <c r="E1564" s="45"/>
      <c r="F1564" s="40"/>
      <c r="G1564" s="11"/>
      <c r="K1564" s="40"/>
      <c r="N1564" s="11"/>
      <c r="O1564" s="11"/>
      <c r="P1564" s="11"/>
      <c r="Q1564" s="11"/>
      <c r="R1564" s="11"/>
      <c r="S1564" s="11"/>
      <c r="T1564" s="11"/>
      <c r="U1564" s="11"/>
      <c r="V1564" s="11"/>
      <c r="W1564" s="11"/>
      <c r="X1564" s="11"/>
      <c r="Y1564" s="11"/>
      <c r="Z1564" s="11"/>
      <c r="AA1564" s="11"/>
      <c r="AB1564" s="11"/>
      <c r="AC1564" s="11"/>
      <c r="AD1564" s="40"/>
      <c r="AE1564" s="11"/>
      <c r="AF1564" s="40"/>
      <c r="AI1564" s="11"/>
      <c r="AJ1564" s="11"/>
      <c r="AK1564" s="11"/>
      <c r="AL1564" s="11"/>
      <c r="AM1564" s="11"/>
      <c r="AN1564" s="11"/>
      <c r="AO1564" s="11"/>
      <c r="AY1564" s="11"/>
      <c r="BE1564" s="38"/>
      <c r="BF1564" s="38"/>
      <c r="BG1564" s="38"/>
      <c r="BH1564" s="11"/>
      <c r="BI1564" s="1"/>
      <c r="BJ1564" s="2"/>
      <c r="BK1564" s="1"/>
      <c r="BL1564" s="1"/>
      <c r="BM1564" s="7"/>
      <c r="BN1564" s="7"/>
      <c r="BO1564" s="1"/>
      <c r="BP1564" s="11"/>
      <c r="BQ1564" s="11"/>
    </row>
    <row r="1565" spans="1:69" x14ac:dyDescent="0.3">
      <c r="A1565" s="7"/>
      <c r="B1565" s="11"/>
      <c r="C1565" s="11"/>
      <c r="D1565" s="11"/>
      <c r="E1565" s="45"/>
      <c r="F1565" s="40"/>
      <c r="G1565" s="11"/>
      <c r="K1565" s="40"/>
      <c r="N1565" s="11"/>
      <c r="O1565" s="11"/>
      <c r="P1565" s="11"/>
      <c r="Q1565" s="11"/>
      <c r="R1565" s="11"/>
      <c r="S1565" s="11"/>
      <c r="T1565" s="11"/>
      <c r="U1565" s="11"/>
      <c r="V1565" s="11"/>
      <c r="W1565" s="11"/>
      <c r="X1565" s="11"/>
      <c r="Y1565" s="11"/>
      <c r="Z1565" s="11"/>
      <c r="AA1565" s="11"/>
      <c r="AB1565" s="11"/>
      <c r="AC1565" s="11"/>
      <c r="AD1565" s="40"/>
      <c r="AE1565" s="11"/>
      <c r="AF1565" s="40"/>
      <c r="AI1565" s="11"/>
      <c r="AJ1565" s="11"/>
      <c r="AK1565" s="11"/>
      <c r="AL1565" s="11"/>
      <c r="AM1565" s="11"/>
      <c r="AN1565" s="11"/>
      <c r="AO1565" s="11"/>
      <c r="AY1565" s="11"/>
      <c r="BE1565" s="38"/>
      <c r="BF1565" s="38"/>
      <c r="BG1565" s="38"/>
      <c r="BH1565" s="11"/>
      <c r="BI1565" s="1"/>
      <c r="BJ1565" s="2"/>
      <c r="BK1565" s="1"/>
      <c r="BL1565" s="1"/>
      <c r="BM1565" s="7"/>
      <c r="BN1565" s="7"/>
      <c r="BO1565" s="1"/>
      <c r="BP1565" s="11"/>
      <c r="BQ1565" s="11"/>
    </row>
    <row r="1566" spans="1:69" x14ac:dyDescent="0.3">
      <c r="A1566" s="7"/>
      <c r="B1566" s="11"/>
      <c r="C1566" s="11"/>
      <c r="D1566" s="11"/>
      <c r="E1566" s="45"/>
      <c r="F1566" s="40"/>
      <c r="G1566" s="11"/>
      <c r="K1566" s="40"/>
      <c r="N1566" s="11"/>
      <c r="O1566" s="11"/>
      <c r="P1566" s="11"/>
      <c r="Q1566" s="11"/>
      <c r="R1566" s="11"/>
      <c r="S1566" s="11"/>
      <c r="T1566" s="11"/>
      <c r="U1566" s="11"/>
      <c r="V1566" s="11"/>
      <c r="W1566" s="11"/>
      <c r="X1566" s="11"/>
      <c r="Y1566" s="11"/>
      <c r="Z1566" s="11"/>
      <c r="AA1566" s="11"/>
      <c r="AB1566" s="11"/>
      <c r="AC1566" s="11"/>
      <c r="AD1566" s="40"/>
      <c r="AE1566" s="11"/>
      <c r="AF1566" s="40"/>
      <c r="AI1566" s="11"/>
      <c r="AJ1566" s="11"/>
      <c r="AK1566" s="11"/>
      <c r="AL1566" s="11"/>
      <c r="AM1566" s="11"/>
      <c r="AN1566" s="11"/>
      <c r="AO1566" s="11"/>
      <c r="AY1566" s="11"/>
      <c r="BE1566" s="38"/>
      <c r="BF1566" s="38"/>
      <c r="BG1566" s="38"/>
      <c r="BH1566" s="11"/>
      <c r="BI1566" s="1"/>
      <c r="BJ1566" s="2"/>
      <c r="BK1566" s="1"/>
      <c r="BL1566" s="1"/>
      <c r="BM1566" s="7"/>
      <c r="BN1566" s="7"/>
      <c r="BO1566" s="1"/>
      <c r="BP1566" s="11"/>
      <c r="BQ1566" s="11"/>
    </row>
    <row r="1567" spans="1:69" x14ac:dyDescent="0.3">
      <c r="A1567" s="7"/>
      <c r="B1567" s="11"/>
      <c r="C1567" s="11"/>
      <c r="D1567" s="11"/>
      <c r="E1567" s="45"/>
      <c r="F1567" s="40"/>
      <c r="G1567" s="11"/>
      <c r="K1567" s="40"/>
      <c r="N1567" s="11"/>
      <c r="O1567" s="11"/>
      <c r="P1567" s="11"/>
      <c r="Q1567" s="11"/>
      <c r="R1567" s="11"/>
      <c r="S1567" s="11"/>
      <c r="T1567" s="11"/>
      <c r="U1567" s="11"/>
      <c r="V1567" s="11"/>
      <c r="W1567" s="11"/>
      <c r="X1567" s="11"/>
      <c r="Y1567" s="11"/>
      <c r="Z1567" s="11"/>
      <c r="AA1567" s="11"/>
      <c r="AB1567" s="11"/>
      <c r="AC1567" s="11"/>
      <c r="AD1567" s="40"/>
      <c r="AE1567" s="11"/>
      <c r="AF1567" s="40"/>
      <c r="AI1567" s="11"/>
      <c r="AJ1567" s="11"/>
      <c r="AK1567" s="11"/>
      <c r="AL1567" s="11"/>
      <c r="AM1567" s="11"/>
      <c r="AN1567" s="11"/>
      <c r="AO1567" s="11"/>
      <c r="AY1567" s="11"/>
      <c r="BE1567" s="38"/>
      <c r="BF1567" s="38"/>
      <c r="BG1567" s="38"/>
      <c r="BH1567" s="11"/>
      <c r="BI1567" s="1"/>
      <c r="BJ1567" s="2"/>
      <c r="BK1567" s="1"/>
      <c r="BL1567" s="1"/>
      <c r="BM1567" s="7"/>
      <c r="BN1567" s="7"/>
      <c r="BO1567" s="1"/>
      <c r="BP1567" s="11"/>
      <c r="BQ1567" s="11"/>
    </row>
    <row r="1568" spans="1:69" x14ac:dyDescent="0.3">
      <c r="A1568" s="7"/>
      <c r="B1568" s="11"/>
      <c r="C1568" s="11"/>
      <c r="D1568" s="11"/>
      <c r="E1568" s="45"/>
      <c r="F1568" s="40"/>
      <c r="G1568" s="11"/>
      <c r="K1568" s="40"/>
      <c r="N1568" s="11"/>
      <c r="O1568" s="11"/>
      <c r="P1568" s="11"/>
      <c r="Q1568" s="11"/>
      <c r="R1568" s="11"/>
      <c r="S1568" s="11"/>
      <c r="T1568" s="11"/>
      <c r="U1568" s="11"/>
      <c r="V1568" s="11"/>
      <c r="W1568" s="11"/>
      <c r="X1568" s="11"/>
      <c r="Y1568" s="11"/>
      <c r="Z1568" s="11"/>
      <c r="AA1568" s="11"/>
      <c r="AB1568" s="11"/>
      <c r="AC1568" s="11"/>
      <c r="AD1568" s="40"/>
      <c r="AE1568" s="11"/>
      <c r="AF1568" s="40"/>
      <c r="AI1568" s="11"/>
      <c r="AJ1568" s="11"/>
      <c r="AK1568" s="11"/>
      <c r="AL1568" s="11"/>
      <c r="AM1568" s="11"/>
      <c r="AN1568" s="11"/>
      <c r="AO1568" s="11"/>
      <c r="AY1568" s="11"/>
      <c r="BE1568" s="38"/>
      <c r="BF1568" s="38"/>
      <c r="BG1568" s="38"/>
      <c r="BH1568" s="11"/>
      <c r="BI1568" s="1"/>
      <c r="BJ1568" s="2"/>
      <c r="BK1568" s="1"/>
      <c r="BL1568" s="1"/>
      <c r="BM1568" s="7"/>
      <c r="BN1568" s="7"/>
      <c r="BO1568" s="1"/>
      <c r="BP1568" s="11"/>
      <c r="BQ1568" s="11"/>
    </row>
    <row r="1569" spans="1:69" x14ac:dyDescent="0.3">
      <c r="A1569" s="7"/>
      <c r="B1569" s="11"/>
      <c r="C1569" s="11"/>
      <c r="D1569" s="11"/>
      <c r="E1569" s="45"/>
      <c r="F1569" s="40"/>
      <c r="G1569" s="11"/>
      <c r="K1569" s="40"/>
      <c r="N1569" s="11"/>
      <c r="O1569" s="11"/>
      <c r="P1569" s="11"/>
      <c r="Q1569" s="11"/>
      <c r="R1569" s="11"/>
      <c r="S1569" s="11"/>
      <c r="T1569" s="11"/>
      <c r="U1569" s="11"/>
      <c r="V1569" s="11"/>
      <c r="W1569" s="11"/>
      <c r="X1569" s="11"/>
      <c r="Y1569" s="11"/>
      <c r="Z1569" s="11"/>
      <c r="AA1569" s="11"/>
      <c r="AB1569" s="11"/>
      <c r="AC1569" s="11"/>
      <c r="AD1569" s="40"/>
      <c r="AE1569" s="11"/>
      <c r="AF1569" s="40"/>
      <c r="AI1569" s="11"/>
      <c r="AJ1569" s="11"/>
      <c r="AK1569" s="11"/>
      <c r="AL1569" s="11"/>
      <c r="AM1569" s="11"/>
      <c r="AN1569" s="11"/>
      <c r="AO1569" s="11"/>
      <c r="AY1569" s="11"/>
      <c r="BE1569" s="38"/>
      <c r="BF1569" s="38"/>
      <c r="BG1569" s="38"/>
      <c r="BH1569" s="11"/>
      <c r="BI1569" s="1"/>
      <c r="BJ1569" s="2"/>
      <c r="BK1569" s="1"/>
      <c r="BL1569" s="1"/>
      <c r="BM1569" s="7"/>
      <c r="BN1569" s="7"/>
      <c r="BO1569" s="1"/>
      <c r="BP1569" s="11"/>
      <c r="BQ1569" s="11"/>
    </row>
    <row r="1570" spans="1:69" x14ac:dyDescent="0.3">
      <c r="A1570" s="7"/>
      <c r="B1570" s="11"/>
      <c r="C1570" s="11"/>
      <c r="D1570" s="11"/>
      <c r="E1570" s="45"/>
      <c r="F1570" s="40"/>
      <c r="G1570" s="11"/>
      <c r="K1570" s="40"/>
      <c r="N1570" s="11"/>
      <c r="O1570" s="11"/>
      <c r="P1570" s="11"/>
      <c r="Q1570" s="11"/>
      <c r="R1570" s="11"/>
      <c r="S1570" s="11"/>
      <c r="T1570" s="11"/>
      <c r="U1570" s="11"/>
      <c r="V1570" s="11"/>
      <c r="W1570" s="11"/>
      <c r="X1570" s="11"/>
      <c r="Y1570" s="11"/>
      <c r="Z1570" s="11"/>
      <c r="AA1570" s="11"/>
      <c r="AB1570" s="11"/>
      <c r="AC1570" s="11"/>
      <c r="AD1570" s="40"/>
      <c r="AE1570" s="11"/>
      <c r="AF1570" s="40"/>
      <c r="AI1570" s="11"/>
      <c r="AJ1570" s="11"/>
      <c r="AK1570" s="11"/>
      <c r="AL1570" s="11"/>
      <c r="AM1570" s="11"/>
      <c r="AN1570" s="11"/>
      <c r="AO1570" s="11"/>
      <c r="AY1570" s="11"/>
      <c r="BE1570" s="38"/>
      <c r="BF1570" s="38"/>
      <c r="BG1570" s="38"/>
      <c r="BH1570" s="11"/>
      <c r="BI1570" s="1"/>
      <c r="BJ1570" s="2"/>
      <c r="BK1570" s="1"/>
      <c r="BL1570" s="1"/>
      <c r="BM1570" s="7"/>
      <c r="BN1570" s="7"/>
      <c r="BO1570" s="1"/>
      <c r="BP1570" s="11"/>
      <c r="BQ1570" s="11"/>
    </row>
    <row r="1571" spans="1:69" x14ac:dyDescent="0.3">
      <c r="A1571" s="7"/>
      <c r="B1571" s="11"/>
      <c r="C1571" s="11"/>
      <c r="D1571" s="11"/>
      <c r="E1571" s="45"/>
      <c r="F1571" s="40"/>
      <c r="G1571" s="11"/>
      <c r="K1571" s="40"/>
      <c r="N1571" s="11"/>
      <c r="O1571" s="11"/>
      <c r="P1571" s="11"/>
      <c r="Q1571" s="11"/>
      <c r="R1571" s="11"/>
      <c r="S1571" s="11"/>
      <c r="T1571" s="11"/>
      <c r="U1571" s="11"/>
      <c r="V1571" s="11"/>
      <c r="W1571" s="11"/>
      <c r="X1571" s="11"/>
      <c r="Y1571" s="11"/>
      <c r="Z1571" s="11"/>
      <c r="AA1571" s="11"/>
      <c r="AB1571" s="11"/>
      <c r="AC1571" s="11"/>
      <c r="AD1571" s="40"/>
      <c r="AE1571" s="11"/>
      <c r="AF1571" s="40"/>
      <c r="AI1571" s="11"/>
      <c r="AJ1571" s="11"/>
      <c r="AK1571" s="11"/>
      <c r="AL1571" s="11"/>
      <c r="AM1571" s="11"/>
      <c r="AN1571" s="11"/>
      <c r="AO1571" s="11"/>
      <c r="AY1571" s="11"/>
      <c r="BE1571" s="38"/>
      <c r="BF1571" s="38"/>
      <c r="BG1571" s="38"/>
      <c r="BH1571" s="11"/>
      <c r="BI1571" s="1"/>
      <c r="BJ1571" s="2"/>
      <c r="BK1571" s="1"/>
      <c r="BL1571" s="1"/>
      <c r="BM1571" s="7"/>
      <c r="BN1571" s="7"/>
      <c r="BO1571" s="1"/>
      <c r="BP1571" s="11"/>
      <c r="BQ1571" s="11"/>
    </row>
    <row r="1572" spans="1:69" x14ac:dyDescent="0.3">
      <c r="A1572" s="7"/>
      <c r="B1572" s="11"/>
      <c r="C1572" s="11"/>
      <c r="D1572" s="11"/>
      <c r="E1572" s="45"/>
      <c r="F1572" s="40"/>
      <c r="G1572" s="11"/>
      <c r="K1572" s="40"/>
      <c r="N1572" s="11"/>
      <c r="O1572" s="11"/>
      <c r="P1572" s="11"/>
      <c r="Q1572" s="11"/>
      <c r="R1572" s="11"/>
      <c r="S1572" s="11"/>
      <c r="T1572" s="11"/>
      <c r="U1572" s="11"/>
      <c r="V1572" s="11"/>
      <c r="W1572" s="11"/>
      <c r="X1572" s="11"/>
      <c r="Y1572" s="11"/>
      <c r="Z1572" s="11"/>
      <c r="AA1572" s="11"/>
      <c r="AB1572" s="11"/>
      <c r="AC1572" s="11"/>
      <c r="AD1572" s="40"/>
      <c r="AE1572" s="11"/>
      <c r="AF1572" s="40"/>
      <c r="AI1572" s="11"/>
      <c r="AJ1572" s="11"/>
      <c r="AK1572" s="11"/>
      <c r="AL1572" s="11"/>
      <c r="AM1572" s="11"/>
      <c r="AN1572" s="11"/>
      <c r="AO1572" s="11"/>
      <c r="AY1572" s="11"/>
      <c r="BE1572" s="38"/>
      <c r="BF1572" s="38"/>
      <c r="BG1572" s="38"/>
      <c r="BH1572" s="11"/>
      <c r="BI1572" s="1"/>
      <c r="BJ1572" s="2"/>
      <c r="BK1572" s="1"/>
      <c r="BL1572" s="1"/>
      <c r="BM1572" s="7"/>
      <c r="BN1572" s="7"/>
      <c r="BO1572" s="1"/>
      <c r="BP1572" s="11"/>
      <c r="BQ1572" s="11"/>
    </row>
    <row r="1573" spans="1:69" x14ac:dyDescent="0.3">
      <c r="A1573" s="7"/>
      <c r="B1573" s="11"/>
      <c r="C1573" s="11"/>
      <c r="D1573" s="11"/>
      <c r="E1573" s="45"/>
      <c r="F1573" s="40"/>
      <c r="G1573" s="11"/>
      <c r="K1573" s="40"/>
      <c r="N1573" s="11"/>
      <c r="O1573" s="11"/>
      <c r="P1573" s="11"/>
      <c r="Q1573" s="11"/>
      <c r="R1573" s="11"/>
      <c r="S1573" s="11"/>
      <c r="T1573" s="11"/>
      <c r="U1573" s="11"/>
      <c r="V1573" s="11"/>
      <c r="W1573" s="11"/>
      <c r="X1573" s="11"/>
      <c r="Y1573" s="11"/>
      <c r="Z1573" s="11"/>
      <c r="AA1573" s="11"/>
      <c r="AB1573" s="11"/>
      <c r="AC1573" s="11"/>
      <c r="AD1573" s="40"/>
      <c r="AE1573" s="11"/>
      <c r="AF1573" s="40"/>
      <c r="AI1573" s="11"/>
      <c r="AJ1573" s="11"/>
      <c r="AK1573" s="11"/>
      <c r="AL1573" s="11"/>
      <c r="AM1573" s="11"/>
      <c r="AN1573" s="11"/>
      <c r="AO1573" s="11"/>
      <c r="AY1573" s="11"/>
      <c r="BE1573" s="38"/>
      <c r="BF1573" s="38"/>
      <c r="BG1573" s="38"/>
      <c r="BH1573" s="11"/>
      <c r="BI1573" s="1"/>
      <c r="BJ1573" s="2"/>
      <c r="BK1573" s="1"/>
      <c r="BL1573" s="1"/>
      <c r="BM1573" s="7"/>
      <c r="BN1573" s="7"/>
      <c r="BO1573" s="1"/>
      <c r="BP1573" s="11"/>
      <c r="BQ1573" s="11"/>
    </row>
    <row r="1574" spans="1:69" x14ac:dyDescent="0.3">
      <c r="A1574" s="7"/>
      <c r="B1574" s="11"/>
      <c r="C1574" s="11"/>
      <c r="D1574" s="11"/>
      <c r="E1574" s="45"/>
      <c r="F1574" s="40"/>
      <c r="G1574" s="11"/>
      <c r="K1574" s="40"/>
      <c r="N1574" s="11"/>
      <c r="O1574" s="11"/>
      <c r="P1574" s="11"/>
      <c r="Q1574" s="11"/>
      <c r="R1574" s="11"/>
      <c r="S1574" s="11"/>
      <c r="T1574" s="11"/>
      <c r="U1574" s="11"/>
      <c r="V1574" s="11"/>
      <c r="W1574" s="11"/>
      <c r="X1574" s="11"/>
      <c r="Y1574" s="11"/>
      <c r="Z1574" s="11"/>
      <c r="AA1574" s="11"/>
      <c r="AB1574" s="11"/>
      <c r="AC1574" s="11"/>
      <c r="AD1574" s="40"/>
      <c r="AE1574" s="11"/>
      <c r="AF1574" s="40"/>
      <c r="AI1574" s="11"/>
      <c r="AJ1574" s="11"/>
      <c r="AK1574" s="11"/>
      <c r="AL1574" s="11"/>
      <c r="AM1574" s="11"/>
      <c r="AN1574" s="11"/>
      <c r="AO1574" s="11"/>
      <c r="AY1574" s="11"/>
      <c r="BE1574" s="38"/>
      <c r="BF1574" s="38"/>
      <c r="BG1574" s="38"/>
      <c r="BH1574" s="11"/>
      <c r="BI1574" s="1"/>
      <c r="BJ1574" s="2"/>
      <c r="BK1574" s="1"/>
      <c r="BL1574" s="1"/>
      <c r="BM1574" s="7"/>
      <c r="BN1574" s="7"/>
      <c r="BO1574" s="1"/>
      <c r="BP1574" s="11"/>
      <c r="BQ1574" s="11"/>
    </row>
    <row r="1575" spans="1:69" x14ac:dyDescent="0.3">
      <c r="A1575" s="7"/>
      <c r="B1575" s="11"/>
      <c r="C1575" s="11"/>
      <c r="D1575" s="11"/>
      <c r="E1575" s="45"/>
      <c r="F1575" s="40"/>
      <c r="G1575" s="11"/>
      <c r="K1575" s="40"/>
      <c r="N1575" s="11"/>
      <c r="O1575" s="11"/>
      <c r="P1575" s="11"/>
      <c r="Q1575" s="11"/>
      <c r="R1575" s="11"/>
      <c r="S1575" s="11"/>
      <c r="T1575" s="11"/>
      <c r="U1575" s="11"/>
      <c r="V1575" s="11"/>
      <c r="W1575" s="11"/>
      <c r="X1575" s="11"/>
      <c r="Y1575" s="11"/>
      <c r="Z1575" s="11"/>
      <c r="AA1575" s="11"/>
      <c r="AB1575" s="11"/>
      <c r="AC1575" s="11"/>
      <c r="AD1575" s="40"/>
      <c r="AE1575" s="11"/>
      <c r="AF1575" s="40"/>
      <c r="AI1575" s="11"/>
      <c r="AJ1575" s="11"/>
      <c r="AK1575" s="11"/>
      <c r="AL1575" s="11"/>
      <c r="AM1575" s="11"/>
      <c r="AN1575" s="11"/>
      <c r="AO1575" s="11"/>
      <c r="AY1575" s="11"/>
      <c r="BE1575" s="38"/>
      <c r="BF1575" s="38"/>
      <c r="BG1575" s="38"/>
      <c r="BH1575" s="11"/>
      <c r="BI1575" s="1"/>
      <c r="BJ1575" s="2"/>
      <c r="BK1575" s="1"/>
      <c r="BL1575" s="1"/>
      <c r="BM1575" s="7"/>
      <c r="BN1575" s="7"/>
      <c r="BO1575" s="1"/>
      <c r="BP1575" s="11"/>
      <c r="BQ1575" s="11"/>
    </row>
    <row r="1576" spans="1:69" x14ac:dyDescent="0.3">
      <c r="A1576" s="7"/>
      <c r="B1576" s="11"/>
      <c r="C1576" s="11"/>
      <c r="D1576" s="11"/>
      <c r="E1576" s="45"/>
      <c r="F1576" s="40"/>
      <c r="G1576" s="11"/>
      <c r="K1576" s="40"/>
      <c r="N1576" s="11"/>
      <c r="O1576" s="11"/>
      <c r="P1576" s="11"/>
      <c r="Q1576" s="11"/>
      <c r="R1576" s="11"/>
      <c r="S1576" s="11"/>
      <c r="T1576" s="11"/>
      <c r="U1576" s="11"/>
      <c r="V1576" s="11"/>
      <c r="W1576" s="11"/>
      <c r="X1576" s="11"/>
      <c r="Y1576" s="11"/>
      <c r="Z1576" s="11"/>
      <c r="AA1576" s="11"/>
      <c r="AB1576" s="11"/>
      <c r="AC1576" s="11"/>
      <c r="AD1576" s="40"/>
      <c r="AE1576" s="11"/>
      <c r="AF1576" s="40"/>
      <c r="AI1576" s="11"/>
      <c r="AJ1576" s="11"/>
      <c r="AK1576" s="11"/>
      <c r="AL1576" s="11"/>
      <c r="AM1576" s="11"/>
      <c r="AN1576" s="11"/>
      <c r="AO1576" s="11"/>
      <c r="AY1576" s="11"/>
      <c r="BE1576" s="38"/>
      <c r="BF1576" s="38"/>
      <c r="BG1576" s="38"/>
      <c r="BH1576" s="11"/>
      <c r="BI1576" s="1"/>
      <c r="BJ1576" s="2"/>
      <c r="BK1576" s="1"/>
      <c r="BL1576" s="1"/>
      <c r="BM1576" s="7"/>
      <c r="BN1576" s="7"/>
      <c r="BO1576" s="1"/>
      <c r="BP1576" s="11"/>
      <c r="BQ1576" s="11"/>
    </row>
    <row r="1577" spans="1:69" x14ac:dyDescent="0.3">
      <c r="A1577" s="7"/>
      <c r="B1577" s="11"/>
      <c r="C1577" s="11"/>
      <c r="D1577" s="11"/>
      <c r="E1577" s="45"/>
      <c r="F1577" s="40"/>
      <c r="G1577" s="11"/>
      <c r="K1577" s="40"/>
      <c r="N1577" s="11"/>
      <c r="O1577" s="11"/>
      <c r="P1577" s="11"/>
      <c r="Q1577" s="11"/>
      <c r="R1577" s="11"/>
      <c r="S1577" s="11"/>
      <c r="T1577" s="11"/>
      <c r="U1577" s="11"/>
      <c r="V1577" s="11"/>
      <c r="W1577" s="11"/>
      <c r="X1577" s="11"/>
      <c r="Y1577" s="11"/>
      <c r="Z1577" s="11"/>
      <c r="AA1577" s="11"/>
      <c r="AB1577" s="11"/>
      <c r="AC1577" s="11"/>
      <c r="AD1577" s="40"/>
      <c r="AE1577" s="11"/>
      <c r="AF1577" s="40"/>
      <c r="AI1577" s="11"/>
      <c r="AJ1577" s="11"/>
      <c r="AK1577" s="11"/>
      <c r="AL1577" s="11"/>
      <c r="AM1577" s="11"/>
      <c r="AN1577" s="11"/>
      <c r="AO1577" s="11"/>
      <c r="AY1577" s="11"/>
      <c r="BE1577" s="38"/>
      <c r="BF1577" s="38"/>
      <c r="BG1577" s="38"/>
      <c r="BH1577" s="11"/>
      <c r="BI1577" s="1"/>
      <c r="BJ1577" s="2"/>
      <c r="BK1577" s="1"/>
      <c r="BL1577" s="1"/>
      <c r="BM1577" s="7"/>
      <c r="BN1577" s="7"/>
      <c r="BO1577" s="1"/>
      <c r="BP1577" s="11"/>
      <c r="BQ1577" s="11"/>
    </row>
    <row r="1578" spans="1:69" x14ac:dyDescent="0.3">
      <c r="A1578" s="7"/>
      <c r="B1578" s="11"/>
      <c r="C1578" s="11"/>
      <c r="D1578" s="11"/>
      <c r="E1578" s="45"/>
      <c r="F1578" s="40"/>
      <c r="G1578" s="11"/>
      <c r="K1578" s="40"/>
      <c r="N1578" s="11"/>
      <c r="O1578" s="11"/>
      <c r="P1578" s="11"/>
      <c r="Q1578" s="11"/>
      <c r="R1578" s="11"/>
      <c r="S1578" s="11"/>
      <c r="T1578" s="11"/>
      <c r="U1578" s="11"/>
      <c r="V1578" s="11"/>
      <c r="W1578" s="11"/>
      <c r="X1578" s="11"/>
      <c r="Y1578" s="11"/>
      <c r="Z1578" s="11"/>
      <c r="AA1578" s="11"/>
      <c r="AB1578" s="11"/>
      <c r="AC1578" s="11"/>
      <c r="AD1578" s="40"/>
      <c r="AE1578" s="11"/>
      <c r="AF1578" s="40"/>
      <c r="AI1578" s="11"/>
      <c r="AJ1578" s="11"/>
      <c r="AK1578" s="11"/>
      <c r="AL1578" s="11"/>
      <c r="AM1578" s="11"/>
      <c r="AN1578" s="11"/>
      <c r="AO1578" s="11"/>
      <c r="AY1578" s="11"/>
      <c r="BE1578" s="38"/>
      <c r="BF1578" s="38"/>
      <c r="BG1578" s="38"/>
      <c r="BH1578" s="11"/>
      <c r="BI1578" s="1"/>
      <c r="BJ1578" s="2"/>
      <c r="BK1578" s="1"/>
      <c r="BL1578" s="1"/>
      <c r="BM1578" s="7"/>
      <c r="BN1578" s="7"/>
      <c r="BO1578" s="1"/>
      <c r="BP1578" s="11"/>
      <c r="BQ1578" s="11"/>
    </row>
    <row r="1579" spans="1:69" x14ac:dyDescent="0.3">
      <c r="A1579" s="7"/>
      <c r="B1579" s="11"/>
      <c r="C1579" s="11"/>
      <c r="D1579" s="11"/>
      <c r="E1579" s="45"/>
      <c r="F1579" s="40"/>
      <c r="G1579" s="11"/>
      <c r="K1579" s="40"/>
      <c r="N1579" s="11"/>
      <c r="O1579" s="11"/>
      <c r="P1579" s="11"/>
      <c r="Q1579" s="11"/>
      <c r="R1579" s="11"/>
      <c r="S1579" s="11"/>
      <c r="T1579" s="11"/>
      <c r="U1579" s="11"/>
      <c r="V1579" s="11"/>
      <c r="W1579" s="11"/>
      <c r="X1579" s="11"/>
      <c r="Y1579" s="11"/>
      <c r="Z1579" s="11"/>
      <c r="AA1579" s="11"/>
      <c r="AB1579" s="11"/>
      <c r="AC1579" s="11"/>
      <c r="AD1579" s="40"/>
      <c r="AE1579" s="11"/>
      <c r="AF1579" s="40"/>
      <c r="AI1579" s="11"/>
      <c r="AJ1579" s="11"/>
      <c r="AK1579" s="11"/>
      <c r="AL1579" s="11"/>
      <c r="AM1579" s="11"/>
      <c r="AN1579" s="11"/>
      <c r="AO1579" s="11"/>
      <c r="AY1579" s="11"/>
      <c r="BE1579" s="38"/>
      <c r="BF1579" s="38"/>
      <c r="BG1579" s="38"/>
      <c r="BH1579" s="11"/>
      <c r="BI1579" s="1"/>
      <c r="BJ1579" s="2"/>
      <c r="BK1579" s="1"/>
      <c r="BL1579" s="1"/>
      <c r="BM1579" s="7"/>
      <c r="BN1579" s="7"/>
      <c r="BO1579" s="1"/>
      <c r="BP1579" s="11"/>
      <c r="BQ1579" s="11"/>
    </row>
    <row r="1580" spans="1:69" x14ac:dyDescent="0.3">
      <c r="A1580" s="7"/>
      <c r="B1580" s="11"/>
      <c r="C1580" s="11"/>
      <c r="D1580" s="11"/>
      <c r="E1580" s="45"/>
      <c r="F1580" s="40"/>
      <c r="G1580" s="11"/>
      <c r="K1580" s="40"/>
      <c r="N1580" s="11"/>
      <c r="O1580" s="11"/>
      <c r="P1580" s="11"/>
      <c r="Q1580" s="11"/>
      <c r="R1580" s="11"/>
      <c r="S1580" s="11"/>
      <c r="T1580" s="11"/>
      <c r="U1580" s="11"/>
      <c r="V1580" s="11"/>
      <c r="W1580" s="11"/>
      <c r="X1580" s="11"/>
      <c r="Y1580" s="11"/>
      <c r="Z1580" s="11"/>
      <c r="AA1580" s="11"/>
      <c r="AB1580" s="11"/>
      <c r="AC1580" s="11"/>
      <c r="AD1580" s="40"/>
      <c r="AE1580" s="11"/>
      <c r="AF1580" s="40"/>
      <c r="AI1580" s="11"/>
      <c r="AJ1580" s="11"/>
      <c r="AK1580" s="11"/>
      <c r="AL1580" s="11"/>
      <c r="AM1580" s="11"/>
      <c r="AN1580" s="11"/>
      <c r="AO1580" s="11"/>
      <c r="AY1580" s="11"/>
      <c r="BE1580" s="38"/>
      <c r="BF1580" s="38"/>
      <c r="BG1580" s="38"/>
      <c r="BH1580" s="11"/>
      <c r="BI1580" s="1"/>
      <c r="BJ1580" s="2"/>
      <c r="BK1580" s="1"/>
      <c r="BL1580" s="1"/>
      <c r="BM1580" s="7"/>
      <c r="BN1580" s="7"/>
      <c r="BO1580" s="1"/>
      <c r="BP1580" s="11"/>
      <c r="BQ1580" s="11"/>
    </row>
    <row r="1581" spans="1:69" x14ac:dyDescent="0.3">
      <c r="A1581" s="7"/>
      <c r="B1581" s="11"/>
      <c r="C1581" s="11"/>
      <c r="D1581" s="11"/>
      <c r="E1581" s="45"/>
      <c r="F1581" s="40"/>
      <c r="G1581" s="11"/>
      <c r="K1581" s="40"/>
      <c r="N1581" s="11"/>
      <c r="O1581" s="11"/>
      <c r="P1581" s="11"/>
      <c r="Q1581" s="11"/>
      <c r="R1581" s="11"/>
      <c r="S1581" s="11"/>
      <c r="T1581" s="11"/>
      <c r="U1581" s="11"/>
      <c r="V1581" s="11"/>
      <c r="W1581" s="11"/>
      <c r="X1581" s="11"/>
      <c r="Y1581" s="11"/>
      <c r="Z1581" s="11"/>
      <c r="AA1581" s="11"/>
      <c r="AB1581" s="11"/>
      <c r="AC1581" s="11"/>
      <c r="AD1581" s="40"/>
      <c r="AE1581" s="11"/>
      <c r="AF1581" s="40"/>
      <c r="AI1581" s="11"/>
      <c r="AJ1581" s="11"/>
      <c r="AK1581" s="11"/>
      <c r="AL1581" s="11"/>
      <c r="AM1581" s="11"/>
      <c r="AN1581" s="11"/>
      <c r="AO1581" s="11"/>
      <c r="AY1581" s="11"/>
      <c r="BE1581" s="38"/>
      <c r="BF1581" s="38"/>
      <c r="BG1581" s="38"/>
      <c r="BH1581" s="11"/>
      <c r="BI1581" s="1"/>
      <c r="BJ1581" s="2"/>
      <c r="BK1581" s="1"/>
      <c r="BL1581" s="1"/>
      <c r="BM1581" s="7"/>
      <c r="BN1581" s="7"/>
      <c r="BO1581" s="1"/>
      <c r="BP1581" s="11"/>
      <c r="BQ1581" s="11"/>
    </row>
    <row r="1582" spans="1:69" x14ac:dyDescent="0.3">
      <c r="A1582" s="7"/>
      <c r="B1582" s="11"/>
      <c r="C1582" s="11"/>
      <c r="D1582" s="11"/>
      <c r="E1582" s="45"/>
      <c r="F1582" s="40"/>
      <c r="G1582" s="11"/>
      <c r="K1582" s="40"/>
      <c r="N1582" s="11"/>
      <c r="O1582" s="11"/>
      <c r="P1582" s="11"/>
      <c r="Q1582" s="11"/>
      <c r="R1582" s="11"/>
      <c r="S1582" s="11"/>
      <c r="T1582" s="11"/>
      <c r="U1582" s="11"/>
      <c r="V1582" s="11"/>
      <c r="W1582" s="11"/>
      <c r="X1582" s="11"/>
      <c r="Y1582" s="11"/>
      <c r="Z1582" s="11"/>
      <c r="AA1582" s="11"/>
      <c r="AB1582" s="11"/>
      <c r="AC1582" s="11"/>
      <c r="AD1582" s="40"/>
      <c r="AE1582" s="11"/>
      <c r="AF1582" s="40"/>
      <c r="AI1582" s="11"/>
      <c r="AJ1582" s="11"/>
      <c r="AK1582" s="11"/>
      <c r="AL1582" s="11"/>
      <c r="AM1582" s="11"/>
      <c r="AN1582" s="11"/>
      <c r="AO1582" s="11"/>
      <c r="AY1582" s="11"/>
      <c r="BE1582" s="38"/>
      <c r="BF1582" s="38"/>
      <c r="BG1582" s="38"/>
      <c r="BH1582" s="11"/>
      <c r="BI1582" s="1"/>
      <c r="BJ1582" s="2"/>
      <c r="BK1582" s="1"/>
      <c r="BL1582" s="1"/>
      <c r="BM1582" s="7"/>
      <c r="BN1582" s="7"/>
      <c r="BO1582" s="1"/>
      <c r="BP1582" s="11"/>
      <c r="BQ1582" s="11"/>
    </row>
    <row r="1583" spans="1:69" x14ac:dyDescent="0.3">
      <c r="A1583" s="7"/>
      <c r="B1583" s="11"/>
      <c r="C1583" s="11"/>
      <c r="D1583" s="11"/>
      <c r="E1583" s="45"/>
      <c r="F1583" s="40"/>
      <c r="G1583" s="11"/>
      <c r="K1583" s="40"/>
      <c r="N1583" s="11"/>
      <c r="O1583" s="11"/>
      <c r="P1583" s="11"/>
      <c r="Q1583" s="11"/>
      <c r="R1583" s="11"/>
      <c r="S1583" s="11"/>
      <c r="T1583" s="11"/>
      <c r="U1583" s="11"/>
      <c r="V1583" s="11"/>
      <c r="W1583" s="11"/>
      <c r="X1583" s="11"/>
      <c r="Y1583" s="11"/>
      <c r="Z1583" s="11"/>
      <c r="AA1583" s="11"/>
      <c r="AB1583" s="11"/>
      <c r="AC1583" s="11"/>
      <c r="AD1583" s="40"/>
      <c r="AE1583" s="11"/>
      <c r="AF1583" s="40"/>
      <c r="AI1583" s="11"/>
      <c r="AJ1583" s="11"/>
      <c r="AK1583" s="11"/>
      <c r="AL1583" s="11"/>
      <c r="AM1583" s="11"/>
      <c r="AN1583" s="11"/>
      <c r="AO1583" s="11"/>
      <c r="AY1583" s="11"/>
      <c r="BE1583" s="38"/>
      <c r="BF1583" s="38"/>
      <c r="BG1583" s="38"/>
      <c r="BH1583" s="11"/>
      <c r="BI1583" s="1"/>
      <c r="BJ1583" s="2"/>
      <c r="BK1583" s="1"/>
      <c r="BL1583" s="1"/>
      <c r="BM1583" s="7"/>
      <c r="BN1583" s="7"/>
      <c r="BO1583" s="1"/>
      <c r="BP1583" s="11"/>
      <c r="BQ1583" s="11"/>
    </row>
    <row r="1584" spans="1:69" x14ac:dyDescent="0.3">
      <c r="A1584" s="7"/>
      <c r="B1584" s="11"/>
      <c r="C1584" s="11"/>
      <c r="D1584" s="11"/>
      <c r="E1584" s="45"/>
      <c r="F1584" s="40"/>
      <c r="G1584" s="11"/>
      <c r="K1584" s="40"/>
      <c r="N1584" s="11"/>
      <c r="O1584" s="11"/>
      <c r="P1584" s="11"/>
      <c r="Q1584" s="11"/>
      <c r="R1584" s="11"/>
      <c r="S1584" s="11"/>
      <c r="T1584" s="11"/>
      <c r="U1584" s="11"/>
      <c r="V1584" s="11"/>
      <c r="W1584" s="11"/>
      <c r="X1584" s="11"/>
      <c r="Y1584" s="11"/>
      <c r="Z1584" s="11"/>
      <c r="AA1584" s="11"/>
      <c r="AB1584" s="11"/>
      <c r="AC1584" s="11"/>
      <c r="AD1584" s="40"/>
      <c r="AE1584" s="11"/>
      <c r="AF1584" s="40"/>
      <c r="AI1584" s="11"/>
      <c r="AJ1584" s="11"/>
      <c r="AK1584" s="11"/>
      <c r="AL1584" s="11"/>
      <c r="AM1584" s="11"/>
      <c r="AN1584" s="11"/>
      <c r="AO1584" s="11"/>
      <c r="AY1584" s="11"/>
      <c r="BE1584" s="38"/>
      <c r="BF1584" s="38"/>
      <c r="BG1584" s="38"/>
      <c r="BH1584" s="11"/>
      <c r="BI1584" s="1"/>
      <c r="BJ1584" s="2"/>
      <c r="BK1584" s="1"/>
      <c r="BL1584" s="1"/>
      <c r="BM1584" s="7"/>
      <c r="BN1584" s="7"/>
      <c r="BO1584" s="1"/>
      <c r="BP1584" s="11"/>
      <c r="BQ1584" s="11"/>
    </row>
    <row r="1585" spans="1:69" x14ac:dyDescent="0.3">
      <c r="A1585" s="7"/>
      <c r="B1585" s="11"/>
      <c r="C1585" s="11"/>
      <c r="D1585" s="11"/>
      <c r="E1585" s="45"/>
      <c r="F1585" s="40"/>
      <c r="G1585" s="11"/>
      <c r="K1585" s="40"/>
      <c r="N1585" s="11"/>
      <c r="O1585" s="11"/>
      <c r="P1585" s="11"/>
      <c r="Q1585" s="11"/>
      <c r="R1585" s="11"/>
      <c r="S1585" s="11"/>
      <c r="T1585" s="11"/>
      <c r="U1585" s="11"/>
      <c r="V1585" s="11"/>
      <c r="W1585" s="11"/>
      <c r="X1585" s="11"/>
      <c r="Y1585" s="11"/>
      <c r="Z1585" s="11"/>
      <c r="AA1585" s="11"/>
      <c r="AB1585" s="11"/>
      <c r="AC1585" s="11"/>
      <c r="AD1585" s="40"/>
      <c r="AE1585" s="11"/>
      <c r="AF1585" s="40"/>
      <c r="AI1585" s="11"/>
      <c r="AJ1585" s="11"/>
      <c r="AK1585" s="11"/>
      <c r="AL1585" s="11"/>
      <c r="AM1585" s="11"/>
      <c r="AN1585" s="11"/>
      <c r="AO1585" s="11"/>
      <c r="AY1585" s="11"/>
      <c r="BE1585" s="38"/>
      <c r="BF1585" s="38"/>
      <c r="BG1585" s="38"/>
      <c r="BH1585" s="11"/>
      <c r="BI1585" s="1"/>
      <c r="BJ1585" s="2"/>
      <c r="BK1585" s="1"/>
      <c r="BL1585" s="1"/>
      <c r="BM1585" s="7"/>
      <c r="BN1585" s="7"/>
      <c r="BO1585" s="1"/>
      <c r="BP1585" s="11"/>
      <c r="BQ1585" s="11"/>
    </row>
    <row r="1586" spans="1:69" x14ac:dyDescent="0.3">
      <c r="A1586" s="7"/>
      <c r="B1586" s="11"/>
      <c r="C1586" s="11"/>
      <c r="D1586" s="11"/>
      <c r="E1586" s="45"/>
      <c r="F1586" s="40"/>
      <c r="G1586" s="11"/>
      <c r="K1586" s="40"/>
      <c r="N1586" s="11"/>
      <c r="O1586" s="11"/>
      <c r="P1586" s="11"/>
      <c r="Q1586" s="11"/>
      <c r="R1586" s="11"/>
      <c r="S1586" s="11"/>
      <c r="T1586" s="11"/>
      <c r="U1586" s="11"/>
      <c r="V1586" s="11"/>
      <c r="W1586" s="11"/>
      <c r="X1586" s="11"/>
      <c r="Y1586" s="11"/>
      <c r="Z1586" s="11"/>
      <c r="AA1586" s="11"/>
      <c r="AB1586" s="11"/>
      <c r="AC1586" s="11"/>
      <c r="AD1586" s="40"/>
      <c r="AE1586" s="11"/>
      <c r="AF1586" s="40"/>
      <c r="AI1586" s="11"/>
      <c r="AJ1586" s="11"/>
      <c r="AK1586" s="11"/>
      <c r="AL1586" s="11"/>
      <c r="AM1586" s="11"/>
      <c r="AN1586" s="11"/>
      <c r="AO1586" s="11"/>
      <c r="AY1586" s="11"/>
      <c r="BE1586" s="38"/>
      <c r="BF1586" s="38"/>
      <c r="BG1586" s="38"/>
      <c r="BH1586" s="11"/>
      <c r="BI1586" s="1"/>
      <c r="BJ1586" s="2"/>
      <c r="BK1586" s="1"/>
      <c r="BL1586" s="1"/>
      <c r="BM1586" s="7"/>
      <c r="BN1586" s="7"/>
      <c r="BO1586" s="1"/>
      <c r="BP1586" s="11"/>
      <c r="BQ1586" s="11"/>
    </row>
    <row r="1587" spans="1:69" x14ac:dyDescent="0.3">
      <c r="A1587" s="7"/>
      <c r="B1587" s="11"/>
      <c r="C1587" s="11"/>
      <c r="D1587" s="11"/>
      <c r="E1587" s="45"/>
      <c r="F1587" s="40"/>
      <c r="G1587" s="11"/>
      <c r="K1587" s="40"/>
      <c r="N1587" s="11"/>
      <c r="O1587" s="11"/>
      <c r="P1587" s="11"/>
      <c r="Q1587" s="11"/>
      <c r="R1587" s="11"/>
      <c r="S1587" s="11"/>
      <c r="T1587" s="11"/>
      <c r="U1587" s="11"/>
      <c r="V1587" s="11"/>
      <c r="W1587" s="11"/>
      <c r="X1587" s="11"/>
      <c r="Y1587" s="11"/>
      <c r="Z1587" s="11"/>
      <c r="AA1587" s="11"/>
      <c r="AB1587" s="11"/>
      <c r="AC1587" s="11"/>
      <c r="AD1587" s="40"/>
      <c r="AE1587" s="11"/>
      <c r="AF1587" s="40"/>
      <c r="AI1587" s="11"/>
      <c r="AJ1587" s="11"/>
      <c r="AK1587" s="11"/>
      <c r="AL1587" s="11"/>
      <c r="AM1587" s="11"/>
      <c r="AN1587" s="11"/>
      <c r="AO1587" s="11"/>
      <c r="AY1587" s="11"/>
      <c r="BE1587" s="38"/>
      <c r="BF1587" s="38"/>
      <c r="BG1587" s="38"/>
      <c r="BH1587" s="11"/>
      <c r="BI1587" s="1"/>
      <c r="BJ1587" s="2"/>
      <c r="BK1587" s="1"/>
      <c r="BL1587" s="1"/>
      <c r="BM1587" s="7"/>
      <c r="BN1587" s="7"/>
      <c r="BO1587" s="1"/>
      <c r="BP1587" s="11"/>
      <c r="BQ1587" s="11"/>
    </row>
    <row r="1588" spans="1:69" x14ac:dyDescent="0.3">
      <c r="A1588" s="7"/>
      <c r="B1588" s="11"/>
      <c r="C1588" s="11"/>
      <c r="D1588" s="11"/>
      <c r="E1588" s="45"/>
      <c r="F1588" s="40"/>
      <c r="G1588" s="11"/>
      <c r="K1588" s="40"/>
      <c r="N1588" s="11"/>
      <c r="O1588" s="11"/>
      <c r="P1588" s="11"/>
      <c r="Q1588" s="11"/>
      <c r="R1588" s="11"/>
      <c r="S1588" s="11"/>
      <c r="T1588" s="11"/>
      <c r="U1588" s="11"/>
      <c r="V1588" s="11"/>
      <c r="W1588" s="11"/>
      <c r="X1588" s="11"/>
      <c r="Y1588" s="11"/>
      <c r="Z1588" s="11"/>
      <c r="AA1588" s="11"/>
      <c r="AB1588" s="11"/>
      <c r="AC1588" s="11"/>
      <c r="AD1588" s="40"/>
      <c r="AE1588" s="11"/>
      <c r="AF1588" s="40"/>
      <c r="AI1588" s="11"/>
      <c r="AJ1588" s="11"/>
      <c r="AK1588" s="11"/>
      <c r="AL1588" s="11"/>
      <c r="AM1588" s="11"/>
      <c r="AN1588" s="11"/>
      <c r="AO1588" s="11"/>
      <c r="AY1588" s="11"/>
      <c r="BE1588" s="38"/>
      <c r="BF1588" s="38"/>
      <c r="BG1588" s="38"/>
      <c r="BH1588" s="11"/>
      <c r="BI1588" s="1"/>
      <c r="BJ1588" s="2"/>
      <c r="BK1588" s="1"/>
      <c r="BL1588" s="1"/>
      <c r="BM1588" s="7"/>
      <c r="BN1588" s="7"/>
      <c r="BO1588" s="1"/>
      <c r="BP1588" s="11"/>
      <c r="BQ1588" s="11"/>
    </row>
    <row r="1589" spans="1:69" x14ac:dyDescent="0.3">
      <c r="A1589" s="7"/>
      <c r="B1589" s="11"/>
      <c r="C1589" s="11"/>
      <c r="D1589" s="11"/>
      <c r="E1589" s="45"/>
      <c r="F1589" s="40"/>
      <c r="G1589" s="11"/>
      <c r="K1589" s="40"/>
      <c r="N1589" s="11"/>
      <c r="O1589" s="11"/>
      <c r="P1589" s="11"/>
      <c r="Q1589" s="11"/>
      <c r="R1589" s="11"/>
      <c r="S1589" s="11"/>
      <c r="T1589" s="11"/>
      <c r="U1589" s="11"/>
      <c r="V1589" s="11"/>
      <c r="W1589" s="11"/>
      <c r="X1589" s="11"/>
      <c r="Y1589" s="11"/>
      <c r="Z1589" s="11"/>
      <c r="AA1589" s="11"/>
      <c r="AB1589" s="11"/>
      <c r="AC1589" s="11"/>
      <c r="AD1589" s="40"/>
      <c r="AE1589" s="11"/>
      <c r="AF1589" s="40"/>
      <c r="AI1589" s="11"/>
      <c r="AJ1589" s="11"/>
      <c r="AK1589" s="11"/>
      <c r="AL1589" s="11"/>
      <c r="AM1589" s="11"/>
      <c r="AN1589" s="11"/>
      <c r="AO1589" s="11"/>
      <c r="AY1589" s="11"/>
      <c r="BE1589" s="38"/>
      <c r="BF1589" s="38"/>
      <c r="BG1589" s="38"/>
      <c r="BH1589" s="11"/>
      <c r="BI1589" s="1"/>
      <c r="BJ1589" s="2"/>
      <c r="BK1589" s="1"/>
      <c r="BL1589" s="1"/>
      <c r="BM1589" s="7"/>
      <c r="BN1589" s="7"/>
      <c r="BO1589" s="1"/>
      <c r="BP1589" s="11"/>
      <c r="BQ1589" s="11"/>
    </row>
    <row r="1590" spans="1:69" x14ac:dyDescent="0.3">
      <c r="A1590" s="7"/>
      <c r="B1590" s="11"/>
      <c r="C1590" s="11"/>
      <c r="D1590" s="11"/>
      <c r="E1590" s="45"/>
      <c r="F1590" s="40"/>
      <c r="G1590" s="11"/>
      <c r="K1590" s="40"/>
      <c r="N1590" s="11"/>
      <c r="O1590" s="11"/>
      <c r="P1590" s="11"/>
      <c r="Q1590" s="11"/>
      <c r="R1590" s="11"/>
      <c r="S1590" s="11"/>
      <c r="T1590" s="11"/>
      <c r="U1590" s="11"/>
      <c r="V1590" s="11"/>
      <c r="W1590" s="11"/>
      <c r="X1590" s="11"/>
      <c r="Y1590" s="11"/>
      <c r="Z1590" s="11"/>
      <c r="AA1590" s="11"/>
      <c r="AB1590" s="11"/>
      <c r="AC1590" s="11"/>
      <c r="AD1590" s="40"/>
      <c r="AE1590" s="11"/>
      <c r="AF1590" s="40"/>
      <c r="AI1590" s="11"/>
      <c r="AJ1590" s="11"/>
      <c r="AK1590" s="11"/>
      <c r="AL1590" s="11"/>
      <c r="AM1590" s="11"/>
      <c r="AN1590" s="11"/>
      <c r="AO1590" s="11"/>
      <c r="AY1590" s="11"/>
      <c r="BE1590" s="38"/>
      <c r="BF1590" s="38"/>
      <c r="BG1590" s="38"/>
      <c r="BH1590" s="11"/>
      <c r="BI1590" s="1"/>
      <c r="BJ1590" s="2"/>
      <c r="BK1590" s="1"/>
      <c r="BL1590" s="1"/>
      <c r="BM1590" s="7"/>
      <c r="BN1590" s="7"/>
      <c r="BO1590" s="1"/>
      <c r="BP1590" s="11"/>
      <c r="BQ1590" s="11"/>
    </row>
    <row r="1591" spans="1:69" x14ac:dyDescent="0.3">
      <c r="A1591" s="7"/>
      <c r="B1591" s="11"/>
      <c r="C1591" s="11"/>
      <c r="D1591" s="11"/>
      <c r="E1591" s="45"/>
      <c r="F1591" s="40"/>
      <c r="G1591" s="11"/>
      <c r="K1591" s="40"/>
      <c r="N1591" s="11"/>
      <c r="O1591" s="11"/>
      <c r="P1591" s="11"/>
      <c r="Q1591" s="11"/>
      <c r="R1591" s="11"/>
      <c r="S1591" s="11"/>
      <c r="T1591" s="11"/>
      <c r="U1591" s="11"/>
      <c r="V1591" s="11"/>
      <c r="W1591" s="11"/>
      <c r="X1591" s="11"/>
      <c r="Y1591" s="11"/>
      <c r="Z1591" s="11"/>
      <c r="AA1591" s="11"/>
      <c r="AB1591" s="11"/>
      <c r="AC1591" s="11"/>
      <c r="AD1591" s="40"/>
      <c r="AE1591" s="11"/>
      <c r="AF1591" s="40"/>
      <c r="AI1591" s="11"/>
      <c r="AJ1591" s="11"/>
      <c r="AK1591" s="11"/>
      <c r="AL1591" s="11"/>
      <c r="AM1591" s="11"/>
      <c r="AN1591" s="11"/>
      <c r="AO1591" s="11"/>
      <c r="AY1591" s="11"/>
      <c r="BE1591" s="38"/>
      <c r="BF1591" s="38"/>
      <c r="BG1591" s="38"/>
      <c r="BH1591" s="11"/>
      <c r="BI1591" s="1"/>
      <c r="BJ1591" s="2"/>
      <c r="BK1591" s="1"/>
      <c r="BL1591" s="1"/>
      <c r="BM1591" s="7"/>
      <c r="BN1591" s="7"/>
      <c r="BO1591" s="1"/>
      <c r="BP1591" s="11"/>
      <c r="BQ1591" s="11"/>
    </row>
    <row r="1592" spans="1:69" x14ac:dyDescent="0.3">
      <c r="A1592" s="7"/>
      <c r="B1592" s="11"/>
      <c r="C1592" s="11"/>
      <c r="D1592" s="11"/>
      <c r="E1592" s="45"/>
      <c r="F1592" s="40"/>
      <c r="G1592" s="11"/>
      <c r="K1592" s="40"/>
      <c r="N1592" s="11"/>
      <c r="O1592" s="11"/>
      <c r="P1592" s="11"/>
      <c r="Q1592" s="11"/>
      <c r="R1592" s="11"/>
      <c r="S1592" s="11"/>
      <c r="T1592" s="11"/>
      <c r="U1592" s="11"/>
      <c r="V1592" s="11"/>
      <c r="W1592" s="11"/>
      <c r="X1592" s="11"/>
      <c r="Y1592" s="11"/>
      <c r="Z1592" s="11"/>
      <c r="AA1592" s="11"/>
      <c r="AB1592" s="11"/>
      <c r="AC1592" s="11"/>
      <c r="AD1592" s="40"/>
      <c r="AE1592" s="11"/>
      <c r="AF1592" s="40"/>
      <c r="AI1592" s="11"/>
      <c r="AJ1592" s="11"/>
      <c r="AK1592" s="11"/>
      <c r="AL1592" s="11"/>
      <c r="AM1592" s="11"/>
      <c r="AN1592" s="11"/>
      <c r="AO1592" s="11"/>
      <c r="AY1592" s="11"/>
      <c r="BE1592" s="38"/>
      <c r="BF1592" s="38"/>
      <c r="BG1592" s="38"/>
      <c r="BH1592" s="11"/>
      <c r="BI1592" s="1"/>
      <c r="BJ1592" s="2"/>
      <c r="BK1592" s="1"/>
      <c r="BL1592" s="1"/>
      <c r="BM1592" s="7"/>
      <c r="BN1592" s="7"/>
      <c r="BO1592" s="1"/>
      <c r="BP1592" s="11"/>
      <c r="BQ1592" s="11"/>
    </row>
    <row r="1593" spans="1:69" x14ac:dyDescent="0.3">
      <c r="A1593" s="7"/>
      <c r="B1593" s="11"/>
      <c r="C1593" s="11"/>
      <c r="D1593" s="11"/>
      <c r="E1593" s="45"/>
      <c r="F1593" s="40"/>
      <c r="G1593" s="11"/>
      <c r="K1593" s="40"/>
      <c r="N1593" s="11"/>
      <c r="O1593" s="11"/>
      <c r="P1593" s="11"/>
      <c r="Q1593" s="11"/>
      <c r="R1593" s="11"/>
      <c r="S1593" s="11"/>
      <c r="T1593" s="11"/>
      <c r="U1593" s="11"/>
      <c r="V1593" s="11"/>
      <c r="W1593" s="11"/>
      <c r="X1593" s="11"/>
      <c r="Y1593" s="11"/>
      <c r="Z1593" s="11"/>
      <c r="AA1593" s="11"/>
      <c r="AB1593" s="11"/>
      <c r="AC1593" s="11"/>
      <c r="AD1593" s="40"/>
      <c r="AE1593" s="11"/>
      <c r="AF1593" s="40"/>
      <c r="AI1593" s="11"/>
      <c r="AJ1593" s="11"/>
      <c r="AK1593" s="11"/>
      <c r="AL1593" s="11"/>
      <c r="AM1593" s="11"/>
      <c r="AN1593" s="11"/>
      <c r="AO1593" s="11"/>
      <c r="AY1593" s="11"/>
      <c r="BE1593" s="38"/>
      <c r="BF1593" s="38"/>
      <c r="BG1593" s="38"/>
      <c r="BH1593" s="11"/>
      <c r="BI1593" s="1"/>
      <c r="BJ1593" s="2"/>
      <c r="BK1593" s="1"/>
      <c r="BL1593" s="1"/>
      <c r="BM1593" s="7"/>
      <c r="BN1593" s="7"/>
      <c r="BO1593" s="1"/>
      <c r="BP1593" s="11"/>
      <c r="BQ1593" s="11"/>
    </row>
    <row r="1594" spans="1:69" x14ac:dyDescent="0.3">
      <c r="A1594" s="7"/>
      <c r="B1594" s="11"/>
      <c r="C1594" s="11"/>
      <c r="D1594" s="11"/>
      <c r="E1594" s="45"/>
      <c r="F1594" s="40"/>
      <c r="G1594" s="11"/>
      <c r="K1594" s="40"/>
      <c r="N1594" s="11"/>
      <c r="O1594" s="11"/>
      <c r="P1594" s="11"/>
      <c r="Q1594" s="11"/>
      <c r="R1594" s="11"/>
      <c r="S1594" s="11"/>
      <c r="T1594" s="11"/>
      <c r="U1594" s="11"/>
      <c r="V1594" s="11"/>
      <c r="W1594" s="11"/>
      <c r="X1594" s="11"/>
      <c r="Y1594" s="11"/>
      <c r="Z1594" s="11"/>
      <c r="AA1594" s="11"/>
      <c r="AB1594" s="11"/>
      <c r="AC1594" s="11"/>
      <c r="AD1594" s="40"/>
      <c r="AE1594" s="11"/>
      <c r="AF1594" s="40"/>
      <c r="AI1594" s="11"/>
      <c r="AJ1594" s="11"/>
      <c r="AK1594" s="11"/>
      <c r="AL1594" s="11"/>
      <c r="AM1594" s="11"/>
      <c r="AN1594" s="11"/>
      <c r="AO1594" s="11"/>
      <c r="AY1594" s="11"/>
      <c r="BE1594" s="38"/>
      <c r="BF1594" s="38"/>
      <c r="BG1594" s="38"/>
      <c r="BH1594" s="11"/>
      <c r="BI1594" s="1"/>
      <c r="BJ1594" s="2"/>
      <c r="BK1594" s="1"/>
      <c r="BL1594" s="1"/>
      <c r="BM1594" s="7"/>
      <c r="BN1594" s="7"/>
      <c r="BO1594" s="1"/>
      <c r="BP1594" s="11"/>
      <c r="BQ1594" s="11"/>
    </row>
    <row r="1595" spans="1:69" x14ac:dyDescent="0.3">
      <c r="A1595" s="7"/>
      <c r="B1595" s="11"/>
      <c r="C1595" s="11"/>
      <c r="D1595" s="11"/>
      <c r="E1595" s="45"/>
      <c r="F1595" s="40"/>
      <c r="G1595" s="11"/>
      <c r="K1595" s="40"/>
      <c r="N1595" s="11"/>
      <c r="O1595" s="11"/>
      <c r="P1595" s="11"/>
      <c r="Q1595" s="11"/>
      <c r="R1595" s="11"/>
      <c r="S1595" s="11"/>
      <c r="T1595" s="11"/>
      <c r="U1595" s="11"/>
      <c r="V1595" s="11"/>
      <c r="W1595" s="11"/>
      <c r="X1595" s="11"/>
      <c r="Y1595" s="11"/>
      <c r="Z1595" s="11"/>
      <c r="AA1595" s="11"/>
      <c r="AB1595" s="11"/>
      <c r="AC1595" s="11"/>
      <c r="AD1595" s="40"/>
      <c r="AE1595" s="11"/>
      <c r="AF1595" s="40"/>
      <c r="AI1595" s="11"/>
      <c r="AJ1595" s="11"/>
      <c r="AK1595" s="11"/>
      <c r="AL1595" s="11"/>
      <c r="AM1595" s="11"/>
      <c r="AN1595" s="11"/>
      <c r="AO1595" s="11"/>
      <c r="AY1595" s="11"/>
      <c r="BE1595" s="38"/>
      <c r="BF1595" s="38"/>
      <c r="BG1595" s="38"/>
      <c r="BH1595" s="11"/>
      <c r="BI1595" s="1"/>
      <c r="BJ1595" s="2"/>
      <c r="BK1595" s="1"/>
      <c r="BL1595" s="1"/>
      <c r="BM1595" s="7"/>
      <c r="BN1595" s="7"/>
      <c r="BO1595" s="1"/>
      <c r="BP1595" s="11"/>
      <c r="BQ1595" s="11"/>
    </row>
    <row r="1596" spans="1:69" x14ac:dyDescent="0.3">
      <c r="A1596" s="7"/>
      <c r="B1596" s="11"/>
      <c r="C1596" s="11"/>
      <c r="D1596" s="11"/>
      <c r="E1596" s="45"/>
      <c r="F1596" s="40"/>
      <c r="G1596" s="11"/>
      <c r="K1596" s="40"/>
      <c r="N1596" s="11"/>
      <c r="O1596" s="11"/>
      <c r="P1596" s="11"/>
      <c r="Q1596" s="11"/>
      <c r="R1596" s="11"/>
      <c r="S1596" s="11"/>
      <c r="T1596" s="11"/>
      <c r="U1596" s="11"/>
      <c r="V1596" s="11"/>
      <c r="W1596" s="11"/>
      <c r="X1596" s="11"/>
      <c r="Y1596" s="11"/>
      <c r="Z1596" s="11"/>
      <c r="AA1596" s="11"/>
      <c r="AB1596" s="11"/>
      <c r="AC1596" s="11"/>
      <c r="AD1596" s="40"/>
      <c r="AE1596" s="11"/>
      <c r="AF1596" s="40"/>
      <c r="AI1596" s="11"/>
      <c r="AJ1596" s="11"/>
      <c r="AK1596" s="11"/>
      <c r="AL1596" s="11"/>
      <c r="AM1596" s="11"/>
      <c r="AN1596" s="11"/>
      <c r="AO1596" s="11"/>
      <c r="AY1596" s="11"/>
      <c r="BE1596" s="38"/>
      <c r="BF1596" s="38"/>
      <c r="BG1596" s="38"/>
      <c r="BH1596" s="11"/>
      <c r="BI1596" s="1"/>
      <c r="BJ1596" s="2"/>
      <c r="BK1596" s="1"/>
      <c r="BL1596" s="1"/>
      <c r="BM1596" s="7"/>
      <c r="BN1596" s="7"/>
      <c r="BO1596" s="1"/>
      <c r="BP1596" s="11"/>
      <c r="BQ1596" s="11"/>
    </row>
    <row r="1597" spans="1:69" x14ac:dyDescent="0.3">
      <c r="A1597" s="7"/>
      <c r="B1597" s="11"/>
      <c r="C1597" s="11"/>
      <c r="D1597" s="11"/>
      <c r="E1597" s="45"/>
      <c r="F1597" s="40"/>
      <c r="G1597" s="11"/>
      <c r="K1597" s="40"/>
      <c r="N1597" s="11"/>
      <c r="O1597" s="11"/>
      <c r="P1597" s="11"/>
      <c r="Q1597" s="11"/>
      <c r="R1597" s="11"/>
      <c r="S1597" s="11"/>
      <c r="T1597" s="11"/>
      <c r="U1597" s="11"/>
      <c r="V1597" s="11"/>
      <c r="W1597" s="11"/>
      <c r="X1597" s="11"/>
      <c r="Y1597" s="11"/>
      <c r="Z1597" s="11"/>
      <c r="AA1597" s="11"/>
      <c r="AB1597" s="11"/>
      <c r="AC1597" s="11"/>
      <c r="AD1597" s="40"/>
      <c r="AE1597" s="11"/>
      <c r="AF1597" s="40"/>
      <c r="AI1597" s="11"/>
      <c r="AJ1597" s="11"/>
      <c r="AK1597" s="11"/>
      <c r="AL1597" s="11"/>
      <c r="AM1597" s="11"/>
      <c r="AN1597" s="11"/>
      <c r="AO1597" s="11"/>
      <c r="AY1597" s="11"/>
      <c r="BE1597" s="38"/>
      <c r="BF1597" s="38"/>
      <c r="BG1597" s="38"/>
      <c r="BH1597" s="11"/>
      <c r="BI1597" s="1"/>
      <c r="BJ1597" s="2"/>
      <c r="BK1597" s="1"/>
      <c r="BL1597" s="1"/>
      <c r="BM1597" s="7"/>
      <c r="BN1597" s="7"/>
      <c r="BO1597" s="1"/>
      <c r="BP1597" s="11"/>
      <c r="BQ1597" s="11"/>
    </row>
    <row r="1598" spans="1:69" x14ac:dyDescent="0.3">
      <c r="A1598" s="7"/>
      <c r="B1598" s="11"/>
      <c r="C1598" s="11"/>
      <c r="D1598" s="11"/>
      <c r="E1598" s="45"/>
      <c r="F1598" s="40"/>
      <c r="G1598" s="11"/>
      <c r="K1598" s="40"/>
      <c r="N1598" s="11"/>
      <c r="O1598" s="11"/>
      <c r="P1598" s="11"/>
      <c r="Q1598" s="11"/>
      <c r="R1598" s="11"/>
      <c r="S1598" s="11"/>
      <c r="T1598" s="11"/>
      <c r="U1598" s="11"/>
      <c r="V1598" s="11"/>
      <c r="W1598" s="11"/>
      <c r="X1598" s="11"/>
      <c r="Y1598" s="11"/>
      <c r="Z1598" s="11"/>
      <c r="AA1598" s="11"/>
      <c r="AB1598" s="11"/>
      <c r="AC1598" s="11"/>
      <c r="AD1598" s="40"/>
      <c r="AE1598" s="11"/>
      <c r="AF1598" s="40"/>
      <c r="AI1598" s="11"/>
      <c r="AJ1598" s="11"/>
      <c r="AK1598" s="11"/>
      <c r="AL1598" s="11"/>
      <c r="AM1598" s="11"/>
      <c r="AN1598" s="11"/>
      <c r="AO1598" s="11"/>
      <c r="AY1598" s="11"/>
      <c r="BE1598" s="38"/>
      <c r="BF1598" s="38"/>
      <c r="BG1598" s="38"/>
      <c r="BH1598" s="11"/>
      <c r="BI1598" s="1"/>
      <c r="BJ1598" s="2"/>
      <c r="BK1598" s="1"/>
      <c r="BL1598" s="1"/>
      <c r="BM1598" s="7"/>
      <c r="BN1598" s="7"/>
      <c r="BO1598" s="1"/>
      <c r="BP1598" s="11"/>
      <c r="BQ1598" s="11"/>
    </row>
    <row r="1599" spans="1:69" x14ac:dyDescent="0.3">
      <c r="A1599" s="7"/>
      <c r="B1599" s="11"/>
      <c r="C1599" s="11"/>
      <c r="D1599" s="11"/>
      <c r="E1599" s="45"/>
      <c r="F1599" s="40"/>
      <c r="G1599" s="11"/>
      <c r="K1599" s="40"/>
      <c r="N1599" s="11"/>
      <c r="O1599" s="11"/>
      <c r="P1599" s="11"/>
      <c r="Q1599" s="11"/>
      <c r="R1599" s="11"/>
      <c r="S1599" s="11"/>
      <c r="T1599" s="11"/>
      <c r="U1599" s="11"/>
      <c r="V1599" s="11"/>
      <c r="W1599" s="11"/>
      <c r="X1599" s="11"/>
      <c r="Y1599" s="11"/>
      <c r="Z1599" s="11"/>
      <c r="AA1599" s="11"/>
      <c r="AB1599" s="11"/>
      <c r="AC1599" s="11"/>
      <c r="AD1599" s="40"/>
      <c r="AE1599" s="11"/>
      <c r="AF1599" s="40"/>
      <c r="AI1599" s="11"/>
      <c r="AJ1599" s="11"/>
      <c r="AK1599" s="11"/>
      <c r="AL1599" s="11"/>
      <c r="AM1599" s="11"/>
      <c r="AN1599" s="11"/>
      <c r="AO1599" s="11"/>
      <c r="AY1599" s="11"/>
      <c r="BE1599" s="38"/>
      <c r="BF1599" s="38"/>
      <c r="BG1599" s="38"/>
      <c r="BH1599" s="11"/>
      <c r="BI1599" s="1"/>
      <c r="BJ1599" s="2"/>
      <c r="BK1599" s="1"/>
      <c r="BL1599" s="1"/>
      <c r="BM1599" s="7"/>
      <c r="BN1599" s="7"/>
      <c r="BO1599" s="1"/>
      <c r="BP1599" s="11"/>
      <c r="BQ1599" s="11"/>
    </row>
    <row r="1600" spans="1:69" x14ac:dyDescent="0.3">
      <c r="A1600" s="7"/>
      <c r="B1600" s="11"/>
      <c r="C1600" s="11"/>
      <c r="D1600" s="11"/>
      <c r="E1600" s="45"/>
      <c r="F1600" s="40"/>
      <c r="G1600" s="11"/>
      <c r="K1600" s="40"/>
      <c r="N1600" s="11"/>
      <c r="O1600" s="11"/>
      <c r="P1600" s="11"/>
      <c r="Q1600" s="11"/>
      <c r="R1600" s="11"/>
      <c r="S1600" s="11"/>
      <c r="T1600" s="11"/>
      <c r="U1600" s="11"/>
      <c r="V1600" s="11"/>
      <c r="W1600" s="11"/>
      <c r="X1600" s="11"/>
      <c r="Y1600" s="11"/>
      <c r="Z1600" s="11"/>
      <c r="AA1600" s="11"/>
      <c r="AB1600" s="11"/>
      <c r="AC1600" s="11"/>
      <c r="AD1600" s="40"/>
      <c r="AE1600" s="11"/>
      <c r="AF1600" s="40"/>
      <c r="AI1600" s="11"/>
      <c r="AJ1600" s="11"/>
      <c r="AK1600" s="11"/>
      <c r="AL1600" s="11"/>
      <c r="AM1600" s="11"/>
      <c r="AN1600" s="11"/>
      <c r="AO1600" s="11"/>
      <c r="AY1600" s="11"/>
      <c r="BE1600" s="38"/>
      <c r="BF1600" s="38"/>
      <c r="BG1600" s="38"/>
      <c r="BH1600" s="11"/>
      <c r="BI1600" s="1"/>
      <c r="BJ1600" s="2"/>
      <c r="BK1600" s="1"/>
      <c r="BL1600" s="1"/>
      <c r="BM1600" s="7"/>
      <c r="BN1600" s="7"/>
      <c r="BO1600" s="1"/>
      <c r="BP1600" s="11"/>
      <c r="BQ1600" s="11"/>
    </row>
    <row r="1601" spans="1:69" x14ac:dyDescent="0.3">
      <c r="A1601" s="7"/>
      <c r="B1601" s="11"/>
      <c r="C1601" s="11"/>
      <c r="D1601" s="11"/>
      <c r="E1601" s="45"/>
      <c r="F1601" s="40"/>
      <c r="G1601" s="11"/>
      <c r="K1601" s="40"/>
      <c r="N1601" s="11"/>
      <c r="O1601" s="11"/>
      <c r="P1601" s="11"/>
      <c r="Q1601" s="11"/>
      <c r="R1601" s="11"/>
      <c r="S1601" s="11"/>
      <c r="T1601" s="11"/>
      <c r="U1601" s="11"/>
      <c r="V1601" s="11"/>
      <c r="W1601" s="11"/>
      <c r="X1601" s="11"/>
      <c r="Y1601" s="11"/>
      <c r="Z1601" s="11"/>
      <c r="AA1601" s="11"/>
      <c r="AB1601" s="11"/>
      <c r="AC1601" s="11"/>
      <c r="AD1601" s="40"/>
      <c r="AE1601" s="11"/>
      <c r="AF1601" s="40"/>
      <c r="AI1601" s="11"/>
      <c r="AJ1601" s="11"/>
      <c r="AK1601" s="11"/>
      <c r="AL1601" s="11"/>
      <c r="AM1601" s="11"/>
      <c r="AN1601" s="11"/>
      <c r="AO1601" s="11"/>
      <c r="AY1601" s="11"/>
      <c r="BE1601" s="38"/>
      <c r="BF1601" s="38"/>
      <c r="BG1601" s="38"/>
      <c r="BH1601" s="11"/>
      <c r="BI1601" s="1"/>
      <c r="BJ1601" s="2"/>
      <c r="BK1601" s="1"/>
      <c r="BL1601" s="1"/>
      <c r="BM1601" s="7"/>
      <c r="BN1601" s="7"/>
      <c r="BO1601" s="1"/>
      <c r="BP1601" s="11"/>
      <c r="BQ1601" s="11"/>
    </row>
    <row r="1602" spans="1:69" x14ac:dyDescent="0.3">
      <c r="A1602" s="7"/>
      <c r="B1602" s="11"/>
      <c r="C1602" s="11"/>
      <c r="D1602" s="11"/>
      <c r="E1602" s="45"/>
      <c r="F1602" s="40"/>
      <c r="G1602" s="11"/>
      <c r="K1602" s="40"/>
      <c r="N1602" s="11"/>
      <c r="O1602" s="11"/>
      <c r="P1602" s="11"/>
      <c r="Q1602" s="11"/>
      <c r="R1602" s="11"/>
      <c r="S1602" s="11"/>
      <c r="T1602" s="11"/>
      <c r="U1602" s="11"/>
      <c r="V1602" s="11"/>
      <c r="W1602" s="11"/>
      <c r="X1602" s="11"/>
      <c r="Y1602" s="11"/>
      <c r="Z1602" s="11"/>
      <c r="AA1602" s="11"/>
      <c r="AB1602" s="11"/>
      <c r="AC1602" s="11"/>
      <c r="AD1602" s="40"/>
      <c r="AE1602" s="11"/>
      <c r="AF1602" s="40"/>
      <c r="AI1602" s="11"/>
      <c r="AJ1602" s="11"/>
      <c r="AK1602" s="11"/>
      <c r="AL1602" s="11"/>
      <c r="AM1602" s="11"/>
      <c r="AN1602" s="11"/>
      <c r="AO1602" s="11"/>
      <c r="AY1602" s="11"/>
      <c r="BE1602" s="38"/>
      <c r="BF1602" s="38"/>
      <c r="BG1602" s="38"/>
      <c r="BH1602" s="11"/>
      <c r="BI1602" s="1"/>
      <c r="BJ1602" s="2"/>
      <c r="BK1602" s="1"/>
      <c r="BL1602" s="1"/>
      <c r="BM1602" s="7"/>
      <c r="BN1602" s="7"/>
      <c r="BO1602" s="1"/>
      <c r="BP1602" s="11"/>
      <c r="BQ1602" s="11"/>
    </row>
    <row r="1603" spans="1:69" x14ac:dyDescent="0.3">
      <c r="A1603" s="7"/>
      <c r="B1603" s="11"/>
      <c r="C1603" s="11"/>
      <c r="D1603" s="11"/>
      <c r="E1603" s="45"/>
      <c r="F1603" s="40"/>
      <c r="G1603" s="11"/>
      <c r="K1603" s="40"/>
      <c r="N1603" s="11"/>
      <c r="O1603" s="11"/>
      <c r="P1603" s="11"/>
      <c r="Q1603" s="11"/>
      <c r="R1603" s="11"/>
      <c r="S1603" s="11"/>
      <c r="T1603" s="11"/>
      <c r="U1603" s="11"/>
      <c r="V1603" s="11"/>
      <c r="W1603" s="11"/>
      <c r="X1603" s="11"/>
      <c r="Y1603" s="11"/>
      <c r="Z1603" s="11"/>
      <c r="AA1603" s="11"/>
      <c r="AB1603" s="11"/>
      <c r="AC1603" s="11"/>
      <c r="AD1603" s="40"/>
      <c r="AE1603" s="11"/>
      <c r="AF1603" s="40"/>
      <c r="AI1603" s="11"/>
      <c r="AJ1603" s="11"/>
      <c r="AK1603" s="11"/>
      <c r="AL1603" s="11"/>
      <c r="AM1603" s="11"/>
      <c r="AN1603" s="11"/>
      <c r="AO1603" s="11"/>
      <c r="AY1603" s="11"/>
      <c r="BE1603" s="38"/>
      <c r="BF1603" s="38"/>
      <c r="BG1603" s="38"/>
      <c r="BH1603" s="11"/>
      <c r="BI1603" s="1"/>
      <c r="BJ1603" s="2"/>
      <c r="BK1603" s="1"/>
      <c r="BL1603" s="1"/>
      <c r="BM1603" s="7"/>
      <c r="BN1603" s="7"/>
      <c r="BO1603" s="1"/>
      <c r="BP1603" s="11"/>
      <c r="BQ1603" s="11"/>
    </row>
    <row r="1604" spans="1:69" x14ac:dyDescent="0.3">
      <c r="A1604" s="7"/>
      <c r="B1604" s="11"/>
      <c r="C1604" s="11"/>
      <c r="D1604" s="11"/>
      <c r="E1604" s="45"/>
      <c r="F1604" s="40"/>
      <c r="G1604" s="11"/>
      <c r="K1604" s="40"/>
      <c r="N1604" s="11"/>
      <c r="O1604" s="11"/>
      <c r="P1604" s="11"/>
      <c r="Q1604" s="11"/>
      <c r="R1604" s="11"/>
      <c r="S1604" s="11"/>
      <c r="T1604" s="11"/>
      <c r="U1604" s="11"/>
      <c r="V1604" s="11"/>
      <c r="W1604" s="11"/>
      <c r="X1604" s="11"/>
      <c r="Y1604" s="11"/>
      <c r="Z1604" s="11"/>
      <c r="AA1604" s="11"/>
      <c r="AB1604" s="11"/>
      <c r="AC1604" s="11"/>
      <c r="AD1604" s="40"/>
      <c r="AE1604" s="11"/>
      <c r="AF1604" s="40"/>
      <c r="AI1604" s="11"/>
      <c r="AJ1604" s="11"/>
      <c r="AK1604" s="11"/>
      <c r="AL1604" s="11"/>
      <c r="AM1604" s="11"/>
      <c r="AN1604" s="11"/>
      <c r="AO1604" s="11"/>
      <c r="AY1604" s="11"/>
      <c r="BE1604" s="38"/>
      <c r="BF1604" s="38"/>
      <c r="BG1604" s="38"/>
      <c r="BH1604" s="11"/>
      <c r="BI1604" s="1"/>
      <c r="BJ1604" s="2"/>
      <c r="BK1604" s="1"/>
      <c r="BL1604" s="1"/>
      <c r="BM1604" s="7"/>
      <c r="BN1604" s="7"/>
      <c r="BO1604" s="1"/>
      <c r="BP1604" s="11"/>
      <c r="BQ1604" s="11"/>
    </row>
    <row r="1605" spans="1:69" x14ac:dyDescent="0.3">
      <c r="A1605" s="7"/>
      <c r="B1605" s="11"/>
      <c r="C1605" s="11"/>
      <c r="D1605" s="11"/>
      <c r="E1605" s="45"/>
      <c r="F1605" s="40"/>
      <c r="G1605" s="11"/>
      <c r="K1605" s="40"/>
      <c r="N1605" s="11"/>
      <c r="O1605" s="11"/>
      <c r="P1605" s="11"/>
      <c r="Q1605" s="11"/>
      <c r="R1605" s="11"/>
      <c r="S1605" s="11"/>
      <c r="T1605" s="11"/>
      <c r="U1605" s="11"/>
      <c r="V1605" s="11"/>
      <c r="W1605" s="11"/>
      <c r="X1605" s="11"/>
      <c r="Y1605" s="11"/>
      <c r="Z1605" s="11"/>
      <c r="AA1605" s="11"/>
      <c r="AB1605" s="11"/>
      <c r="AC1605" s="11"/>
      <c r="AD1605" s="40"/>
      <c r="AE1605" s="11"/>
      <c r="AF1605" s="40"/>
      <c r="AI1605" s="11"/>
      <c r="AJ1605" s="11"/>
      <c r="AK1605" s="11"/>
      <c r="AL1605" s="11"/>
      <c r="AM1605" s="11"/>
      <c r="AN1605" s="11"/>
      <c r="AO1605" s="11"/>
      <c r="AY1605" s="11"/>
      <c r="BE1605" s="38"/>
      <c r="BF1605" s="38"/>
      <c r="BG1605" s="38"/>
      <c r="BH1605" s="11"/>
      <c r="BI1605" s="1"/>
      <c r="BJ1605" s="2"/>
      <c r="BK1605" s="1"/>
      <c r="BL1605" s="1"/>
      <c r="BM1605" s="7"/>
      <c r="BN1605" s="7"/>
      <c r="BO1605" s="1"/>
      <c r="BP1605" s="11"/>
      <c r="BQ1605" s="11"/>
    </row>
    <row r="1606" spans="1:69" x14ac:dyDescent="0.3">
      <c r="A1606" s="7"/>
      <c r="B1606" s="11"/>
      <c r="C1606" s="11"/>
      <c r="D1606" s="11"/>
      <c r="E1606" s="45"/>
      <c r="F1606" s="40"/>
      <c r="G1606" s="11"/>
      <c r="K1606" s="40"/>
      <c r="N1606" s="11"/>
      <c r="O1606" s="11"/>
      <c r="P1606" s="11"/>
      <c r="Q1606" s="11"/>
      <c r="R1606" s="11"/>
      <c r="S1606" s="11"/>
      <c r="T1606" s="11"/>
      <c r="U1606" s="11"/>
      <c r="V1606" s="11"/>
      <c r="W1606" s="11"/>
      <c r="X1606" s="11"/>
      <c r="Y1606" s="11"/>
      <c r="Z1606" s="11"/>
      <c r="AA1606" s="11"/>
      <c r="AB1606" s="11"/>
      <c r="AC1606" s="11"/>
      <c r="AD1606" s="40"/>
      <c r="AE1606" s="11"/>
      <c r="AF1606" s="40"/>
      <c r="AI1606" s="11"/>
      <c r="AJ1606" s="11"/>
      <c r="AK1606" s="11"/>
      <c r="AL1606" s="11"/>
      <c r="AM1606" s="11"/>
      <c r="AN1606" s="11"/>
      <c r="AO1606" s="11"/>
      <c r="AY1606" s="11"/>
      <c r="BE1606" s="38"/>
      <c r="BF1606" s="38"/>
      <c r="BG1606" s="38"/>
      <c r="BH1606" s="11"/>
      <c r="BI1606" s="1"/>
      <c r="BJ1606" s="2"/>
      <c r="BK1606" s="1"/>
      <c r="BL1606" s="1"/>
      <c r="BM1606" s="7"/>
      <c r="BN1606" s="7"/>
      <c r="BO1606" s="1"/>
      <c r="BP1606" s="11"/>
      <c r="BQ1606" s="11"/>
    </row>
    <row r="1607" spans="1:69" x14ac:dyDescent="0.3">
      <c r="A1607" s="7"/>
      <c r="B1607" s="11"/>
      <c r="C1607" s="11"/>
      <c r="D1607" s="11"/>
      <c r="E1607" s="45"/>
      <c r="F1607" s="40"/>
      <c r="G1607" s="11"/>
      <c r="K1607" s="40"/>
      <c r="N1607" s="11"/>
      <c r="O1607" s="11"/>
      <c r="P1607" s="11"/>
      <c r="Q1607" s="11"/>
      <c r="R1607" s="11"/>
      <c r="S1607" s="11"/>
      <c r="T1607" s="11"/>
      <c r="U1607" s="11"/>
      <c r="V1607" s="11"/>
      <c r="W1607" s="11"/>
      <c r="X1607" s="11"/>
      <c r="Y1607" s="11"/>
      <c r="Z1607" s="11"/>
      <c r="AA1607" s="11"/>
      <c r="AB1607" s="11"/>
      <c r="AC1607" s="11"/>
      <c r="AD1607" s="40"/>
      <c r="AE1607" s="11"/>
      <c r="AF1607" s="40"/>
      <c r="AI1607" s="11"/>
      <c r="AJ1607" s="11"/>
      <c r="AK1607" s="11"/>
      <c r="AL1607" s="11"/>
      <c r="AM1607" s="11"/>
      <c r="AN1607" s="11"/>
      <c r="AO1607" s="11"/>
      <c r="AY1607" s="11"/>
      <c r="BE1607" s="38"/>
      <c r="BF1607" s="38"/>
      <c r="BG1607" s="38"/>
      <c r="BH1607" s="11"/>
      <c r="BI1607" s="1"/>
      <c r="BJ1607" s="2"/>
      <c r="BK1607" s="1"/>
      <c r="BL1607" s="1"/>
      <c r="BM1607" s="7"/>
      <c r="BN1607" s="7"/>
      <c r="BO1607" s="1"/>
      <c r="BP1607" s="11"/>
      <c r="BQ1607" s="11"/>
    </row>
    <row r="1608" spans="1:69" x14ac:dyDescent="0.3">
      <c r="A1608" s="7"/>
      <c r="B1608" s="11"/>
      <c r="C1608" s="11"/>
      <c r="D1608" s="11"/>
      <c r="E1608" s="45"/>
      <c r="F1608" s="40"/>
      <c r="G1608" s="11"/>
      <c r="K1608" s="40"/>
      <c r="N1608" s="11"/>
      <c r="O1608" s="11"/>
      <c r="P1608" s="11"/>
      <c r="Q1608" s="11"/>
      <c r="R1608" s="11"/>
      <c r="S1608" s="11"/>
      <c r="T1608" s="11"/>
      <c r="U1608" s="11"/>
      <c r="V1608" s="11"/>
      <c r="W1608" s="11"/>
      <c r="X1608" s="11"/>
      <c r="Y1608" s="11"/>
      <c r="Z1608" s="11"/>
      <c r="AA1608" s="11"/>
      <c r="AB1608" s="11"/>
      <c r="AC1608" s="11"/>
      <c r="AD1608" s="40"/>
      <c r="AE1608" s="11"/>
      <c r="AF1608" s="40"/>
      <c r="AI1608" s="11"/>
      <c r="AJ1608" s="11"/>
      <c r="AK1608" s="11"/>
      <c r="AL1608" s="11"/>
      <c r="AM1608" s="11"/>
      <c r="AN1608" s="11"/>
      <c r="AO1608" s="11"/>
      <c r="AY1608" s="11"/>
      <c r="BE1608" s="38"/>
      <c r="BF1608" s="38"/>
      <c r="BG1608" s="38"/>
      <c r="BH1608" s="11"/>
      <c r="BI1608" s="1"/>
      <c r="BJ1608" s="2"/>
      <c r="BK1608" s="1"/>
      <c r="BL1608" s="1"/>
      <c r="BM1608" s="7"/>
      <c r="BN1608" s="7"/>
      <c r="BO1608" s="1"/>
      <c r="BP1608" s="11"/>
      <c r="BQ1608" s="11"/>
    </row>
    <row r="1609" spans="1:69" x14ac:dyDescent="0.3">
      <c r="A1609" s="7"/>
      <c r="B1609" s="11"/>
      <c r="C1609" s="11"/>
      <c r="D1609" s="11"/>
      <c r="E1609" s="45"/>
      <c r="F1609" s="40"/>
      <c r="G1609" s="11"/>
      <c r="K1609" s="40"/>
      <c r="N1609" s="11"/>
      <c r="O1609" s="11"/>
      <c r="P1609" s="11"/>
      <c r="Q1609" s="11"/>
      <c r="R1609" s="11"/>
      <c r="S1609" s="11"/>
      <c r="T1609" s="11"/>
      <c r="U1609" s="11"/>
      <c r="V1609" s="11"/>
      <c r="W1609" s="11"/>
      <c r="X1609" s="11"/>
      <c r="Y1609" s="11"/>
      <c r="Z1609" s="11"/>
      <c r="AA1609" s="11"/>
      <c r="AB1609" s="11"/>
      <c r="AC1609" s="11"/>
      <c r="AD1609" s="40"/>
      <c r="AE1609" s="11"/>
      <c r="AF1609" s="40"/>
      <c r="AI1609" s="11"/>
      <c r="AJ1609" s="11"/>
      <c r="AK1609" s="11"/>
      <c r="AL1609" s="11"/>
      <c r="AM1609" s="11"/>
      <c r="AN1609" s="11"/>
      <c r="AO1609" s="11"/>
      <c r="AY1609" s="11"/>
      <c r="BE1609" s="38"/>
      <c r="BF1609" s="38"/>
      <c r="BG1609" s="38"/>
      <c r="BH1609" s="11"/>
      <c r="BI1609" s="1"/>
      <c r="BJ1609" s="2"/>
      <c r="BK1609" s="1"/>
      <c r="BL1609" s="1"/>
      <c r="BM1609" s="7"/>
      <c r="BN1609" s="7"/>
      <c r="BO1609" s="1"/>
      <c r="BP1609" s="11"/>
      <c r="BQ1609" s="11"/>
    </row>
    <row r="1610" spans="1:69" x14ac:dyDescent="0.3">
      <c r="A1610" s="7"/>
      <c r="B1610" s="11"/>
      <c r="C1610" s="11"/>
      <c r="D1610" s="11"/>
      <c r="E1610" s="45"/>
      <c r="F1610" s="40"/>
      <c r="G1610" s="11"/>
      <c r="K1610" s="40"/>
      <c r="N1610" s="11"/>
      <c r="O1610" s="11"/>
      <c r="P1610" s="11"/>
      <c r="Q1610" s="11"/>
      <c r="R1610" s="11"/>
      <c r="S1610" s="11"/>
      <c r="T1610" s="11"/>
      <c r="U1610" s="11"/>
      <c r="V1610" s="11"/>
      <c r="W1610" s="11"/>
      <c r="X1610" s="11"/>
      <c r="Y1610" s="11"/>
      <c r="Z1610" s="11"/>
      <c r="AA1610" s="11"/>
      <c r="AB1610" s="11"/>
      <c r="AC1610" s="11"/>
      <c r="AD1610" s="40"/>
      <c r="AE1610" s="11"/>
      <c r="AF1610" s="40"/>
      <c r="AI1610" s="11"/>
      <c r="AJ1610" s="11"/>
      <c r="AK1610" s="11"/>
      <c r="AL1610" s="11"/>
      <c r="AM1610" s="11"/>
      <c r="AN1610" s="11"/>
      <c r="AO1610" s="11"/>
      <c r="AY1610" s="11"/>
      <c r="BE1610" s="38"/>
      <c r="BF1610" s="38"/>
      <c r="BG1610" s="38"/>
      <c r="BH1610" s="11"/>
      <c r="BI1610" s="1"/>
      <c r="BJ1610" s="2"/>
      <c r="BK1610" s="1"/>
      <c r="BL1610" s="1"/>
      <c r="BM1610" s="7"/>
      <c r="BN1610" s="7"/>
      <c r="BO1610" s="1"/>
      <c r="BP1610" s="11"/>
      <c r="BQ1610" s="11"/>
    </row>
    <row r="1611" spans="1:69" x14ac:dyDescent="0.3">
      <c r="A1611" s="7"/>
      <c r="B1611" s="11"/>
      <c r="C1611" s="11"/>
      <c r="D1611" s="11"/>
      <c r="E1611" s="45"/>
      <c r="F1611" s="40"/>
      <c r="G1611" s="11"/>
      <c r="K1611" s="40"/>
      <c r="N1611" s="11"/>
      <c r="O1611" s="11"/>
      <c r="P1611" s="11"/>
      <c r="Q1611" s="11"/>
      <c r="R1611" s="11"/>
      <c r="S1611" s="11"/>
      <c r="T1611" s="11"/>
      <c r="U1611" s="11"/>
      <c r="V1611" s="11"/>
      <c r="W1611" s="11"/>
      <c r="X1611" s="11"/>
      <c r="Y1611" s="11"/>
      <c r="Z1611" s="11"/>
      <c r="AA1611" s="11"/>
      <c r="AB1611" s="11"/>
      <c r="AC1611" s="11"/>
      <c r="AD1611" s="40"/>
      <c r="AE1611" s="11"/>
      <c r="AF1611" s="40"/>
      <c r="AI1611" s="11"/>
      <c r="AJ1611" s="11"/>
      <c r="AK1611" s="11"/>
      <c r="AL1611" s="11"/>
      <c r="AM1611" s="11"/>
      <c r="AN1611" s="11"/>
      <c r="AO1611" s="11"/>
      <c r="AY1611" s="11"/>
      <c r="BE1611" s="38"/>
      <c r="BF1611" s="38"/>
      <c r="BG1611" s="38"/>
      <c r="BH1611" s="11"/>
      <c r="BI1611" s="1"/>
      <c r="BJ1611" s="2"/>
      <c r="BK1611" s="1"/>
      <c r="BL1611" s="1"/>
      <c r="BM1611" s="7"/>
      <c r="BN1611" s="7"/>
      <c r="BO1611" s="1"/>
      <c r="BP1611" s="11"/>
      <c r="BQ1611" s="11"/>
    </row>
    <row r="1612" spans="1:69" x14ac:dyDescent="0.3">
      <c r="A1612" s="7"/>
      <c r="B1612" s="11"/>
      <c r="C1612" s="11"/>
      <c r="D1612" s="11"/>
      <c r="E1612" s="45"/>
      <c r="F1612" s="40"/>
      <c r="G1612" s="11"/>
      <c r="K1612" s="40"/>
      <c r="N1612" s="11"/>
      <c r="O1612" s="11"/>
      <c r="P1612" s="11"/>
      <c r="Q1612" s="11"/>
      <c r="R1612" s="11"/>
      <c r="S1612" s="11"/>
      <c r="T1612" s="11"/>
      <c r="U1612" s="11"/>
      <c r="V1612" s="11"/>
      <c r="W1612" s="11"/>
      <c r="X1612" s="11"/>
      <c r="Y1612" s="11"/>
      <c r="Z1612" s="11"/>
      <c r="AA1612" s="11"/>
      <c r="AB1612" s="11"/>
      <c r="AC1612" s="11"/>
      <c r="AD1612" s="40"/>
      <c r="AE1612" s="11"/>
      <c r="AF1612" s="40"/>
      <c r="AI1612" s="11"/>
      <c r="AJ1612" s="11"/>
      <c r="AK1612" s="11"/>
      <c r="AL1612" s="11"/>
      <c r="AM1612" s="11"/>
      <c r="AN1612" s="11"/>
      <c r="AO1612" s="11"/>
      <c r="AY1612" s="11"/>
      <c r="BE1612" s="38"/>
      <c r="BF1612" s="38"/>
      <c r="BG1612" s="38"/>
      <c r="BH1612" s="11"/>
      <c r="BI1612" s="1"/>
      <c r="BJ1612" s="2"/>
      <c r="BK1612" s="1"/>
      <c r="BL1612" s="1"/>
      <c r="BM1612" s="7"/>
      <c r="BN1612" s="7"/>
      <c r="BO1612" s="1"/>
      <c r="BP1612" s="11"/>
      <c r="BQ1612" s="11"/>
    </row>
    <row r="1613" spans="1:69" x14ac:dyDescent="0.3">
      <c r="A1613" s="7"/>
      <c r="B1613" s="11"/>
      <c r="C1613" s="11"/>
      <c r="D1613" s="11"/>
      <c r="E1613" s="45"/>
      <c r="F1613" s="40"/>
      <c r="G1613" s="11"/>
      <c r="K1613" s="40"/>
      <c r="N1613" s="11"/>
      <c r="O1613" s="11"/>
      <c r="P1613" s="11"/>
      <c r="Q1613" s="11"/>
      <c r="R1613" s="11"/>
      <c r="S1613" s="11"/>
      <c r="T1613" s="11"/>
      <c r="U1613" s="11"/>
      <c r="V1613" s="11"/>
      <c r="W1613" s="11"/>
      <c r="X1613" s="11"/>
      <c r="Y1613" s="11"/>
      <c r="Z1613" s="11"/>
      <c r="AA1613" s="11"/>
      <c r="AB1613" s="11"/>
      <c r="AC1613" s="11"/>
      <c r="AD1613" s="40"/>
      <c r="AE1613" s="11"/>
      <c r="AF1613" s="40"/>
      <c r="AI1613" s="11"/>
      <c r="AJ1613" s="11"/>
      <c r="AK1613" s="11"/>
      <c r="AL1613" s="11"/>
      <c r="AM1613" s="11"/>
      <c r="AN1613" s="11"/>
      <c r="AO1613" s="11"/>
      <c r="AY1613" s="11"/>
      <c r="BE1613" s="38"/>
      <c r="BF1613" s="38"/>
      <c r="BG1613" s="38"/>
      <c r="BH1613" s="11"/>
      <c r="BI1613" s="1"/>
      <c r="BJ1613" s="2"/>
      <c r="BK1613" s="1"/>
      <c r="BL1613" s="1"/>
      <c r="BM1613" s="7"/>
      <c r="BN1613" s="7"/>
      <c r="BO1613" s="1"/>
      <c r="BP1613" s="11"/>
      <c r="BQ1613" s="11"/>
    </row>
    <row r="1614" spans="1:69" x14ac:dyDescent="0.3">
      <c r="A1614" s="7"/>
      <c r="B1614" s="11"/>
      <c r="C1614" s="11"/>
      <c r="D1614" s="11"/>
      <c r="E1614" s="45"/>
      <c r="F1614" s="40"/>
      <c r="G1614" s="11"/>
      <c r="K1614" s="40"/>
      <c r="N1614" s="11"/>
      <c r="O1614" s="11"/>
      <c r="P1614" s="11"/>
      <c r="Q1614" s="11"/>
      <c r="R1614" s="11"/>
      <c r="S1614" s="11"/>
      <c r="T1614" s="11"/>
      <c r="U1614" s="11"/>
      <c r="V1614" s="11"/>
      <c r="W1614" s="11"/>
      <c r="X1614" s="11"/>
      <c r="Y1614" s="11"/>
      <c r="Z1614" s="11"/>
      <c r="AA1614" s="11"/>
      <c r="AB1614" s="11"/>
      <c r="AC1614" s="11"/>
      <c r="AD1614" s="40"/>
      <c r="AE1614" s="11"/>
      <c r="AF1614" s="40"/>
      <c r="AI1614" s="11"/>
      <c r="AJ1614" s="11"/>
      <c r="AK1614" s="11"/>
      <c r="AL1614" s="11"/>
      <c r="AM1614" s="11"/>
      <c r="AN1614" s="11"/>
      <c r="AO1614" s="11"/>
      <c r="AY1614" s="11"/>
      <c r="BE1614" s="38"/>
      <c r="BF1614" s="38"/>
      <c r="BG1614" s="38"/>
      <c r="BH1614" s="11"/>
      <c r="BI1614" s="1"/>
      <c r="BJ1614" s="2"/>
      <c r="BK1614" s="1"/>
      <c r="BL1614" s="1"/>
      <c r="BM1614" s="7"/>
      <c r="BN1614" s="7"/>
      <c r="BO1614" s="1"/>
      <c r="BP1614" s="11"/>
      <c r="BQ1614" s="11"/>
    </row>
    <row r="1615" spans="1:69" x14ac:dyDescent="0.3">
      <c r="A1615" s="7"/>
      <c r="B1615" s="11"/>
      <c r="C1615" s="11"/>
      <c r="D1615" s="11"/>
      <c r="E1615" s="45"/>
      <c r="F1615" s="40"/>
      <c r="G1615" s="11"/>
      <c r="K1615" s="40"/>
      <c r="N1615" s="11"/>
      <c r="O1615" s="11"/>
      <c r="P1615" s="11"/>
      <c r="Q1615" s="11"/>
      <c r="R1615" s="11"/>
      <c r="S1615" s="11"/>
      <c r="T1615" s="11"/>
      <c r="U1615" s="11"/>
      <c r="V1615" s="11"/>
      <c r="W1615" s="11"/>
      <c r="X1615" s="11"/>
      <c r="Y1615" s="11"/>
      <c r="Z1615" s="11"/>
      <c r="AA1615" s="11"/>
      <c r="AB1615" s="11"/>
      <c r="AC1615" s="11"/>
      <c r="AD1615" s="40"/>
      <c r="AE1615" s="11"/>
      <c r="AF1615" s="40"/>
      <c r="AI1615" s="11"/>
      <c r="AJ1615" s="11"/>
      <c r="AK1615" s="11"/>
      <c r="AL1615" s="11"/>
      <c r="AM1615" s="11"/>
      <c r="AN1615" s="11"/>
      <c r="AO1615" s="11"/>
      <c r="AY1615" s="11"/>
      <c r="BE1615" s="38"/>
      <c r="BF1615" s="38"/>
      <c r="BG1615" s="38"/>
      <c r="BH1615" s="11"/>
      <c r="BI1615" s="1"/>
      <c r="BJ1615" s="2"/>
      <c r="BK1615" s="1"/>
      <c r="BL1615" s="1"/>
      <c r="BM1615" s="7"/>
      <c r="BN1615" s="7"/>
      <c r="BO1615" s="1"/>
      <c r="BP1615" s="11"/>
      <c r="BQ1615" s="11"/>
    </row>
    <row r="1616" spans="1:69" x14ac:dyDescent="0.3">
      <c r="A1616" s="7"/>
      <c r="B1616" s="11"/>
      <c r="C1616" s="11"/>
      <c r="D1616" s="11"/>
      <c r="E1616" s="45"/>
      <c r="F1616" s="40"/>
      <c r="G1616" s="11"/>
      <c r="K1616" s="40"/>
      <c r="N1616" s="11"/>
      <c r="O1616" s="11"/>
      <c r="P1616" s="11"/>
      <c r="Q1616" s="11"/>
      <c r="R1616" s="11"/>
      <c r="S1616" s="11"/>
      <c r="T1616" s="11"/>
      <c r="U1616" s="11"/>
      <c r="V1616" s="11"/>
      <c r="W1616" s="11"/>
      <c r="X1616" s="11"/>
      <c r="Y1616" s="11"/>
      <c r="Z1616" s="11"/>
      <c r="AA1616" s="11"/>
      <c r="AB1616" s="11"/>
      <c r="AC1616" s="11"/>
      <c r="AD1616" s="40"/>
      <c r="AE1616" s="11"/>
      <c r="AF1616" s="40"/>
      <c r="AI1616" s="11"/>
      <c r="AJ1616" s="11"/>
      <c r="AK1616" s="11"/>
      <c r="AL1616" s="11"/>
      <c r="AM1616" s="11"/>
      <c r="AN1616" s="11"/>
      <c r="AO1616" s="11"/>
      <c r="AY1616" s="11"/>
      <c r="BE1616" s="38"/>
      <c r="BF1616" s="38"/>
      <c r="BG1616" s="38"/>
      <c r="BH1616" s="11"/>
      <c r="BI1616" s="1"/>
      <c r="BJ1616" s="2"/>
      <c r="BK1616" s="1"/>
      <c r="BL1616" s="1"/>
      <c r="BM1616" s="7"/>
      <c r="BN1616" s="7"/>
      <c r="BO1616" s="1"/>
      <c r="BP1616" s="11"/>
      <c r="BQ1616" s="11"/>
    </row>
    <row r="1617" spans="1:69" x14ac:dyDescent="0.3">
      <c r="A1617" s="7"/>
      <c r="B1617" s="11"/>
      <c r="C1617" s="11"/>
      <c r="D1617" s="11"/>
      <c r="E1617" s="45"/>
      <c r="F1617" s="40"/>
      <c r="G1617" s="11"/>
      <c r="K1617" s="40"/>
      <c r="N1617" s="11"/>
      <c r="O1617" s="11"/>
      <c r="P1617" s="11"/>
      <c r="Q1617" s="11"/>
      <c r="R1617" s="11"/>
      <c r="S1617" s="11"/>
      <c r="T1617" s="11"/>
      <c r="U1617" s="11"/>
      <c r="V1617" s="11"/>
      <c r="W1617" s="11"/>
      <c r="X1617" s="11"/>
      <c r="Y1617" s="11"/>
      <c r="Z1617" s="11"/>
      <c r="AA1617" s="11"/>
      <c r="AB1617" s="11"/>
      <c r="AC1617" s="11"/>
      <c r="AD1617" s="40"/>
      <c r="AE1617" s="11"/>
      <c r="AF1617" s="40"/>
      <c r="AI1617" s="11"/>
      <c r="AJ1617" s="11"/>
      <c r="AK1617" s="11"/>
      <c r="AL1617" s="11"/>
      <c r="AM1617" s="11"/>
      <c r="AN1617" s="11"/>
      <c r="AO1617" s="11"/>
      <c r="AY1617" s="11"/>
      <c r="BE1617" s="38"/>
      <c r="BF1617" s="38"/>
      <c r="BG1617" s="38"/>
      <c r="BH1617" s="11"/>
      <c r="BI1617" s="1"/>
      <c r="BJ1617" s="2"/>
      <c r="BK1617" s="1"/>
      <c r="BL1617" s="1"/>
      <c r="BM1617" s="7"/>
      <c r="BN1617" s="7"/>
      <c r="BO1617" s="1"/>
      <c r="BP1617" s="11"/>
      <c r="BQ1617" s="11"/>
    </row>
    <row r="1618" spans="1:69" x14ac:dyDescent="0.3">
      <c r="A1618" s="7"/>
      <c r="B1618" s="11"/>
      <c r="C1618" s="11"/>
      <c r="D1618" s="11"/>
      <c r="E1618" s="45"/>
      <c r="F1618" s="40"/>
      <c r="G1618" s="11"/>
      <c r="K1618" s="40"/>
      <c r="N1618" s="11"/>
      <c r="O1618" s="11"/>
      <c r="P1618" s="11"/>
      <c r="Q1618" s="11"/>
      <c r="R1618" s="11"/>
      <c r="S1618" s="11"/>
      <c r="T1618" s="11"/>
      <c r="U1618" s="11"/>
      <c r="V1618" s="11"/>
      <c r="W1618" s="11"/>
      <c r="X1618" s="11"/>
      <c r="Y1618" s="11"/>
      <c r="Z1618" s="11"/>
      <c r="AA1618" s="11"/>
      <c r="AB1618" s="11"/>
      <c r="AC1618" s="11"/>
      <c r="AD1618" s="40"/>
      <c r="AE1618" s="11"/>
      <c r="AF1618" s="40"/>
      <c r="AI1618" s="11"/>
      <c r="AJ1618" s="11"/>
      <c r="AK1618" s="11"/>
      <c r="AL1618" s="11"/>
      <c r="AM1618" s="11"/>
      <c r="AN1618" s="11"/>
      <c r="AO1618" s="11"/>
      <c r="AY1618" s="11"/>
      <c r="BE1618" s="38"/>
      <c r="BF1618" s="38"/>
      <c r="BG1618" s="38"/>
      <c r="BH1618" s="11"/>
      <c r="BI1618" s="1"/>
      <c r="BJ1618" s="2"/>
      <c r="BK1618" s="1"/>
      <c r="BL1618" s="1"/>
      <c r="BM1618" s="7"/>
      <c r="BN1618" s="7"/>
      <c r="BO1618" s="1"/>
      <c r="BP1618" s="11"/>
      <c r="BQ1618" s="11"/>
    </row>
    <row r="1619" spans="1:69" x14ac:dyDescent="0.3">
      <c r="A1619" s="7"/>
      <c r="B1619" s="11"/>
      <c r="C1619" s="11"/>
      <c r="D1619" s="11"/>
      <c r="E1619" s="45"/>
      <c r="F1619" s="40"/>
      <c r="G1619" s="11"/>
      <c r="K1619" s="40"/>
      <c r="N1619" s="11"/>
      <c r="O1619" s="11"/>
      <c r="P1619" s="11"/>
      <c r="Q1619" s="11"/>
      <c r="R1619" s="11"/>
      <c r="S1619" s="11"/>
      <c r="T1619" s="11"/>
      <c r="U1619" s="11"/>
      <c r="V1619" s="11"/>
      <c r="W1619" s="11"/>
      <c r="X1619" s="11"/>
      <c r="Y1619" s="11"/>
      <c r="Z1619" s="11"/>
      <c r="AA1619" s="11"/>
      <c r="AB1619" s="11"/>
      <c r="AC1619" s="11"/>
      <c r="AD1619" s="40"/>
      <c r="AE1619" s="11"/>
      <c r="AF1619" s="40"/>
      <c r="AI1619" s="11"/>
      <c r="AJ1619" s="11"/>
      <c r="AK1619" s="11"/>
      <c r="AL1619" s="11"/>
      <c r="AM1619" s="11"/>
      <c r="AN1619" s="11"/>
      <c r="AO1619" s="11"/>
      <c r="AY1619" s="11"/>
      <c r="BE1619" s="38"/>
      <c r="BF1619" s="38"/>
      <c r="BG1619" s="38"/>
      <c r="BH1619" s="11"/>
      <c r="BI1619" s="1"/>
      <c r="BJ1619" s="2"/>
      <c r="BK1619" s="1"/>
      <c r="BL1619" s="1"/>
      <c r="BM1619" s="7"/>
      <c r="BN1619" s="7"/>
      <c r="BO1619" s="1"/>
      <c r="BP1619" s="11"/>
      <c r="BQ1619" s="11"/>
    </row>
    <row r="1620" spans="1:69" x14ac:dyDescent="0.3">
      <c r="A1620" s="7"/>
      <c r="B1620" s="11"/>
      <c r="C1620" s="11"/>
      <c r="D1620" s="11"/>
      <c r="E1620" s="45"/>
      <c r="F1620" s="40"/>
      <c r="G1620" s="11"/>
      <c r="K1620" s="40"/>
      <c r="N1620" s="11"/>
      <c r="O1620" s="11"/>
      <c r="P1620" s="11"/>
      <c r="Q1620" s="11"/>
      <c r="R1620" s="11"/>
      <c r="S1620" s="11"/>
      <c r="T1620" s="11"/>
      <c r="U1620" s="11"/>
      <c r="V1620" s="11"/>
      <c r="W1620" s="11"/>
      <c r="X1620" s="11"/>
      <c r="Y1620" s="11"/>
      <c r="Z1620" s="11"/>
      <c r="AA1620" s="11"/>
      <c r="AB1620" s="11"/>
      <c r="AC1620" s="11"/>
      <c r="AD1620" s="40"/>
      <c r="AE1620" s="11"/>
      <c r="AF1620" s="40"/>
      <c r="AI1620" s="11"/>
      <c r="AJ1620" s="11"/>
      <c r="AK1620" s="11"/>
      <c r="AL1620" s="11"/>
      <c r="AM1620" s="11"/>
      <c r="AN1620" s="11"/>
      <c r="AO1620" s="11"/>
      <c r="AY1620" s="11"/>
      <c r="BE1620" s="38"/>
      <c r="BF1620" s="38"/>
      <c r="BG1620" s="38"/>
      <c r="BH1620" s="11"/>
      <c r="BI1620" s="1"/>
      <c r="BJ1620" s="2"/>
      <c r="BK1620" s="1"/>
      <c r="BL1620" s="1"/>
      <c r="BM1620" s="7"/>
      <c r="BN1620" s="7"/>
      <c r="BO1620" s="1"/>
      <c r="BP1620" s="11"/>
      <c r="BQ1620" s="11"/>
    </row>
    <row r="1621" spans="1:69" x14ac:dyDescent="0.3">
      <c r="A1621" s="7"/>
      <c r="B1621" s="11"/>
      <c r="C1621" s="11"/>
      <c r="D1621" s="11"/>
      <c r="E1621" s="45"/>
      <c r="F1621" s="40"/>
      <c r="G1621" s="11"/>
      <c r="K1621" s="40"/>
      <c r="N1621" s="11"/>
      <c r="O1621" s="11"/>
      <c r="P1621" s="11"/>
      <c r="Q1621" s="11"/>
      <c r="R1621" s="11"/>
      <c r="S1621" s="11"/>
      <c r="T1621" s="11"/>
      <c r="U1621" s="11"/>
      <c r="V1621" s="11"/>
      <c r="W1621" s="11"/>
      <c r="X1621" s="11"/>
      <c r="Y1621" s="11"/>
      <c r="Z1621" s="11"/>
      <c r="AA1621" s="11"/>
      <c r="AB1621" s="11"/>
      <c r="AC1621" s="11"/>
      <c r="AD1621" s="40"/>
      <c r="AE1621" s="11"/>
      <c r="AF1621" s="40"/>
      <c r="AI1621" s="11"/>
      <c r="AJ1621" s="11"/>
      <c r="AK1621" s="11"/>
      <c r="AL1621" s="11"/>
      <c r="AM1621" s="11"/>
      <c r="AN1621" s="11"/>
      <c r="AO1621" s="11"/>
      <c r="AY1621" s="11"/>
      <c r="BE1621" s="38"/>
      <c r="BF1621" s="38"/>
      <c r="BG1621" s="38"/>
      <c r="BH1621" s="11"/>
      <c r="BI1621" s="1"/>
      <c r="BJ1621" s="2"/>
      <c r="BK1621" s="1"/>
      <c r="BL1621" s="1"/>
      <c r="BM1621" s="7"/>
      <c r="BN1621" s="7"/>
      <c r="BO1621" s="1"/>
      <c r="BP1621" s="11"/>
      <c r="BQ1621" s="11"/>
    </row>
    <row r="1622" spans="1:69" x14ac:dyDescent="0.3">
      <c r="A1622" s="7"/>
      <c r="B1622" s="11"/>
      <c r="C1622" s="11"/>
      <c r="D1622" s="11"/>
      <c r="E1622" s="45"/>
      <c r="F1622" s="40"/>
      <c r="G1622" s="11"/>
      <c r="K1622" s="40"/>
      <c r="N1622" s="11"/>
      <c r="O1622" s="11"/>
      <c r="P1622" s="11"/>
      <c r="Q1622" s="11"/>
      <c r="R1622" s="11"/>
      <c r="S1622" s="11"/>
      <c r="T1622" s="11"/>
      <c r="U1622" s="11"/>
      <c r="V1622" s="11"/>
      <c r="W1622" s="11"/>
      <c r="X1622" s="11"/>
      <c r="Y1622" s="11"/>
      <c r="Z1622" s="11"/>
      <c r="AA1622" s="11"/>
      <c r="AB1622" s="11"/>
      <c r="AC1622" s="11"/>
      <c r="AD1622" s="40"/>
      <c r="AE1622" s="11"/>
      <c r="AF1622" s="40"/>
      <c r="AI1622" s="11"/>
      <c r="AJ1622" s="11"/>
      <c r="AK1622" s="11"/>
      <c r="AL1622" s="11"/>
      <c r="AM1622" s="11"/>
      <c r="AN1622" s="11"/>
      <c r="AO1622" s="11"/>
      <c r="AY1622" s="11"/>
      <c r="BE1622" s="38"/>
      <c r="BF1622" s="38"/>
      <c r="BG1622" s="38"/>
      <c r="BH1622" s="11"/>
      <c r="BI1622" s="1"/>
      <c r="BJ1622" s="2"/>
      <c r="BK1622" s="1"/>
      <c r="BL1622" s="1"/>
      <c r="BM1622" s="7"/>
      <c r="BN1622" s="7"/>
      <c r="BO1622" s="1"/>
      <c r="BP1622" s="11"/>
      <c r="BQ1622" s="11"/>
    </row>
    <row r="1623" spans="1:69" x14ac:dyDescent="0.3">
      <c r="A1623" s="7"/>
      <c r="B1623" s="11"/>
      <c r="C1623" s="11"/>
      <c r="D1623" s="11"/>
      <c r="E1623" s="45"/>
      <c r="F1623" s="40"/>
      <c r="G1623" s="11"/>
      <c r="K1623" s="40"/>
      <c r="N1623" s="11"/>
      <c r="O1623" s="11"/>
      <c r="P1623" s="11"/>
      <c r="Q1623" s="11"/>
      <c r="R1623" s="11"/>
      <c r="S1623" s="11"/>
      <c r="T1623" s="11"/>
      <c r="U1623" s="11"/>
      <c r="V1623" s="11"/>
      <c r="W1623" s="11"/>
      <c r="X1623" s="11"/>
      <c r="Y1623" s="11"/>
      <c r="Z1623" s="11"/>
      <c r="AA1623" s="11"/>
      <c r="AB1623" s="11"/>
      <c r="AC1623" s="11"/>
      <c r="AD1623" s="40"/>
      <c r="AE1623" s="11"/>
      <c r="AF1623" s="40"/>
      <c r="AI1623" s="11"/>
      <c r="AJ1623" s="11"/>
      <c r="AK1623" s="11"/>
      <c r="AL1623" s="11"/>
      <c r="AM1623" s="11"/>
      <c r="AN1623" s="11"/>
      <c r="AO1623" s="11"/>
      <c r="AY1623" s="11"/>
      <c r="BE1623" s="38"/>
      <c r="BF1623" s="38"/>
      <c r="BG1623" s="38"/>
      <c r="BH1623" s="11"/>
      <c r="BI1623" s="1"/>
      <c r="BJ1623" s="2"/>
      <c r="BK1623" s="1"/>
      <c r="BL1623" s="1"/>
      <c r="BM1623" s="7"/>
      <c r="BN1623" s="7"/>
      <c r="BO1623" s="1"/>
      <c r="BP1623" s="11"/>
      <c r="BQ1623" s="11"/>
    </row>
    <row r="1624" spans="1:69" x14ac:dyDescent="0.3">
      <c r="A1624" s="7"/>
      <c r="B1624" s="11"/>
      <c r="C1624" s="11"/>
      <c r="D1624" s="11"/>
      <c r="E1624" s="45"/>
      <c r="F1624" s="40"/>
      <c r="G1624" s="11"/>
      <c r="K1624" s="40"/>
      <c r="N1624" s="11"/>
      <c r="O1624" s="11"/>
      <c r="P1624" s="11"/>
      <c r="Q1624" s="11"/>
      <c r="R1624" s="11"/>
      <c r="S1624" s="11"/>
      <c r="T1624" s="11"/>
      <c r="U1624" s="11"/>
      <c r="V1624" s="11"/>
      <c r="W1624" s="11"/>
      <c r="X1624" s="11"/>
      <c r="Y1624" s="11"/>
      <c r="Z1624" s="11"/>
      <c r="AA1624" s="11"/>
      <c r="AB1624" s="11"/>
      <c r="AC1624" s="11"/>
      <c r="AD1624" s="40"/>
      <c r="AE1624" s="11"/>
      <c r="AF1624" s="40"/>
      <c r="AI1624" s="11"/>
      <c r="AJ1624" s="11"/>
      <c r="AK1624" s="11"/>
      <c r="AL1624" s="11"/>
      <c r="AM1624" s="11"/>
      <c r="AN1624" s="11"/>
      <c r="AO1624" s="11"/>
      <c r="AY1624" s="11"/>
      <c r="BE1624" s="38"/>
      <c r="BF1624" s="38"/>
      <c r="BG1624" s="38"/>
      <c r="BH1624" s="11"/>
      <c r="BI1624" s="1"/>
      <c r="BJ1624" s="2"/>
      <c r="BK1624" s="1"/>
      <c r="BL1624" s="1"/>
      <c r="BM1624" s="7"/>
      <c r="BN1624" s="7"/>
      <c r="BO1624" s="1"/>
      <c r="BP1624" s="11"/>
      <c r="BQ1624" s="11"/>
    </row>
    <row r="1625" spans="1:69" x14ac:dyDescent="0.3">
      <c r="A1625" s="7"/>
      <c r="B1625" s="11"/>
      <c r="C1625" s="11"/>
      <c r="D1625" s="11"/>
      <c r="E1625" s="45"/>
      <c r="F1625" s="40"/>
      <c r="G1625" s="11"/>
      <c r="K1625" s="40"/>
      <c r="N1625" s="11"/>
      <c r="O1625" s="11"/>
      <c r="P1625" s="11"/>
      <c r="Q1625" s="11"/>
      <c r="R1625" s="11"/>
      <c r="S1625" s="11"/>
      <c r="T1625" s="11"/>
      <c r="U1625" s="11"/>
      <c r="V1625" s="11"/>
      <c r="W1625" s="11"/>
      <c r="X1625" s="11"/>
      <c r="Y1625" s="11"/>
      <c r="Z1625" s="11"/>
      <c r="AA1625" s="11"/>
      <c r="AB1625" s="11"/>
      <c r="AC1625" s="11"/>
      <c r="AD1625" s="40"/>
      <c r="AE1625" s="11"/>
      <c r="AF1625" s="40"/>
      <c r="AI1625" s="11"/>
      <c r="AJ1625" s="11"/>
      <c r="AK1625" s="11"/>
      <c r="AL1625" s="11"/>
      <c r="AM1625" s="11"/>
      <c r="AN1625" s="11"/>
      <c r="AO1625" s="11"/>
      <c r="AY1625" s="11"/>
      <c r="BE1625" s="38"/>
      <c r="BF1625" s="38"/>
      <c r="BG1625" s="38"/>
      <c r="BH1625" s="11"/>
      <c r="BI1625" s="1"/>
      <c r="BJ1625" s="2"/>
      <c r="BK1625" s="1"/>
      <c r="BL1625" s="1"/>
      <c r="BM1625" s="7"/>
      <c r="BN1625" s="7"/>
      <c r="BO1625" s="1"/>
      <c r="BP1625" s="11"/>
      <c r="BQ1625" s="11"/>
    </row>
    <row r="1626" spans="1:69" x14ac:dyDescent="0.3">
      <c r="A1626" s="7"/>
      <c r="B1626" s="11"/>
      <c r="C1626" s="11"/>
      <c r="D1626" s="11"/>
      <c r="E1626" s="45"/>
      <c r="F1626" s="40"/>
      <c r="G1626" s="11"/>
      <c r="K1626" s="40"/>
      <c r="N1626" s="11"/>
      <c r="O1626" s="11"/>
      <c r="P1626" s="11"/>
      <c r="Q1626" s="11"/>
      <c r="R1626" s="11"/>
      <c r="S1626" s="11"/>
      <c r="T1626" s="11"/>
      <c r="U1626" s="11"/>
      <c r="V1626" s="11"/>
      <c r="W1626" s="11"/>
      <c r="X1626" s="11"/>
      <c r="Y1626" s="11"/>
      <c r="Z1626" s="11"/>
      <c r="AA1626" s="11"/>
      <c r="AB1626" s="11"/>
      <c r="AC1626" s="11"/>
      <c r="AD1626" s="40"/>
      <c r="AE1626" s="11"/>
      <c r="AF1626" s="40"/>
      <c r="AI1626" s="11"/>
      <c r="AJ1626" s="11"/>
      <c r="AK1626" s="11"/>
      <c r="AL1626" s="11"/>
      <c r="AM1626" s="11"/>
      <c r="AN1626" s="11"/>
      <c r="AO1626" s="11"/>
      <c r="AY1626" s="11"/>
      <c r="BE1626" s="38"/>
      <c r="BF1626" s="38"/>
      <c r="BG1626" s="38"/>
      <c r="BH1626" s="11"/>
      <c r="BI1626" s="1"/>
      <c r="BJ1626" s="2"/>
      <c r="BK1626" s="1"/>
      <c r="BL1626" s="1"/>
      <c r="BM1626" s="7"/>
      <c r="BN1626" s="7"/>
      <c r="BO1626" s="1"/>
      <c r="BP1626" s="11"/>
      <c r="BQ1626" s="11"/>
    </row>
    <row r="1627" spans="1:69" x14ac:dyDescent="0.3">
      <c r="A1627" s="7"/>
      <c r="B1627" s="11"/>
      <c r="C1627" s="11"/>
      <c r="D1627" s="11"/>
      <c r="E1627" s="45"/>
      <c r="F1627" s="40"/>
      <c r="G1627" s="11"/>
      <c r="K1627" s="40"/>
      <c r="N1627" s="11"/>
      <c r="O1627" s="11"/>
      <c r="P1627" s="11"/>
      <c r="Q1627" s="11"/>
      <c r="R1627" s="11"/>
      <c r="S1627" s="11"/>
      <c r="T1627" s="11"/>
      <c r="U1627" s="11"/>
      <c r="V1627" s="11"/>
      <c r="W1627" s="11"/>
      <c r="X1627" s="11"/>
      <c r="Y1627" s="11"/>
      <c r="Z1627" s="11"/>
      <c r="AA1627" s="11"/>
      <c r="AB1627" s="11"/>
      <c r="AC1627" s="11"/>
      <c r="AD1627" s="40"/>
      <c r="AE1627" s="11"/>
      <c r="AF1627" s="40"/>
      <c r="AI1627" s="11"/>
      <c r="AJ1627" s="11"/>
      <c r="AK1627" s="11"/>
      <c r="AL1627" s="11"/>
      <c r="AM1627" s="11"/>
      <c r="AN1627" s="11"/>
      <c r="AO1627" s="11"/>
      <c r="AY1627" s="11"/>
      <c r="BE1627" s="38"/>
      <c r="BF1627" s="38"/>
      <c r="BG1627" s="38"/>
      <c r="BH1627" s="11"/>
      <c r="BI1627" s="1"/>
      <c r="BJ1627" s="2"/>
      <c r="BK1627" s="1"/>
      <c r="BL1627" s="1"/>
      <c r="BM1627" s="7"/>
      <c r="BN1627" s="7"/>
      <c r="BO1627" s="1"/>
      <c r="BP1627" s="11"/>
      <c r="BQ1627" s="11"/>
    </row>
    <row r="1628" spans="1:69" x14ac:dyDescent="0.3">
      <c r="A1628" s="7"/>
      <c r="B1628" s="11"/>
      <c r="C1628" s="11"/>
      <c r="D1628" s="11"/>
      <c r="E1628" s="45"/>
      <c r="F1628" s="40"/>
      <c r="G1628" s="11"/>
      <c r="K1628" s="40"/>
      <c r="N1628" s="11"/>
      <c r="O1628" s="11"/>
      <c r="P1628" s="11"/>
      <c r="Q1628" s="11"/>
      <c r="R1628" s="11"/>
      <c r="S1628" s="11"/>
      <c r="T1628" s="11"/>
      <c r="U1628" s="11"/>
      <c r="V1628" s="11"/>
      <c r="W1628" s="11"/>
      <c r="X1628" s="11"/>
      <c r="Y1628" s="11"/>
      <c r="Z1628" s="11"/>
      <c r="AA1628" s="11"/>
      <c r="AB1628" s="11"/>
      <c r="AC1628" s="11"/>
      <c r="AD1628" s="40"/>
      <c r="AE1628" s="11"/>
      <c r="AF1628" s="40"/>
      <c r="AI1628" s="11"/>
      <c r="AJ1628" s="11"/>
      <c r="AK1628" s="11"/>
      <c r="AL1628" s="11"/>
      <c r="AM1628" s="11"/>
      <c r="AN1628" s="11"/>
      <c r="AO1628" s="11"/>
      <c r="AY1628" s="11"/>
      <c r="BE1628" s="38"/>
      <c r="BF1628" s="38"/>
      <c r="BG1628" s="38"/>
      <c r="BH1628" s="11"/>
      <c r="BI1628" s="1"/>
      <c r="BJ1628" s="2"/>
      <c r="BK1628" s="1"/>
      <c r="BL1628" s="1"/>
      <c r="BM1628" s="7"/>
      <c r="BN1628" s="7"/>
      <c r="BO1628" s="1"/>
      <c r="BP1628" s="11"/>
      <c r="BQ1628" s="11"/>
    </row>
    <row r="1629" spans="1:69" x14ac:dyDescent="0.3">
      <c r="A1629" s="7"/>
      <c r="B1629" s="11"/>
      <c r="C1629" s="11"/>
      <c r="D1629" s="11"/>
      <c r="E1629" s="45"/>
      <c r="F1629" s="40"/>
      <c r="G1629" s="11"/>
      <c r="K1629" s="40"/>
      <c r="N1629" s="11"/>
      <c r="O1629" s="11"/>
      <c r="P1629" s="11"/>
      <c r="Q1629" s="11"/>
      <c r="R1629" s="11"/>
      <c r="S1629" s="11"/>
      <c r="T1629" s="11"/>
      <c r="U1629" s="11"/>
      <c r="V1629" s="11"/>
      <c r="W1629" s="11"/>
      <c r="X1629" s="11"/>
      <c r="Y1629" s="11"/>
      <c r="Z1629" s="11"/>
      <c r="AA1629" s="11"/>
      <c r="AB1629" s="11"/>
      <c r="AC1629" s="11"/>
      <c r="AD1629" s="40"/>
      <c r="AE1629" s="11"/>
      <c r="AF1629" s="40"/>
      <c r="AI1629" s="11"/>
      <c r="AJ1629" s="11"/>
      <c r="AK1629" s="11"/>
      <c r="AL1629" s="11"/>
      <c r="AM1629" s="11"/>
      <c r="AN1629" s="11"/>
      <c r="AO1629" s="11"/>
      <c r="AY1629" s="11"/>
      <c r="BE1629" s="38"/>
      <c r="BF1629" s="38"/>
      <c r="BG1629" s="38"/>
      <c r="BH1629" s="11"/>
      <c r="BI1629" s="1"/>
      <c r="BJ1629" s="2"/>
      <c r="BK1629" s="1"/>
      <c r="BL1629" s="1"/>
      <c r="BM1629" s="7"/>
      <c r="BN1629" s="7"/>
      <c r="BO1629" s="1"/>
      <c r="BP1629" s="11"/>
      <c r="BQ1629" s="11"/>
    </row>
    <row r="1630" spans="1:69" x14ac:dyDescent="0.3">
      <c r="A1630" s="7"/>
      <c r="B1630" s="11"/>
      <c r="C1630" s="11"/>
      <c r="D1630" s="11"/>
      <c r="E1630" s="45"/>
      <c r="F1630" s="40"/>
      <c r="G1630" s="11"/>
      <c r="K1630" s="40"/>
      <c r="N1630" s="11"/>
      <c r="O1630" s="11"/>
      <c r="P1630" s="11"/>
      <c r="Q1630" s="11"/>
      <c r="R1630" s="11"/>
      <c r="S1630" s="11"/>
      <c r="T1630" s="11"/>
      <c r="U1630" s="11"/>
      <c r="V1630" s="11"/>
      <c r="W1630" s="11"/>
      <c r="X1630" s="11"/>
      <c r="Y1630" s="11"/>
      <c r="Z1630" s="11"/>
      <c r="AA1630" s="11"/>
      <c r="AB1630" s="11"/>
      <c r="AC1630" s="11"/>
      <c r="AD1630" s="40"/>
      <c r="AE1630" s="11"/>
      <c r="AF1630" s="40"/>
      <c r="AI1630" s="11"/>
      <c r="AJ1630" s="11"/>
      <c r="AK1630" s="11"/>
      <c r="AL1630" s="11"/>
      <c r="AM1630" s="11"/>
      <c r="AN1630" s="11"/>
      <c r="AO1630" s="11"/>
      <c r="AY1630" s="11"/>
      <c r="BE1630" s="38"/>
      <c r="BF1630" s="38"/>
      <c r="BG1630" s="38"/>
      <c r="BH1630" s="11"/>
      <c r="BI1630" s="1"/>
      <c r="BJ1630" s="2"/>
      <c r="BK1630" s="1"/>
      <c r="BL1630" s="1"/>
      <c r="BM1630" s="7"/>
      <c r="BN1630" s="7"/>
      <c r="BO1630" s="1"/>
      <c r="BP1630" s="11"/>
      <c r="BQ1630" s="11"/>
    </row>
    <row r="1631" spans="1:69" x14ac:dyDescent="0.3">
      <c r="A1631" s="7"/>
      <c r="B1631" s="11"/>
      <c r="C1631" s="11"/>
      <c r="D1631" s="11"/>
      <c r="E1631" s="45"/>
      <c r="F1631" s="40"/>
      <c r="G1631" s="11"/>
      <c r="K1631" s="40"/>
      <c r="N1631" s="11"/>
      <c r="O1631" s="11"/>
      <c r="P1631" s="11"/>
      <c r="Q1631" s="11"/>
      <c r="R1631" s="11"/>
      <c r="S1631" s="11"/>
      <c r="T1631" s="11"/>
      <c r="U1631" s="11"/>
      <c r="V1631" s="11"/>
      <c r="W1631" s="11"/>
      <c r="X1631" s="11"/>
      <c r="Y1631" s="11"/>
      <c r="Z1631" s="11"/>
      <c r="AA1631" s="11"/>
      <c r="AB1631" s="11"/>
      <c r="AC1631" s="11"/>
      <c r="AD1631" s="40"/>
      <c r="AE1631" s="11"/>
      <c r="AF1631" s="40"/>
      <c r="AI1631" s="11"/>
      <c r="AJ1631" s="11"/>
      <c r="AK1631" s="11"/>
      <c r="AL1631" s="11"/>
      <c r="AM1631" s="11"/>
      <c r="AN1631" s="11"/>
      <c r="AO1631" s="11"/>
      <c r="AY1631" s="11"/>
      <c r="BE1631" s="38"/>
      <c r="BF1631" s="38"/>
      <c r="BG1631" s="38"/>
      <c r="BH1631" s="11"/>
      <c r="BI1631" s="1"/>
      <c r="BJ1631" s="2"/>
      <c r="BK1631" s="1"/>
      <c r="BL1631" s="1"/>
      <c r="BM1631" s="7"/>
      <c r="BN1631" s="7"/>
      <c r="BO1631" s="1"/>
      <c r="BP1631" s="11"/>
      <c r="BQ1631" s="11"/>
    </row>
    <row r="1632" spans="1:69" x14ac:dyDescent="0.3">
      <c r="A1632" s="7"/>
      <c r="B1632" s="11"/>
      <c r="C1632" s="11"/>
      <c r="D1632" s="11"/>
      <c r="E1632" s="45"/>
      <c r="F1632" s="40"/>
      <c r="G1632" s="11"/>
      <c r="K1632" s="40"/>
      <c r="N1632" s="11"/>
      <c r="O1632" s="11"/>
      <c r="P1632" s="11"/>
      <c r="Q1632" s="11"/>
      <c r="R1632" s="11"/>
      <c r="S1632" s="11"/>
      <c r="T1632" s="11"/>
      <c r="U1632" s="11"/>
      <c r="V1632" s="11"/>
      <c r="W1632" s="11"/>
      <c r="X1632" s="11"/>
      <c r="Y1632" s="11"/>
      <c r="Z1632" s="11"/>
      <c r="AA1632" s="11"/>
      <c r="AB1632" s="11"/>
      <c r="AC1632" s="11"/>
      <c r="AD1632" s="40"/>
      <c r="AE1632" s="11"/>
      <c r="AF1632" s="40"/>
      <c r="AI1632" s="11"/>
      <c r="AJ1632" s="11"/>
      <c r="AK1632" s="11"/>
      <c r="AL1632" s="11"/>
      <c r="AM1632" s="11"/>
      <c r="AN1632" s="11"/>
      <c r="AO1632" s="11"/>
      <c r="AY1632" s="11"/>
      <c r="BE1632" s="38"/>
      <c r="BF1632" s="38"/>
      <c r="BG1632" s="38"/>
      <c r="BH1632" s="11"/>
      <c r="BI1632" s="1"/>
      <c r="BJ1632" s="2"/>
      <c r="BK1632" s="1"/>
      <c r="BL1632" s="1"/>
      <c r="BM1632" s="7"/>
      <c r="BN1632" s="7"/>
      <c r="BO1632" s="1"/>
      <c r="BP1632" s="11"/>
      <c r="BQ1632" s="11"/>
    </row>
    <row r="1633" spans="1:69" x14ac:dyDescent="0.3">
      <c r="A1633" s="7"/>
      <c r="B1633" s="11"/>
      <c r="C1633" s="11"/>
      <c r="D1633" s="11"/>
      <c r="E1633" s="45"/>
      <c r="F1633" s="40"/>
      <c r="G1633" s="11"/>
      <c r="K1633" s="40"/>
      <c r="N1633" s="11"/>
      <c r="O1633" s="11"/>
      <c r="P1633" s="11"/>
      <c r="Q1633" s="11"/>
      <c r="R1633" s="11"/>
      <c r="S1633" s="11"/>
      <c r="T1633" s="11"/>
      <c r="U1633" s="11"/>
      <c r="V1633" s="11"/>
      <c r="W1633" s="11"/>
      <c r="X1633" s="11"/>
      <c r="Y1633" s="11"/>
      <c r="Z1633" s="11"/>
      <c r="AA1633" s="11"/>
      <c r="AB1633" s="11"/>
      <c r="AC1633" s="11"/>
      <c r="AD1633" s="40"/>
      <c r="AE1633" s="11"/>
      <c r="AF1633" s="40"/>
      <c r="AI1633" s="11"/>
      <c r="AJ1633" s="11"/>
      <c r="AK1633" s="11"/>
      <c r="AL1633" s="11"/>
      <c r="AM1633" s="11"/>
      <c r="AN1633" s="11"/>
      <c r="AO1633" s="11"/>
      <c r="AY1633" s="11"/>
      <c r="BE1633" s="38"/>
      <c r="BF1633" s="38"/>
      <c r="BG1633" s="38"/>
      <c r="BH1633" s="11"/>
      <c r="BI1633" s="1"/>
      <c r="BJ1633" s="2"/>
      <c r="BK1633" s="1"/>
      <c r="BL1633" s="1"/>
      <c r="BM1633" s="7"/>
      <c r="BN1633" s="7"/>
      <c r="BO1633" s="1"/>
      <c r="BP1633" s="11"/>
      <c r="BQ1633" s="11"/>
    </row>
    <row r="1634" spans="1:69" x14ac:dyDescent="0.3">
      <c r="A1634" s="7"/>
      <c r="B1634" s="11"/>
      <c r="C1634" s="11"/>
      <c r="D1634" s="11"/>
      <c r="E1634" s="45"/>
      <c r="F1634" s="40"/>
      <c r="G1634" s="11"/>
      <c r="K1634" s="40"/>
      <c r="N1634" s="11"/>
      <c r="O1634" s="11"/>
      <c r="P1634" s="11"/>
      <c r="Q1634" s="11"/>
      <c r="R1634" s="11"/>
      <c r="S1634" s="11"/>
      <c r="T1634" s="11"/>
      <c r="U1634" s="11"/>
      <c r="V1634" s="11"/>
      <c r="W1634" s="11"/>
      <c r="X1634" s="11"/>
      <c r="Y1634" s="11"/>
      <c r="Z1634" s="11"/>
      <c r="AA1634" s="11"/>
      <c r="AB1634" s="11"/>
      <c r="AC1634" s="11"/>
      <c r="AD1634" s="40"/>
      <c r="AE1634" s="11"/>
      <c r="AF1634" s="40"/>
      <c r="AI1634" s="11"/>
      <c r="AJ1634" s="11"/>
      <c r="AK1634" s="11"/>
      <c r="AL1634" s="11"/>
      <c r="AM1634" s="11"/>
      <c r="AN1634" s="11"/>
      <c r="AO1634" s="11"/>
      <c r="AY1634" s="11"/>
      <c r="BE1634" s="38"/>
      <c r="BF1634" s="38"/>
      <c r="BG1634" s="38"/>
      <c r="BH1634" s="11"/>
      <c r="BI1634" s="1"/>
      <c r="BJ1634" s="2"/>
      <c r="BK1634" s="1"/>
      <c r="BL1634" s="1"/>
      <c r="BM1634" s="7"/>
      <c r="BN1634" s="7"/>
      <c r="BO1634" s="1"/>
      <c r="BP1634" s="11"/>
      <c r="BQ1634" s="11"/>
    </row>
    <row r="1635" spans="1:69" x14ac:dyDescent="0.3">
      <c r="A1635" s="7"/>
      <c r="B1635" s="11"/>
      <c r="C1635" s="11"/>
      <c r="D1635" s="11"/>
      <c r="E1635" s="45"/>
      <c r="F1635" s="40"/>
      <c r="G1635" s="11"/>
      <c r="K1635" s="40"/>
      <c r="N1635" s="11"/>
      <c r="O1635" s="11"/>
      <c r="P1635" s="11"/>
      <c r="Q1635" s="11"/>
      <c r="R1635" s="11"/>
      <c r="S1635" s="11"/>
      <c r="T1635" s="11"/>
      <c r="U1635" s="11"/>
      <c r="V1635" s="11"/>
      <c r="W1635" s="11"/>
      <c r="X1635" s="11"/>
      <c r="Y1635" s="11"/>
      <c r="Z1635" s="11"/>
      <c r="AA1635" s="11"/>
      <c r="AB1635" s="11"/>
      <c r="AC1635" s="11"/>
      <c r="AD1635" s="40"/>
      <c r="AE1635" s="11"/>
      <c r="AF1635" s="40"/>
      <c r="AI1635" s="11"/>
      <c r="AJ1635" s="11"/>
      <c r="AK1635" s="11"/>
      <c r="AL1635" s="11"/>
      <c r="AM1635" s="11"/>
      <c r="AN1635" s="11"/>
      <c r="AO1635" s="11"/>
      <c r="AY1635" s="11"/>
      <c r="BE1635" s="38"/>
      <c r="BF1635" s="38"/>
      <c r="BG1635" s="38"/>
      <c r="BH1635" s="11"/>
      <c r="BI1635" s="1"/>
      <c r="BJ1635" s="2"/>
      <c r="BK1635" s="1"/>
      <c r="BL1635" s="1"/>
      <c r="BM1635" s="7"/>
      <c r="BN1635" s="7"/>
      <c r="BO1635" s="1"/>
      <c r="BP1635" s="11"/>
      <c r="BQ1635" s="11"/>
    </row>
    <row r="1636" spans="1:69" x14ac:dyDescent="0.3">
      <c r="A1636" s="7"/>
      <c r="B1636" s="11"/>
      <c r="C1636" s="11"/>
      <c r="D1636" s="11"/>
      <c r="E1636" s="45"/>
      <c r="F1636" s="40"/>
      <c r="G1636" s="11"/>
      <c r="K1636" s="40"/>
      <c r="N1636" s="11"/>
      <c r="O1636" s="11"/>
      <c r="P1636" s="11"/>
      <c r="Q1636" s="11"/>
      <c r="R1636" s="11"/>
      <c r="S1636" s="11"/>
      <c r="T1636" s="11"/>
      <c r="U1636" s="11"/>
      <c r="V1636" s="11"/>
      <c r="W1636" s="11"/>
      <c r="X1636" s="11"/>
      <c r="Y1636" s="11"/>
      <c r="Z1636" s="11"/>
      <c r="AA1636" s="11"/>
      <c r="AB1636" s="11"/>
      <c r="AC1636" s="11"/>
      <c r="AD1636" s="40"/>
      <c r="AE1636" s="11"/>
      <c r="AF1636" s="40"/>
      <c r="AI1636" s="11"/>
      <c r="AJ1636" s="11"/>
      <c r="AK1636" s="11"/>
      <c r="AL1636" s="11"/>
      <c r="AM1636" s="11"/>
      <c r="AN1636" s="11"/>
      <c r="AO1636" s="11"/>
      <c r="AY1636" s="11"/>
      <c r="BE1636" s="38"/>
      <c r="BF1636" s="38"/>
      <c r="BG1636" s="38"/>
      <c r="BH1636" s="11"/>
      <c r="BI1636" s="1"/>
      <c r="BJ1636" s="2"/>
      <c r="BK1636" s="1"/>
      <c r="BL1636" s="1"/>
      <c r="BM1636" s="7"/>
      <c r="BN1636" s="7"/>
      <c r="BO1636" s="1"/>
      <c r="BP1636" s="11"/>
      <c r="BQ1636" s="11"/>
    </row>
    <row r="1637" spans="1:69" x14ac:dyDescent="0.3">
      <c r="A1637" s="7"/>
      <c r="B1637" s="11"/>
      <c r="C1637" s="11"/>
      <c r="D1637" s="11"/>
      <c r="E1637" s="45"/>
      <c r="F1637" s="40"/>
      <c r="G1637" s="11"/>
      <c r="K1637" s="40"/>
      <c r="N1637" s="11"/>
      <c r="O1637" s="11"/>
      <c r="P1637" s="11"/>
      <c r="Q1637" s="11"/>
      <c r="R1637" s="11"/>
      <c r="S1637" s="11"/>
      <c r="T1637" s="11"/>
      <c r="U1637" s="11"/>
      <c r="V1637" s="11"/>
      <c r="W1637" s="11"/>
      <c r="X1637" s="11"/>
      <c r="Y1637" s="11"/>
      <c r="Z1637" s="11"/>
      <c r="AA1637" s="11"/>
      <c r="AB1637" s="11"/>
      <c r="AC1637" s="11"/>
      <c r="AD1637" s="40"/>
      <c r="AE1637" s="11"/>
      <c r="AF1637" s="40"/>
      <c r="AI1637" s="11"/>
      <c r="AJ1637" s="11"/>
      <c r="AK1637" s="11"/>
      <c r="AL1637" s="11"/>
      <c r="AM1637" s="11"/>
      <c r="AN1637" s="11"/>
      <c r="AO1637" s="11"/>
      <c r="AY1637" s="11"/>
      <c r="BE1637" s="38"/>
      <c r="BF1637" s="38"/>
      <c r="BG1637" s="38"/>
      <c r="BH1637" s="11"/>
      <c r="BI1637" s="1"/>
      <c r="BJ1637" s="2"/>
      <c r="BK1637" s="1"/>
      <c r="BL1637" s="1"/>
      <c r="BM1637" s="7"/>
      <c r="BN1637" s="7"/>
      <c r="BO1637" s="1"/>
      <c r="BP1637" s="11"/>
      <c r="BQ1637" s="11"/>
    </row>
    <row r="1638" spans="1:69" x14ac:dyDescent="0.3">
      <c r="A1638" s="7"/>
      <c r="B1638" s="11"/>
      <c r="C1638" s="11"/>
      <c r="D1638" s="11"/>
      <c r="E1638" s="45"/>
      <c r="F1638" s="40"/>
      <c r="G1638" s="11"/>
      <c r="K1638" s="40"/>
      <c r="N1638" s="11"/>
      <c r="O1638" s="11"/>
      <c r="P1638" s="11"/>
      <c r="Q1638" s="11"/>
      <c r="R1638" s="11"/>
      <c r="S1638" s="11"/>
      <c r="T1638" s="11"/>
      <c r="U1638" s="11"/>
      <c r="V1638" s="11"/>
      <c r="W1638" s="11"/>
      <c r="X1638" s="11"/>
      <c r="Y1638" s="11"/>
      <c r="Z1638" s="11"/>
      <c r="AA1638" s="11"/>
      <c r="AB1638" s="11"/>
      <c r="AC1638" s="11"/>
      <c r="AD1638" s="40"/>
      <c r="AE1638" s="11"/>
      <c r="AF1638" s="40"/>
      <c r="AI1638" s="11"/>
      <c r="AJ1638" s="11"/>
      <c r="AK1638" s="11"/>
      <c r="AL1638" s="11"/>
      <c r="AM1638" s="11"/>
      <c r="AN1638" s="11"/>
      <c r="AO1638" s="11"/>
      <c r="AY1638" s="11"/>
      <c r="BE1638" s="38"/>
      <c r="BF1638" s="38"/>
      <c r="BG1638" s="38"/>
      <c r="BH1638" s="11"/>
      <c r="BI1638" s="1"/>
      <c r="BJ1638" s="2"/>
      <c r="BK1638" s="1"/>
      <c r="BL1638" s="1"/>
      <c r="BM1638" s="7"/>
      <c r="BN1638" s="7"/>
      <c r="BO1638" s="1"/>
      <c r="BP1638" s="11"/>
      <c r="BQ1638" s="11"/>
    </row>
    <row r="1639" spans="1:69" x14ac:dyDescent="0.3">
      <c r="A1639" s="7"/>
      <c r="B1639" s="11"/>
      <c r="C1639" s="11"/>
      <c r="D1639" s="11"/>
      <c r="E1639" s="45"/>
      <c r="F1639" s="40"/>
      <c r="G1639" s="11"/>
      <c r="K1639" s="40"/>
      <c r="N1639" s="11"/>
      <c r="O1639" s="11"/>
      <c r="P1639" s="11"/>
      <c r="Q1639" s="11"/>
      <c r="R1639" s="11"/>
      <c r="S1639" s="11"/>
      <c r="T1639" s="11"/>
      <c r="U1639" s="11"/>
      <c r="V1639" s="11"/>
      <c r="W1639" s="11"/>
      <c r="X1639" s="11"/>
      <c r="Y1639" s="11"/>
      <c r="Z1639" s="11"/>
      <c r="AA1639" s="11"/>
      <c r="AB1639" s="11"/>
      <c r="AC1639" s="11"/>
      <c r="AD1639" s="40"/>
      <c r="AE1639" s="11"/>
      <c r="AF1639" s="40"/>
      <c r="AI1639" s="11"/>
      <c r="AJ1639" s="11"/>
      <c r="AK1639" s="11"/>
      <c r="AL1639" s="11"/>
      <c r="AM1639" s="11"/>
      <c r="AN1639" s="11"/>
      <c r="AO1639" s="11"/>
      <c r="AY1639" s="11"/>
      <c r="BE1639" s="38"/>
      <c r="BF1639" s="38"/>
      <c r="BG1639" s="38"/>
      <c r="BH1639" s="11"/>
      <c r="BI1639" s="1"/>
      <c r="BJ1639" s="2"/>
      <c r="BK1639" s="1"/>
      <c r="BL1639" s="1"/>
      <c r="BM1639" s="7"/>
      <c r="BN1639" s="7"/>
      <c r="BO1639" s="1"/>
      <c r="BP1639" s="11"/>
      <c r="BQ1639" s="11"/>
    </row>
    <row r="1640" spans="1:69" x14ac:dyDescent="0.3">
      <c r="A1640" s="7"/>
      <c r="B1640" s="11"/>
      <c r="C1640" s="11"/>
      <c r="D1640" s="11"/>
      <c r="E1640" s="45"/>
      <c r="F1640" s="40"/>
      <c r="G1640" s="11"/>
      <c r="K1640" s="40"/>
      <c r="N1640" s="11"/>
      <c r="O1640" s="11"/>
      <c r="P1640" s="11"/>
      <c r="Q1640" s="11"/>
      <c r="R1640" s="11"/>
      <c r="S1640" s="11"/>
      <c r="T1640" s="11"/>
      <c r="U1640" s="11"/>
      <c r="V1640" s="11"/>
      <c r="W1640" s="11"/>
      <c r="X1640" s="11"/>
      <c r="Y1640" s="11"/>
      <c r="Z1640" s="11"/>
      <c r="AA1640" s="11"/>
      <c r="AB1640" s="11"/>
      <c r="AC1640" s="11"/>
      <c r="AD1640" s="40"/>
      <c r="AE1640" s="11"/>
      <c r="AF1640" s="40"/>
      <c r="AI1640" s="11"/>
      <c r="AJ1640" s="11"/>
      <c r="AK1640" s="11"/>
      <c r="AL1640" s="11"/>
      <c r="AM1640" s="11"/>
      <c r="AN1640" s="11"/>
      <c r="AO1640" s="11"/>
      <c r="AY1640" s="11"/>
      <c r="BE1640" s="38"/>
      <c r="BF1640" s="38"/>
      <c r="BG1640" s="38"/>
      <c r="BH1640" s="11"/>
      <c r="BI1640" s="1"/>
      <c r="BJ1640" s="2"/>
      <c r="BK1640" s="1"/>
      <c r="BL1640" s="1"/>
      <c r="BM1640" s="7"/>
      <c r="BN1640" s="7"/>
      <c r="BO1640" s="1"/>
      <c r="BP1640" s="11"/>
      <c r="BQ1640" s="11"/>
    </row>
    <row r="1641" spans="1:69" x14ac:dyDescent="0.3">
      <c r="A1641" s="7"/>
      <c r="B1641" s="11"/>
      <c r="C1641" s="11"/>
      <c r="D1641" s="11"/>
      <c r="E1641" s="45"/>
      <c r="F1641" s="40"/>
      <c r="G1641" s="11"/>
      <c r="K1641" s="40"/>
      <c r="N1641" s="11"/>
      <c r="O1641" s="11"/>
      <c r="P1641" s="11"/>
      <c r="Q1641" s="11"/>
      <c r="R1641" s="11"/>
      <c r="S1641" s="11"/>
      <c r="T1641" s="11"/>
      <c r="U1641" s="11"/>
      <c r="V1641" s="11"/>
      <c r="W1641" s="11"/>
      <c r="X1641" s="11"/>
      <c r="Y1641" s="11"/>
      <c r="Z1641" s="11"/>
      <c r="AA1641" s="11"/>
      <c r="AB1641" s="11"/>
      <c r="AC1641" s="11"/>
      <c r="AD1641" s="40"/>
      <c r="AE1641" s="11"/>
      <c r="AF1641" s="40"/>
      <c r="AI1641" s="11"/>
      <c r="AJ1641" s="11"/>
      <c r="AK1641" s="11"/>
      <c r="AL1641" s="11"/>
      <c r="AM1641" s="11"/>
      <c r="AN1641" s="11"/>
      <c r="AO1641" s="11"/>
      <c r="AY1641" s="11"/>
      <c r="BE1641" s="38"/>
      <c r="BF1641" s="38"/>
      <c r="BG1641" s="38"/>
      <c r="BH1641" s="11"/>
      <c r="BI1641" s="1"/>
      <c r="BJ1641" s="2"/>
      <c r="BK1641" s="1"/>
      <c r="BL1641" s="1"/>
      <c r="BM1641" s="7"/>
      <c r="BN1641" s="7"/>
      <c r="BO1641" s="1"/>
      <c r="BP1641" s="11"/>
      <c r="BQ1641" s="11"/>
    </row>
    <row r="1642" spans="1:69" x14ac:dyDescent="0.3">
      <c r="A1642" s="7"/>
      <c r="B1642" s="11"/>
      <c r="C1642" s="11"/>
      <c r="D1642" s="11"/>
      <c r="E1642" s="45"/>
      <c r="F1642" s="40"/>
      <c r="G1642" s="11"/>
      <c r="K1642" s="40"/>
      <c r="N1642" s="11"/>
      <c r="O1642" s="11"/>
      <c r="P1642" s="11"/>
      <c r="Q1642" s="11"/>
      <c r="R1642" s="11"/>
      <c r="S1642" s="11"/>
      <c r="T1642" s="11"/>
      <c r="U1642" s="11"/>
      <c r="V1642" s="11"/>
      <c r="W1642" s="11"/>
      <c r="X1642" s="11"/>
      <c r="Y1642" s="11"/>
      <c r="Z1642" s="11"/>
      <c r="AA1642" s="11"/>
      <c r="AB1642" s="11"/>
      <c r="AC1642" s="11"/>
      <c r="AD1642" s="40"/>
      <c r="AE1642" s="11"/>
      <c r="AF1642" s="40"/>
      <c r="AI1642" s="11"/>
      <c r="AJ1642" s="11"/>
      <c r="AK1642" s="11"/>
      <c r="AL1642" s="11"/>
      <c r="AM1642" s="11"/>
      <c r="AN1642" s="11"/>
      <c r="AO1642" s="11"/>
      <c r="AY1642" s="11"/>
      <c r="BE1642" s="38"/>
      <c r="BF1642" s="38"/>
      <c r="BG1642" s="38"/>
      <c r="BH1642" s="11"/>
      <c r="BI1642" s="1"/>
      <c r="BJ1642" s="2"/>
      <c r="BK1642" s="1"/>
      <c r="BL1642" s="1"/>
      <c r="BM1642" s="7"/>
      <c r="BN1642" s="7"/>
      <c r="BO1642" s="1"/>
      <c r="BP1642" s="11"/>
      <c r="BQ1642" s="11"/>
    </row>
    <row r="1643" spans="1:69" x14ac:dyDescent="0.3">
      <c r="A1643" s="7"/>
      <c r="B1643" s="11"/>
      <c r="C1643" s="11"/>
      <c r="D1643" s="11"/>
      <c r="E1643" s="45"/>
      <c r="F1643" s="40"/>
      <c r="G1643" s="11"/>
      <c r="K1643" s="40"/>
      <c r="N1643" s="11"/>
      <c r="O1643" s="11"/>
      <c r="P1643" s="11"/>
      <c r="Q1643" s="11"/>
      <c r="R1643" s="11"/>
      <c r="S1643" s="11"/>
      <c r="T1643" s="11"/>
      <c r="U1643" s="11"/>
      <c r="V1643" s="11"/>
      <c r="W1643" s="11"/>
      <c r="X1643" s="11"/>
      <c r="Y1643" s="11"/>
      <c r="Z1643" s="11"/>
      <c r="AA1643" s="11"/>
      <c r="AB1643" s="11"/>
      <c r="AC1643" s="11"/>
      <c r="AD1643" s="40"/>
      <c r="AE1643" s="11"/>
      <c r="AF1643" s="40"/>
      <c r="AI1643" s="11"/>
      <c r="AJ1643" s="11"/>
      <c r="AK1643" s="11"/>
      <c r="AL1643" s="11"/>
      <c r="AM1643" s="11"/>
      <c r="AN1643" s="11"/>
      <c r="AO1643" s="11"/>
      <c r="AY1643" s="11"/>
      <c r="BE1643" s="38"/>
      <c r="BF1643" s="38"/>
      <c r="BG1643" s="38"/>
      <c r="BH1643" s="11"/>
      <c r="BI1643" s="1"/>
      <c r="BJ1643" s="2"/>
      <c r="BK1643" s="1"/>
      <c r="BL1643" s="1"/>
      <c r="BM1643" s="7"/>
      <c r="BN1643" s="7"/>
      <c r="BO1643" s="1"/>
      <c r="BP1643" s="11"/>
      <c r="BQ1643" s="11"/>
    </row>
    <row r="1644" spans="1:69" x14ac:dyDescent="0.3">
      <c r="A1644" s="7"/>
      <c r="B1644" s="11"/>
      <c r="C1644" s="11"/>
      <c r="D1644" s="11"/>
      <c r="E1644" s="45"/>
      <c r="F1644" s="40"/>
      <c r="G1644" s="11"/>
      <c r="K1644" s="40"/>
      <c r="N1644" s="11"/>
      <c r="O1644" s="11"/>
      <c r="P1644" s="11"/>
      <c r="Q1644" s="11"/>
      <c r="R1644" s="11"/>
      <c r="S1644" s="11"/>
      <c r="T1644" s="11"/>
      <c r="U1644" s="11"/>
      <c r="V1644" s="11"/>
      <c r="W1644" s="11"/>
      <c r="X1644" s="11"/>
      <c r="Y1644" s="11"/>
      <c r="Z1644" s="11"/>
      <c r="AA1644" s="11"/>
      <c r="AB1644" s="11"/>
      <c r="AC1644" s="11"/>
      <c r="AD1644" s="40"/>
      <c r="AE1644" s="11"/>
      <c r="AF1644" s="40"/>
      <c r="AI1644" s="11"/>
      <c r="AJ1644" s="11"/>
      <c r="AK1644" s="11"/>
      <c r="AL1644" s="11"/>
      <c r="AM1644" s="11"/>
      <c r="AN1644" s="11"/>
      <c r="AO1644" s="11"/>
      <c r="AY1644" s="11"/>
      <c r="BE1644" s="38"/>
      <c r="BF1644" s="38"/>
      <c r="BG1644" s="38"/>
      <c r="BH1644" s="11"/>
      <c r="BI1644" s="1"/>
      <c r="BJ1644" s="2"/>
      <c r="BK1644" s="1"/>
      <c r="BL1644" s="1"/>
      <c r="BM1644" s="7"/>
      <c r="BN1644" s="7"/>
      <c r="BO1644" s="1"/>
      <c r="BP1644" s="11"/>
      <c r="BQ1644" s="11"/>
    </row>
    <row r="1645" spans="1:69" x14ac:dyDescent="0.3">
      <c r="A1645" s="7"/>
      <c r="B1645" s="11"/>
      <c r="C1645" s="11"/>
      <c r="D1645" s="11"/>
      <c r="E1645" s="45"/>
      <c r="F1645" s="40"/>
      <c r="G1645" s="11"/>
      <c r="K1645" s="40"/>
      <c r="N1645" s="11"/>
      <c r="O1645" s="11"/>
      <c r="P1645" s="11"/>
      <c r="Q1645" s="11"/>
      <c r="R1645" s="11"/>
      <c r="S1645" s="11"/>
      <c r="T1645" s="11"/>
      <c r="U1645" s="11"/>
      <c r="V1645" s="11"/>
      <c r="W1645" s="11"/>
      <c r="X1645" s="11"/>
      <c r="Y1645" s="11"/>
      <c r="Z1645" s="11"/>
      <c r="AA1645" s="11"/>
      <c r="AB1645" s="11"/>
      <c r="AC1645" s="11"/>
      <c r="AD1645" s="40"/>
      <c r="AE1645" s="11"/>
      <c r="AF1645" s="40"/>
      <c r="AI1645" s="11"/>
      <c r="AJ1645" s="11"/>
      <c r="AK1645" s="11"/>
      <c r="AL1645" s="11"/>
      <c r="AM1645" s="11"/>
      <c r="AN1645" s="11"/>
      <c r="AO1645" s="11"/>
      <c r="AY1645" s="11"/>
      <c r="BE1645" s="38"/>
      <c r="BF1645" s="38"/>
      <c r="BG1645" s="38"/>
      <c r="BH1645" s="11"/>
      <c r="BI1645" s="1"/>
      <c r="BJ1645" s="2"/>
      <c r="BK1645" s="1"/>
      <c r="BL1645" s="1"/>
      <c r="BM1645" s="7"/>
      <c r="BN1645" s="7"/>
      <c r="BO1645" s="1"/>
      <c r="BP1645" s="11"/>
      <c r="BQ1645" s="11"/>
    </row>
    <row r="1646" spans="1:69" x14ac:dyDescent="0.3">
      <c r="A1646" s="7"/>
      <c r="B1646" s="11"/>
      <c r="C1646" s="11"/>
      <c r="D1646" s="11"/>
      <c r="E1646" s="45"/>
      <c r="F1646" s="40"/>
      <c r="G1646" s="11"/>
      <c r="K1646" s="40"/>
      <c r="N1646" s="11"/>
      <c r="O1646" s="11"/>
      <c r="P1646" s="11"/>
      <c r="Q1646" s="11"/>
      <c r="R1646" s="11"/>
      <c r="S1646" s="11"/>
      <c r="T1646" s="11"/>
      <c r="U1646" s="11"/>
      <c r="V1646" s="11"/>
      <c r="W1646" s="11"/>
      <c r="X1646" s="11"/>
      <c r="Y1646" s="11"/>
      <c r="Z1646" s="11"/>
      <c r="AA1646" s="11"/>
      <c r="AB1646" s="11"/>
      <c r="AC1646" s="11"/>
      <c r="AD1646" s="40"/>
      <c r="AE1646" s="11"/>
      <c r="AF1646" s="40"/>
      <c r="AI1646" s="11"/>
      <c r="AJ1646" s="11"/>
      <c r="AK1646" s="11"/>
      <c r="AL1646" s="11"/>
      <c r="AM1646" s="11"/>
      <c r="AN1646" s="11"/>
      <c r="AO1646" s="11"/>
      <c r="AY1646" s="11"/>
      <c r="BE1646" s="38"/>
      <c r="BF1646" s="38"/>
      <c r="BG1646" s="38"/>
      <c r="BH1646" s="11"/>
      <c r="BI1646" s="1"/>
      <c r="BJ1646" s="2"/>
      <c r="BK1646" s="1"/>
      <c r="BL1646" s="1"/>
      <c r="BM1646" s="7"/>
      <c r="BN1646" s="7"/>
      <c r="BO1646" s="1"/>
      <c r="BP1646" s="11"/>
      <c r="BQ1646" s="11"/>
    </row>
    <row r="1647" spans="1:69" x14ac:dyDescent="0.3">
      <c r="A1647" s="7"/>
      <c r="B1647" s="11"/>
      <c r="C1647" s="11"/>
      <c r="D1647" s="11"/>
      <c r="E1647" s="45"/>
      <c r="F1647" s="40"/>
      <c r="G1647" s="11"/>
      <c r="K1647" s="40"/>
      <c r="N1647" s="11"/>
      <c r="O1647" s="11"/>
      <c r="P1647" s="11"/>
      <c r="Q1647" s="11"/>
      <c r="R1647" s="11"/>
      <c r="S1647" s="11"/>
      <c r="T1647" s="11"/>
      <c r="U1647" s="11"/>
      <c r="V1647" s="11"/>
      <c r="W1647" s="11"/>
      <c r="X1647" s="11"/>
      <c r="Y1647" s="11"/>
      <c r="Z1647" s="11"/>
      <c r="AA1647" s="11"/>
      <c r="AB1647" s="11"/>
      <c r="AC1647" s="11"/>
      <c r="AD1647" s="40"/>
      <c r="AE1647" s="11"/>
      <c r="AF1647" s="40"/>
      <c r="AI1647" s="11"/>
      <c r="AJ1647" s="11"/>
      <c r="AK1647" s="11"/>
      <c r="AL1647" s="11"/>
      <c r="AM1647" s="11"/>
      <c r="AN1647" s="11"/>
      <c r="AO1647" s="11"/>
      <c r="AY1647" s="11"/>
      <c r="BE1647" s="38"/>
      <c r="BF1647" s="38"/>
      <c r="BG1647" s="38"/>
      <c r="BH1647" s="11"/>
      <c r="BI1647" s="1"/>
      <c r="BJ1647" s="2"/>
      <c r="BK1647" s="1"/>
      <c r="BL1647" s="1"/>
      <c r="BM1647" s="7"/>
      <c r="BN1647" s="7"/>
      <c r="BO1647" s="1"/>
      <c r="BP1647" s="11"/>
      <c r="BQ1647" s="11"/>
    </row>
    <row r="1648" spans="1:69" x14ac:dyDescent="0.3">
      <c r="A1648" s="7"/>
      <c r="B1648" s="11"/>
      <c r="C1648" s="11"/>
      <c r="D1648" s="11"/>
      <c r="E1648" s="45"/>
      <c r="F1648" s="40"/>
      <c r="G1648" s="11"/>
      <c r="K1648" s="40"/>
      <c r="N1648" s="11"/>
      <c r="O1648" s="11"/>
      <c r="P1648" s="11"/>
      <c r="Q1648" s="11"/>
      <c r="R1648" s="11"/>
      <c r="S1648" s="11"/>
      <c r="T1648" s="11"/>
      <c r="U1648" s="11"/>
      <c r="V1648" s="11"/>
      <c r="W1648" s="11"/>
      <c r="X1648" s="11"/>
      <c r="Y1648" s="11"/>
      <c r="Z1648" s="11"/>
      <c r="AA1648" s="11"/>
      <c r="AB1648" s="11"/>
      <c r="AC1648" s="11"/>
      <c r="AD1648" s="40"/>
      <c r="AE1648" s="11"/>
      <c r="AF1648" s="40"/>
      <c r="AI1648" s="11"/>
      <c r="AJ1648" s="11"/>
      <c r="AK1648" s="11"/>
      <c r="AL1648" s="11"/>
      <c r="AM1648" s="11"/>
      <c r="AN1648" s="11"/>
      <c r="AO1648" s="11"/>
      <c r="AY1648" s="11"/>
      <c r="BE1648" s="38"/>
      <c r="BF1648" s="38"/>
      <c r="BG1648" s="38"/>
      <c r="BH1648" s="11"/>
      <c r="BI1648" s="1"/>
      <c r="BJ1648" s="2"/>
      <c r="BK1648" s="1"/>
      <c r="BL1648" s="1"/>
      <c r="BM1648" s="7"/>
      <c r="BN1648" s="7"/>
      <c r="BO1648" s="1"/>
      <c r="BP1648" s="11"/>
      <c r="BQ1648" s="11"/>
    </row>
    <row r="1649" spans="1:69" x14ac:dyDescent="0.3">
      <c r="A1649" s="7"/>
      <c r="B1649" s="11"/>
      <c r="C1649" s="11"/>
      <c r="D1649" s="11"/>
      <c r="E1649" s="45"/>
      <c r="F1649" s="40"/>
      <c r="G1649" s="11"/>
      <c r="K1649" s="40"/>
      <c r="N1649" s="11"/>
      <c r="O1649" s="11"/>
      <c r="P1649" s="11"/>
      <c r="Q1649" s="11"/>
      <c r="R1649" s="11"/>
      <c r="S1649" s="11"/>
      <c r="T1649" s="11"/>
      <c r="U1649" s="11"/>
      <c r="V1649" s="11"/>
      <c r="W1649" s="11"/>
      <c r="X1649" s="11"/>
      <c r="Y1649" s="11"/>
      <c r="Z1649" s="11"/>
      <c r="AA1649" s="11"/>
      <c r="AB1649" s="11"/>
      <c r="AC1649" s="11"/>
      <c r="AD1649" s="40"/>
      <c r="AE1649" s="11"/>
      <c r="AF1649" s="40"/>
      <c r="AI1649" s="11"/>
      <c r="AJ1649" s="11"/>
      <c r="AK1649" s="11"/>
      <c r="AL1649" s="11"/>
      <c r="AM1649" s="11"/>
      <c r="AN1649" s="11"/>
      <c r="AO1649" s="11"/>
      <c r="AY1649" s="11"/>
      <c r="BE1649" s="38"/>
      <c r="BF1649" s="38"/>
      <c r="BG1649" s="38"/>
      <c r="BH1649" s="11"/>
      <c r="BI1649" s="1"/>
      <c r="BJ1649" s="2"/>
      <c r="BK1649" s="1"/>
      <c r="BL1649" s="1"/>
      <c r="BM1649" s="7"/>
      <c r="BN1649" s="7"/>
      <c r="BO1649" s="1"/>
      <c r="BP1649" s="11"/>
      <c r="BQ1649" s="11"/>
    </row>
    <row r="1650" spans="1:69" x14ac:dyDescent="0.3">
      <c r="A1650" s="7"/>
      <c r="B1650" s="11"/>
      <c r="C1650" s="11"/>
      <c r="D1650" s="11"/>
      <c r="E1650" s="45"/>
      <c r="F1650" s="40"/>
      <c r="G1650" s="11"/>
      <c r="K1650" s="40"/>
      <c r="N1650" s="11"/>
      <c r="O1650" s="11"/>
      <c r="P1650" s="11"/>
      <c r="Q1650" s="11"/>
      <c r="R1650" s="11"/>
      <c r="S1650" s="11"/>
      <c r="T1650" s="11"/>
      <c r="U1650" s="11"/>
      <c r="V1650" s="11"/>
      <c r="W1650" s="11"/>
      <c r="X1650" s="11"/>
      <c r="Y1650" s="11"/>
      <c r="Z1650" s="11"/>
      <c r="AA1650" s="11"/>
      <c r="AB1650" s="11"/>
      <c r="AC1650" s="11"/>
      <c r="AD1650" s="40"/>
      <c r="AE1650" s="11"/>
      <c r="AF1650" s="40"/>
      <c r="AI1650" s="11"/>
      <c r="AJ1650" s="11"/>
      <c r="AK1650" s="11"/>
      <c r="AL1650" s="11"/>
      <c r="AM1650" s="11"/>
      <c r="AN1650" s="11"/>
      <c r="AO1650" s="11"/>
      <c r="AY1650" s="11"/>
      <c r="BE1650" s="38"/>
      <c r="BF1650" s="38"/>
      <c r="BG1650" s="38"/>
      <c r="BH1650" s="11"/>
      <c r="BI1650" s="1"/>
      <c r="BJ1650" s="2"/>
      <c r="BK1650" s="1"/>
      <c r="BL1650" s="1"/>
      <c r="BM1650" s="7"/>
      <c r="BN1650" s="7"/>
      <c r="BO1650" s="1"/>
      <c r="BP1650" s="11"/>
      <c r="BQ1650" s="11"/>
    </row>
    <row r="1651" spans="1:69" x14ac:dyDescent="0.3">
      <c r="A1651" s="7"/>
      <c r="B1651" s="11"/>
      <c r="C1651" s="11"/>
      <c r="D1651" s="11"/>
      <c r="E1651" s="45"/>
      <c r="F1651" s="40"/>
      <c r="G1651" s="11"/>
      <c r="K1651" s="40"/>
      <c r="N1651" s="11"/>
      <c r="O1651" s="11"/>
      <c r="P1651" s="11"/>
      <c r="Q1651" s="11"/>
      <c r="R1651" s="11"/>
      <c r="S1651" s="11"/>
      <c r="T1651" s="11"/>
      <c r="U1651" s="11"/>
      <c r="V1651" s="11"/>
      <c r="W1651" s="11"/>
      <c r="X1651" s="11"/>
      <c r="Y1651" s="11"/>
      <c r="Z1651" s="11"/>
      <c r="AA1651" s="11"/>
      <c r="AB1651" s="11"/>
      <c r="AC1651" s="11"/>
      <c r="AD1651" s="40"/>
      <c r="AE1651" s="11"/>
      <c r="AF1651" s="40"/>
      <c r="AI1651" s="11"/>
      <c r="AJ1651" s="11"/>
      <c r="AK1651" s="11"/>
      <c r="AL1651" s="11"/>
      <c r="AM1651" s="11"/>
      <c r="AN1651" s="11"/>
      <c r="AO1651" s="11"/>
      <c r="AY1651" s="11"/>
      <c r="BE1651" s="38"/>
      <c r="BF1651" s="38"/>
      <c r="BG1651" s="38"/>
      <c r="BH1651" s="11"/>
      <c r="BI1651" s="1"/>
      <c r="BJ1651" s="2"/>
      <c r="BK1651" s="1"/>
      <c r="BL1651" s="1"/>
      <c r="BM1651" s="7"/>
      <c r="BN1651" s="7"/>
      <c r="BO1651" s="1"/>
      <c r="BP1651" s="11"/>
      <c r="BQ1651" s="11"/>
    </row>
    <row r="1652" spans="1:69" x14ac:dyDescent="0.3">
      <c r="A1652" s="7"/>
      <c r="B1652" s="11"/>
      <c r="C1652" s="11"/>
      <c r="D1652" s="11"/>
      <c r="E1652" s="45"/>
      <c r="F1652" s="40"/>
      <c r="G1652" s="11"/>
      <c r="K1652" s="40"/>
      <c r="N1652" s="11"/>
      <c r="O1652" s="11"/>
      <c r="P1652" s="11"/>
      <c r="Q1652" s="11"/>
      <c r="R1652" s="11"/>
      <c r="S1652" s="11"/>
      <c r="T1652" s="11"/>
      <c r="U1652" s="11"/>
      <c r="V1652" s="11"/>
      <c r="W1652" s="11"/>
      <c r="X1652" s="11"/>
      <c r="Y1652" s="11"/>
      <c r="Z1652" s="11"/>
      <c r="AA1652" s="11"/>
      <c r="AB1652" s="11"/>
      <c r="AC1652" s="11"/>
      <c r="AD1652" s="40"/>
      <c r="AE1652" s="11"/>
      <c r="AF1652" s="40"/>
      <c r="AI1652" s="11"/>
      <c r="AJ1652" s="11"/>
      <c r="AK1652" s="11"/>
      <c r="AL1652" s="11"/>
      <c r="AM1652" s="11"/>
      <c r="AN1652" s="11"/>
      <c r="AO1652" s="11"/>
      <c r="AY1652" s="11"/>
      <c r="BE1652" s="38"/>
      <c r="BF1652" s="38"/>
      <c r="BG1652" s="38"/>
      <c r="BH1652" s="11"/>
      <c r="BI1652" s="1"/>
      <c r="BJ1652" s="2"/>
      <c r="BK1652" s="1"/>
      <c r="BL1652" s="1"/>
      <c r="BM1652" s="7"/>
      <c r="BN1652" s="7"/>
      <c r="BO1652" s="1"/>
      <c r="BP1652" s="11"/>
      <c r="BQ1652" s="11"/>
    </row>
    <row r="1653" spans="1:69" x14ac:dyDescent="0.3">
      <c r="A1653" s="7"/>
      <c r="B1653" s="11"/>
      <c r="C1653" s="11"/>
      <c r="D1653" s="11"/>
      <c r="E1653" s="45"/>
      <c r="F1653" s="40"/>
      <c r="G1653" s="11"/>
      <c r="K1653" s="40"/>
      <c r="N1653" s="11"/>
      <c r="O1653" s="11"/>
      <c r="P1653" s="11"/>
      <c r="Q1653" s="11"/>
      <c r="R1653" s="11"/>
      <c r="S1653" s="11"/>
      <c r="T1653" s="11"/>
      <c r="U1653" s="11"/>
      <c r="V1653" s="11"/>
      <c r="W1653" s="11"/>
      <c r="X1653" s="11"/>
      <c r="Y1653" s="11"/>
      <c r="Z1653" s="11"/>
      <c r="AA1653" s="11"/>
      <c r="AB1653" s="11"/>
      <c r="AC1653" s="11"/>
      <c r="AD1653" s="40"/>
      <c r="AE1653" s="11"/>
      <c r="AF1653" s="40"/>
      <c r="AI1653" s="11"/>
      <c r="AJ1653" s="11"/>
      <c r="AK1653" s="11"/>
      <c r="AL1653" s="11"/>
      <c r="AM1653" s="11"/>
      <c r="AN1653" s="11"/>
      <c r="AO1653" s="11"/>
      <c r="AY1653" s="11"/>
      <c r="BE1653" s="38"/>
      <c r="BF1653" s="38"/>
      <c r="BG1653" s="38"/>
      <c r="BH1653" s="11"/>
      <c r="BI1653" s="1"/>
      <c r="BJ1653" s="2"/>
      <c r="BK1653" s="1"/>
      <c r="BL1653" s="1"/>
      <c r="BM1653" s="7"/>
      <c r="BN1653" s="7"/>
      <c r="BO1653" s="1"/>
      <c r="BP1653" s="11"/>
      <c r="BQ1653" s="11"/>
    </row>
    <row r="1654" spans="1:69" x14ac:dyDescent="0.3">
      <c r="A1654" s="7"/>
      <c r="B1654" s="11"/>
      <c r="C1654" s="11"/>
      <c r="D1654" s="11"/>
      <c r="E1654" s="45"/>
      <c r="F1654" s="40"/>
      <c r="G1654" s="11"/>
      <c r="K1654" s="40"/>
      <c r="N1654" s="11"/>
      <c r="O1654" s="11"/>
      <c r="P1654" s="11"/>
      <c r="Q1654" s="11"/>
      <c r="R1654" s="11"/>
      <c r="S1654" s="11"/>
      <c r="T1654" s="11"/>
      <c r="U1654" s="11"/>
      <c r="V1654" s="11"/>
      <c r="W1654" s="11"/>
      <c r="X1654" s="11"/>
      <c r="Y1654" s="11"/>
      <c r="Z1654" s="11"/>
      <c r="AA1654" s="11"/>
      <c r="AB1654" s="11"/>
      <c r="AC1654" s="11"/>
      <c r="AD1654" s="40"/>
      <c r="AE1654" s="11"/>
      <c r="AF1654" s="40"/>
      <c r="AI1654" s="11"/>
      <c r="AJ1654" s="11"/>
      <c r="AK1654" s="11"/>
      <c r="AL1654" s="11"/>
      <c r="AM1654" s="11"/>
      <c r="AN1654" s="11"/>
      <c r="AO1654" s="11"/>
      <c r="AY1654" s="11"/>
      <c r="BE1654" s="38"/>
      <c r="BF1654" s="38"/>
      <c r="BG1654" s="38"/>
      <c r="BH1654" s="11"/>
      <c r="BI1654" s="1"/>
      <c r="BJ1654" s="2"/>
      <c r="BK1654" s="1"/>
      <c r="BL1654" s="1"/>
      <c r="BM1654" s="7"/>
      <c r="BN1654" s="7"/>
      <c r="BO1654" s="1"/>
      <c r="BP1654" s="11"/>
      <c r="BQ1654" s="11"/>
    </row>
    <row r="1655" spans="1:69" x14ac:dyDescent="0.3">
      <c r="A1655" s="7"/>
      <c r="B1655" s="11"/>
      <c r="C1655" s="11"/>
      <c r="D1655" s="11"/>
      <c r="E1655" s="45"/>
      <c r="F1655" s="40"/>
      <c r="G1655" s="11"/>
      <c r="K1655" s="40"/>
      <c r="N1655" s="11"/>
      <c r="O1655" s="11"/>
      <c r="P1655" s="11"/>
      <c r="Q1655" s="11"/>
      <c r="R1655" s="11"/>
      <c r="S1655" s="11"/>
      <c r="T1655" s="11"/>
      <c r="U1655" s="11"/>
      <c r="V1655" s="11"/>
      <c r="W1655" s="11"/>
      <c r="X1655" s="11"/>
      <c r="Y1655" s="11"/>
      <c r="Z1655" s="11"/>
      <c r="AA1655" s="11"/>
      <c r="AB1655" s="11"/>
      <c r="AC1655" s="11"/>
      <c r="AD1655" s="40"/>
      <c r="AE1655" s="11"/>
      <c r="AF1655" s="40"/>
      <c r="AI1655" s="11"/>
      <c r="AJ1655" s="11"/>
      <c r="AK1655" s="11"/>
      <c r="AL1655" s="11"/>
      <c r="AM1655" s="11"/>
      <c r="AN1655" s="11"/>
      <c r="AO1655" s="11"/>
      <c r="AY1655" s="11"/>
      <c r="BE1655" s="38"/>
      <c r="BF1655" s="38"/>
      <c r="BG1655" s="38"/>
      <c r="BH1655" s="11"/>
      <c r="BI1655" s="1"/>
      <c r="BJ1655" s="2"/>
      <c r="BK1655" s="1"/>
      <c r="BL1655" s="1"/>
      <c r="BM1655" s="7"/>
      <c r="BN1655" s="7"/>
      <c r="BO1655" s="1"/>
      <c r="BP1655" s="11"/>
      <c r="BQ1655" s="11"/>
    </row>
    <row r="1656" spans="1:69" x14ac:dyDescent="0.3">
      <c r="A1656" s="7"/>
      <c r="B1656" s="11"/>
      <c r="C1656" s="11"/>
      <c r="D1656" s="11"/>
      <c r="E1656" s="45"/>
      <c r="F1656" s="40"/>
      <c r="G1656" s="11"/>
      <c r="K1656" s="40"/>
      <c r="N1656" s="11"/>
      <c r="O1656" s="11"/>
      <c r="P1656" s="11"/>
      <c r="Q1656" s="11"/>
      <c r="R1656" s="11"/>
      <c r="S1656" s="11"/>
      <c r="T1656" s="11"/>
      <c r="U1656" s="11"/>
      <c r="V1656" s="11"/>
      <c r="W1656" s="11"/>
      <c r="X1656" s="11"/>
      <c r="Y1656" s="11"/>
      <c r="Z1656" s="11"/>
      <c r="AA1656" s="11"/>
      <c r="AB1656" s="11"/>
      <c r="AC1656" s="11"/>
      <c r="AD1656" s="40"/>
      <c r="AE1656" s="11"/>
      <c r="AF1656" s="40"/>
      <c r="AI1656" s="11"/>
      <c r="AJ1656" s="11"/>
      <c r="AK1656" s="11"/>
      <c r="AL1656" s="11"/>
      <c r="AM1656" s="11"/>
      <c r="AN1656" s="11"/>
      <c r="AO1656" s="11"/>
      <c r="AY1656" s="11"/>
      <c r="BE1656" s="38"/>
      <c r="BF1656" s="38"/>
      <c r="BG1656" s="38"/>
      <c r="BH1656" s="11"/>
      <c r="BI1656" s="1"/>
      <c r="BJ1656" s="2"/>
      <c r="BK1656" s="1"/>
      <c r="BL1656" s="1"/>
      <c r="BM1656" s="7"/>
      <c r="BN1656" s="7"/>
      <c r="BO1656" s="1"/>
      <c r="BP1656" s="11"/>
      <c r="BQ1656" s="11"/>
    </row>
    <row r="1657" spans="1:69" x14ac:dyDescent="0.3">
      <c r="A1657" s="7"/>
      <c r="B1657" s="11"/>
      <c r="C1657" s="11"/>
      <c r="D1657" s="11"/>
      <c r="E1657" s="45"/>
      <c r="F1657" s="40"/>
      <c r="G1657" s="11"/>
      <c r="K1657" s="40"/>
      <c r="N1657" s="11"/>
      <c r="O1657" s="11"/>
      <c r="P1657" s="11"/>
      <c r="Q1657" s="11"/>
      <c r="R1657" s="11"/>
      <c r="S1657" s="11"/>
      <c r="T1657" s="11"/>
      <c r="U1657" s="11"/>
      <c r="V1657" s="11"/>
      <c r="W1657" s="11"/>
      <c r="X1657" s="11"/>
      <c r="Y1657" s="11"/>
      <c r="Z1657" s="11"/>
      <c r="AA1657" s="11"/>
      <c r="AB1657" s="11"/>
      <c r="AC1657" s="11"/>
      <c r="AD1657" s="40"/>
      <c r="AE1657" s="11"/>
      <c r="AF1657" s="40"/>
      <c r="AI1657" s="11"/>
      <c r="AJ1657" s="11"/>
      <c r="AK1657" s="11"/>
      <c r="AL1657" s="11"/>
      <c r="AM1657" s="11"/>
      <c r="AN1657" s="11"/>
      <c r="AO1657" s="11"/>
      <c r="AY1657" s="11"/>
      <c r="BE1657" s="38"/>
      <c r="BF1657" s="38"/>
      <c r="BG1657" s="38"/>
      <c r="BH1657" s="11"/>
      <c r="BI1657" s="1"/>
      <c r="BJ1657" s="2"/>
      <c r="BK1657" s="1"/>
      <c r="BL1657" s="1"/>
      <c r="BM1657" s="7"/>
      <c r="BN1657" s="7"/>
      <c r="BO1657" s="1"/>
      <c r="BP1657" s="11"/>
      <c r="BQ1657" s="11"/>
    </row>
    <row r="1658" spans="1:69" x14ac:dyDescent="0.3">
      <c r="A1658" s="7"/>
      <c r="B1658" s="11"/>
      <c r="C1658" s="11"/>
      <c r="D1658" s="11"/>
      <c r="E1658" s="45"/>
      <c r="F1658" s="40"/>
      <c r="G1658" s="11"/>
      <c r="K1658" s="40"/>
      <c r="N1658" s="11"/>
      <c r="O1658" s="11"/>
      <c r="P1658" s="11"/>
      <c r="Q1658" s="11"/>
      <c r="R1658" s="11"/>
      <c r="S1658" s="11"/>
      <c r="T1658" s="11"/>
      <c r="U1658" s="11"/>
      <c r="V1658" s="11"/>
      <c r="W1658" s="11"/>
      <c r="X1658" s="11"/>
      <c r="Y1658" s="11"/>
      <c r="Z1658" s="11"/>
      <c r="AA1658" s="11"/>
      <c r="AB1658" s="11"/>
      <c r="AC1658" s="11"/>
      <c r="AD1658" s="40"/>
      <c r="AE1658" s="11"/>
      <c r="AF1658" s="40"/>
      <c r="AI1658" s="11"/>
      <c r="AJ1658" s="11"/>
      <c r="AK1658" s="11"/>
      <c r="AL1658" s="11"/>
      <c r="AM1658" s="11"/>
      <c r="AN1658" s="11"/>
      <c r="AO1658" s="11"/>
      <c r="AY1658" s="11"/>
      <c r="BE1658" s="38"/>
      <c r="BF1658" s="38"/>
      <c r="BG1658" s="38"/>
      <c r="BH1658" s="11"/>
      <c r="BI1658" s="1"/>
      <c r="BJ1658" s="2"/>
      <c r="BK1658" s="1"/>
      <c r="BL1658" s="1"/>
      <c r="BM1658" s="7"/>
      <c r="BN1658" s="7"/>
      <c r="BO1658" s="1"/>
      <c r="BP1658" s="11"/>
      <c r="BQ1658" s="11"/>
    </row>
    <row r="1659" spans="1:69" x14ac:dyDescent="0.3">
      <c r="A1659" s="7"/>
      <c r="B1659" s="11"/>
      <c r="C1659" s="11"/>
      <c r="D1659" s="11"/>
      <c r="E1659" s="45"/>
      <c r="F1659" s="40"/>
      <c r="G1659" s="11"/>
      <c r="K1659" s="40"/>
      <c r="N1659" s="11"/>
      <c r="O1659" s="11"/>
      <c r="P1659" s="11"/>
      <c r="Q1659" s="11"/>
      <c r="R1659" s="11"/>
      <c r="S1659" s="11"/>
      <c r="T1659" s="11"/>
      <c r="U1659" s="11"/>
      <c r="V1659" s="11"/>
      <c r="W1659" s="11"/>
      <c r="X1659" s="11"/>
      <c r="Y1659" s="11"/>
      <c r="Z1659" s="11"/>
      <c r="AA1659" s="11"/>
      <c r="AB1659" s="11"/>
      <c r="AC1659" s="11"/>
      <c r="AD1659" s="40"/>
      <c r="AE1659" s="11"/>
      <c r="AF1659" s="40"/>
      <c r="AI1659" s="11"/>
      <c r="AJ1659" s="11"/>
      <c r="AK1659" s="11"/>
      <c r="AL1659" s="11"/>
      <c r="AM1659" s="11"/>
      <c r="AN1659" s="11"/>
      <c r="AO1659" s="11"/>
      <c r="AY1659" s="11"/>
      <c r="BE1659" s="38"/>
      <c r="BF1659" s="38"/>
      <c r="BG1659" s="38"/>
      <c r="BH1659" s="11"/>
      <c r="BI1659" s="1"/>
      <c r="BJ1659" s="2"/>
      <c r="BK1659" s="1"/>
      <c r="BL1659" s="1"/>
      <c r="BM1659" s="7"/>
      <c r="BN1659" s="7"/>
      <c r="BO1659" s="1"/>
      <c r="BP1659" s="11"/>
      <c r="BQ1659" s="11"/>
    </row>
    <row r="1660" spans="1:69" x14ac:dyDescent="0.3">
      <c r="A1660" s="7"/>
      <c r="B1660" s="11"/>
      <c r="C1660" s="11"/>
      <c r="D1660" s="11"/>
      <c r="E1660" s="45"/>
      <c r="F1660" s="40"/>
      <c r="G1660" s="11"/>
      <c r="K1660" s="40"/>
      <c r="N1660" s="11"/>
      <c r="O1660" s="11"/>
      <c r="P1660" s="11"/>
      <c r="Q1660" s="11"/>
      <c r="R1660" s="11"/>
      <c r="S1660" s="11"/>
      <c r="T1660" s="11"/>
      <c r="U1660" s="11"/>
      <c r="V1660" s="11"/>
      <c r="W1660" s="11"/>
      <c r="X1660" s="11"/>
      <c r="Y1660" s="11"/>
      <c r="Z1660" s="11"/>
      <c r="AA1660" s="11"/>
      <c r="AB1660" s="11"/>
      <c r="AC1660" s="11"/>
      <c r="AD1660" s="40"/>
      <c r="AE1660" s="11"/>
      <c r="AF1660" s="40"/>
      <c r="AI1660" s="11"/>
      <c r="AJ1660" s="11"/>
      <c r="AK1660" s="11"/>
      <c r="AL1660" s="11"/>
      <c r="AM1660" s="11"/>
      <c r="AN1660" s="11"/>
      <c r="AO1660" s="11"/>
      <c r="AY1660" s="11"/>
      <c r="BE1660" s="38"/>
      <c r="BF1660" s="38"/>
      <c r="BG1660" s="38"/>
      <c r="BH1660" s="11"/>
      <c r="BI1660" s="1"/>
      <c r="BJ1660" s="2"/>
      <c r="BK1660" s="1"/>
      <c r="BL1660" s="1"/>
      <c r="BM1660" s="7"/>
      <c r="BN1660" s="7"/>
      <c r="BO1660" s="1"/>
      <c r="BP1660" s="11"/>
      <c r="BQ1660" s="11"/>
    </row>
    <row r="1661" spans="1:69" x14ac:dyDescent="0.3">
      <c r="A1661" s="7"/>
      <c r="B1661" s="11"/>
      <c r="C1661" s="11"/>
      <c r="D1661" s="11"/>
      <c r="E1661" s="45"/>
      <c r="F1661" s="40"/>
      <c r="G1661" s="11"/>
      <c r="K1661" s="40"/>
      <c r="N1661" s="11"/>
      <c r="O1661" s="11"/>
      <c r="P1661" s="11"/>
      <c r="Q1661" s="11"/>
      <c r="R1661" s="11"/>
      <c r="S1661" s="11"/>
      <c r="T1661" s="11"/>
      <c r="U1661" s="11"/>
      <c r="V1661" s="11"/>
      <c r="W1661" s="11"/>
      <c r="X1661" s="11"/>
      <c r="Y1661" s="11"/>
      <c r="Z1661" s="11"/>
      <c r="AA1661" s="11"/>
      <c r="AB1661" s="11"/>
      <c r="AC1661" s="11"/>
      <c r="AD1661" s="40"/>
      <c r="AE1661" s="11"/>
      <c r="AF1661" s="40"/>
      <c r="AI1661" s="11"/>
      <c r="AJ1661" s="11"/>
      <c r="AK1661" s="11"/>
      <c r="AL1661" s="11"/>
      <c r="AM1661" s="11"/>
      <c r="AN1661" s="11"/>
      <c r="AO1661" s="11"/>
      <c r="AY1661" s="11"/>
      <c r="BE1661" s="38"/>
      <c r="BF1661" s="38"/>
      <c r="BG1661" s="38"/>
      <c r="BH1661" s="11"/>
      <c r="BI1661" s="1"/>
      <c r="BJ1661" s="2"/>
      <c r="BK1661" s="1"/>
      <c r="BL1661" s="1"/>
      <c r="BM1661" s="7"/>
      <c r="BN1661" s="7"/>
      <c r="BO1661" s="1"/>
      <c r="BP1661" s="11"/>
      <c r="BQ1661" s="11"/>
    </row>
    <row r="1662" spans="1:69" x14ac:dyDescent="0.3">
      <c r="A1662" s="7"/>
      <c r="B1662" s="11"/>
      <c r="C1662" s="11"/>
      <c r="D1662" s="11"/>
      <c r="E1662" s="45"/>
      <c r="F1662" s="40"/>
      <c r="G1662" s="11"/>
      <c r="K1662" s="40"/>
      <c r="N1662" s="11"/>
      <c r="O1662" s="11"/>
      <c r="P1662" s="11"/>
      <c r="Q1662" s="11"/>
      <c r="R1662" s="11"/>
      <c r="S1662" s="11"/>
      <c r="T1662" s="11"/>
      <c r="U1662" s="11"/>
      <c r="V1662" s="11"/>
      <c r="W1662" s="11"/>
      <c r="X1662" s="11"/>
      <c r="Y1662" s="11"/>
      <c r="Z1662" s="11"/>
      <c r="AA1662" s="11"/>
      <c r="AB1662" s="11"/>
      <c r="AC1662" s="11"/>
      <c r="AD1662" s="40"/>
      <c r="AE1662" s="11"/>
      <c r="AF1662" s="40"/>
      <c r="AI1662" s="11"/>
      <c r="AJ1662" s="11"/>
      <c r="AK1662" s="11"/>
      <c r="AL1662" s="11"/>
      <c r="AM1662" s="11"/>
      <c r="AN1662" s="11"/>
      <c r="AO1662" s="11"/>
      <c r="AY1662" s="11"/>
      <c r="BE1662" s="38"/>
      <c r="BF1662" s="38"/>
      <c r="BG1662" s="38"/>
      <c r="BH1662" s="11"/>
      <c r="BI1662" s="1"/>
      <c r="BJ1662" s="2"/>
      <c r="BK1662" s="1"/>
      <c r="BL1662" s="1"/>
      <c r="BM1662" s="7"/>
      <c r="BN1662" s="7"/>
      <c r="BO1662" s="1"/>
      <c r="BP1662" s="11"/>
      <c r="BQ1662" s="11"/>
    </row>
    <row r="1663" spans="1:69" x14ac:dyDescent="0.3">
      <c r="A1663" s="7"/>
      <c r="B1663" s="11"/>
      <c r="C1663" s="11"/>
      <c r="D1663" s="11"/>
      <c r="E1663" s="45"/>
      <c r="F1663" s="40"/>
      <c r="G1663" s="11"/>
      <c r="K1663" s="40"/>
      <c r="N1663" s="11"/>
      <c r="O1663" s="11"/>
      <c r="P1663" s="11"/>
      <c r="Q1663" s="11"/>
      <c r="R1663" s="11"/>
      <c r="S1663" s="11"/>
      <c r="T1663" s="11"/>
      <c r="U1663" s="11"/>
      <c r="V1663" s="11"/>
      <c r="W1663" s="11"/>
      <c r="X1663" s="11"/>
      <c r="Y1663" s="11"/>
      <c r="Z1663" s="11"/>
      <c r="AA1663" s="11"/>
      <c r="AB1663" s="11"/>
      <c r="AC1663" s="11"/>
      <c r="AD1663" s="40"/>
      <c r="AE1663" s="11"/>
      <c r="AF1663" s="40"/>
      <c r="AI1663" s="11"/>
      <c r="AJ1663" s="11"/>
      <c r="AK1663" s="11"/>
      <c r="AL1663" s="11"/>
      <c r="AM1663" s="11"/>
      <c r="AN1663" s="11"/>
      <c r="AO1663" s="11"/>
      <c r="AY1663" s="11"/>
      <c r="BE1663" s="38"/>
      <c r="BF1663" s="38"/>
      <c r="BG1663" s="38"/>
      <c r="BH1663" s="11"/>
      <c r="BI1663" s="1"/>
      <c r="BJ1663" s="2"/>
      <c r="BK1663" s="1"/>
      <c r="BL1663" s="1"/>
      <c r="BM1663" s="7"/>
      <c r="BN1663" s="7"/>
      <c r="BO1663" s="1"/>
      <c r="BP1663" s="11"/>
      <c r="BQ1663" s="11"/>
    </row>
    <row r="1664" spans="1:69" x14ac:dyDescent="0.3">
      <c r="A1664" s="7"/>
      <c r="B1664" s="11"/>
      <c r="C1664" s="11"/>
      <c r="D1664" s="11"/>
      <c r="E1664" s="45"/>
      <c r="F1664" s="40"/>
      <c r="G1664" s="11"/>
      <c r="K1664" s="40"/>
      <c r="N1664" s="11"/>
      <c r="O1664" s="11"/>
      <c r="P1664" s="11"/>
      <c r="Q1664" s="11"/>
      <c r="R1664" s="11"/>
      <c r="S1664" s="11"/>
      <c r="T1664" s="11"/>
      <c r="U1664" s="11"/>
      <c r="V1664" s="11"/>
      <c r="W1664" s="11"/>
      <c r="X1664" s="11"/>
      <c r="Y1664" s="11"/>
      <c r="Z1664" s="11"/>
      <c r="AA1664" s="11"/>
      <c r="AB1664" s="11"/>
      <c r="AC1664" s="11"/>
      <c r="AD1664" s="40"/>
      <c r="AE1664" s="11"/>
      <c r="AF1664" s="40"/>
      <c r="AI1664" s="11"/>
      <c r="AJ1664" s="11"/>
      <c r="AK1664" s="11"/>
      <c r="AL1664" s="11"/>
      <c r="AM1664" s="11"/>
      <c r="AN1664" s="11"/>
      <c r="AO1664" s="11"/>
      <c r="AY1664" s="11"/>
      <c r="BE1664" s="38"/>
      <c r="BF1664" s="38"/>
      <c r="BG1664" s="38"/>
      <c r="BH1664" s="11"/>
      <c r="BI1664" s="1"/>
      <c r="BJ1664" s="2"/>
      <c r="BK1664" s="1"/>
      <c r="BL1664" s="1"/>
      <c r="BM1664" s="7"/>
      <c r="BN1664" s="7"/>
      <c r="BO1664" s="1"/>
      <c r="BP1664" s="11"/>
      <c r="BQ1664" s="11"/>
    </row>
    <row r="1665" spans="1:69" x14ac:dyDescent="0.3">
      <c r="A1665" s="7"/>
      <c r="B1665" s="11"/>
      <c r="C1665" s="11"/>
      <c r="D1665" s="11"/>
      <c r="E1665" s="45"/>
      <c r="F1665" s="40"/>
      <c r="G1665" s="11"/>
      <c r="K1665" s="40"/>
      <c r="N1665" s="11"/>
      <c r="O1665" s="11"/>
      <c r="P1665" s="11"/>
      <c r="Q1665" s="11"/>
      <c r="R1665" s="11"/>
      <c r="S1665" s="11"/>
      <c r="T1665" s="11"/>
      <c r="U1665" s="11"/>
      <c r="V1665" s="11"/>
      <c r="W1665" s="11"/>
      <c r="X1665" s="11"/>
      <c r="Y1665" s="11"/>
      <c r="Z1665" s="11"/>
      <c r="AA1665" s="11"/>
      <c r="AB1665" s="11"/>
      <c r="AC1665" s="11"/>
      <c r="AD1665" s="40"/>
      <c r="AE1665" s="11"/>
      <c r="AF1665" s="40"/>
      <c r="AI1665" s="11"/>
      <c r="AJ1665" s="11"/>
      <c r="AK1665" s="11"/>
      <c r="AL1665" s="11"/>
      <c r="AM1665" s="11"/>
      <c r="AN1665" s="11"/>
      <c r="AO1665" s="11"/>
      <c r="AY1665" s="11"/>
      <c r="BE1665" s="38"/>
      <c r="BF1665" s="38"/>
      <c r="BG1665" s="38"/>
      <c r="BH1665" s="11"/>
      <c r="BI1665" s="1"/>
      <c r="BJ1665" s="2"/>
      <c r="BK1665" s="1"/>
      <c r="BL1665" s="1"/>
      <c r="BM1665" s="7"/>
      <c r="BN1665" s="7"/>
      <c r="BO1665" s="1"/>
      <c r="BP1665" s="11"/>
      <c r="BQ1665" s="11"/>
    </row>
    <row r="1666" spans="1:69" x14ac:dyDescent="0.3">
      <c r="A1666" s="7"/>
      <c r="B1666" s="11"/>
      <c r="C1666" s="11"/>
      <c r="D1666" s="11"/>
      <c r="E1666" s="45"/>
      <c r="F1666" s="40"/>
      <c r="G1666" s="11"/>
      <c r="K1666" s="40"/>
      <c r="N1666" s="11"/>
      <c r="O1666" s="11"/>
      <c r="P1666" s="11"/>
      <c r="Q1666" s="11"/>
      <c r="R1666" s="11"/>
      <c r="S1666" s="11"/>
      <c r="T1666" s="11"/>
      <c r="U1666" s="11"/>
      <c r="V1666" s="11"/>
      <c r="W1666" s="11"/>
      <c r="X1666" s="11"/>
      <c r="Y1666" s="11"/>
      <c r="Z1666" s="11"/>
      <c r="AA1666" s="11"/>
      <c r="AB1666" s="11"/>
      <c r="AC1666" s="11"/>
      <c r="AD1666" s="40"/>
      <c r="AE1666" s="11"/>
      <c r="AF1666" s="40"/>
      <c r="AI1666" s="11"/>
      <c r="AJ1666" s="11"/>
      <c r="AK1666" s="11"/>
      <c r="AL1666" s="11"/>
      <c r="AM1666" s="11"/>
      <c r="AN1666" s="11"/>
      <c r="AO1666" s="11"/>
      <c r="AY1666" s="11"/>
      <c r="BE1666" s="38"/>
      <c r="BF1666" s="38"/>
      <c r="BG1666" s="38"/>
      <c r="BH1666" s="11"/>
      <c r="BI1666" s="1"/>
      <c r="BJ1666" s="2"/>
      <c r="BK1666" s="1"/>
      <c r="BL1666" s="1"/>
      <c r="BM1666" s="7"/>
      <c r="BN1666" s="7"/>
      <c r="BO1666" s="1"/>
      <c r="BP1666" s="11"/>
      <c r="BQ1666" s="11"/>
    </row>
    <row r="1667" spans="1:69" x14ac:dyDescent="0.3">
      <c r="A1667" s="7"/>
      <c r="B1667" s="11"/>
      <c r="C1667" s="11"/>
      <c r="D1667" s="11"/>
      <c r="E1667" s="45"/>
      <c r="F1667" s="40"/>
      <c r="G1667" s="11"/>
      <c r="K1667" s="40"/>
      <c r="N1667" s="11"/>
      <c r="O1667" s="11"/>
      <c r="P1667" s="11"/>
      <c r="Q1667" s="11"/>
      <c r="R1667" s="11"/>
      <c r="S1667" s="11"/>
      <c r="T1667" s="11"/>
      <c r="U1667" s="11"/>
      <c r="V1667" s="11"/>
      <c r="W1667" s="11"/>
      <c r="X1667" s="11"/>
      <c r="Y1667" s="11"/>
      <c r="Z1667" s="11"/>
      <c r="AA1667" s="11"/>
      <c r="AB1667" s="11"/>
      <c r="AC1667" s="11"/>
      <c r="AD1667" s="40"/>
      <c r="AE1667" s="11"/>
      <c r="AF1667" s="40"/>
      <c r="AI1667" s="11"/>
      <c r="AJ1667" s="11"/>
      <c r="AK1667" s="11"/>
      <c r="AL1667" s="11"/>
      <c r="AM1667" s="11"/>
      <c r="AN1667" s="11"/>
      <c r="AO1667" s="11"/>
      <c r="AY1667" s="11"/>
      <c r="BE1667" s="38"/>
      <c r="BF1667" s="38"/>
      <c r="BG1667" s="38"/>
      <c r="BH1667" s="11"/>
      <c r="BI1667" s="1"/>
      <c r="BJ1667" s="2"/>
      <c r="BK1667" s="1"/>
      <c r="BL1667" s="1"/>
      <c r="BM1667" s="7"/>
      <c r="BN1667" s="7"/>
      <c r="BO1667" s="1"/>
      <c r="BP1667" s="11"/>
      <c r="BQ1667" s="11"/>
    </row>
    <row r="1668" spans="1:69" x14ac:dyDescent="0.3">
      <c r="A1668" s="7"/>
      <c r="B1668" s="11"/>
      <c r="C1668" s="11"/>
      <c r="D1668" s="11"/>
      <c r="E1668" s="45"/>
      <c r="F1668" s="40"/>
      <c r="G1668" s="11"/>
      <c r="K1668" s="40"/>
      <c r="N1668" s="11"/>
      <c r="O1668" s="11"/>
      <c r="P1668" s="11"/>
      <c r="Q1668" s="11"/>
      <c r="R1668" s="11"/>
      <c r="S1668" s="11"/>
      <c r="T1668" s="11"/>
      <c r="U1668" s="11"/>
      <c r="V1668" s="11"/>
      <c r="W1668" s="11"/>
      <c r="X1668" s="11"/>
      <c r="Y1668" s="11"/>
      <c r="Z1668" s="11"/>
      <c r="AA1668" s="11"/>
      <c r="AB1668" s="11"/>
      <c r="AC1668" s="11"/>
      <c r="AD1668" s="40"/>
      <c r="AE1668" s="11"/>
      <c r="AF1668" s="40"/>
      <c r="AI1668" s="11"/>
      <c r="AJ1668" s="11"/>
      <c r="AK1668" s="11"/>
      <c r="AL1668" s="11"/>
      <c r="AM1668" s="11"/>
      <c r="AN1668" s="11"/>
      <c r="AO1668" s="11"/>
      <c r="AY1668" s="11"/>
      <c r="BE1668" s="38"/>
      <c r="BF1668" s="38"/>
      <c r="BG1668" s="38"/>
      <c r="BH1668" s="11"/>
      <c r="BI1668" s="1"/>
      <c r="BJ1668" s="2"/>
      <c r="BK1668" s="1"/>
      <c r="BL1668" s="1"/>
      <c r="BM1668" s="7"/>
      <c r="BN1668" s="7"/>
      <c r="BO1668" s="1"/>
      <c r="BP1668" s="11"/>
      <c r="BQ1668" s="11"/>
    </row>
    <row r="1669" spans="1:69" x14ac:dyDescent="0.3">
      <c r="A1669" s="7"/>
      <c r="B1669" s="11"/>
      <c r="C1669" s="11"/>
      <c r="D1669" s="11"/>
      <c r="E1669" s="45"/>
      <c r="F1669" s="40"/>
      <c r="G1669" s="11"/>
      <c r="K1669" s="40"/>
      <c r="N1669" s="11"/>
      <c r="O1669" s="11"/>
      <c r="P1669" s="11"/>
      <c r="Q1669" s="11"/>
      <c r="R1669" s="11"/>
      <c r="S1669" s="11"/>
      <c r="T1669" s="11"/>
      <c r="U1669" s="11"/>
      <c r="V1669" s="11"/>
      <c r="W1669" s="11"/>
      <c r="X1669" s="11"/>
      <c r="Y1669" s="11"/>
      <c r="Z1669" s="11"/>
      <c r="AA1669" s="11"/>
      <c r="AB1669" s="11"/>
      <c r="AC1669" s="11"/>
      <c r="AD1669" s="40"/>
      <c r="AE1669" s="11"/>
      <c r="AF1669" s="40"/>
      <c r="AI1669" s="11"/>
      <c r="AJ1669" s="11"/>
      <c r="AK1669" s="11"/>
      <c r="AL1669" s="11"/>
      <c r="AM1669" s="11"/>
      <c r="AN1669" s="11"/>
      <c r="AO1669" s="11"/>
      <c r="AY1669" s="11"/>
      <c r="BE1669" s="38"/>
      <c r="BF1669" s="38"/>
      <c r="BG1669" s="38"/>
      <c r="BH1669" s="11"/>
      <c r="BI1669" s="1"/>
      <c r="BJ1669" s="2"/>
      <c r="BK1669" s="1"/>
      <c r="BL1669" s="1"/>
      <c r="BM1669" s="7"/>
      <c r="BN1669" s="7"/>
      <c r="BO1669" s="1"/>
      <c r="BP1669" s="11"/>
      <c r="BQ1669" s="11"/>
    </row>
    <row r="1670" spans="1:69" x14ac:dyDescent="0.3">
      <c r="A1670" s="7"/>
      <c r="B1670" s="11"/>
      <c r="C1670" s="11"/>
      <c r="D1670" s="11"/>
      <c r="E1670" s="45"/>
      <c r="F1670" s="40"/>
      <c r="G1670" s="11"/>
      <c r="K1670" s="40"/>
      <c r="N1670" s="11"/>
      <c r="O1670" s="11"/>
      <c r="P1670" s="11"/>
      <c r="Q1670" s="11"/>
      <c r="R1670" s="11"/>
      <c r="S1670" s="11"/>
      <c r="T1670" s="11"/>
      <c r="U1670" s="11"/>
      <c r="V1670" s="11"/>
      <c r="W1670" s="11"/>
      <c r="X1670" s="11"/>
      <c r="Y1670" s="11"/>
      <c r="Z1670" s="11"/>
      <c r="AA1670" s="11"/>
      <c r="AB1670" s="11"/>
      <c r="AC1670" s="11"/>
      <c r="AD1670" s="40"/>
      <c r="AE1670" s="11"/>
      <c r="AF1670" s="40"/>
      <c r="AI1670" s="11"/>
      <c r="AJ1670" s="11"/>
      <c r="AK1670" s="11"/>
      <c r="AL1670" s="11"/>
      <c r="AM1670" s="11"/>
      <c r="AN1670" s="11"/>
      <c r="AO1670" s="11"/>
      <c r="AY1670" s="11"/>
      <c r="BE1670" s="38"/>
      <c r="BF1670" s="38"/>
      <c r="BG1670" s="38"/>
      <c r="BH1670" s="11"/>
      <c r="BI1670" s="1"/>
      <c r="BJ1670" s="2"/>
      <c r="BK1670" s="1"/>
      <c r="BL1670" s="1"/>
      <c r="BM1670" s="7"/>
      <c r="BN1670" s="7"/>
      <c r="BO1670" s="1"/>
      <c r="BP1670" s="11"/>
      <c r="BQ1670" s="11"/>
    </row>
    <row r="1671" spans="1:69" x14ac:dyDescent="0.3">
      <c r="A1671" s="7"/>
      <c r="B1671" s="11"/>
      <c r="C1671" s="11"/>
      <c r="D1671" s="11"/>
      <c r="E1671" s="45"/>
      <c r="F1671" s="40"/>
      <c r="G1671" s="11"/>
      <c r="K1671" s="40"/>
      <c r="N1671" s="11"/>
      <c r="O1671" s="11"/>
      <c r="P1671" s="11"/>
      <c r="Q1671" s="11"/>
      <c r="R1671" s="11"/>
      <c r="S1671" s="11"/>
      <c r="T1671" s="11"/>
      <c r="U1671" s="11"/>
      <c r="V1671" s="11"/>
      <c r="W1671" s="11"/>
      <c r="X1671" s="11"/>
      <c r="Y1671" s="11"/>
      <c r="Z1671" s="11"/>
      <c r="AA1671" s="11"/>
      <c r="AB1671" s="11"/>
      <c r="AC1671" s="11"/>
      <c r="AD1671" s="40"/>
      <c r="AE1671" s="11"/>
      <c r="AF1671" s="40"/>
      <c r="AI1671" s="11"/>
      <c r="AJ1671" s="11"/>
      <c r="AK1671" s="11"/>
      <c r="AL1671" s="11"/>
      <c r="AM1671" s="11"/>
      <c r="AN1671" s="11"/>
      <c r="AO1671" s="11"/>
      <c r="AY1671" s="11"/>
      <c r="BE1671" s="38"/>
      <c r="BF1671" s="38"/>
      <c r="BG1671" s="38"/>
      <c r="BH1671" s="11"/>
      <c r="BI1671" s="1"/>
      <c r="BJ1671" s="2"/>
      <c r="BK1671" s="1"/>
      <c r="BL1671" s="1"/>
      <c r="BM1671" s="7"/>
      <c r="BN1671" s="7"/>
      <c r="BO1671" s="1"/>
      <c r="BP1671" s="11"/>
      <c r="BQ1671" s="11"/>
    </row>
    <row r="1672" spans="1:69" x14ac:dyDescent="0.3">
      <c r="A1672" s="7"/>
      <c r="B1672" s="11"/>
      <c r="C1672" s="11"/>
      <c r="D1672" s="11"/>
      <c r="E1672" s="45"/>
      <c r="F1672" s="40"/>
      <c r="G1672" s="11"/>
      <c r="K1672" s="40"/>
      <c r="N1672" s="11"/>
      <c r="O1672" s="11"/>
      <c r="P1672" s="11"/>
      <c r="Q1672" s="11"/>
      <c r="R1672" s="11"/>
      <c r="S1672" s="11"/>
      <c r="T1672" s="11"/>
      <c r="U1672" s="11"/>
      <c r="V1672" s="11"/>
      <c r="W1672" s="11"/>
      <c r="X1672" s="11"/>
      <c r="Y1672" s="11"/>
      <c r="Z1672" s="11"/>
      <c r="AA1672" s="11"/>
      <c r="AB1672" s="11"/>
      <c r="AC1672" s="11"/>
      <c r="AD1672" s="40"/>
      <c r="AE1672" s="11"/>
      <c r="AF1672" s="40"/>
      <c r="AI1672" s="11"/>
      <c r="AJ1672" s="11"/>
      <c r="AK1672" s="11"/>
      <c r="AL1672" s="11"/>
      <c r="AM1672" s="11"/>
      <c r="AN1672" s="11"/>
      <c r="AO1672" s="11"/>
      <c r="AY1672" s="11"/>
      <c r="BE1672" s="38"/>
      <c r="BF1672" s="38"/>
      <c r="BG1672" s="38"/>
      <c r="BH1672" s="11"/>
      <c r="BI1672" s="1"/>
      <c r="BJ1672" s="2"/>
      <c r="BK1672" s="1"/>
      <c r="BL1672" s="1"/>
      <c r="BM1672" s="7"/>
      <c r="BN1672" s="7"/>
      <c r="BO1672" s="1"/>
      <c r="BP1672" s="11"/>
      <c r="BQ1672" s="11"/>
    </row>
    <row r="1673" spans="1:69" x14ac:dyDescent="0.3">
      <c r="A1673" s="7"/>
      <c r="B1673" s="11"/>
      <c r="C1673" s="11"/>
      <c r="D1673" s="11"/>
      <c r="E1673" s="45"/>
      <c r="F1673" s="40"/>
      <c r="G1673" s="11"/>
      <c r="K1673" s="40"/>
      <c r="N1673" s="11"/>
      <c r="O1673" s="11"/>
      <c r="P1673" s="11"/>
      <c r="Q1673" s="11"/>
      <c r="R1673" s="11"/>
      <c r="S1673" s="11"/>
      <c r="T1673" s="11"/>
      <c r="U1673" s="11"/>
      <c r="V1673" s="11"/>
      <c r="W1673" s="11"/>
      <c r="X1673" s="11"/>
      <c r="Y1673" s="11"/>
      <c r="Z1673" s="11"/>
      <c r="AA1673" s="11"/>
      <c r="AB1673" s="11"/>
      <c r="AC1673" s="11"/>
      <c r="AD1673" s="40"/>
      <c r="AE1673" s="11"/>
      <c r="AF1673" s="40"/>
      <c r="AI1673" s="11"/>
      <c r="AJ1673" s="11"/>
      <c r="AK1673" s="11"/>
      <c r="AL1673" s="11"/>
      <c r="AM1673" s="11"/>
      <c r="AN1673" s="11"/>
      <c r="AO1673" s="11"/>
      <c r="AY1673" s="11"/>
      <c r="BE1673" s="38"/>
      <c r="BF1673" s="38"/>
      <c r="BG1673" s="38"/>
      <c r="BH1673" s="11"/>
      <c r="BI1673" s="1"/>
      <c r="BJ1673" s="2"/>
      <c r="BK1673" s="1"/>
      <c r="BL1673" s="1"/>
      <c r="BM1673" s="7"/>
      <c r="BN1673" s="7"/>
      <c r="BO1673" s="1"/>
      <c r="BP1673" s="11"/>
      <c r="BQ1673" s="11"/>
    </row>
    <row r="1674" spans="1:69" x14ac:dyDescent="0.3">
      <c r="A1674" s="7"/>
      <c r="B1674" s="11"/>
      <c r="C1674" s="11"/>
      <c r="D1674" s="11"/>
      <c r="E1674" s="45"/>
      <c r="F1674" s="40"/>
      <c r="G1674" s="11"/>
      <c r="K1674" s="40"/>
      <c r="N1674" s="11"/>
      <c r="O1674" s="11"/>
      <c r="P1674" s="11"/>
      <c r="Q1674" s="11"/>
      <c r="R1674" s="11"/>
      <c r="S1674" s="11"/>
      <c r="T1674" s="11"/>
      <c r="U1674" s="11"/>
      <c r="V1674" s="11"/>
      <c r="W1674" s="11"/>
      <c r="X1674" s="11"/>
      <c r="Y1674" s="11"/>
      <c r="Z1674" s="11"/>
      <c r="AA1674" s="11"/>
      <c r="AB1674" s="11"/>
      <c r="AC1674" s="11"/>
      <c r="AD1674" s="40"/>
      <c r="AE1674" s="11"/>
      <c r="AF1674" s="40"/>
      <c r="AI1674" s="11"/>
      <c r="AJ1674" s="11"/>
      <c r="AK1674" s="11"/>
      <c r="AL1674" s="11"/>
      <c r="AM1674" s="11"/>
      <c r="AN1674" s="11"/>
      <c r="AO1674" s="11"/>
      <c r="AY1674" s="11"/>
      <c r="BE1674" s="38"/>
      <c r="BF1674" s="38"/>
      <c r="BG1674" s="38"/>
      <c r="BH1674" s="11"/>
      <c r="BI1674" s="1"/>
      <c r="BJ1674" s="2"/>
      <c r="BK1674" s="1"/>
      <c r="BL1674" s="1"/>
      <c r="BM1674" s="7"/>
      <c r="BN1674" s="7"/>
      <c r="BO1674" s="1"/>
      <c r="BP1674" s="11"/>
      <c r="BQ1674" s="11"/>
    </row>
    <row r="1675" spans="1:69" x14ac:dyDescent="0.3">
      <c r="A1675" s="7"/>
      <c r="B1675" s="11"/>
      <c r="C1675" s="11"/>
      <c r="D1675" s="11"/>
      <c r="E1675" s="45"/>
      <c r="F1675" s="40"/>
      <c r="G1675" s="11"/>
      <c r="K1675" s="40"/>
      <c r="N1675" s="11"/>
      <c r="O1675" s="11"/>
      <c r="P1675" s="11"/>
      <c r="Q1675" s="11"/>
      <c r="R1675" s="11"/>
      <c r="S1675" s="11"/>
      <c r="T1675" s="11"/>
      <c r="U1675" s="11"/>
      <c r="V1675" s="11"/>
      <c r="W1675" s="11"/>
      <c r="X1675" s="11"/>
      <c r="Y1675" s="11"/>
      <c r="Z1675" s="11"/>
      <c r="AA1675" s="11"/>
      <c r="AB1675" s="11"/>
      <c r="AC1675" s="11"/>
      <c r="AD1675" s="40"/>
      <c r="AE1675" s="11"/>
      <c r="AF1675" s="40"/>
      <c r="AI1675" s="11"/>
      <c r="AJ1675" s="11"/>
      <c r="AK1675" s="11"/>
      <c r="AL1675" s="11"/>
      <c r="AM1675" s="11"/>
      <c r="AN1675" s="11"/>
      <c r="AO1675" s="11"/>
      <c r="AY1675" s="11"/>
      <c r="BE1675" s="38"/>
      <c r="BF1675" s="38"/>
      <c r="BG1675" s="38"/>
      <c r="BH1675" s="11"/>
      <c r="BI1675" s="1"/>
      <c r="BJ1675" s="2"/>
      <c r="BK1675" s="1"/>
      <c r="BL1675" s="1"/>
      <c r="BM1675" s="7"/>
      <c r="BN1675" s="7"/>
      <c r="BO1675" s="1"/>
      <c r="BP1675" s="11"/>
      <c r="BQ1675" s="11"/>
    </row>
    <row r="1676" spans="1:69" x14ac:dyDescent="0.3">
      <c r="A1676" s="7"/>
      <c r="B1676" s="11"/>
      <c r="C1676" s="11"/>
      <c r="D1676" s="11"/>
      <c r="E1676" s="45"/>
      <c r="F1676" s="40"/>
      <c r="G1676" s="11"/>
      <c r="K1676" s="40"/>
      <c r="N1676" s="11"/>
      <c r="O1676" s="11"/>
      <c r="P1676" s="11"/>
      <c r="Q1676" s="11"/>
      <c r="R1676" s="11"/>
      <c r="S1676" s="11"/>
      <c r="T1676" s="11"/>
      <c r="U1676" s="11"/>
      <c r="V1676" s="11"/>
      <c r="W1676" s="11"/>
      <c r="X1676" s="11"/>
      <c r="Y1676" s="11"/>
      <c r="Z1676" s="11"/>
      <c r="AA1676" s="11"/>
      <c r="AB1676" s="11"/>
      <c r="AC1676" s="11"/>
      <c r="AD1676" s="40"/>
      <c r="AE1676" s="11"/>
      <c r="AF1676" s="40"/>
      <c r="AI1676" s="11"/>
      <c r="AJ1676" s="11"/>
      <c r="AK1676" s="11"/>
      <c r="AL1676" s="11"/>
      <c r="AM1676" s="11"/>
      <c r="AN1676" s="11"/>
      <c r="AO1676" s="11"/>
      <c r="AY1676" s="11"/>
      <c r="BE1676" s="38"/>
      <c r="BF1676" s="38"/>
      <c r="BG1676" s="38"/>
      <c r="BH1676" s="11"/>
      <c r="BI1676" s="1"/>
      <c r="BJ1676" s="2"/>
      <c r="BK1676" s="1"/>
      <c r="BL1676" s="1"/>
      <c r="BM1676" s="7"/>
      <c r="BN1676" s="7"/>
      <c r="BO1676" s="1"/>
      <c r="BP1676" s="11"/>
      <c r="BQ1676" s="11"/>
    </row>
    <row r="1677" spans="1:69" x14ac:dyDescent="0.3">
      <c r="A1677" s="7"/>
      <c r="B1677" s="11"/>
      <c r="C1677" s="11"/>
      <c r="D1677" s="11"/>
      <c r="E1677" s="45"/>
      <c r="F1677" s="40"/>
      <c r="G1677" s="11"/>
      <c r="K1677" s="40"/>
      <c r="N1677" s="11"/>
      <c r="O1677" s="11"/>
      <c r="P1677" s="11"/>
      <c r="Q1677" s="11"/>
      <c r="R1677" s="11"/>
      <c r="S1677" s="11"/>
      <c r="T1677" s="11"/>
      <c r="U1677" s="11"/>
      <c r="V1677" s="11"/>
      <c r="W1677" s="11"/>
      <c r="X1677" s="11"/>
      <c r="Y1677" s="11"/>
      <c r="Z1677" s="11"/>
      <c r="AA1677" s="11"/>
      <c r="AB1677" s="11"/>
      <c r="AC1677" s="11"/>
      <c r="AD1677" s="40"/>
      <c r="AE1677" s="11"/>
      <c r="AF1677" s="40"/>
      <c r="AI1677" s="11"/>
      <c r="AJ1677" s="11"/>
      <c r="AK1677" s="11"/>
      <c r="AL1677" s="11"/>
      <c r="AM1677" s="11"/>
      <c r="AN1677" s="11"/>
      <c r="AO1677" s="11"/>
      <c r="AY1677" s="11"/>
      <c r="BE1677" s="38"/>
      <c r="BF1677" s="38"/>
      <c r="BG1677" s="38"/>
      <c r="BH1677" s="11"/>
      <c r="BI1677" s="1"/>
      <c r="BJ1677" s="2"/>
      <c r="BK1677" s="1"/>
      <c r="BL1677" s="1"/>
      <c r="BM1677" s="7"/>
      <c r="BN1677" s="7"/>
      <c r="BO1677" s="1"/>
      <c r="BP1677" s="11"/>
      <c r="BQ1677" s="11"/>
    </row>
    <row r="1678" spans="1:69" x14ac:dyDescent="0.3">
      <c r="A1678" s="7"/>
      <c r="B1678" s="11"/>
      <c r="C1678" s="11"/>
      <c r="D1678" s="11"/>
      <c r="E1678" s="45"/>
      <c r="F1678" s="40"/>
      <c r="G1678" s="11"/>
      <c r="K1678" s="40"/>
      <c r="N1678" s="11"/>
      <c r="O1678" s="11"/>
      <c r="P1678" s="11"/>
      <c r="Q1678" s="11"/>
      <c r="R1678" s="11"/>
      <c r="S1678" s="11"/>
      <c r="T1678" s="11"/>
      <c r="U1678" s="11"/>
      <c r="V1678" s="11"/>
      <c r="W1678" s="11"/>
      <c r="X1678" s="11"/>
      <c r="Y1678" s="11"/>
      <c r="Z1678" s="11"/>
      <c r="AA1678" s="11"/>
      <c r="AB1678" s="11"/>
      <c r="AC1678" s="11"/>
      <c r="AD1678" s="40"/>
      <c r="AE1678" s="11"/>
      <c r="AF1678" s="40"/>
      <c r="AI1678" s="11"/>
      <c r="AJ1678" s="11"/>
      <c r="AK1678" s="11"/>
      <c r="AL1678" s="11"/>
      <c r="AM1678" s="11"/>
      <c r="AN1678" s="11"/>
      <c r="AO1678" s="11"/>
      <c r="AY1678" s="11"/>
      <c r="BE1678" s="38"/>
      <c r="BF1678" s="38"/>
      <c r="BG1678" s="38"/>
      <c r="BH1678" s="11"/>
      <c r="BI1678" s="1"/>
      <c r="BJ1678" s="2"/>
      <c r="BK1678" s="1"/>
      <c r="BL1678" s="1"/>
      <c r="BM1678" s="7"/>
      <c r="BN1678" s="7"/>
      <c r="BO1678" s="1"/>
      <c r="BP1678" s="11"/>
      <c r="BQ1678" s="11"/>
    </row>
    <row r="1679" spans="1:69" x14ac:dyDescent="0.3">
      <c r="A1679" s="7"/>
      <c r="B1679" s="11"/>
      <c r="C1679" s="11"/>
      <c r="D1679" s="11"/>
      <c r="E1679" s="45"/>
      <c r="F1679" s="40"/>
      <c r="G1679" s="11"/>
      <c r="K1679" s="40"/>
      <c r="N1679" s="11"/>
      <c r="O1679" s="11"/>
      <c r="P1679" s="11"/>
      <c r="Q1679" s="11"/>
      <c r="R1679" s="11"/>
      <c r="S1679" s="11"/>
      <c r="T1679" s="11"/>
      <c r="U1679" s="11"/>
      <c r="V1679" s="11"/>
      <c r="W1679" s="11"/>
      <c r="X1679" s="11"/>
      <c r="Y1679" s="11"/>
      <c r="Z1679" s="11"/>
      <c r="AA1679" s="11"/>
      <c r="AB1679" s="11"/>
      <c r="AC1679" s="11"/>
      <c r="AD1679" s="40"/>
      <c r="AE1679" s="11"/>
      <c r="AF1679" s="40"/>
      <c r="AI1679" s="11"/>
      <c r="AJ1679" s="11"/>
      <c r="AK1679" s="11"/>
      <c r="AL1679" s="11"/>
      <c r="AM1679" s="11"/>
      <c r="AN1679" s="11"/>
      <c r="AO1679" s="11"/>
      <c r="AY1679" s="11"/>
      <c r="BE1679" s="38"/>
      <c r="BF1679" s="38"/>
      <c r="BG1679" s="38"/>
      <c r="BH1679" s="11"/>
      <c r="BI1679" s="1"/>
      <c r="BJ1679" s="2"/>
      <c r="BK1679" s="1"/>
      <c r="BL1679" s="1"/>
      <c r="BM1679" s="7"/>
      <c r="BN1679" s="7"/>
      <c r="BO1679" s="1"/>
      <c r="BP1679" s="11"/>
      <c r="BQ1679" s="11"/>
    </row>
    <row r="1680" spans="1:69" x14ac:dyDescent="0.3">
      <c r="A1680" s="7"/>
      <c r="B1680" s="11"/>
      <c r="C1680" s="11"/>
      <c r="D1680" s="11"/>
      <c r="E1680" s="45"/>
      <c r="F1680" s="40"/>
      <c r="G1680" s="11"/>
      <c r="K1680" s="40"/>
      <c r="N1680" s="11"/>
      <c r="O1680" s="11"/>
      <c r="P1680" s="11"/>
      <c r="Q1680" s="11"/>
      <c r="R1680" s="11"/>
      <c r="S1680" s="11"/>
      <c r="T1680" s="11"/>
      <c r="U1680" s="11"/>
      <c r="V1680" s="11"/>
      <c r="W1680" s="11"/>
      <c r="X1680" s="11"/>
      <c r="Y1680" s="11"/>
      <c r="Z1680" s="11"/>
      <c r="AA1680" s="11"/>
      <c r="AB1680" s="11"/>
      <c r="AC1680" s="11"/>
      <c r="AD1680" s="40"/>
      <c r="AE1680" s="11"/>
      <c r="AF1680" s="40"/>
      <c r="AI1680" s="11"/>
      <c r="AJ1680" s="11"/>
      <c r="AK1680" s="11"/>
      <c r="AL1680" s="11"/>
      <c r="AM1680" s="11"/>
      <c r="AN1680" s="11"/>
      <c r="AO1680" s="11"/>
      <c r="AY1680" s="11"/>
      <c r="BE1680" s="38"/>
      <c r="BF1680" s="38"/>
      <c r="BG1680" s="38"/>
      <c r="BH1680" s="11"/>
      <c r="BI1680" s="1"/>
      <c r="BJ1680" s="2"/>
      <c r="BK1680" s="1"/>
      <c r="BL1680" s="1"/>
      <c r="BM1680" s="7"/>
      <c r="BN1680" s="7"/>
      <c r="BO1680" s="1"/>
      <c r="BP1680" s="11"/>
      <c r="BQ1680" s="11"/>
    </row>
    <row r="1681" spans="1:69" x14ac:dyDescent="0.3">
      <c r="A1681" s="7"/>
      <c r="B1681" s="11"/>
      <c r="C1681" s="11"/>
      <c r="D1681" s="11"/>
      <c r="E1681" s="45"/>
      <c r="F1681" s="40"/>
      <c r="G1681" s="11"/>
      <c r="K1681" s="40"/>
      <c r="N1681" s="11"/>
      <c r="O1681" s="11"/>
      <c r="P1681" s="11"/>
      <c r="Q1681" s="11"/>
      <c r="R1681" s="11"/>
      <c r="S1681" s="11"/>
      <c r="T1681" s="11"/>
      <c r="U1681" s="11"/>
      <c r="V1681" s="11"/>
      <c r="W1681" s="11"/>
      <c r="X1681" s="11"/>
      <c r="Y1681" s="11"/>
      <c r="Z1681" s="11"/>
      <c r="AA1681" s="11"/>
      <c r="AB1681" s="11"/>
      <c r="AC1681" s="11"/>
      <c r="AD1681" s="40"/>
      <c r="AE1681" s="11"/>
      <c r="AF1681" s="40"/>
      <c r="AI1681" s="11"/>
      <c r="AJ1681" s="11"/>
      <c r="AK1681" s="11"/>
      <c r="AL1681" s="11"/>
      <c r="AM1681" s="11"/>
      <c r="AN1681" s="11"/>
      <c r="AO1681" s="11"/>
      <c r="AY1681" s="11"/>
      <c r="BE1681" s="38"/>
      <c r="BF1681" s="38"/>
      <c r="BG1681" s="38"/>
      <c r="BH1681" s="11"/>
      <c r="BI1681" s="1"/>
      <c r="BJ1681" s="2"/>
      <c r="BK1681" s="1"/>
      <c r="BL1681" s="1"/>
      <c r="BM1681" s="7"/>
      <c r="BN1681" s="7"/>
      <c r="BO1681" s="1"/>
      <c r="BP1681" s="11"/>
      <c r="BQ1681" s="11"/>
    </row>
    <row r="1682" spans="1:69" x14ac:dyDescent="0.3">
      <c r="A1682" s="7"/>
      <c r="B1682" s="11"/>
      <c r="C1682" s="11"/>
      <c r="D1682" s="11"/>
      <c r="E1682" s="45"/>
      <c r="F1682" s="40"/>
      <c r="G1682" s="11"/>
      <c r="K1682" s="40"/>
      <c r="N1682" s="11"/>
      <c r="O1682" s="11"/>
      <c r="P1682" s="11"/>
      <c r="Q1682" s="11"/>
      <c r="R1682" s="11"/>
      <c r="S1682" s="11"/>
      <c r="T1682" s="11"/>
      <c r="U1682" s="11"/>
      <c r="V1682" s="11"/>
      <c r="W1682" s="11"/>
      <c r="X1682" s="11"/>
      <c r="Y1682" s="11"/>
      <c r="Z1682" s="11"/>
      <c r="AA1682" s="11"/>
      <c r="AB1682" s="11"/>
      <c r="AC1682" s="11"/>
      <c r="AD1682" s="40"/>
      <c r="AE1682" s="11"/>
      <c r="AF1682" s="40"/>
      <c r="AI1682" s="11"/>
      <c r="AJ1682" s="11"/>
      <c r="AK1682" s="11"/>
      <c r="AL1682" s="11"/>
      <c r="AM1682" s="11"/>
      <c r="AN1682" s="11"/>
      <c r="AO1682" s="11"/>
      <c r="AY1682" s="11"/>
      <c r="BE1682" s="38"/>
      <c r="BF1682" s="38"/>
      <c r="BG1682" s="38"/>
      <c r="BH1682" s="11"/>
      <c r="BI1682" s="1"/>
      <c r="BJ1682" s="2"/>
      <c r="BK1682" s="1"/>
      <c r="BL1682" s="1"/>
      <c r="BM1682" s="7"/>
      <c r="BN1682" s="7"/>
      <c r="BO1682" s="1"/>
      <c r="BP1682" s="11"/>
      <c r="BQ1682" s="11"/>
    </row>
    <row r="1683" spans="1:69" x14ac:dyDescent="0.3">
      <c r="A1683" s="7"/>
      <c r="B1683" s="11"/>
      <c r="C1683" s="11"/>
      <c r="D1683" s="11"/>
      <c r="E1683" s="45"/>
      <c r="F1683" s="40"/>
      <c r="G1683" s="11"/>
      <c r="K1683" s="40"/>
      <c r="N1683" s="11"/>
      <c r="O1683" s="11"/>
      <c r="P1683" s="11"/>
      <c r="Q1683" s="11"/>
      <c r="R1683" s="11"/>
      <c r="S1683" s="11"/>
      <c r="T1683" s="11"/>
      <c r="U1683" s="11"/>
      <c r="V1683" s="11"/>
      <c r="W1683" s="11"/>
      <c r="X1683" s="11"/>
      <c r="Y1683" s="11"/>
      <c r="Z1683" s="11"/>
      <c r="AA1683" s="11"/>
      <c r="AB1683" s="11"/>
      <c r="AC1683" s="11"/>
      <c r="AD1683" s="40"/>
      <c r="AE1683" s="11"/>
      <c r="AF1683" s="40"/>
      <c r="AI1683" s="11"/>
      <c r="AJ1683" s="11"/>
      <c r="AK1683" s="11"/>
      <c r="AL1683" s="11"/>
      <c r="AM1683" s="11"/>
      <c r="AN1683" s="11"/>
      <c r="AO1683" s="11"/>
      <c r="AY1683" s="11"/>
      <c r="BE1683" s="38"/>
      <c r="BF1683" s="38"/>
      <c r="BG1683" s="38"/>
      <c r="BH1683" s="11"/>
      <c r="BI1683" s="1"/>
      <c r="BJ1683" s="2"/>
      <c r="BK1683" s="1"/>
      <c r="BL1683" s="1"/>
      <c r="BM1683" s="7"/>
      <c r="BN1683" s="7"/>
      <c r="BO1683" s="1"/>
      <c r="BP1683" s="11"/>
      <c r="BQ1683" s="11"/>
    </row>
    <row r="1684" spans="1:69" x14ac:dyDescent="0.3">
      <c r="A1684" s="7"/>
      <c r="B1684" s="11"/>
      <c r="C1684" s="11"/>
      <c r="D1684" s="11"/>
      <c r="E1684" s="45"/>
      <c r="F1684" s="40"/>
      <c r="G1684" s="11"/>
      <c r="K1684" s="40"/>
      <c r="N1684" s="11"/>
      <c r="O1684" s="11"/>
      <c r="P1684" s="11"/>
      <c r="Q1684" s="11"/>
      <c r="R1684" s="11"/>
      <c r="S1684" s="11"/>
      <c r="T1684" s="11"/>
      <c r="U1684" s="11"/>
      <c r="V1684" s="11"/>
      <c r="W1684" s="11"/>
      <c r="X1684" s="11"/>
      <c r="Y1684" s="11"/>
      <c r="Z1684" s="11"/>
      <c r="AA1684" s="11"/>
      <c r="AB1684" s="11"/>
      <c r="AC1684" s="11"/>
      <c r="AD1684" s="40"/>
      <c r="AE1684" s="11"/>
      <c r="AF1684" s="40"/>
      <c r="AI1684" s="11"/>
      <c r="AJ1684" s="11"/>
      <c r="AK1684" s="11"/>
      <c r="AL1684" s="11"/>
      <c r="AM1684" s="11"/>
      <c r="AN1684" s="11"/>
      <c r="AO1684" s="11"/>
      <c r="AY1684" s="11"/>
      <c r="BE1684" s="38"/>
      <c r="BF1684" s="38"/>
      <c r="BG1684" s="38"/>
      <c r="BH1684" s="11"/>
      <c r="BI1684" s="1"/>
      <c r="BJ1684" s="2"/>
      <c r="BK1684" s="1"/>
      <c r="BL1684" s="1"/>
      <c r="BM1684" s="7"/>
      <c r="BN1684" s="7"/>
      <c r="BO1684" s="1"/>
      <c r="BP1684" s="11"/>
      <c r="BQ1684" s="11"/>
    </row>
    <row r="1685" spans="1:69" x14ac:dyDescent="0.3">
      <c r="A1685" s="7"/>
      <c r="B1685" s="11"/>
      <c r="C1685" s="11"/>
      <c r="D1685" s="11"/>
      <c r="E1685" s="45"/>
      <c r="F1685" s="40"/>
      <c r="G1685" s="11"/>
      <c r="K1685" s="40"/>
      <c r="N1685" s="11"/>
      <c r="O1685" s="11"/>
      <c r="P1685" s="11"/>
      <c r="Q1685" s="11"/>
      <c r="R1685" s="11"/>
      <c r="S1685" s="11"/>
      <c r="T1685" s="11"/>
      <c r="U1685" s="11"/>
      <c r="V1685" s="11"/>
      <c r="W1685" s="11"/>
      <c r="X1685" s="11"/>
      <c r="Y1685" s="11"/>
      <c r="Z1685" s="11"/>
      <c r="AA1685" s="11"/>
      <c r="AB1685" s="11"/>
      <c r="AC1685" s="11"/>
      <c r="AD1685" s="40"/>
      <c r="AE1685" s="11"/>
      <c r="AF1685" s="40"/>
      <c r="AI1685" s="11"/>
      <c r="AJ1685" s="11"/>
      <c r="AK1685" s="11"/>
      <c r="AL1685" s="11"/>
      <c r="AM1685" s="11"/>
      <c r="AN1685" s="11"/>
      <c r="AO1685" s="11"/>
      <c r="AY1685" s="11"/>
      <c r="BE1685" s="38"/>
      <c r="BF1685" s="38"/>
      <c r="BG1685" s="38"/>
      <c r="BH1685" s="11"/>
      <c r="BI1685" s="1"/>
      <c r="BJ1685" s="2"/>
      <c r="BK1685" s="1"/>
      <c r="BL1685" s="1"/>
      <c r="BM1685" s="7"/>
      <c r="BN1685" s="7"/>
      <c r="BO1685" s="1"/>
      <c r="BP1685" s="11"/>
      <c r="BQ1685" s="11"/>
    </row>
    <row r="1686" spans="1:69" x14ac:dyDescent="0.3">
      <c r="A1686" s="7"/>
      <c r="B1686" s="11"/>
      <c r="C1686" s="11"/>
      <c r="D1686" s="11"/>
      <c r="E1686" s="45"/>
      <c r="F1686" s="40"/>
      <c r="G1686" s="11"/>
      <c r="K1686" s="40"/>
      <c r="N1686" s="11"/>
      <c r="O1686" s="11"/>
      <c r="P1686" s="11"/>
      <c r="Q1686" s="11"/>
      <c r="R1686" s="11"/>
      <c r="S1686" s="11"/>
      <c r="T1686" s="11"/>
      <c r="U1686" s="11"/>
      <c r="V1686" s="11"/>
      <c r="W1686" s="11"/>
      <c r="X1686" s="11"/>
      <c r="Y1686" s="11"/>
      <c r="Z1686" s="11"/>
      <c r="AA1686" s="11"/>
      <c r="AB1686" s="11"/>
      <c r="AC1686" s="11"/>
      <c r="AD1686" s="40"/>
      <c r="AE1686" s="11"/>
      <c r="AF1686" s="40"/>
      <c r="AI1686" s="11"/>
      <c r="AJ1686" s="11"/>
      <c r="AK1686" s="11"/>
      <c r="AL1686" s="11"/>
      <c r="AM1686" s="11"/>
      <c r="AN1686" s="11"/>
      <c r="AO1686" s="11"/>
      <c r="AY1686" s="11"/>
      <c r="BE1686" s="38"/>
      <c r="BF1686" s="38"/>
      <c r="BG1686" s="38"/>
      <c r="BH1686" s="11"/>
      <c r="BI1686" s="1"/>
      <c r="BJ1686" s="2"/>
      <c r="BK1686" s="1"/>
      <c r="BL1686" s="1"/>
      <c r="BM1686" s="7"/>
      <c r="BN1686" s="7"/>
      <c r="BO1686" s="1"/>
      <c r="BP1686" s="11"/>
      <c r="BQ1686" s="11"/>
    </row>
    <row r="1687" spans="1:69" x14ac:dyDescent="0.3">
      <c r="A1687" s="7"/>
      <c r="B1687" s="11"/>
      <c r="C1687" s="11"/>
      <c r="D1687" s="11"/>
      <c r="E1687" s="45"/>
      <c r="F1687" s="40"/>
      <c r="G1687" s="11"/>
      <c r="K1687" s="40"/>
      <c r="N1687" s="11"/>
      <c r="O1687" s="11"/>
      <c r="P1687" s="11"/>
      <c r="Q1687" s="11"/>
      <c r="R1687" s="11"/>
      <c r="S1687" s="11"/>
      <c r="T1687" s="11"/>
      <c r="U1687" s="11"/>
      <c r="V1687" s="11"/>
      <c r="W1687" s="11"/>
      <c r="X1687" s="11"/>
      <c r="Y1687" s="11"/>
      <c r="Z1687" s="11"/>
      <c r="AA1687" s="11"/>
      <c r="AB1687" s="11"/>
      <c r="AC1687" s="11"/>
      <c r="AD1687" s="40"/>
      <c r="AE1687" s="11"/>
      <c r="AF1687" s="40"/>
      <c r="AI1687" s="11"/>
      <c r="AJ1687" s="11"/>
      <c r="AK1687" s="11"/>
      <c r="AL1687" s="11"/>
      <c r="AM1687" s="11"/>
      <c r="AN1687" s="11"/>
      <c r="AO1687" s="11"/>
      <c r="AY1687" s="11"/>
      <c r="BE1687" s="38"/>
      <c r="BF1687" s="38"/>
      <c r="BG1687" s="38"/>
      <c r="BH1687" s="11"/>
      <c r="BI1687" s="1"/>
      <c r="BJ1687" s="2"/>
      <c r="BK1687" s="1"/>
      <c r="BL1687" s="1"/>
      <c r="BM1687" s="7"/>
      <c r="BN1687" s="7"/>
      <c r="BO1687" s="1"/>
      <c r="BP1687" s="11"/>
      <c r="BQ1687" s="11"/>
    </row>
    <row r="1688" spans="1:69" x14ac:dyDescent="0.3">
      <c r="A1688" s="7"/>
      <c r="B1688" s="11"/>
      <c r="C1688" s="11"/>
      <c r="D1688" s="11"/>
      <c r="E1688" s="45"/>
      <c r="F1688" s="40"/>
      <c r="G1688" s="11"/>
      <c r="K1688" s="40"/>
      <c r="N1688" s="11"/>
      <c r="O1688" s="11"/>
      <c r="P1688" s="11"/>
      <c r="Q1688" s="11"/>
      <c r="R1688" s="11"/>
      <c r="S1688" s="11"/>
      <c r="T1688" s="11"/>
      <c r="U1688" s="11"/>
      <c r="V1688" s="11"/>
      <c r="W1688" s="11"/>
      <c r="X1688" s="11"/>
      <c r="Y1688" s="11"/>
      <c r="Z1688" s="11"/>
      <c r="AA1688" s="11"/>
      <c r="AB1688" s="11"/>
      <c r="AC1688" s="11"/>
      <c r="AD1688" s="40"/>
      <c r="AE1688" s="11"/>
      <c r="AF1688" s="40"/>
      <c r="AI1688" s="11"/>
      <c r="AJ1688" s="11"/>
      <c r="AK1688" s="11"/>
      <c r="AL1688" s="11"/>
      <c r="AM1688" s="11"/>
      <c r="AN1688" s="11"/>
      <c r="AO1688" s="11"/>
      <c r="AY1688" s="11"/>
      <c r="BE1688" s="38"/>
      <c r="BF1688" s="38"/>
      <c r="BG1688" s="38"/>
      <c r="BH1688" s="11"/>
      <c r="BI1688" s="1"/>
      <c r="BJ1688" s="2"/>
      <c r="BK1688" s="1"/>
      <c r="BL1688" s="1"/>
      <c r="BM1688" s="7"/>
      <c r="BN1688" s="7"/>
      <c r="BO1688" s="1"/>
      <c r="BP1688" s="11"/>
      <c r="BQ1688" s="11"/>
    </row>
    <row r="1689" spans="1:69" x14ac:dyDescent="0.3">
      <c r="A1689" s="7"/>
      <c r="B1689" s="11"/>
      <c r="C1689" s="11"/>
      <c r="D1689" s="11"/>
      <c r="E1689" s="45"/>
      <c r="F1689" s="40"/>
      <c r="G1689" s="11"/>
      <c r="K1689" s="40"/>
      <c r="N1689" s="11"/>
      <c r="O1689" s="11"/>
      <c r="P1689" s="11"/>
      <c r="Q1689" s="11"/>
      <c r="R1689" s="11"/>
      <c r="S1689" s="11"/>
      <c r="T1689" s="11"/>
      <c r="U1689" s="11"/>
      <c r="V1689" s="11"/>
      <c r="W1689" s="11"/>
      <c r="X1689" s="11"/>
      <c r="Y1689" s="11"/>
      <c r="Z1689" s="11"/>
      <c r="AA1689" s="11"/>
      <c r="AB1689" s="11"/>
      <c r="AC1689" s="11"/>
      <c r="AD1689" s="40"/>
      <c r="AE1689" s="11"/>
      <c r="AF1689" s="40"/>
      <c r="AI1689" s="11"/>
      <c r="AJ1689" s="11"/>
      <c r="AK1689" s="11"/>
      <c r="AL1689" s="11"/>
      <c r="AM1689" s="11"/>
      <c r="AN1689" s="11"/>
      <c r="AO1689" s="11"/>
      <c r="AY1689" s="11"/>
      <c r="BE1689" s="38"/>
      <c r="BF1689" s="38"/>
      <c r="BG1689" s="38"/>
      <c r="BH1689" s="11"/>
      <c r="BI1689" s="1"/>
      <c r="BJ1689" s="2"/>
      <c r="BK1689" s="1"/>
      <c r="BL1689" s="1"/>
      <c r="BM1689" s="7"/>
      <c r="BN1689" s="7"/>
      <c r="BO1689" s="1"/>
      <c r="BP1689" s="11"/>
      <c r="BQ1689" s="11"/>
    </row>
    <row r="1690" spans="1:69" x14ac:dyDescent="0.3">
      <c r="A1690" s="7"/>
      <c r="B1690" s="11"/>
      <c r="C1690" s="11"/>
      <c r="D1690" s="11"/>
      <c r="E1690" s="45"/>
      <c r="F1690" s="40"/>
      <c r="G1690" s="11"/>
      <c r="K1690" s="40"/>
      <c r="N1690" s="11"/>
      <c r="O1690" s="11"/>
      <c r="P1690" s="11"/>
      <c r="Q1690" s="11"/>
      <c r="R1690" s="11"/>
      <c r="S1690" s="11"/>
      <c r="T1690" s="11"/>
      <c r="U1690" s="11"/>
      <c r="V1690" s="11"/>
      <c r="W1690" s="11"/>
      <c r="X1690" s="11"/>
      <c r="Y1690" s="11"/>
      <c r="Z1690" s="11"/>
      <c r="AA1690" s="11"/>
      <c r="AB1690" s="11"/>
      <c r="AC1690" s="11"/>
      <c r="AD1690" s="40"/>
      <c r="AE1690" s="11"/>
      <c r="AF1690" s="40"/>
      <c r="AI1690" s="11"/>
      <c r="AJ1690" s="11"/>
      <c r="AK1690" s="11"/>
      <c r="AL1690" s="11"/>
      <c r="AM1690" s="11"/>
      <c r="AN1690" s="11"/>
      <c r="AO1690" s="11"/>
      <c r="AY1690" s="11"/>
      <c r="BE1690" s="38"/>
      <c r="BF1690" s="38"/>
      <c r="BG1690" s="38"/>
      <c r="BH1690" s="11"/>
      <c r="BI1690" s="1"/>
      <c r="BJ1690" s="2"/>
      <c r="BK1690" s="1"/>
      <c r="BL1690" s="1"/>
      <c r="BM1690" s="7"/>
      <c r="BN1690" s="7"/>
      <c r="BO1690" s="1"/>
      <c r="BP1690" s="11"/>
      <c r="BQ1690" s="11"/>
    </row>
    <row r="1691" spans="1:69" x14ac:dyDescent="0.3">
      <c r="A1691" s="7"/>
      <c r="B1691" s="11"/>
      <c r="C1691" s="11"/>
      <c r="D1691" s="11"/>
      <c r="E1691" s="45"/>
      <c r="F1691" s="40"/>
      <c r="G1691" s="11"/>
      <c r="K1691" s="40"/>
      <c r="N1691" s="11"/>
      <c r="O1691" s="11"/>
      <c r="P1691" s="11"/>
      <c r="Q1691" s="11"/>
      <c r="R1691" s="11"/>
      <c r="S1691" s="11"/>
      <c r="T1691" s="11"/>
      <c r="U1691" s="11"/>
      <c r="V1691" s="11"/>
      <c r="W1691" s="11"/>
      <c r="X1691" s="11"/>
      <c r="Y1691" s="11"/>
      <c r="Z1691" s="11"/>
      <c r="AA1691" s="11"/>
      <c r="AB1691" s="11"/>
      <c r="AC1691" s="11"/>
      <c r="AD1691" s="40"/>
      <c r="AE1691" s="11"/>
      <c r="AF1691" s="40"/>
      <c r="AI1691" s="11"/>
      <c r="AJ1691" s="11"/>
      <c r="AK1691" s="11"/>
      <c r="AL1691" s="11"/>
      <c r="AM1691" s="11"/>
      <c r="AN1691" s="11"/>
      <c r="AO1691" s="11"/>
      <c r="AY1691" s="11"/>
      <c r="BE1691" s="38"/>
      <c r="BF1691" s="38"/>
      <c r="BG1691" s="38"/>
      <c r="BH1691" s="11"/>
      <c r="BI1691" s="1"/>
      <c r="BJ1691" s="2"/>
      <c r="BK1691" s="1"/>
      <c r="BL1691" s="1"/>
      <c r="BM1691" s="7"/>
      <c r="BN1691" s="7"/>
      <c r="BO1691" s="1"/>
      <c r="BP1691" s="11"/>
      <c r="BQ1691" s="11"/>
    </row>
    <row r="1692" spans="1:69" x14ac:dyDescent="0.3">
      <c r="A1692" s="7"/>
      <c r="B1692" s="11"/>
      <c r="C1692" s="11"/>
      <c r="D1692" s="11"/>
      <c r="E1692" s="45"/>
      <c r="F1692" s="40"/>
      <c r="G1692" s="11"/>
      <c r="K1692" s="40"/>
      <c r="N1692" s="11"/>
      <c r="O1692" s="11"/>
      <c r="P1692" s="11"/>
      <c r="Q1692" s="11"/>
      <c r="R1692" s="11"/>
      <c r="S1692" s="11"/>
      <c r="T1692" s="11"/>
      <c r="U1692" s="11"/>
      <c r="V1692" s="11"/>
      <c r="W1692" s="11"/>
      <c r="X1692" s="11"/>
      <c r="Y1692" s="11"/>
      <c r="Z1692" s="11"/>
      <c r="AA1692" s="11"/>
      <c r="AB1692" s="11"/>
      <c r="AC1692" s="11"/>
      <c r="AD1692" s="40"/>
      <c r="AE1692" s="11"/>
      <c r="AF1692" s="40"/>
      <c r="AI1692" s="11"/>
      <c r="AJ1692" s="11"/>
      <c r="AK1692" s="11"/>
      <c r="AL1692" s="11"/>
      <c r="AM1692" s="11"/>
      <c r="AN1692" s="11"/>
      <c r="AO1692" s="11"/>
      <c r="AY1692" s="11"/>
      <c r="BE1692" s="38"/>
      <c r="BF1692" s="38"/>
      <c r="BG1692" s="38"/>
      <c r="BH1692" s="11"/>
      <c r="BI1692" s="1"/>
      <c r="BJ1692" s="2"/>
      <c r="BK1692" s="1"/>
      <c r="BL1692" s="1"/>
      <c r="BM1692" s="7"/>
      <c r="BN1692" s="7"/>
      <c r="BO1692" s="1"/>
      <c r="BP1692" s="11"/>
      <c r="BQ1692" s="11"/>
    </row>
    <row r="1693" spans="1:69" x14ac:dyDescent="0.3">
      <c r="A1693" s="7"/>
      <c r="B1693" s="11"/>
      <c r="C1693" s="11"/>
      <c r="D1693" s="11"/>
      <c r="E1693" s="45"/>
      <c r="F1693" s="40"/>
      <c r="G1693" s="11"/>
      <c r="K1693" s="40"/>
      <c r="N1693" s="11"/>
      <c r="O1693" s="11"/>
      <c r="P1693" s="11"/>
      <c r="Q1693" s="11"/>
      <c r="R1693" s="11"/>
      <c r="S1693" s="11"/>
      <c r="T1693" s="11"/>
      <c r="U1693" s="11"/>
      <c r="V1693" s="11"/>
      <c r="W1693" s="11"/>
      <c r="X1693" s="11"/>
      <c r="Y1693" s="11"/>
      <c r="Z1693" s="11"/>
      <c r="AA1693" s="11"/>
      <c r="AB1693" s="11"/>
      <c r="AC1693" s="11"/>
      <c r="AD1693" s="40"/>
      <c r="AE1693" s="11"/>
      <c r="AF1693" s="40"/>
      <c r="AI1693" s="11"/>
      <c r="AJ1693" s="11"/>
      <c r="AK1693" s="11"/>
      <c r="AL1693" s="11"/>
      <c r="AM1693" s="11"/>
      <c r="AN1693" s="11"/>
      <c r="AO1693" s="11"/>
      <c r="AY1693" s="11"/>
      <c r="BE1693" s="38"/>
      <c r="BF1693" s="38"/>
      <c r="BG1693" s="38"/>
      <c r="BH1693" s="11"/>
      <c r="BI1693" s="1"/>
      <c r="BJ1693" s="2"/>
      <c r="BK1693" s="1"/>
      <c r="BL1693" s="1"/>
      <c r="BM1693" s="7"/>
      <c r="BN1693" s="7"/>
      <c r="BO1693" s="1"/>
      <c r="BP1693" s="11"/>
      <c r="BQ1693" s="11"/>
    </row>
    <row r="1694" spans="1:69" x14ac:dyDescent="0.3">
      <c r="A1694" s="7"/>
      <c r="B1694" s="11"/>
      <c r="C1694" s="11"/>
      <c r="D1694" s="11"/>
      <c r="E1694" s="45"/>
      <c r="F1694" s="40"/>
      <c r="G1694" s="11"/>
      <c r="K1694" s="40"/>
      <c r="N1694" s="11"/>
      <c r="O1694" s="11"/>
      <c r="P1694" s="11"/>
      <c r="Q1694" s="11"/>
      <c r="R1694" s="11"/>
      <c r="S1694" s="11"/>
      <c r="T1694" s="11"/>
      <c r="U1694" s="11"/>
      <c r="V1694" s="11"/>
      <c r="W1694" s="11"/>
      <c r="X1694" s="11"/>
      <c r="Y1694" s="11"/>
      <c r="Z1694" s="11"/>
      <c r="AA1694" s="11"/>
      <c r="AB1694" s="11"/>
      <c r="AC1694" s="11"/>
      <c r="AD1694" s="40"/>
      <c r="AE1694" s="11"/>
      <c r="AF1694" s="40"/>
      <c r="AI1694" s="11"/>
      <c r="AJ1694" s="11"/>
      <c r="AK1694" s="11"/>
      <c r="AL1694" s="11"/>
      <c r="AM1694" s="11"/>
      <c r="AN1694" s="11"/>
      <c r="AO1694" s="11"/>
      <c r="AY1694" s="11"/>
      <c r="BE1694" s="38"/>
      <c r="BF1694" s="38"/>
      <c r="BG1694" s="38"/>
      <c r="BH1694" s="11"/>
      <c r="BI1694" s="1"/>
      <c r="BJ1694" s="2"/>
      <c r="BK1694" s="1"/>
      <c r="BL1694" s="1"/>
      <c r="BM1694" s="7"/>
      <c r="BN1694" s="7"/>
      <c r="BO1694" s="1"/>
      <c r="BP1694" s="11"/>
      <c r="BQ1694" s="11"/>
    </row>
    <row r="1695" spans="1:69" x14ac:dyDescent="0.3">
      <c r="A1695" s="7"/>
      <c r="B1695" s="11"/>
      <c r="C1695" s="11"/>
      <c r="D1695" s="11"/>
      <c r="E1695" s="45"/>
      <c r="F1695" s="40"/>
      <c r="G1695" s="11"/>
      <c r="K1695" s="40"/>
      <c r="N1695" s="11"/>
      <c r="O1695" s="11"/>
      <c r="P1695" s="11"/>
      <c r="Q1695" s="11"/>
      <c r="R1695" s="11"/>
      <c r="S1695" s="11"/>
      <c r="T1695" s="11"/>
      <c r="U1695" s="11"/>
      <c r="V1695" s="11"/>
      <c r="W1695" s="11"/>
      <c r="X1695" s="11"/>
      <c r="Y1695" s="11"/>
      <c r="Z1695" s="11"/>
      <c r="AA1695" s="11"/>
      <c r="AB1695" s="11"/>
      <c r="AC1695" s="11"/>
      <c r="AD1695" s="40"/>
      <c r="AE1695" s="11"/>
      <c r="AF1695" s="40"/>
      <c r="AI1695" s="11"/>
      <c r="AJ1695" s="11"/>
      <c r="AK1695" s="11"/>
      <c r="AL1695" s="11"/>
      <c r="AM1695" s="11"/>
      <c r="AN1695" s="11"/>
      <c r="AO1695" s="11"/>
      <c r="AY1695" s="11"/>
      <c r="BE1695" s="38"/>
      <c r="BF1695" s="38"/>
      <c r="BG1695" s="38"/>
      <c r="BH1695" s="11"/>
      <c r="BI1695" s="1"/>
      <c r="BJ1695" s="2"/>
      <c r="BK1695" s="1"/>
      <c r="BL1695" s="1"/>
      <c r="BM1695" s="7"/>
      <c r="BN1695" s="7"/>
      <c r="BO1695" s="1"/>
      <c r="BP1695" s="11"/>
      <c r="BQ1695" s="11"/>
    </row>
    <row r="1696" spans="1:69" x14ac:dyDescent="0.3">
      <c r="A1696" s="7"/>
      <c r="B1696" s="11"/>
      <c r="C1696" s="11"/>
      <c r="D1696" s="11"/>
      <c r="E1696" s="45"/>
      <c r="F1696" s="40"/>
      <c r="G1696" s="11"/>
      <c r="K1696" s="40"/>
      <c r="N1696" s="11"/>
      <c r="O1696" s="11"/>
      <c r="P1696" s="11"/>
      <c r="Q1696" s="11"/>
      <c r="R1696" s="11"/>
      <c r="S1696" s="11"/>
      <c r="T1696" s="11"/>
      <c r="U1696" s="11"/>
      <c r="V1696" s="11"/>
      <c r="W1696" s="11"/>
      <c r="X1696" s="11"/>
      <c r="Y1696" s="11"/>
      <c r="Z1696" s="11"/>
      <c r="AA1696" s="11"/>
      <c r="AB1696" s="11"/>
      <c r="AC1696" s="11"/>
      <c r="AD1696" s="40"/>
      <c r="AE1696" s="11"/>
      <c r="AF1696" s="40"/>
      <c r="AI1696" s="11"/>
      <c r="AJ1696" s="11"/>
      <c r="AK1696" s="11"/>
      <c r="AL1696" s="11"/>
      <c r="AM1696" s="11"/>
      <c r="AN1696" s="11"/>
      <c r="AO1696" s="11"/>
      <c r="AY1696" s="11"/>
      <c r="BE1696" s="38"/>
      <c r="BF1696" s="38"/>
      <c r="BG1696" s="38"/>
      <c r="BH1696" s="11"/>
      <c r="BI1696" s="1"/>
      <c r="BJ1696" s="2"/>
      <c r="BK1696" s="1"/>
      <c r="BL1696" s="1"/>
      <c r="BM1696" s="7"/>
      <c r="BN1696" s="7"/>
      <c r="BO1696" s="1"/>
      <c r="BP1696" s="11"/>
      <c r="BQ1696" s="11"/>
    </row>
    <row r="1697" spans="1:69" x14ac:dyDescent="0.3">
      <c r="A1697" s="7"/>
      <c r="B1697" s="11"/>
      <c r="C1697" s="11"/>
      <c r="D1697" s="11"/>
      <c r="E1697" s="45"/>
      <c r="F1697" s="40"/>
      <c r="G1697" s="11"/>
      <c r="K1697" s="40"/>
      <c r="N1697" s="11"/>
      <c r="O1697" s="11"/>
      <c r="P1697" s="11"/>
      <c r="Q1697" s="11"/>
      <c r="R1697" s="11"/>
      <c r="S1697" s="11"/>
      <c r="T1697" s="11"/>
      <c r="U1697" s="11"/>
      <c r="V1697" s="11"/>
      <c r="W1697" s="11"/>
      <c r="X1697" s="11"/>
      <c r="Y1697" s="11"/>
      <c r="Z1697" s="11"/>
      <c r="AA1697" s="11"/>
      <c r="AB1697" s="11"/>
      <c r="AC1697" s="11"/>
      <c r="AD1697" s="40"/>
      <c r="AE1697" s="11"/>
      <c r="AF1697" s="40"/>
      <c r="AI1697" s="11"/>
      <c r="AJ1697" s="11"/>
      <c r="AK1697" s="11"/>
      <c r="AL1697" s="11"/>
      <c r="AM1697" s="11"/>
      <c r="AN1697" s="11"/>
      <c r="AO1697" s="11"/>
      <c r="AY1697" s="11"/>
      <c r="BE1697" s="38"/>
      <c r="BF1697" s="38"/>
      <c r="BG1697" s="38"/>
      <c r="BH1697" s="11"/>
      <c r="BI1697" s="1"/>
      <c r="BJ1697" s="2"/>
      <c r="BK1697" s="1"/>
      <c r="BL1697" s="1"/>
      <c r="BM1697" s="7"/>
      <c r="BN1697" s="7"/>
      <c r="BO1697" s="1"/>
      <c r="BP1697" s="11"/>
      <c r="BQ1697" s="11"/>
    </row>
    <row r="1698" spans="1:69" x14ac:dyDescent="0.3">
      <c r="A1698" s="7"/>
      <c r="B1698" s="11"/>
      <c r="C1698" s="11"/>
      <c r="D1698" s="11"/>
      <c r="E1698" s="45"/>
      <c r="F1698" s="40"/>
      <c r="G1698" s="11"/>
      <c r="K1698" s="40"/>
      <c r="N1698" s="11"/>
      <c r="O1698" s="11"/>
      <c r="P1698" s="11"/>
      <c r="Q1698" s="11"/>
      <c r="R1698" s="11"/>
      <c r="S1698" s="11"/>
      <c r="T1698" s="11"/>
      <c r="U1698" s="11"/>
      <c r="V1698" s="11"/>
      <c r="W1698" s="11"/>
      <c r="X1698" s="11"/>
      <c r="Y1698" s="11"/>
      <c r="Z1698" s="11"/>
      <c r="AA1698" s="11"/>
      <c r="AB1698" s="11"/>
      <c r="AC1698" s="11"/>
      <c r="AD1698" s="40"/>
      <c r="AE1698" s="11"/>
      <c r="AF1698" s="40"/>
      <c r="AI1698" s="11"/>
      <c r="AJ1698" s="11"/>
      <c r="AK1698" s="11"/>
      <c r="AL1698" s="11"/>
      <c r="AM1698" s="11"/>
      <c r="AN1698" s="11"/>
      <c r="AO1698" s="11"/>
      <c r="AY1698" s="11"/>
      <c r="BE1698" s="38"/>
      <c r="BF1698" s="38"/>
      <c r="BG1698" s="38"/>
      <c r="BH1698" s="11"/>
      <c r="BI1698" s="1"/>
      <c r="BJ1698" s="2"/>
      <c r="BK1698" s="1"/>
      <c r="BL1698" s="1"/>
      <c r="BM1698" s="7"/>
      <c r="BN1698" s="7"/>
      <c r="BO1698" s="1"/>
      <c r="BP1698" s="11"/>
      <c r="BQ1698" s="11"/>
    </row>
    <row r="1699" spans="1:69" x14ac:dyDescent="0.3">
      <c r="A1699" s="7"/>
      <c r="B1699" s="11"/>
      <c r="C1699" s="11"/>
      <c r="D1699" s="11"/>
      <c r="E1699" s="45"/>
      <c r="F1699" s="40"/>
      <c r="G1699" s="11"/>
      <c r="K1699" s="40"/>
      <c r="N1699" s="11"/>
      <c r="O1699" s="11"/>
      <c r="P1699" s="11"/>
      <c r="Q1699" s="11"/>
      <c r="R1699" s="11"/>
      <c r="S1699" s="11"/>
      <c r="T1699" s="11"/>
      <c r="U1699" s="11"/>
      <c r="V1699" s="11"/>
      <c r="W1699" s="11"/>
      <c r="X1699" s="11"/>
      <c r="Y1699" s="11"/>
      <c r="Z1699" s="11"/>
      <c r="AA1699" s="11"/>
      <c r="AB1699" s="11"/>
      <c r="AC1699" s="11"/>
      <c r="AD1699" s="40"/>
      <c r="AE1699" s="11"/>
      <c r="AF1699" s="40"/>
      <c r="AI1699" s="11"/>
      <c r="AJ1699" s="11"/>
      <c r="AK1699" s="11"/>
      <c r="AL1699" s="11"/>
      <c r="AM1699" s="11"/>
      <c r="AN1699" s="11"/>
      <c r="AO1699" s="11"/>
      <c r="AY1699" s="11"/>
      <c r="BE1699" s="38"/>
      <c r="BF1699" s="38"/>
      <c r="BG1699" s="38"/>
      <c r="BH1699" s="11"/>
      <c r="BI1699" s="1"/>
      <c r="BJ1699" s="2"/>
      <c r="BK1699" s="1"/>
      <c r="BL1699" s="1"/>
      <c r="BM1699" s="7"/>
      <c r="BN1699" s="7"/>
      <c r="BO1699" s="1"/>
      <c r="BP1699" s="11"/>
      <c r="BQ1699" s="11"/>
    </row>
    <row r="1700" spans="1:69" x14ac:dyDescent="0.3">
      <c r="A1700" s="7"/>
      <c r="B1700" s="11"/>
      <c r="C1700" s="11"/>
      <c r="D1700" s="11"/>
      <c r="E1700" s="45"/>
      <c r="F1700" s="40"/>
      <c r="G1700" s="11"/>
      <c r="K1700" s="40"/>
      <c r="N1700" s="11"/>
      <c r="O1700" s="11"/>
      <c r="P1700" s="11"/>
      <c r="Q1700" s="11"/>
      <c r="R1700" s="11"/>
      <c r="S1700" s="11"/>
      <c r="T1700" s="11"/>
      <c r="U1700" s="11"/>
      <c r="V1700" s="11"/>
      <c r="W1700" s="11"/>
      <c r="X1700" s="11"/>
      <c r="Y1700" s="11"/>
      <c r="Z1700" s="11"/>
      <c r="AA1700" s="11"/>
      <c r="AB1700" s="11"/>
      <c r="AC1700" s="11"/>
      <c r="AD1700" s="40"/>
      <c r="AE1700" s="11"/>
      <c r="AF1700" s="40"/>
      <c r="AI1700" s="11"/>
      <c r="AJ1700" s="11"/>
      <c r="AK1700" s="11"/>
      <c r="AL1700" s="11"/>
      <c r="AM1700" s="11"/>
      <c r="AN1700" s="11"/>
      <c r="AO1700" s="11"/>
      <c r="AY1700" s="11"/>
      <c r="BE1700" s="38"/>
      <c r="BF1700" s="38"/>
      <c r="BG1700" s="38"/>
      <c r="BH1700" s="11"/>
      <c r="BI1700" s="1"/>
      <c r="BJ1700" s="2"/>
      <c r="BK1700" s="1"/>
      <c r="BL1700" s="1"/>
      <c r="BM1700" s="7"/>
      <c r="BN1700" s="7"/>
      <c r="BO1700" s="1"/>
      <c r="BP1700" s="11"/>
      <c r="BQ1700" s="11"/>
    </row>
    <row r="1701" spans="1:69" x14ac:dyDescent="0.3">
      <c r="A1701" s="7"/>
      <c r="B1701" s="11"/>
      <c r="C1701" s="11"/>
      <c r="D1701" s="11"/>
      <c r="E1701" s="45"/>
      <c r="F1701" s="40"/>
      <c r="G1701" s="11"/>
      <c r="K1701" s="40"/>
      <c r="N1701" s="11"/>
      <c r="O1701" s="11"/>
      <c r="P1701" s="11"/>
      <c r="Q1701" s="11"/>
      <c r="R1701" s="11"/>
      <c r="S1701" s="11"/>
      <c r="T1701" s="11"/>
      <c r="U1701" s="11"/>
      <c r="V1701" s="11"/>
      <c r="W1701" s="11"/>
      <c r="X1701" s="11"/>
      <c r="Y1701" s="11"/>
      <c r="Z1701" s="11"/>
      <c r="AA1701" s="11"/>
      <c r="AB1701" s="11"/>
      <c r="AC1701" s="11"/>
      <c r="AD1701" s="40"/>
      <c r="AE1701" s="11"/>
      <c r="AF1701" s="40"/>
      <c r="AI1701" s="11"/>
      <c r="AJ1701" s="11"/>
      <c r="AK1701" s="11"/>
      <c r="AL1701" s="11"/>
      <c r="AM1701" s="11"/>
      <c r="AN1701" s="11"/>
      <c r="AO1701" s="11"/>
      <c r="AY1701" s="11"/>
      <c r="BE1701" s="38"/>
      <c r="BF1701" s="38"/>
      <c r="BG1701" s="38"/>
      <c r="BH1701" s="11"/>
      <c r="BI1701" s="1"/>
      <c r="BJ1701" s="2"/>
      <c r="BK1701" s="1"/>
      <c r="BL1701" s="1"/>
      <c r="BM1701" s="7"/>
      <c r="BN1701" s="7"/>
      <c r="BO1701" s="1"/>
      <c r="BP1701" s="11"/>
      <c r="BQ1701" s="11"/>
    </row>
    <row r="1702" spans="1:69" x14ac:dyDescent="0.3">
      <c r="A1702" s="7"/>
      <c r="B1702" s="11"/>
      <c r="C1702" s="11"/>
      <c r="D1702" s="11"/>
      <c r="E1702" s="45"/>
      <c r="F1702" s="40"/>
      <c r="G1702" s="11"/>
      <c r="K1702" s="40"/>
      <c r="N1702" s="11"/>
      <c r="O1702" s="11"/>
      <c r="P1702" s="11"/>
      <c r="Q1702" s="11"/>
      <c r="R1702" s="11"/>
      <c r="S1702" s="11"/>
      <c r="T1702" s="11"/>
      <c r="U1702" s="11"/>
      <c r="V1702" s="11"/>
      <c r="W1702" s="11"/>
      <c r="X1702" s="11"/>
      <c r="Y1702" s="11"/>
      <c r="Z1702" s="11"/>
      <c r="AA1702" s="11"/>
      <c r="AB1702" s="11"/>
      <c r="AC1702" s="11"/>
      <c r="AD1702" s="40"/>
      <c r="AE1702" s="11"/>
      <c r="AF1702" s="40"/>
      <c r="AI1702" s="11"/>
      <c r="AJ1702" s="11"/>
      <c r="AK1702" s="11"/>
      <c r="AL1702" s="11"/>
      <c r="AM1702" s="11"/>
      <c r="AN1702" s="11"/>
      <c r="AO1702" s="11"/>
      <c r="AY1702" s="11"/>
      <c r="BE1702" s="38"/>
      <c r="BF1702" s="38"/>
      <c r="BG1702" s="38"/>
      <c r="BH1702" s="11"/>
      <c r="BI1702" s="1"/>
      <c r="BJ1702" s="2"/>
      <c r="BK1702" s="1"/>
      <c r="BL1702" s="1"/>
      <c r="BM1702" s="7"/>
      <c r="BN1702" s="7"/>
      <c r="BO1702" s="1"/>
      <c r="BP1702" s="11"/>
      <c r="BQ1702" s="11"/>
    </row>
    <row r="1703" spans="1:69" x14ac:dyDescent="0.3">
      <c r="A1703" s="7"/>
      <c r="B1703" s="11"/>
      <c r="C1703" s="11"/>
      <c r="D1703" s="11"/>
      <c r="E1703" s="45"/>
      <c r="F1703" s="40"/>
      <c r="G1703" s="11"/>
      <c r="K1703" s="40"/>
      <c r="N1703" s="11"/>
      <c r="O1703" s="11"/>
      <c r="P1703" s="11"/>
      <c r="Q1703" s="11"/>
      <c r="R1703" s="11"/>
      <c r="S1703" s="11"/>
      <c r="T1703" s="11"/>
      <c r="U1703" s="11"/>
      <c r="V1703" s="11"/>
      <c r="W1703" s="11"/>
      <c r="X1703" s="11"/>
      <c r="Y1703" s="11"/>
      <c r="Z1703" s="11"/>
      <c r="AA1703" s="11"/>
      <c r="AB1703" s="11"/>
      <c r="AC1703" s="11"/>
      <c r="AD1703" s="40"/>
      <c r="AE1703" s="11"/>
      <c r="AF1703" s="40"/>
      <c r="AI1703" s="11"/>
      <c r="AJ1703" s="11"/>
      <c r="AK1703" s="11"/>
      <c r="AL1703" s="11"/>
      <c r="AM1703" s="11"/>
      <c r="AN1703" s="11"/>
      <c r="AO1703" s="11"/>
      <c r="AY1703" s="11"/>
      <c r="BE1703" s="38"/>
      <c r="BF1703" s="38"/>
      <c r="BG1703" s="38"/>
      <c r="BH1703" s="11"/>
      <c r="BI1703" s="1"/>
      <c r="BJ1703" s="2"/>
      <c r="BK1703" s="1"/>
      <c r="BL1703" s="1"/>
      <c r="BM1703" s="7"/>
      <c r="BN1703" s="7"/>
      <c r="BO1703" s="1"/>
      <c r="BP1703" s="11"/>
      <c r="BQ1703" s="11"/>
    </row>
    <row r="1704" spans="1:69" x14ac:dyDescent="0.3">
      <c r="A1704" s="7"/>
      <c r="B1704" s="11"/>
      <c r="C1704" s="11"/>
      <c r="D1704" s="11"/>
      <c r="E1704" s="45"/>
      <c r="F1704" s="40"/>
      <c r="G1704" s="11"/>
      <c r="K1704" s="40"/>
      <c r="N1704" s="11"/>
      <c r="O1704" s="11"/>
      <c r="P1704" s="11"/>
      <c r="Q1704" s="11"/>
      <c r="R1704" s="11"/>
      <c r="S1704" s="11"/>
      <c r="T1704" s="11"/>
      <c r="U1704" s="11"/>
      <c r="V1704" s="11"/>
      <c r="W1704" s="11"/>
      <c r="X1704" s="11"/>
      <c r="Y1704" s="11"/>
      <c r="Z1704" s="11"/>
      <c r="AA1704" s="11"/>
      <c r="AB1704" s="11"/>
      <c r="AC1704" s="11"/>
      <c r="AD1704" s="40"/>
      <c r="AE1704" s="11"/>
      <c r="AF1704" s="40"/>
      <c r="AI1704" s="11"/>
      <c r="AJ1704" s="11"/>
      <c r="AK1704" s="11"/>
      <c r="AL1704" s="11"/>
      <c r="AM1704" s="11"/>
      <c r="AN1704" s="11"/>
      <c r="AO1704" s="11"/>
      <c r="AY1704" s="11"/>
      <c r="BE1704" s="38"/>
      <c r="BF1704" s="38"/>
      <c r="BG1704" s="38"/>
      <c r="BH1704" s="11"/>
      <c r="BI1704" s="1"/>
      <c r="BJ1704" s="2"/>
      <c r="BK1704" s="1"/>
      <c r="BL1704" s="1"/>
      <c r="BM1704" s="7"/>
      <c r="BN1704" s="7"/>
      <c r="BO1704" s="1"/>
      <c r="BP1704" s="11"/>
      <c r="BQ1704" s="11"/>
    </row>
    <row r="1705" spans="1:69" x14ac:dyDescent="0.3">
      <c r="A1705" s="7"/>
      <c r="B1705" s="11"/>
      <c r="C1705" s="11"/>
      <c r="D1705" s="11"/>
      <c r="E1705" s="45"/>
      <c r="F1705" s="40"/>
      <c r="G1705" s="11"/>
      <c r="K1705" s="40"/>
      <c r="N1705" s="11"/>
      <c r="O1705" s="11"/>
      <c r="P1705" s="11"/>
      <c r="Q1705" s="11"/>
      <c r="R1705" s="11"/>
      <c r="S1705" s="11"/>
      <c r="T1705" s="11"/>
      <c r="U1705" s="11"/>
      <c r="V1705" s="11"/>
      <c r="W1705" s="11"/>
      <c r="X1705" s="11"/>
      <c r="Y1705" s="11"/>
      <c r="Z1705" s="11"/>
      <c r="AA1705" s="11"/>
      <c r="AB1705" s="11"/>
      <c r="AC1705" s="11"/>
      <c r="AD1705" s="40"/>
      <c r="AE1705" s="11"/>
      <c r="AF1705" s="40"/>
      <c r="AI1705" s="11"/>
      <c r="AJ1705" s="11"/>
      <c r="AK1705" s="11"/>
      <c r="AL1705" s="11"/>
      <c r="AM1705" s="11"/>
      <c r="AN1705" s="11"/>
      <c r="AO1705" s="11"/>
      <c r="AY1705" s="11"/>
      <c r="BE1705" s="38"/>
      <c r="BF1705" s="38"/>
      <c r="BG1705" s="38"/>
      <c r="BH1705" s="11"/>
      <c r="BI1705" s="1"/>
      <c r="BJ1705" s="2"/>
      <c r="BK1705" s="1"/>
      <c r="BL1705" s="1"/>
      <c r="BM1705" s="7"/>
      <c r="BN1705" s="7"/>
      <c r="BO1705" s="1"/>
      <c r="BP1705" s="11"/>
      <c r="BQ1705" s="11"/>
    </row>
    <row r="1706" spans="1:69" x14ac:dyDescent="0.3">
      <c r="A1706" s="7"/>
      <c r="B1706" s="11"/>
      <c r="C1706" s="11"/>
      <c r="D1706" s="11"/>
      <c r="E1706" s="45"/>
      <c r="F1706" s="40"/>
      <c r="G1706" s="11"/>
      <c r="K1706" s="40"/>
      <c r="N1706" s="11"/>
      <c r="O1706" s="11"/>
      <c r="P1706" s="11"/>
      <c r="Q1706" s="11"/>
      <c r="R1706" s="11"/>
      <c r="S1706" s="11"/>
      <c r="T1706" s="11"/>
      <c r="U1706" s="11"/>
      <c r="V1706" s="11"/>
      <c r="W1706" s="11"/>
      <c r="X1706" s="11"/>
      <c r="Y1706" s="11"/>
      <c r="Z1706" s="11"/>
      <c r="AA1706" s="11"/>
      <c r="AB1706" s="11"/>
      <c r="AC1706" s="11"/>
      <c r="AD1706" s="40"/>
      <c r="AE1706" s="11"/>
      <c r="AF1706" s="40"/>
      <c r="AI1706" s="11"/>
      <c r="AJ1706" s="11"/>
      <c r="AK1706" s="11"/>
      <c r="AL1706" s="11"/>
      <c r="AM1706" s="11"/>
      <c r="AN1706" s="11"/>
      <c r="AO1706" s="11"/>
      <c r="AY1706" s="11"/>
      <c r="BE1706" s="38"/>
      <c r="BF1706" s="38"/>
      <c r="BG1706" s="38"/>
      <c r="BH1706" s="11"/>
      <c r="BI1706" s="1"/>
      <c r="BJ1706" s="2"/>
      <c r="BK1706" s="1"/>
      <c r="BL1706" s="1"/>
      <c r="BM1706" s="7"/>
      <c r="BN1706" s="7"/>
      <c r="BO1706" s="1"/>
      <c r="BP1706" s="11"/>
      <c r="BQ1706" s="11"/>
    </row>
    <row r="1707" spans="1:69" x14ac:dyDescent="0.3">
      <c r="A1707" s="7"/>
      <c r="B1707" s="11"/>
      <c r="C1707" s="11"/>
      <c r="D1707" s="11"/>
      <c r="E1707" s="45"/>
      <c r="F1707" s="40"/>
      <c r="G1707" s="11"/>
      <c r="K1707" s="40"/>
      <c r="N1707" s="11"/>
      <c r="O1707" s="11"/>
      <c r="P1707" s="11"/>
      <c r="Q1707" s="11"/>
      <c r="R1707" s="11"/>
      <c r="S1707" s="11"/>
      <c r="T1707" s="11"/>
      <c r="U1707" s="11"/>
      <c r="V1707" s="11"/>
      <c r="W1707" s="11"/>
      <c r="X1707" s="11"/>
      <c r="Y1707" s="11"/>
      <c r="Z1707" s="11"/>
      <c r="AA1707" s="11"/>
      <c r="AB1707" s="11"/>
      <c r="AC1707" s="11"/>
      <c r="AD1707" s="40"/>
      <c r="AE1707" s="11"/>
      <c r="AF1707" s="40"/>
      <c r="AI1707" s="11"/>
      <c r="AJ1707" s="11"/>
      <c r="AK1707" s="11"/>
      <c r="AL1707" s="11"/>
      <c r="AM1707" s="11"/>
      <c r="AN1707" s="11"/>
      <c r="AO1707" s="11"/>
      <c r="AY1707" s="11"/>
      <c r="BE1707" s="38"/>
      <c r="BF1707" s="38"/>
      <c r="BG1707" s="38"/>
      <c r="BH1707" s="11"/>
      <c r="BI1707" s="1"/>
      <c r="BJ1707" s="2"/>
      <c r="BK1707" s="1"/>
      <c r="BL1707" s="1"/>
      <c r="BM1707" s="7"/>
      <c r="BN1707" s="7"/>
      <c r="BO1707" s="1"/>
      <c r="BP1707" s="11"/>
      <c r="BQ1707" s="11"/>
    </row>
    <row r="1708" spans="1:69" x14ac:dyDescent="0.3">
      <c r="A1708" s="7"/>
      <c r="B1708" s="11"/>
      <c r="C1708" s="11"/>
      <c r="D1708" s="11"/>
      <c r="E1708" s="45"/>
      <c r="F1708" s="40"/>
      <c r="G1708" s="11"/>
      <c r="K1708" s="40"/>
      <c r="N1708" s="11"/>
      <c r="O1708" s="11"/>
      <c r="P1708" s="11"/>
      <c r="Q1708" s="11"/>
      <c r="R1708" s="11"/>
      <c r="S1708" s="11"/>
      <c r="T1708" s="11"/>
      <c r="U1708" s="11"/>
      <c r="V1708" s="11"/>
      <c r="W1708" s="11"/>
      <c r="X1708" s="11"/>
      <c r="Y1708" s="11"/>
      <c r="Z1708" s="11"/>
      <c r="AA1708" s="11"/>
      <c r="AB1708" s="11"/>
      <c r="AC1708" s="11"/>
      <c r="AD1708" s="40"/>
      <c r="AE1708" s="11"/>
      <c r="AF1708" s="40"/>
      <c r="AI1708" s="11"/>
      <c r="AJ1708" s="11"/>
      <c r="AK1708" s="11"/>
      <c r="AL1708" s="11"/>
      <c r="AM1708" s="11"/>
      <c r="AN1708" s="11"/>
      <c r="AO1708" s="11"/>
      <c r="AY1708" s="11"/>
      <c r="BE1708" s="38"/>
      <c r="BF1708" s="38"/>
      <c r="BG1708" s="38"/>
      <c r="BH1708" s="11"/>
      <c r="BI1708" s="1"/>
      <c r="BJ1708" s="2"/>
      <c r="BK1708" s="1"/>
      <c r="BL1708" s="1"/>
      <c r="BM1708" s="7"/>
      <c r="BN1708" s="7"/>
      <c r="BO1708" s="1"/>
      <c r="BP1708" s="11"/>
      <c r="BQ1708" s="11"/>
    </row>
    <row r="1709" spans="1:69" x14ac:dyDescent="0.3">
      <c r="A1709" s="7"/>
      <c r="B1709" s="11"/>
      <c r="C1709" s="11"/>
      <c r="D1709" s="11"/>
      <c r="E1709" s="45"/>
      <c r="F1709" s="40"/>
      <c r="G1709" s="11"/>
      <c r="K1709" s="40"/>
      <c r="N1709" s="11"/>
      <c r="O1709" s="11"/>
      <c r="P1709" s="11"/>
      <c r="Q1709" s="11"/>
      <c r="R1709" s="11"/>
      <c r="S1709" s="11"/>
      <c r="T1709" s="11"/>
      <c r="U1709" s="11"/>
      <c r="V1709" s="11"/>
      <c r="W1709" s="11"/>
      <c r="X1709" s="11"/>
      <c r="Y1709" s="11"/>
      <c r="Z1709" s="11"/>
      <c r="AA1709" s="11"/>
      <c r="AB1709" s="11"/>
      <c r="AC1709" s="11"/>
      <c r="AD1709" s="40"/>
      <c r="AE1709" s="11"/>
      <c r="AF1709" s="40"/>
      <c r="AI1709" s="11"/>
      <c r="AJ1709" s="11"/>
      <c r="AK1709" s="11"/>
      <c r="AL1709" s="11"/>
      <c r="AM1709" s="11"/>
      <c r="AN1709" s="11"/>
      <c r="AO1709" s="11"/>
      <c r="AY1709" s="11"/>
      <c r="BE1709" s="38"/>
      <c r="BF1709" s="38"/>
      <c r="BG1709" s="38"/>
      <c r="BH1709" s="11"/>
      <c r="BI1709" s="1"/>
      <c r="BJ1709" s="2"/>
      <c r="BK1709" s="1"/>
      <c r="BL1709" s="1"/>
      <c r="BM1709" s="7"/>
      <c r="BN1709" s="7"/>
      <c r="BO1709" s="1"/>
      <c r="BP1709" s="11"/>
      <c r="BQ1709" s="11"/>
    </row>
    <row r="1710" spans="1:69" x14ac:dyDescent="0.3">
      <c r="A1710" s="7"/>
      <c r="B1710" s="11"/>
      <c r="C1710" s="11"/>
      <c r="D1710" s="11"/>
      <c r="E1710" s="45"/>
      <c r="F1710" s="40"/>
      <c r="G1710" s="11"/>
      <c r="K1710" s="40"/>
      <c r="N1710" s="11"/>
      <c r="O1710" s="11"/>
      <c r="P1710" s="11"/>
      <c r="Q1710" s="11"/>
      <c r="R1710" s="11"/>
      <c r="S1710" s="11"/>
      <c r="T1710" s="11"/>
      <c r="U1710" s="11"/>
      <c r="V1710" s="11"/>
      <c r="W1710" s="11"/>
      <c r="X1710" s="11"/>
      <c r="Y1710" s="11"/>
      <c r="Z1710" s="11"/>
      <c r="AA1710" s="11"/>
      <c r="AB1710" s="11"/>
      <c r="AC1710" s="11"/>
      <c r="AD1710" s="40"/>
      <c r="AE1710" s="11"/>
      <c r="AF1710" s="40"/>
      <c r="AI1710" s="11"/>
      <c r="AJ1710" s="11"/>
      <c r="AK1710" s="11"/>
      <c r="AL1710" s="11"/>
      <c r="AM1710" s="11"/>
      <c r="AN1710" s="11"/>
      <c r="AO1710" s="11"/>
      <c r="AY1710" s="11"/>
      <c r="BE1710" s="38"/>
      <c r="BF1710" s="38"/>
      <c r="BG1710" s="38"/>
      <c r="BH1710" s="11"/>
      <c r="BI1710" s="1"/>
      <c r="BJ1710" s="2"/>
      <c r="BK1710" s="1"/>
      <c r="BL1710" s="1"/>
      <c r="BM1710" s="7"/>
      <c r="BN1710" s="7"/>
      <c r="BO1710" s="1"/>
      <c r="BP1710" s="11"/>
      <c r="BQ1710" s="11"/>
    </row>
    <row r="1711" spans="1:69" x14ac:dyDescent="0.3">
      <c r="A1711" s="7"/>
      <c r="B1711" s="11"/>
      <c r="C1711" s="11"/>
      <c r="D1711" s="11"/>
      <c r="E1711" s="45"/>
      <c r="F1711" s="40"/>
      <c r="G1711" s="11"/>
      <c r="K1711" s="40"/>
      <c r="N1711" s="11"/>
      <c r="O1711" s="11"/>
      <c r="P1711" s="11"/>
      <c r="Q1711" s="11"/>
      <c r="R1711" s="11"/>
      <c r="S1711" s="11"/>
      <c r="T1711" s="11"/>
      <c r="U1711" s="11"/>
      <c r="V1711" s="11"/>
      <c r="W1711" s="11"/>
      <c r="X1711" s="11"/>
      <c r="Y1711" s="11"/>
      <c r="Z1711" s="11"/>
      <c r="AA1711" s="11"/>
      <c r="AB1711" s="11"/>
      <c r="AC1711" s="11"/>
      <c r="AD1711" s="40"/>
      <c r="AE1711" s="11"/>
      <c r="AF1711" s="40"/>
      <c r="AI1711" s="11"/>
      <c r="AJ1711" s="11"/>
      <c r="AK1711" s="11"/>
      <c r="AL1711" s="11"/>
      <c r="AM1711" s="11"/>
      <c r="AN1711" s="11"/>
      <c r="AO1711" s="11"/>
      <c r="AY1711" s="11"/>
      <c r="BE1711" s="38"/>
      <c r="BF1711" s="38"/>
      <c r="BG1711" s="38"/>
      <c r="BH1711" s="11"/>
      <c r="BI1711" s="1"/>
      <c r="BJ1711" s="2"/>
      <c r="BK1711" s="1"/>
      <c r="BL1711" s="1"/>
      <c r="BM1711" s="7"/>
      <c r="BN1711" s="7"/>
      <c r="BO1711" s="1"/>
      <c r="BP1711" s="11"/>
      <c r="BQ1711" s="11"/>
    </row>
    <row r="1712" spans="1:69" x14ac:dyDescent="0.3">
      <c r="A1712" s="7"/>
      <c r="B1712" s="11"/>
      <c r="C1712" s="11"/>
      <c r="D1712" s="11"/>
      <c r="E1712" s="45"/>
      <c r="F1712" s="40"/>
      <c r="G1712" s="11"/>
      <c r="K1712" s="40"/>
      <c r="N1712" s="11"/>
      <c r="O1712" s="11"/>
      <c r="P1712" s="11"/>
      <c r="Q1712" s="11"/>
      <c r="R1712" s="11"/>
      <c r="S1712" s="11"/>
      <c r="T1712" s="11"/>
      <c r="U1712" s="11"/>
      <c r="V1712" s="11"/>
      <c r="W1712" s="11"/>
      <c r="X1712" s="11"/>
      <c r="Y1712" s="11"/>
      <c r="Z1712" s="11"/>
      <c r="AA1712" s="11"/>
      <c r="AB1712" s="11"/>
      <c r="AC1712" s="11"/>
      <c r="AD1712" s="40"/>
      <c r="AE1712" s="11"/>
      <c r="AF1712" s="40"/>
      <c r="AI1712" s="11"/>
      <c r="AJ1712" s="11"/>
      <c r="AK1712" s="11"/>
      <c r="AL1712" s="11"/>
      <c r="AM1712" s="11"/>
      <c r="AN1712" s="11"/>
      <c r="AO1712" s="11"/>
      <c r="AY1712" s="11"/>
      <c r="BE1712" s="38"/>
      <c r="BF1712" s="38"/>
      <c r="BG1712" s="38"/>
      <c r="BH1712" s="11"/>
      <c r="BI1712" s="1"/>
      <c r="BJ1712" s="2"/>
      <c r="BK1712" s="1"/>
      <c r="BL1712" s="1"/>
      <c r="BM1712" s="7"/>
      <c r="BN1712" s="7"/>
      <c r="BO1712" s="1"/>
      <c r="BP1712" s="11"/>
      <c r="BQ1712" s="11"/>
    </row>
    <row r="1713" spans="1:69" x14ac:dyDescent="0.3">
      <c r="A1713" s="7"/>
      <c r="B1713" s="11"/>
      <c r="C1713" s="11"/>
      <c r="D1713" s="11"/>
      <c r="E1713" s="45"/>
      <c r="F1713" s="40"/>
      <c r="G1713" s="11"/>
      <c r="K1713" s="40"/>
      <c r="N1713" s="11"/>
      <c r="O1713" s="11"/>
      <c r="P1713" s="11"/>
      <c r="Q1713" s="11"/>
      <c r="R1713" s="11"/>
      <c r="S1713" s="11"/>
      <c r="T1713" s="11"/>
      <c r="U1713" s="11"/>
      <c r="V1713" s="11"/>
      <c r="W1713" s="11"/>
      <c r="X1713" s="11"/>
      <c r="Y1713" s="11"/>
      <c r="Z1713" s="11"/>
      <c r="AA1713" s="11"/>
      <c r="AB1713" s="11"/>
      <c r="AC1713" s="11"/>
      <c r="AD1713" s="40"/>
      <c r="AE1713" s="11"/>
      <c r="AF1713" s="40"/>
      <c r="AI1713" s="11"/>
      <c r="AJ1713" s="11"/>
      <c r="AK1713" s="11"/>
      <c r="AL1713" s="11"/>
      <c r="AM1713" s="11"/>
      <c r="AN1713" s="11"/>
      <c r="AO1713" s="11"/>
      <c r="AY1713" s="11"/>
      <c r="BE1713" s="38"/>
      <c r="BF1713" s="38"/>
      <c r="BG1713" s="38"/>
      <c r="BH1713" s="11"/>
      <c r="BI1713" s="1"/>
      <c r="BJ1713" s="2"/>
      <c r="BK1713" s="1"/>
      <c r="BL1713" s="1"/>
      <c r="BM1713" s="7"/>
      <c r="BN1713" s="7"/>
      <c r="BO1713" s="1"/>
      <c r="BP1713" s="11"/>
      <c r="BQ1713" s="11"/>
    </row>
    <row r="1714" spans="1:69" x14ac:dyDescent="0.3">
      <c r="A1714" s="7"/>
      <c r="B1714" s="11"/>
      <c r="C1714" s="11"/>
      <c r="D1714" s="11"/>
      <c r="E1714" s="45"/>
      <c r="F1714" s="40"/>
      <c r="G1714" s="11"/>
      <c r="K1714" s="40"/>
      <c r="N1714" s="11"/>
      <c r="O1714" s="11"/>
      <c r="P1714" s="11"/>
      <c r="Q1714" s="11"/>
      <c r="R1714" s="11"/>
      <c r="S1714" s="11"/>
      <c r="T1714" s="11"/>
      <c r="U1714" s="11"/>
      <c r="V1714" s="11"/>
      <c r="W1714" s="11"/>
      <c r="X1714" s="11"/>
      <c r="Y1714" s="11"/>
      <c r="Z1714" s="11"/>
      <c r="AA1714" s="11"/>
      <c r="AB1714" s="11"/>
      <c r="AC1714" s="11"/>
      <c r="AD1714" s="40"/>
      <c r="AE1714" s="11"/>
      <c r="AF1714" s="40"/>
      <c r="AI1714" s="11"/>
      <c r="AJ1714" s="11"/>
      <c r="AK1714" s="11"/>
      <c r="AL1714" s="11"/>
      <c r="AM1714" s="11"/>
      <c r="AN1714" s="11"/>
      <c r="AO1714" s="11"/>
      <c r="AY1714" s="11"/>
      <c r="BE1714" s="38"/>
      <c r="BF1714" s="38"/>
      <c r="BG1714" s="38"/>
      <c r="BH1714" s="11"/>
      <c r="BI1714" s="1"/>
      <c r="BJ1714" s="2"/>
      <c r="BK1714" s="1"/>
      <c r="BL1714" s="1"/>
      <c r="BM1714" s="7"/>
      <c r="BN1714" s="7"/>
      <c r="BO1714" s="1"/>
      <c r="BP1714" s="11"/>
      <c r="BQ1714" s="11"/>
    </row>
    <row r="1715" spans="1:69" x14ac:dyDescent="0.3">
      <c r="A1715" s="7"/>
      <c r="B1715" s="11"/>
      <c r="C1715" s="11"/>
      <c r="D1715" s="11"/>
      <c r="E1715" s="45"/>
      <c r="F1715" s="40"/>
      <c r="G1715" s="11"/>
      <c r="K1715" s="40"/>
      <c r="N1715" s="11"/>
      <c r="O1715" s="11"/>
      <c r="P1715" s="11"/>
      <c r="Q1715" s="11"/>
      <c r="R1715" s="11"/>
      <c r="S1715" s="11"/>
      <c r="T1715" s="11"/>
      <c r="U1715" s="11"/>
      <c r="V1715" s="11"/>
      <c r="W1715" s="11"/>
      <c r="X1715" s="11"/>
      <c r="Y1715" s="11"/>
      <c r="Z1715" s="11"/>
      <c r="AA1715" s="11"/>
      <c r="AB1715" s="11"/>
      <c r="AC1715" s="11"/>
      <c r="AD1715" s="40"/>
      <c r="AE1715" s="11"/>
      <c r="AF1715" s="40"/>
      <c r="AI1715" s="11"/>
      <c r="AJ1715" s="11"/>
      <c r="AK1715" s="11"/>
      <c r="AL1715" s="11"/>
      <c r="AM1715" s="11"/>
      <c r="AN1715" s="11"/>
      <c r="AO1715" s="11"/>
      <c r="AY1715" s="11"/>
      <c r="BE1715" s="38"/>
      <c r="BF1715" s="38"/>
      <c r="BG1715" s="38"/>
      <c r="BH1715" s="11"/>
      <c r="BI1715" s="1"/>
      <c r="BJ1715" s="2"/>
      <c r="BK1715" s="1"/>
      <c r="BL1715" s="1"/>
      <c r="BM1715" s="7"/>
      <c r="BN1715" s="7"/>
      <c r="BO1715" s="1"/>
      <c r="BP1715" s="11"/>
      <c r="BQ1715" s="11"/>
    </row>
    <row r="1716" spans="1:69" x14ac:dyDescent="0.3">
      <c r="A1716" s="7"/>
      <c r="B1716" s="11"/>
      <c r="C1716" s="11"/>
      <c r="D1716" s="11"/>
      <c r="E1716" s="45"/>
      <c r="F1716" s="40"/>
      <c r="G1716" s="11"/>
      <c r="K1716" s="40"/>
      <c r="N1716" s="11"/>
      <c r="O1716" s="11"/>
      <c r="P1716" s="11"/>
      <c r="Q1716" s="11"/>
      <c r="R1716" s="11"/>
      <c r="S1716" s="11"/>
      <c r="T1716" s="11"/>
      <c r="U1716" s="11"/>
      <c r="V1716" s="11"/>
      <c r="W1716" s="11"/>
      <c r="X1716" s="11"/>
      <c r="Y1716" s="11"/>
      <c r="Z1716" s="11"/>
      <c r="AA1716" s="11"/>
      <c r="AB1716" s="11"/>
      <c r="AC1716" s="11"/>
      <c r="AD1716" s="40"/>
      <c r="AE1716" s="11"/>
      <c r="AF1716" s="40"/>
      <c r="AI1716" s="11"/>
      <c r="AJ1716" s="11"/>
      <c r="AK1716" s="11"/>
      <c r="AL1716" s="11"/>
      <c r="AM1716" s="11"/>
      <c r="AN1716" s="11"/>
      <c r="AO1716" s="11"/>
      <c r="AY1716" s="11"/>
      <c r="BE1716" s="38"/>
      <c r="BF1716" s="38"/>
      <c r="BG1716" s="38"/>
      <c r="BH1716" s="11"/>
      <c r="BI1716" s="1"/>
      <c r="BJ1716" s="2"/>
      <c r="BK1716" s="1"/>
      <c r="BL1716" s="1"/>
      <c r="BM1716" s="7"/>
      <c r="BN1716" s="7"/>
      <c r="BO1716" s="1"/>
      <c r="BP1716" s="11"/>
      <c r="BQ1716" s="11"/>
    </row>
    <row r="1717" spans="1:69" x14ac:dyDescent="0.3">
      <c r="A1717" s="7"/>
      <c r="B1717" s="11"/>
      <c r="C1717" s="11"/>
      <c r="D1717" s="11"/>
      <c r="E1717" s="45"/>
      <c r="F1717" s="40"/>
      <c r="G1717" s="11"/>
      <c r="K1717" s="40"/>
      <c r="N1717" s="11"/>
      <c r="O1717" s="11"/>
      <c r="P1717" s="11"/>
      <c r="Q1717" s="11"/>
      <c r="R1717" s="11"/>
      <c r="S1717" s="11"/>
      <c r="T1717" s="11"/>
      <c r="U1717" s="11"/>
      <c r="V1717" s="11"/>
      <c r="W1717" s="11"/>
      <c r="X1717" s="11"/>
      <c r="Y1717" s="11"/>
      <c r="Z1717" s="11"/>
      <c r="AA1717" s="11"/>
      <c r="AB1717" s="11"/>
      <c r="AC1717" s="11"/>
      <c r="AD1717" s="40"/>
      <c r="AE1717" s="11"/>
      <c r="AF1717" s="40"/>
      <c r="AI1717" s="11"/>
      <c r="AJ1717" s="11"/>
      <c r="AK1717" s="11"/>
      <c r="AL1717" s="11"/>
      <c r="AM1717" s="11"/>
      <c r="AN1717" s="11"/>
      <c r="AO1717" s="11"/>
      <c r="AY1717" s="11"/>
      <c r="BE1717" s="38"/>
      <c r="BF1717" s="38"/>
      <c r="BG1717" s="38"/>
      <c r="BH1717" s="11"/>
      <c r="BI1717" s="1"/>
      <c r="BJ1717" s="2"/>
      <c r="BK1717" s="1"/>
      <c r="BL1717" s="1"/>
      <c r="BM1717" s="7"/>
      <c r="BN1717" s="7"/>
      <c r="BO1717" s="1"/>
      <c r="BP1717" s="11"/>
      <c r="BQ1717" s="11"/>
    </row>
    <row r="1718" spans="1:69" x14ac:dyDescent="0.3">
      <c r="A1718" s="7"/>
      <c r="B1718" s="11"/>
      <c r="C1718" s="11"/>
      <c r="D1718" s="11"/>
      <c r="E1718" s="45"/>
      <c r="F1718" s="40"/>
      <c r="G1718" s="11"/>
      <c r="K1718" s="40"/>
      <c r="N1718" s="11"/>
      <c r="O1718" s="11"/>
      <c r="P1718" s="11"/>
      <c r="Q1718" s="11"/>
      <c r="R1718" s="11"/>
      <c r="S1718" s="11"/>
      <c r="T1718" s="11"/>
      <c r="U1718" s="11"/>
      <c r="V1718" s="11"/>
      <c r="W1718" s="11"/>
      <c r="X1718" s="11"/>
      <c r="Y1718" s="11"/>
      <c r="Z1718" s="11"/>
      <c r="AA1718" s="11"/>
      <c r="AB1718" s="11"/>
      <c r="AC1718" s="11"/>
      <c r="AD1718" s="40"/>
      <c r="AE1718" s="11"/>
      <c r="AF1718" s="40"/>
      <c r="AI1718" s="11"/>
      <c r="AJ1718" s="11"/>
      <c r="AK1718" s="11"/>
      <c r="AL1718" s="11"/>
      <c r="AM1718" s="11"/>
      <c r="AN1718" s="11"/>
      <c r="AO1718" s="11"/>
      <c r="AY1718" s="11"/>
      <c r="BE1718" s="38"/>
      <c r="BF1718" s="38"/>
      <c r="BG1718" s="38"/>
      <c r="BH1718" s="11"/>
      <c r="BI1718" s="1"/>
      <c r="BJ1718" s="2"/>
      <c r="BK1718" s="1"/>
      <c r="BL1718" s="1"/>
      <c r="BM1718" s="7"/>
      <c r="BN1718" s="7"/>
      <c r="BO1718" s="1"/>
      <c r="BP1718" s="11"/>
      <c r="BQ1718" s="11"/>
    </row>
    <row r="1719" spans="1:69" x14ac:dyDescent="0.3">
      <c r="A1719" s="7"/>
      <c r="B1719" s="11"/>
      <c r="C1719" s="11"/>
      <c r="D1719" s="11"/>
      <c r="E1719" s="45"/>
      <c r="F1719" s="40"/>
      <c r="G1719" s="11"/>
      <c r="K1719" s="40"/>
      <c r="N1719" s="11"/>
      <c r="O1719" s="11"/>
      <c r="P1719" s="11"/>
      <c r="Q1719" s="11"/>
      <c r="R1719" s="11"/>
      <c r="S1719" s="11"/>
      <c r="T1719" s="11"/>
      <c r="U1719" s="11"/>
      <c r="V1719" s="11"/>
      <c r="W1719" s="11"/>
      <c r="X1719" s="11"/>
      <c r="Y1719" s="11"/>
      <c r="Z1719" s="11"/>
      <c r="AA1719" s="11"/>
      <c r="AB1719" s="11"/>
      <c r="AC1719" s="11"/>
      <c r="AD1719" s="40"/>
      <c r="AE1719" s="11"/>
      <c r="AF1719" s="40"/>
      <c r="AI1719" s="11"/>
      <c r="AJ1719" s="11"/>
      <c r="AK1719" s="11"/>
      <c r="AL1719" s="11"/>
      <c r="AM1719" s="11"/>
      <c r="AN1719" s="11"/>
      <c r="AO1719" s="11"/>
      <c r="AY1719" s="11"/>
      <c r="BE1719" s="38"/>
      <c r="BF1719" s="38"/>
      <c r="BG1719" s="38"/>
      <c r="BH1719" s="11"/>
      <c r="BI1719" s="1"/>
      <c r="BJ1719" s="2"/>
      <c r="BK1719" s="1"/>
      <c r="BL1719" s="1"/>
      <c r="BM1719" s="7"/>
      <c r="BN1719" s="7"/>
      <c r="BO1719" s="1"/>
      <c r="BP1719" s="11"/>
      <c r="BQ1719" s="11"/>
    </row>
    <row r="1720" spans="1:69" x14ac:dyDescent="0.3">
      <c r="A1720" s="7"/>
      <c r="B1720" s="11"/>
      <c r="C1720" s="11"/>
      <c r="D1720" s="11"/>
      <c r="E1720" s="45"/>
      <c r="F1720" s="40"/>
      <c r="G1720" s="11"/>
      <c r="K1720" s="40"/>
      <c r="N1720" s="11"/>
      <c r="O1720" s="11"/>
      <c r="P1720" s="11"/>
      <c r="Q1720" s="11"/>
      <c r="R1720" s="11"/>
      <c r="S1720" s="11"/>
      <c r="T1720" s="11"/>
      <c r="U1720" s="11"/>
      <c r="V1720" s="11"/>
      <c r="W1720" s="11"/>
      <c r="X1720" s="11"/>
      <c r="Y1720" s="11"/>
      <c r="Z1720" s="11"/>
      <c r="AA1720" s="11"/>
      <c r="AB1720" s="11"/>
      <c r="AC1720" s="11"/>
      <c r="AD1720" s="40"/>
      <c r="AE1720" s="11"/>
      <c r="AF1720" s="40"/>
      <c r="AI1720" s="11"/>
      <c r="AJ1720" s="11"/>
      <c r="AK1720" s="11"/>
      <c r="AL1720" s="11"/>
      <c r="AM1720" s="11"/>
      <c r="AN1720" s="11"/>
      <c r="AO1720" s="11"/>
      <c r="AY1720" s="11"/>
      <c r="BE1720" s="38"/>
      <c r="BF1720" s="38"/>
      <c r="BG1720" s="38"/>
      <c r="BH1720" s="11"/>
      <c r="BI1720" s="1"/>
      <c r="BJ1720" s="2"/>
      <c r="BK1720" s="1"/>
      <c r="BL1720" s="1"/>
      <c r="BM1720" s="7"/>
      <c r="BN1720" s="7"/>
      <c r="BO1720" s="1"/>
      <c r="BP1720" s="11"/>
      <c r="BQ1720" s="11"/>
    </row>
    <row r="1721" spans="1:69" x14ac:dyDescent="0.3">
      <c r="A1721" s="7"/>
      <c r="B1721" s="11"/>
      <c r="C1721" s="11"/>
      <c r="D1721" s="11"/>
      <c r="E1721" s="45"/>
      <c r="F1721" s="40"/>
      <c r="G1721" s="11"/>
      <c r="K1721" s="40"/>
      <c r="N1721" s="11"/>
      <c r="O1721" s="11"/>
      <c r="P1721" s="11"/>
      <c r="Q1721" s="11"/>
      <c r="R1721" s="11"/>
      <c r="S1721" s="11"/>
      <c r="T1721" s="11"/>
      <c r="U1721" s="11"/>
      <c r="V1721" s="11"/>
      <c r="W1721" s="11"/>
      <c r="X1721" s="11"/>
      <c r="Y1721" s="11"/>
      <c r="Z1721" s="11"/>
      <c r="AA1721" s="11"/>
      <c r="AB1721" s="11"/>
      <c r="AC1721" s="11"/>
      <c r="AD1721" s="40"/>
      <c r="AE1721" s="11"/>
      <c r="AF1721" s="40"/>
      <c r="AI1721" s="11"/>
      <c r="AJ1721" s="11"/>
      <c r="AK1721" s="11"/>
      <c r="AL1721" s="11"/>
      <c r="AM1721" s="11"/>
      <c r="AN1721" s="11"/>
      <c r="AO1721" s="11"/>
      <c r="AY1721" s="11"/>
      <c r="BE1721" s="38"/>
      <c r="BF1721" s="38"/>
      <c r="BG1721" s="38"/>
      <c r="BH1721" s="11"/>
      <c r="BI1721" s="1"/>
      <c r="BJ1721" s="2"/>
      <c r="BK1721" s="1"/>
      <c r="BL1721" s="1"/>
      <c r="BM1721" s="7"/>
      <c r="BN1721" s="7"/>
      <c r="BO1721" s="1"/>
      <c r="BP1721" s="11"/>
      <c r="BQ1721" s="11"/>
    </row>
    <row r="1722" spans="1:69" x14ac:dyDescent="0.3">
      <c r="A1722" s="7"/>
      <c r="B1722" s="11"/>
      <c r="C1722" s="11"/>
      <c r="D1722" s="11"/>
      <c r="E1722" s="45"/>
      <c r="F1722" s="40"/>
      <c r="G1722" s="11"/>
      <c r="K1722" s="40"/>
      <c r="N1722" s="11"/>
      <c r="O1722" s="11"/>
      <c r="P1722" s="11"/>
      <c r="Q1722" s="11"/>
      <c r="R1722" s="11"/>
      <c r="S1722" s="11"/>
      <c r="T1722" s="11"/>
      <c r="U1722" s="11"/>
      <c r="V1722" s="11"/>
      <c r="W1722" s="11"/>
      <c r="X1722" s="11"/>
      <c r="Y1722" s="11"/>
      <c r="Z1722" s="11"/>
      <c r="AA1722" s="11"/>
      <c r="AB1722" s="11"/>
      <c r="AC1722" s="11"/>
      <c r="AD1722" s="40"/>
      <c r="AE1722" s="11"/>
      <c r="AF1722" s="40"/>
      <c r="AI1722" s="11"/>
      <c r="AJ1722" s="11"/>
      <c r="AK1722" s="11"/>
      <c r="AL1722" s="11"/>
      <c r="AM1722" s="11"/>
      <c r="AN1722" s="11"/>
      <c r="AO1722" s="11"/>
      <c r="AY1722" s="11"/>
      <c r="BE1722" s="38"/>
      <c r="BF1722" s="38"/>
      <c r="BG1722" s="38"/>
      <c r="BH1722" s="11"/>
      <c r="BI1722" s="1"/>
      <c r="BJ1722" s="2"/>
      <c r="BK1722" s="1"/>
      <c r="BL1722" s="1"/>
      <c r="BM1722" s="7"/>
      <c r="BN1722" s="7"/>
      <c r="BO1722" s="1"/>
      <c r="BP1722" s="11"/>
      <c r="BQ1722" s="11"/>
    </row>
    <row r="1723" spans="1:69" x14ac:dyDescent="0.3">
      <c r="A1723" s="7"/>
      <c r="B1723" s="11"/>
      <c r="C1723" s="11"/>
      <c r="D1723" s="11"/>
      <c r="E1723" s="45"/>
      <c r="F1723" s="40"/>
      <c r="G1723" s="11"/>
      <c r="K1723" s="40"/>
      <c r="N1723" s="11"/>
      <c r="O1723" s="11"/>
      <c r="P1723" s="11"/>
      <c r="Q1723" s="11"/>
      <c r="R1723" s="11"/>
      <c r="S1723" s="11"/>
      <c r="T1723" s="11"/>
      <c r="U1723" s="11"/>
      <c r="V1723" s="11"/>
      <c r="W1723" s="11"/>
      <c r="X1723" s="11"/>
      <c r="Y1723" s="11"/>
      <c r="Z1723" s="11"/>
      <c r="AA1723" s="11"/>
      <c r="AB1723" s="11"/>
      <c r="AC1723" s="11"/>
      <c r="AD1723" s="40"/>
      <c r="AE1723" s="11"/>
      <c r="AF1723" s="40"/>
      <c r="AI1723" s="11"/>
      <c r="AJ1723" s="11"/>
      <c r="AK1723" s="11"/>
      <c r="AL1723" s="11"/>
      <c r="AM1723" s="11"/>
      <c r="AN1723" s="11"/>
      <c r="AO1723" s="11"/>
      <c r="AY1723" s="11"/>
      <c r="BE1723" s="38"/>
      <c r="BF1723" s="38"/>
      <c r="BG1723" s="38"/>
      <c r="BH1723" s="11"/>
      <c r="BI1723" s="1"/>
      <c r="BJ1723" s="2"/>
      <c r="BK1723" s="1"/>
      <c r="BL1723" s="1"/>
      <c r="BM1723" s="7"/>
      <c r="BN1723" s="7"/>
      <c r="BO1723" s="1"/>
      <c r="BP1723" s="11"/>
      <c r="BQ1723" s="11"/>
    </row>
    <row r="1724" spans="1:69" x14ac:dyDescent="0.3">
      <c r="A1724" s="7"/>
      <c r="B1724" s="11"/>
      <c r="C1724" s="11"/>
      <c r="D1724" s="11"/>
      <c r="E1724" s="45"/>
      <c r="F1724" s="40"/>
      <c r="G1724" s="11"/>
      <c r="K1724" s="40"/>
      <c r="N1724" s="11"/>
      <c r="O1724" s="11"/>
      <c r="P1724" s="11"/>
      <c r="Q1724" s="11"/>
      <c r="R1724" s="11"/>
      <c r="S1724" s="11"/>
      <c r="T1724" s="11"/>
      <c r="U1724" s="11"/>
      <c r="V1724" s="11"/>
      <c r="W1724" s="11"/>
      <c r="X1724" s="11"/>
      <c r="Y1724" s="11"/>
      <c r="Z1724" s="11"/>
      <c r="AA1724" s="11"/>
      <c r="AB1724" s="11"/>
      <c r="AC1724" s="11"/>
      <c r="AD1724" s="40"/>
      <c r="AE1724" s="11"/>
      <c r="AF1724" s="40"/>
      <c r="AI1724" s="11"/>
      <c r="AJ1724" s="11"/>
      <c r="AK1724" s="11"/>
      <c r="AL1724" s="11"/>
      <c r="AM1724" s="11"/>
      <c r="AN1724" s="11"/>
      <c r="AO1724" s="11"/>
      <c r="AY1724" s="11"/>
      <c r="BE1724" s="38"/>
      <c r="BF1724" s="38"/>
      <c r="BG1724" s="38"/>
      <c r="BH1724" s="11"/>
      <c r="BI1724" s="1"/>
      <c r="BJ1724" s="2"/>
      <c r="BK1724" s="1"/>
      <c r="BL1724" s="1"/>
      <c r="BM1724" s="7"/>
      <c r="BN1724" s="7"/>
      <c r="BO1724" s="1"/>
      <c r="BP1724" s="11"/>
      <c r="BQ1724" s="11"/>
    </row>
    <row r="1725" spans="1:69" x14ac:dyDescent="0.3">
      <c r="A1725" s="7"/>
      <c r="B1725" s="11"/>
      <c r="C1725" s="11"/>
      <c r="D1725" s="11"/>
      <c r="E1725" s="45"/>
      <c r="F1725" s="40"/>
      <c r="G1725" s="11"/>
      <c r="K1725" s="40"/>
      <c r="N1725" s="11"/>
      <c r="O1725" s="11"/>
      <c r="P1725" s="11"/>
      <c r="Q1725" s="11"/>
      <c r="R1725" s="11"/>
      <c r="S1725" s="11"/>
      <c r="T1725" s="11"/>
      <c r="U1725" s="11"/>
      <c r="V1725" s="11"/>
      <c r="W1725" s="11"/>
      <c r="X1725" s="11"/>
      <c r="Y1725" s="11"/>
      <c r="Z1725" s="11"/>
      <c r="AA1725" s="11"/>
      <c r="AB1725" s="11"/>
      <c r="AC1725" s="11"/>
      <c r="AD1725" s="40"/>
      <c r="AE1725" s="11"/>
      <c r="AF1725" s="40"/>
      <c r="AI1725" s="11"/>
      <c r="AJ1725" s="11"/>
      <c r="AK1725" s="11"/>
      <c r="AL1725" s="11"/>
      <c r="AM1725" s="11"/>
      <c r="AN1725" s="11"/>
      <c r="AO1725" s="11"/>
      <c r="AY1725" s="11"/>
      <c r="BE1725" s="38"/>
      <c r="BF1725" s="38"/>
      <c r="BG1725" s="38"/>
      <c r="BH1725" s="11"/>
      <c r="BI1725" s="1"/>
      <c r="BJ1725" s="2"/>
      <c r="BK1725" s="1"/>
      <c r="BL1725" s="1"/>
      <c r="BM1725" s="7"/>
      <c r="BN1725" s="7"/>
      <c r="BO1725" s="1"/>
      <c r="BP1725" s="11"/>
      <c r="BQ1725" s="11"/>
    </row>
    <row r="1726" spans="1:69" x14ac:dyDescent="0.3">
      <c r="A1726" s="7"/>
      <c r="B1726" s="11"/>
      <c r="C1726" s="11"/>
      <c r="D1726" s="11"/>
      <c r="E1726" s="45"/>
      <c r="F1726" s="40"/>
      <c r="G1726" s="11"/>
      <c r="K1726" s="40"/>
      <c r="N1726" s="11"/>
      <c r="O1726" s="11"/>
      <c r="P1726" s="11"/>
      <c r="Q1726" s="11"/>
      <c r="R1726" s="11"/>
      <c r="S1726" s="11"/>
      <c r="T1726" s="11"/>
      <c r="U1726" s="11"/>
      <c r="V1726" s="11"/>
      <c r="W1726" s="11"/>
      <c r="X1726" s="11"/>
      <c r="Y1726" s="11"/>
      <c r="Z1726" s="11"/>
      <c r="AA1726" s="11"/>
      <c r="AB1726" s="11"/>
      <c r="AC1726" s="11"/>
      <c r="AD1726" s="40"/>
      <c r="AE1726" s="11"/>
      <c r="AF1726" s="40"/>
      <c r="AI1726" s="11"/>
      <c r="AJ1726" s="11"/>
      <c r="AK1726" s="11"/>
      <c r="AL1726" s="11"/>
      <c r="AM1726" s="11"/>
      <c r="AN1726" s="11"/>
      <c r="AO1726" s="11"/>
      <c r="AY1726" s="11"/>
      <c r="BE1726" s="38"/>
      <c r="BF1726" s="38"/>
      <c r="BG1726" s="38"/>
      <c r="BH1726" s="11"/>
      <c r="BI1726" s="1"/>
      <c r="BJ1726" s="2"/>
      <c r="BK1726" s="1"/>
      <c r="BL1726" s="1"/>
      <c r="BM1726" s="7"/>
      <c r="BN1726" s="7"/>
      <c r="BO1726" s="1"/>
      <c r="BP1726" s="11"/>
      <c r="BQ1726" s="11"/>
    </row>
    <row r="1727" spans="1:69" x14ac:dyDescent="0.3">
      <c r="A1727" s="7"/>
      <c r="B1727" s="11"/>
      <c r="C1727" s="11"/>
      <c r="D1727" s="11"/>
      <c r="E1727" s="45"/>
      <c r="F1727" s="40"/>
      <c r="G1727" s="11"/>
      <c r="K1727" s="40"/>
      <c r="N1727" s="11"/>
      <c r="O1727" s="11"/>
      <c r="P1727" s="11"/>
      <c r="Q1727" s="11"/>
      <c r="R1727" s="11"/>
      <c r="S1727" s="11"/>
      <c r="T1727" s="11"/>
      <c r="U1727" s="11"/>
      <c r="V1727" s="11"/>
      <c r="W1727" s="11"/>
      <c r="X1727" s="11"/>
      <c r="Y1727" s="11"/>
      <c r="Z1727" s="11"/>
      <c r="AA1727" s="11"/>
      <c r="AB1727" s="11"/>
      <c r="AC1727" s="11"/>
      <c r="AD1727" s="40"/>
      <c r="AE1727" s="11"/>
      <c r="AF1727" s="40"/>
      <c r="AI1727" s="11"/>
      <c r="AJ1727" s="11"/>
      <c r="AK1727" s="11"/>
      <c r="AL1727" s="11"/>
      <c r="AM1727" s="11"/>
      <c r="AN1727" s="11"/>
      <c r="AO1727" s="11"/>
      <c r="AY1727" s="11"/>
      <c r="BE1727" s="38"/>
      <c r="BF1727" s="38"/>
      <c r="BG1727" s="38"/>
      <c r="BH1727" s="11"/>
      <c r="BI1727" s="1"/>
      <c r="BJ1727" s="2"/>
      <c r="BK1727" s="1"/>
      <c r="BL1727" s="1"/>
      <c r="BM1727" s="7"/>
      <c r="BN1727" s="7"/>
      <c r="BO1727" s="1"/>
      <c r="BP1727" s="11"/>
      <c r="BQ1727" s="11"/>
    </row>
    <row r="1728" spans="1:69" x14ac:dyDescent="0.3">
      <c r="A1728" s="7"/>
      <c r="B1728" s="11"/>
      <c r="C1728" s="11"/>
      <c r="D1728" s="11"/>
      <c r="E1728" s="45"/>
      <c r="F1728" s="40"/>
      <c r="G1728" s="11"/>
      <c r="K1728" s="40"/>
      <c r="N1728" s="11"/>
      <c r="O1728" s="11"/>
      <c r="P1728" s="11"/>
      <c r="Q1728" s="11"/>
      <c r="R1728" s="11"/>
      <c r="S1728" s="11"/>
      <c r="T1728" s="11"/>
      <c r="U1728" s="11"/>
      <c r="V1728" s="11"/>
      <c r="W1728" s="11"/>
      <c r="X1728" s="11"/>
      <c r="Y1728" s="11"/>
      <c r="Z1728" s="11"/>
      <c r="AA1728" s="11"/>
      <c r="AB1728" s="11"/>
      <c r="AC1728" s="11"/>
      <c r="AD1728" s="40"/>
      <c r="AE1728" s="11"/>
      <c r="AF1728" s="40"/>
      <c r="AI1728" s="11"/>
      <c r="AJ1728" s="11"/>
      <c r="AK1728" s="11"/>
      <c r="AL1728" s="11"/>
      <c r="AM1728" s="11"/>
      <c r="AN1728" s="11"/>
      <c r="AO1728" s="11"/>
      <c r="AY1728" s="11"/>
      <c r="BE1728" s="38"/>
      <c r="BF1728" s="38"/>
      <c r="BG1728" s="38"/>
      <c r="BH1728" s="11"/>
      <c r="BI1728" s="1"/>
      <c r="BJ1728" s="2"/>
      <c r="BK1728" s="1"/>
      <c r="BL1728" s="1"/>
      <c r="BM1728" s="7"/>
      <c r="BN1728" s="7"/>
      <c r="BO1728" s="1"/>
      <c r="BP1728" s="11"/>
      <c r="BQ1728" s="11"/>
    </row>
    <row r="1729" spans="1:69" x14ac:dyDescent="0.3">
      <c r="A1729" s="7"/>
      <c r="B1729" s="11"/>
      <c r="C1729" s="11"/>
      <c r="D1729" s="11"/>
      <c r="E1729" s="45"/>
      <c r="F1729" s="40"/>
      <c r="G1729" s="11"/>
      <c r="K1729" s="40"/>
      <c r="N1729" s="11"/>
      <c r="O1729" s="11"/>
      <c r="P1729" s="11"/>
      <c r="Q1729" s="11"/>
      <c r="R1729" s="11"/>
      <c r="S1729" s="11"/>
      <c r="T1729" s="11"/>
      <c r="U1729" s="11"/>
      <c r="V1729" s="11"/>
      <c r="W1729" s="11"/>
      <c r="X1729" s="11"/>
      <c r="Y1729" s="11"/>
      <c r="Z1729" s="11"/>
      <c r="AA1729" s="11"/>
      <c r="AB1729" s="11"/>
      <c r="AC1729" s="11"/>
      <c r="AD1729" s="40"/>
      <c r="AE1729" s="11"/>
      <c r="AF1729" s="40"/>
      <c r="AI1729" s="11"/>
      <c r="AJ1729" s="11"/>
      <c r="AK1729" s="11"/>
      <c r="AL1729" s="11"/>
      <c r="AM1729" s="11"/>
      <c r="AN1729" s="11"/>
      <c r="AO1729" s="11"/>
      <c r="AY1729" s="11"/>
      <c r="BE1729" s="38"/>
      <c r="BF1729" s="38"/>
      <c r="BG1729" s="38"/>
      <c r="BH1729" s="11"/>
      <c r="BI1729" s="1"/>
      <c r="BJ1729" s="2"/>
      <c r="BK1729" s="1"/>
      <c r="BL1729" s="1"/>
      <c r="BM1729" s="7"/>
      <c r="BN1729" s="7"/>
      <c r="BO1729" s="1"/>
      <c r="BP1729" s="11"/>
      <c r="BQ1729" s="11"/>
    </row>
    <row r="1730" spans="1:69" x14ac:dyDescent="0.3">
      <c r="A1730" s="7"/>
      <c r="B1730" s="11"/>
      <c r="C1730" s="11"/>
      <c r="D1730" s="11"/>
      <c r="E1730" s="45"/>
      <c r="F1730" s="40"/>
      <c r="G1730" s="11"/>
      <c r="K1730" s="40"/>
      <c r="N1730" s="11"/>
      <c r="O1730" s="11"/>
      <c r="P1730" s="11"/>
      <c r="Q1730" s="11"/>
      <c r="R1730" s="11"/>
      <c r="S1730" s="11"/>
      <c r="T1730" s="11"/>
      <c r="U1730" s="11"/>
      <c r="V1730" s="11"/>
      <c r="W1730" s="11"/>
      <c r="X1730" s="11"/>
      <c r="Y1730" s="11"/>
      <c r="Z1730" s="11"/>
      <c r="AA1730" s="11"/>
      <c r="AB1730" s="11"/>
      <c r="AC1730" s="11"/>
      <c r="AD1730" s="40"/>
      <c r="AE1730" s="11"/>
      <c r="AF1730" s="40"/>
      <c r="AI1730" s="11"/>
      <c r="AJ1730" s="11"/>
      <c r="AK1730" s="11"/>
      <c r="AL1730" s="11"/>
      <c r="AM1730" s="11"/>
      <c r="AN1730" s="11"/>
      <c r="AO1730" s="11"/>
      <c r="AY1730" s="11"/>
      <c r="BE1730" s="38"/>
      <c r="BF1730" s="38"/>
      <c r="BG1730" s="38"/>
      <c r="BH1730" s="11"/>
      <c r="BI1730" s="1"/>
      <c r="BJ1730" s="2"/>
      <c r="BK1730" s="1"/>
      <c r="BL1730" s="1"/>
      <c r="BM1730" s="7"/>
      <c r="BN1730" s="7"/>
      <c r="BO1730" s="1"/>
      <c r="BP1730" s="11"/>
      <c r="BQ1730" s="11"/>
    </row>
    <row r="1731" spans="1:69" x14ac:dyDescent="0.3">
      <c r="A1731" s="7"/>
      <c r="B1731" s="11"/>
      <c r="C1731" s="11"/>
      <c r="D1731" s="11"/>
      <c r="E1731" s="45"/>
      <c r="F1731" s="40"/>
      <c r="G1731" s="11"/>
      <c r="K1731" s="40"/>
      <c r="N1731" s="11"/>
      <c r="O1731" s="11"/>
      <c r="P1731" s="11"/>
      <c r="Q1731" s="11"/>
      <c r="R1731" s="11"/>
      <c r="S1731" s="11"/>
      <c r="T1731" s="11"/>
      <c r="U1731" s="11"/>
      <c r="V1731" s="11"/>
      <c r="W1731" s="11"/>
      <c r="X1731" s="11"/>
      <c r="Y1731" s="11"/>
      <c r="Z1731" s="11"/>
      <c r="AA1731" s="11"/>
      <c r="AB1731" s="11"/>
      <c r="AC1731" s="11"/>
      <c r="AD1731" s="40"/>
      <c r="AE1731" s="11"/>
      <c r="AF1731" s="40"/>
      <c r="AI1731" s="11"/>
      <c r="AJ1731" s="11"/>
      <c r="AK1731" s="11"/>
      <c r="AL1731" s="11"/>
      <c r="AM1731" s="11"/>
      <c r="AN1731" s="11"/>
      <c r="AO1731" s="11"/>
      <c r="AY1731" s="11"/>
      <c r="BE1731" s="38"/>
      <c r="BF1731" s="38"/>
      <c r="BG1731" s="38"/>
      <c r="BH1731" s="11"/>
      <c r="BI1731" s="1"/>
      <c r="BJ1731" s="2"/>
      <c r="BK1731" s="1"/>
      <c r="BL1731" s="1"/>
      <c r="BM1731" s="7"/>
      <c r="BN1731" s="7"/>
      <c r="BO1731" s="1"/>
      <c r="BP1731" s="11"/>
      <c r="BQ1731" s="11"/>
    </row>
    <row r="1732" spans="1:69" x14ac:dyDescent="0.3">
      <c r="A1732" s="7"/>
      <c r="B1732" s="11"/>
      <c r="C1732" s="11"/>
      <c r="D1732" s="11"/>
      <c r="E1732" s="45"/>
      <c r="F1732" s="40"/>
      <c r="G1732" s="11"/>
      <c r="K1732" s="40"/>
      <c r="N1732" s="11"/>
      <c r="O1732" s="11"/>
      <c r="P1732" s="11"/>
      <c r="Q1732" s="11"/>
      <c r="R1732" s="11"/>
      <c r="S1732" s="11"/>
      <c r="T1732" s="11"/>
      <c r="U1732" s="11"/>
      <c r="V1732" s="11"/>
      <c r="W1732" s="11"/>
      <c r="X1732" s="11"/>
      <c r="Y1732" s="11"/>
      <c r="Z1732" s="11"/>
      <c r="AA1732" s="11"/>
      <c r="AB1732" s="11"/>
      <c r="AC1732" s="11"/>
      <c r="AD1732" s="40"/>
      <c r="AE1732" s="11"/>
      <c r="AF1732" s="40"/>
      <c r="AI1732" s="11"/>
      <c r="AJ1732" s="11"/>
      <c r="AK1732" s="11"/>
      <c r="AL1732" s="11"/>
      <c r="AM1732" s="11"/>
      <c r="AN1732" s="11"/>
      <c r="AO1732" s="11"/>
      <c r="AY1732" s="11"/>
      <c r="BE1732" s="38"/>
      <c r="BF1732" s="38"/>
      <c r="BG1732" s="38"/>
      <c r="BH1732" s="11"/>
      <c r="BI1732" s="1"/>
      <c r="BJ1732" s="2"/>
      <c r="BK1732" s="1"/>
      <c r="BL1732" s="1"/>
      <c r="BM1732" s="7"/>
      <c r="BN1732" s="7"/>
      <c r="BO1732" s="1"/>
      <c r="BP1732" s="11"/>
      <c r="BQ1732" s="11"/>
    </row>
    <row r="1733" spans="1:69" x14ac:dyDescent="0.3">
      <c r="A1733" s="7"/>
      <c r="B1733" s="11"/>
      <c r="C1733" s="11"/>
      <c r="D1733" s="11"/>
      <c r="E1733" s="45"/>
      <c r="F1733" s="40"/>
      <c r="G1733" s="11"/>
      <c r="K1733" s="40"/>
      <c r="N1733" s="11"/>
      <c r="O1733" s="11"/>
      <c r="P1733" s="11"/>
      <c r="Q1733" s="11"/>
      <c r="R1733" s="11"/>
      <c r="S1733" s="11"/>
      <c r="T1733" s="11"/>
      <c r="U1733" s="11"/>
      <c r="V1733" s="11"/>
      <c r="W1733" s="11"/>
      <c r="X1733" s="11"/>
      <c r="Y1733" s="11"/>
      <c r="Z1733" s="11"/>
      <c r="AA1733" s="11"/>
      <c r="AB1733" s="11"/>
      <c r="AC1733" s="11"/>
      <c r="AD1733" s="40"/>
      <c r="AE1733" s="11"/>
      <c r="AF1733" s="40"/>
      <c r="AI1733" s="11"/>
      <c r="AJ1733" s="11"/>
      <c r="AK1733" s="11"/>
      <c r="AL1733" s="11"/>
      <c r="AM1733" s="11"/>
      <c r="AN1733" s="11"/>
      <c r="AO1733" s="11"/>
      <c r="AY1733" s="11"/>
      <c r="BE1733" s="38"/>
      <c r="BF1733" s="38"/>
      <c r="BG1733" s="38"/>
      <c r="BH1733" s="11"/>
      <c r="BI1733" s="1"/>
      <c r="BJ1733" s="2"/>
      <c r="BK1733" s="1"/>
      <c r="BL1733" s="1"/>
      <c r="BM1733" s="7"/>
      <c r="BN1733" s="7"/>
      <c r="BO1733" s="1"/>
      <c r="BP1733" s="11"/>
      <c r="BQ1733" s="11"/>
    </row>
    <row r="1734" spans="1:69" x14ac:dyDescent="0.3">
      <c r="A1734" s="7"/>
      <c r="B1734" s="11"/>
      <c r="C1734" s="11"/>
      <c r="D1734" s="11"/>
      <c r="E1734" s="45"/>
      <c r="F1734" s="40"/>
      <c r="G1734" s="11"/>
      <c r="K1734" s="40"/>
      <c r="N1734" s="11"/>
      <c r="O1734" s="11"/>
      <c r="P1734" s="11"/>
      <c r="Q1734" s="11"/>
      <c r="R1734" s="11"/>
      <c r="S1734" s="11"/>
      <c r="T1734" s="11"/>
      <c r="U1734" s="11"/>
      <c r="V1734" s="11"/>
      <c r="W1734" s="11"/>
      <c r="X1734" s="11"/>
      <c r="Y1734" s="11"/>
      <c r="Z1734" s="11"/>
      <c r="AA1734" s="11"/>
      <c r="AB1734" s="11"/>
      <c r="AC1734" s="11"/>
      <c r="AD1734" s="40"/>
      <c r="AE1734" s="11"/>
      <c r="AF1734" s="40"/>
      <c r="AI1734" s="11"/>
      <c r="AJ1734" s="11"/>
      <c r="AK1734" s="11"/>
      <c r="AL1734" s="11"/>
      <c r="AM1734" s="11"/>
      <c r="AN1734" s="11"/>
      <c r="AO1734" s="11"/>
      <c r="AY1734" s="11"/>
      <c r="BE1734" s="38"/>
      <c r="BF1734" s="38"/>
      <c r="BG1734" s="38"/>
      <c r="BH1734" s="11"/>
      <c r="BI1734" s="1"/>
      <c r="BJ1734" s="2"/>
      <c r="BK1734" s="1"/>
      <c r="BL1734" s="1"/>
      <c r="BM1734" s="7"/>
      <c r="BN1734" s="7"/>
      <c r="BO1734" s="1"/>
      <c r="BP1734" s="11"/>
      <c r="BQ1734" s="11"/>
    </row>
    <row r="1735" spans="1:69" x14ac:dyDescent="0.3">
      <c r="A1735" s="7"/>
      <c r="B1735" s="11"/>
      <c r="C1735" s="11"/>
      <c r="D1735" s="11"/>
      <c r="E1735" s="45"/>
      <c r="F1735" s="40"/>
      <c r="G1735" s="11"/>
      <c r="K1735" s="40"/>
      <c r="N1735" s="11"/>
      <c r="O1735" s="11"/>
      <c r="P1735" s="11"/>
      <c r="Q1735" s="11"/>
      <c r="R1735" s="11"/>
      <c r="S1735" s="11"/>
      <c r="T1735" s="11"/>
      <c r="U1735" s="11"/>
      <c r="V1735" s="11"/>
      <c r="W1735" s="11"/>
      <c r="X1735" s="11"/>
      <c r="Y1735" s="11"/>
      <c r="Z1735" s="11"/>
      <c r="AA1735" s="11"/>
      <c r="AB1735" s="11"/>
      <c r="AC1735" s="11"/>
      <c r="AD1735" s="40"/>
      <c r="AE1735" s="11"/>
      <c r="AF1735" s="40"/>
      <c r="AI1735" s="11"/>
      <c r="AJ1735" s="11"/>
      <c r="AK1735" s="11"/>
      <c r="AL1735" s="11"/>
      <c r="AM1735" s="11"/>
      <c r="AN1735" s="11"/>
      <c r="AO1735" s="11"/>
      <c r="AY1735" s="11"/>
      <c r="BE1735" s="38"/>
      <c r="BF1735" s="38"/>
      <c r="BG1735" s="38"/>
      <c r="BH1735" s="11"/>
      <c r="BI1735" s="1"/>
      <c r="BJ1735" s="2"/>
      <c r="BK1735" s="1"/>
      <c r="BL1735" s="1"/>
      <c r="BM1735" s="7"/>
      <c r="BN1735" s="7"/>
      <c r="BO1735" s="1"/>
      <c r="BP1735" s="11"/>
      <c r="BQ1735" s="11"/>
    </row>
    <row r="1736" spans="1:69" x14ac:dyDescent="0.3">
      <c r="A1736" s="7"/>
      <c r="B1736" s="11"/>
      <c r="C1736" s="11"/>
      <c r="D1736" s="11"/>
      <c r="E1736" s="45"/>
      <c r="F1736" s="40"/>
      <c r="G1736" s="11"/>
      <c r="K1736" s="40"/>
      <c r="N1736" s="11"/>
      <c r="O1736" s="11"/>
      <c r="P1736" s="11"/>
      <c r="Q1736" s="11"/>
      <c r="R1736" s="11"/>
      <c r="S1736" s="11"/>
      <c r="T1736" s="11"/>
      <c r="U1736" s="11"/>
      <c r="V1736" s="11"/>
      <c r="W1736" s="11"/>
      <c r="X1736" s="11"/>
      <c r="Y1736" s="11"/>
      <c r="Z1736" s="11"/>
      <c r="AA1736" s="11"/>
      <c r="AB1736" s="11"/>
      <c r="AC1736" s="11"/>
      <c r="AD1736" s="40"/>
      <c r="AE1736" s="11"/>
      <c r="AF1736" s="40"/>
      <c r="AI1736" s="11"/>
      <c r="AJ1736" s="11"/>
      <c r="AK1736" s="11"/>
      <c r="AL1736" s="11"/>
      <c r="AM1736" s="11"/>
      <c r="AN1736" s="11"/>
      <c r="AO1736" s="11"/>
      <c r="AY1736" s="11"/>
      <c r="BE1736" s="38"/>
      <c r="BF1736" s="38"/>
      <c r="BG1736" s="38"/>
      <c r="BH1736" s="11"/>
      <c r="BI1736" s="1"/>
      <c r="BJ1736" s="2"/>
      <c r="BK1736" s="1"/>
      <c r="BL1736" s="1"/>
      <c r="BM1736" s="7"/>
      <c r="BN1736" s="7"/>
      <c r="BO1736" s="1"/>
      <c r="BP1736" s="11"/>
      <c r="BQ1736" s="11"/>
    </row>
    <row r="1737" spans="1:69" x14ac:dyDescent="0.3">
      <c r="A1737" s="7"/>
      <c r="B1737" s="11"/>
      <c r="C1737" s="11"/>
      <c r="D1737" s="11"/>
      <c r="E1737" s="45"/>
      <c r="F1737" s="40"/>
      <c r="G1737" s="11"/>
      <c r="K1737" s="40"/>
      <c r="N1737" s="11"/>
      <c r="O1737" s="11"/>
      <c r="P1737" s="11"/>
      <c r="Q1737" s="11"/>
      <c r="R1737" s="11"/>
      <c r="S1737" s="11"/>
      <c r="T1737" s="11"/>
      <c r="U1737" s="11"/>
      <c r="V1737" s="11"/>
      <c r="W1737" s="11"/>
      <c r="X1737" s="11"/>
      <c r="Y1737" s="11"/>
      <c r="Z1737" s="11"/>
      <c r="AA1737" s="11"/>
      <c r="AB1737" s="11"/>
      <c r="AC1737" s="11"/>
      <c r="AD1737" s="40"/>
      <c r="AE1737" s="11"/>
      <c r="AF1737" s="40"/>
      <c r="AI1737" s="11"/>
      <c r="AJ1737" s="11"/>
      <c r="AK1737" s="11"/>
      <c r="AL1737" s="11"/>
      <c r="AM1737" s="11"/>
      <c r="AN1737" s="11"/>
      <c r="AO1737" s="11"/>
      <c r="AY1737" s="11"/>
      <c r="BE1737" s="38"/>
      <c r="BF1737" s="38"/>
      <c r="BG1737" s="38"/>
      <c r="BH1737" s="11"/>
      <c r="BI1737" s="1"/>
      <c r="BJ1737" s="2"/>
      <c r="BK1737" s="1"/>
      <c r="BL1737" s="1"/>
      <c r="BM1737" s="7"/>
      <c r="BN1737" s="7"/>
      <c r="BO1737" s="1"/>
      <c r="BP1737" s="11"/>
      <c r="BQ1737" s="11"/>
    </row>
    <row r="1738" spans="1:69" x14ac:dyDescent="0.3">
      <c r="A1738" s="7"/>
      <c r="B1738" s="11"/>
      <c r="C1738" s="11"/>
      <c r="D1738" s="11"/>
      <c r="E1738" s="45"/>
      <c r="F1738" s="40"/>
      <c r="G1738" s="11"/>
      <c r="K1738" s="40"/>
      <c r="N1738" s="11"/>
      <c r="O1738" s="11"/>
      <c r="P1738" s="11"/>
      <c r="Q1738" s="11"/>
      <c r="R1738" s="11"/>
      <c r="S1738" s="11"/>
      <c r="T1738" s="11"/>
      <c r="U1738" s="11"/>
      <c r="V1738" s="11"/>
      <c r="W1738" s="11"/>
      <c r="X1738" s="11"/>
      <c r="Y1738" s="11"/>
      <c r="Z1738" s="11"/>
      <c r="AA1738" s="11"/>
      <c r="AB1738" s="11"/>
      <c r="AC1738" s="11"/>
      <c r="AD1738" s="40"/>
      <c r="AE1738" s="11"/>
      <c r="AF1738" s="40"/>
      <c r="AI1738" s="11"/>
      <c r="AJ1738" s="11"/>
      <c r="AK1738" s="11"/>
      <c r="AL1738" s="11"/>
      <c r="AM1738" s="11"/>
      <c r="AN1738" s="11"/>
      <c r="AO1738" s="11"/>
      <c r="AY1738" s="11"/>
      <c r="BE1738" s="38"/>
      <c r="BF1738" s="38"/>
      <c r="BG1738" s="38"/>
      <c r="BH1738" s="11"/>
      <c r="BI1738" s="1"/>
      <c r="BJ1738" s="2"/>
      <c r="BK1738" s="1"/>
      <c r="BL1738" s="1"/>
      <c r="BM1738" s="7"/>
      <c r="BN1738" s="7"/>
      <c r="BO1738" s="1"/>
      <c r="BP1738" s="11"/>
      <c r="BQ1738" s="11"/>
    </row>
    <row r="1739" spans="1:69" x14ac:dyDescent="0.3">
      <c r="A1739" s="7"/>
      <c r="B1739" s="11"/>
      <c r="C1739" s="11"/>
      <c r="D1739" s="11"/>
      <c r="E1739" s="45"/>
      <c r="F1739" s="40"/>
      <c r="G1739" s="11"/>
      <c r="K1739" s="40"/>
      <c r="N1739" s="11"/>
      <c r="O1739" s="11"/>
      <c r="P1739" s="11"/>
      <c r="Q1739" s="11"/>
      <c r="R1739" s="11"/>
      <c r="S1739" s="11"/>
      <c r="T1739" s="11"/>
      <c r="U1739" s="11"/>
      <c r="V1739" s="11"/>
      <c r="W1739" s="11"/>
      <c r="X1739" s="11"/>
      <c r="Y1739" s="11"/>
      <c r="Z1739" s="11"/>
      <c r="AA1739" s="11"/>
      <c r="AB1739" s="11"/>
      <c r="AC1739" s="11"/>
      <c r="AD1739" s="40"/>
      <c r="AE1739" s="11"/>
      <c r="AF1739" s="40"/>
      <c r="AI1739" s="11"/>
      <c r="AJ1739" s="11"/>
      <c r="AK1739" s="11"/>
      <c r="AL1739" s="11"/>
      <c r="AM1739" s="11"/>
      <c r="AN1739" s="11"/>
      <c r="AO1739" s="11"/>
      <c r="AY1739" s="11"/>
      <c r="BE1739" s="38"/>
      <c r="BF1739" s="38"/>
      <c r="BG1739" s="38"/>
      <c r="BH1739" s="11"/>
      <c r="BI1739" s="1"/>
      <c r="BJ1739" s="2"/>
      <c r="BK1739" s="1"/>
      <c r="BL1739" s="1"/>
      <c r="BM1739" s="7"/>
      <c r="BN1739" s="7"/>
      <c r="BO1739" s="1"/>
      <c r="BP1739" s="11"/>
      <c r="BQ1739" s="11"/>
    </row>
    <row r="1740" spans="1:69" x14ac:dyDescent="0.3">
      <c r="A1740" s="7"/>
      <c r="B1740" s="11"/>
      <c r="C1740" s="11"/>
      <c r="D1740" s="11"/>
      <c r="E1740" s="45"/>
      <c r="F1740" s="40"/>
      <c r="G1740" s="11"/>
      <c r="K1740" s="40"/>
      <c r="N1740" s="11"/>
      <c r="O1740" s="11"/>
      <c r="P1740" s="11"/>
      <c r="Q1740" s="11"/>
      <c r="R1740" s="11"/>
      <c r="S1740" s="11"/>
      <c r="T1740" s="11"/>
      <c r="U1740" s="11"/>
      <c r="V1740" s="11"/>
      <c r="W1740" s="11"/>
      <c r="X1740" s="11"/>
      <c r="Y1740" s="11"/>
      <c r="Z1740" s="11"/>
      <c r="AA1740" s="11"/>
      <c r="AB1740" s="11"/>
      <c r="AC1740" s="11"/>
      <c r="AD1740" s="40"/>
      <c r="AE1740" s="11"/>
      <c r="AF1740" s="40"/>
      <c r="AI1740" s="11"/>
      <c r="AJ1740" s="11"/>
      <c r="AK1740" s="11"/>
      <c r="AL1740" s="11"/>
      <c r="AM1740" s="11"/>
      <c r="AN1740" s="11"/>
      <c r="AO1740" s="11"/>
      <c r="AY1740" s="11"/>
      <c r="BE1740" s="38"/>
      <c r="BF1740" s="38"/>
      <c r="BG1740" s="38"/>
      <c r="BH1740" s="11"/>
      <c r="BI1740" s="1"/>
      <c r="BJ1740" s="2"/>
      <c r="BK1740" s="1"/>
      <c r="BL1740" s="1"/>
      <c r="BM1740" s="7"/>
      <c r="BN1740" s="7"/>
      <c r="BO1740" s="1"/>
      <c r="BP1740" s="11"/>
      <c r="BQ1740" s="11"/>
    </row>
    <row r="1741" spans="1:69" x14ac:dyDescent="0.3">
      <c r="A1741" s="7"/>
      <c r="B1741" s="11"/>
      <c r="C1741" s="11"/>
      <c r="D1741" s="11"/>
      <c r="E1741" s="45"/>
      <c r="F1741" s="40"/>
      <c r="G1741" s="11"/>
      <c r="K1741" s="40"/>
      <c r="N1741" s="11"/>
      <c r="O1741" s="11"/>
      <c r="P1741" s="11"/>
      <c r="Q1741" s="11"/>
      <c r="R1741" s="11"/>
      <c r="S1741" s="11"/>
      <c r="T1741" s="11"/>
      <c r="U1741" s="11"/>
      <c r="V1741" s="11"/>
      <c r="W1741" s="11"/>
      <c r="X1741" s="11"/>
      <c r="Y1741" s="11"/>
      <c r="Z1741" s="11"/>
      <c r="AA1741" s="11"/>
      <c r="AB1741" s="11"/>
      <c r="AC1741" s="11"/>
      <c r="AD1741" s="40"/>
      <c r="AE1741" s="11"/>
      <c r="AF1741" s="40"/>
      <c r="AI1741" s="11"/>
      <c r="AJ1741" s="11"/>
      <c r="AK1741" s="11"/>
      <c r="AL1741" s="11"/>
      <c r="AM1741" s="11"/>
      <c r="AN1741" s="11"/>
      <c r="AO1741" s="11"/>
      <c r="AY1741" s="11"/>
      <c r="BE1741" s="38"/>
      <c r="BF1741" s="38"/>
      <c r="BG1741" s="38"/>
      <c r="BH1741" s="11"/>
      <c r="BI1741" s="1"/>
      <c r="BJ1741" s="2"/>
      <c r="BK1741" s="1"/>
      <c r="BL1741" s="1"/>
      <c r="BM1741" s="7"/>
      <c r="BN1741" s="7"/>
      <c r="BO1741" s="1"/>
      <c r="BP1741" s="11"/>
      <c r="BQ1741" s="11"/>
    </row>
    <row r="1742" spans="1:69" x14ac:dyDescent="0.3">
      <c r="A1742" s="7"/>
      <c r="B1742" s="11"/>
      <c r="C1742" s="11"/>
      <c r="D1742" s="11"/>
      <c r="E1742" s="45"/>
      <c r="F1742" s="40"/>
      <c r="G1742" s="11"/>
      <c r="K1742" s="40"/>
      <c r="N1742" s="11"/>
      <c r="O1742" s="11"/>
      <c r="P1742" s="11"/>
      <c r="Q1742" s="11"/>
      <c r="R1742" s="11"/>
      <c r="S1742" s="11"/>
      <c r="T1742" s="11"/>
      <c r="U1742" s="11"/>
      <c r="V1742" s="11"/>
      <c r="W1742" s="11"/>
      <c r="X1742" s="11"/>
      <c r="Y1742" s="11"/>
      <c r="Z1742" s="11"/>
      <c r="AA1742" s="11"/>
      <c r="AB1742" s="11"/>
      <c r="AC1742" s="11"/>
      <c r="AD1742" s="40"/>
      <c r="AE1742" s="11"/>
      <c r="AF1742" s="40"/>
      <c r="AI1742" s="11"/>
      <c r="AJ1742" s="11"/>
      <c r="AK1742" s="11"/>
      <c r="AL1742" s="11"/>
      <c r="AM1742" s="11"/>
      <c r="AN1742" s="11"/>
      <c r="AO1742" s="11"/>
      <c r="AY1742" s="11"/>
      <c r="BE1742" s="38"/>
      <c r="BF1742" s="38"/>
      <c r="BG1742" s="38"/>
      <c r="BH1742" s="11"/>
      <c r="BI1742" s="1"/>
      <c r="BJ1742" s="2"/>
      <c r="BK1742" s="1"/>
      <c r="BL1742" s="1"/>
      <c r="BM1742" s="7"/>
      <c r="BN1742" s="7"/>
      <c r="BO1742" s="1"/>
      <c r="BP1742" s="11"/>
      <c r="BQ1742" s="11"/>
    </row>
    <row r="1743" spans="1:69" x14ac:dyDescent="0.3">
      <c r="A1743" s="7"/>
      <c r="B1743" s="11"/>
      <c r="C1743" s="11"/>
      <c r="D1743" s="11"/>
      <c r="E1743" s="45"/>
      <c r="F1743" s="40"/>
      <c r="G1743" s="11"/>
      <c r="K1743" s="40"/>
      <c r="N1743" s="11"/>
      <c r="O1743" s="11"/>
      <c r="P1743" s="11"/>
      <c r="Q1743" s="11"/>
      <c r="R1743" s="11"/>
      <c r="S1743" s="11"/>
      <c r="T1743" s="11"/>
      <c r="U1743" s="11"/>
      <c r="V1743" s="11"/>
      <c r="W1743" s="11"/>
      <c r="X1743" s="11"/>
      <c r="Y1743" s="11"/>
      <c r="Z1743" s="11"/>
      <c r="AA1743" s="11"/>
      <c r="AB1743" s="11"/>
      <c r="AC1743" s="11"/>
      <c r="AD1743" s="40"/>
      <c r="AE1743" s="11"/>
      <c r="AF1743" s="40"/>
      <c r="AI1743" s="11"/>
      <c r="AJ1743" s="11"/>
      <c r="AK1743" s="11"/>
      <c r="AL1743" s="11"/>
      <c r="AM1743" s="11"/>
      <c r="AN1743" s="11"/>
      <c r="AO1743" s="11"/>
      <c r="AY1743" s="11"/>
      <c r="BE1743" s="38"/>
      <c r="BF1743" s="38"/>
      <c r="BG1743" s="38"/>
      <c r="BH1743" s="11"/>
      <c r="BI1743" s="1"/>
      <c r="BJ1743" s="2"/>
      <c r="BK1743" s="1"/>
      <c r="BL1743" s="1"/>
      <c r="BM1743" s="7"/>
      <c r="BN1743" s="7"/>
      <c r="BO1743" s="1"/>
      <c r="BP1743" s="11"/>
      <c r="BQ1743" s="11"/>
    </row>
    <row r="1744" spans="1:69" x14ac:dyDescent="0.3">
      <c r="A1744" s="7"/>
      <c r="B1744" s="11"/>
      <c r="C1744" s="11"/>
      <c r="D1744" s="11"/>
      <c r="E1744" s="45"/>
      <c r="F1744" s="40"/>
      <c r="G1744" s="11"/>
      <c r="K1744" s="40"/>
      <c r="N1744" s="11"/>
      <c r="O1744" s="11"/>
      <c r="P1744" s="11"/>
      <c r="Q1744" s="11"/>
      <c r="R1744" s="11"/>
      <c r="S1744" s="11"/>
      <c r="T1744" s="11"/>
      <c r="U1744" s="11"/>
      <c r="V1744" s="11"/>
      <c r="W1744" s="11"/>
      <c r="X1744" s="11"/>
      <c r="Y1744" s="11"/>
      <c r="Z1744" s="11"/>
      <c r="AA1744" s="11"/>
      <c r="AB1744" s="11"/>
      <c r="AC1744" s="11"/>
      <c r="AD1744" s="40"/>
      <c r="AE1744" s="11"/>
      <c r="AF1744" s="40"/>
      <c r="AI1744" s="11"/>
      <c r="AJ1744" s="11"/>
      <c r="AK1744" s="11"/>
      <c r="AL1744" s="11"/>
      <c r="AM1744" s="11"/>
      <c r="AN1744" s="11"/>
      <c r="AO1744" s="11"/>
      <c r="AY1744" s="11"/>
      <c r="BE1744" s="38"/>
      <c r="BF1744" s="38"/>
      <c r="BG1744" s="38"/>
      <c r="BH1744" s="11"/>
      <c r="BI1744" s="1"/>
      <c r="BJ1744" s="2"/>
      <c r="BK1744" s="1"/>
      <c r="BL1744" s="1"/>
      <c r="BM1744" s="7"/>
      <c r="BN1744" s="7"/>
      <c r="BO1744" s="1"/>
      <c r="BP1744" s="11"/>
      <c r="BQ1744" s="11"/>
    </row>
    <row r="1745" spans="1:69" x14ac:dyDescent="0.3">
      <c r="A1745" s="7"/>
      <c r="B1745" s="11"/>
      <c r="C1745" s="11"/>
      <c r="D1745" s="11"/>
      <c r="E1745" s="45"/>
      <c r="F1745" s="40"/>
      <c r="G1745" s="11"/>
      <c r="K1745" s="40"/>
      <c r="N1745" s="11"/>
      <c r="O1745" s="11"/>
      <c r="P1745" s="11"/>
      <c r="Q1745" s="11"/>
      <c r="R1745" s="11"/>
      <c r="S1745" s="11"/>
      <c r="T1745" s="11"/>
      <c r="U1745" s="11"/>
      <c r="V1745" s="11"/>
      <c r="W1745" s="11"/>
      <c r="X1745" s="11"/>
      <c r="Y1745" s="11"/>
      <c r="Z1745" s="11"/>
      <c r="AA1745" s="11"/>
      <c r="AB1745" s="11"/>
      <c r="AC1745" s="11"/>
      <c r="AD1745" s="40"/>
      <c r="AE1745" s="11"/>
      <c r="AF1745" s="40"/>
      <c r="AI1745" s="11"/>
      <c r="AJ1745" s="11"/>
      <c r="AK1745" s="11"/>
      <c r="AL1745" s="11"/>
      <c r="AM1745" s="11"/>
      <c r="AN1745" s="11"/>
      <c r="AO1745" s="11"/>
      <c r="AY1745" s="11"/>
      <c r="BE1745" s="38"/>
      <c r="BF1745" s="38"/>
      <c r="BG1745" s="38"/>
      <c r="BH1745" s="11"/>
      <c r="BI1745" s="1"/>
      <c r="BJ1745" s="2"/>
      <c r="BK1745" s="1"/>
      <c r="BL1745" s="1"/>
      <c r="BM1745" s="7"/>
      <c r="BN1745" s="7"/>
      <c r="BO1745" s="1"/>
      <c r="BP1745" s="11"/>
      <c r="BQ1745" s="11"/>
    </row>
    <row r="1746" spans="1:69" x14ac:dyDescent="0.3">
      <c r="A1746" s="7"/>
      <c r="B1746" s="11"/>
      <c r="C1746" s="11"/>
      <c r="D1746" s="11"/>
      <c r="E1746" s="45"/>
      <c r="F1746" s="40"/>
      <c r="G1746" s="11"/>
      <c r="K1746" s="40"/>
      <c r="N1746" s="11"/>
      <c r="O1746" s="11"/>
      <c r="P1746" s="11"/>
      <c r="Q1746" s="11"/>
      <c r="R1746" s="11"/>
      <c r="S1746" s="11"/>
      <c r="T1746" s="11"/>
      <c r="U1746" s="11"/>
      <c r="V1746" s="11"/>
      <c r="W1746" s="11"/>
      <c r="X1746" s="11"/>
      <c r="Y1746" s="11"/>
      <c r="Z1746" s="11"/>
      <c r="AA1746" s="11"/>
      <c r="AB1746" s="11"/>
      <c r="AC1746" s="11"/>
      <c r="AD1746" s="40"/>
      <c r="AE1746" s="11"/>
      <c r="AF1746" s="40"/>
      <c r="AI1746" s="11"/>
      <c r="AJ1746" s="11"/>
      <c r="AK1746" s="11"/>
      <c r="AL1746" s="11"/>
      <c r="AM1746" s="11"/>
      <c r="AN1746" s="11"/>
      <c r="AO1746" s="11"/>
      <c r="AY1746" s="11"/>
      <c r="BE1746" s="38"/>
      <c r="BF1746" s="38"/>
      <c r="BG1746" s="38"/>
      <c r="BH1746" s="11"/>
      <c r="BI1746" s="1"/>
      <c r="BJ1746" s="2"/>
      <c r="BK1746" s="1"/>
      <c r="BL1746" s="1"/>
      <c r="BM1746" s="7"/>
      <c r="BN1746" s="7"/>
      <c r="BO1746" s="1"/>
      <c r="BP1746" s="11"/>
      <c r="BQ1746" s="11"/>
    </row>
    <row r="1747" spans="1:69" x14ac:dyDescent="0.3">
      <c r="A1747" s="7"/>
      <c r="B1747" s="11"/>
      <c r="C1747" s="11"/>
      <c r="D1747" s="11"/>
      <c r="E1747" s="45"/>
      <c r="F1747" s="40"/>
      <c r="G1747" s="11"/>
      <c r="K1747" s="40"/>
      <c r="N1747" s="11"/>
      <c r="O1747" s="11"/>
      <c r="P1747" s="11"/>
      <c r="Q1747" s="11"/>
      <c r="R1747" s="11"/>
      <c r="S1747" s="11"/>
      <c r="T1747" s="11"/>
      <c r="U1747" s="11"/>
      <c r="V1747" s="11"/>
      <c r="W1747" s="11"/>
      <c r="X1747" s="11"/>
      <c r="Y1747" s="11"/>
      <c r="Z1747" s="11"/>
      <c r="AA1747" s="11"/>
      <c r="AB1747" s="11"/>
      <c r="AC1747" s="11"/>
      <c r="AD1747" s="40"/>
      <c r="AE1747" s="11"/>
      <c r="AF1747" s="40"/>
      <c r="AI1747" s="11"/>
      <c r="AJ1747" s="11"/>
      <c r="AK1747" s="11"/>
      <c r="AL1747" s="11"/>
      <c r="AM1747" s="11"/>
      <c r="AN1747" s="11"/>
      <c r="AO1747" s="11"/>
      <c r="AY1747" s="11"/>
      <c r="BE1747" s="38"/>
      <c r="BF1747" s="38"/>
      <c r="BG1747" s="38"/>
      <c r="BH1747" s="11"/>
      <c r="BI1747" s="1"/>
      <c r="BJ1747" s="2"/>
      <c r="BK1747" s="1"/>
      <c r="BL1747" s="1"/>
      <c r="BM1747" s="7"/>
      <c r="BN1747" s="7"/>
      <c r="BO1747" s="1"/>
      <c r="BP1747" s="11"/>
      <c r="BQ1747" s="11"/>
    </row>
    <row r="1748" spans="1:69" x14ac:dyDescent="0.3">
      <c r="A1748" s="7"/>
      <c r="B1748" s="11"/>
      <c r="C1748" s="11"/>
      <c r="D1748" s="11"/>
      <c r="E1748" s="45"/>
      <c r="F1748" s="40"/>
      <c r="G1748" s="11"/>
      <c r="K1748" s="40"/>
      <c r="N1748" s="11"/>
      <c r="O1748" s="11"/>
      <c r="P1748" s="11"/>
      <c r="Q1748" s="11"/>
      <c r="R1748" s="11"/>
      <c r="S1748" s="11"/>
      <c r="T1748" s="11"/>
      <c r="U1748" s="11"/>
      <c r="V1748" s="11"/>
      <c r="W1748" s="11"/>
      <c r="X1748" s="11"/>
      <c r="Y1748" s="11"/>
      <c r="Z1748" s="11"/>
      <c r="AA1748" s="11"/>
      <c r="AB1748" s="11"/>
      <c r="AC1748" s="11"/>
      <c r="AD1748" s="40"/>
      <c r="AE1748" s="11"/>
      <c r="AF1748" s="40"/>
      <c r="AI1748" s="11"/>
      <c r="AJ1748" s="11"/>
      <c r="AK1748" s="11"/>
      <c r="AL1748" s="11"/>
      <c r="AM1748" s="11"/>
      <c r="AN1748" s="11"/>
      <c r="AO1748" s="11"/>
      <c r="AY1748" s="11"/>
      <c r="BE1748" s="38"/>
      <c r="BF1748" s="38"/>
      <c r="BG1748" s="38"/>
      <c r="BH1748" s="11"/>
      <c r="BI1748" s="1"/>
      <c r="BJ1748" s="2"/>
      <c r="BK1748" s="1"/>
      <c r="BL1748" s="1"/>
      <c r="BM1748" s="7"/>
      <c r="BN1748" s="7"/>
      <c r="BO1748" s="1"/>
      <c r="BP1748" s="11"/>
      <c r="BQ1748" s="11"/>
    </row>
    <row r="1749" spans="1:69" x14ac:dyDescent="0.3">
      <c r="A1749" s="7"/>
      <c r="B1749" s="11"/>
      <c r="C1749" s="11"/>
      <c r="D1749" s="11"/>
      <c r="E1749" s="45"/>
      <c r="F1749" s="40"/>
      <c r="G1749" s="11"/>
      <c r="K1749" s="40"/>
      <c r="N1749" s="11"/>
      <c r="O1749" s="11"/>
      <c r="P1749" s="11"/>
      <c r="Q1749" s="11"/>
      <c r="R1749" s="11"/>
      <c r="S1749" s="11"/>
      <c r="T1749" s="11"/>
      <c r="U1749" s="11"/>
      <c r="V1749" s="11"/>
      <c r="W1749" s="11"/>
      <c r="X1749" s="11"/>
      <c r="Y1749" s="11"/>
      <c r="Z1749" s="11"/>
      <c r="AA1749" s="11"/>
      <c r="AB1749" s="11"/>
      <c r="AC1749" s="11"/>
      <c r="AD1749" s="40"/>
      <c r="AE1749" s="11"/>
      <c r="AF1749" s="40"/>
      <c r="AI1749" s="11"/>
      <c r="AJ1749" s="11"/>
      <c r="AK1749" s="11"/>
      <c r="AL1749" s="11"/>
      <c r="AM1749" s="11"/>
      <c r="AN1749" s="11"/>
      <c r="AO1749" s="11"/>
      <c r="AY1749" s="11"/>
      <c r="BE1749" s="38"/>
      <c r="BF1749" s="38"/>
      <c r="BG1749" s="38"/>
      <c r="BH1749" s="11"/>
      <c r="BI1749" s="1"/>
      <c r="BJ1749" s="2"/>
      <c r="BK1749" s="1"/>
      <c r="BL1749" s="1"/>
      <c r="BM1749" s="7"/>
      <c r="BN1749" s="7"/>
      <c r="BO1749" s="1"/>
      <c r="BP1749" s="11"/>
      <c r="BQ1749" s="11"/>
    </row>
    <row r="1750" spans="1:69" x14ac:dyDescent="0.3">
      <c r="A1750" s="7"/>
      <c r="B1750" s="11"/>
      <c r="C1750" s="11"/>
      <c r="D1750" s="11"/>
      <c r="E1750" s="45"/>
      <c r="F1750" s="40"/>
      <c r="G1750" s="11"/>
      <c r="K1750" s="40"/>
      <c r="N1750" s="11"/>
      <c r="O1750" s="11"/>
      <c r="P1750" s="11"/>
      <c r="Q1750" s="11"/>
      <c r="R1750" s="11"/>
      <c r="S1750" s="11"/>
      <c r="T1750" s="11"/>
      <c r="U1750" s="11"/>
      <c r="V1750" s="11"/>
      <c r="W1750" s="11"/>
      <c r="X1750" s="11"/>
      <c r="Y1750" s="11"/>
      <c r="Z1750" s="11"/>
      <c r="AA1750" s="11"/>
      <c r="AB1750" s="11"/>
      <c r="AC1750" s="11"/>
      <c r="AD1750" s="40"/>
      <c r="AE1750" s="11"/>
      <c r="AF1750" s="40"/>
      <c r="AI1750" s="11"/>
      <c r="AJ1750" s="11"/>
      <c r="AK1750" s="11"/>
      <c r="AL1750" s="11"/>
      <c r="AM1750" s="11"/>
      <c r="AN1750" s="11"/>
      <c r="AO1750" s="11"/>
      <c r="AY1750" s="11"/>
      <c r="BE1750" s="38"/>
      <c r="BF1750" s="38"/>
      <c r="BG1750" s="38"/>
      <c r="BH1750" s="11"/>
      <c r="BI1750" s="1"/>
      <c r="BJ1750" s="2"/>
      <c r="BK1750" s="1"/>
      <c r="BL1750" s="1"/>
      <c r="BM1750" s="7"/>
      <c r="BN1750" s="7"/>
      <c r="BO1750" s="1"/>
      <c r="BP1750" s="11"/>
      <c r="BQ1750" s="11"/>
    </row>
    <row r="1751" spans="1:69" x14ac:dyDescent="0.3">
      <c r="A1751" s="7"/>
      <c r="B1751" s="11"/>
      <c r="C1751" s="11"/>
      <c r="D1751" s="11"/>
      <c r="E1751" s="45"/>
      <c r="F1751" s="40"/>
      <c r="G1751" s="11"/>
      <c r="K1751" s="40"/>
      <c r="N1751" s="11"/>
      <c r="O1751" s="11"/>
      <c r="P1751" s="11"/>
      <c r="Q1751" s="11"/>
      <c r="R1751" s="11"/>
      <c r="S1751" s="11"/>
      <c r="T1751" s="11"/>
      <c r="U1751" s="11"/>
      <c r="V1751" s="11"/>
      <c r="W1751" s="11"/>
      <c r="X1751" s="11"/>
      <c r="Y1751" s="11"/>
      <c r="Z1751" s="11"/>
      <c r="AA1751" s="11"/>
      <c r="AB1751" s="11"/>
      <c r="AC1751" s="11"/>
      <c r="AD1751" s="40"/>
      <c r="AE1751" s="11"/>
      <c r="AF1751" s="40"/>
      <c r="AI1751" s="11"/>
      <c r="AJ1751" s="11"/>
      <c r="AK1751" s="11"/>
      <c r="AL1751" s="11"/>
      <c r="AM1751" s="11"/>
      <c r="AN1751" s="11"/>
      <c r="AO1751" s="11"/>
      <c r="AY1751" s="11"/>
      <c r="BE1751" s="38"/>
      <c r="BF1751" s="38"/>
      <c r="BG1751" s="38"/>
      <c r="BH1751" s="11"/>
      <c r="BI1751" s="1"/>
      <c r="BJ1751" s="2"/>
      <c r="BK1751" s="1"/>
      <c r="BL1751" s="1"/>
      <c r="BM1751" s="7"/>
      <c r="BN1751" s="7"/>
      <c r="BO1751" s="1"/>
      <c r="BP1751" s="11"/>
      <c r="BQ1751" s="11"/>
    </row>
    <row r="1752" spans="1:69" x14ac:dyDescent="0.3">
      <c r="A1752" s="7"/>
      <c r="B1752" s="11"/>
      <c r="C1752" s="11"/>
      <c r="D1752" s="11"/>
      <c r="E1752" s="45"/>
      <c r="F1752" s="40"/>
      <c r="G1752" s="11"/>
      <c r="K1752" s="40"/>
      <c r="N1752" s="11"/>
      <c r="O1752" s="11"/>
      <c r="P1752" s="11"/>
      <c r="Q1752" s="11"/>
      <c r="R1752" s="11"/>
      <c r="S1752" s="11"/>
      <c r="T1752" s="11"/>
      <c r="U1752" s="11"/>
      <c r="V1752" s="11"/>
      <c r="W1752" s="11"/>
      <c r="X1752" s="11"/>
      <c r="Y1752" s="11"/>
      <c r="Z1752" s="11"/>
      <c r="AA1752" s="11"/>
      <c r="AB1752" s="11"/>
      <c r="AC1752" s="11"/>
      <c r="AD1752" s="40"/>
      <c r="AE1752" s="11"/>
      <c r="AF1752" s="40"/>
      <c r="AI1752" s="11"/>
      <c r="AJ1752" s="11"/>
      <c r="AK1752" s="11"/>
      <c r="AL1752" s="11"/>
      <c r="AM1752" s="11"/>
      <c r="AN1752" s="11"/>
      <c r="AO1752" s="11"/>
      <c r="AY1752" s="11"/>
      <c r="BE1752" s="38"/>
      <c r="BF1752" s="38"/>
      <c r="BG1752" s="38"/>
      <c r="BH1752" s="11"/>
      <c r="BI1752" s="1"/>
      <c r="BJ1752" s="2"/>
      <c r="BK1752" s="1"/>
      <c r="BL1752" s="1"/>
      <c r="BM1752" s="7"/>
      <c r="BN1752" s="7"/>
      <c r="BO1752" s="1"/>
      <c r="BP1752" s="11"/>
      <c r="BQ1752" s="11"/>
    </row>
    <row r="1753" spans="1:69" x14ac:dyDescent="0.3">
      <c r="A1753" s="7"/>
      <c r="B1753" s="11"/>
      <c r="C1753" s="11"/>
      <c r="D1753" s="11"/>
      <c r="E1753" s="45"/>
      <c r="F1753" s="40"/>
      <c r="G1753" s="11"/>
      <c r="K1753" s="40"/>
      <c r="N1753" s="11"/>
      <c r="O1753" s="11"/>
      <c r="P1753" s="11"/>
      <c r="Q1753" s="11"/>
      <c r="R1753" s="11"/>
      <c r="S1753" s="11"/>
      <c r="T1753" s="11"/>
      <c r="U1753" s="11"/>
      <c r="V1753" s="11"/>
      <c r="W1753" s="11"/>
      <c r="X1753" s="11"/>
      <c r="Y1753" s="11"/>
      <c r="Z1753" s="11"/>
      <c r="AA1753" s="11"/>
      <c r="AB1753" s="11"/>
      <c r="AC1753" s="11"/>
      <c r="AD1753" s="40"/>
      <c r="AE1753" s="11"/>
      <c r="AF1753" s="40"/>
      <c r="AI1753" s="11"/>
      <c r="AJ1753" s="11"/>
      <c r="AK1753" s="11"/>
      <c r="AL1753" s="11"/>
      <c r="AM1753" s="11"/>
      <c r="AN1753" s="11"/>
      <c r="AO1753" s="11"/>
      <c r="AY1753" s="11"/>
      <c r="BE1753" s="38"/>
      <c r="BF1753" s="38"/>
      <c r="BG1753" s="38"/>
      <c r="BH1753" s="11"/>
      <c r="BI1753" s="1"/>
      <c r="BJ1753" s="2"/>
      <c r="BK1753" s="1"/>
      <c r="BL1753" s="1"/>
      <c r="BM1753" s="7"/>
      <c r="BN1753" s="7"/>
      <c r="BO1753" s="1"/>
      <c r="BP1753" s="11"/>
      <c r="BQ1753" s="11"/>
    </row>
    <row r="1754" spans="1:69" x14ac:dyDescent="0.3">
      <c r="A1754" s="7"/>
      <c r="B1754" s="11"/>
      <c r="C1754" s="11"/>
      <c r="D1754" s="11"/>
      <c r="E1754" s="45"/>
      <c r="F1754" s="40"/>
      <c r="G1754" s="11"/>
      <c r="K1754" s="40"/>
      <c r="N1754" s="11"/>
      <c r="O1754" s="11"/>
      <c r="P1754" s="11"/>
      <c r="Q1754" s="11"/>
      <c r="R1754" s="11"/>
      <c r="S1754" s="11"/>
      <c r="T1754" s="11"/>
      <c r="U1754" s="11"/>
      <c r="V1754" s="11"/>
      <c r="W1754" s="11"/>
      <c r="X1754" s="11"/>
      <c r="Y1754" s="11"/>
      <c r="Z1754" s="11"/>
      <c r="AA1754" s="11"/>
      <c r="AB1754" s="11"/>
      <c r="AC1754" s="11"/>
      <c r="AD1754" s="40"/>
      <c r="AE1754" s="11"/>
      <c r="AF1754" s="40"/>
      <c r="AI1754" s="11"/>
      <c r="AJ1754" s="11"/>
      <c r="AK1754" s="11"/>
      <c r="AL1754" s="11"/>
      <c r="AM1754" s="11"/>
      <c r="AN1754" s="11"/>
      <c r="AO1754" s="11"/>
      <c r="AY1754" s="11"/>
      <c r="BE1754" s="38"/>
      <c r="BF1754" s="38"/>
      <c r="BG1754" s="38"/>
      <c r="BH1754" s="11"/>
      <c r="BI1754" s="1"/>
      <c r="BJ1754" s="2"/>
      <c r="BK1754" s="1"/>
      <c r="BL1754" s="1"/>
      <c r="BM1754" s="7"/>
      <c r="BN1754" s="7"/>
      <c r="BO1754" s="1"/>
      <c r="BP1754" s="11"/>
      <c r="BQ1754" s="11"/>
    </row>
    <row r="1755" spans="1:69" x14ac:dyDescent="0.3">
      <c r="A1755" s="7"/>
      <c r="B1755" s="11"/>
      <c r="C1755" s="11"/>
      <c r="D1755" s="11"/>
      <c r="E1755" s="45"/>
      <c r="F1755" s="40"/>
      <c r="G1755" s="11"/>
      <c r="K1755" s="40"/>
      <c r="N1755" s="11"/>
      <c r="O1755" s="11"/>
      <c r="P1755" s="11"/>
      <c r="Q1755" s="11"/>
      <c r="R1755" s="11"/>
      <c r="S1755" s="11"/>
      <c r="T1755" s="11"/>
      <c r="U1755" s="11"/>
      <c r="V1755" s="11"/>
      <c r="W1755" s="11"/>
      <c r="X1755" s="11"/>
      <c r="Y1755" s="11"/>
      <c r="Z1755" s="11"/>
      <c r="AA1755" s="11"/>
      <c r="AB1755" s="11"/>
      <c r="AC1755" s="11"/>
      <c r="AD1755" s="40"/>
      <c r="AE1755" s="11"/>
      <c r="AF1755" s="40"/>
      <c r="AI1755" s="11"/>
      <c r="AJ1755" s="11"/>
      <c r="AK1755" s="11"/>
      <c r="AL1755" s="11"/>
      <c r="AM1755" s="11"/>
      <c r="AN1755" s="11"/>
      <c r="AO1755" s="11"/>
      <c r="AY1755" s="11"/>
      <c r="BE1755" s="38"/>
      <c r="BF1755" s="38"/>
      <c r="BG1755" s="38"/>
      <c r="BH1755" s="11"/>
      <c r="BI1755" s="1"/>
      <c r="BJ1755" s="2"/>
      <c r="BK1755" s="1"/>
      <c r="BL1755" s="1"/>
      <c r="BM1755" s="7"/>
      <c r="BN1755" s="7"/>
      <c r="BO1755" s="1"/>
      <c r="BP1755" s="11"/>
      <c r="BQ1755" s="11"/>
    </row>
    <row r="1756" spans="1:69" x14ac:dyDescent="0.3">
      <c r="A1756" s="7"/>
      <c r="B1756" s="11"/>
      <c r="C1756" s="11"/>
      <c r="D1756" s="11"/>
      <c r="E1756" s="45"/>
      <c r="F1756" s="40"/>
      <c r="G1756" s="11"/>
      <c r="K1756" s="40"/>
      <c r="N1756" s="11"/>
      <c r="O1756" s="11"/>
      <c r="P1756" s="11"/>
      <c r="Q1756" s="11"/>
      <c r="R1756" s="11"/>
      <c r="S1756" s="11"/>
      <c r="T1756" s="11"/>
      <c r="U1756" s="11"/>
      <c r="V1756" s="11"/>
      <c r="W1756" s="11"/>
      <c r="X1756" s="11"/>
      <c r="Y1756" s="11"/>
      <c r="Z1756" s="11"/>
      <c r="AA1756" s="11"/>
      <c r="AB1756" s="11"/>
      <c r="AC1756" s="11"/>
      <c r="AD1756" s="40"/>
      <c r="AE1756" s="11"/>
      <c r="AF1756" s="40"/>
      <c r="AI1756" s="11"/>
      <c r="AJ1756" s="11"/>
      <c r="AK1756" s="11"/>
      <c r="AL1756" s="11"/>
      <c r="AM1756" s="11"/>
      <c r="AN1756" s="11"/>
      <c r="AO1756" s="11"/>
      <c r="AY1756" s="11"/>
      <c r="BE1756" s="38"/>
      <c r="BF1756" s="38"/>
      <c r="BG1756" s="38"/>
      <c r="BH1756" s="11"/>
      <c r="BI1756" s="1"/>
      <c r="BJ1756" s="2"/>
      <c r="BK1756" s="1"/>
      <c r="BL1756" s="1"/>
      <c r="BM1756" s="7"/>
      <c r="BN1756" s="7"/>
      <c r="BO1756" s="1"/>
      <c r="BP1756" s="11"/>
      <c r="BQ1756" s="11"/>
    </row>
    <row r="1757" spans="1:69" x14ac:dyDescent="0.3">
      <c r="A1757" s="7"/>
      <c r="B1757" s="11"/>
      <c r="C1757" s="11"/>
      <c r="D1757" s="11"/>
      <c r="E1757" s="45"/>
      <c r="F1757" s="40"/>
      <c r="G1757" s="11"/>
      <c r="K1757" s="40"/>
      <c r="N1757" s="11"/>
      <c r="O1757" s="11"/>
      <c r="P1757" s="11"/>
      <c r="Q1757" s="11"/>
      <c r="R1757" s="11"/>
      <c r="S1757" s="11"/>
      <c r="T1757" s="11"/>
      <c r="U1757" s="11"/>
      <c r="V1757" s="11"/>
      <c r="W1757" s="11"/>
      <c r="X1757" s="11"/>
      <c r="Y1757" s="11"/>
      <c r="Z1757" s="11"/>
      <c r="AA1757" s="11"/>
      <c r="AB1757" s="11"/>
      <c r="AC1757" s="11"/>
      <c r="AD1757" s="40"/>
      <c r="AE1757" s="11"/>
      <c r="AF1757" s="40"/>
      <c r="AI1757" s="11"/>
      <c r="AJ1757" s="11"/>
      <c r="AK1757" s="11"/>
      <c r="AL1757" s="11"/>
      <c r="AM1757" s="11"/>
      <c r="AN1757" s="11"/>
      <c r="AO1757" s="11"/>
      <c r="AY1757" s="11"/>
      <c r="BE1757" s="38"/>
      <c r="BF1757" s="38"/>
      <c r="BG1757" s="38"/>
      <c r="BH1757" s="11"/>
      <c r="BI1757" s="1"/>
      <c r="BJ1757" s="2"/>
      <c r="BK1757" s="1"/>
      <c r="BL1757" s="1"/>
      <c r="BM1757" s="7"/>
      <c r="BN1757" s="7"/>
      <c r="BO1757" s="1"/>
      <c r="BP1757" s="11"/>
      <c r="BQ1757" s="11"/>
    </row>
    <row r="1758" spans="1:69" x14ac:dyDescent="0.3">
      <c r="A1758" s="7"/>
      <c r="B1758" s="11"/>
      <c r="C1758" s="11"/>
      <c r="D1758" s="11"/>
      <c r="E1758" s="45"/>
      <c r="F1758" s="40"/>
      <c r="G1758" s="11"/>
      <c r="K1758" s="40"/>
      <c r="N1758" s="11"/>
      <c r="O1758" s="11"/>
      <c r="P1758" s="11"/>
      <c r="Q1758" s="11"/>
      <c r="R1758" s="11"/>
      <c r="S1758" s="11"/>
      <c r="T1758" s="11"/>
      <c r="U1758" s="11"/>
      <c r="V1758" s="11"/>
      <c r="W1758" s="11"/>
      <c r="X1758" s="11"/>
      <c r="Y1758" s="11"/>
      <c r="Z1758" s="11"/>
      <c r="AA1758" s="11"/>
      <c r="AB1758" s="11"/>
      <c r="AC1758" s="11"/>
      <c r="AD1758" s="40"/>
      <c r="AE1758" s="11"/>
      <c r="AF1758" s="40"/>
      <c r="AI1758" s="11"/>
      <c r="AJ1758" s="11"/>
      <c r="AK1758" s="11"/>
      <c r="AL1758" s="11"/>
      <c r="AM1758" s="11"/>
      <c r="AN1758" s="11"/>
      <c r="AO1758" s="11"/>
      <c r="AY1758" s="11"/>
      <c r="BE1758" s="38"/>
      <c r="BF1758" s="38"/>
      <c r="BG1758" s="38"/>
      <c r="BH1758" s="11"/>
      <c r="BI1758" s="1"/>
      <c r="BJ1758" s="2"/>
      <c r="BK1758" s="1"/>
      <c r="BL1758" s="1"/>
      <c r="BM1758" s="7"/>
      <c r="BN1758" s="7"/>
      <c r="BO1758" s="1"/>
      <c r="BP1758" s="11"/>
      <c r="BQ1758" s="11"/>
    </row>
    <row r="1759" spans="1:69" x14ac:dyDescent="0.3">
      <c r="A1759" s="7"/>
      <c r="B1759" s="11"/>
      <c r="C1759" s="11"/>
      <c r="D1759" s="11"/>
      <c r="E1759" s="45"/>
      <c r="F1759" s="40"/>
      <c r="G1759" s="11"/>
      <c r="K1759" s="40"/>
      <c r="N1759" s="11"/>
      <c r="O1759" s="11"/>
      <c r="P1759" s="11"/>
      <c r="Q1759" s="11"/>
      <c r="R1759" s="11"/>
      <c r="S1759" s="11"/>
      <c r="T1759" s="11"/>
      <c r="U1759" s="11"/>
      <c r="V1759" s="11"/>
      <c r="W1759" s="11"/>
      <c r="X1759" s="11"/>
      <c r="Y1759" s="11"/>
      <c r="Z1759" s="11"/>
      <c r="AA1759" s="11"/>
      <c r="AB1759" s="11"/>
      <c r="AC1759" s="11"/>
      <c r="AD1759" s="40"/>
      <c r="AE1759" s="11"/>
      <c r="AF1759" s="40"/>
      <c r="AI1759" s="11"/>
      <c r="AJ1759" s="11"/>
      <c r="AK1759" s="11"/>
      <c r="AL1759" s="11"/>
      <c r="AM1759" s="11"/>
      <c r="AN1759" s="11"/>
      <c r="AO1759" s="11"/>
      <c r="AY1759" s="11"/>
      <c r="BE1759" s="38"/>
      <c r="BF1759" s="38"/>
      <c r="BG1759" s="38"/>
      <c r="BH1759" s="11"/>
      <c r="BI1759" s="1"/>
      <c r="BJ1759" s="2"/>
      <c r="BK1759" s="1"/>
      <c r="BL1759" s="1"/>
      <c r="BM1759" s="7"/>
      <c r="BN1759" s="7"/>
      <c r="BO1759" s="1"/>
      <c r="BP1759" s="11"/>
      <c r="BQ1759" s="11"/>
    </row>
    <row r="1760" spans="1:69" x14ac:dyDescent="0.3">
      <c r="A1760" s="7"/>
      <c r="B1760" s="11"/>
      <c r="C1760" s="11"/>
      <c r="D1760" s="11"/>
      <c r="E1760" s="45"/>
      <c r="F1760" s="40"/>
      <c r="G1760" s="11"/>
      <c r="K1760" s="40"/>
      <c r="N1760" s="11"/>
      <c r="O1760" s="11"/>
      <c r="P1760" s="11"/>
      <c r="Q1760" s="11"/>
      <c r="R1760" s="11"/>
      <c r="S1760" s="11"/>
      <c r="T1760" s="11"/>
      <c r="U1760" s="11"/>
      <c r="V1760" s="11"/>
      <c r="W1760" s="11"/>
      <c r="X1760" s="11"/>
      <c r="Y1760" s="11"/>
      <c r="Z1760" s="11"/>
      <c r="AA1760" s="11"/>
      <c r="AB1760" s="11"/>
      <c r="AC1760" s="11"/>
      <c r="AD1760" s="40"/>
      <c r="AE1760" s="11"/>
      <c r="AF1760" s="40"/>
      <c r="AI1760" s="11"/>
      <c r="AJ1760" s="11"/>
      <c r="AK1760" s="11"/>
      <c r="AL1760" s="11"/>
      <c r="AM1760" s="11"/>
      <c r="AN1760" s="11"/>
      <c r="AO1760" s="11"/>
      <c r="AY1760" s="11"/>
      <c r="BE1760" s="38"/>
      <c r="BF1760" s="38"/>
      <c r="BG1760" s="38"/>
      <c r="BH1760" s="11"/>
      <c r="BI1760" s="1"/>
      <c r="BJ1760" s="2"/>
      <c r="BK1760" s="1"/>
      <c r="BL1760" s="1"/>
      <c r="BM1760" s="7"/>
      <c r="BN1760" s="7"/>
      <c r="BO1760" s="1"/>
      <c r="BP1760" s="11"/>
      <c r="BQ1760" s="11"/>
    </row>
    <row r="1761" spans="1:69" x14ac:dyDescent="0.3">
      <c r="A1761" s="7"/>
      <c r="B1761" s="11"/>
      <c r="C1761" s="11"/>
      <c r="D1761" s="11"/>
      <c r="E1761" s="45"/>
      <c r="F1761" s="40"/>
      <c r="G1761" s="11"/>
      <c r="K1761" s="40"/>
      <c r="N1761" s="11"/>
      <c r="O1761" s="11"/>
      <c r="P1761" s="11"/>
      <c r="Q1761" s="11"/>
      <c r="R1761" s="11"/>
      <c r="S1761" s="11"/>
      <c r="T1761" s="11"/>
      <c r="U1761" s="11"/>
      <c r="V1761" s="11"/>
      <c r="W1761" s="11"/>
      <c r="X1761" s="11"/>
      <c r="Y1761" s="11"/>
      <c r="Z1761" s="11"/>
      <c r="AA1761" s="11"/>
      <c r="AB1761" s="11"/>
      <c r="AC1761" s="11"/>
      <c r="AD1761" s="40"/>
      <c r="AE1761" s="11"/>
      <c r="AF1761" s="40"/>
      <c r="AI1761" s="11"/>
      <c r="AJ1761" s="11"/>
      <c r="AK1761" s="11"/>
      <c r="AL1761" s="11"/>
      <c r="AM1761" s="11"/>
      <c r="AN1761" s="11"/>
      <c r="AO1761" s="11"/>
      <c r="AY1761" s="11"/>
      <c r="BE1761" s="38"/>
      <c r="BF1761" s="38"/>
      <c r="BG1761" s="38"/>
      <c r="BH1761" s="11"/>
      <c r="BI1761" s="1"/>
      <c r="BJ1761" s="2"/>
      <c r="BK1761" s="1"/>
      <c r="BL1761" s="1"/>
      <c r="BM1761" s="7"/>
      <c r="BN1761" s="7"/>
      <c r="BO1761" s="1"/>
      <c r="BP1761" s="11"/>
      <c r="BQ1761" s="11"/>
    </row>
    <row r="1762" spans="1:69" x14ac:dyDescent="0.3">
      <c r="A1762" s="7"/>
      <c r="B1762" s="11"/>
      <c r="C1762" s="11"/>
      <c r="D1762" s="11"/>
      <c r="E1762" s="45"/>
      <c r="F1762" s="40"/>
      <c r="G1762" s="11"/>
      <c r="K1762" s="40"/>
      <c r="N1762" s="11"/>
      <c r="O1762" s="11"/>
      <c r="P1762" s="11"/>
      <c r="Q1762" s="11"/>
      <c r="R1762" s="11"/>
      <c r="S1762" s="11"/>
      <c r="T1762" s="11"/>
      <c r="U1762" s="11"/>
      <c r="V1762" s="11"/>
      <c r="W1762" s="11"/>
      <c r="X1762" s="11"/>
      <c r="Y1762" s="11"/>
      <c r="Z1762" s="11"/>
      <c r="AA1762" s="11"/>
      <c r="AB1762" s="11"/>
      <c r="AC1762" s="11"/>
      <c r="AD1762" s="40"/>
      <c r="AE1762" s="11"/>
      <c r="AF1762" s="40"/>
      <c r="AI1762" s="11"/>
      <c r="AJ1762" s="11"/>
      <c r="AK1762" s="11"/>
      <c r="AL1762" s="11"/>
      <c r="AM1762" s="11"/>
      <c r="AN1762" s="11"/>
      <c r="AO1762" s="11"/>
      <c r="AY1762" s="11"/>
      <c r="BE1762" s="38"/>
      <c r="BF1762" s="38"/>
      <c r="BG1762" s="38"/>
      <c r="BH1762" s="11"/>
      <c r="BI1762" s="1"/>
      <c r="BJ1762" s="2"/>
      <c r="BK1762" s="1"/>
      <c r="BL1762" s="1"/>
      <c r="BM1762" s="7"/>
      <c r="BN1762" s="7"/>
      <c r="BO1762" s="1"/>
      <c r="BP1762" s="11"/>
      <c r="BQ1762" s="11"/>
    </row>
    <row r="1763" spans="1:69" x14ac:dyDescent="0.3">
      <c r="A1763" s="7"/>
      <c r="B1763" s="11"/>
      <c r="C1763" s="11"/>
      <c r="D1763" s="11"/>
      <c r="E1763" s="45"/>
      <c r="F1763" s="40"/>
      <c r="G1763" s="11"/>
      <c r="K1763" s="40"/>
      <c r="N1763" s="11"/>
      <c r="O1763" s="11"/>
      <c r="P1763" s="11"/>
      <c r="Q1763" s="11"/>
      <c r="R1763" s="11"/>
      <c r="S1763" s="11"/>
      <c r="T1763" s="11"/>
      <c r="U1763" s="11"/>
      <c r="V1763" s="11"/>
      <c r="W1763" s="11"/>
      <c r="X1763" s="11"/>
      <c r="Y1763" s="11"/>
      <c r="Z1763" s="11"/>
      <c r="AA1763" s="11"/>
      <c r="AB1763" s="11"/>
      <c r="AC1763" s="11"/>
      <c r="AD1763" s="40"/>
      <c r="AE1763" s="11"/>
      <c r="AF1763" s="40"/>
      <c r="AI1763" s="11"/>
      <c r="AJ1763" s="11"/>
      <c r="AK1763" s="11"/>
      <c r="AL1763" s="11"/>
      <c r="AM1763" s="11"/>
      <c r="AN1763" s="11"/>
      <c r="AO1763" s="11"/>
      <c r="AY1763" s="11"/>
      <c r="BE1763" s="38"/>
      <c r="BF1763" s="38"/>
      <c r="BG1763" s="38"/>
      <c r="BH1763" s="11"/>
      <c r="BI1763" s="1"/>
      <c r="BJ1763" s="2"/>
      <c r="BK1763" s="1"/>
      <c r="BL1763" s="1"/>
      <c r="BM1763" s="7"/>
      <c r="BN1763" s="7"/>
      <c r="BO1763" s="1"/>
      <c r="BP1763" s="11"/>
      <c r="BQ1763" s="11"/>
    </row>
    <row r="1764" spans="1:69" x14ac:dyDescent="0.3">
      <c r="A1764" s="7"/>
      <c r="B1764" s="11"/>
      <c r="C1764" s="11"/>
      <c r="D1764" s="11"/>
      <c r="E1764" s="45"/>
      <c r="F1764" s="40"/>
      <c r="G1764" s="11"/>
      <c r="K1764" s="40"/>
      <c r="N1764" s="11"/>
      <c r="O1764" s="11"/>
      <c r="P1764" s="11"/>
      <c r="Q1764" s="11"/>
      <c r="R1764" s="11"/>
      <c r="S1764" s="11"/>
      <c r="T1764" s="11"/>
      <c r="U1764" s="11"/>
      <c r="V1764" s="11"/>
      <c r="W1764" s="11"/>
      <c r="X1764" s="11"/>
      <c r="Y1764" s="11"/>
      <c r="Z1764" s="11"/>
      <c r="AA1764" s="11"/>
      <c r="AB1764" s="11"/>
      <c r="AC1764" s="11"/>
      <c r="AD1764" s="40"/>
      <c r="AE1764" s="11"/>
      <c r="AF1764" s="40"/>
      <c r="AI1764" s="11"/>
      <c r="AJ1764" s="11"/>
      <c r="AK1764" s="11"/>
      <c r="AL1764" s="11"/>
      <c r="AM1764" s="11"/>
      <c r="AN1764" s="11"/>
      <c r="AO1764" s="11"/>
      <c r="AY1764" s="11"/>
      <c r="BE1764" s="38"/>
      <c r="BF1764" s="38"/>
      <c r="BG1764" s="38"/>
      <c r="BH1764" s="11"/>
      <c r="BI1764" s="1"/>
      <c r="BJ1764" s="2"/>
      <c r="BK1764" s="1"/>
      <c r="BL1764" s="1"/>
      <c r="BM1764" s="7"/>
      <c r="BN1764" s="7"/>
      <c r="BO1764" s="1"/>
      <c r="BP1764" s="11"/>
      <c r="BQ1764" s="11"/>
    </row>
    <row r="1765" spans="1:69" x14ac:dyDescent="0.3">
      <c r="A1765" s="7"/>
      <c r="B1765" s="11"/>
      <c r="C1765" s="11"/>
      <c r="D1765" s="11"/>
      <c r="E1765" s="45"/>
      <c r="F1765" s="40"/>
      <c r="G1765" s="11"/>
      <c r="K1765" s="40"/>
      <c r="N1765" s="11"/>
      <c r="O1765" s="11"/>
      <c r="P1765" s="11"/>
      <c r="Q1765" s="11"/>
      <c r="R1765" s="11"/>
      <c r="S1765" s="11"/>
      <c r="T1765" s="11"/>
      <c r="U1765" s="11"/>
      <c r="V1765" s="11"/>
      <c r="W1765" s="11"/>
      <c r="X1765" s="11"/>
      <c r="Y1765" s="11"/>
      <c r="Z1765" s="11"/>
      <c r="AA1765" s="11"/>
      <c r="AB1765" s="11"/>
      <c r="AC1765" s="11"/>
      <c r="AD1765" s="40"/>
      <c r="AE1765" s="11"/>
      <c r="AF1765" s="40"/>
      <c r="AI1765" s="11"/>
      <c r="AJ1765" s="11"/>
      <c r="AK1765" s="11"/>
      <c r="AL1765" s="11"/>
      <c r="AM1765" s="11"/>
      <c r="AN1765" s="11"/>
      <c r="AO1765" s="11"/>
      <c r="AY1765" s="11"/>
      <c r="BE1765" s="38"/>
      <c r="BF1765" s="38"/>
      <c r="BG1765" s="38"/>
      <c r="BH1765" s="11"/>
      <c r="BI1765" s="1"/>
      <c r="BJ1765" s="2"/>
      <c r="BK1765" s="1"/>
      <c r="BL1765" s="1"/>
      <c r="BM1765" s="7"/>
      <c r="BN1765" s="7"/>
      <c r="BO1765" s="1"/>
      <c r="BP1765" s="11"/>
      <c r="BQ1765" s="11"/>
    </row>
    <row r="1766" spans="1:69" x14ac:dyDescent="0.3">
      <c r="A1766" s="7"/>
      <c r="B1766" s="11"/>
      <c r="C1766" s="11"/>
      <c r="D1766" s="11"/>
      <c r="E1766" s="45"/>
      <c r="F1766" s="40"/>
      <c r="G1766" s="11"/>
      <c r="K1766" s="40"/>
      <c r="N1766" s="11"/>
      <c r="O1766" s="11"/>
      <c r="P1766" s="11"/>
      <c r="Q1766" s="11"/>
      <c r="R1766" s="11"/>
      <c r="S1766" s="11"/>
      <c r="T1766" s="11"/>
      <c r="U1766" s="11"/>
      <c r="V1766" s="11"/>
      <c r="W1766" s="11"/>
      <c r="X1766" s="11"/>
      <c r="Y1766" s="11"/>
      <c r="Z1766" s="11"/>
      <c r="AA1766" s="11"/>
      <c r="AB1766" s="11"/>
      <c r="AC1766" s="11"/>
      <c r="AD1766" s="40"/>
      <c r="AE1766" s="11"/>
      <c r="AF1766" s="40"/>
      <c r="AI1766" s="11"/>
      <c r="AJ1766" s="11"/>
      <c r="AK1766" s="11"/>
      <c r="AL1766" s="11"/>
      <c r="AM1766" s="11"/>
      <c r="AN1766" s="11"/>
      <c r="AO1766" s="11"/>
      <c r="AY1766" s="11"/>
      <c r="BE1766" s="38"/>
      <c r="BF1766" s="38"/>
      <c r="BG1766" s="38"/>
      <c r="BH1766" s="11"/>
      <c r="BI1766" s="1"/>
      <c r="BJ1766" s="2"/>
      <c r="BK1766" s="1"/>
      <c r="BL1766" s="1"/>
      <c r="BM1766" s="7"/>
      <c r="BN1766" s="7"/>
      <c r="BO1766" s="1"/>
      <c r="BP1766" s="11"/>
      <c r="BQ1766" s="11"/>
    </row>
    <row r="1767" spans="1:69" x14ac:dyDescent="0.3">
      <c r="A1767" s="7"/>
      <c r="B1767" s="11"/>
      <c r="C1767" s="11"/>
      <c r="D1767" s="11"/>
      <c r="E1767" s="45"/>
      <c r="F1767" s="40"/>
      <c r="G1767" s="11"/>
      <c r="K1767" s="40"/>
      <c r="N1767" s="11"/>
      <c r="O1767" s="11"/>
      <c r="P1767" s="11"/>
      <c r="Q1767" s="11"/>
      <c r="R1767" s="11"/>
      <c r="S1767" s="11"/>
      <c r="T1767" s="11"/>
      <c r="U1767" s="11"/>
      <c r="V1767" s="11"/>
      <c r="W1767" s="11"/>
      <c r="X1767" s="11"/>
      <c r="Y1767" s="11"/>
      <c r="Z1767" s="11"/>
      <c r="AA1767" s="11"/>
      <c r="AB1767" s="11"/>
      <c r="AC1767" s="11"/>
      <c r="AD1767" s="40"/>
      <c r="AE1767" s="11"/>
      <c r="AF1767" s="40"/>
      <c r="AI1767" s="11"/>
      <c r="AJ1767" s="11"/>
      <c r="AK1767" s="11"/>
      <c r="AL1767" s="11"/>
      <c r="AM1767" s="11"/>
      <c r="AN1767" s="11"/>
      <c r="AO1767" s="11"/>
      <c r="AY1767" s="11"/>
      <c r="BE1767" s="38"/>
      <c r="BF1767" s="38"/>
      <c r="BG1767" s="38"/>
      <c r="BH1767" s="11"/>
      <c r="BI1767" s="1"/>
      <c r="BJ1767" s="2"/>
      <c r="BK1767" s="1"/>
      <c r="BL1767" s="1"/>
      <c r="BM1767" s="7"/>
      <c r="BN1767" s="7"/>
      <c r="BO1767" s="1"/>
      <c r="BP1767" s="11"/>
      <c r="BQ1767" s="11"/>
    </row>
    <row r="1768" spans="1:69" x14ac:dyDescent="0.3">
      <c r="A1768" s="7"/>
      <c r="B1768" s="11"/>
      <c r="C1768" s="11"/>
      <c r="D1768" s="11"/>
      <c r="E1768" s="45"/>
      <c r="F1768" s="40"/>
      <c r="G1768" s="11"/>
      <c r="K1768" s="40"/>
      <c r="N1768" s="11"/>
      <c r="O1768" s="11"/>
      <c r="P1768" s="11"/>
      <c r="Q1768" s="11"/>
      <c r="R1768" s="11"/>
      <c r="S1768" s="11"/>
      <c r="T1768" s="11"/>
      <c r="U1768" s="11"/>
      <c r="V1768" s="11"/>
      <c r="W1768" s="11"/>
      <c r="X1768" s="11"/>
      <c r="Y1768" s="11"/>
      <c r="Z1768" s="11"/>
      <c r="AA1768" s="11"/>
      <c r="AB1768" s="11"/>
      <c r="AC1768" s="11"/>
      <c r="AD1768" s="40"/>
      <c r="AE1768" s="11"/>
      <c r="AF1768" s="40"/>
      <c r="AI1768" s="11"/>
      <c r="AJ1768" s="11"/>
      <c r="AK1768" s="11"/>
      <c r="AL1768" s="11"/>
      <c r="AM1768" s="11"/>
      <c r="AN1768" s="11"/>
      <c r="AO1768" s="11"/>
      <c r="AY1768" s="11"/>
      <c r="BE1768" s="38"/>
      <c r="BF1768" s="38"/>
      <c r="BG1768" s="38"/>
      <c r="BH1768" s="11"/>
      <c r="BI1768" s="1"/>
      <c r="BJ1768" s="2"/>
      <c r="BK1768" s="1"/>
      <c r="BL1768" s="1"/>
      <c r="BM1768" s="7"/>
      <c r="BN1768" s="7"/>
      <c r="BO1768" s="1"/>
      <c r="BP1768" s="11"/>
      <c r="BQ1768" s="11"/>
    </row>
    <row r="1769" spans="1:69" x14ac:dyDescent="0.3">
      <c r="A1769" s="7"/>
      <c r="B1769" s="11"/>
      <c r="C1769" s="11"/>
      <c r="D1769" s="11"/>
      <c r="E1769" s="45"/>
      <c r="F1769" s="40"/>
      <c r="G1769" s="11"/>
      <c r="K1769" s="40"/>
      <c r="N1769" s="11"/>
      <c r="O1769" s="11"/>
      <c r="P1769" s="11"/>
      <c r="Q1769" s="11"/>
      <c r="R1769" s="11"/>
      <c r="S1769" s="11"/>
      <c r="T1769" s="11"/>
      <c r="U1769" s="11"/>
      <c r="V1769" s="11"/>
      <c r="W1769" s="11"/>
      <c r="X1769" s="11"/>
      <c r="Y1769" s="11"/>
      <c r="Z1769" s="11"/>
      <c r="AA1769" s="11"/>
      <c r="AB1769" s="11"/>
      <c r="AC1769" s="11"/>
      <c r="AD1769" s="40"/>
      <c r="AE1769" s="11"/>
      <c r="AF1769" s="40"/>
      <c r="AI1769" s="11"/>
      <c r="AJ1769" s="11"/>
      <c r="AK1769" s="11"/>
      <c r="AL1769" s="11"/>
      <c r="AM1769" s="11"/>
      <c r="AN1769" s="11"/>
      <c r="AO1769" s="11"/>
      <c r="AY1769" s="11"/>
      <c r="BE1769" s="38"/>
      <c r="BF1769" s="38"/>
      <c r="BG1769" s="38"/>
      <c r="BH1769" s="11"/>
      <c r="BI1769" s="1"/>
      <c r="BJ1769" s="2"/>
      <c r="BK1769" s="1"/>
      <c r="BL1769" s="1"/>
      <c r="BM1769" s="7"/>
      <c r="BN1769" s="7"/>
      <c r="BO1769" s="1"/>
      <c r="BP1769" s="11"/>
      <c r="BQ1769" s="11"/>
    </row>
    <row r="1770" spans="1:69" x14ac:dyDescent="0.3">
      <c r="A1770" s="7"/>
      <c r="B1770" s="11"/>
      <c r="C1770" s="11"/>
      <c r="D1770" s="11"/>
      <c r="E1770" s="45"/>
      <c r="F1770" s="40"/>
      <c r="G1770" s="11"/>
      <c r="K1770" s="40"/>
      <c r="N1770" s="11"/>
      <c r="O1770" s="11"/>
      <c r="P1770" s="11"/>
      <c r="Q1770" s="11"/>
      <c r="R1770" s="11"/>
      <c r="S1770" s="11"/>
      <c r="T1770" s="11"/>
      <c r="U1770" s="11"/>
      <c r="V1770" s="11"/>
      <c r="W1770" s="11"/>
      <c r="X1770" s="11"/>
      <c r="Y1770" s="11"/>
      <c r="Z1770" s="11"/>
      <c r="AA1770" s="11"/>
      <c r="AB1770" s="11"/>
      <c r="AC1770" s="11"/>
      <c r="AD1770" s="40"/>
      <c r="AE1770" s="11"/>
      <c r="AF1770" s="40"/>
      <c r="AI1770" s="11"/>
      <c r="AJ1770" s="11"/>
      <c r="AK1770" s="11"/>
      <c r="AL1770" s="11"/>
      <c r="AM1770" s="11"/>
      <c r="AN1770" s="11"/>
      <c r="AO1770" s="11"/>
      <c r="AY1770" s="11"/>
      <c r="BE1770" s="38"/>
      <c r="BF1770" s="38"/>
      <c r="BG1770" s="38"/>
      <c r="BH1770" s="11"/>
      <c r="BI1770" s="1"/>
      <c r="BJ1770" s="2"/>
      <c r="BK1770" s="1"/>
      <c r="BL1770" s="1"/>
      <c r="BM1770" s="7"/>
      <c r="BN1770" s="7"/>
      <c r="BO1770" s="1"/>
      <c r="BP1770" s="11"/>
      <c r="BQ1770" s="11"/>
    </row>
    <row r="1771" spans="1:69" x14ac:dyDescent="0.3">
      <c r="A1771" s="7"/>
      <c r="B1771" s="11"/>
      <c r="C1771" s="11"/>
      <c r="D1771" s="11"/>
      <c r="E1771" s="45"/>
      <c r="F1771" s="40"/>
      <c r="G1771" s="11"/>
      <c r="K1771" s="40"/>
      <c r="N1771" s="11"/>
      <c r="O1771" s="11"/>
      <c r="P1771" s="11"/>
      <c r="Q1771" s="11"/>
      <c r="R1771" s="11"/>
      <c r="S1771" s="11"/>
      <c r="T1771" s="11"/>
      <c r="U1771" s="11"/>
      <c r="V1771" s="11"/>
      <c r="W1771" s="11"/>
      <c r="X1771" s="11"/>
      <c r="Y1771" s="11"/>
      <c r="Z1771" s="11"/>
      <c r="AA1771" s="11"/>
      <c r="AB1771" s="11"/>
      <c r="AC1771" s="11"/>
      <c r="AD1771" s="40"/>
      <c r="AE1771" s="11"/>
      <c r="AF1771" s="40"/>
      <c r="AI1771" s="11"/>
      <c r="AJ1771" s="11"/>
      <c r="AK1771" s="11"/>
      <c r="AL1771" s="11"/>
      <c r="AM1771" s="11"/>
      <c r="AN1771" s="11"/>
      <c r="AO1771" s="11"/>
      <c r="AY1771" s="11"/>
      <c r="BE1771" s="38"/>
      <c r="BF1771" s="38"/>
      <c r="BG1771" s="38"/>
      <c r="BH1771" s="11"/>
      <c r="BI1771" s="1"/>
      <c r="BJ1771" s="2"/>
      <c r="BK1771" s="1"/>
      <c r="BL1771" s="1"/>
      <c r="BM1771" s="7"/>
      <c r="BN1771" s="7"/>
      <c r="BO1771" s="1"/>
      <c r="BP1771" s="11"/>
      <c r="BQ1771" s="11"/>
    </row>
    <row r="1772" spans="1:69" x14ac:dyDescent="0.3">
      <c r="A1772" s="7"/>
      <c r="B1772" s="11"/>
      <c r="C1772" s="11"/>
      <c r="D1772" s="11"/>
      <c r="E1772" s="45"/>
      <c r="F1772" s="40"/>
      <c r="G1772" s="11"/>
      <c r="K1772" s="40"/>
      <c r="N1772" s="11"/>
      <c r="O1772" s="11"/>
      <c r="P1772" s="11"/>
      <c r="Q1772" s="11"/>
      <c r="R1772" s="11"/>
      <c r="S1772" s="11"/>
      <c r="T1772" s="11"/>
      <c r="U1772" s="11"/>
      <c r="V1772" s="11"/>
      <c r="W1772" s="11"/>
      <c r="X1772" s="11"/>
      <c r="Y1772" s="11"/>
      <c r="Z1772" s="11"/>
      <c r="AA1772" s="11"/>
      <c r="AB1772" s="11"/>
      <c r="AC1772" s="11"/>
      <c r="AD1772" s="40"/>
      <c r="AE1772" s="11"/>
      <c r="AF1772" s="40"/>
      <c r="AI1772" s="11"/>
      <c r="AJ1772" s="11"/>
      <c r="AK1772" s="11"/>
      <c r="AL1772" s="11"/>
      <c r="AM1772" s="11"/>
      <c r="AN1772" s="11"/>
      <c r="AO1772" s="11"/>
      <c r="AY1772" s="11"/>
      <c r="BE1772" s="38"/>
      <c r="BF1772" s="38"/>
      <c r="BG1772" s="38"/>
      <c r="BH1772" s="11"/>
      <c r="BI1772" s="1"/>
      <c r="BJ1772" s="2"/>
      <c r="BK1772" s="1"/>
      <c r="BL1772" s="1"/>
      <c r="BM1772" s="7"/>
      <c r="BN1772" s="7"/>
      <c r="BO1772" s="1"/>
      <c r="BP1772" s="11"/>
      <c r="BQ1772" s="11"/>
    </row>
    <row r="1773" spans="1:69" x14ac:dyDescent="0.3">
      <c r="A1773" s="7"/>
      <c r="B1773" s="11"/>
      <c r="C1773" s="11"/>
      <c r="D1773" s="11"/>
      <c r="E1773" s="45"/>
      <c r="F1773" s="40"/>
      <c r="G1773" s="11"/>
      <c r="K1773" s="40"/>
      <c r="N1773" s="11"/>
      <c r="O1773" s="11"/>
      <c r="P1773" s="11"/>
      <c r="Q1773" s="11"/>
      <c r="R1773" s="11"/>
      <c r="S1773" s="11"/>
      <c r="T1773" s="11"/>
      <c r="U1773" s="11"/>
      <c r="V1773" s="11"/>
      <c r="W1773" s="11"/>
      <c r="X1773" s="11"/>
      <c r="Y1773" s="11"/>
      <c r="Z1773" s="11"/>
      <c r="AA1773" s="11"/>
      <c r="AB1773" s="11"/>
      <c r="AC1773" s="11"/>
      <c r="AD1773" s="40"/>
      <c r="AE1773" s="11"/>
      <c r="AF1773" s="40"/>
      <c r="AI1773" s="11"/>
      <c r="AJ1773" s="11"/>
      <c r="AK1773" s="11"/>
      <c r="AL1773" s="11"/>
      <c r="AM1773" s="11"/>
      <c r="AN1773" s="11"/>
      <c r="AO1773" s="11"/>
      <c r="AY1773" s="11"/>
      <c r="BE1773" s="38"/>
      <c r="BF1773" s="38"/>
      <c r="BG1773" s="38"/>
      <c r="BH1773" s="11"/>
      <c r="BI1773" s="1"/>
      <c r="BJ1773" s="2"/>
      <c r="BK1773" s="1"/>
      <c r="BL1773" s="1"/>
      <c r="BM1773" s="7"/>
      <c r="BN1773" s="7"/>
      <c r="BO1773" s="1"/>
      <c r="BP1773" s="11"/>
      <c r="BQ1773" s="11"/>
    </row>
    <row r="1774" spans="1:69" x14ac:dyDescent="0.3">
      <c r="A1774" s="7"/>
      <c r="B1774" s="11"/>
      <c r="C1774" s="11"/>
      <c r="D1774" s="11"/>
      <c r="E1774" s="45"/>
      <c r="F1774" s="40"/>
      <c r="G1774" s="11"/>
      <c r="K1774" s="40"/>
      <c r="N1774" s="11"/>
      <c r="O1774" s="11"/>
      <c r="P1774" s="11"/>
      <c r="Q1774" s="11"/>
      <c r="R1774" s="11"/>
      <c r="S1774" s="11"/>
      <c r="T1774" s="11"/>
      <c r="U1774" s="11"/>
      <c r="V1774" s="11"/>
      <c r="W1774" s="11"/>
      <c r="X1774" s="11"/>
      <c r="Y1774" s="11"/>
      <c r="Z1774" s="11"/>
      <c r="AA1774" s="11"/>
      <c r="AB1774" s="11"/>
      <c r="AC1774" s="11"/>
      <c r="AD1774" s="40"/>
      <c r="AE1774" s="11"/>
      <c r="AF1774" s="40"/>
      <c r="AI1774" s="11"/>
      <c r="AJ1774" s="11"/>
      <c r="AK1774" s="11"/>
      <c r="AL1774" s="11"/>
      <c r="AM1774" s="11"/>
      <c r="AN1774" s="11"/>
      <c r="AO1774" s="11"/>
      <c r="AY1774" s="11"/>
      <c r="BE1774" s="38"/>
      <c r="BF1774" s="38"/>
      <c r="BG1774" s="38"/>
      <c r="BH1774" s="11"/>
      <c r="BI1774" s="1"/>
      <c r="BJ1774" s="2"/>
      <c r="BK1774" s="1"/>
      <c r="BL1774" s="1"/>
      <c r="BM1774" s="7"/>
      <c r="BN1774" s="7"/>
      <c r="BO1774" s="1"/>
      <c r="BP1774" s="11"/>
      <c r="BQ1774" s="11"/>
    </row>
    <row r="1775" spans="1:69" x14ac:dyDescent="0.3">
      <c r="A1775" s="7"/>
      <c r="B1775" s="11"/>
      <c r="C1775" s="11"/>
      <c r="D1775" s="11"/>
      <c r="E1775" s="45"/>
      <c r="F1775" s="40"/>
      <c r="G1775" s="11"/>
      <c r="K1775" s="40"/>
      <c r="N1775" s="11"/>
      <c r="O1775" s="11"/>
      <c r="P1775" s="11"/>
      <c r="Q1775" s="11"/>
      <c r="R1775" s="11"/>
      <c r="S1775" s="11"/>
      <c r="T1775" s="11"/>
      <c r="U1775" s="11"/>
      <c r="V1775" s="11"/>
      <c r="W1775" s="11"/>
      <c r="X1775" s="11"/>
      <c r="Y1775" s="11"/>
      <c r="Z1775" s="11"/>
      <c r="AA1775" s="11"/>
      <c r="AB1775" s="11"/>
      <c r="AC1775" s="11"/>
      <c r="AD1775" s="40"/>
      <c r="AE1775" s="11"/>
      <c r="AF1775" s="40"/>
      <c r="AI1775" s="11"/>
      <c r="AJ1775" s="11"/>
      <c r="AK1775" s="11"/>
      <c r="AL1775" s="11"/>
      <c r="AM1775" s="11"/>
      <c r="AN1775" s="11"/>
      <c r="AO1775" s="11"/>
      <c r="AY1775" s="11"/>
      <c r="BE1775" s="38"/>
      <c r="BF1775" s="38"/>
      <c r="BG1775" s="38"/>
      <c r="BH1775" s="11"/>
      <c r="BI1775" s="1"/>
      <c r="BJ1775" s="2"/>
      <c r="BK1775" s="1"/>
      <c r="BL1775" s="1"/>
      <c r="BM1775" s="7"/>
      <c r="BN1775" s="7"/>
      <c r="BO1775" s="1"/>
      <c r="BP1775" s="11"/>
      <c r="BQ1775" s="11"/>
    </row>
    <row r="1776" spans="1:69" x14ac:dyDescent="0.3">
      <c r="A1776" s="7"/>
      <c r="B1776" s="11"/>
      <c r="C1776" s="11"/>
      <c r="D1776" s="11"/>
      <c r="E1776" s="45"/>
      <c r="F1776" s="40"/>
      <c r="G1776" s="11"/>
      <c r="K1776" s="40"/>
      <c r="N1776" s="11"/>
      <c r="O1776" s="11"/>
      <c r="P1776" s="11"/>
      <c r="Q1776" s="11"/>
      <c r="R1776" s="11"/>
      <c r="S1776" s="11"/>
      <c r="T1776" s="11"/>
      <c r="U1776" s="11"/>
      <c r="V1776" s="11"/>
      <c r="W1776" s="11"/>
      <c r="X1776" s="11"/>
      <c r="Y1776" s="11"/>
      <c r="Z1776" s="11"/>
      <c r="AA1776" s="11"/>
      <c r="AB1776" s="11"/>
      <c r="AC1776" s="11"/>
      <c r="AD1776" s="40"/>
      <c r="AE1776" s="11"/>
      <c r="AF1776" s="40"/>
      <c r="AI1776" s="11"/>
      <c r="AJ1776" s="11"/>
      <c r="AK1776" s="11"/>
      <c r="AL1776" s="11"/>
      <c r="AM1776" s="11"/>
      <c r="AN1776" s="11"/>
      <c r="AO1776" s="11"/>
      <c r="AY1776" s="11"/>
      <c r="BE1776" s="38"/>
      <c r="BF1776" s="38"/>
      <c r="BG1776" s="38"/>
      <c r="BH1776" s="11"/>
      <c r="BI1776" s="1"/>
      <c r="BJ1776" s="2"/>
      <c r="BK1776" s="1"/>
      <c r="BL1776" s="1"/>
      <c r="BM1776" s="7"/>
      <c r="BN1776" s="7"/>
      <c r="BO1776" s="1"/>
      <c r="BP1776" s="11"/>
      <c r="BQ1776" s="11"/>
    </row>
    <row r="1777" spans="1:69" x14ac:dyDescent="0.3">
      <c r="A1777" s="7"/>
      <c r="B1777" s="11"/>
      <c r="C1777" s="11"/>
      <c r="D1777" s="11"/>
      <c r="E1777" s="45"/>
      <c r="F1777" s="40"/>
      <c r="G1777" s="11"/>
      <c r="K1777" s="40"/>
      <c r="N1777" s="11"/>
      <c r="O1777" s="11"/>
      <c r="P1777" s="11"/>
      <c r="Q1777" s="11"/>
      <c r="R1777" s="11"/>
      <c r="S1777" s="11"/>
      <c r="T1777" s="11"/>
      <c r="U1777" s="11"/>
      <c r="V1777" s="11"/>
      <c r="W1777" s="11"/>
      <c r="X1777" s="11"/>
      <c r="Y1777" s="11"/>
      <c r="Z1777" s="11"/>
      <c r="AA1777" s="11"/>
      <c r="AB1777" s="11"/>
      <c r="AC1777" s="11"/>
      <c r="AD1777" s="40"/>
      <c r="AE1777" s="11"/>
      <c r="AF1777" s="40"/>
      <c r="AI1777" s="11"/>
      <c r="AJ1777" s="11"/>
      <c r="AK1777" s="11"/>
      <c r="AL1777" s="11"/>
      <c r="AM1777" s="11"/>
      <c r="AN1777" s="11"/>
      <c r="AO1777" s="11"/>
      <c r="AY1777" s="11"/>
      <c r="BE1777" s="38"/>
      <c r="BF1777" s="38"/>
      <c r="BG1777" s="38"/>
      <c r="BH1777" s="11"/>
      <c r="BI1777" s="1"/>
      <c r="BJ1777" s="2"/>
      <c r="BK1777" s="1"/>
      <c r="BL1777" s="1"/>
      <c r="BM1777" s="7"/>
      <c r="BN1777" s="7"/>
      <c r="BO1777" s="1"/>
      <c r="BP1777" s="11"/>
      <c r="BQ1777" s="11"/>
    </row>
    <row r="1778" spans="1:69" x14ac:dyDescent="0.3">
      <c r="A1778" s="7"/>
      <c r="B1778" s="11"/>
      <c r="C1778" s="11"/>
      <c r="D1778" s="11"/>
      <c r="E1778" s="45"/>
      <c r="F1778" s="40"/>
      <c r="G1778" s="11"/>
      <c r="K1778" s="40"/>
      <c r="N1778" s="11"/>
      <c r="O1778" s="11"/>
      <c r="P1778" s="11"/>
      <c r="Q1778" s="11"/>
      <c r="R1778" s="11"/>
      <c r="S1778" s="11"/>
      <c r="T1778" s="11"/>
      <c r="U1778" s="11"/>
      <c r="V1778" s="11"/>
      <c r="W1778" s="11"/>
      <c r="X1778" s="11"/>
      <c r="Y1778" s="11"/>
      <c r="Z1778" s="11"/>
      <c r="AA1778" s="11"/>
      <c r="AB1778" s="11"/>
      <c r="AC1778" s="11"/>
      <c r="AD1778" s="40"/>
      <c r="AE1778" s="11"/>
      <c r="AF1778" s="40"/>
      <c r="AI1778" s="11"/>
      <c r="AJ1778" s="11"/>
      <c r="AK1778" s="11"/>
      <c r="AL1778" s="11"/>
      <c r="AM1778" s="11"/>
      <c r="AN1778" s="11"/>
      <c r="AO1778" s="11"/>
      <c r="AY1778" s="11"/>
      <c r="BE1778" s="38"/>
      <c r="BF1778" s="38"/>
      <c r="BG1778" s="38"/>
      <c r="BH1778" s="11"/>
      <c r="BI1778" s="1"/>
      <c r="BJ1778" s="2"/>
      <c r="BK1778" s="1"/>
      <c r="BL1778" s="1"/>
      <c r="BM1778" s="7"/>
      <c r="BN1778" s="7"/>
      <c r="BO1778" s="1"/>
      <c r="BP1778" s="11"/>
      <c r="BQ1778" s="11"/>
    </row>
    <row r="1779" spans="1:69" x14ac:dyDescent="0.3">
      <c r="A1779" s="7"/>
      <c r="B1779" s="11"/>
      <c r="C1779" s="11"/>
      <c r="D1779" s="11"/>
      <c r="E1779" s="45"/>
      <c r="F1779" s="40"/>
      <c r="G1779" s="11"/>
      <c r="K1779" s="40"/>
      <c r="N1779" s="11"/>
      <c r="O1779" s="11"/>
      <c r="P1779" s="11"/>
      <c r="Q1779" s="11"/>
      <c r="R1779" s="11"/>
      <c r="S1779" s="11"/>
      <c r="T1779" s="11"/>
      <c r="U1779" s="11"/>
      <c r="V1779" s="11"/>
      <c r="W1779" s="11"/>
      <c r="X1779" s="11"/>
      <c r="Y1779" s="11"/>
      <c r="Z1779" s="11"/>
      <c r="AA1779" s="11"/>
      <c r="AB1779" s="11"/>
      <c r="AC1779" s="11"/>
      <c r="AD1779" s="40"/>
      <c r="AE1779" s="11"/>
      <c r="AF1779" s="40"/>
      <c r="AI1779" s="11"/>
      <c r="AJ1779" s="11"/>
      <c r="AK1779" s="11"/>
      <c r="AL1779" s="11"/>
      <c r="AM1779" s="11"/>
      <c r="AN1779" s="11"/>
      <c r="AO1779" s="11"/>
      <c r="AY1779" s="11"/>
      <c r="BE1779" s="38"/>
      <c r="BF1779" s="38"/>
      <c r="BG1779" s="38"/>
      <c r="BH1779" s="11"/>
      <c r="BI1779" s="1"/>
      <c r="BJ1779" s="2"/>
      <c r="BK1779" s="1"/>
      <c r="BL1779" s="1"/>
      <c r="BM1779" s="7"/>
      <c r="BN1779" s="7"/>
      <c r="BO1779" s="1"/>
      <c r="BP1779" s="11"/>
      <c r="BQ1779" s="11"/>
    </row>
    <row r="1780" spans="1:69" x14ac:dyDescent="0.3">
      <c r="A1780" s="7"/>
      <c r="B1780" s="11"/>
      <c r="C1780" s="11"/>
      <c r="D1780" s="11"/>
      <c r="E1780" s="45"/>
      <c r="F1780" s="40"/>
      <c r="G1780" s="11"/>
      <c r="K1780" s="40"/>
      <c r="N1780" s="11"/>
      <c r="O1780" s="11"/>
      <c r="P1780" s="11"/>
      <c r="Q1780" s="11"/>
      <c r="R1780" s="11"/>
      <c r="S1780" s="11"/>
      <c r="T1780" s="11"/>
      <c r="U1780" s="11"/>
      <c r="V1780" s="11"/>
      <c r="W1780" s="11"/>
      <c r="X1780" s="11"/>
      <c r="Y1780" s="11"/>
      <c r="Z1780" s="11"/>
      <c r="AA1780" s="11"/>
      <c r="AB1780" s="11"/>
      <c r="AC1780" s="11"/>
      <c r="AD1780" s="40"/>
      <c r="AE1780" s="11"/>
      <c r="AF1780" s="40"/>
      <c r="AI1780" s="11"/>
      <c r="AJ1780" s="11"/>
      <c r="AK1780" s="11"/>
      <c r="AL1780" s="11"/>
      <c r="AM1780" s="11"/>
      <c r="AN1780" s="11"/>
      <c r="AO1780" s="11"/>
      <c r="AY1780" s="11"/>
      <c r="BE1780" s="38"/>
      <c r="BF1780" s="38"/>
      <c r="BG1780" s="38"/>
      <c r="BH1780" s="11"/>
      <c r="BI1780" s="1"/>
      <c r="BJ1780" s="2"/>
      <c r="BK1780" s="1"/>
      <c r="BL1780" s="1"/>
      <c r="BM1780" s="7"/>
      <c r="BN1780" s="7"/>
      <c r="BO1780" s="1"/>
      <c r="BP1780" s="11"/>
      <c r="BQ1780" s="11"/>
    </row>
    <row r="1781" spans="1:69" x14ac:dyDescent="0.3">
      <c r="A1781" s="7"/>
      <c r="B1781" s="11"/>
      <c r="C1781" s="11"/>
      <c r="D1781" s="11"/>
      <c r="E1781" s="45"/>
      <c r="F1781" s="40"/>
      <c r="G1781" s="11"/>
      <c r="K1781" s="40"/>
      <c r="N1781" s="11"/>
      <c r="O1781" s="11"/>
      <c r="P1781" s="11"/>
      <c r="Q1781" s="11"/>
      <c r="R1781" s="11"/>
      <c r="S1781" s="11"/>
      <c r="T1781" s="11"/>
      <c r="U1781" s="11"/>
      <c r="V1781" s="11"/>
      <c r="W1781" s="11"/>
      <c r="X1781" s="11"/>
      <c r="Y1781" s="11"/>
      <c r="Z1781" s="11"/>
      <c r="AA1781" s="11"/>
      <c r="AB1781" s="11"/>
      <c r="AC1781" s="11"/>
      <c r="AD1781" s="40"/>
      <c r="AE1781" s="11"/>
      <c r="AF1781" s="40"/>
      <c r="AI1781" s="11"/>
      <c r="AJ1781" s="11"/>
      <c r="AK1781" s="11"/>
      <c r="AL1781" s="11"/>
      <c r="AM1781" s="11"/>
      <c r="AN1781" s="11"/>
      <c r="AO1781" s="11"/>
      <c r="AY1781" s="11"/>
      <c r="BE1781" s="38"/>
      <c r="BF1781" s="38"/>
      <c r="BG1781" s="38"/>
      <c r="BH1781" s="11"/>
      <c r="BI1781" s="1"/>
      <c r="BJ1781" s="2"/>
      <c r="BK1781" s="1"/>
      <c r="BL1781" s="1"/>
      <c r="BM1781" s="7"/>
      <c r="BN1781" s="7"/>
      <c r="BO1781" s="1"/>
      <c r="BP1781" s="11"/>
      <c r="BQ1781" s="11"/>
    </row>
    <row r="1782" spans="1:69" x14ac:dyDescent="0.3">
      <c r="A1782" s="7"/>
      <c r="B1782" s="11"/>
      <c r="C1782" s="11"/>
      <c r="D1782" s="11"/>
      <c r="E1782" s="45"/>
      <c r="F1782" s="40"/>
      <c r="G1782" s="11"/>
      <c r="K1782" s="40"/>
      <c r="N1782" s="11"/>
      <c r="O1782" s="11"/>
      <c r="P1782" s="11"/>
      <c r="Q1782" s="11"/>
      <c r="R1782" s="11"/>
      <c r="S1782" s="11"/>
      <c r="T1782" s="11"/>
      <c r="U1782" s="11"/>
      <c r="V1782" s="11"/>
      <c r="W1782" s="11"/>
      <c r="X1782" s="11"/>
      <c r="Y1782" s="11"/>
      <c r="Z1782" s="11"/>
      <c r="AA1782" s="11"/>
      <c r="AB1782" s="11"/>
      <c r="AC1782" s="11"/>
      <c r="AD1782" s="40"/>
      <c r="AE1782" s="11"/>
      <c r="AF1782" s="40"/>
      <c r="AI1782" s="11"/>
      <c r="AJ1782" s="11"/>
      <c r="AK1782" s="11"/>
      <c r="AL1782" s="11"/>
      <c r="AM1782" s="11"/>
      <c r="AN1782" s="11"/>
      <c r="AO1782" s="11"/>
      <c r="AY1782" s="11"/>
      <c r="BE1782" s="38"/>
      <c r="BF1782" s="38"/>
      <c r="BG1782" s="38"/>
      <c r="BH1782" s="11"/>
      <c r="BI1782" s="1"/>
      <c r="BJ1782" s="2"/>
      <c r="BK1782" s="1"/>
      <c r="BL1782" s="1"/>
      <c r="BM1782" s="7"/>
      <c r="BN1782" s="7"/>
      <c r="BO1782" s="1"/>
      <c r="BP1782" s="11"/>
      <c r="BQ1782" s="11"/>
    </row>
    <row r="1783" spans="1:69" x14ac:dyDescent="0.3">
      <c r="A1783" s="7"/>
      <c r="B1783" s="11"/>
      <c r="C1783" s="11"/>
      <c r="D1783" s="11"/>
      <c r="E1783" s="45"/>
      <c r="F1783" s="40"/>
      <c r="G1783" s="11"/>
      <c r="K1783" s="40"/>
      <c r="N1783" s="11"/>
      <c r="O1783" s="11"/>
      <c r="P1783" s="11"/>
      <c r="Q1783" s="11"/>
      <c r="R1783" s="11"/>
      <c r="S1783" s="11"/>
      <c r="T1783" s="11"/>
      <c r="U1783" s="11"/>
      <c r="V1783" s="11"/>
      <c r="W1783" s="11"/>
      <c r="X1783" s="11"/>
      <c r="Y1783" s="11"/>
      <c r="Z1783" s="11"/>
      <c r="AA1783" s="11"/>
      <c r="AB1783" s="11"/>
      <c r="AC1783" s="11"/>
      <c r="AD1783" s="40"/>
      <c r="AE1783" s="11"/>
      <c r="AF1783" s="40"/>
      <c r="AI1783" s="11"/>
      <c r="AJ1783" s="11"/>
      <c r="AK1783" s="11"/>
      <c r="AL1783" s="11"/>
      <c r="AM1783" s="11"/>
      <c r="AN1783" s="11"/>
      <c r="AO1783" s="11"/>
      <c r="AY1783" s="11"/>
      <c r="BE1783" s="38"/>
      <c r="BF1783" s="38"/>
      <c r="BG1783" s="38"/>
      <c r="BH1783" s="11"/>
      <c r="BI1783" s="1"/>
      <c r="BJ1783" s="2"/>
      <c r="BK1783" s="1"/>
      <c r="BL1783" s="1"/>
      <c r="BM1783" s="7"/>
      <c r="BN1783" s="7"/>
      <c r="BO1783" s="1"/>
      <c r="BP1783" s="11"/>
      <c r="BQ1783" s="11"/>
    </row>
    <row r="1784" spans="1:69" x14ac:dyDescent="0.3">
      <c r="A1784" s="7"/>
      <c r="B1784" s="11"/>
      <c r="C1784" s="11"/>
      <c r="D1784" s="11"/>
      <c r="E1784" s="45"/>
      <c r="F1784" s="40"/>
      <c r="G1784" s="11"/>
      <c r="K1784" s="40"/>
      <c r="N1784" s="11"/>
      <c r="O1784" s="11"/>
      <c r="P1784" s="11"/>
      <c r="Q1784" s="11"/>
      <c r="R1784" s="11"/>
      <c r="S1784" s="11"/>
      <c r="T1784" s="11"/>
      <c r="U1784" s="11"/>
      <c r="V1784" s="11"/>
      <c r="W1784" s="11"/>
      <c r="X1784" s="11"/>
      <c r="Y1784" s="11"/>
      <c r="Z1784" s="11"/>
      <c r="AA1784" s="11"/>
      <c r="AB1784" s="11"/>
      <c r="AC1784" s="11"/>
      <c r="AD1784" s="40"/>
      <c r="AE1784" s="11"/>
      <c r="AF1784" s="40"/>
      <c r="AI1784" s="11"/>
      <c r="AJ1784" s="11"/>
      <c r="AK1784" s="11"/>
      <c r="AL1784" s="11"/>
      <c r="AM1784" s="11"/>
      <c r="AN1784" s="11"/>
      <c r="AO1784" s="11"/>
      <c r="AY1784" s="11"/>
      <c r="BE1784" s="38"/>
      <c r="BF1784" s="38"/>
      <c r="BG1784" s="38"/>
      <c r="BH1784" s="11"/>
      <c r="BI1784" s="1"/>
      <c r="BJ1784" s="2"/>
      <c r="BK1784" s="1"/>
      <c r="BL1784" s="1"/>
      <c r="BM1784" s="7"/>
      <c r="BN1784" s="7"/>
      <c r="BO1784" s="1"/>
      <c r="BP1784" s="11"/>
      <c r="BQ1784" s="11"/>
    </row>
    <row r="1785" spans="1:69" x14ac:dyDescent="0.3">
      <c r="A1785" s="7"/>
      <c r="B1785" s="11"/>
      <c r="C1785" s="11"/>
      <c r="D1785" s="11"/>
      <c r="E1785" s="45"/>
      <c r="F1785" s="40"/>
      <c r="G1785" s="11"/>
      <c r="K1785" s="40"/>
      <c r="N1785" s="11"/>
      <c r="O1785" s="11"/>
      <c r="P1785" s="11"/>
      <c r="Q1785" s="11"/>
      <c r="R1785" s="11"/>
      <c r="S1785" s="11"/>
      <c r="T1785" s="11"/>
      <c r="U1785" s="11"/>
      <c r="V1785" s="11"/>
      <c r="W1785" s="11"/>
      <c r="X1785" s="11"/>
      <c r="Y1785" s="11"/>
      <c r="Z1785" s="11"/>
      <c r="AA1785" s="11"/>
      <c r="AB1785" s="11"/>
      <c r="AC1785" s="11"/>
      <c r="AD1785" s="40"/>
      <c r="AE1785" s="11"/>
      <c r="AF1785" s="40"/>
      <c r="AI1785" s="11"/>
      <c r="AJ1785" s="11"/>
      <c r="AK1785" s="11"/>
      <c r="AL1785" s="11"/>
      <c r="AM1785" s="11"/>
      <c r="AN1785" s="11"/>
      <c r="AO1785" s="11"/>
      <c r="AY1785" s="11"/>
      <c r="BE1785" s="38"/>
      <c r="BF1785" s="38"/>
      <c r="BG1785" s="38"/>
      <c r="BH1785" s="11"/>
      <c r="BI1785" s="1"/>
      <c r="BJ1785" s="2"/>
      <c r="BK1785" s="1"/>
      <c r="BL1785" s="1"/>
      <c r="BM1785" s="7"/>
      <c r="BN1785" s="7"/>
      <c r="BO1785" s="1"/>
      <c r="BP1785" s="11"/>
      <c r="BQ1785" s="11"/>
    </row>
    <row r="1786" spans="1:69" x14ac:dyDescent="0.3">
      <c r="A1786" s="7"/>
      <c r="B1786" s="11"/>
      <c r="C1786" s="11"/>
      <c r="D1786" s="11"/>
      <c r="E1786" s="45"/>
      <c r="F1786" s="40"/>
      <c r="G1786" s="11"/>
      <c r="K1786" s="40"/>
      <c r="N1786" s="11"/>
      <c r="O1786" s="11"/>
      <c r="P1786" s="11"/>
      <c r="Q1786" s="11"/>
      <c r="R1786" s="11"/>
      <c r="S1786" s="11"/>
      <c r="T1786" s="11"/>
      <c r="U1786" s="11"/>
      <c r="V1786" s="11"/>
      <c r="W1786" s="11"/>
      <c r="X1786" s="11"/>
      <c r="Y1786" s="11"/>
      <c r="Z1786" s="11"/>
      <c r="AA1786" s="11"/>
      <c r="AB1786" s="11"/>
      <c r="AC1786" s="11"/>
      <c r="AD1786" s="40"/>
      <c r="AE1786" s="11"/>
      <c r="AF1786" s="40"/>
      <c r="AI1786" s="11"/>
      <c r="AJ1786" s="11"/>
      <c r="AK1786" s="11"/>
      <c r="AL1786" s="11"/>
      <c r="AM1786" s="11"/>
      <c r="AN1786" s="11"/>
      <c r="AO1786" s="11"/>
      <c r="AY1786" s="11"/>
      <c r="BE1786" s="38"/>
      <c r="BF1786" s="38"/>
      <c r="BG1786" s="38"/>
      <c r="BH1786" s="11"/>
      <c r="BI1786" s="1"/>
      <c r="BJ1786" s="2"/>
      <c r="BK1786" s="1"/>
      <c r="BL1786" s="1"/>
      <c r="BM1786" s="7"/>
      <c r="BN1786" s="7"/>
      <c r="BO1786" s="1"/>
      <c r="BP1786" s="11"/>
      <c r="BQ1786" s="11"/>
    </row>
    <row r="1787" spans="1:69" x14ac:dyDescent="0.3">
      <c r="A1787" s="7"/>
      <c r="B1787" s="11"/>
      <c r="C1787" s="11"/>
      <c r="D1787" s="11"/>
      <c r="E1787" s="45"/>
      <c r="F1787" s="40"/>
      <c r="G1787" s="11"/>
      <c r="K1787" s="40"/>
      <c r="N1787" s="11"/>
      <c r="O1787" s="11"/>
      <c r="P1787" s="11"/>
      <c r="Q1787" s="11"/>
      <c r="R1787" s="11"/>
      <c r="S1787" s="11"/>
      <c r="T1787" s="11"/>
      <c r="U1787" s="11"/>
      <c r="V1787" s="11"/>
      <c r="W1787" s="11"/>
      <c r="X1787" s="11"/>
      <c r="Y1787" s="11"/>
      <c r="Z1787" s="11"/>
      <c r="AA1787" s="11"/>
      <c r="AB1787" s="11"/>
      <c r="AC1787" s="11"/>
      <c r="AD1787" s="40"/>
      <c r="AE1787" s="11"/>
      <c r="AF1787" s="40"/>
      <c r="AI1787" s="11"/>
      <c r="AJ1787" s="11"/>
      <c r="AK1787" s="11"/>
      <c r="AL1787" s="11"/>
      <c r="AM1787" s="11"/>
      <c r="AN1787" s="11"/>
      <c r="AO1787" s="11"/>
      <c r="AY1787" s="11"/>
      <c r="BE1787" s="38"/>
      <c r="BF1787" s="38"/>
      <c r="BG1787" s="38"/>
      <c r="BH1787" s="11"/>
      <c r="BI1787" s="1"/>
      <c r="BJ1787" s="2"/>
      <c r="BK1787" s="1"/>
      <c r="BL1787" s="1"/>
      <c r="BM1787" s="7"/>
      <c r="BN1787" s="7"/>
      <c r="BO1787" s="1"/>
      <c r="BP1787" s="11"/>
      <c r="BQ1787" s="11"/>
    </row>
    <row r="1788" spans="1:69" x14ac:dyDescent="0.3">
      <c r="A1788" s="7"/>
      <c r="B1788" s="11"/>
      <c r="C1788" s="11"/>
      <c r="D1788" s="11"/>
      <c r="E1788" s="45"/>
      <c r="F1788" s="40"/>
      <c r="G1788" s="11"/>
      <c r="K1788" s="40"/>
      <c r="N1788" s="11"/>
      <c r="O1788" s="11"/>
      <c r="P1788" s="11"/>
      <c r="Q1788" s="11"/>
      <c r="R1788" s="11"/>
      <c r="S1788" s="11"/>
      <c r="T1788" s="11"/>
      <c r="U1788" s="11"/>
      <c r="V1788" s="11"/>
      <c r="W1788" s="11"/>
      <c r="X1788" s="11"/>
      <c r="Y1788" s="11"/>
      <c r="Z1788" s="11"/>
      <c r="AA1788" s="11"/>
      <c r="AB1788" s="11"/>
      <c r="AC1788" s="11"/>
      <c r="AD1788" s="40"/>
      <c r="AE1788" s="11"/>
      <c r="AF1788" s="40"/>
      <c r="AI1788" s="11"/>
      <c r="AJ1788" s="11"/>
      <c r="AK1788" s="11"/>
      <c r="AL1788" s="11"/>
      <c r="AM1788" s="11"/>
      <c r="AN1788" s="11"/>
      <c r="AO1788" s="11"/>
      <c r="AY1788" s="11"/>
      <c r="BE1788" s="38"/>
      <c r="BF1788" s="38"/>
      <c r="BG1788" s="38"/>
      <c r="BH1788" s="11"/>
      <c r="BI1788" s="1"/>
      <c r="BJ1788" s="2"/>
      <c r="BK1788" s="1"/>
      <c r="BL1788" s="1"/>
      <c r="BM1788" s="7"/>
      <c r="BN1788" s="7"/>
      <c r="BO1788" s="1"/>
      <c r="BP1788" s="11"/>
      <c r="BQ1788" s="11"/>
    </row>
    <row r="1789" spans="1:69" x14ac:dyDescent="0.3">
      <c r="A1789" s="7"/>
      <c r="B1789" s="11"/>
      <c r="C1789" s="11"/>
      <c r="D1789" s="11"/>
      <c r="E1789" s="45"/>
      <c r="F1789" s="40"/>
      <c r="G1789" s="11"/>
      <c r="K1789" s="40"/>
      <c r="N1789" s="11"/>
      <c r="O1789" s="11"/>
      <c r="P1789" s="11"/>
      <c r="Q1789" s="11"/>
      <c r="R1789" s="11"/>
      <c r="S1789" s="11"/>
      <c r="T1789" s="11"/>
      <c r="U1789" s="11"/>
      <c r="V1789" s="11"/>
      <c r="W1789" s="11"/>
      <c r="X1789" s="11"/>
      <c r="Y1789" s="11"/>
      <c r="Z1789" s="11"/>
      <c r="AA1789" s="11"/>
      <c r="AB1789" s="11"/>
      <c r="AC1789" s="11"/>
      <c r="AD1789" s="40"/>
      <c r="AE1789" s="11"/>
      <c r="AF1789" s="40"/>
      <c r="AI1789" s="11"/>
      <c r="AJ1789" s="11"/>
      <c r="AK1789" s="11"/>
      <c r="AL1789" s="11"/>
      <c r="AM1789" s="11"/>
      <c r="AN1789" s="11"/>
      <c r="AO1789" s="11"/>
      <c r="AY1789" s="11"/>
      <c r="BE1789" s="38"/>
      <c r="BF1789" s="38"/>
      <c r="BG1789" s="38"/>
      <c r="BH1789" s="11"/>
      <c r="BI1789" s="1"/>
      <c r="BJ1789" s="2"/>
      <c r="BK1789" s="1"/>
      <c r="BL1789" s="1"/>
      <c r="BM1789" s="7"/>
      <c r="BN1789" s="7"/>
      <c r="BO1789" s="1"/>
      <c r="BP1789" s="11"/>
      <c r="BQ1789" s="11"/>
    </row>
    <row r="1790" spans="1:69" x14ac:dyDescent="0.3">
      <c r="A1790" s="7"/>
      <c r="B1790" s="11"/>
      <c r="C1790" s="11"/>
      <c r="D1790" s="11"/>
      <c r="E1790" s="45"/>
      <c r="F1790" s="40"/>
      <c r="G1790" s="11"/>
      <c r="K1790" s="40"/>
      <c r="N1790" s="11"/>
      <c r="O1790" s="11"/>
      <c r="P1790" s="11"/>
      <c r="Q1790" s="11"/>
      <c r="R1790" s="11"/>
      <c r="S1790" s="11"/>
      <c r="T1790" s="11"/>
      <c r="U1790" s="11"/>
      <c r="V1790" s="11"/>
      <c r="W1790" s="11"/>
      <c r="X1790" s="11"/>
      <c r="Y1790" s="11"/>
      <c r="Z1790" s="11"/>
      <c r="AA1790" s="11"/>
      <c r="AB1790" s="11"/>
      <c r="AC1790" s="11"/>
      <c r="AD1790" s="40"/>
      <c r="AE1790" s="11"/>
      <c r="AF1790" s="40"/>
      <c r="AI1790" s="11"/>
      <c r="AJ1790" s="11"/>
      <c r="AK1790" s="11"/>
      <c r="AL1790" s="11"/>
      <c r="AM1790" s="11"/>
      <c r="AN1790" s="11"/>
      <c r="AO1790" s="11"/>
      <c r="AY1790" s="11"/>
      <c r="BE1790" s="38"/>
      <c r="BF1790" s="38"/>
      <c r="BG1790" s="38"/>
      <c r="BH1790" s="11"/>
      <c r="BI1790" s="1"/>
      <c r="BJ1790" s="2"/>
      <c r="BK1790" s="1"/>
      <c r="BL1790" s="1"/>
      <c r="BM1790" s="7"/>
      <c r="BN1790" s="7"/>
      <c r="BO1790" s="1"/>
      <c r="BP1790" s="11"/>
      <c r="BQ1790" s="11"/>
    </row>
    <row r="1791" spans="1:69" x14ac:dyDescent="0.3">
      <c r="A1791" s="7"/>
      <c r="B1791" s="11"/>
      <c r="C1791" s="11"/>
      <c r="D1791" s="11"/>
      <c r="E1791" s="45"/>
      <c r="F1791" s="40"/>
      <c r="G1791" s="11"/>
      <c r="K1791" s="40"/>
      <c r="N1791" s="11"/>
      <c r="O1791" s="11"/>
      <c r="P1791" s="11"/>
      <c r="Q1791" s="11"/>
      <c r="R1791" s="11"/>
      <c r="S1791" s="11"/>
      <c r="T1791" s="11"/>
      <c r="U1791" s="11"/>
      <c r="V1791" s="11"/>
      <c r="W1791" s="11"/>
      <c r="X1791" s="11"/>
      <c r="Y1791" s="11"/>
      <c r="Z1791" s="11"/>
      <c r="AA1791" s="11"/>
      <c r="AB1791" s="11"/>
      <c r="AC1791" s="11"/>
      <c r="AD1791" s="40"/>
      <c r="AE1791" s="11"/>
      <c r="AF1791" s="40"/>
      <c r="AI1791" s="11"/>
      <c r="AJ1791" s="11"/>
      <c r="AK1791" s="11"/>
      <c r="AL1791" s="11"/>
      <c r="AM1791" s="11"/>
      <c r="AN1791" s="11"/>
      <c r="AO1791" s="11"/>
      <c r="AY1791" s="11"/>
      <c r="BE1791" s="38"/>
      <c r="BF1791" s="38"/>
      <c r="BG1791" s="38"/>
      <c r="BH1791" s="11"/>
      <c r="BI1791" s="1"/>
      <c r="BJ1791" s="2"/>
      <c r="BK1791" s="1"/>
      <c r="BL1791" s="1"/>
      <c r="BM1791" s="7"/>
      <c r="BN1791" s="7"/>
      <c r="BO1791" s="1"/>
      <c r="BP1791" s="11"/>
      <c r="BQ1791" s="11"/>
    </row>
    <row r="1792" spans="1:69" x14ac:dyDescent="0.3">
      <c r="A1792" s="7"/>
      <c r="B1792" s="11"/>
      <c r="C1792" s="11"/>
      <c r="D1792" s="11"/>
      <c r="E1792" s="45"/>
      <c r="F1792" s="40"/>
      <c r="G1792" s="11"/>
      <c r="K1792" s="40"/>
      <c r="N1792" s="11"/>
      <c r="O1792" s="11"/>
      <c r="P1792" s="11"/>
      <c r="Q1792" s="11"/>
      <c r="R1792" s="11"/>
      <c r="S1792" s="11"/>
      <c r="T1792" s="11"/>
      <c r="U1792" s="11"/>
      <c r="V1792" s="11"/>
      <c r="W1792" s="11"/>
      <c r="X1792" s="11"/>
      <c r="Y1792" s="11"/>
      <c r="Z1792" s="11"/>
      <c r="AA1792" s="11"/>
      <c r="AB1792" s="11"/>
      <c r="AC1792" s="11"/>
      <c r="AD1792" s="40"/>
      <c r="AE1792" s="11"/>
      <c r="AF1792" s="40"/>
      <c r="AI1792" s="11"/>
      <c r="AJ1792" s="11"/>
      <c r="AK1792" s="11"/>
      <c r="AL1792" s="11"/>
      <c r="AM1792" s="11"/>
      <c r="AN1792" s="11"/>
      <c r="AO1792" s="11"/>
      <c r="AY1792" s="11"/>
      <c r="BE1792" s="38"/>
      <c r="BF1792" s="38"/>
      <c r="BG1792" s="38"/>
      <c r="BH1792" s="11"/>
      <c r="BI1792" s="1"/>
      <c r="BJ1792" s="2"/>
      <c r="BK1792" s="1"/>
      <c r="BL1792" s="1"/>
      <c r="BM1792" s="7"/>
      <c r="BN1792" s="7"/>
      <c r="BO1792" s="1"/>
      <c r="BP1792" s="11"/>
      <c r="BQ1792" s="11"/>
    </row>
    <row r="1793" spans="1:69" x14ac:dyDescent="0.3">
      <c r="A1793" s="7"/>
      <c r="B1793" s="11"/>
      <c r="C1793" s="11"/>
      <c r="D1793" s="11"/>
      <c r="E1793" s="45"/>
      <c r="F1793" s="40"/>
      <c r="G1793" s="11"/>
      <c r="K1793" s="40"/>
      <c r="N1793" s="11"/>
      <c r="O1793" s="11"/>
      <c r="P1793" s="11"/>
      <c r="Q1793" s="11"/>
      <c r="R1793" s="11"/>
      <c r="S1793" s="11"/>
      <c r="T1793" s="11"/>
      <c r="U1793" s="11"/>
      <c r="V1793" s="11"/>
      <c r="W1793" s="11"/>
      <c r="X1793" s="11"/>
      <c r="Y1793" s="11"/>
      <c r="Z1793" s="11"/>
      <c r="AA1793" s="11"/>
      <c r="AB1793" s="11"/>
      <c r="AC1793" s="11"/>
      <c r="AD1793" s="40"/>
      <c r="AE1793" s="11"/>
      <c r="AF1793" s="40"/>
      <c r="AI1793" s="11"/>
      <c r="AJ1793" s="11"/>
      <c r="AK1793" s="11"/>
      <c r="AL1793" s="11"/>
      <c r="AM1793" s="11"/>
      <c r="AN1793" s="11"/>
      <c r="AO1793" s="11"/>
      <c r="AY1793" s="11"/>
      <c r="BE1793" s="38"/>
      <c r="BF1793" s="38"/>
      <c r="BG1793" s="38"/>
      <c r="BH1793" s="11"/>
      <c r="BI1793" s="1"/>
      <c r="BJ1793" s="2"/>
      <c r="BK1793" s="1"/>
      <c r="BL1793" s="1"/>
      <c r="BM1793" s="7"/>
      <c r="BN1793" s="7"/>
      <c r="BO1793" s="1"/>
      <c r="BP1793" s="11"/>
      <c r="BQ1793" s="11"/>
    </row>
    <row r="1794" spans="1:69" x14ac:dyDescent="0.3">
      <c r="A1794" s="7"/>
      <c r="B1794" s="11"/>
      <c r="C1794" s="11"/>
      <c r="D1794" s="11"/>
      <c r="E1794" s="45"/>
      <c r="F1794" s="40"/>
      <c r="G1794" s="11"/>
      <c r="K1794" s="40"/>
      <c r="N1794" s="11"/>
      <c r="O1794" s="11"/>
      <c r="P1794" s="11"/>
      <c r="Q1794" s="11"/>
      <c r="R1794" s="11"/>
      <c r="S1794" s="11"/>
      <c r="T1794" s="11"/>
      <c r="U1794" s="11"/>
      <c r="V1794" s="11"/>
      <c r="W1794" s="11"/>
      <c r="X1794" s="11"/>
      <c r="Y1794" s="11"/>
      <c r="Z1794" s="11"/>
      <c r="AA1794" s="11"/>
      <c r="AB1794" s="11"/>
      <c r="AC1794" s="11"/>
      <c r="AD1794" s="40"/>
      <c r="AE1794" s="11"/>
      <c r="AF1794" s="40"/>
      <c r="AI1794" s="11"/>
      <c r="AJ1794" s="11"/>
      <c r="AK1794" s="11"/>
      <c r="AL1794" s="11"/>
      <c r="AM1794" s="11"/>
      <c r="AN1794" s="11"/>
      <c r="AO1794" s="11"/>
      <c r="AY1794" s="11"/>
      <c r="BE1794" s="38"/>
      <c r="BF1794" s="38"/>
      <c r="BG1794" s="38"/>
      <c r="BH1794" s="11"/>
      <c r="BI1794" s="1"/>
      <c r="BJ1794" s="2"/>
      <c r="BK1794" s="1"/>
      <c r="BL1794" s="1"/>
      <c r="BM1794" s="7"/>
      <c r="BN1794" s="7"/>
      <c r="BO1794" s="1"/>
      <c r="BP1794" s="11"/>
      <c r="BQ1794" s="11"/>
    </row>
    <row r="1795" spans="1:69" x14ac:dyDescent="0.3">
      <c r="A1795" s="7"/>
      <c r="B1795" s="11"/>
      <c r="C1795" s="11"/>
      <c r="D1795" s="11"/>
      <c r="E1795" s="45"/>
      <c r="F1795" s="40"/>
      <c r="G1795" s="11"/>
      <c r="K1795" s="40"/>
      <c r="N1795" s="11"/>
      <c r="O1795" s="11"/>
      <c r="P1795" s="11"/>
      <c r="Q1795" s="11"/>
      <c r="R1795" s="11"/>
      <c r="S1795" s="11"/>
      <c r="T1795" s="11"/>
      <c r="U1795" s="11"/>
      <c r="V1795" s="11"/>
      <c r="W1795" s="11"/>
      <c r="X1795" s="11"/>
      <c r="Y1795" s="11"/>
      <c r="Z1795" s="11"/>
      <c r="AA1795" s="11"/>
      <c r="AB1795" s="11"/>
      <c r="AC1795" s="11"/>
      <c r="AD1795" s="40"/>
      <c r="AE1795" s="11"/>
      <c r="AF1795" s="40"/>
      <c r="AI1795" s="11"/>
      <c r="AJ1795" s="11"/>
      <c r="AK1795" s="11"/>
      <c r="AL1795" s="11"/>
      <c r="AM1795" s="11"/>
      <c r="AN1795" s="11"/>
      <c r="AO1795" s="11"/>
      <c r="AY1795" s="11"/>
      <c r="BE1795" s="38"/>
      <c r="BF1795" s="38"/>
      <c r="BG1795" s="38"/>
      <c r="BH1795" s="11"/>
      <c r="BI1795" s="1"/>
      <c r="BJ1795" s="2"/>
      <c r="BK1795" s="1"/>
      <c r="BL1795" s="1"/>
      <c r="BM1795" s="7"/>
      <c r="BN1795" s="7"/>
      <c r="BO1795" s="1"/>
      <c r="BP1795" s="11"/>
      <c r="BQ1795" s="11"/>
    </row>
    <row r="1796" spans="1:69" x14ac:dyDescent="0.3">
      <c r="A1796" s="7"/>
      <c r="B1796" s="11"/>
      <c r="C1796" s="11"/>
      <c r="D1796" s="11"/>
      <c r="E1796" s="45"/>
      <c r="F1796" s="40"/>
      <c r="G1796" s="11"/>
      <c r="K1796" s="40"/>
      <c r="N1796" s="11"/>
      <c r="O1796" s="11"/>
      <c r="P1796" s="11"/>
      <c r="Q1796" s="11"/>
      <c r="R1796" s="11"/>
      <c r="S1796" s="11"/>
      <c r="T1796" s="11"/>
      <c r="U1796" s="11"/>
      <c r="V1796" s="11"/>
      <c r="W1796" s="11"/>
      <c r="X1796" s="11"/>
      <c r="Y1796" s="11"/>
      <c r="Z1796" s="11"/>
      <c r="AA1796" s="11"/>
      <c r="AB1796" s="11"/>
      <c r="AC1796" s="11"/>
      <c r="AD1796" s="40"/>
      <c r="AE1796" s="11"/>
      <c r="AF1796" s="40"/>
      <c r="AI1796" s="11"/>
      <c r="AJ1796" s="11"/>
      <c r="AK1796" s="11"/>
      <c r="AL1796" s="11"/>
      <c r="AM1796" s="11"/>
      <c r="AN1796" s="11"/>
      <c r="AO1796" s="11"/>
      <c r="AY1796" s="11"/>
      <c r="BE1796" s="38"/>
      <c r="BF1796" s="38"/>
      <c r="BG1796" s="38"/>
      <c r="BH1796" s="11"/>
      <c r="BI1796" s="1"/>
      <c r="BJ1796" s="2"/>
      <c r="BK1796" s="1"/>
      <c r="BL1796" s="1"/>
      <c r="BM1796" s="7"/>
      <c r="BN1796" s="7"/>
      <c r="BO1796" s="1"/>
      <c r="BP1796" s="11"/>
      <c r="BQ1796" s="11"/>
    </row>
    <row r="1797" spans="1:69" x14ac:dyDescent="0.3">
      <c r="A1797" s="7"/>
      <c r="B1797" s="11"/>
      <c r="C1797" s="11"/>
      <c r="D1797" s="11"/>
      <c r="E1797" s="45"/>
      <c r="F1797" s="40"/>
      <c r="G1797" s="11"/>
      <c r="K1797" s="40"/>
      <c r="N1797" s="11"/>
      <c r="O1797" s="11"/>
      <c r="P1797" s="11"/>
      <c r="Q1797" s="11"/>
      <c r="R1797" s="11"/>
      <c r="S1797" s="11"/>
      <c r="T1797" s="11"/>
      <c r="U1797" s="11"/>
      <c r="V1797" s="11"/>
      <c r="W1797" s="11"/>
      <c r="X1797" s="11"/>
      <c r="Y1797" s="11"/>
      <c r="Z1797" s="11"/>
      <c r="AA1797" s="11"/>
      <c r="AB1797" s="11"/>
      <c r="AC1797" s="11"/>
      <c r="AD1797" s="40"/>
      <c r="AE1797" s="11"/>
      <c r="AF1797" s="40"/>
      <c r="AI1797" s="11"/>
      <c r="AJ1797" s="11"/>
      <c r="AK1797" s="11"/>
      <c r="AL1797" s="11"/>
      <c r="AM1797" s="11"/>
      <c r="AN1797" s="11"/>
      <c r="AO1797" s="11"/>
      <c r="AY1797" s="11"/>
      <c r="BE1797" s="38"/>
      <c r="BF1797" s="38"/>
      <c r="BG1797" s="38"/>
      <c r="BH1797" s="11"/>
      <c r="BI1797" s="1"/>
      <c r="BJ1797" s="2"/>
      <c r="BK1797" s="1"/>
      <c r="BL1797" s="1"/>
      <c r="BM1797" s="7"/>
      <c r="BN1797" s="7"/>
      <c r="BO1797" s="1"/>
      <c r="BP1797" s="11"/>
      <c r="BQ1797" s="11"/>
    </row>
    <row r="1798" spans="1:69" x14ac:dyDescent="0.3">
      <c r="A1798" s="7"/>
      <c r="B1798" s="11"/>
      <c r="C1798" s="11"/>
      <c r="D1798" s="11"/>
      <c r="E1798" s="45"/>
      <c r="F1798" s="40"/>
      <c r="G1798" s="11"/>
      <c r="K1798" s="40"/>
      <c r="N1798" s="11"/>
      <c r="O1798" s="11"/>
      <c r="P1798" s="11"/>
      <c r="Q1798" s="11"/>
      <c r="R1798" s="11"/>
      <c r="S1798" s="11"/>
      <c r="T1798" s="11"/>
      <c r="U1798" s="11"/>
      <c r="V1798" s="11"/>
      <c r="W1798" s="11"/>
      <c r="X1798" s="11"/>
      <c r="Y1798" s="11"/>
      <c r="Z1798" s="11"/>
      <c r="AA1798" s="11"/>
      <c r="AB1798" s="11"/>
      <c r="AC1798" s="11"/>
      <c r="AD1798" s="40"/>
      <c r="AE1798" s="11"/>
      <c r="AF1798" s="40"/>
      <c r="AI1798" s="11"/>
      <c r="AJ1798" s="11"/>
      <c r="AK1798" s="11"/>
      <c r="AL1798" s="11"/>
      <c r="AM1798" s="11"/>
      <c r="AN1798" s="11"/>
      <c r="AO1798" s="11"/>
      <c r="AY1798" s="11"/>
      <c r="BE1798" s="38"/>
      <c r="BF1798" s="38"/>
      <c r="BG1798" s="38"/>
      <c r="BH1798" s="11"/>
      <c r="BI1798" s="1"/>
      <c r="BJ1798" s="2"/>
      <c r="BK1798" s="1"/>
      <c r="BL1798" s="1"/>
      <c r="BM1798" s="7"/>
      <c r="BN1798" s="7"/>
      <c r="BO1798" s="1"/>
      <c r="BP1798" s="11"/>
      <c r="BQ1798" s="11"/>
    </row>
    <row r="1799" spans="1:69" x14ac:dyDescent="0.3">
      <c r="A1799" s="7"/>
      <c r="B1799" s="11"/>
      <c r="C1799" s="11"/>
      <c r="D1799" s="11"/>
      <c r="E1799" s="45"/>
      <c r="F1799" s="40"/>
      <c r="G1799" s="11"/>
      <c r="K1799" s="40"/>
      <c r="N1799" s="11"/>
      <c r="O1799" s="11"/>
      <c r="P1799" s="11"/>
      <c r="Q1799" s="11"/>
      <c r="R1799" s="11"/>
      <c r="S1799" s="11"/>
      <c r="T1799" s="11"/>
      <c r="U1799" s="11"/>
      <c r="V1799" s="11"/>
      <c r="W1799" s="11"/>
      <c r="X1799" s="11"/>
      <c r="Y1799" s="11"/>
      <c r="Z1799" s="11"/>
      <c r="AA1799" s="11"/>
      <c r="AB1799" s="11"/>
      <c r="AC1799" s="11"/>
      <c r="AD1799" s="40"/>
      <c r="AE1799" s="11"/>
      <c r="AF1799" s="40"/>
      <c r="AI1799" s="11"/>
      <c r="AJ1799" s="11"/>
      <c r="AK1799" s="11"/>
      <c r="AL1799" s="11"/>
      <c r="AM1799" s="11"/>
      <c r="AN1799" s="11"/>
      <c r="AO1799" s="11"/>
      <c r="AY1799" s="11"/>
      <c r="BE1799" s="38"/>
      <c r="BF1799" s="38"/>
      <c r="BG1799" s="38"/>
      <c r="BH1799" s="11"/>
      <c r="BI1799" s="1"/>
      <c r="BJ1799" s="2"/>
      <c r="BK1799" s="1"/>
      <c r="BL1799" s="1"/>
      <c r="BM1799" s="7"/>
      <c r="BN1799" s="7"/>
      <c r="BO1799" s="1"/>
      <c r="BP1799" s="11"/>
      <c r="BQ1799" s="11"/>
    </row>
    <row r="1800" spans="1:69" x14ac:dyDescent="0.3">
      <c r="A1800" s="7"/>
      <c r="B1800" s="11"/>
      <c r="C1800" s="11"/>
      <c r="D1800" s="11"/>
      <c r="E1800" s="45"/>
      <c r="F1800" s="40"/>
      <c r="G1800" s="11"/>
      <c r="K1800" s="40"/>
      <c r="N1800" s="11"/>
      <c r="O1800" s="11"/>
      <c r="P1800" s="11"/>
      <c r="Q1800" s="11"/>
      <c r="R1800" s="11"/>
      <c r="S1800" s="11"/>
      <c r="T1800" s="11"/>
      <c r="U1800" s="11"/>
      <c r="V1800" s="11"/>
      <c r="W1800" s="11"/>
      <c r="X1800" s="11"/>
      <c r="Y1800" s="11"/>
      <c r="Z1800" s="11"/>
      <c r="AA1800" s="11"/>
      <c r="AB1800" s="11"/>
      <c r="AC1800" s="11"/>
      <c r="AD1800" s="40"/>
      <c r="AE1800" s="11"/>
      <c r="AF1800" s="40"/>
      <c r="AI1800" s="11"/>
      <c r="AJ1800" s="11"/>
      <c r="AK1800" s="11"/>
      <c r="AL1800" s="11"/>
      <c r="AM1800" s="11"/>
      <c r="AN1800" s="11"/>
      <c r="AO1800" s="11"/>
      <c r="AY1800" s="11"/>
      <c r="BE1800" s="38"/>
      <c r="BF1800" s="38"/>
      <c r="BG1800" s="38"/>
      <c r="BH1800" s="11"/>
      <c r="BI1800" s="1"/>
      <c r="BJ1800" s="2"/>
      <c r="BK1800" s="1"/>
      <c r="BL1800" s="1"/>
      <c r="BM1800" s="7"/>
      <c r="BN1800" s="7"/>
      <c r="BO1800" s="1"/>
      <c r="BP1800" s="11"/>
      <c r="BQ1800" s="11"/>
    </row>
    <row r="1801" spans="1:69" x14ac:dyDescent="0.3">
      <c r="A1801" s="7"/>
      <c r="B1801" s="11"/>
      <c r="C1801" s="11"/>
      <c r="D1801" s="11"/>
      <c r="E1801" s="45"/>
      <c r="F1801" s="40"/>
      <c r="G1801" s="11"/>
      <c r="K1801" s="40"/>
      <c r="N1801" s="11"/>
      <c r="O1801" s="11"/>
      <c r="P1801" s="11"/>
      <c r="Q1801" s="11"/>
      <c r="R1801" s="11"/>
      <c r="S1801" s="11"/>
      <c r="T1801" s="11"/>
      <c r="U1801" s="11"/>
      <c r="V1801" s="11"/>
      <c r="W1801" s="11"/>
      <c r="X1801" s="11"/>
      <c r="Y1801" s="11"/>
      <c r="Z1801" s="11"/>
      <c r="AA1801" s="11"/>
      <c r="AB1801" s="11"/>
      <c r="AC1801" s="11"/>
      <c r="AD1801" s="40"/>
      <c r="AE1801" s="11"/>
      <c r="AF1801" s="40"/>
      <c r="AI1801" s="11"/>
      <c r="AJ1801" s="11"/>
      <c r="AK1801" s="11"/>
      <c r="AL1801" s="11"/>
      <c r="AM1801" s="11"/>
      <c r="AN1801" s="11"/>
      <c r="AO1801" s="11"/>
      <c r="AY1801" s="11"/>
      <c r="BE1801" s="38"/>
      <c r="BF1801" s="38"/>
      <c r="BG1801" s="38"/>
      <c r="BH1801" s="11"/>
      <c r="BI1801" s="1"/>
      <c r="BJ1801" s="2"/>
      <c r="BK1801" s="1"/>
      <c r="BL1801" s="1"/>
      <c r="BM1801" s="7"/>
      <c r="BN1801" s="7"/>
      <c r="BO1801" s="1"/>
      <c r="BP1801" s="11"/>
      <c r="BQ1801" s="11"/>
    </row>
    <row r="1802" spans="1:69" x14ac:dyDescent="0.3">
      <c r="A1802" s="7"/>
      <c r="B1802" s="11"/>
      <c r="C1802" s="11"/>
      <c r="D1802" s="11"/>
      <c r="E1802" s="45"/>
      <c r="F1802" s="40"/>
      <c r="G1802" s="11"/>
      <c r="K1802" s="40"/>
      <c r="N1802" s="11"/>
      <c r="O1802" s="11"/>
      <c r="P1802" s="11"/>
      <c r="Q1802" s="11"/>
      <c r="R1802" s="11"/>
      <c r="S1802" s="11"/>
      <c r="T1802" s="11"/>
      <c r="U1802" s="11"/>
      <c r="V1802" s="11"/>
      <c r="W1802" s="11"/>
      <c r="X1802" s="11"/>
      <c r="Y1802" s="11"/>
      <c r="Z1802" s="11"/>
      <c r="AA1802" s="11"/>
      <c r="AB1802" s="11"/>
      <c r="AC1802" s="11"/>
      <c r="AD1802" s="40"/>
      <c r="AE1802" s="11"/>
      <c r="AF1802" s="40"/>
      <c r="AI1802" s="11"/>
      <c r="AJ1802" s="11"/>
      <c r="AK1802" s="11"/>
      <c r="AL1802" s="11"/>
      <c r="AM1802" s="11"/>
      <c r="AN1802" s="11"/>
      <c r="AO1802" s="11"/>
      <c r="AY1802" s="11"/>
      <c r="BE1802" s="38"/>
      <c r="BF1802" s="38"/>
      <c r="BG1802" s="38"/>
      <c r="BH1802" s="11"/>
      <c r="BI1802" s="1"/>
      <c r="BJ1802" s="2"/>
      <c r="BK1802" s="1"/>
      <c r="BL1802" s="1"/>
      <c r="BM1802" s="7"/>
      <c r="BN1802" s="7"/>
      <c r="BO1802" s="1"/>
      <c r="BP1802" s="11"/>
      <c r="BQ1802" s="11"/>
    </row>
    <row r="1803" spans="1:69" x14ac:dyDescent="0.3">
      <c r="A1803" s="7"/>
      <c r="B1803" s="11"/>
      <c r="C1803" s="11"/>
      <c r="D1803" s="11"/>
      <c r="E1803" s="45"/>
      <c r="F1803" s="40"/>
      <c r="G1803" s="11"/>
      <c r="K1803" s="40"/>
      <c r="N1803" s="11"/>
      <c r="O1803" s="11"/>
      <c r="P1803" s="11"/>
      <c r="Q1803" s="11"/>
      <c r="R1803" s="11"/>
      <c r="S1803" s="11"/>
      <c r="T1803" s="11"/>
      <c r="U1803" s="11"/>
      <c r="V1803" s="11"/>
      <c r="W1803" s="11"/>
      <c r="X1803" s="11"/>
      <c r="Y1803" s="11"/>
      <c r="Z1803" s="11"/>
      <c r="AA1803" s="11"/>
      <c r="AB1803" s="11"/>
      <c r="AC1803" s="11"/>
      <c r="AD1803" s="40"/>
      <c r="AE1803" s="11"/>
      <c r="AF1803" s="40"/>
      <c r="AI1803" s="11"/>
      <c r="AJ1803" s="11"/>
      <c r="AK1803" s="11"/>
      <c r="AL1803" s="11"/>
      <c r="AM1803" s="11"/>
      <c r="AN1803" s="11"/>
      <c r="AO1803" s="11"/>
      <c r="AY1803" s="11"/>
      <c r="BE1803" s="38"/>
      <c r="BF1803" s="38"/>
      <c r="BG1803" s="38"/>
      <c r="BH1803" s="11"/>
      <c r="BI1803" s="1"/>
      <c r="BJ1803" s="2"/>
      <c r="BK1803" s="1"/>
      <c r="BL1803" s="1"/>
      <c r="BM1803" s="7"/>
      <c r="BN1803" s="7"/>
      <c r="BO1803" s="1"/>
      <c r="BP1803" s="11"/>
      <c r="BQ1803" s="11"/>
    </row>
    <row r="1804" spans="1:69" x14ac:dyDescent="0.3">
      <c r="A1804" s="7"/>
      <c r="B1804" s="11"/>
      <c r="C1804" s="11"/>
      <c r="D1804" s="11"/>
      <c r="E1804" s="45"/>
      <c r="F1804" s="40"/>
      <c r="G1804" s="11"/>
      <c r="K1804" s="40"/>
      <c r="N1804" s="11"/>
      <c r="O1804" s="11"/>
      <c r="P1804" s="11"/>
      <c r="Q1804" s="11"/>
      <c r="R1804" s="11"/>
      <c r="S1804" s="11"/>
      <c r="T1804" s="11"/>
      <c r="U1804" s="11"/>
      <c r="V1804" s="11"/>
      <c r="W1804" s="11"/>
      <c r="X1804" s="11"/>
      <c r="Y1804" s="11"/>
      <c r="Z1804" s="11"/>
      <c r="AA1804" s="11"/>
      <c r="AB1804" s="11"/>
      <c r="AC1804" s="11"/>
      <c r="AD1804" s="40"/>
      <c r="AE1804" s="11"/>
      <c r="AF1804" s="40"/>
      <c r="AI1804" s="11"/>
      <c r="AJ1804" s="11"/>
      <c r="AK1804" s="11"/>
      <c r="AL1804" s="11"/>
      <c r="AM1804" s="11"/>
      <c r="AN1804" s="11"/>
      <c r="AO1804" s="11"/>
      <c r="AY1804" s="11"/>
      <c r="BE1804" s="38"/>
      <c r="BF1804" s="38"/>
      <c r="BG1804" s="38"/>
      <c r="BH1804" s="11"/>
      <c r="BI1804" s="1"/>
      <c r="BJ1804" s="2"/>
      <c r="BK1804" s="1"/>
      <c r="BL1804" s="1"/>
      <c r="BM1804" s="7"/>
      <c r="BN1804" s="7"/>
      <c r="BO1804" s="1"/>
      <c r="BP1804" s="11"/>
      <c r="BQ1804" s="11"/>
    </row>
    <row r="1805" spans="1:69" x14ac:dyDescent="0.3">
      <c r="A1805" s="7"/>
      <c r="B1805" s="11"/>
      <c r="C1805" s="11"/>
      <c r="D1805" s="11"/>
      <c r="E1805" s="45"/>
      <c r="F1805" s="40"/>
      <c r="G1805" s="11"/>
      <c r="K1805" s="40"/>
      <c r="N1805" s="11"/>
      <c r="O1805" s="11"/>
      <c r="P1805" s="11"/>
      <c r="Q1805" s="11"/>
      <c r="R1805" s="11"/>
      <c r="S1805" s="11"/>
      <c r="T1805" s="11"/>
      <c r="U1805" s="11"/>
      <c r="V1805" s="11"/>
      <c r="W1805" s="11"/>
      <c r="X1805" s="11"/>
      <c r="Y1805" s="11"/>
      <c r="Z1805" s="11"/>
      <c r="AA1805" s="11"/>
      <c r="AB1805" s="11"/>
      <c r="AC1805" s="11"/>
      <c r="AD1805" s="40"/>
      <c r="AE1805" s="11"/>
      <c r="AF1805" s="40"/>
      <c r="AI1805" s="11"/>
      <c r="AJ1805" s="11"/>
      <c r="AK1805" s="11"/>
      <c r="AL1805" s="11"/>
      <c r="AM1805" s="11"/>
      <c r="AN1805" s="11"/>
      <c r="AO1805" s="11"/>
      <c r="AY1805" s="11"/>
      <c r="BE1805" s="38"/>
      <c r="BF1805" s="38"/>
      <c r="BG1805" s="38"/>
      <c r="BH1805" s="11"/>
      <c r="BI1805" s="1"/>
      <c r="BJ1805" s="2"/>
      <c r="BK1805" s="1"/>
      <c r="BL1805" s="1"/>
      <c r="BM1805" s="7"/>
      <c r="BN1805" s="7"/>
      <c r="BO1805" s="1"/>
      <c r="BP1805" s="11"/>
      <c r="BQ1805" s="11"/>
    </row>
    <row r="1806" spans="1:69" x14ac:dyDescent="0.3">
      <c r="A1806" s="7"/>
      <c r="B1806" s="11"/>
      <c r="C1806" s="11"/>
      <c r="D1806" s="11"/>
      <c r="E1806" s="45"/>
      <c r="F1806" s="40"/>
      <c r="G1806" s="11"/>
      <c r="K1806" s="40"/>
      <c r="N1806" s="11"/>
      <c r="O1806" s="11"/>
      <c r="P1806" s="11"/>
      <c r="Q1806" s="11"/>
      <c r="R1806" s="11"/>
      <c r="S1806" s="11"/>
      <c r="T1806" s="11"/>
      <c r="U1806" s="11"/>
      <c r="V1806" s="11"/>
      <c r="W1806" s="11"/>
      <c r="X1806" s="11"/>
      <c r="Y1806" s="11"/>
      <c r="Z1806" s="11"/>
      <c r="AA1806" s="11"/>
      <c r="AB1806" s="11"/>
      <c r="AC1806" s="11"/>
      <c r="AD1806" s="40"/>
      <c r="AE1806" s="11"/>
      <c r="AF1806" s="40"/>
      <c r="AI1806" s="11"/>
      <c r="AJ1806" s="11"/>
      <c r="AK1806" s="11"/>
      <c r="AL1806" s="11"/>
      <c r="AM1806" s="11"/>
      <c r="AN1806" s="11"/>
      <c r="AO1806" s="11"/>
      <c r="AY1806" s="11"/>
      <c r="BE1806" s="38"/>
      <c r="BF1806" s="38"/>
      <c r="BG1806" s="38"/>
      <c r="BH1806" s="11"/>
      <c r="BI1806" s="1"/>
      <c r="BJ1806" s="2"/>
      <c r="BK1806" s="1"/>
      <c r="BL1806" s="1"/>
      <c r="BM1806" s="7"/>
      <c r="BN1806" s="7"/>
      <c r="BO1806" s="1"/>
      <c r="BP1806" s="11"/>
      <c r="BQ1806" s="11"/>
    </row>
    <row r="1807" spans="1:69" x14ac:dyDescent="0.3">
      <c r="A1807" s="7"/>
      <c r="B1807" s="11"/>
      <c r="C1807" s="11"/>
      <c r="D1807" s="11"/>
      <c r="E1807" s="45"/>
      <c r="F1807" s="40"/>
      <c r="G1807" s="11"/>
      <c r="K1807" s="40"/>
      <c r="N1807" s="11"/>
      <c r="O1807" s="11"/>
      <c r="P1807" s="11"/>
      <c r="Q1807" s="11"/>
      <c r="R1807" s="11"/>
      <c r="S1807" s="11"/>
      <c r="T1807" s="11"/>
      <c r="U1807" s="11"/>
      <c r="V1807" s="11"/>
      <c r="W1807" s="11"/>
      <c r="X1807" s="11"/>
      <c r="Y1807" s="11"/>
      <c r="Z1807" s="11"/>
      <c r="AA1807" s="11"/>
      <c r="AB1807" s="11"/>
      <c r="AC1807" s="11"/>
      <c r="AD1807" s="40"/>
      <c r="AE1807" s="11"/>
      <c r="AF1807" s="40"/>
      <c r="AI1807" s="11"/>
      <c r="AJ1807" s="11"/>
      <c r="AK1807" s="11"/>
      <c r="AL1807" s="11"/>
      <c r="AM1807" s="11"/>
      <c r="AN1807" s="11"/>
      <c r="AO1807" s="11"/>
      <c r="AY1807" s="11"/>
      <c r="BE1807" s="38"/>
      <c r="BF1807" s="38"/>
      <c r="BG1807" s="38"/>
      <c r="BH1807" s="11"/>
      <c r="BI1807" s="1"/>
      <c r="BJ1807" s="2"/>
      <c r="BK1807" s="1"/>
      <c r="BL1807" s="1"/>
      <c r="BM1807" s="7"/>
      <c r="BN1807" s="7"/>
      <c r="BO1807" s="1"/>
      <c r="BP1807" s="11"/>
      <c r="BQ1807" s="11"/>
    </row>
    <row r="1808" spans="1:69" x14ac:dyDescent="0.3">
      <c r="A1808" s="7"/>
      <c r="B1808" s="11"/>
      <c r="C1808" s="11"/>
      <c r="D1808" s="11"/>
      <c r="E1808" s="45"/>
      <c r="F1808" s="40"/>
      <c r="G1808" s="11"/>
      <c r="K1808" s="40"/>
      <c r="N1808" s="11"/>
      <c r="O1808" s="11"/>
      <c r="P1808" s="11"/>
      <c r="Q1808" s="11"/>
      <c r="R1808" s="11"/>
      <c r="S1808" s="11"/>
      <c r="T1808" s="11"/>
      <c r="U1808" s="11"/>
      <c r="V1808" s="11"/>
      <c r="W1808" s="11"/>
      <c r="X1808" s="11"/>
      <c r="Y1808" s="11"/>
      <c r="Z1808" s="11"/>
      <c r="AA1808" s="11"/>
      <c r="AB1808" s="11"/>
      <c r="AC1808" s="11"/>
      <c r="AD1808" s="40"/>
      <c r="AE1808" s="11"/>
      <c r="AF1808" s="40"/>
      <c r="AI1808" s="11"/>
      <c r="AJ1808" s="11"/>
      <c r="AK1808" s="11"/>
      <c r="AL1808" s="11"/>
      <c r="AM1808" s="11"/>
      <c r="AN1808" s="11"/>
      <c r="AO1808" s="11"/>
      <c r="AY1808" s="11"/>
      <c r="BE1808" s="38"/>
      <c r="BF1808" s="38"/>
      <c r="BG1808" s="38"/>
      <c r="BH1808" s="11"/>
      <c r="BI1808" s="1"/>
      <c r="BJ1808" s="2"/>
      <c r="BK1808" s="1"/>
      <c r="BL1808" s="1"/>
      <c r="BM1808" s="7"/>
      <c r="BN1808" s="7"/>
      <c r="BO1808" s="1"/>
      <c r="BP1808" s="11"/>
      <c r="BQ1808" s="11"/>
    </row>
    <row r="1809" spans="1:69" x14ac:dyDescent="0.3">
      <c r="A1809" s="7"/>
      <c r="B1809" s="11"/>
      <c r="C1809" s="11"/>
      <c r="D1809" s="11"/>
      <c r="E1809" s="45"/>
      <c r="F1809" s="40"/>
      <c r="G1809" s="11"/>
      <c r="K1809" s="40"/>
      <c r="N1809" s="11"/>
      <c r="O1809" s="11"/>
      <c r="P1809" s="11"/>
      <c r="Q1809" s="11"/>
      <c r="R1809" s="11"/>
      <c r="S1809" s="11"/>
      <c r="T1809" s="11"/>
      <c r="U1809" s="11"/>
      <c r="V1809" s="11"/>
      <c r="W1809" s="11"/>
      <c r="X1809" s="11"/>
      <c r="Y1809" s="11"/>
      <c r="Z1809" s="11"/>
      <c r="AA1809" s="11"/>
      <c r="AB1809" s="11"/>
      <c r="AC1809" s="11"/>
      <c r="AD1809" s="40"/>
      <c r="AE1809" s="11"/>
      <c r="AF1809" s="40"/>
      <c r="AI1809" s="11"/>
      <c r="AJ1809" s="11"/>
      <c r="AK1809" s="11"/>
      <c r="AL1809" s="11"/>
      <c r="AM1809" s="11"/>
      <c r="AN1809" s="11"/>
      <c r="AO1809" s="11"/>
      <c r="AY1809" s="11"/>
      <c r="BE1809" s="38"/>
      <c r="BF1809" s="38"/>
      <c r="BG1809" s="38"/>
      <c r="BH1809" s="11"/>
      <c r="BI1809" s="1"/>
      <c r="BJ1809" s="2"/>
      <c r="BK1809" s="1"/>
      <c r="BL1809" s="1"/>
      <c r="BM1809" s="7"/>
      <c r="BN1809" s="7"/>
      <c r="BO1809" s="1"/>
      <c r="BP1809" s="11"/>
      <c r="BQ1809" s="11"/>
    </row>
    <row r="1810" spans="1:69" x14ac:dyDescent="0.3">
      <c r="A1810" s="7"/>
      <c r="B1810" s="11"/>
      <c r="C1810" s="11"/>
      <c r="D1810" s="11"/>
      <c r="E1810" s="45"/>
      <c r="F1810" s="40"/>
      <c r="G1810" s="11"/>
      <c r="K1810" s="40"/>
      <c r="N1810" s="11"/>
      <c r="O1810" s="11"/>
      <c r="P1810" s="11"/>
      <c r="Q1810" s="11"/>
      <c r="R1810" s="11"/>
      <c r="S1810" s="11"/>
      <c r="T1810" s="11"/>
      <c r="U1810" s="11"/>
      <c r="V1810" s="11"/>
      <c r="W1810" s="11"/>
      <c r="X1810" s="11"/>
      <c r="Y1810" s="11"/>
      <c r="Z1810" s="11"/>
      <c r="AA1810" s="11"/>
      <c r="AB1810" s="11"/>
      <c r="AC1810" s="11"/>
      <c r="AD1810" s="40"/>
      <c r="AE1810" s="11"/>
      <c r="AF1810" s="40"/>
      <c r="AI1810" s="11"/>
      <c r="AJ1810" s="11"/>
      <c r="AK1810" s="11"/>
      <c r="AL1810" s="11"/>
      <c r="AM1810" s="11"/>
      <c r="AN1810" s="11"/>
      <c r="AO1810" s="11"/>
      <c r="AY1810" s="11"/>
      <c r="BE1810" s="38"/>
      <c r="BF1810" s="38"/>
      <c r="BG1810" s="38"/>
      <c r="BH1810" s="11"/>
      <c r="BI1810" s="1"/>
      <c r="BJ1810" s="2"/>
      <c r="BK1810" s="1"/>
      <c r="BL1810" s="1"/>
      <c r="BM1810" s="7"/>
      <c r="BN1810" s="7"/>
      <c r="BO1810" s="1"/>
      <c r="BP1810" s="11"/>
      <c r="BQ1810" s="11"/>
    </row>
    <row r="1811" spans="1:69" x14ac:dyDescent="0.3">
      <c r="A1811" s="7"/>
      <c r="B1811" s="11"/>
      <c r="C1811" s="11"/>
      <c r="D1811" s="11"/>
      <c r="E1811" s="45"/>
      <c r="F1811" s="40"/>
      <c r="G1811" s="11"/>
      <c r="K1811" s="40"/>
      <c r="N1811" s="11"/>
      <c r="O1811" s="11"/>
      <c r="P1811" s="11"/>
      <c r="Q1811" s="11"/>
      <c r="R1811" s="11"/>
      <c r="S1811" s="11"/>
      <c r="T1811" s="11"/>
      <c r="U1811" s="11"/>
      <c r="V1811" s="11"/>
      <c r="W1811" s="11"/>
      <c r="X1811" s="11"/>
      <c r="Y1811" s="11"/>
      <c r="Z1811" s="11"/>
      <c r="AA1811" s="11"/>
      <c r="AB1811" s="11"/>
      <c r="AC1811" s="11"/>
      <c r="AD1811" s="40"/>
      <c r="AE1811" s="11"/>
      <c r="AF1811" s="40"/>
      <c r="AI1811" s="11"/>
      <c r="AJ1811" s="11"/>
      <c r="AK1811" s="11"/>
      <c r="AL1811" s="11"/>
      <c r="AM1811" s="11"/>
      <c r="AN1811" s="11"/>
      <c r="AO1811" s="11"/>
      <c r="AY1811" s="11"/>
      <c r="BE1811" s="38"/>
      <c r="BF1811" s="38"/>
      <c r="BG1811" s="38"/>
      <c r="BH1811" s="11"/>
      <c r="BI1811" s="1"/>
      <c r="BJ1811" s="2"/>
      <c r="BK1811" s="1"/>
      <c r="BL1811" s="1"/>
      <c r="BM1811" s="7"/>
      <c r="BN1811" s="7"/>
      <c r="BO1811" s="1"/>
      <c r="BP1811" s="11"/>
      <c r="BQ1811" s="11"/>
    </row>
    <row r="1812" spans="1:69" x14ac:dyDescent="0.3">
      <c r="A1812" s="7"/>
      <c r="B1812" s="11"/>
      <c r="C1812" s="11"/>
      <c r="D1812" s="11"/>
      <c r="E1812" s="45"/>
      <c r="F1812" s="40"/>
      <c r="G1812" s="11"/>
      <c r="K1812" s="40"/>
      <c r="N1812" s="11"/>
      <c r="O1812" s="11"/>
      <c r="P1812" s="11"/>
      <c r="Q1812" s="11"/>
      <c r="R1812" s="11"/>
      <c r="S1812" s="11"/>
      <c r="T1812" s="11"/>
      <c r="U1812" s="11"/>
      <c r="V1812" s="11"/>
      <c r="W1812" s="11"/>
      <c r="X1812" s="11"/>
      <c r="Y1812" s="11"/>
      <c r="Z1812" s="11"/>
      <c r="AA1812" s="11"/>
      <c r="AB1812" s="11"/>
      <c r="AC1812" s="11"/>
      <c r="AD1812" s="40"/>
      <c r="AE1812" s="11"/>
      <c r="AF1812" s="40"/>
      <c r="AI1812" s="11"/>
      <c r="AJ1812" s="11"/>
      <c r="AK1812" s="11"/>
      <c r="AL1812" s="11"/>
      <c r="AM1812" s="11"/>
      <c r="AN1812" s="11"/>
      <c r="AO1812" s="11"/>
      <c r="AY1812" s="11"/>
      <c r="BE1812" s="38"/>
      <c r="BF1812" s="38"/>
      <c r="BG1812" s="38"/>
      <c r="BH1812" s="11"/>
      <c r="BI1812" s="1"/>
      <c r="BJ1812" s="2"/>
      <c r="BK1812" s="1"/>
      <c r="BL1812" s="1"/>
      <c r="BM1812" s="7"/>
      <c r="BN1812" s="7"/>
      <c r="BO1812" s="1"/>
      <c r="BP1812" s="11"/>
      <c r="BQ1812" s="11"/>
    </row>
    <row r="1813" spans="1:69" x14ac:dyDescent="0.3">
      <c r="A1813" s="7"/>
      <c r="B1813" s="11"/>
      <c r="C1813" s="11"/>
      <c r="D1813" s="11"/>
      <c r="E1813" s="45"/>
      <c r="F1813" s="40"/>
      <c r="G1813" s="11"/>
      <c r="K1813" s="40"/>
      <c r="N1813" s="11"/>
      <c r="O1813" s="11"/>
      <c r="P1813" s="11"/>
      <c r="Q1813" s="11"/>
      <c r="R1813" s="11"/>
      <c r="S1813" s="11"/>
      <c r="T1813" s="11"/>
      <c r="U1813" s="11"/>
      <c r="V1813" s="11"/>
      <c r="W1813" s="11"/>
      <c r="X1813" s="11"/>
      <c r="Y1813" s="11"/>
      <c r="Z1813" s="11"/>
      <c r="AA1813" s="11"/>
      <c r="AB1813" s="11"/>
      <c r="AC1813" s="11"/>
      <c r="AD1813" s="40"/>
      <c r="AE1813" s="11"/>
      <c r="AF1813" s="40"/>
      <c r="AI1813" s="11"/>
      <c r="AJ1813" s="11"/>
      <c r="AK1813" s="11"/>
      <c r="AL1813" s="11"/>
      <c r="AM1813" s="11"/>
      <c r="AN1813" s="11"/>
      <c r="AO1813" s="11"/>
      <c r="AY1813" s="11"/>
      <c r="BE1813" s="38"/>
      <c r="BF1813" s="38"/>
      <c r="BG1813" s="38"/>
      <c r="BH1813" s="11"/>
      <c r="BI1813" s="1"/>
      <c r="BJ1813" s="2"/>
      <c r="BK1813" s="1"/>
      <c r="BL1813" s="1"/>
      <c r="BM1813" s="7"/>
      <c r="BN1813" s="7"/>
      <c r="BO1813" s="1"/>
      <c r="BP1813" s="11"/>
      <c r="BQ1813" s="11"/>
    </row>
    <row r="1814" spans="1:69" x14ac:dyDescent="0.3">
      <c r="A1814" s="7"/>
      <c r="B1814" s="11"/>
      <c r="C1814" s="11"/>
      <c r="D1814" s="11"/>
      <c r="E1814" s="45"/>
      <c r="F1814" s="40"/>
      <c r="G1814" s="11"/>
      <c r="K1814" s="40"/>
      <c r="N1814" s="11"/>
      <c r="O1814" s="11"/>
      <c r="P1814" s="11"/>
      <c r="Q1814" s="11"/>
      <c r="R1814" s="11"/>
      <c r="S1814" s="11"/>
      <c r="T1814" s="11"/>
      <c r="U1814" s="11"/>
      <c r="V1814" s="11"/>
      <c r="W1814" s="11"/>
      <c r="X1814" s="11"/>
      <c r="Y1814" s="11"/>
      <c r="Z1814" s="11"/>
      <c r="AA1814" s="11"/>
      <c r="AB1814" s="11"/>
      <c r="AC1814" s="11"/>
      <c r="AD1814" s="40"/>
      <c r="AE1814" s="11"/>
      <c r="AF1814" s="40"/>
      <c r="AI1814" s="11"/>
      <c r="AJ1814" s="11"/>
      <c r="AK1814" s="11"/>
      <c r="AL1814" s="11"/>
      <c r="AM1814" s="11"/>
      <c r="AN1814" s="11"/>
      <c r="AO1814" s="11"/>
      <c r="AY1814" s="11"/>
      <c r="BE1814" s="38"/>
      <c r="BF1814" s="38"/>
      <c r="BG1814" s="38"/>
      <c r="BH1814" s="11"/>
      <c r="BI1814" s="1"/>
      <c r="BJ1814" s="2"/>
      <c r="BK1814" s="1"/>
      <c r="BL1814" s="1"/>
      <c r="BM1814" s="7"/>
      <c r="BN1814" s="7"/>
      <c r="BO1814" s="1"/>
      <c r="BP1814" s="11"/>
      <c r="BQ1814" s="11"/>
    </row>
    <row r="1815" spans="1:69" x14ac:dyDescent="0.3">
      <c r="A1815" s="7"/>
      <c r="B1815" s="11"/>
      <c r="C1815" s="11"/>
      <c r="D1815" s="11"/>
      <c r="E1815" s="45"/>
      <c r="F1815" s="40"/>
      <c r="G1815" s="11"/>
      <c r="K1815" s="40"/>
      <c r="N1815" s="11"/>
      <c r="O1815" s="11"/>
      <c r="P1815" s="11"/>
      <c r="Q1815" s="11"/>
      <c r="R1815" s="11"/>
      <c r="S1815" s="11"/>
      <c r="T1815" s="11"/>
      <c r="U1815" s="11"/>
      <c r="V1815" s="11"/>
      <c r="W1815" s="11"/>
      <c r="X1815" s="11"/>
      <c r="Y1815" s="11"/>
      <c r="Z1815" s="11"/>
      <c r="AA1815" s="11"/>
      <c r="AB1815" s="11"/>
      <c r="AC1815" s="11"/>
      <c r="AD1815" s="40"/>
      <c r="AE1815" s="11"/>
      <c r="AF1815" s="40"/>
      <c r="AI1815" s="11"/>
      <c r="AJ1815" s="11"/>
      <c r="AK1815" s="11"/>
      <c r="AL1815" s="11"/>
      <c r="AM1815" s="11"/>
      <c r="AN1815" s="11"/>
      <c r="AO1815" s="11"/>
      <c r="AY1815" s="11"/>
      <c r="BE1815" s="38"/>
      <c r="BF1815" s="38"/>
      <c r="BG1815" s="38"/>
      <c r="BH1815" s="11"/>
      <c r="BI1815" s="1"/>
      <c r="BJ1815" s="2"/>
      <c r="BK1815" s="1"/>
      <c r="BL1815" s="1"/>
      <c r="BM1815" s="7"/>
      <c r="BN1815" s="7"/>
      <c r="BO1815" s="1"/>
      <c r="BP1815" s="11"/>
      <c r="BQ1815" s="11"/>
    </row>
    <row r="1816" spans="1:69" x14ac:dyDescent="0.3">
      <c r="A1816" s="7"/>
      <c r="B1816" s="11"/>
      <c r="C1816" s="11"/>
      <c r="D1816" s="11"/>
      <c r="E1816" s="45"/>
      <c r="F1816" s="40"/>
      <c r="G1816" s="11"/>
      <c r="K1816" s="40"/>
      <c r="N1816" s="11"/>
      <c r="O1816" s="11"/>
      <c r="P1816" s="11"/>
      <c r="Q1816" s="11"/>
      <c r="R1816" s="11"/>
      <c r="S1816" s="11"/>
      <c r="T1816" s="11"/>
      <c r="U1816" s="11"/>
      <c r="V1816" s="11"/>
      <c r="W1816" s="11"/>
      <c r="X1816" s="11"/>
      <c r="Y1816" s="11"/>
      <c r="Z1816" s="11"/>
      <c r="AA1816" s="11"/>
      <c r="AB1816" s="11"/>
      <c r="AC1816" s="11"/>
      <c r="AD1816" s="40"/>
      <c r="AE1816" s="11"/>
      <c r="AF1816" s="40"/>
      <c r="AI1816" s="11"/>
      <c r="AJ1816" s="11"/>
      <c r="AK1816" s="11"/>
      <c r="AL1816" s="11"/>
      <c r="AM1816" s="11"/>
      <c r="AN1816" s="11"/>
      <c r="AO1816" s="11"/>
      <c r="AY1816" s="11"/>
      <c r="BE1816" s="38"/>
      <c r="BF1816" s="38"/>
      <c r="BG1816" s="38"/>
      <c r="BH1816" s="11"/>
      <c r="BI1816" s="1"/>
      <c r="BJ1816" s="2"/>
      <c r="BK1816" s="1"/>
      <c r="BL1816" s="1"/>
      <c r="BM1816" s="7"/>
      <c r="BN1816" s="7"/>
      <c r="BO1816" s="1"/>
      <c r="BP1816" s="11"/>
      <c r="BQ1816" s="11"/>
    </row>
    <row r="1817" spans="1:69" x14ac:dyDescent="0.3">
      <c r="A1817" s="7"/>
      <c r="B1817" s="11"/>
      <c r="C1817" s="11"/>
      <c r="D1817" s="11"/>
      <c r="E1817" s="45"/>
      <c r="F1817" s="40"/>
      <c r="G1817" s="11"/>
      <c r="K1817" s="40"/>
      <c r="N1817" s="11"/>
      <c r="O1817" s="11"/>
      <c r="P1817" s="11"/>
      <c r="Q1817" s="11"/>
      <c r="R1817" s="11"/>
      <c r="S1817" s="11"/>
      <c r="T1817" s="11"/>
      <c r="U1817" s="11"/>
      <c r="V1817" s="11"/>
      <c r="W1817" s="11"/>
      <c r="X1817" s="11"/>
      <c r="Y1817" s="11"/>
      <c r="Z1817" s="11"/>
      <c r="AA1817" s="11"/>
      <c r="AB1817" s="11"/>
      <c r="AC1817" s="11"/>
      <c r="AD1817" s="40"/>
      <c r="AE1817" s="11"/>
      <c r="AF1817" s="40"/>
      <c r="AI1817" s="11"/>
      <c r="AJ1817" s="11"/>
      <c r="AK1817" s="11"/>
      <c r="AL1817" s="11"/>
      <c r="AM1817" s="11"/>
      <c r="AN1817" s="11"/>
      <c r="AO1817" s="11"/>
      <c r="AY1817" s="11"/>
      <c r="BE1817" s="38"/>
      <c r="BF1817" s="38"/>
      <c r="BG1817" s="38"/>
      <c r="BH1817" s="11"/>
      <c r="BI1817" s="1"/>
      <c r="BJ1817" s="2"/>
      <c r="BK1817" s="1"/>
      <c r="BL1817" s="1"/>
      <c r="BM1817" s="7"/>
      <c r="BN1817" s="7"/>
      <c r="BO1817" s="1"/>
      <c r="BP1817" s="11"/>
      <c r="BQ1817" s="11"/>
    </row>
    <row r="1818" spans="1:69" x14ac:dyDescent="0.3">
      <c r="A1818" s="7"/>
      <c r="B1818" s="11"/>
      <c r="C1818" s="11"/>
      <c r="D1818" s="11"/>
      <c r="E1818" s="45"/>
      <c r="F1818" s="40"/>
      <c r="G1818" s="11"/>
      <c r="K1818" s="40"/>
      <c r="N1818" s="11"/>
      <c r="O1818" s="11"/>
      <c r="P1818" s="11"/>
      <c r="Q1818" s="11"/>
      <c r="R1818" s="11"/>
      <c r="S1818" s="11"/>
      <c r="T1818" s="11"/>
      <c r="U1818" s="11"/>
      <c r="V1818" s="11"/>
      <c r="W1818" s="11"/>
      <c r="X1818" s="11"/>
      <c r="Y1818" s="11"/>
      <c r="Z1818" s="11"/>
      <c r="AA1818" s="11"/>
      <c r="AB1818" s="11"/>
      <c r="AC1818" s="11"/>
      <c r="AD1818" s="40"/>
      <c r="AE1818" s="11"/>
      <c r="AF1818" s="40"/>
      <c r="AI1818" s="11"/>
      <c r="AJ1818" s="11"/>
      <c r="AK1818" s="11"/>
      <c r="AL1818" s="11"/>
      <c r="AM1818" s="11"/>
      <c r="AN1818" s="11"/>
      <c r="AO1818" s="11"/>
      <c r="AY1818" s="11"/>
      <c r="BE1818" s="38"/>
      <c r="BF1818" s="38"/>
      <c r="BG1818" s="38"/>
      <c r="BH1818" s="11"/>
      <c r="BI1818" s="1"/>
      <c r="BJ1818" s="2"/>
      <c r="BK1818" s="1"/>
      <c r="BL1818" s="1"/>
      <c r="BM1818" s="7"/>
      <c r="BN1818" s="7"/>
      <c r="BO1818" s="1"/>
      <c r="BP1818" s="11"/>
      <c r="BQ1818" s="11"/>
    </row>
    <row r="1819" spans="1:69" x14ac:dyDescent="0.3">
      <c r="A1819" s="7"/>
      <c r="B1819" s="11"/>
      <c r="C1819" s="11"/>
      <c r="D1819" s="11"/>
      <c r="E1819" s="45"/>
      <c r="F1819" s="40"/>
      <c r="G1819" s="11"/>
      <c r="K1819" s="40"/>
      <c r="N1819" s="11"/>
      <c r="O1819" s="11"/>
      <c r="P1819" s="11"/>
      <c r="Q1819" s="11"/>
      <c r="R1819" s="11"/>
      <c r="S1819" s="11"/>
      <c r="T1819" s="11"/>
      <c r="U1819" s="11"/>
      <c r="V1819" s="11"/>
      <c r="W1819" s="11"/>
      <c r="X1819" s="11"/>
      <c r="Y1819" s="11"/>
      <c r="Z1819" s="11"/>
      <c r="AA1819" s="11"/>
      <c r="AB1819" s="11"/>
      <c r="AC1819" s="11"/>
      <c r="AD1819" s="40"/>
      <c r="AE1819" s="11"/>
      <c r="AF1819" s="40"/>
      <c r="AI1819" s="11"/>
      <c r="AJ1819" s="11"/>
      <c r="AK1819" s="11"/>
      <c r="AL1819" s="11"/>
      <c r="AM1819" s="11"/>
      <c r="AN1819" s="11"/>
      <c r="AO1819" s="11"/>
      <c r="AY1819" s="11"/>
      <c r="BE1819" s="38"/>
      <c r="BF1819" s="38"/>
      <c r="BG1819" s="38"/>
      <c r="BH1819" s="11"/>
      <c r="BI1819" s="1"/>
      <c r="BJ1819" s="2"/>
      <c r="BK1819" s="1"/>
      <c r="BL1819" s="1"/>
      <c r="BM1819" s="7"/>
      <c r="BN1819" s="7"/>
      <c r="BO1819" s="1"/>
      <c r="BP1819" s="11"/>
      <c r="BQ1819" s="11"/>
    </row>
    <row r="1820" spans="1:69" x14ac:dyDescent="0.3">
      <c r="A1820" s="7"/>
      <c r="B1820" s="11"/>
      <c r="C1820" s="11"/>
      <c r="D1820" s="11"/>
      <c r="E1820" s="45"/>
      <c r="F1820" s="40"/>
      <c r="G1820" s="11"/>
      <c r="K1820" s="40"/>
      <c r="N1820" s="11"/>
      <c r="O1820" s="11"/>
      <c r="P1820" s="11"/>
      <c r="Q1820" s="11"/>
      <c r="R1820" s="11"/>
      <c r="S1820" s="11"/>
      <c r="T1820" s="11"/>
      <c r="U1820" s="11"/>
      <c r="V1820" s="11"/>
      <c r="W1820" s="11"/>
      <c r="X1820" s="11"/>
      <c r="Y1820" s="11"/>
      <c r="Z1820" s="11"/>
      <c r="AA1820" s="11"/>
      <c r="AB1820" s="11"/>
      <c r="AC1820" s="11"/>
      <c r="AD1820" s="40"/>
      <c r="AE1820" s="11"/>
      <c r="AF1820" s="40"/>
      <c r="AI1820" s="11"/>
      <c r="AJ1820" s="11"/>
      <c r="AK1820" s="11"/>
      <c r="AL1820" s="11"/>
      <c r="AM1820" s="11"/>
      <c r="AN1820" s="11"/>
      <c r="AO1820" s="11"/>
      <c r="AY1820" s="11"/>
      <c r="BE1820" s="38"/>
      <c r="BF1820" s="38"/>
      <c r="BG1820" s="38"/>
      <c r="BH1820" s="11"/>
      <c r="BI1820" s="1"/>
      <c r="BJ1820" s="2"/>
      <c r="BK1820" s="1"/>
      <c r="BL1820" s="1"/>
      <c r="BM1820" s="7"/>
      <c r="BN1820" s="7"/>
      <c r="BO1820" s="1"/>
      <c r="BP1820" s="11"/>
      <c r="BQ1820" s="11"/>
    </row>
    <row r="1821" spans="1:69" x14ac:dyDescent="0.3">
      <c r="A1821" s="7"/>
      <c r="B1821" s="11"/>
      <c r="C1821" s="11"/>
      <c r="D1821" s="11"/>
      <c r="E1821" s="45"/>
      <c r="F1821" s="40"/>
      <c r="G1821" s="11"/>
      <c r="K1821" s="40"/>
      <c r="N1821" s="11"/>
      <c r="O1821" s="11"/>
      <c r="P1821" s="11"/>
      <c r="Q1821" s="11"/>
      <c r="R1821" s="11"/>
      <c r="S1821" s="11"/>
      <c r="T1821" s="11"/>
      <c r="U1821" s="11"/>
      <c r="V1821" s="11"/>
      <c r="W1821" s="11"/>
      <c r="X1821" s="11"/>
      <c r="Y1821" s="11"/>
      <c r="Z1821" s="11"/>
      <c r="AA1821" s="11"/>
      <c r="AB1821" s="11"/>
      <c r="AC1821" s="11"/>
      <c r="AD1821" s="40"/>
      <c r="AE1821" s="11"/>
      <c r="AF1821" s="40"/>
      <c r="AI1821" s="11"/>
      <c r="AJ1821" s="11"/>
      <c r="AK1821" s="11"/>
      <c r="AL1821" s="11"/>
      <c r="AM1821" s="11"/>
      <c r="AN1821" s="11"/>
      <c r="AO1821" s="11"/>
      <c r="AY1821" s="11"/>
      <c r="BE1821" s="38"/>
      <c r="BF1821" s="38"/>
      <c r="BG1821" s="38"/>
      <c r="BH1821" s="11"/>
      <c r="BI1821" s="1"/>
      <c r="BJ1821" s="2"/>
      <c r="BK1821" s="1"/>
      <c r="BL1821" s="1"/>
      <c r="BM1821" s="7"/>
      <c r="BN1821" s="7"/>
      <c r="BO1821" s="1"/>
      <c r="BP1821" s="11"/>
      <c r="BQ1821" s="11"/>
    </row>
    <row r="1822" spans="1:69" x14ac:dyDescent="0.3">
      <c r="A1822" s="7"/>
      <c r="B1822" s="11"/>
      <c r="C1822" s="11"/>
      <c r="D1822" s="11"/>
      <c r="E1822" s="45"/>
      <c r="F1822" s="40"/>
      <c r="G1822" s="11"/>
      <c r="K1822" s="40"/>
      <c r="N1822" s="11"/>
      <c r="O1822" s="11"/>
      <c r="P1822" s="11"/>
      <c r="Q1822" s="11"/>
      <c r="R1822" s="11"/>
      <c r="S1822" s="11"/>
      <c r="T1822" s="11"/>
      <c r="U1822" s="11"/>
      <c r="V1822" s="11"/>
      <c r="W1822" s="11"/>
      <c r="X1822" s="11"/>
      <c r="Y1822" s="11"/>
      <c r="Z1822" s="11"/>
      <c r="AA1822" s="11"/>
      <c r="AB1822" s="11"/>
      <c r="AC1822" s="11"/>
      <c r="AD1822" s="40"/>
      <c r="AE1822" s="11"/>
      <c r="AF1822" s="40"/>
      <c r="AI1822" s="11"/>
      <c r="AJ1822" s="11"/>
      <c r="AK1822" s="11"/>
      <c r="AL1822" s="11"/>
      <c r="AM1822" s="11"/>
      <c r="AN1822" s="11"/>
      <c r="AO1822" s="11"/>
      <c r="AY1822" s="11"/>
      <c r="BE1822" s="38"/>
      <c r="BF1822" s="38"/>
      <c r="BG1822" s="38"/>
      <c r="BH1822" s="11"/>
      <c r="BI1822" s="1"/>
      <c r="BJ1822" s="2"/>
      <c r="BK1822" s="1"/>
      <c r="BL1822" s="1"/>
      <c r="BM1822" s="7"/>
      <c r="BN1822" s="7"/>
      <c r="BO1822" s="1"/>
      <c r="BP1822" s="11"/>
      <c r="BQ1822" s="11"/>
    </row>
    <row r="1823" spans="1:69" x14ac:dyDescent="0.3">
      <c r="A1823" s="7"/>
      <c r="B1823" s="11"/>
      <c r="C1823" s="11"/>
      <c r="D1823" s="11"/>
      <c r="E1823" s="45"/>
      <c r="F1823" s="40"/>
      <c r="G1823" s="11"/>
      <c r="K1823" s="40"/>
      <c r="N1823" s="11"/>
      <c r="O1823" s="11"/>
      <c r="P1823" s="11"/>
      <c r="Q1823" s="11"/>
      <c r="R1823" s="11"/>
      <c r="S1823" s="11"/>
      <c r="T1823" s="11"/>
      <c r="U1823" s="11"/>
      <c r="V1823" s="11"/>
      <c r="W1823" s="11"/>
      <c r="X1823" s="11"/>
      <c r="Y1823" s="11"/>
      <c r="Z1823" s="11"/>
      <c r="AA1823" s="11"/>
      <c r="AB1823" s="11"/>
      <c r="AC1823" s="11"/>
      <c r="AD1823" s="40"/>
      <c r="AE1823" s="11"/>
      <c r="AF1823" s="40"/>
      <c r="AI1823" s="11"/>
      <c r="AJ1823" s="11"/>
      <c r="AK1823" s="11"/>
      <c r="AL1823" s="11"/>
      <c r="AM1823" s="11"/>
      <c r="AN1823" s="11"/>
      <c r="AO1823" s="11"/>
      <c r="AY1823" s="11"/>
      <c r="BE1823" s="38"/>
      <c r="BF1823" s="38"/>
      <c r="BG1823" s="38"/>
      <c r="BH1823" s="11"/>
      <c r="BI1823" s="1"/>
      <c r="BJ1823" s="2"/>
      <c r="BK1823" s="1"/>
      <c r="BL1823" s="1"/>
      <c r="BM1823" s="7"/>
      <c r="BN1823" s="7"/>
      <c r="BO1823" s="1"/>
      <c r="BP1823" s="11"/>
      <c r="BQ1823" s="11"/>
    </row>
    <row r="1824" spans="1:69" x14ac:dyDescent="0.3">
      <c r="A1824" s="7"/>
      <c r="B1824" s="11"/>
      <c r="C1824" s="11"/>
      <c r="D1824" s="11"/>
      <c r="E1824" s="45"/>
      <c r="F1824" s="40"/>
      <c r="G1824" s="11"/>
      <c r="K1824" s="40"/>
      <c r="N1824" s="11"/>
      <c r="O1824" s="11"/>
      <c r="P1824" s="11"/>
      <c r="Q1824" s="11"/>
      <c r="R1824" s="11"/>
      <c r="S1824" s="11"/>
      <c r="T1824" s="11"/>
      <c r="U1824" s="11"/>
      <c r="V1824" s="11"/>
      <c r="W1824" s="11"/>
      <c r="X1824" s="11"/>
      <c r="Y1824" s="11"/>
      <c r="Z1824" s="11"/>
      <c r="AA1824" s="11"/>
      <c r="AB1824" s="11"/>
      <c r="AC1824" s="11"/>
      <c r="AD1824" s="40"/>
      <c r="AE1824" s="11"/>
      <c r="AF1824" s="40"/>
      <c r="AI1824" s="11"/>
      <c r="AJ1824" s="11"/>
      <c r="AK1824" s="11"/>
      <c r="AL1824" s="11"/>
      <c r="AM1824" s="11"/>
      <c r="AN1824" s="11"/>
      <c r="AO1824" s="11"/>
      <c r="AY1824" s="11"/>
      <c r="BE1824" s="38"/>
      <c r="BF1824" s="38"/>
      <c r="BG1824" s="38"/>
      <c r="BH1824" s="11"/>
      <c r="BI1824" s="1"/>
      <c r="BJ1824" s="2"/>
      <c r="BK1824" s="1"/>
      <c r="BL1824" s="1"/>
      <c r="BM1824" s="7"/>
      <c r="BN1824" s="7"/>
      <c r="BO1824" s="1"/>
      <c r="BP1824" s="11"/>
      <c r="BQ1824" s="11"/>
    </row>
    <row r="1825" spans="1:69" x14ac:dyDescent="0.3">
      <c r="A1825" s="7"/>
      <c r="B1825" s="11"/>
      <c r="C1825" s="11"/>
      <c r="D1825" s="11"/>
      <c r="E1825" s="45"/>
      <c r="F1825" s="40"/>
      <c r="G1825" s="11"/>
      <c r="K1825" s="40"/>
      <c r="N1825" s="11"/>
      <c r="O1825" s="11"/>
      <c r="P1825" s="11"/>
      <c r="Q1825" s="11"/>
      <c r="R1825" s="11"/>
      <c r="S1825" s="11"/>
      <c r="T1825" s="11"/>
      <c r="U1825" s="11"/>
      <c r="V1825" s="11"/>
      <c r="W1825" s="11"/>
      <c r="X1825" s="11"/>
      <c r="Y1825" s="11"/>
      <c r="Z1825" s="11"/>
      <c r="AA1825" s="11"/>
      <c r="AB1825" s="11"/>
      <c r="AC1825" s="11"/>
      <c r="AD1825" s="40"/>
      <c r="AE1825" s="11"/>
      <c r="AF1825" s="40"/>
      <c r="AI1825" s="11"/>
      <c r="AJ1825" s="11"/>
      <c r="AK1825" s="11"/>
      <c r="AL1825" s="11"/>
      <c r="AM1825" s="11"/>
      <c r="AN1825" s="11"/>
      <c r="AO1825" s="11"/>
      <c r="AY1825" s="11"/>
      <c r="BE1825" s="38"/>
      <c r="BF1825" s="38"/>
      <c r="BG1825" s="38"/>
      <c r="BH1825" s="11"/>
      <c r="BI1825" s="1"/>
      <c r="BJ1825" s="2"/>
      <c r="BK1825" s="1"/>
      <c r="BL1825" s="1"/>
      <c r="BM1825" s="7"/>
      <c r="BN1825" s="7"/>
      <c r="BO1825" s="1"/>
      <c r="BP1825" s="11"/>
      <c r="BQ1825" s="11"/>
    </row>
    <row r="1826" spans="1:69" x14ac:dyDescent="0.3">
      <c r="A1826" s="7"/>
      <c r="B1826" s="11"/>
      <c r="C1826" s="11"/>
      <c r="D1826" s="11"/>
      <c r="E1826" s="45"/>
      <c r="F1826" s="40"/>
      <c r="G1826" s="11"/>
      <c r="K1826" s="40"/>
      <c r="N1826" s="11"/>
      <c r="O1826" s="11"/>
      <c r="P1826" s="11"/>
      <c r="Q1826" s="11"/>
      <c r="R1826" s="11"/>
      <c r="S1826" s="11"/>
      <c r="T1826" s="11"/>
      <c r="U1826" s="11"/>
      <c r="V1826" s="11"/>
      <c r="W1826" s="11"/>
      <c r="X1826" s="11"/>
      <c r="Y1826" s="11"/>
      <c r="Z1826" s="11"/>
      <c r="AA1826" s="11"/>
      <c r="AB1826" s="11"/>
      <c r="AC1826" s="11"/>
      <c r="AD1826" s="40"/>
      <c r="AE1826" s="11"/>
      <c r="AF1826" s="40"/>
      <c r="AI1826" s="11"/>
      <c r="AJ1826" s="11"/>
      <c r="AK1826" s="11"/>
      <c r="AL1826" s="11"/>
      <c r="AM1826" s="11"/>
      <c r="AN1826" s="11"/>
      <c r="AO1826" s="11"/>
      <c r="AY1826" s="11"/>
      <c r="BE1826" s="38"/>
      <c r="BF1826" s="38"/>
      <c r="BG1826" s="38"/>
      <c r="BH1826" s="11"/>
      <c r="BI1826" s="1"/>
      <c r="BJ1826" s="2"/>
      <c r="BK1826" s="1"/>
      <c r="BL1826" s="1"/>
      <c r="BM1826" s="7"/>
      <c r="BN1826" s="7"/>
      <c r="BO1826" s="1"/>
      <c r="BP1826" s="11"/>
      <c r="BQ1826" s="11"/>
    </row>
    <row r="1827" spans="1:69" x14ac:dyDescent="0.3">
      <c r="A1827" s="7"/>
      <c r="B1827" s="11"/>
      <c r="C1827" s="11"/>
      <c r="D1827" s="11"/>
      <c r="E1827" s="45"/>
      <c r="F1827" s="40"/>
      <c r="G1827" s="11"/>
      <c r="K1827" s="40"/>
      <c r="N1827" s="11"/>
      <c r="O1827" s="11"/>
      <c r="P1827" s="11"/>
      <c r="Q1827" s="11"/>
      <c r="R1827" s="11"/>
      <c r="S1827" s="11"/>
      <c r="T1827" s="11"/>
      <c r="U1827" s="11"/>
      <c r="V1827" s="11"/>
      <c r="W1827" s="11"/>
      <c r="X1827" s="11"/>
      <c r="Y1827" s="11"/>
      <c r="Z1827" s="11"/>
      <c r="AA1827" s="11"/>
      <c r="AB1827" s="11"/>
      <c r="AC1827" s="11"/>
      <c r="AD1827" s="40"/>
      <c r="AE1827" s="11"/>
      <c r="AF1827" s="40"/>
      <c r="AI1827" s="11"/>
      <c r="AJ1827" s="11"/>
      <c r="AK1827" s="11"/>
      <c r="AL1827" s="11"/>
      <c r="AM1827" s="11"/>
      <c r="AN1827" s="11"/>
      <c r="AO1827" s="11"/>
      <c r="AY1827" s="11"/>
      <c r="BE1827" s="38"/>
      <c r="BF1827" s="38"/>
      <c r="BG1827" s="38"/>
      <c r="BH1827" s="11"/>
      <c r="BI1827" s="1"/>
      <c r="BJ1827" s="2"/>
      <c r="BK1827" s="1"/>
      <c r="BL1827" s="1"/>
      <c r="BM1827" s="7"/>
      <c r="BN1827" s="7"/>
      <c r="BO1827" s="1"/>
      <c r="BP1827" s="11"/>
      <c r="BQ1827" s="11"/>
    </row>
    <row r="1828" spans="1:69" x14ac:dyDescent="0.3">
      <c r="A1828" s="7"/>
      <c r="B1828" s="11"/>
      <c r="C1828" s="11"/>
      <c r="D1828" s="11"/>
      <c r="E1828" s="45"/>
      <c r="F1828" s="40"/>
      <c r="G1828" s="11"/>
      <c r="K1828" s="40"/>
      <c r="N1828" s="11"/>
      <c r="O1828" s="11"/>
      <c r="P1828" s="11"/>
      <c r="Q1828" s="11"/>
      <c r="R1828" s="11"/>
      <c r="S1828" s="11"/>
      <c r="T1828" s="11"/>
      <c r="U1828" s="11"/>
      <c r="V1828" s="11"/>
      <c r="W1828" s="11"/>
      <c r="X1828" s="11"/>
      <c r="Y1828" s="11"/>
      <c r="Z1828" s="11"/>
      <c r="AA1828" s="11"/>
      <c r="AB1828" s="11"/>
      <c r="AC1828" s="11"/>
      <c r="AD1828" s="40"/>
      <c r="AE1828" s="11"/>
      <c r="AF1828" s="40"/>
      <c r="AI1828" s="11"/>
      <c r="AJ1828" s="11"/>
      <c r="AK1828" s="11"/>
      <c r="AL1828" s="11"/>
      <c r="AM1828" s="11"/>
      <c r="AN1828" s="11"/>
      <c r="AO1828" s="11"/>
      <c r="AY1828" s="11"/>
      <c r="BE1828" s="38"/>
      <c r="BF1828" s="38"/>
      <c r="BG1828" s="38"/>
      <c r="BH1828" s="11"/>
      <c r="BI1828" s="1"/>
      <c r="BJ1828" s="2"/>
      <c r="BK1828" s="1"/>
      <c r="BL1828" s="1"/>
      <c r="BM1828" s="7"/>
      <c r="BN1828" s="7"/>
      <c r="BO1828" s="1"/>
      <c r="BP1828" s="11"/>
      <c r="BQ1828" s="11"/>
    </row>
    <row r="1829" spans="1:69" x14ac:dyDescent="0.3">
      <c r="A1829" s="7"/>
      <c r="B1829" s="11"/>
      <c r="C1829" s="11"/>
      <c r="D1829" s="11"/>
      <c r="E1829" s="45"/>
      <c r="F1829" s="40"/>
      <c r="G1829" s="11"/>
      <c r="K1829" s="40"/>
      <c r="N1829" s="11"/>
      <c r="O1829" s="11"/>
      <c r="P1829" s="11"/>
      <c r="Q1829" s="11"/>
      <c r="R1829" s="11"/>
      <c r="S1829" s="11"/>
      <c r="T1829" s="11"/>
      <c r="U1829" s="11"/>
      <c r="V1829" s="11"/>
      <c r="W1829" s="11"/>
      <c r="X1829" s="11"/>
      <c r="Y1829" s="11"/>
      <c r="Z1829" s="11"/>
      <c r="AA1829" s="11"/>
      <c r="AB1829" s="11"/>
      <c r="AC1829" s="11"/>
      <c r="AD1829" s="40"/>
      <c r="AE1829" s="11"/>
      <c r="AF1829" s="40"/>
      <c r="AI1829" s="11"/>
      <c r="AJ1829" s="11"/>
      <c r="AK1829" s="11"/>
      <c r="AL1829" s="11"/>
      <c r="AM1829" s="11"/>
      <c r="AN1829" s="11"/>
      <c r="AO1829" s="11"/>
      <c r="AY1829" s="11"/>
      <c r="BE1829" s="38"/>
      <c r="BF1829" s="38"/>
      <c r="BG1829" s="38"/>
      <c r="BH1829" s="11"/>
      <c r="BI1829" s="1"/>
      <c r="BJ1829" s="2"/>
      <c r="BK1829" s="1"/>
      <c r="BL1829" s="1"/>
      <c r="BM1829" s="7"/>
      <c r="BN1829" s="7"/>
      <c r="BO1829" s="1"/>
      <c r="BP1829" s="11"/>
      <c r="BQ1829" s="11"/>
    </row>
    <row r="1830" spans="1:69" x14ac:dyDescent="0.3">
      <c r="A1830" s="7"/>
      <c r="B1830" s="11"/>
      <c r="C1830" s="11"/>
      <c r="D1830" s="11"/>
      <c r="E1830" s="45"/>
      <c r="F1830" s="40"/>
      <c r="G1830" s="11"/>
      <c r="K1830" s="40"/>
      <c r="N1830" s="11"/>
      <c r="O1830" s="11"/>
      <c r="P1830" s="11"/>
      <c r="Q1830" s="11"/>
      <c r="R1830" s="11"/>
      <c r="S1830" s="11"/>
      <c r="T1830" s="11"/>
      <c r="U1830" s="11"/>
      <c r="V1830" s="11"/>
      <c r="W1830" s="11"/>
      <c r="X1830" s="11"/>
      <c r="Y1830" s="11"/>
      <c r="Z1830" s="11"/>
      <c r="AA1830" s="11"/>
      <c r="AB1830" s="11"/>
      <c r="AC1830" s="11"/>
      <c r="AD1830" s="40"/>
      <c r="AE1830" s="11"/>
      <c r="AF1830" s="40"/>
      <c r="AI1830" s="11"/>
      <c r="AJ1830" s="11"/>
      <c r="AK1830" s="11"/>
      <c r="AL1830" s="11"/>
      <c r="AM1830" s="11"/>
      <c r="AN1830" s="11"/>
      <c r="AO1830" s="11"/>
      <c r="AY1830" s="11"/>
      <c r="BE1830" s="38"/>
      <c r="BF1830" s="38"/>
      <c r="BG1830" s="38"/>
      <c r="BH1830" s="11"/>
      <c r="BI1830" s="1"/>
      <c r="BJ1830" s="2"/>
      <c r="BK1830" s="1"/>
      <c r="BL1830" s="1"/>
      <c r="BM1830" s="7"/>
      <c r="BN1830" s="7"/>
      <c r="BO1830" s="1"/>
      <c r="BP1830" s="11"/>
      <c r="BQ1830" s="11"/>
    </row>
    <row r="1831" spans="1:69" x14ac:dyDescent="0.3">
      <c r="A1831" s="7"/>
      <c r="B1831" s="11"/>
      <c r="C1831" s="11"/>
      <c r="D1831" s="11"/>
      <c r="E1831" s="45"/>
      <c r="F1831" s="40"/>
      <c r="G1831" s="11"/>
      <c r="K1831" s="40"/>
      <c r="N1831" s="11"/>
      <c r="O1831" s="11"/>
      <c r="P1831" s="11"/>
      <c r="Q1831" s="11"/>
      <c r="R1831" s="11"/>
      <c r="S1831" s="11"/>
      <c r="T1831" s="11"/>
      <c r="U1831" s="11"/>
      <c r="V1831" s="11"/>
      <c r="W1831" s="11"/>
      <c r="X1831" s="11"/>
      <c r="Y1831" s="11"/>
      <c r="Z1831" s="11"/>
      <c r="AA1831" s="11"/>
      <c r="AB1831" s="11"/>
      <c r="AC1831" s="11"/>
      <c r="AD1831" s="40"/>
      <c r="AE1831" s="11"/>
      <c r="AF1831" s="40"/>
      <c r="AI1831" s="11"/>
      <c r="AJ1831" s="11"/>
      <c r="AK1831" s="11"/>
      <c r="AL1831" s="11"/>
      <c r="AM1831" s="11"/>
      <c r="AN1831" s="11"/>
      <c r="AO1831" s="11"/>
      <c r="AY1831" s="11"/>
      <c r="BE1831" s="38"/>
      <c r="BF1831" s="38"/>
      <c r="BG1831" s="38"/>
      <c r="BH1831" s="11"/>
      <c r="BI1831" s="1"/>
      <c r="BJ1831" s="2"/>
      <c r="BK1831" s="1"/>
      <c r="BL1831" s="1"/>
      <c r="BM1831" s="7"/>
      <c r="BN1831" s="7"/>
      <c r="BO1831" s="1"/>
      <c r="BP1831" s="11"/>
      <c r="BQ1831" s="11"/>
    </row>
    <row r="1832" spans="1:69" x14ac:dyDescent="0.3">
      <c r="A1832" s="7"/>
      <c r="B1832" s="11"/>
      <c r="C1832" s="11"/>
      <c r="D1832" s="11"/>
      <c r="E1832" s="45"/>
      <c r="F1832" s="40"/>
      <c r="G1832" s="11"/>
      <c r="K1832" s="40"/>
      <c r="N1832" s="11"/>
      <c r="O1832" s="11"/>
      <c r="P1832" s="11"/>
      <c r="Q1832" s="11"/>
      <c r="R1832" s="11"/>
      <c r="S1832" s="11"/>
      <c r="T1832" s="11"/>
      <c r="U1832" s="11"/>
      <c r="V1832" s="11"/>
      <c r="W1832" s="11"/>
      <c r="X1832" s="11"/>
      <c r="Y1832" s="11"/>
      <c r="Z1832" s="11"/>
      <c r="AA1832" s="11"/>
      <c r="AB1832" s="11"/>
      <c r="AC1832" s="11"/>
      <c r="AD1832" s="40"/>
      <c r="AE1832" s="11"/>
      <c r="AF1832" s="40"/>
      <c r="AI1832" s="11"/>
      <c r="AJ1832" s="11"/>
      <c r="AK1832" s="11"/>
      <c r="AL1832" s="11"/>
      <c r="AM1832" s="11"/>
      <c r="AN1832" s="11"/>
      <c r="AO1832" s="11"/>
      <c r="AY1832" s="11"/>
      <c r="BE1832" s="38"/>
      <c r="BF1832" s="38"/>
      <c r="BG1832" s="38"/>
      <c r="BH1832" s="11"/>
      <c r="BI1832" s="1"/>
      <c r="BJ1832" s="2"/>
      <c r="BK1832" s="1"/>
      <c r="BL1832" s="1"/>
      <c r="BM1832" s="7"/>
      <c r="BN1832" s="7"/>
      <c r="BO1832" s="1"/>
      <c r="BP1832" s="11"/>
      <c r="BQ1832" s="11"/>
    </row>
    <row r="1833" spans="1:69" x14ac:dyDescent="0.3">
      <c r="A1833" s="7"/>
      <c r="B1833" s="11"/>
      <c r="C1833" s="11"/>
      <c r="D1833" s="11"/>
      <c r="E1833" s="45"/>
      <c r="F1833" s="40"/>
      <c r="G1833" s="11"/>
      <c r="K1833" s="40"/>
      <c r="N1833" s="11"/>
      <c r="O1833" s="11"/>
      <c r="P1833" s="11"/>
      <c r="Q1833" s="11"/>
      <c r="R1833" s="11"/>
      <c r="S1833" s="11"/>
      <c r="T1833" s="11"/>
      <c r="U1833" s="11"/>
      <c r="V1833" s="11"/>
      <c r="W1833" s="11"/>
      <c r="X1833" s="11"/>
      <c r="Y1833" s="11"/>
      <c r="Z1833" s="11"/>
      <c r="AA1833" s="11"/>
      <c r="AB1833" s="11"/>
      <c r="AC1833" s="11"/>
      <c r="AD1833" s="40"/>
      <c r="AE1833" s="11"/>
      <c r="AF1833" s="40"/>
      <c r="AI1833" s="11"/>
      <c r="AJ1833" s="11"/>
      <c r="AK1833" s="11"/>
      <c r="AL1833" s="11"/>
      <c r="AM1833" s="11"/>
      <c r="AN1833" s="11"/>
      <c r="AO1833" s="11"/>
      <c r="AY1833" s="11"/>
      <c r="BE1833" s="38"/>
      <c r="BF1833" s="38"/>
      <c r="BG1833" s="38"/>
      <c r="BH1833" s="11"/>
      <c r="BI1833" s="1"/>
      <c r="BJ1833" s="2"/>
      <c r="BK1833" s="1"/>
      <c r="BL1833" s="1"/>
      <c r="BM1833" s="7"/>
      <c r="BN1833" s="7"/>
      <c r="BO1833" s="1"/>
      <c r="BP1833" s="11"/>
      <c r="BQ1833" s="11"/>
    </row>
    <row r="1834" spans="1:69" x14ac:dyDescent="0.3">
      <c r="A1834" s="7"/>
      <c r="B1834" s="11"/>
      <c r="C1834" s="11"/>
      <c r="D1834" s="11"/>
      <c r="E1834" s="45"/>
      <c r="F1834" s="40"/>
      <c r="G1834" s="11"/>
      <c r="K1834" s="40"/>
      <c r="N1834" s="11"/>
      <c r="O1834" s="11"/>
      <c r="P1834" s="11"/>
      <c r="Q1834" s="11"/>
      <c r="R1834" s="11"/>
      <c r="S1834" s="11"/>
      <c r="T1834" s="11"/>
      <c r="U1834" s="11"/>
      <c r="V1834" s="11"/>
      <c r="W1834" s="11"/>
      <c r="X1834" s="11"/>
      <c r="Y1834" s="11"/>
      <c r="Z1834" s="11"/>
      <c r="AA1834" s="11"/>
      <c r="AB1834" s="11"/>
      <c r="AC1834" s="11"/>
      <c r="AD1834" s="40"/>
      <c r="AE1834" s="11"/>
      <c r="AF1834" s="40"/>
      <c r="AI1834" s="11"/>
      <c r="AJ1834" s="11"/>
      <c r="AK1834" s="11"/>
      <c r="AL1834" s="11"/>
      <c r="AM1834" s="11"/>
      <c r="AN1834" s="11"/>
      <c r="AO1834" s="11"/>
      <c r="AY1834" s="11"/>
      <c r="BE1834" s="38"/>
      <c r="BF1834" s="38"/>
      <c r="BG1834" s="38"/>
      <c r="BH1834" s="11"/>
      <c r="BI1834" s="1"/>
      <c r="BJ1834" s="2"/>
      <c r="BK1834" s="1"/>
      <c r="BL1834" s="1"/>
      <c r="BM1834" s="7"/>
      <c r="BN1834" s="7"/>
      <c r="BO1834" s="1"/>
      <c r="BP1834" s="11"/>
      <c r="BQ1834" s="11"/>
    </row>
    <row r="1835" spans="1:69" x14ac:dyDescent="0.3">
      <c r="A1835" s="7"/>
      <c r="B1835" s="11"/>
      <c r="C1835" s="11"/>
      <c r="D1835" s="11"/>
      <c r="E1835" s="45"/>
      <c r="F1835" s="40"/>
      <c r="G1835" s="11"/>
      <c r="K1835" s="40"/>
      <c r="N1835" s="11"/>
      <c r="O1835" s="11"/>
      <c r="P1835" s="11"/>
      <c r="Q1835" s="11"/>
      <c r="R1835" s="11"/>
      <c r="S1835" s="11"/>
      <c r="T1835" s="11"/>
      <c r="U1835" s="11"/>
      <c r="V1835" s="11"/>
      <c r="W1835" s="11"/>
      <c r="X1835" s="11"/>
      <c r="Y1835" s="11"/>
      <c r="Z1835" s="11"/>
      <c r="AA1835" s="11"/>
      <c r="AB1835" s="11"/>
      <c r="AC1835" s="11"/>
      <c r="AD1835" s="40"/>
      <c r="AE1835" s="11"/>
      <c r="AF1835" s="40"/>
      <c r="AI1835" s="11"/>
      <c r="AJ1835" s="11"/>
      <c r="AK1835" s="11"/>
      <c r="AL1835" s="11"/>
      <c r="AM1835" s="11"/>
      <c r="AN1835" s="11"/>
      <c r="AO1835" s="11"/>
      <c r="AY1835" s="11"/>
      <c r="BE1835" s="38"/>
      <c r="BF1835" s="38"/>
      <c r="BG1835" s="38"/>
      <c r="BH1835" s="11"/>
      <c r="BI1835" s="1"/>
      <c r="BJ1835" s="2"/>
      <c r="BK1835" s="1"/>
      <c r="BL1835" s="1"/>
      <c r="BM1835" s="7"/>
      <c r="BN1835" s="7"/>
      <c r="BO1835" s="1"/>
      <c r="BP1835" s="11"/>
      <c r="BQ1835" s="11"/>
    </row>
    <row r="1836" spans="1:69" x14ac:dyDescent="0.3">
      <c r="A1836" s="7"/>
      <c r="B1836" s="11"/>
      <c r="C1836" s="11"/>
      <c r="D1836" s="11"/>
      <c r="E1836" s="45"/>
      <c r="F1836" s="40"/>
      <c r="G1836" s="11"/>
      <c r="K1836" s="40"/>
      <c r="N1836" s="11"/>
      <c r="O1836" s="11"/>
      <c r="P1836" s="11"/>
      <c r="Q1836" s="11"/>
      <c r="R1836" s="11"/>
      <c r="S1836" s="11"/>
      <c r="T1836" s="11"/>
      <c r="U1836" s="11"/>
      <c r="V1836" s="11"/>
      <c r="W1836" s="11"/>
      <c r="X1836" s="11"/>
      <c r="Y1836" s="11"/>
      <c r="Z1836" s="11"/>
      <c r="AA1836" s="11"/>
      <c r="AB1836" s="11"/>
      <c r="AC1836" s="11"/>
      <c r="AD1836" s="40"/>
      <c r="AE1836" s="11"/>
      <c r="AF1836" s="40"/>
      <c r="AI1836" s="11"/>
      <c r="AJ1836" s="11"/>
      <c r="AK1836" s="11"/>
      <c r="AL1836" s="11"/>
      <c r="AM1836" s="11"/>
      <c r="AN1836" s="11"/>
      <c r="AO1836" s="11"/>
      <c r="AY1836" s="11"/>
      <c r="BE1836" s="38"/>
      <c r="BF1836" s="38"/>
      <c r="BG1836" s="38"/>
      <c r="BH1836" s="11"/>
      <c r="BI1836" s="1"/>
      <c r="BJ1836" s="2"/>
      <c r="BK1836" s="1"/>
      <c r="BL1836" s="1"/>
      <c r="BM1836" s="7"/>
      <c r="BN1836" s="7"/>
      <c r="BO1836" s="1"/>
      <c r="BP1836" s="11"/>
      <c r="BQ1836" s="11"/>
    </row>
    <row r="1837" spans="1:69" x14ac:dyDescent="0.3">
      <c r="A1837" s="7"/>
      <c r="B1837" s="11"/>
      <c r="C1837" s="11"/>
      <c r="D1837" s="11"/>
      <c r="E1837" s="45"/>
      <c r="F1837" s="40"/>
      <c r="G1837" s="11"/>
      <c r="K1837" s="40"/>
      <c r="N1837" s="11"/>
      <c r="O1837" s="11"/>
      <c r="P1837" s="11"/>
      <c r="Q1837" s="11"/>
      <c r="R1837" s="11"/>
      <c r="S1837" s="11"/>
      <c r="T1837" s="11"/>
      <c r="U1837" s="11"/>
      <c r="V1837" s="11"/>
      <c r="W1837" s="11"/>
      <c r="X1837" s="11"/>
      <c r="Y1837" s="11"/>
      <c r="Z1837" s="11"/>
      <c r="AA1837" s="11"/>
      <c r="AB1837" s="11"/>
      <c r="AC1837" s="11"/>
      <c r="AD1837" s="40"/>
      <c r="AE1837" s="11"/>
      <c r="AF1837" s="40"/>
      <c r="AI1837" s="11"/>
      <c r="AJ1837" s="11"/>
      <c r="AK1837" s="11"/>
      <c r="AL1837" s="11"/>
      <c r="AM1837" s="11"/>
      <c r="AN1837" s="11"/>
      <c r="AO1837" s="11"/>
      <c r="AY1837" s="11"/>
      <c r="BE1837" s="38"/>
      <c r="BF1837" s="38"/>
      <c r="BG1837" s="38"/>
      <c r="BH1837" s="11"/>
      <c r="BI1837" s="1"/>
      <c r="BJ1837" s="2"/>
      <c r="BK1837" s="1"/>
      <c r="BL1837" s="1"/>
      <c r="BM1837" s="7"/>
      <c r="BN1837" s="7"/>
      <c r="BO1837" s="1"/>
      <c r="BP1837" s="11"/>
      <c r="BQ1837" s="11"/>
    </row>
    <row r="1838" spans="1:69" x14ac:dyDescent="0.3">
      <c r="A1838" s="7"/>
      <c r="B1838" s="11"/>
      <c r="C1838" s="11"/>
      <c r="D1838" s="11"/>
      <c r="E1838" s="45"/>
      <c r="F1838" s="40"/>
      <c r="G1838" s="11"/>
      <c r="K1838" s="40"/>
      <c r="N1838" s="11"/>
      <c r="O1838" s="11"/>
      <c r="P1838" s="11"/>
      <c r="Q1838" s="11"/>
      <c r="R1838" s="11"/>
      <c r="S1838" s="11"/>
      <c r="T1838" s="11"/>
      <c r="U1838" s="11"/>
      <c r="V1838" s="11"/>
      <c r="W1838" s="11"/>
      <c r="X1838" s="11"/>
      <c r="Y1838" s="11"/>
      <c r="Z1838" s="11"/>
      <c r="AA1838" s="11"/>
      <c r="AB1838" s="11"/>
      <c r="AC1838" s="11"/>
      <c r="AD1838" s="40"/>
      <c r="AE1838" s="11"/>
      <c r="AF1838" s="40"/>
      <c r="AI1838" s="11"/>
      <c r="AJ1838" s="11"/>
      <c r="AK1838" s="11"/>
      <c r="AL1838" s="11"/>
      <c r="AM1838" s="11"/>
      <c r="AN1838" s="11"/>
      <c r="AO1838" s="11"/>
      <c r="AY1838" s="11"/>
      <c r="BE1838" s="38"/>
      <c r="BF1838" s="38"/>
      <c r="BG1838" s="38"/>
      <c r="BH1838" s="11"/>
      <c r="BI1838" s="1"/>
      <c r="BJ1838" s="2"/>
      <c r="BK1838" s="1"/>
      <c r="BL1838" s="1"/>
      <c r="BM1838" s="7"/>
      <c r="BN1838" s="7"/>
      <c r="BO1838" s="1"/>
      <c r="BP1838" s="11"/>
      <c r="BQ1838" s="11"/>
    </row>
    <row r="1839" spans="1:69" x14ac:dyDescent="0.3">
      <c r="A1839" s="7"/>
      <c r="B1839" s="11"/>
      <c r="C1839" s="11"/>
      <c r="D1839" s="11"/>
      <c r="E1839" s="45"/>
      <c r="F1839" s="40"/>
      <c r="G1839" s="11"/>
      <c r="K1839" s="40"/>
      <c r="N1839" s="11"/>
      <c r="O1839" s="11"/>
      <c r="P1839" s="11"/>
      <c r="Q1839" s="11"/>
      <c r="R1839" s="11"/>
      <c r="S1839" s="11"/>
      <c r="T1839" s="11"/>
      <c r="U1839" s="11"/>
      <c r="V1839" s="11"/>
      <c r="W1839" s="11"/>
      <c r="X1839" s="11"/>
      <c r="Y1839" s="11"/>
      <c r="Z1839" s="11"/>
      <c r="AA1839" s="11"/>
      <c r="AB1839" s="11"/>
      <c r="AC1839" s="11"/>
      <c r="AD1839" s="40"/>
      <c r="AE1839" s="11"/>
      <c r="AF1839" s="40"/>
      <c r="AI1839" s="11"/>
      <c r="AJ1839" s="11"/>
      <c r="AK1839" s="11"/>
      <c r="AL1839" s="11"/>
      <c r="AM1839" s="11"/>
      <c r="AN1839" s="11"/>
      <c r="AO1839" s="11"/>
      <c r="AY1839" s="11"/>
      <c r="BE1839" s="38"/>
      <c r="BF1839" s="38"/>
      <c r="BG1839" s="38"/>
      <c r="BH1839" s="11"/>
      <c r="BI1839" s="1"/>
      <c r="BJ1839" s="2"/>
      <c r="BK1839" s="1"/>
      <c r="BL1839" s="1"/>
      <c r="BM1839" s="7"/>
      <c r="BN1839" s="7"/>
      <c r="BO1839" s="1"/>
      <c r="BP1839" s="11"/>
      <c r="BQ1839" s="11"/>
    </row>
    <row r="1840" spans="1:69" x14ac:dyDescent="0.3">
      <c r="A1840" s="7"/>
      <c r="B1840" s="11"/>
      <c r="C1840" s="11"/>
      <c r="D1840" s="11"/>
      <c r="E1840" s="45"/>
      <c r="F1840" s="40"/>
      <c r="G1840" s="11"/>
      <c r="K1840" s="40"/>
      <c r="N1840" s="11"/>
      <c r="O1840" s="11"/>
      <c r="P1840" s="11"/>
      <c r="Q1840" s="11"/>
      <c r="R1840" s="11"/>
      <c r="S1840" s="11"/>
      <c r="T1840" s="11"/>
      <c r="U1840" s="11"/>
      <c r="V1840" s="11"/>
      <c r="W1840" s="11"/>
      <c r="X1840" s="11"/>
      <c r="Y1840" s="11"/>
      <c r="Z1840" s="11"/>
      <c r="AA1840" s="11"/>
      <c r="AB1840" s="11"/>
      <c r="AC1840" s="11"/>
      <c r="AD1840" s="40"/>
      <c r="AE1840" s="11"/>
      <c r="AF1840" s="40"/>
      <c r="AI1840" s="11"/>
      <c r="AJ1840" s="11"/>
      <c r="AK1840" s="11"/>
      <c r="AL1840" s="11"/>
      <c r="AM1840" s="11"/>
      <c r="AN1840" s="11"/>
      <c r="AO1840" s="11"/>
      <c r="AY1840" s="11"/>
      <c r="BE1840" s="38"/>
      <c r="BF1840" s="38"/>
      <c r="BG1840" s="38"/>
      <c r="BH1840" s="11"/>
      <c r="BI1840" s="1"/>
      <c r="BJ1840" s="2"/>
      <c r="BK1840" s="1"/>
      <c r="BL1840" s="1"/>
      <c r="BM1840" s="7"/>
      <c r="BN1840" s="7"/>
      <c r="BO1840" s="1"/>
      <c r="BP1840" s="11"/>
      <c r="BQ1840" s="11"/>
    </row>
    <row r="1841" spans="1:69" x14ac:dyDescent="0.3">
      <c r="A1841" s="7"/>
      <c r="B1841" s="11"/>
      <c r="C1841" s="11"/>
      <c r="D1841" s="11"/>
      <c r="E1841" s="45"/>
      <c r="F1841" s="40"/>
      <c r="G1841" s="11"/>
      <c r="K1841" s="40"/>
      <c r="N1841" s="11"/>
      <c r="O1841" s="11"/>
      <c r="P1841" s="11"/>
      <c r="Q1841" s="11"/>
      <c r="R1841" s="11"/>
      <c r="S1841" s="11"/>
      <c r="T1841" s="11"/>
      <c r="U1841" s="11"/>
      <c r="V1841" s="11"/>
      <c r="W1841" s="11"/>
      <c r="X1841" s="11"/>
      <c r="Y1841" s="11"/>
      <c r="Z1841" s="11"/>
      <c r="AA1841" s="11"/>
      <c r="AB1841" s="11"/>
      <c r="AC1841" s="11"/>
      <c r="AD1841" s="40"/>
      <c r="AE1841" s="11"/>
      <c r="AF1841" s="40"/>
      <c r="AI1841" s="11"/>
      <c r="AJ1841" s="11"/>
      <c r="AK1841" s="11"/>
      <c r="AL1841" s="11"/>
      <c r="AM1841" s="11"/>
      <c r="AN1841" s="11"/>
      <c r="AO1841" s="11"/>
      <c r="AY1841" s="11"/>
      <c r="BE1841" s="38"/>
      <c r="BF1841" s="38"/>
      <c r="BG1841" s="38"/>
      <c r="BH1841" s="11"/>
      <c r="BI1841" s="1"/>
      <c r="BJ1841" s="2"/>
      <c r="BK1841" s="1"/>
      <c r="BL1841" s="1"/>
      <c r="BM1841" s="7"/>
      <c r="BN1841" s="7"/>
      <c r="BO1841" s="1"/>
      <c r="BP1841" s="11"/>
      <c r="BQ1841" s="11"/>
    </row>
    <row r="1842" spans="1:69" x14ac:dyDescent="0.3">
      <c r="A1842" s="7"/>
      <c r="B1842" s="11"/>
      <c r="C1842" s="11"/>
      <c r="D1842" s="11"/>
      <c r="E1842" s="45"/>
      <c r="F1842" s="40"/>
      <c r="G1842" s="11"/>
      <c r="K1842" s="40"/>
      <c r="N1842" s="11"/>
      <c r="O1842" s="11"/>
      <c r="P1842" s="11"/>
      <c r="Q1842" s="11"/>
      <c r="R1842" s="11"/>
      <c r="S1842" s="11"/>
      <c r="T1842" s="11"/>
      <c r="U1842" s="11"/>
      <c r="V1842" s="11"/>
      <c r="W1842" s="11"/>
      <c r="X1842" s="11"/>
      <c r="Y1842" s="11"/>
      <c r="Z1842" s="11"/>
      <c r="AA1842" s="11"/>
      <c r="AB1842" s="11"/>
      <c r="AC1842" s="11"/>
      <c r="AD1842" s="40"/>
      <c r="AE1842" s="11"/>
      <c r="AF1842" s="40"/>
      <c r="AI1842" s="11"/>
      <c r="AJ1842" s="11"/>
      <c r="AK1842" s="11"/>
      <c r="AL1842" s="11"/>
      <c r="AM1842" s="11"/>
      <c r="AN1842" s="11"/>
      <c r="AO1842" s="11"/>
      <c r="AY1842" s="11"/>
      <c r="BE1842" s="38"/>
      <c r="BF1842" s="38"/>
      <c r="BG1842" s="38"/>
      <c r="BH1842" s="11"/>
      <c r="BI1842" s="1"/>
      <c r="BJ1842" s="2"/>
      <c r="BK1842" s="1"/>
      <c r="BL1842" s="1"/>
      <c r="BM1842" s="7"/>
      <c r="BN1842" s="7"/>
      <c r="BO1842" s="1"/>
      <c r="BP1842" s="11"/>
      <c r="BQ1842" s="11"/>
    </row>
    <row r="1843" spans="1:69" x14ac:dyDescent="0.3">
      <c r="A1843" s="7"/>
      <c r="B1843" s="11"/>
      <c r="C1843" s="11"/>
      <c r="D1843" s="11"/>
      <c r="E1843" s="45"/>
      <c r="F1843" s="40"/>
      <c r="G1843" s="11"/>
      <c r="K1843" s="40"/>
      <c r="N1843" s="11"/>
      <c r="O1843" s="11"/>
      <c r="P1843" s="11"/>
      <c r="Q1843" s="11"/>
      <c r="R1843" s="11"/>
      <c r="S1843" s="11"/>
      <c r="T1843" s="11"/>
      <c r="U1843" s="11"/>
      <c r="V1843" s="11"/>
      <c r="W1843" s="11"/>
      <c r="X1843" s="11"/>
      <c r="Y1843" s="11"/>
      <c r="Z1843" s="11"/>
      <c r="AA1843" s="11"/>
      <c r="AB1843" s="11"/>
      <c r="AC1843" s="11"/>
      <c r="AD1843" s="40"/>
      <c r="AE1843" s="11"/>
      <c r="AF1843" s="40"/>
      <c r="AI1843" s="11"/>
      <c r="AJ1843" s="11"/>
      <c r="AK1843" s="11"/>
      <c r="AL1843" s="11"/>
      <c r="AM1843" s="11"/>
      <c r="AN1843" s="11"/>
      <c r="AO1843" s="11"/>
      <c r="AY1843" s="11"/>
      <c r="BE1843" s="38"/>
      <c r="BF1843" s="38"/>
      <c r="BG1843" s="38"/>
      <c r="BH1843" s="11"/>
      <c r="BI1843" s="1"/>
      <c r="BJ1843" s="2"/>
      <c r="BK1843" s="1"/>
      <c r="BL1843" s="1"/>
      <c r="BM1843" s="7"/>
      <c r="BN1843" s="7"/>
      <c r="BO1843" s="1"/>
      <c r="BP1843" s="11"/>
      <c r="BQ1843" s="11"/>
    </row>
    <row r="1844" spans="1:69" x14ac:dyDescent="0.3">
      <c r="A1844" s="7"/>
      <c r="B1844" s="11"/>
      <c r="C1844" s="11"/>
      <c r="D1844" s="11"/>
      <c r="E1844" s="45"/>
      <c r="F1844" s="40"/>
      <c r="G1844" s="11"/>
      <c r="K1844" s="40"/>
      <c r="N1844" s="11"/>
      <c r="O1844" s="11"/>
      <c r="P1844" s="11"/>
      <c r="Q1844" s="11"/>
      <c r="R1844" s="11"/>
      <c r="S1844" s="11"/>
      <c r="T1844" s="11"/>
      <c r="U1844" s="11"/>
      <c r="V1844" s="11"/>
      <c r="W1844" s="11"/>
      <c r="X1844" s="11"/>
      <c r="Y1844" s="11"/>
      <c r="Z1844" s="11"/>
      <c r="AA1844" s="11"/>
      <c r="AB1844" s="11"/>
      <c r="AC1844" s="11"/>
      <c r="AD1844" s="40"/>
      <c r="AE1844" s="11"/>
      <c r="AF1844" s="40"/>
      <c r="AI1844" s="11"/>
      <c r="AJ1844" s="11"/>
      <c r="AK1844" s="11"/>
      <c r="AL1844" s="11"/>
      <c r="AM1844" s="11"/>
      <c r="AN1844" s="11"/>
      <c r="AO1844" s="11"/>
      <c r="AY1844" s="11"/>
      <c r="BE1844" s="38"/>
      <c r="BF1844" s="38"/>
      <c r="BG1844" s="38"/>
      <c r="BH1844" s="11"/>
      <c r="BI1844" s="1"/>
      <c r="BJ1844" s="2"/>
      <c r="BK1844" s="1"/>
      <c r="BL1844" s="1"/>
      <c r="BM1844" s="7"/>
      <c r="BN1844" s="7"/>
      <c r="BO1844" s="1"/>
      <c r="BP1844" s="11"/>
      <c r="BQ1844" s="11"/>
    </row>
    <row r="1845" spans="1:69" x14ac:dyDescent="0.3">
      <c r="A1845" s="7"/>
      <c r="B1845" s="11"/>
      <c r="C1845" s="11"/>
      <c r="D1845" s="11"/>
      <c r="E1845" s="45"/>
      <c r="F1845" s="40"/>
      <c r="G1845" s="11"/>
      <c r="K1845" s="40"/>
      <c r="N1845" s="11"/>
      <c r="O1845" s="11"/>
      <c r="P1845" s="11"/>
      <c r="Q1845" s="11"/>
      <c r="R1845" s="11"/>
      <c r="S1845" s="11"/>
      <c r="T1845" s="11"/>
      <c r="U1845" s="11"/>
      <c r="V1845" s="11"/>
      <c r="W1845" s="11"/>
      <c r="X1845" s="11"/>
      <c r="Y1845" s="11"/>
      <c r="Z1845" s="11"/>
      <c r="AA1845" s="11"/>
      <c r="AB1845" s="11"/>
      <c r="AC1845" s="11"/>
      <c r="AD1845" s="40"/>
      <c r="AE1845" s="11"/>
      <c r="AF1845" s="40"/>
      <c r="AI1845" s="11"/>
      <c r="AJ1845" s="11"/>
      <c r="AK1845" s="11"/>
      <c r="AL1845" s="11"/>
      <c r="AM1845" s="11"/>
      <c r="AN1845" s="11"/>
      <c r="AO1845" s="11"/>
      <c r="AY1845" s="11"/>
      <c r="BE1845" s="38"/>
      <c r="BF1845" s="38"/>
      <c r="BG1845" s="38"/>
      <c r="BH1845" s="11"/>
      <c r="BI1845" s="1"/>
      <c r="BJ1845" s="2"/>
      <c r="BK1845" s="1"/>
      <c r="BL1845" s="1"/>
      <c r="BM1845" s="7"/>
      <c r="BN1845" s="7"/>
      <c r="BO1845" s="1"/>
      <c r="BP1845" s="11"/>
      <c r="BQ1845" s="11"/>
    </row>
    <row r="1846" spans="1:69" x14ac:dyDescent="0.3">
      <c r="A1846" s="7"/>
      <c r="B1846" s="11"/>
      <c r="C1846" s="11"/>
      <c r="D1846" s="11"/>
      <c r="E1846" s="45"/>
      <c r="F1846" s="40"/>
      <c r="G1846" s="11"/>
      <c r="K1846" s="40"/>
      <c r="N1846" s="11"/>
      <c r="O1846" s="11"/>
      <c r="P1846" s="11"/>
      <c r="Q1846" s="11"/>
      <c r="R1846" s="11"/>
      <c r="S1846" s="11"/>
      <c r="T1846" s="11"/>
      <c r="U1846" s="11"/>
      <c r="V1846" s="11"/>
      <c r="W1846" s="11"/>
      <c r="X1846" s="11"/>
      <c r="Y1846" s="11"/>
      <c r="Z1846" s="11"/>
      <c r="AA1846" s="11"/>
      <c r="AB1846" s="11"/>
      <c r="AC1846" s="11"/>
      <c r="AD1846" s="40"/>
      <c r="AE1846" s="11"/>
      <c r="AF1846" s="40"/>
      <c r="AI1846" s="11"/>
      <c r="AJ1846" s="11"/>
      <c r="AK1846" s="11"/>
      <c r="AL1846" s="11"/>
      <c r="AM1846" s="11"/>
      <c r="AN1846" s="11"/>
      <c r="AO1846" s="11"/>
      <c r="AY1846" s="11"/>
      <c r="BE1846" s="38"/>
      <c r="BF1846" s="38"/>
      <c r="BG1846" s="38"/>
      <c r="BH1846" s="11"/>
      <c r="BI1846" s="1"/>
      <c r="BJ1846" s="2"/>
      <c r="BK1846" s="1"/>
      <c r="BL1846" s="1"/>
      <c r="BM1846" s="7"/>
      <c r="BN1846" s="7"/>
      <c r="BO1846" s="1"/>
      <c r="BP1846" s="11"/>
      <c r="BQ1846" s="11"/>
    </row>
    <row r="1847" spans="1:69" x14ac:dyDescent="0.3">
      <c r="A1847" s="7"/>
      <c r="B1847" s="11"/>
      <c r="C1847" s="11"/>
      <c r="D1847" s="11"/>
      <c r="E1847" s="45"/>
      <c r="F1847" s="40"/>
      <c r="G1847" s="11"/>
      <c r="K1847" s="40"/>
      <c r="N1847" s="11"/>
      <c r="O1847" s="11"/>
      <c r="P1847" s="11"/>
      <c r="Q1847" s="11"/>
      <c r="R1847" s="11"/>
      <c r="S1847" s="11"/>
      <c r="T1847" s="11"/>
      <c r="U1847" s="11"/>
      <c r="V1847" s="11"/>
      <c r="W1847" s="11"/>
      <c r="X1847" s="11"/>
      <c r="Y1847" s="11"/>
      <c r="Z1847" s="11"/>
      <c r="AA1847" s="11"/>
      <c r="AB1847" s="11"/>
      <c r="AC1847" s="11"/>
      <c r="AD1847" s="40"/>
      <c r="AE1847" s="11"/>
      <c r="AF1847" s="40"/>
      <c r="AI1847" s="11"/>
      <c r="AJ1847" s="11"/>
      <c r="AK1847" s="11"/>
      <c r="AL1847" s="11"/>
      <c r="AM1847" s="11"/>
      <c r="AN1847" s="11"/>
      <c r="AO1847" s="11"/>
      <c r="AY1847" s="11"/>
      <c r="BE1847" s="38"/>
      <c r="BF1847" s="38"/>
      <c r="BG1847" s="38"/>
      <c r="BH1847" s="11"/>
      <c r="BI1847" s="1"/>
      <c r="BJ1847" s="2"/>
      <c r="BK1847" s="1"/>
      <c r="BL1847" s="1"/>
      <c r="BM1847" s="7"/>
      <c r="BN1847" s="7"/>
      <c r="BO1847" s="1"/>
      <c r="BP1847" s="11"/>
      <c r="BQ1847" s="11"/>
    </row>
    <row r="1848" spans="1:69" x14ac:dyDescent="0.3">
      <c r="A1848" s="7"/>
      <c r="B1848" s="11"/>
      <c r="C1848" s="11"/>
      <c r="D1848" s="11"/>
      <c r="E1848" s="45"/>
      <c r="F1848" s="40"/>
      <c r="G1848" s="11"/>
      <c r="K1848" s="40"/>
      <c r="N1848" s="11"/>
      <c r="O1848" s="11"/>
      <c r="P1848" s="11"/>
      <c r="Q1848" s="11"/>
      <c r="R1848" s="11"/>
      <c r="S1848" s="11"/>
      <c r="T1848" s="11"/>
      <c r="U1848" s="11"/>
      <c r="V1848" s="11"/>
      <c r="W1848" s="11"/>
      <c r="X1848" s="11"/>
      <c r="Y1848" s="11"/>
      <c r="Z1848" s="11"/>
      <c r="AA1848" s="11"/>
      <c r="AB1848" s="11"/>
      <c r="AC1848" s="11"/>
      <c r="AD1848" s="40"/>
      <c r="AE1848" s="11"/>
      <c r="AF1848" s="40"/>
      <c r="AI1848" s="11"/>
      <c r="AJ1848" s="11"/>
      <c r="AK1848" s="11"/>
      <c r="AL1848" s="11"/>
      <c r="AM1848" s="11"/>
      <c r="AN1848" s="11"/>
      <c r="AO1848" s="11"/>
      <c r="AY1848" s="11"/>
      <c r="BE1848" s="38"/>
      <c r="BF1848" s="38"/>
      <c r="BG1848" s="38"/>
      <c r="BH1848" s="11"/>
      <c r="BI1848" s="1"/>
      <c r="BJ1848" s="2"/>
      <c r="BK1848" s="1"/>
      <c r="BL1848" s="1"/>
      <c r="BM1848" s="7"/>
      <c r="BN1848" s="7"/>
      <c r="BO1848" s="1"/>
      <c r="BP1848" s="11"/>
      <c r="BQ1848" s="11"/>
    </row>
    <row r="1849" spans="1:69" x14ac:dyDescent="0.3">
      <c r="A1849" s="7"/>
      <c r="B1849" s="11"/>
      <c r="C1849" s="11"/>
      <c r="D1849" s="11"/>
      <c r="E1849" s="45"/>
      <c r="F1849" s="40"/>
      <c r="G1849" s="11"/>
      <c r="K1849" s="40"/>
      <c r="N1849" s="11"/>
      <c r="O1849" s="11"/>
      <c r="P1849" s="11"/>
      <c r="Q1849" s="11"/>
      <c r="R1849" s="11"/>
      <c r="S1849" s="11"/>
      <c r="T1849" s="11"/>
      <c r="U1849" s="11"/>
      <c r="V1849" s="11"/>
      <c r="W1849" s="11"/>
      <c r="X1849" s="11"/>
      <c r="Y1849" s="11"/>
      <c r="Z1849" s="11"/>
      <c r="AA1849" s="11"/>
      <c r="AB1849" s="11"/>
      <c r="AC1849" s="11"/>
      <c r="AD1849" s="40"/>
      <c r="AE1849" s="11"/>
      <c r="AF1849" s="40"/>
      <c r="AI1849" s="11"/>
      <c r="AJ1849" s="11"/>
      <c r="AK1849" s="11"/>
      <c r="AL1849" s="11"/>
      <c r="AM1849" s="11"/>
      <c r="AN1849" s="11"/>
      <c r="AO1849" s="11"/>
      <c r="AY1849" s="11"/>
      <c r="BE1849" s="38"/>
      <c r="BF1849" s="38"/>
      <c r="BG1849" s="38"/>
      <c r="BH1849" s="11"/>
      <c r="BI1849" s="1"/>
      <c r="BJ1849" s="2"/>
      <c r="BK1849" s="1"/>
      <c r="BL1849" s="1"/>
      <c r="BM1849" s="7"/>
      <c r="BN1849" s="7"/>
      <c r="BO1849" s="1"/>
      <c r="BP1849" s="11"/>
      <c r="BQ1849" s="11"/>
    </row>
    <row r="1850" spans="1:69" x14ac:dyDescent="0.3">
      <c r="A1850" s="7"/>
      <c r="B1850" s="11"/>
      <c r="C1850" s="11"/>
      <c r="D1850" s="11"/>
      <c r="E1850" s="45"/>
      <c r="F1850" s="40"/>
      <c r="G1850" s="11"/>
      <c r="K1850" s="40"/>
      <c r="N1850" s="11"/>
      <c r="O1850" s="11"/>
      <c r="P1850" s="11"/>
      <c r="Q1850" s="11"/>
      <c r="R1850" s="11"/>
      <c r="S1850" s="11"/>
      <c r="T1850" s="11"/>
      <c r="U1850" s="11"/>
      <c r="V1850" s="11"/>
      <c r="W1850" s="11"/>
      <c r="X1850" s="11"/>
      <c r="Y1850" s="11"/>
      <c r="Z1850" s="11"/>
      <c r="AA1850" s="11"/>
      <c r="AB1850" s="11"/>
      <c r="AC1850" s="11"/>
      <c r="AD1850" s="40"/>
      <c r="AE1850" s="11"/>
      <c r="AF1850" s="40"/>
      <c r="AI1850" s="11"/>
      <c r="AJ1850" s="11"/>
      <c r="AK1850" s="11"/>
      <c r="AL1850" s="11"/>
      <c r="AM1850" s="11"/>
      <c r="AN1850" s="11"/>
      <c r="AO1850" s="11"/>
      <c r="AY1850" s="11"/>
      <c r="BE1850" s="38"/>
      <c r="BF1850" s="38"/>
      <c r="BG1850" s="38"/>
      <c r="BH1850" s="11"/>
      <c r="BI1850" s="1"/>
      <c r="BJ1850" s="2"/>
      <c r="BK1850" s="1"/>
      <c r="BL1850" s="1"/>
      <c r="BM1850" s="7"/>
      <c r="BN1850" s="7"/>
      <c r="BO1850" s="1"/>
      <c r="BP1850" s="11"/>
      <c r="BQ1850" s="11"/>
    </row>
    <row r="1851" spans="1:69" x14ac:dyDescent="0.3">
      <c r="A1851" s="7"/>
      <c r="B1851" s="11"/>
      <c r="C1851" s="11"/>
      <c r="D1851" s="11"/>
      <c r="E1851" s="45"/>
      <c r="F1851" s="40"/>
      <c r="G1851" s="11"/>
      <c r="K1851" s="40"/>
      <c r="N1851" s="11"/>
      <c r="O1851" s="11"/>
      <c r="P1851" s="11"/>
      <c r="Q1851" s="11"/>
      <c r="R1851" s="11"/>
      <c r="S1851" s="11"/>
      <c r="T1851" s="11"/>
      <c r="U1851" s="11"/>
      <c r="V1851" s="11"/>
      <c r="W1851" s="11"/>
      <c r="X1851" s="11"/>
      <c r="Y1851" s="11"/>
      <c r="Z1851" s="11"/>
      <c r="AA1851" s="11"/>
      <c r="AB1851" s="11"/>
      <c r="AC1851" s="11"/>
      <c r="AD1851" s="40"/>
      <c r="AE1851" s="11"/>
      <c r="AF1851" s="40"/>
      <c r="AI1851" s="11"/>
      <c r="AJ1851" s="11"/>
      <c r="AK1851" s="11"/>
      <c r="AL1851" s="11"/>
      <c r="AM1851" s="11"/>
      <c r="AN1851" s="11"/>
      <c r="AO1851" s="11"/>
      <c r="AY1851" s="11"/>
      <c r="BE1851" s="38"/>
      <c r="BF1851" s="38"/>
      <c r="BG1851" s="38"/>
      <c r="BH1851" s="11"/>
      <c r="BI1851" s="1"/>
      <c r="BJ1851" s="2"/>
      <c r="BK1851" s="1"/>
      <c r="BL1851" s="1"/>
      <c r="BM1851" s="7"/>
      <c r="BN1851" s="7"/>
      <c r="BO1851" s="1"/>
      <c r="BP1851" s="11"/>
      <c r="BQ1851" s="11"/>
    </row>
  </sheetData>
  <sheetProtection algorithmName="SHA-512" hashValue="XuEZJzhTbRda1Wo9mXbM8N5xv01ZcFMeL6llClJzv7bBb3hlUZgsvAG11YPPWNmLGDI4CmcJ/Hh/AG0vrBv3JQ==" saltValue="nL/ClVXrjQbu8K2rtbkouA==" spinCount="100000" sheet="1" objects="1" scenarios="1" selectLockedCells="1" selectUnlockedCells="1"/>
  <conditionalFormatting sqref="BK3:BK7 BK54:BK58 BK43:BK47 BK776:BK779 BK812:BK813 BK815:BK817 BK652:BK663 BK137:BK143 BK113:BK114 BK502:BK516 BK150:BK437 BK520:BK530 BK888:BK968 BI584:BI607 BK574:BK607 BK541:BK570 BK447:BK485 BK30:BK37">
    <cfRule type="cellIs" dxfId="696" priority="1317" operator="greaterThan">
      <formula>1</formula>
    </cfRule>
  </conditionalFormatting>
  <conditionalFormatting sqref="BK8">
    <cfRule type="cellIs" dxfId="695" priority="1316" operator="greaterThan">
      <formula>1</formula>
    </cfRule>
  </conditionalFormatting>
  <conditionalFormatting sqref="BK19:BK24">
    <cfRule type="cellIs" dxfId="694" priority="1315" operator="greaterThan">
      <formula>1</formula>
    </cfRule>
  </conditionalFormatting>
  <conditionalFormatting sqref="BK25:BK29">
    <cfRule type="cellIs" dxfId="693" priority="1314" operator="greaterThan">
      <formula>1</formula>
    </cfRule>
  </conditionalFormatting>
  <conditionalFormatting sqref="BK43:BK47">
    <cfRule type="cellIs" dxfId="692" priority="1313" operator="greaterThan">
      <formula>1</formula>
    </cfRule>
  </conditionalFormatting>
  <conditionalFormatting sqref="BK50:BK53">
    <cfRule type="cellIs" dxfId="691" priority="1312" operator="greaterThan">
      <formula>1</formula>
    </cfRule>
  </conditionalFormatting>
  <conditionalFormatting sqref="BK49">
    <cfRule type="cellIs" dxfId="690" priority="1311" operator="greaterThan">
      <formula>1</formula>
    </cfRule>
  </conditionalFormatting>
  <conditionalFormatting sqref="BK48">
    <cfRule type="cellIs" dxfId="689" priority="1310" operator="greaterThan">
      <formula>1</formula>
    </cfRule>
  </conditionalFormatting>
  <conditionalFormatting sqref="BK39:BK42">
    <cfRule type="cellIs" dxfId="688" priority="1308" operator="greaterThan">
      <formula>1</formula>
    </cfRule>
  </conditionalFormatting>
  <conditionalFormatting sqref="BK38">
    <cfRule type="cellIs" dxfId="687" priority="1307" operator="greaterThan">
      <formula>1</formula>
    </cfRule>
  </conditionalFormatting>
  <conditionalFormatting sqref="BK1209">
    <cfRule type="cellIs" dxfId="686" priority="1306" operator="greaterThan">
      <formula>1</formula>
    </cfRule>
  </conditionalFormatting>
  <conditionalFormatting sqref="BK1209">
    <cfRule type="cellIs" dxfId="685" priority="1305" operator="greaterThan">
      <formula>1</formula>
    </cfRule>
  </conditionalFormatting>
  <conditionalFormatting sqref="BK1210:BK1215">
    <cfRule type="cellIs" dxfId="684" priority="1304" operator="greaterThan">
      <formula>1</formula>
    </cfRule>
  </conditionalFormatting>
  <conditionalFormatting sqref="BK1210:BK1215">
    <cfRule type="cellIs" dxfId="683" priority="1303" operator="greaterThan">
      <formula>1</formula>
    </cfRule>
  </conditionalFormatting>
  <conditionalFormatting sqref="BK1216">
    <cfRule type="cellIs" dxfId="682" priority="1302" operator="greaterThan">
      <formula>1</formula>
    </cfRule>
  </conditionalFormatting>
  <conditionalFormatting sqref="BK1216">
    <cfRule type="cellIs" dxfId="681" priority="1301" operator="greaterThan">
      <formula>1</formula>
    </cfRule>
  </conditionalFormatting>
  <conditionalFormatting sqref="BK1217:BK1222">
    <cfRule type="cellIs" dxfId="680" priority="1300" operator="greaterThan">
      <formula>1</formula>
    </cfRule>
  </conditionalFormatting>
  <conditionalFormatting sqref="BK1217:BK1222">
    <cfRule type="cellIs" dxfId="679" priority="1299" operator="greaterThan">
      <formula>1</formula>
    </cfRule>
  </conditionalFormatting>
  <conditionalFormatting sqref="BK1223">
    <cfRule type="cellIs" dxfId="678" priority="1298" operator="greaterThan">
      <formula>1</formula>
    </cfRule>
  </conditionalFormatting>
  <conditionalFormatting sqref="BK1223">
    <cfRule type="cellIs" dxfId="677" priority="1297" operator="greaterThan">
      <formula>1</formula>
    </cfRule>
  </conditionalFormatting>
  <conditionalFormatting sqref="BK1224:BK1229">
    <cfRule type="cellIs" dxfId="676" priority="1296" operator="greaterThan">
      <formula>1</formula>
    </cfRule>
  </conditionalFormatting>
  <conditionalFormatting sqref="BK1224:BK1229">
    <cfRule type="cellIs" dxfId="675" priority="1295" operator="greaterThan">
      <formula>1</formula>
    </cfRule>
  </conditionalFormatting>
  <conditionalFormatting sqref="BK79">
    <cfRule type="cellIs" dxfId="674" priority="1294" operator="greaterThan">
      <formula>1</formula>
    </cfRule>
  </conditionalFormatting>
  <conditionalFormatting sqref="BK79">
    <cfRule type="cellIs" dxfId="673" priority="1293" operator="greaterThan">
      <formula>1</formula>
    </cfRule>
  </conditionalFormatting>
  <conditionalFormatting sqref="BK80">
    <cfRule type="cellIs" dxfId="672" priority="1292" operator="greaterThan">
      <formula>1</formula>
    </cfRule>
  </conditionalFormatting>
  <conditionalFormatting sqref="BK80">
    <cfRule type="cellIs" dxfId="671" priority="1291" operator="greaterThan">
      <formula>1</formula>
    </cfRule>
  </conditionalFormatting>
  <conditionalFormatting sqref="BK81:BK82">
    <cfRule type="cellIs" dxfId="670" priority="1290" operator="greaterThan">
      <formula>1</formula>
    </cfRule>
  </conditionalFormatting>
  <conditionalFormatting sqref="BK81:BK82">
    <cfRule type="cellIs" dxfId="669" priority="1289" operator="greaterThan">
      <formula>1</formula>
    </cfRule>
  </conditionalFormatting>
  <conditionalFormatting sqref="BK1104:BK1114">
    <cfRule type="cellIs" dxfId="668" priority="1286" operator="greaterThan">
      <formula>1</formula>
    </cfRule>
  </conditionalFormatting>
  <conditionalFormatting sqref="BK1098:BK1102">
    <cfRule type="cellIs" dxfId="667" priority="1288" operator="greaterThan">
      <formula>1</formula>
    </cfRule>
  </conditionalFormatting>
  <conditionalFormatting sqref="BK1103">
    <cfRule type="cellIs" dxfId="666" priority="1287" operator="greaterThan">
      <formula>1</formula>
    </cfRule>
  </conditionalFormatting>
  <conditionalFormatting sqref="BK1131:BK1135">
    <cfRule type="cellIs" dxfId="665" priority="1283" operator="greaterThan">
      <formula>1</formula>
    </cfRule>
  </conditionalFormatting>
  <conditionalFormatting sqref="BK1125:BK1129">
    <cfRule type="cellIs" dxfId="664" priority="1285" operator="greaterThan">
      <formula>1</formula>
    </cfRule>
  </conditionalFormatting>
  <conditionalFormatting sqref="BK1130">
    <cfRule type="cellIs" dxfId="663" priority="1284" operator="greaterThan">
      <formula>1</formula>
    </cfRule>
  </conditionalFormatting>
  <conditionalFormatting sqref="BK115">
    <cfRule type="cellIs" dxfId="662" priority="1282" operator="greaterThan">
      <formula>1</formula>
    </cfRule>
  </conditionalFormatting>
  <conditionalFormatting sqref="BK608:BK613">
    <cfRule type="cellIs" dxfId="661" priority="1281" operator="greaterThan">
      <formula>1</formula>
    </cfRule>
  </conditionalFormatting>
  <conditionalFormatting sqref="BK624:BK625">
    <cfRule type="cellIs" dxfId="660" priority="1280" operator="greaterThan">
      <formula>1</formula>
    </cfRule>
  </conditionalFormatting>
  <conditionalFormatting sqref="BK626">
    <cfRule type="cellIs" dxfId="659" priority="1279" operator="greaterThan">
      <formula>1</formula>
    </cfRule>
  </conditionalFormatting>
  <conditionalFormatting sqref="BK628">
    <cfRule type="cellIs" dxfId="658" priority="1278" operator="greaterThan">
      <formula>1</formula>
    </cfRule>
  </conditionalFormatting>
  <conditionalFormatting sqref="BK1136">
    <cfRule type="cellIs" dxfId="657" priority="1277" operator="greaterThan">
      <formula>1</formula>
    </cfRule>
  </conditionalFormatting>
  <conditionalFormatting sqref="BK1138">
    <cfRule type="cellIs" dxfId="656" priority="1276" operator="greaterThan">
      <formula>1</formula>
    </cfRule>
  </conditionalFormatting>
  <conditionalFormatting sqref="BK1176">
    <cfRule type="cellIs" dxfId="655" priority="1274" operator="greaterThan">
      <formula>1</formula>
    </cfRule>
  </conditionalFormatting>
  <conditionalFormatting sqref="BK1174">
    <cfRule type="cellIs" dxfId="654" priority="1275" operator="greaterThan">
      <formula>1</formula>
    </cfRule>
  </conditionalFormatting>
  <conditionalFormatting sqref="BK1198">
    <cfRule type="cellIs" dxfId="653" priority="1272" operator="greaterThan">
      <formula>1</formula>
    </cfRule>
  </conditionalFormatting>
  <conditionalFormatting sqref="BK1196">
    <cfRule type="cellIs" dxfId="652" priority="1273" operator="greaterThan">
      <formula>1</formula>
    </cfRule>
  </conditionalFormatting>
  <conditionalFormatting sqref="BK632">
    <cfRule type="cellIs" dxfId="651" priority="1270" operator="greaterThan">
      <formula>1</formula>
    </cfRule>
  </conditionalFormatting>
  <conditionalFormatting sqref="BK630">
    <cfRule type="cellIs" dxfId="650" priority="1271" operator="greaterThan">
      <formula>1</formula>
    </cfRule>
  </conditionalFormatting>
  <conditionalFormatting sqref="N3:S3">
    <cfRule type="colorScale" priority="12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:S11 N13:S47">
    <cfRule type="colorScale" priority="126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K88">
    <cfRule type="cellIs" dxfId="649" priority="1268" operator="greaterThan">
      <formula>1</formula>
    </cfRule>
  </conditionalFormatting>
  <conditionalFormatting sqref="BK88">
    <cfRule type="cellIs" dxfId="648" priority="1267" operator="greaterThan">
      <formula>1</formula>
    </cfRule>
  </conditionalFormatting>
  <conditionalFormatting sqref="BK89:BK90">
    <cfRule type="cellIs" dxfId="647" priority="1266" operator="greaterThan">
      <formula>1</formula>
    </cfRule>
  </conditionalFormatting>
  <conditionalFormatting sqref="BK89:BK90">
    <cfRule type="cellIs" dxfId="646" priority="1265" operator="greaterThan">
      <formula>1</formula>
    </cfRule>
  </conditionalFormatting>
  <conditionalFormatting sqref="BK165">
    <cfRule type="cellIs" dxfId="645" priority="1264" operator="greaterThan">
      <formula>1</formula>
    </cfRule>
  </conditionalFormatting>
  <conditionalFormatting sqref="BK676:BK678">
    <cfRule type="cellIs" dxfId="644" priority="1263" operator="greaterThan">
      <formula>1</formula>
    </cfRule>
  </conditionalFormatting>
  <conditionalFormatting sqref="BK679">
    <cfRule type="cellIs" dxfId="643" priority="1262" operator="greaterThan">
      <formula>1</formula>
    </cfRule>
  </conditionalFormatting>
  <conditionalFormatting sqref="BK188:BK190">
    <cfRule type="cellIs" dxfId="642" priority="1261" operator="greaterThan">
      <formula>1</formula>
    </cfRule>
  </conditionalFormatting>
  <conditionalFormatting sqref="BK197">
    <cfRule type="cellIs" dxfId="641" priority="1260" operator="greaterThan">
      <formula>1</formula>
    </cfRule>
  </conditionalFormatting>
  <conditionalFormatting sqref="BK751">
    <cfRule type="cellIs" dxfId="640" priority="1259" operator="greaterThan">
      <formula>1</formula>
    </cfRule>
  </conditionalFormatting>
  <conditionalFormatting sqref="BK218:BK220">
    <cfRule type="cellIs" dxfId="639" priority="1258" operator="greaterThan">
      <formula>1</formula>
    </cfRule>
  </conditionalFormatting>
  <conditionalFormatting sqref="BK221">
    <cfRule type="cellIs" dxfId="638" priority="1257" operator="greaterThan">
      <formula>1</formula>
    </cfRule>
  </conditionalFormatting>
  <conditionalFormatting sqref="BK222:BK228">
    <cfRule type="cellIs" dxfId="637" priority="1256" operator="greaterThan">
      <formula>1</formula>
    </cfRule>
  </conditionalFormatting>
  <conditionalFormatting sqref="BK234">
    <cfRule type="cellIs" dxfId="636" priority="1255" operator="greaterThan">
      <formula>1</formula>
    </cfRule>
  </conditionalFormatting>
  <conditionalFormatting sqref="BK235:BK243">
    <cfRule type="cellIs" dxfId="635" priority="1254" operator="greaterThan">
      <formula>1</formula>
    </cfRule>
  </conditionalFormatting>
  <conditionalFormatting sqref="BK247:BK346">
    <cfRule type="cellIs" dxfId="634" priority="1253" operator="greaterThan">
      <formula>1</formula>
    </cfRule>
  </conditionalFormatting>
  <conditionalFormatting sqref="BK347:BK356">
    <cfRule type="cellIs" dxfId="633" priority="1252" operator="greaterThan">
      <formula>1</formula>
    </cfRule>
  </conditionalFormatting>
  <conditionalFormatting sqref="BK357:BK375">
    <cfRule type="cellIs" dxfId="632" priority="1251" operator="greaterThan">
      <formula>1</formula>
    </cfRule>
  </conditionalFormatting>
  <conditionalFormatting sqref="BK389:BK393">
    <cfRule type="cellIs" dxfId="631" priority="1250" operator="greaterThan">
      <formula>1</formula>
    </cfRule>
  </conditionalFormatting>
  <conditionalFormatting sqref="BK394:BK398">
    <cfRule type="cellIs" dxfId="630" priority="1249" operator="greaterThan">
      <formula>1</formula>
    </cfRule>
  </conditionalFormatting>
  <conditionalFormatting sqref="BK394:BK398">
    <cfRule type="cellIs" dxfId="629" priority="1248" operator="greaterThan">
      <formula>1</formula>
    </cfRule>
  </conditionalFormatting>
  <conditionalFormatting sqref="BK399">
    <cfRule type="cellIs" dxfId="628" priority="1247" operator="greaterThan">
      <formula>1</formula>
    </cfRule>
  </conditionalFormatting>
  <conditionalFormatting sqref="BK403">
    <cfRule type="cellIs" dxfId="627" priority="1246" operator="greaterThan">
      <formula>1</formula>
    </cfRule>
  </conditionalFormatting>
  <conditionalFormatting sqref="BK452:BK454">
    <cfRule type="cellIs" dxfId="626" priority="1245" operator="greaterThan">
      <formula>1</formula>
    </cfRule>
  </conditionalFormatting>
  <conditionalFormatting sqref="BK459">
    <cfRule type="cellIs" dxfId="625" priority="1244" operator="greaterThan">
      <formula>1</formula>
    </cfRule>
  </conditionalFormatting>
  <conditionalFormatting sqref="BK461">
    <cfRule type="cellIs" dxfId="624" priority="1243" operator="greaterThan">
      <formula>1</formula>
    </cfRule>
  </conditionalFormatting>
  <conditionalFormatting sqref="BK462:BK471">
    <cfRule type="cellIs" dxfId="623" priority="1242" operator="greaterThan">
      <formula>1</formula>
    </cfRule>
  </conditionalFormatting>
  <conditionalFormatting sqref="BK761:BK765">
    <cfRule type="cellIs" dxfId="622" priority="1241" operator="greaterThan">
      <formula>1</formula>
    </cfRule>
  </conditionalFormatting>
  <conditionalFormatting sqref="BK773:BK775">
    <cfRule type="cellIs" dxfId="621" priority="1240" operator="greaterThan">
      <formula>1</formula>
    </cfRule>
  </conditionalFormatting>
  <conditionalFormatting sqref="BK814">
    <cfRule type="cellIs" dxfId="620" priority="1239" operator="greaterThan">
      <formula>1</formula>
    </cfRule>
  </conditionalFormatting>
  <conditionalFormatting sqref="BK819">
    <cfRule type="cellIs" dxfId="619" priority="1238" operator="greaterThan">
      <formula>1</formula>
    </cfRule>
  </conditionalFormatting>
  <conditionalFormatting sqref="BK822">
    <cfRule type="cellIs" dxfId="618" priority="1237" operator="greaterThan">
      <formula>1</formula>
    </cfRule>
  </conditionalFormatting>
  <conditionalFormatting sqref="BK820:BK821">
    <cfRule type="cellIs" dxfId="617" priority="1236" operator="greaterThan">
      <formula>1</formula>
    </cfRule>
  </conditionalFormatting>
  <conditionalFormatting sqref="BK826:BK844">
    <cfRule type="cellIs" dxfId="616" priority="1235" operator="greaterThan">
      <formula>1</formula>
    </cfRule>
  </conditionalFormatting>
  <conditionalFormatting sqref="BK845">
    <cfRule type="cellIs" dxfId="615" priority="1234" operator="greaterThan">
      <formula>1</formula>
    </cfRule>
  </conditionalFormatting>
  <conditionalFormatting sqref="BK860:BK864">
    <cfRule type="cellIs" dxfId="614" priority="1233" operator="greaterThan">
      <formula>1</formula>
    </cfRule>
  </conditionalFormatting>
  <conditionalFormatting sqref="BK865">
    <cfRule type="cellIs" dxfId="613" priority="1232" operator="greaterThan">
      <formula>1</formula>
    </cfRule>
  </conditionalFormatting>
  <conditionalFormatting sqref="BK869">
    <cfRule type="cellIs" dxfId="612" priority="1231" operator="greaterThan">
      <formula>1</formula>
    </cfRule>
  </conditionalFormatting>
  <conditionalFormatting sqref="BK999">
    <cfRule type="cellIs" dxfId="611" priority="1230" operator="greaterThan">
      <formula>1</formula>
    </cfRule>
  </conditionalFormatting>
  <conditionalFormatting sqref="BK1000:BK1006">
    <cfRule type="cellIs" dxfId="610" priority="1229" operator="greaterThan">
      <formula>1</formula>
    </cfRule>
  </conditionalFormatting>
  <conditionalFormatting sqref="BK1034">
    <cfRule type="cellIs" dxfId="609" priority="1228" operator="greaterThan">
      <formula>1</formula>
    </cfRule>
  </conditionalFormatting>
  <conditionalFormatting sqref="BK1033">
    <cfRule type="cellIs" dxfId="608" priority="1227" operator="greaterThan">
      <formula>1</formula>
    </cfRule>
  </conditionalFormatting>
  <conditionalFormatting sqref="BK969:BK998">
    <cfRule type="cellIs" dxfId="607" priority="1225" operator="greaterThan">
      <formula>1</formula>
    </cfRule>
  </conditionalFormatting>
  <conditionalFormatting sqref="BK483:BK485">
    <cfRule type="cellIs" dxfId="606" priority="1224" operator="greaterThan">
      <formula>1</formula>
    </cfRule>
  </conditionalFormatting>
  <conditionalFormatting sqref="BK502:BK506">
    <cfRule type="cellIs" dxfId="605" priority="1223" operator="greaterThan">
      <formula>1</formula>
    </cfRule>
  </conditionalFormatting>
  <conditionalFormatting sqref="BK507">
    <cfRule type="cellIs" dxfId="604" priority="1222" operator="greaterThan">
      <formula>1</formula>
    </cfRule>
  </conditionalFormatting>
  <conditionalFormatting sqref="BK510">
    <cfRule type="cellIs" dxfId="603" priority="1221" operator="greaterThan">
      <formula>1</formula>
    </cfRule>
  </conditionalFormatting>
  <conditionalFormatting sqref="BK511:BK515">
    <cfRule type="cellIs" dxfId="602" priority="1220" operator="greaterThan">
      <formula>1</formula>
    </cfRule>
  </conditionalFormatting>
  <conditionalFormatting sqref="BK530">
    <cfRule type="cellIs" dxfId="601" priority="1219" operator="greaterThan">
      <formula>1</formula>
    </cfRule>
  </conditionalFormatting>
  <conditionalFormatting sqref="BK541:BK545">
    <cfRule type="cellIs" dxfId="600" priority="1218" operator="greaterThan">
      <formula>1</formula>
    </cfRule>
  </conditionalFormatting>
  <conditionalFormatting sqref="BK1047:BK1051">
    <cfRule type="cellIs" dxfId="599" priority="1217" operator="greaterThan">
      <formula>1</formula>
    </cfRule>
  </conditionalFormatting>
  <conditionalFormatting sqref="V502:Y516 T502:T516 T520:T530 V520:Y530 T60:T90 T1047:T1229 V860:Y1229 V676:Y848 T749:T760 V574:Y665 T574:T651 V541:Y570 T541:T570 V447:Y485 T447:T485 T113:T437 V112:Y437 V3:Y110 T3:T47">
    <cfRule type="cellIs" dxfId="598" priority="1215" operator="equal">
      <formula>1</formula>
    </cfRule>
    <cfRule type="cellIs" dxfId="597" priority="1216" operator="equal">
      <formula>1</formula>
    </cfRule>
  </conditionalFormatting>
  <conditionalFormatting sqref="T1151">
    <cfRule type="cellIs" dxfId="596" priority="1210" operator="equal">
      <formula>1</formula>
    </cfRule>
    <cfRule type="cellIs" dxfId="595" priority="1211" operator="equal">
      <formula>1</formula>
    </cfRule>
  </conditionalFormatting>
  <conditionalFormatting sqref="T1196:T1198">
    <cfRule type="cellIs" dxfId="594" priority="1208" operator="equal">
      <formula>1</formula>
    </cfRule>
    <cfRule type="cellIs" dxfId="593" priority="1209" operator="equal">
      <formula>1</formula>
    </cfRule>
  </conditionalFormatting>
  <conditionalFormatting sqref="T1199">
    <cfRule type="cellIs" dxfId="592" priority="1206" operator="equal">
      <formula>1</formula>
    </cfRule>
    <cfRule type="cellIs" dxfId="591" priority="1207" operator="equal">
      <formula>1</formula>
    </cfRule>
  </conditionalFormatting>
  <conditionalFormatting sqref="BK1199:BK1208">
    <cfRule type="cellIs" dxfId="590" priority="1205" operator="greaterThan">
      <formula>1</formula>
    </cfRule>
  </conditionalFormatting>
  <conditionalFormatting sqref="T79">
    <cfRule type="cellIs" dxfId="589" priority="1203" operator="equal">
      <formula>1</formula>
    </cfRule>
    <cfRule type="cellIs" dxfId="588" priority="1204" operator="equal">
      <formula>1</formula>
    </cfRule>
  </conditionalFormatting>
  <conditionalFormatting sqref="T80">
    <cfRule type="cellIs" dxfId="587" priority="1201" operator="equal">
      <formula>1</formula>
    </cfRule>
    <cfRule type="cellIs" dxfId="586" priority="1202" operator="equal">
      <formula>1</formula>
    </cfRule>
  </conditionalFormatting>
  <conditionalFormatting sqref="T81">
    <cfRule type="cellIs" dxfId="585" priority="1199" operator="equal">
      <formula>1</formula>
    </cfRule>
    <cfRule type="cellIs" dxfId="584" priority="1200" operator="equal">
      <formula>1</formula>
    </cfRule>
  </conditionalFormatting>
  <conditionalFormatting sqref="T82">
    <cfRule type="cellIs" dxfId="583" priority="1197" operator="equal">
      <formula>1</formula>
    </cfRule>
    <cfRule type="cellIs" dxfId="582" priority="1198" operator="equal">
      <formula>1</formula>
    </cfRule>
  </conditionalFormatting>
  <conditionalFormatting sqref="T83:T90">
    <cfRule type="cellIs" dxfId="581" priority="1195" operator="equal">
      <formula>1</formula>
    </cfRule>
    <cfRule type="cellIs" dxfId="580" priority="1196" operator="equal">
      <formula>1</formula>
    </cfRule>
  </conditionalFormatting>
  <conditionalFormatting sqref="T1088:T1124">
    <cfRule type="cellIs" dxfId="579" priority="1193" operator="equal">
      <formula>1</formula>
    </cfRule>
    <cfRule type="cellIs" dxfId="578" priority="1194" operator="equal">
      <formula>1</formula>
    </cfRule>
  </conditionalFormatting>
  <conditionalFormatting sqref="T1125">
    <cfRule type="cellIs" dxfId="577" priority="1191" operator="equal">
      <formula>1</formula>
    </cfRule>
    <cfRule type="cellIs" dxfId="576" priority="1192" operator="equal">
      <formula>1</formula>
    </cfRule>
  </conditionalFormatting>
  <conditionalFormatting sqref="V111">
    <cfRule type="cellIs" dxfId="575" priority="1189" operator="equal">
      <formula>1</formula>
    </cfRule>
    <cfRule type="cellIs" dxfId="574" priority="1190" operator="equal">
      <formula>1</formula>
    </cfRule>
  </conditionalFormatting>
  <conditionalFormatting sqref="T111:T113">
    <cfRule type="cellIs" dxfId="573" priority="1187" operator="equal">
      <formula>1</formula>
    </cfRule>
    <cfRule type="cellIs" dxfId="572" priority="1188" operator="equal">
      <formula>1</formula>
    </cfRule>
  </conditionalFormatting>
  <conditionalFormatting sqref="T135:T143 T502:T516 T150:T437 T520:T530">
    <cfRule type="cellIs" dxfId="571" priority="1185" operator="equal">
      <formula>1</formula>
    </cfRule>
    <cfRule type="cellIs" dxfId="570" priority="1186" operator="equal">
      <formula>1</formula>
    </cfRule>
  </conditionalFormatting>
  <conditionalFormatting sqref="T186:T193 T502:T516 T196:T437 T520:T530">
    <cfRule type="cellIs" dxfId="569" priority="1183" operator="equal">
      <formula>1</formula>
    </cfRule>
    <cfRule type="cellIs" dxfId="568" priority="1184" operator="equal">
      <formula>1</formula>
    </cfRule>
  </conditionalFormatting>
  <conditionalFormatting sqref="T210">
    <cfRule type="cellIs" dxfId="567" priority="1179" operator="equal">
      <formula>1</formula>
    </cfRule>
    <cfRule type="cellIs" dxfId="566" priority="1180" operator="equal">
      <formula>1</formula>
    </cfRule>
  </conditionalFormatting>
  <conditionalFormatting sqref="BK383:BK388">
    <cfRule type="cellIs" dxfId="565" priority="1178" operator="greaterThan">
      <formula>1</formula>
    </cfRule>
  </conditionalFormatting>
  <conditionalFormatting sqref="T1196:T1199 T1151">
    <cfRule type="cellIs" dxfId="564" priority="1176" operator="equal">
      <formula>1</formula>
    </cfRule>
    <cfRule type="cellIs" dxfId="563" priority="1177" operator="equal">
      <formula>1</formula>
    </cfRule>
  </conditionalFormatting>
  <conditionalFormatting sqref="AV113:AV123 AV78:AV90 AV589:AV596 AV1062:AV1229 AV910:AV922 AV767:AV770 AV752:AV759 AV144:AV149">
    <cfRule type="cellIs" dxfId="562" priority="1175" operator="between">
      <formula>95</formula>
      <formula>105</formula>
    </cfRule>
  </conditionalFormatting>
  <conditionalFormatting sqref="N12:S12">
    <cfRule type="colorScale" priority="117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12">
    <cfRule type="cellIs" dxfId="561" priority="1172" operator="equal">
      <formula>1</formula>
    </cfRule>
    <cfRule type="cellIs" dxfId="560" priority="1173" operator="equal">
      <formula>1</formula>
    </cfRule>
  </conditionalFormatting>
  <conditionalFormatting sqref="T194:T195">
    <cfRule type="cellIs" dxfId="559" priority="1170" operator="equal">
      <formula>1</formula>
    </cfRule>
    <cfRule type="cellIs" dxfId="558" priority="1171" operator="equal">
      <formula>1</formula>
    </cfRule>
  </conditionalFormatting>
  <conditionalFormatting sqref="T1109:T1111">
    <cfRule type="cellIs" dxfId="557" priority="1168" operator="equal">
      <formula>1</formula>
    </cfRule>
    <cfRule type="cellIs" dxfId="556" priority="1169" operator="equal">
      <formula>1</formula>
    </cfRule>
  </conditionalFormatting>
  <conditionalFormatting sqref="N608:N615 N622:N651 P608:P615 P622:P651 R608:R615 R622:R651">
    <cfRule type="colorScale" priority="11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608:S615 S622:S651">
    <cfRule type="colorScale" priority="116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608:Q615 Q622:Q651">
    <cfRule type="colorScale" priority="11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608:O615 O622:O651">
    <cfRule type="colorScale" priority="116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608:S615 N622:S651">
    <cfRule type="colorScale" priority="116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150:R159 N135:N143 P135:P143 R135:R143 P150:P159 N150:N159">
    <cfRule type="colorScale" priority="11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50:S159 S135:S143">
    <cfRule type="colorScale" priority="11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50:Q159 Q135:Q143">
    <cfRule type="colorScale" priority="11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50:O159 O135:O143">
    <cfRule type="colorScale" priority="11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50:S159 N135:S143">
    <cfRule type="colorScale" priority="11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652:T663">
    <cfRule type="cellIs" dxfId="555" priority="1156" operator="equal">
      <formula>1</formula>
    </cfRule>
    <cfRule type="cellIs" dxfId="554" priority="1157" operator="equal">
      <formula>1</formula>
    </cfRule>
  </conditionalFormatting>
  <conditionalFormatting sqref="N652:N663 P652:P663 R652:R663">
    <cfRule type="colorScale" priority="11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652:S663">
    <cfRule type="colorScale" priority="11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652:Q663">
    <cfRule type="colorScale" priority="11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652:O663">
    <cfRule type="colorScale" priority="11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652:S663">
    <cfRule type="colorScale" priority="11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502:T516 T160:T437 T520:T530">
    <cfRule type="cellIs" dxfId="553" priority="1149" operator="equal">
      <formula>1</formula>
    </cfRule>
    <cfRule type="cellIs" dxfId="552" priority="1150" operator="equal">
      <formula>1</formula>
    </cfRule>
  </conditionalFormatting>
  <conditionalFormatting sqref="N160:N185 P160:P185 R160:R185">
    <cfRule type="colorScale" priority="11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60:S185">
    <cfRule type="colorScale" priority="11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60:Q185">
    <cfRule type="colorScale" priority="11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60:O185">
    <cfRule type="colorScale" priority="11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60:S185">
    <cfRule type="colorScale" priority="114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664:T665 T676:T748">
    <cfRule type="cellIs" dxfId="551" priority="1142" operator="equal">
      <formula>1</formula>
    </cfRule>
    <cfRule type="cellIs" dxfId="550" priority="1143" operator="equal">
      <formula>1</formula>
    </cfRule>
  </conditionalFormatting>
  <conditionalFormatting sqref="N664:N665 P664:P665 R664:R665 R676:R748 P676:P748 N676:N748">
    <cfRule type="colorScale" priority="11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664:S665 S676:S748">
    <cfRule type="colorScale" priority="11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664:Q665 Q676:Q748">
    <cfRule type="colorScale" priority="11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664:O665 O676:O748">
    <cfRule type="colorScale" priority="11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664:S665 N676:S748">
    <cfRule type="colorScale" priority="11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86 N186 R186">
    <cfRule type="colorScale" priority="11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86">
    <cfRule type="colorScale" priority="11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86">
    <cfRule type="colorScale" priority="11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86">
    <cfRule type="colorScale" priority="11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86:S186">
    <cfRule type="colorScale" priority="11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187:R209 P187:P209 N187:N209">
    <cfRule type="colorScale" priority="11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87:S209">
    <cfRule type="colorScale" priority="11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87:Q209">
    <cfRule type="colorScale" priority="11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87:O209">
    <cfRule type="colorScale" priority="11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87:S209">
    <cfRule type="colorScale" priority="11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210 P210 R210">
    <cfRule type="colorScale" priority="11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10">
    <cfRule type="colorScale" priority="11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210">
    <cfRule type="colorScale" priority="11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210">
    <cfRule type="colorScale" priority="11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210:S210">
    <cfRule type="colorScale" priority="11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481">
    <cfRule type="cellIs" dxfId="549" priority="1070" operator="equal">
      <formula>1</formula>
    </cfRule>
    <cfRule type="cellIs" dxfId="548" priority="1071" operator="equal">
      <formula>1</formula>
    </cfRule>
  </conditionalFormatting>
  <conditionalFormatting sqref="T247:T437 T211:T243 T447">
    <cfRule type="cellIs" dxfId="547" priority="1112" operator="equal">
      <formula>1</formula>
    </cfRule>
    <cfRule type="cellIs" dxfId="546" priority="1113" operator="equal">
      <formula>1</formula>
    </cfRule>
  </conditionalFormatting>
  <conditionalFormatting sqref="P211:P222 P229:P243 N211:N222 N229:N243 R211:R222 R229:R243 R247:R437 N247:N437 P247:P437 P447 N447 R447">
    <cfRule type="colorScale" priority="11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11:S222 S229:S243 S247:S437 S447">
    <cfRule type="colorScale" priority="11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211:Q222 Q229:Q243 Q247:Q437 Q447">
    <cfRule type="colorScale" priority="110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211:O222 O229:O243 O247:O437 O447">
    <cfRule type="colorScale" priority="11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211:S222 N229:S243 N247:S437 N447:S447">
    <cfRule type="colorScale" priority="11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482:T485 T502:T516 T520:T529">
    <cfRule type="cellIs" dxfId="545" priority="1063" operator="equal">
      <formula>1</formula>
    </cfRule>
    <cfRule type="cellIs" dxfId="544" priority="1064" operator="equal">
      <formula>1</formula>
    </cfRule>
  </conditionalFormatting>
  <conditionalFormatting sqref="T448">
    <cfRule type="cellIs" dxfId="543" priority="1105" operator="equal">
      <formula>1</formula>
    </cfRule>
    <cfRule type="cellIs" dxfId="542" priority="1106" operator="equal">
      <formula>1</formula>
    </cfRule>
  </conditionalFormatting>
  <conditionalFormatting sqref="P448 N448 R448">
    <cfRule type="colorScale" priority="110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448">
    <cfRule type="colorScale" priority="110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448">
    <cfRule type="colorScale" priority="110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448">
    <cfRule type="colorScale" priority="110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48:S448">
    <cfRule type="colorScale" priority="11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530 T541:T570">
    <cfRule type="cellIs" dxfId="541" priority="1056" operator="equal">
      <formula>1</formula>
    </cfRule>
    <cfRule type="cellIs" dxfId="540" priority="1057" operator="equal">
      <formula>1</formula>
    </cfRule>
  </conditionalFormatting>
  <conditionalFormatting sqref="T502:T516 T520:T530">
    <cfRule type="cellIs" dxfId="539" priority="1098" operator="equal">
      <formula>1</formula>
    </cfRule>
    <cfRule type="cellIs" dxfId="538" priority="1099" operator="equal">
      <formula>1</formula>
    </cfRule>
  </conditionalFormatting>
  <conditionalFormatting sqref="T761">
    <cfRule type="cellIs" dxfId="537" priority="1091" operator="equal">
      <formula>1</formula>
    </cfRule>
    <cfRule type="cellIs" dxfId="536" priority="1092" operator="equal">
      <formula>1</formula>
    </cfRule>
  </conditionalFormatting>
  <conditionalFormatting sqref="N761 P761 R761">
    <cfRule type="colorScale" priority="10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761">
    <cfRule type="colorScale" priority="108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761">
    <cfRule type="colorScale" priority="108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761">
    <cfRule type="colorScale" priority="108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761:S761">
    <cfRule type="colorScale" priority="10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762:T848 T860:T1034">
    <cfRule type="cellIs" dxfId="535" priority="1084" operator="equal">
      <formula>1</formula>
    </cfRule>
    <cfRule type="cellIs" dxfId="534" priority="1085" operator="equal">
      <formula>1</formula>
    </cfRule>
  </conditionalFormatting>
  <conditionalFormatting sqref="R762:R848 R878:R1034 P762:P848 P878:P1034 N762:N848 N878:N1034 N860:N871 P860:P871 R860:R871">
    <cfRule type="colorScale" priority="108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762:S848 S878:S1034 S860:S871">
    <cfRule type="colorScale" priority="108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762:Q848 Q878:Q1034 Q860:Q871">
    <cfRule type="colorScale" priority="108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762:O848 O878:O1034 O860:O871">
    <cfRule type="colorScale" priority="10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762:S848 N878:S1034 N860:S871">
    <cfRule type="colorScale" priority="107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1035:T1046">
    <cfRule type="cellIs" dxfId="533" priority="1077" operator="equal">
      <formula>1</formula>
    </cfRule>
    <cfRule type="cellIs" dxfId="532" priority="1078" operator="equal">
      <formula>1</formula>
    </cfRule>
  </conditionalFormatting>
  <conditionalFormatting sqref="N1035:N1046 P1035:P1046 R1035:R1046">
    <cfRule type="colorScale" priority="107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035:S1046">
    <cfRule type="colorScale" priority="10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035:Q1046">
    <cfRule type="colorScale" priority="107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035:O1046">
    <cfRule type="colorScale" priority="107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035:S1046">
    <cfRule type="colorScale" priority="10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81 P481 R481">
    <cfRule type="colorScale" priority="106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481">
    <cfRule type="colorScale" priority="106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481">
    <cfRule type="colorScale" priority="10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481">
    <cfRule type="colorScale" priority="106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81:S481">
    <cfRule type="colorScale" priority="10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11">
    <cfRule type="cellIs" dxfId="531" priority="1044" operator="equal">
      <formula>1</formula>
    </cfRule>
    <cfRule type="cellIs" dxfId="530" priority="1045" operator="equal">
      <formula>1</formula>
    </cfRule>
  </conditionalFormatting>
  <conditionalFormatting sqref="R502:R516 N482:N485 P482:P485 R482:R485 P502:P516 N502:N516 N520:N529 P520:P529 R520:R529">
    <cfRule type="colorScale" priority="10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502:S516 S482:S485 S520:S529">
    <cfRule type="colorScale" priority="10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502:Q516 Q482:Q485 Q520:Q529">
    <cfRule type="colorScale" priority="10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502:O516 O482:O485 O520:O529">
    <cfRule type="colorScale" priority="10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02:S516 N482:S485 N520:S529">
    <cfRule type="colorScale" priority="10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30 P530 R530 R541:R559 P541:P559 N541:N559">
    <cfRule type="colorScale" priority="10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541:S559 S530">
    <cfRule type="colorScale" priority="10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541:Q559 Q530">
    <cfRule type="colorScale" priority="10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541:O559 O530">
    <cfRule type="colorScale" priority="10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30:S530 N541:S559">
    <cfRule type="colorScale" priority="10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047:N1062 P1047:P1062 R1047:R1062">
    <cfRule type="colorScale" priority="10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047:S1062">
    <cfRule type="colorScale" priority="10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047:Q1062">
    <cfRule type="colorScale" priority="10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047:O1062">
    <cfRule type="colorScale" priority="10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047:S1062">
    <cfRule type="colorScale" priority="10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244">
    <cfRule type="cellIs" dxfId="529" priority="1019" operator="equal">
      <formula>1</formula>
    </cfRule>
    <cfRule type="cellIs" dxfId="528" priority="1020" operator="equal">
      <formula>1</formula>
    </cfRule>
  </conditionalFormatting>
  <conditionalFormatting sqref="T246">
    <cfRule type="cellIs" dxfId="527" priority="1005" operator="equal">
      <formula>1</formula>
    </cfRule>
    <cfRule type="cellIs" dxfId="526" priority="1006" operator="equal">
      <formula>1</formula>
    </cfRule>
  </conditionalFormatting>
  <conditionalFormatting sqref="N244 P244 R244">
    <cfRule type="colorScale" priority="10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44">
    <cfRule type="colorScale" priority="10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244">
    <cfRule type="colorScale" priority="10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244">
    <cfRule type="colorScale" priority="10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244:S244">
    <cfRule type="colorScale" priority="10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245">
    <cfRule type="cellIs" dxfId="525" priority="1012" operator="equal">
      <formula>1</formula>
    </cfRule>
    <cfRule type="cellIs" dxfId="524" priority="1013" operator="equal">
      <formula>1</formula>
    </cfRule>
  </conditionalFormatting>
  <conditionalFormatting sqref="N245 P245 R245">
    <cfRule type="colorScale" priority="10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45">
    <cfRule type="colorScale" priority="10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245">
    <cfRule type="colorScale" priority="100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245">
    <cfRule type="colorScale" priority="10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245:S245">
    <cfRule type="colorScale" priority="10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246 P246 R246">
    <cfRule type="colorScale" priority="100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46">
    <cfRule type="colorScale" priority="100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246">
    <cfRule type="colorScale" priority="100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246">
    <cfRule type="colorScale" priority="100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246:S246">
    <cfRule type="colorScale" priority="10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560 N560 R560">
    <cfRule type="colorScale" priority="13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560">
    <cfRule type="colorScale" priority="13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560">
    <cfRule type="colorScale" priority="13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560">
    <cfRule type="colorScale" priority="13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60:S560">
    <cfRule type="colorScale" priority="13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570">
    <cfRule type="cellIs" dxfId="523" priority="998" operator="equal">
      <formula>1</formula>
    </cfRule>
    <cfRule type="cellIs" dxfId="522" priority="999" operator="equal">
      <formula>1</formula>
    </cfRule>
  </conditionalFormatting>
  <conditionalFormatting sqref="N560:S560">
    <cfRule type="colorScale" priority="99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61:N570 P561:P570 R561:R570">
    <cfRule type="colorScale" priority="98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561:S570">
    <cfRule type="colorScale" priority="98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561:Q570">
    <cfRule type="colorScale" priority="9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561:O570">
    <cfRule type="colorScale" priority="99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61:S570">
    <cfRule type="colorScale" priority="9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61:S570">
    <cfRule type="colorScale" priority="98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59">
    <cfRule type="cellIs" dxfId="521" priority="960" operator="equal">
      <formula>1</formula>
    </cfRule>
    <cfRule type="cellIs" dxfId="520" priority="961" operator="equal">
      <formula>1</formula>
    </cfRule>
  </conditionalFormatting>
  <conditionalFormatting sqref="T59">
    <cfRule type="cellIs" dxfId="519" priority="958" operator="equal">
      <formula>1</formula>
    </cfRule>
    <cfRule type="cellIs" dxfId="518" priority="959" operator="equal">
      <formula>1</formula>
    </cfRule>
  </conditionalFormatting>
  <conditionalFormatting sqref="T48">
    <cfRule type="cellIs" dxfId="517" priority="956" operator="equal">
      <formula>1</formula>
    </cfRule>
    <cfRule type="cellIs" dxfId="516" priority="957" operator="equal">
      <formula>1</formula>
    </cfRule>
  </conditionalFormatting>
  <conditionalFormatting sqref="T48">
    <cfRule type="cellIs" dxfId="515" priority="954" operator="equal">
      <formula>1</formula>
    </cfRule>
    <cfRule type="cellIs" dxfId="514" priority="955" operator="equal">
      <formula>1</formula>
    </cfRule>
  </conditionalFormatting>
  <conditionalFormatting sqref="T49:T58">
    <cfRule type="cellIs" dxfId="513" priority="952" operator="equal">
      <formula>1</formula>
    </cfRule>
    <cfRule type="cellIs" dxfId="512" priority="953" operator="equal">
      <formula>1</formula>
    </cfRule>
  </conditionalFormatting>
  <conditionalFormatting sqref="T49:T58">
    <cfRule type="cellIs" dxfId="511" priority="950" operator="equal">
      <formula>1</formula>
    </cfRule>
    <cfRule type="cellIs" dxfId="510" priority="951" operator="equal">
      <formula>1</formula>
    </cfRule>
  </conditionalFormatting>
  <conditionalFormatting sqref="R48:S48 N48:P48">
    <cfRule type="colorScale" priority="9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48:S48">
    <cfRule type="colorScale" priority="13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48">
    <cfRule type="colorScale" priority="9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48">
    <cfRule type="colorScale" priority="9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8:S48">
    <cfRule type="colorScale" priority="94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49:S58 N49:P58">
    <cfRule type="colorScale" priority="9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49:S58">
    <cfRule type="colorScale" priority="9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49:Q58">
    <cfRule type="colorScale" priority="9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49:Q58">
    <cfRule type="colorScale" priority="9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9:S58">
    <cfRule type="colorScale" priority="9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9:O59 Q59:S59">
    <cfRule type="colorScale" priority="9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9:O59">
    <cfRule type="colorScale" priority="13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59">
    <cfRule type="colorScale" priority="9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59">
    <cfRule type="colorScale" priority="9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9:S59">
    <cfRule type="colorScale" priority="9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60:O68 Q60:S68">
    <cfRule type="colorScale" priority="9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60:O68">
    <cfRule type="colorScale" priority="9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60:P68">
    <cfRule type="colorScale" priority="9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60:P68">
    <cfRule type="colorScale" priority="9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60:S68">
    <cfRule type="colorScale" priority="9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209">
    <cfRule type="colorScale" priority="9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1209">
    <cfRule type="colorScale" priority="9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151 N1151 R1151">
    <cfRule type="colorScale" priority="9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151">
    <cfRule type="colorScale" priority="9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151">
    <cfRule type="colorScale" priority="9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151">
    <cfRule type="colorScale" priority="9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151:S1151">
    <cfRule type="colorScale" priority="9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1152:T1161">
    <cfRule type="cellIs" dxfId="509" priority="921" operator="equal">
      <formula>1</formula>
    </cfRule>
    <cfRule type="cellIs" dxfId="508" priority="922" operator="equal">
      <formula>1</formula>
    </cfRule>
  </conditionalFormatting>
  <conditionalFormatting sqref="T1152:T1161">
    <cfRule type="cellIs" dxfId="507" priority="919" operator="equal">
      <formula>1</formula>
    </cfRule>
    <cfRule type="cellIs" dxfId="506" priority="920" operator="equal">
      <formula>1</formula>
    </cfRule>
  </conditionalFormatting>
  <conditionalFormatting sqref="P1152:P1161 N1152:N1161 R1152:R1161">
    <cfRule type="colorScale" priority="9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152:S1161">
    <cfRule type="colorScale" priority="9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152:Q1161">
    <cfRule type="colorScale" priority="9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152:O1161">
    <cfRule type="colorScale" priority="9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152:S1161">
    <cfRule type="colorScale" priority="9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1162:T1170">
    <cfRule type="cellIs" dxfId="505" priority="912" operator="equal">
      <formula>1</formula>
    </cfRule>
    <cfRule type="cellIs" dxfId="504" priority="913" operator="equal">
      <formula>1</formula>
    </cfRule>
  </conditionalFormatting>
  <conditionalFormatting sqref="T1162:T1170">
    <cfRule type="cellIs" dxfId="503" priority="910" operator="equal">
      <formula>1</formula>
    </cfRule>
    <cfRule type="cellIs" dxfId="502" priority="911" operator="equal">
      <formula>1</formula>
    </cfRule>
  </conditionalFormatting>
  <conditionalFormatting sqref="P1162:P1170 N1162:N1170 R1162:R1170">
    <cfRule type="colorScale" priority="90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162:S1170">
    <cfRule type="colorScale" priority="9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162:Q1170">
    <cfRule type="colorScale" priority="9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162:O1170">
    <cfRule type="colorScale" priority="90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162:S1170">
    <cfRule type="colorScale" priority="9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1171">
    <cfRule type="cellIs" dxfId="501" priority="903" operator="equal">
      <formula>1</formula>
    </cfRule>
    <cfRule type="cellIs" dxfId="500" priority="904" operator="equal">
      <formula>1</formula>
    </cfRule>
  </conditionalFormatting>
  <conditionalFormatting sqref="T1171">
    <cfRule type="cellIs" dxfId="499" priority="901" operator="equal">
      <formula>1</formula>
    </cfRule>
    <cfRule type="cellIs" dxfId="498" priority="902" operator="equal">
      <formula>1</formula>
    </cfRule>
  </conditionalFormatting>
  <conditionalFormatting sqref="P1171 N1171 R1171">
    <cfRule type="colorScale" priority="9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171">
    <cfRule type="colorScale" priority="89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171">
    <cfRule type="colorScale" priority="89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171">
    <cfRule type="colorScale" priority="89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171:S1171">
    <cfRule type="colorScale" priority="89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1187:T1195">
    <cfRule type="cellIs" dxfId="497" priority="894" operator="equal">
      <formula>1</formula>
    </cfRule>
    <cfRule type="cellIs" dxfId="496" priority="895" operator="equal">
      <formula>1</formula>
    </cfRule>
  </conditionalFormatting>
  <conditionalFormatting sqref="T1187:T1195">
    <cfRule type="cellIs" dxfId="495" priority="892" operator="equal">
      <formula>1</formula>
    </cfRule>
    <cfRule type="cellIs" dxfId="494" priority="893" operator="equal">
      <formula>1</formula>
    </cfRule>
  </conditionalFormatting>
  <conditionalFormatting sqref="R1187:R1195 P1172:P1176 N1172:N1176 R1172:R1176 N1187:N1195 P1187:P1195">
    <cfRule type="colorScale" priority="89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187:S1195 S1172:S1176">
    <cfRule type="colorScale" priority="8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187:Q1195 Q1172:Q1176">
    <cfRule type="colorScale" priority="88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187:O1195 O1172:O1176">
    <cfRule type="colorScale" priority="88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187:S1195 N1172:S1176">
    <cfRule type="colorScale" priority="88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196 N1196 R1196">
    <cfRule type="colorScale" priority="8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196">
    <cfRule type="colorScale" priority="8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196">
    <cfRule type="colorScale" priority="88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196">
    <cfRule type="colorScale" priority="88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196:S1196">
    <cfRule type="colorScale" priority="88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197:N1198 P1197:P1198 R1197:R1198">
    <cfRule type="colorScale" priority="88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197:S1198">
    <cfRule type="colorScale" priority="8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197:Q1198">
    <cfRule type="colorScale" priority="87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197:O1198">
    <cfRule type="colorScale" priority="8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197:S1198">
    <cfRule type="colorScale" priority="87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199 P1199 R1199">
    <cfRule type="colorScale" priority="87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199">
    <cfRule type="colorScale" priority="8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199">
    <cfRule type="colorScale" priority="87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199">
    <cfRule type="colorScale" priority="87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199:S1199">
    <cfRule type="colorScale" priority="8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1200:T1204">
    <cfRule type="cellIs" dxfId="493" priority="870" operator="equal">
      <formula>1</formula>
    </cfRule>
    <cfRule type="cellIs" dxfId="492" priority="871" operator="equal">
      <formula>1</formula>
    </cfRule>
  </conditionalFormatting>
  <conditionalFormatting sqref="T1200:T1204">
    <cfRule type="cellIs" dxfId="491" priority="868" operator="equal">
      <formula>1</formula>
    </cfRule>
    <cfRule type="cellIs" dxfId="490" priority="869" operator="equal">
      <formula>1</formula>
    </cfRule>
  </conditionalFormatting>
  <conditionalFormatting sqref="N1200:N1204 P1200:P1204 R1200:R1204">
    <cfRule type="colorScale" priority="8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200:S1204">
    <cfRule type="colorScale" priority="86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200:Q1204">
    <cfRule type="colorScale" priority="8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200:O1204">
    <cfRule type="colorScale" priority="86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00:S1204">
    <cfRule type="colorScale" priority="86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1205">
    <cfRule type="cellIs" dxfId="489" priority="861" operator="equal">
      <formula>1</formula>
    </cfRule>
    <cfRule type="cellIs" dxfId="488" priority="862" operator="equal">
      <formula>1</formula>
    </cfRule>
  </conditionalFormatting>
  <conditionalFormatting sqref="T1205">
    <cfRule type="cellIs" dxfId="487" priority="859" operator="equal">
      <formula>1</formula>
    </cfRule>
    <cfRule type="cellIs" dxfId="486" priority="860" operator="equal">
      <formula>1</formula>
    </cfRule>
  </conditionalFormatting>
  <conditionalFormatting sqref="P1205 N1205 R1205">
    <cfRule type="colorScale" priority="8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205">
    <cfRule type="colorScale" priority="8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205">
    <cfRule type="colorScale" priority="8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205">
    <cfRule type="colorScale" priority="8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05:S1205">
    <cfRule type="colorScale" priority="8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1206">
    <cfRule type="cellIs" dxfId="485" priority="852" operator="equal">
      <formula>1</formula>
    </cfRule>
    <cfRule type="cellIs" dxfId="484" priority="853" operator="equal">
      <formula>1</formula>
    </cfRule>
  </conditionalFormatting>
  <conditionalFormatting sqref="T1206">
    <cfRule type="cellIs" dxfId="483" priority="850" operator="equal">
      <formula>1</formula>
    </cfRule>
    <cfRule type="cellIs" dxfId="482" priority="851" operator="equal">
      <formula>1</formula>
    </cfRule>
  </conditionalFormatting>
  <conditionalFormatting sqref="P1206 N1206 R1206">
    <cfRule type="colorScale" priority="8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206">
    <cfRule type="colorScale" priority="8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206">
    <cfRule type="colorScale" priority="8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206">
    <cfRule type="colorScale" priority="8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06:S1206">
    <cfRule type="colorScale" priority="8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1207">
    <cfRule type="cellIs" dxfId="481" priority="843" operator="equal">
      <formula>1</formula>
    </cfRule>
    <cfRule type="cellIs" dxfId="480" priority="844" operator="equal">
      <formula>1</formula>
    </cfRule>
  </conditionalFormatting>
  <conditionalFormatting sqref="T1207">
    <cfRule type="cellIs" dxfId="479" priority="841" operator="equal">
      <formula>1</formula>
    </cfRule>
    <cfRule type="cellIs" dxfId="478" priority="842" operator="equal">
      <formula>1</formula>
    </cfRule>
  </conditionalFormatting>
  <conditionalFormatting sqref="P1207 N1207 R1207">
    <cfRule type="colorScale" priority="8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207">
    <cfRule type="colorScale" priority="8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207">
    <cfRule type="colorScale" priority="8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207">
    <cfRule type="colorScale" priority="8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07:S1207">
    <cfRule type="colorScale" priority="8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1208">
    <cfRule type="cellIs" dxfId="477" priority="834" operator="equal">
      <formula>1</formula>
    </cfRule>
    <cfRule type="cellIs" dxfId="476" priority="835" operator="equal">
      <formula>1</formula>
    </cfRule>
  </conditionalFormatting>
  <conditionalFormatting sqref="T1208">
    <cfRule type="cellIs" dxfId="475" priority="832" operator="equal">
      <formula>1</formula>
    </cfRule>
    <cfRule type="cellIs" dxfId="474" priority="833" operator="equal">
      <formula>1</formula>
    </cfRule>
  </conditionalFormatting>
  <conditionalFormatting sqref="P1208 N1208 R1208">
    <cfRule type="colorScale" priority="8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208">
    <cfRule type="colorScale" priority="8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208">
    <cfRule type="colorScale" priority="8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208">
    <cfRule type="colorScale" priority="8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08:S1208">
    <cfRule type="colorScale" priority="8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79 P79 R79">
    <cfRule type="colorScale" priority="8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79">
    <cfRule type="colorScale" priority="8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79">
    <cfRule type="colorScale" priority="8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79">
    <cfRule type="colorScale" priority="8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79:S79">
    <cfRule type="colorScale" priority="8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80 P80 R80">
    <cfRule type="colorScale" priority="8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80">
    <cfRule type="colorScale" priority="8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80">
    <cfRule type="colorScale" priority="8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80">
    <cfRule type="colorScale" priority="8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80:S80">
    <cfRule type="colorScale" priority="8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81:P83 N81:N83 R81:R83">
    <cfRule type="colorScale" priority="8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81:S83">
    <cfRule type="colorScale" priority="8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81:Q83">
    <cfRule type="colorScale" priority="8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81:O83">
    <cfRule type="colorScale" priority="8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81:S83">
    <cfRule type="colorScale" priority="8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84:P88 N84:N88 R84:R88">
    <cfRule type="colorScale" priority="8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84:S88">
    <cfRule type="colorScale" priority="8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84:Q88">
    <cfRule type="colorScale" priority="80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84:O88">
    <cfRule type="colorScale" priority="8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84:S88">
    <cfRule type="colorScale" priority="8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89:P90 N89:N90 R89:R90">
    <cfRule type="colorScale" priority="80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89:S90">
    <cfRule type="colorScale" priority="8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89:Q90">
    <cfRule type="colorScale" priority="80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89:O90">
    <cfRule type="colorScale" priority="80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89:S90">
    <cfRule type="colorScale" priority="80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088 P1088 R1088">
    <cfRule type="colorScale" priority="80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088">
    <cfRule type="colorScale" priority="8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088">
    <cfRule type="colorScale" priority="79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088">
    <cfRule type="colorScale" priority="79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088:S1088">
    <cfRule type="colorScale" priority="79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089:P1098 N1089:N1098 R1089:R1098">
    <cfRule type="colorScale" priority="79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089:S1098">
    <cfRule type="colorScale" priority="7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089:Q1098">
    <cfRule type="colorScale" priority="79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089:O1098">
    <cfRule type="colorScale" priority="79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089:S1098">
    <cfRule type="colorScale" priority="7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099:P1124 N1099:N1124 R1099:R1124">
    <cfRule type="colorScale" priority="79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099:S1124">
    <cfRule type="colorScale" priority="7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099:Q1124">
    <cfRule type="colorScale" priority="78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099:O1124">
    <cfRule type="colorScale" priority="78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099:S1124">
    <cfRule type="colorScale" priority="78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125 N1125 R1125">
    <cfRule type="colorScale" priority="7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125">
    <cfRule type="colorScale" priority="7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125">
    <cfRule type="colorScale" priority="78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125">
    <cfRule type="colorScale" priority="78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125:S1125">
    <cfRule type="colorScale" priority="78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126:P1150 N1126:N1150 R1126:R1150">
    <cfRule type="colorScale" priority="77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126:S1150">
    <cfRule type="colorScale" priority="77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126:Q1150">
    <cfRule type="colorScale" priority="7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126:O1150">
    <cfRule type="colorScale" priority="77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126:S1150">
    <cfRule type="colorScale" priority="77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Y111">
    <cfRule type="cellIs" dxfId="473" priority="689" operator="equal">
      <formula>1</formula>
    </cfRule>
    <cfRule type="cellIs" dxfId="472" priority="690" operator="equal">
      <formula>1</formula>
    </cfRule>
  </conditionalFormatting>
  <conditionalFormatting sqref="S1209">
    <cfRule type="colorScale" priority="13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09">
    <cfRule type="colorScale" priority="68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209">
    <cfRule type="colorScale" priority="68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209">
    <cfRule type="colorScale" priority="6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09:S1209">
    <cfRule type="colorScale" priority="6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1210:T1229">
    <cfRule type="cellIs" dxfId="471" priority="682" operator="equal">
      <formula>1</formula>
    </cfRule>
    <cfRule type="cellIs" dxfId="470" priority="683" operator="equal">
      <formula>1</formula>
    </cfRule>
  </conditionalFormatting>
  <conditionalFormatting sqref="T1210:T1229">
    <cfRule type="cellIs" dxfId="469" priority="680" operator="equal">
      <formula>1</formula>
    </cfRule>
    <cfRule type="cellIs" dxfId="468" priority="681" operator="equal">
      <formula>1</formula>
    </cfRule>
  </conditionalFormatting>
  <conditionalFormatting sqref="Q1210:Q1229">
    <cfRule type="colorScale" priority="67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1210:R1229">
    <cfRule type="colorScale" priority="6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210:S1229">
    <cfRule type="colorScale" priority="68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10:N1229">
    <cfRule type="colorScale" priority="67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210:O1229">
    <cfRule type="colorScale" priority="67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210:P1229">
    <cfRule type="colorScale" priority="6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210:S1229">
    <cfRule type="colorScale" priority="67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69:S69 O69">
    <cfRule type="colorScale" priority="13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69">
    <cfRule type="colorScale" priority="67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69">
    <cfRule type="colorScale" priority="6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69:S69">
    <cfRule type="colorScale" priority="67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70:S78 O70:O78">
    <cfRule type="colorScale" priority="6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70:N78">
    <cfRule type="colorScale" priority="66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70:P78">
    <cfRule type="colorScale" priority="66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70:S78">
    <cfRule type="colorScale" priority="6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91">
    <cfRule type="cellIs" dxfId="467" priority="658" operator="equal">
      <formula>1</formula>
    </cfRule>
    <cfRule type="cellIs" dxfId="466" priority="659" operator="equal">
      <formula>1</formula>
    </cfRule>
  </conditionalFormatting>
  <conditionalFormatting sqref="T91">
    <cfRule type="cellIs" dxfId="465" priority="656" operator="equal">
      <formula>1</formula>
    </cfRule>
    <cfRule type="cellIs" dxfId="464" priority="657" operator="equal">
      <formula>1</formula>
    </cfRule>
  </conditionalFormatting>
  <conditionalFormatting sqref="S91">
    <cfRule type="colorScale" priority="6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91">
    <cfRule type="colorScale" priority="6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91">
    <cfRule type="colorScale" priority="6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91 R91">
    <cfRule type="colorScale" priority="6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91:O91 Q91:S91">
    <cfRule type="colorScale" priority="6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91">
    <cfRule type="colorScale" priority="6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91">
    <cfRule type="colorScale" priority="6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91:S91">
    <cfRule type="colorScale" priority="6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92:T110">
    <cfRule type="cellIs" dxfId="463" priority="646" operator="equal">
      <formula>1</formula>
    </cfRule>
    <cfRule type="cellIs" dxfId="462" priority="647" operator="equal">
      <formula>1</formula>
    </cfRule>
  </conditionalFormatting>
  <conditionalFormatting sqref="T92:T110">
    <cfRule type="cellIs" dxfId="461" priority="644" operator="equal">
      <formula>1</formula>
    </cfRule>
    <cfRule type="cellIs" dxfId="460" priority="645" operator="equal">
      <formula>1</formula>
    </cfRule>
  </conditionalFormatting>
  <conditionalFormatting sqref="S92:S108">
    <cfRule type="colorScale" priority="6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92:Q108">
    <cfRule type="colorScale" priority="6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92:O108">
    <cfRule type="colorScale" priority="6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92:R108 N92:N108">
    <cfRule type="colorScale" priority="6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92:O108 Q92:S108">
    <cfRule type="colorScale" priority="6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92:P108">
    <cfRule type="colorScale" priority="6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92:P108">
    <cfRule type="colorScale" priority="6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92:S108">
    <cfRule type="colorScale" priority="6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111">
    <cfRule type="cellIs" dxfId="459" priority="634" operator="equal">
      <formula>1</formula>
    </cfRule>
    <cfRule type="cellIs" dxfId="458" priority="635" operator="equal">
      <formula>1</formula>
    </cfRule>
  </conditionalFormatting>
  <conditionalFormatting sqref="AV111:AV113 AV846:AV848 AV141:AV142 AV1047:AV1052 AV191:AV192 AV215:AV217 AV221:AV228 AV234:AV243 AV247:AV303 AV305:AV393 AV399 AV405:AV437 AV456:AV458 AV502:AV506 AV529 AV541:AV545 AV1103:AV1108 AV1199:AV1208 AV1216:AV1221 AV1223:AV1228">
    <cfRule type="cellIs" dxfId="457" priority="633" operator="between">
      <formula>95</formula>
      <formula>105</formula>
    </cfRule>
  </conditionalFormatting>
  <conditionalFormatting sqref="AV196">
    <cfRule type="cellIs" dxfId="456" priority="586" operator="between">
      <formula>95</formula>
      <formula>105</formula>
    </cfRule>
  </conditionalFormatting>
  <conditionalFormatting sqref="AV1209:AV1214">
    <cfRule type="cellIs" dxfId="455" priority="632" operator="between">
      <formula>95</formula>
      <formula>105</formula>
    </cfRule>
  </conditionalFormatting>
  <conditionalFormatting sqref="AV1216:AV1221">
    <cfRule type="cellIs" dxfId="454" priority="631" operator="between">
      <formula>95</formula>
      <formula>105</formula>
    </cfRule>
  </conditionalFormatting>
  <conditionalFormatting sqref="AV1223:AV1228">
    <cfRule type="cellIs" dxfId="453" priority="630" operator="between">
      <formula>95</formula>
      <formula>105</formula>
    </cfRule>
  </conditionalFormatting>
  <conditionalFormatting sqref="AV125:AV134 AV141:AV142 AV191:AV192 AV215:AV217 AV221:AV228 AV234:AV243 AV247:AV303 AV305:AV393 AV399 AV405:AV437 AV456:AV458 AV502:AV506 AV529 AV541:AV545 AV608:AV613">
    <cfRule type="cellIs" dxfId="452" priority="629" operator="between">
      <formula>95</formula>
      <formula>105</formula>
    </cfRule>
  </conditionalFormatting>
  <conditionalFormatting sqref="AV707:AV715">
    <cfRule type="cellIs" dxfId="451" priority="432" operator="between">
      <formula>95</formula>
      <formula>105</formula>
    </cfRule>
  </conditionalFormatting>
  <conditionalFormatting sqref="AV688:AV706 AV716 AV719:AV744">
    <cfRule type="cellIs" dxfId="450" priority="628" operator="between">
      <formula>95</formula>
      <formula>105</formula>
    </cfRule>
  </conditionalFormatting>
  <conditionalFormatting sqref="AV191:AV192">
    <cfRule type="cellIs" dxfId="449" priority="627" operator="between">
      <formula>95</formula>
      <formula>105</formula>
    </cfRule>
  </conditionalFormatting>
  <conditionalFormatting sqref="AV215:AV217 AV221:AV228">
    <cfRule type="cellIs" dxfId="448" priority="626" operator="between">
      <formula>95</formula>
      <formula>105</formula>
    </cfRule>
  </conditionalFormatting>
  <conditionalFormatting sqref="AV234:AV243 AV247:AV303">
    <cfRule type="cellIs" dxfId="447" priority="625" operator="between">
      <formula>95</formula>
      <formula>105</formula>
    </cfRule>
  </conditionalFormatting>
  <conditionalFormatting sqref="AV305:AV393">
    <cfRule type="cellIs" dxfId="446" priority="624" operator="between">
      <formula>95</formula>
      <formula>105</formula>
    </cfRule>
  </conditionalFormatting>
  <conditionalFormatting sqref="AV399">
    <cfRule type="cellIs" dxfId="445" priority="623" operator="between">
      <formula>95</formula>
      <formula>105</formula>
    </cfRule>
  </conditionalFormatting>
  <conditionalFormatting sqref="AV405:AV437">
    <cfRule type="cellIs" dxfId="444" priority="622" operator="between">
      <formula>95</formula>
      <formula>105</formula>
    </cfRule>
  </conditionalFormatting>
  <conditionalFormatting sqref="AV456:AV458 AV502:AV506 AV529 AV541:AV545">
    <cfRule type="cellIs" dxfId="443" priority="621" operator="between">
      <formula>95</formula>
      <formula>105</formula>
    </cfRule>
  </conditionalFormatting>
  <conditionalFormatting sqref="AV761:AV765">
    <cfRule type="cellIs" dxfId="442" priority="620" operator="between">
      <formula>95</formula>
      <formula>105</formula>
    </cfRule>
  </conditionalFormatting>
  <conditionalFormatting sqref="AV776:AV779">
    <cfRule type="cellIs" dxfId="441" priority="619" operator="between">
      <formula>95</formula>
      <formula>105</formula>
    </cfRule>
  </conditionalFormatting>
  <conditionalFormatting sqref="AV784:AV817">
    <cfRule type="cellIs" dxfId="440" priority="618" operator="between">
      <formula>95</formula>
      <formula>105</formula>
    </cfRule>
  </conditionalFormatting>
  <conditionalFormatting sqref="AV820:AV821">
    <cfRule type="cellIs" dxfId="439" priority="617" operator="between">
      <formula>95</formula>
      <formula>105</formula>
    </cfRule>
  </conditionalFormatting>
  <conditionalFormatting sqref="AV562:AV568">
    <cfRule type="cellIs" dxfId="438" priority="483" operator="between">
      <formula>95</formula>
      <formula>105</formula>
    </cfRule>
  </conditionalFormatting>
  <conditionalFormatting sqref="AV888:AV908">
    <cfRule type="cellIs" dxfId="437" priority="616" operator="between">
      <formula>95</formula>
      <formula>105</formula>
    </cfRule>
  </conditionalFormatting>
  <conditionalFormatting sqref="AV924:AV938 AV940:AV1033">
    <cfRule type="cellIs" dxfId="436" priority="615" operator="between">
      <formula>95</formula>
      <formula>105</formula>
    </cfRule>
  </conditionalFormatting>
  <conditionalFormatting sqref="AV502:AV506 AV529">
    <cfRule type="cellIs" dxfId="435" priority="614" operator="between">
      <formula>95</formula>
      <formula>105</formula>
    </cfRule>
  </conditionalFormatting>
  <conditionalFormatting sqref="AV541:AV545">
    <cfRule type="cellIs" dxfId="434" priority="613" operator="between">
      <formula>95</formula>
      <formula>105</formula>
    </cfRule>
  </conditionalFormatting>
  <conditionalFormatting sqref="AV822">
    <cfRule type="cellIs" dxfId="433" priority="407" operator="between">
      <formula>95</formula>
      <formula>105</formula>
    </cfRule>
  </conditionalFormatting>
  <conditionalFormatting sqref="AV140">
    <cfRule type="cellIs" dxfId="432" priority="599" operator="between">
      <formula>95</formula>
      <formula>105</formula>
    </cfRule>
  </conditionalFormatting>
  <conditionalFormatting sqref="AV627">
    <cfRule type="cellIs" dxfId="431" priority="466" operator="between">
      <formula>95</formula>
      <formula>105</formula>
    </cfRule>
  </conditionalFormatting>
  <conditionalFormatting sqref="AV91:AV110">
    <cfRule type="cellIs" dxfId="430" priority="611" operator="between">
      <formula>95</formula>
      <formula>105</formula>
    </cfRule>
  </conditionalFormatting>
  <conditionalFormatting sqref="AV91:AV110">
    <cfRule type="cellIs" dxfId="429" priority="610" operator="between">
      <formula>95</formula>
      <formula>105</formula>
    </cfRule>
  </conditionalFormatting>
  <conditionalFormatting sqref="AV124">
    <cfRule type="cellIs" dxfId="428" priority="609" operator="between">
      <formula>95</formula>
      <formula>105</formula>
    </cfRule>
  </conditionalFormatting>
  <conditionalFormatting sqref="AV135:AV136">
    <cfRule type="cellIs" dxfId="427" priority="608" operator="between">
      <formula>95</formula>
      <formula>105</formula>
    </cfRule>
  </conditionalFormatting>
  <conditionalFormatting sqref="AV143">
    <cfRule type="cellIs" dxfId="426" priority="598" operator="between">
      <formula>95</formula>
      <formula>105</formula>
    </cfRule>
  </conditionalFormatting>
  <conditionalFormatting sqref="AV150:AV159">
    <cfRule type="cellIs" dxfId="425" priority="597" operator="between">
      <formula>95</formula>
      <formula>105</formula>
    </cfRule>
  </conditionalFormatting>
  <conditionalFormatting sqref="AV160:AV161">
    <cfRule type="cellIs" dxfId="424" priority="596" operator="between">
      <formula>95</formula>
      <formula>105</formula>
    </cfRule>
  </conditionalFormatting>
  <conditionalFormatting sqref="AV200:AV209">
    <cfRule type="cellIs" dxfId="423" priority="582" operator="between">
      <formula>95</formula>
      <formula>105</formula>
    </cfRule>
  </conditionalFormatting>
  <conditionalFormatting sqref="AV210:AV214">
    <cfRule type="cellIs" dxfId="422" priority="581" operator="between">
      <formula>95</formula>
      <formula>105</formula>
    </cfRule>
  </conditionalFormatting>
  <conditionalFormatting sqref="AV165">
    <cfRule type="cellIs" dxfId="421" priority="595" operator="between">
      <formula>95</formula>
      <formula>105</formula>
    </cfRule>
  </conditionalFormatting>
  <conditionalFormatting sqref="AV166:AV172">
    <cfRule type="cellIs" dxfId="420" priority="594" operator="between">
      <formula>95</formula>
      <formula>105</formula>
    </cfRule>
  </conditionalFormatting>
  <conditionalFormatting sqref="AV173">
    <cfRule type="cellIs" dxfId="419" priority="593" operator="between">
      <formula>95</formula>
      <formula>105</formula>
    </cfRule>
  </conditionalFormatting>
  <conditionalFormatting sqref="AV174:AV175">
    <cfRule type="cellIs" dxfId="418" priority="592" operator="between">
      <formula>95</formula>
      <formula>105</formula>
    </cfRule>
  </conditionalFormatting>
  <conditionalFormatting sqref="AV174:AV175">
    <cfRule type="cellIs" dxfId="417" priority="591" operator="between">
      <formula>95</formula>
      <formula>105</formula>
    </cfRule>
  </conditionalFormatting>
  <conditionalFormatting sqref="AV176:AV185">
    <cfRule type="cellIs" dxfId="416" priority="590" operator="between">
      <formula>95</formula>
      <formula>105</formula>
    </cfRule>
  </conditionalFormatting>
  <conditionalFormatting sqref="AV186:AV187">
    <cfRule type="cellIs" dxfId="415" priority="589" operator="between">
      <formula>95</formula>
      <formula>105</formula>
    </cfRule>
  </conditionalFormatting>
  <conditionalFormatting sqref="AV193">
    <cfRule type="cellIs" dxfId="414" priority="588" operator="between">
      <formula>95</formula>
      <formula>105</formula>
    </cfRule>
  </conditionalFormatting>
  <conditionalFormatting sqref="AV194:AV195">
    <cfRule type="cellIs" dxfId="413" priority="587" operator="between">
      <formula>95</formula>
      <formula>105</formula>
    </cfRule>
  </conditionalFormatting>
  <conditionalFormatting sqref="AV197">
    <cfRule type="cellIs" dxfId="412" priority="585" operator="between">
      <formula>95</formula>
      <formula>105</formula>
    </cfRule>
  </conditionalFormatting>
  <conditionalFormatting sqref="AV198:AV199">
    <cfRule type="cellIs" dxfId="411" priority="584" operator="between">
      <formula>95</formula>
      <formula>105</formula>
    </cfRule>
  </conditionalFormatting>
  <conditionalFormatting sqref="AV198:AV199">
    <cfRule type="cellIs" dxfId="410" priority="583" operator="between">
      <formula>95</formula>
      <formula>105</formula>
    </cfRule>
  </conditionalFormatting>
  <conditionalFormatting sqref="AV245:AV246">
    <cfRule type="cellIs" dxfId="409" priority="574" operator="between">
      <formula>95</formula>
      <formula>105</formula>
    </cfRule>
  </conditionalFormatting>
  <conditionalFormatting sqref="AV229:AV230">
    <cfRule type="cellIs" dxfId="408" priority="580" operator="between">
      <formula>95</formula>
      <formula>105</formula>
    </cfRule>
  </conditionalFormatting>
  <conditionalFormatting sqref="AV229:AV230">
    <cfRule type="cellIs" dxfId="407" priority="579" operator="between">
      <formula>95</formula>
      <formula>105</formula>
    </cfRule>
  </conditionalFormatting>
  <conditionalFormatting sqref="AV231:AV233">
    <cfRule type="cellIs" dxfId="406" priority="578" operator="between">
      <formula>95</formula>
      <formula>105</formula>
    </cfRule>
  </conditionalFormatting>
  <conditionalFormatting sqref="AV244">
    <cfRule type="cellIs" dxfId="405" priority="577" operator="between">
      <formula>95</formula>
      <formula>105</formula>
    </cfRule>
  </conditionalFormatting>
  <conditionalFormatting sqref="AV245:AV246">
    <cfRule type="cellIs" dxfId="404" priority="576" operator="between">
      <formula>95</formula>
      <formula>105</formula>
    </cfRule>
  </conditionalFormatting>
  <conditionalFormatting sqref="AV245:AV246">
    <cfRule type="cellIs" dxfId="403" priority="575" operator="between">
      <formula>95</formula>
      <formula>105</formula>
    </cfRule>
  </conditionalFormatting>
  <conditionalFormatting sqref="AV304">
    <cfRule type="cellIs" dxfId="402" priority="573" operator="between">
      <formula>95</formula>
      <formula>105</formula>
    </cfRule>
  </conditionalFormatting>
  <conditionalFormatting sqref="AV304">
    <cfRule type="cellIs" dxfId="401" priority="572" operator="between">
      <formula>95</formula>
      <formula>105</formula>
    </cfRule>
  </conditionalFormatting>
  <conditionalFormatting sqref="AV304">
    <cfRule type="cellIs" dxfId="400" priority="571" operator="between">
      <formula>95</formula>
      <formula>105</formula>
    </cfRule>
  </conditionalFormatting>
  <conditionalFormatting sqref="AV394:AV398">
    <cfRule type="cellIs" dxfId="399" priority="570" operator="between">
      <formula>95</formula>
      <formula>105</formula>
    </cfRule>
  </conditionalFormatting>
  <conditionalFormatting sqref="AV394:AV398">
    <cfRule type="cellIs" dxfId="398" priority="569" operator="between">
      <formula>95</formula>
      <formula>105</formula>
    </cfRule>
  </conditionalFormatting>
  <conditionalFormatting sqref="AV394:AV398">
    <cfRule type="cellIs" dxfId="397" priority="568" operator="between">
      <formula>95</formula>
      <formula>105</formula>
    </cfRule>
  </conditionalFormatting>
  <conditionalFormatting sqref="AV400:AV401">
    <cfRule type="cellIs" dxfId="396" priority="567" operator="between">
      <formula>95</formula>
      <formula>105</formula>
    </cfRule>
  </conditionalFormatting>
  <conditionalFormatting sqref="AV402">
    <cfRule type="cellIs" dxfId="395" priority="566" operator="between">
      <formula>95</formula>
      <formula>105</formula>
    </cfRule>
  </conditionalFormatting>
  <conditionalFormatting sqref="AV403">
    <cfRule type="cellIs" dxfId="394" priority="565" operator="between">
      <formula>95</formula>
      <formula>105</formula>
    </cfRule>
  </conditionalFormatting>
  <conditionalFormatting sqref="AV404">
    <cfRule type="cellIs" dxfId="393" priority="564" operator="between">
      <formula>95</formula>
      <formula>105</formula>
    </cfRule>
  </conditionalFormatting>
  <conditionalFormatting sqref="AV447">
    <cfRule type="cellIs" dxfId="392" priority="563" operator="between">
      <formula>95</formula>
      <formula>105</formula>
    </cfRule>
  </conditionalFormatting>
  <conditionalFormatting sqref="AV448:AV449">
    <cfRule type="cellIs" dxfId="391" priority="562" operator="between">
      <formula>95</formula>
      <formula>105</formula>
    </cfRule>
  </conditionalFormatting>
  <conditionalFormatting sqref="V438:Y446 T438:T446">
    <cfRule type="cellIs" dxfId="390" priority="560" operator="equal">
      <formula>1</formula>
    </cfRule>
    <cfRule type="cellIs" dxfId="389" priority="561" operator="equal">
      <formula>1</formula>
    </cfRule>
  </conditionalFormatting>
  <conditionalFormatting sqref="AV438:AV446">
    <cfRule type="cellIs" dxfId="388" priority="559" operator="between">
      <formula>95</formula>
      <formula>105</formula>
    </cfRule>
  </conditionalFormatting>
  <conditionalFormatting sqref="R438:R446 N438:N446 P438:P446">
    <cfRule type="colorScale" priority="5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438:S446">
    <cfRule type="colorScale" priority="5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438:Q446">
    <cfRule type="colorScale" priority="5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438:O446">
    <cfRule type="colorScale" priority="5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38:S446">
    <cfRule type="colorScale" priority="5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450:AV451">
    <cfRule type="cellIs" dxfId="387" priority="553" operator="between">
      <formula>95</formula>
      <formula>105</formula>
    </cfRule>
  </conditionalFormatting>
  <conditionalFormatting sqref="AV450:AV451">
    <cfRule type="cellIs" dxfId="386" priority="552" operator="between">
      <formula>95</formula>
      <formula>105</formula>
    </cfRule>
  </conditionalFormatting>
  <conditionalFormatting sqref="AV450:AV451">
    <cfRule type="cellIs" dxfId="385" priority="551" operator="between">
      <formula>95</formula>
      <formula>105</formula>
    </cfRule>
  </conditionalFormatting>
  <conditionalFormatting sqref="AV462:AV471">
    <cfRule type="cellIs" dxfId="384" priority="542" operator="between">
      <formula>95</formula>
      <formula>105</formula>
    </cfRule>
  </conditionalFormatting>
  <conditionalFormatting sqref="AV462:AV471">
    <cfRule type="cellIs" dxfId="383" priority="541" operator="between">
      <formula>95</formula>
      <formula>105</formula>
    </cfRule>
  </conditionalFormatting>
  <conditionalFormatting sqref="AV455">
    <cfRule type="cellIs" dxfId="382" priority="550" operator="between">
      <formula>95</formula>
      <formula>105</formula>
    </cfRule>
  </conditionalFormatting>
  <conditionalFormatting sqref="AV459">
    <cfRule type="cellIs" dxfId="381" priority="549" operator="between">
      <formula>95</formula>
      <formula>105</formula>
    </cfRule>
  </conditionalFormatting>
  <conditionalFormatting sqref="AV460">
    <cfRule type="cellIs" dxfId="380" priority="548" operator="between">
      <formula>95</formula>
      <formula>105</formula>
    </cfRule>
  </conditionalFormatting>
  <conditionalFormatting sqref="AV460">
    <cfRule type="cellIs" dxfId="379" priority="547" operator="between">
      <formula>95</formula>
      <formula>105</formula>
    </cfRule>
  </conditionalFormatting>
  <conditionalFormatting sqref="AV460">
    <cfRule type="cellIs" dxfId="378" priority="546" operator="between">
      <formula>95</formula>
      <formula>105</formula>
    </cfRule>
  </conditionalFormatting>
  <conditionalFormatting sqref="AV461">
    <cfRule type="cellIs" dxfId="377" priority="545" operator="between">
      <formula>95</formula>
      <formula>105</formula>
    </cfRule>
  </conditionalFormatting>
  <conditionalFormatting sqref="AV461">
    <cfRule type="cellIs" dxfId="376" priority="544" operator="between">
      <formula>95</formula>
      <formula>105</formula>
    </cfRule>
  </conditionalFormatting>
  <conditionalFormatting sqref="AV461">
    <cfRule type="cellIs" dxfId="375" priority="543" operator="between">
      <formula>95</formula>
      <formula>105</formula>
    </cfRule>
  </conditionalFormatting>
  <conditionalFormatting sqref="AV462:AV471">
    <cfRule type="cellIs" dxfId="374" priority="540" operator="between">
      <formula>95</formula>
      <formula>105</formula>
    </cfRule>
  </conditionalFormatting>
  <conditionalFormatting sqref="AV472:AV478">
    <cfRule type="cellIs" dxfId="373" priority="538" operator="between">
      <formula>95</formula>
      <formula>105</formula>
    </cfRule>
  </conditionalFormatting>
  <conditionalFormatting sqref="AV472:AV478">
    <cfRule type="cellIs" dxfId="372" priority="537" operator="between">
      <formula>95</formula>
      <formula>105</formula>
    </cfRule>
  </conditionalFormatting>
  <conditionalFormatting sqref="AV472:AV478">
    <cfRule type="cellIs" dxfId="371" priority="536" operator="between">
      <formula>95</formula>
      <formula>105</formula>
    </cfRule>
  </conditionalFormatting>
  <conditionalFormatting sqref="AV479:AV480">
    <cfRule type="cellIs" dxfId="370" priority="535" operator="between">
      <formula>95</formula>
      <formula>105</formula>
    </cfRule>
  </conditionalFormatting>
  <conditionalFormatting sqref="AV479:AV480">
    <cfRule type="cellIs" dxfId="369" priority="534" operator="between">
      <formula>95</formula>
      <formula>105</formula>
    </cfRule>
  </conditionalFormatting>
  <conditionalFormatting sqref="AV481:AV482">
    <cfRule type="cellIs" dxfId="368" priority="533" operator="between">
      <formula>95</formula>
      <formula>105</formula>
    </cfRule>
  </conditionalFormatting>
  <conditionalFormatting sqref="AV481:AV482">
    <cfRule type="cellIs" dxfId="367" priority="532" operator="between">
      <formula>95</formula>
      <formula>105</formula>
    </cfRule>
  </conditionalFormatting>
  <conditionalFormatting sqref="AV481:AV482">
    <cfRule type="cellIs" dxfId="366" priority="531" operator="between">
      <formula>95</formula>
      <formula>105</formula>
    </cfRule>
  </conditionalFormatting>
  <conditionalFormatting sqref="V486:Y501">
    <cfRule type="cellIs" dxfId="365" priority="528" operator="equal">
      <formula>1</formula>
    </cfRule>
    <cfRule type="cellIs" dxfId="364" priority="529" operator="equal">
      <formula>1</formula>
    </cfRule>
  </conditionalFormatting>
  <conditionalFormatting sqref="AV486:AV501">
    <cfRule type="cellIs" dxfId="363" priority="527" operator="between">
      <formula>95</formula>
      <formula>105</formula>
    </cfRule>
  </conditionalFormatting>
  <conditionalFormatting sqref="T486:T501">
    <cfRule type="cellIs" dxfId="362" priority="525" operator="equal">
      <formula>1</formula>
    </cfRule>
    <cfRule type="cellIs" dxfId="361" priority="526" operator="equal">
      <formula>1</formula>
    </cfRule>
  </conditionalFormatting>
  <conditionalFormatting sqref="T486:T501">
    <cfRule type="cellIs" dxfId="360" priority="523" operator="equal">
      <formula>1</formula>
    </cfRule>
    <cfRule type="cellIs" dxfId="359" priority="524" operator="equal">
      <formula>1</formula>
    </cfRule>
  </conditionalFormatting>
  <conditionalFormatting sqref="T486:T501">
    <cfRule type="cellIs" dxfId="358" priority="521" operator="equal">
      <formula>1</formula>
    </cfRule>
    <cfRule type="cellIs" dxfId="357" priority="522" operator="equal">
      <formula>1</formula>
    </cfRule>
  </conditionalFormatting>
  <conditionalFormatting sqref="T486:T501">
    <cfRule type="cellIs" dxfId="356" priority="519" operator="equal">
      <formula>1</formula>
    </cfRule>
    <cfRule type="cellIs" dxfId="355" priority="520" operator="equal">
      <formula>1</formula>
    </cfRule>
  </conditionalFormatting>
  <conditionalFormatting sqref="T486:T501">
    <cfRule type="cellIs" dxfId="354" priority="517" operator="equal">
      <formula>1</formula>
    </cfRule>
    <cfRule type="cellIs" dxfId="353" priority="518" operator="equal">
      <formula>1</formula>
    </cfRule>
  </conditionalFormatting>
  <conditionalFormatting sqref="N486:N495 P486:P495 R486:R495">
    <cfRule type="colorScale" priority="5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486:S495">
    <cfRule type="colorScale" priority="5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486:Q495">
    <cfRule type="colorScale" priority="5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486:O495">
    <cfRule type="colorScale" priority="5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86:S495">
    <cfRule type="colorScale" priority="5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507">
    <cfRule type="cellIs" dxfId="352" priority="511" operator="between">
      <formula>95</formula>
      <formula>105</formula>
    </cfRule>
  </conditionalFormatting>
  <conditionalFormatting sqref="AV507">
    <cfRule type="cellIs" dxfId="351" priority="510" operator="between">
      <formula>95</formula>
      <formula>105</formula>
    </cfRule>
  </conditionalFormatting>
  <conditionalFormatting sqref="AV507">
    <cfRule type="cellIs" dxfId="350" priority="509" operator="between">
      <formula>95</formula>
      <formula>105</formula>
    </cfRule>
  </conditionalFormatting>
  <conditionalFormatting sqref="AV508:AV509">
    <cfRule type="cellIs" dxfId="349" priority="508" operator="between">
      <formula>95</formula>
      <formula>105</formula>
    </cfRule>
  </conditionalFormatting>
  <conditionalFormatting sqref="AV510">
    <cfRule type="cellIs" dxfId="348" priority="507" operator="between">
      <formula>95</formula>
      <formula>105</formula>
    </cfRule>
  </conditionalFormatting>
  <conditionalFormatting sqref="AV511:AV515">
    <cfRule type="cellIs" dxfId="347" priority="506" operator="between">
      <formula>95</formula>
      <formula>105</formula>
    </cfRule>
  </conditionalFormatting>
  <conditionalFormatting sqref="AV511:AV515">
    <cfRule type="cellIs" dxfId="346" priority="505" operator="between">
      <formula>95</formula>
      <formula>105</formula>
    </cfRule>
  </conditionalFormatting>
  <conditionalFormatting sqref="AV511:AV515">
    <cfRule type="cellIs" dxfId="345" priority="504" operator="between">
      <formula>95</formula>
      <formula>105</formula>
    </cfRule>
  </conditionalFormatting>
  <conditionalFormatting sqref="AV516">
    <cfRule type="cellIs" dxfId="344" priority="503" operator="between">
      <formula>95</formula>
      <formula>105</formula>
    </cfRule>
  </conditionalFormatting>
  <conditionalFormatting sqref="AV516">
    <cfRule type="cellIs" dxfId="343" priority="502" operator="between">
      <formula>95</formula>
      <formula>105</formula>
    </cfRule>
  </conditionalFormatting>
  <conditionalFormatting sqref="AV516">
    <cfRule type="cellIs" dxfId="342" priority="501" operator="between">
      <formula>95</formula>
      <formula>105</formula>
    </cfRule>
  </conditionalFormatting>
  <conditionalFormatting sqref="AV520:AV528">
    <cfRule type="cellIs" dxfId="341" priority="500" operator="between">
      <formula>95</formula>
      <formula>105</formula>
    </cfRule>
  </conditionalFormatting>
  <conditionalFormatting sqref="AV520:AV528">
    <cfRule type="cellIs" dxfId="340" priority="499" operator="between">
      <formula>95</formula>
      <formula>105</formula>
    </cfRule>
  </conditionalFormatting>
  <conditionalFormatting sqref="AV520:AV528">
    <cfRule type="cellIs" dxfId="339" priority="498" operator="between">
      <formula>95</formula>
      <formula>105</formula>
    </cfRule>
  </conditionalFormatting>
  <conditionalFormatting sqref="AV530">
    <cfRule type="cellIs" dxfId="338" priority="497" operator="between">
      <formula>95</formula>
      <formula>105</formula>
    </cfRule>
  </conditionalFormatting>
  <conditionalFormatting sqref="AV546:AV547">
    <cfRule type="cellIs" dxfId="337" priority="496" operator="between">
      <formula>95</formula>
      <formula>105</formula>
    </cfRule>
  </conditionalFormatting>
  <conditionalFormatting sqref="AV549">
    <cfRule type="cellIs" dxfId="336" priority="495" operator="between">
      <formula>95</formula>
      <formula>105</formula>
    </cfRule>
  </conditionalFormatting>
  <conditionalFormatting sqref="AV549">
    <cfRule type="cellIs" dxfId="335" priority="494" operator="between">
      <formula>95</formula>
      <formula>105</formula>
    </cfRule>
  </conditionalFormatting>
  <conditionalFormatting sqref="AV549">
    <cfRule type="cellIs" dxfId="334" priority="493" operator="between">
      <formula>95</formula>
      <formula>105</formula>
    </cfRule>
  </conditionalFormatting>
  <conditionalFormatting sqref="AV559">
    <cfRule type="cellIs" dxfId="333" priority="492" operator="between">
      <formula>95</formula>
      <formula>105</formula>
    </cfRule>
  </conditionalFormatting>
  <conditionalFormatting sqref="AV559">
    <cfRule type="cellIs" dxfId="332" priority="491" operator="between">
      <formula>95</formula>
      <formula>105</formula>
    </cfRule>
  </conditionalFormatting>
  <conditionalFormatting sqref="AV559">
    <cfRule type="cellIs" dxfId="331" priority="490" operator="between">
      <formula>95</formula>
      <formula>105</formula>
    </cfRule>
  </conditionalFormatting>
  <conditionalFormatting sqref="AV559">
    <cfRule type="cellIs" dxfId="330" priority="489" operator="between">
      <formula>95</formula>
      <formula>105</formula>
    </cfRule>
  </conditionalFormatting>
  <conditionalFormatting sqref="AV550:AV558">
    <cfRule type="cellIs" dxfId="329" priority="488" operator="between">
      <formula>95</formula>
      <formula>105</formula>
    </cfRule>
  </conditionalFormatting>
  <conditionalFormatting sqref="AV550:AV558">
    <cfRule type="cellIs" dxfId="328" priority="487" operator="between">
      <formula>95</formula>
      <formula>105</formula>
    </cfRule>
  </conditionalFormatting>
  <conditionalFormatting sqref="AV550:AV558">
    <cfRule type="cellIs" dxfId="327" priority="486" operator="between">
      <formula>95</formula>
      <formula>105</formula>
    </cfRule>
  </conditionalFormatting>
  <conditionalFormatting sqref="AV560:AV561">
    <cfRule type="cellIs" dxfId="326" priority="485" operator="between">
      <formula>95</formula>
      <formula>105</formula>
    </cfRule>
  </conditionalFormatting>
  <conditionalFormatting sqref="AV562:AV568">
    <cfRule type="cellIs" dxfId="325" priority="484" operator="between">
      <formula>95</formula>
      <formula>105</formula>
    </cfRule>
  </conditionalFormatting>
  <conditionalFormatting sqref="AV562:AV568">
    <cfRule type="cellIs" dxfId="324" priority="482" operator="between">
      <formula>95</formula>
      <formula>105</formula>
    </cfRule>
  </conditionalFormatting>
  <conditionalFormatting sqref="AV569">
    <cfRule type="cellIs" dxfId="323" priority="481" operator="between">
      <formula>95</formula>
      <formula>105</formula>
    </cfRule>
  </conditionalFormatting>
  <conditionalFormatting sqref="AV583">
    <cfRule type="cellIs" dxfId="322" priority="480" operator="between">
      <formula>95</formula>
      <formula>105</formula>
    </cfRule>
  </conditionalFormatting>
  <conditionalFormatting sqref="AV583">
    <cfRule type="cellIs" dxfId="321" priority="479" operator="between">
      <formula>95</formula>
      <formula>105</formula>
    </cfRule>
  </conditionalFormatting>
  <conditionalFormatting sqref="AV583">
    <cfRule type="cellIs" dxfId="320" priority="478" operator="between">
      <formula>95</formula>
      <formula>105</formula>
    </cfRule>
  </conditionalFormatting>
  <conditionalFormatting sqref="AV583">
    <cfRule type="cellIs" dxfId="319" priority="477" operator="between">
      <formula>95</formula>
      <formula>105</formula>
    </cfRule>
  </conditionalFormatting>
  <conditionalFormatting sqref="AV574:AV582">
    <cfRule type="cellIs" dxfId="318" priority="476" operator="between">
      <formula>95</formula>
      <formula>105</formula>
    </cfRule>
  </conditionalFormatting>
  <conditionalFormatting sqref="AV574:AV582">
    <cfRule type="cellIs" dxfId="317" priority="475" operator="between">
      <formula>95</formula>
      <formula>105</formula>
    </cfRule>
  </conditionalFormatting>
  <conditionalFormatting sqref="AV574:AV582">
    <cfRule type="cellIs" dxfId="316" priority="474" operator="between">
      <formula>95</formula>
      <formula>105</formula>
    </cfRule>
  </conditionalFormatting>
  <conditionalFormatting sqref="AV584:AV585">
    <cfRule type="cellIs" dxfId="315" priority="473" operator="between">
      <formula>95</formula>
      <formula>105</formula>
    </cfRule>
  </conditionalFormatting>
  <conditionalFormatting sqref="AV586">
    <cfRule type="cellIs" dxfId="314" priority="472" operator="between">
      <formula>95</formula>
      <formula>105</formula>
    </cfRule>
  </conditionalFormatting>
  <conditionalFormatting sqref="AV587:AV607">
    <cfRule type="cellIs" dxfId="313" priority="471" operator="between">
      <formula>95</formula>
      <formula>105</formula>
    </cfRule>
  </conditionalFormatting>
  <conditionalFormatting sqref="AV614:AV621">
    <cfRule type="cellIs" dxfId="312" priority="470" operator="between">
      <formula>95</formula>
      <formula>105</formula>
    </cfRule>
  </conditionalFormatting>
  <conditionalFormatting sqref="AV622:AV623">
    <cfRule type="cellIs" dxfId="311" priority="469" operator="between">
      <formula>95</formula>
      <formula>105</formula>
    </cfRule>
  </conditionalFormatting>
  <conditionalFormatting sqref="AV622:AV623">
    <cfRule type="cellIs" dxfId="310" priority="468" operator="between">
      <formula>95</formula>
      <formula>105</formula>
    </cfRule>
  </conditionalFormatting>
  <conditionalFormatting sqref="AV622:AV623">
    <cfRule type="cellIs" dxfId="309" priority="467" operator="between">
      <formula>95</formula>
      <formula>105</formula>
    </cfRule>
  </conditionalFormatting>
  <conditionalFormatting sqref="AV629">
    <cfRule type="cellIs" dxfId="308" priority="464" operator="between">
      <formula>95</formula>
      <formula>105</formula>
    </cfRule>
  </conditionalFormatting>
  <conditionalFormatting sqref="AV628">
    <cfRule type="cellIs" dxfId="307" priority="465" operator="between">
      <formula>95</formula>
      <formula>105</formula>
    </cfRule>
  </conditionalFormatting>
  <conditionalFormatting sqref="AV633:AV639">
    <cfRule type="cellIs" dxfId="306" priority="463" operator="between">
      <formula>95</formula>
      <formula>105</formula>
    </cfRule>
  </conditionalFormatting>
  <conditionalFormatting sqref="AV633:AV639">
    <cfRule type="cellIs" dxfId="305" priority="462" operator="between">
      <formula>95</formula>
      <formula>105</formula>
    </cfRule>
  </conditionalFormatting>
  <conditionalFormatting sqref="AV633:AV639">
    <cfRule type="cellIs" dxfId="304" priority="461" operator="between">
      <formula>95</formula>
      <formula>105</formula>
    </cfRule>
  </conditionalFormatting>
  <conditionalFormatting sqref="AV649">
    <cfRule type="cellIs" dxfId="303" priority="460" operator="between">
      <formula>95</formula>
      <formula>105</formula>
    </cfRule>
  </conditionalFormatting>
  <conditionalFormatting sqref="AV649">
    <cfRule type="cellIs" dxfId="302" priority="459" operator="between">
      <formula>95</formula>
      <formula>105</formula>
    </cfRule>
  </conditionalFormatting>
  <conditionalFormatting sqref="AV649">
    <cfRule type="cellIs" dxfId="301" priority="458" operator="between">
      <formula>95</formula>
      <formula>105</formula>
    </cfRule>
  </conditionalFormatting>
  <conditionalFormatting sqref="AV649">
    <cfRule type="cellIs" dxfId="300" priority="457" operator="between">
      <formula>95</formula>
      <formula>105</formula>
    </cfRule>
  </conditionalFormatting>
  <conditionalFormatting sqref="AV640:AV648">
    <cfRule type="cellIs" dxfId="299" priority="456" operator="between">
      <formula>95</formula>
      <formula>105</formula>
    </cfRule>
  </conditionalFormatting>
  <conditionalFormatting sqref="AV640:AV648">
    <cfRule type="cellIs" dxfId="298" priority="455" operator="between">
      <formula>95</formula>
      <formula>105</formula>
    </cfRule>
  </conditionalFormatting>
  <conditionalFormatting sqref="AV640:AV648">
    <cfRule type="cellIs" dxfId="297" priority="454" operator="between">
      <formula>95</formula>
      <formula>105</formula>
    </cfRule>
  </conditionalFormatting>
  <conditionalFormatting sqref="AV650:AV651">
    <cfRule type="cellIs" dxfId="296" priority="453" operator="between">
      <formula>95</formula>
      <formula>105</formula>
    </cfRule>
  </conditionalFormatting>
  <conditionalFormatting sqref="AV650:AV651">
    <cfRule type="cellIs" dxfId="295" priority="452" operator="between">
      <formula>95</formula>
      <formula>105</formula>
    </cfRule>
  </conditionalFormatting>
  <conditionalFormatting sqref="AV652:AV653">
    <cfRule type="cellIs" dxfId="294" priority="451" operator="between">
      <formula>95</formula>
      <formula>105</formula>
    </cfRule>
  </conditionalFormatting>
  <conditionalFormatting sqref="AV652:AV653">
    <cfRule type="cellIs" dxfId="293" priority="450" operator="between">
      <formula>95</formula>
      <formula>105</formula>
    </cfRule>
  </conditionalFormatting>
  <conditionalFormatting sqref="AV663">
    <cfRule type="cellIs" dxfId="292" priority="449" operator="between">
      <formula>95</formula>
      <formula>105</formula>
    </cfRule>
  </conditionalFormatting>
  <conditionalFormatting sqref="AV663">
    <cfRule type="cellIs" dxfId="291" priority="448" operator="between">
      <formula>95</formula>
      <formula>105</formula>
    </cfRule>
  </conditionalFormatting>
  <conditionalFormatting sqref="AV663">
    <cfRule type="cellIs" dxfId="290" priority="447" operator="between">
      <formula>95</formula>
      <formula>105</formula>
    </cfRule>
  </conditionalFormatting>
  <conditionalFormatting sqref="AV663">
    <cfRule type="cellIs" dxfId="289" priority="446" operator="between">
      <formula>95</formula>
      <formula>105</formula>
    </cfRule>
  </conditionalFormatting>
  <conditionalFormatting sqref="AV654:AV662">
    <cfRule type="cellIs" dxfId="288" priority="445" operator="between">
      <formula>95</formula>
      <formula>105</formula>
    </cfRule>
  </conditionalFormatting>
  <conditionalFormatting sqref="AV654:AV662">
    <cfRule type="cellIs" dxfId="287" priority="444" operator="between">
      <formula>95</formula>
      <formula>105</formula>
    </cfRule>
  </conditionalFormatting>
  <conditionalFormatting sqref="AV654:AV662">
    <cfRule type="cellIs" dxfId="286" priority="443" operator="between">
      <formula>95</formula>
      <formula>105</formula>
    </cfRule>
  </conditionalFormatting>
  <conditionalFormatting sqref="AV664:AV665">
    <cfRule type="cellIs" dxfId="285" priority="442" operator="between">
      <formula>95</formula>
      <formula>105</formula>
    </cfRule>
  </conditionalFormatting>
  <conditionalFormatting sqref="AV681:AV687">
    <cfRule type="cellIs" dxfId="284" priority="437" operator="between">
      <formula>95</formula>
      <formula>105</formula>
    </cfRule>
  </conditionalFormatting>
  <conditionalFormatting sqref="AV679">
    <cfRule type="cellIs" dxfId="283" priority="441" operator="between">
      <formula>95</formula>
      <formula>105</formula>
    </cfRule>
  </conditionalFormatting>
  <conditionalFormatting sqref="AV679">
    <cfRule type="cellIs" dxfId="282" priority="440" operator="between">
      <formula>95</formula>
      <formula>105</formula>
    </cfRule>
  </conditionalFormatting>
  <conditionalFormatting sqref="AV679">
    <cfRule type="cellIs" dxfId="281" priority="439" operator="between">
      <formula>95</formula>
      <formula>105</formula>
    </cfRule>
  </conditionalFormatting>
  <conditionalFormatting sqref="AV680">
    <cfRule type="cellIs" dxfId="280" priority="438" operator="between">
      <formula>95</formula>
      <formula>105</formula>
    </cfRule>
  </conditionalFormatting>
  <conditionalFormatting sqref="AV681:AV687">
    <cfRule type="cellIs" dxfId="279" priority="436" operator="between">
      <formula>95</formula>
      <formula>105</formula>
    </cfRule>
  </conditionalFormatting>
  <conditionalFormatting sqref="AV681:AV687">
    <cfRule type="cellIs" dxfId="278" priority="435" operator="between">
      <formula>95</formula>
      <formula>105</formula>
    </cfRule>
  </conditionalFormatting>
  <conditionalFormatting sqref="AV707:AV715">
    <cfRule type="cellIs" dxfId="277" priority="434" operator="between">
      <formula>95</formula>
      <formula>105</formula>
    </cfRule>
  </conditionalFormatting>
  <conditionalFormatting sqref="AV707:AV715">
    <cfRule type="cellIs" dxfId="276" priority="433" operator="between">
      <formula>95</formula>
      <formula>105</formula>
    </cfRule>
  </conditionalFormatting>
  <conditionalFormatting sqref="AV717:AV718">
    <cfRule type="cellIs" dxfId="275" priority="431" operator="between">
      <formula>95</formula>
      <formula>105</formula>
    </cfRule>
  </conditionalFormatting>
  <conditionalFormatting sqref="AV717:AV718">
    <cfRule type="cellIs" dxfId="274" priority="430" operator="between">
      <formula>95</formula>
      <formula>105</formula>
    </cfRule>
  </conditionalFormatting>
  <conditionalFormatting sqref="AV745">
    <cfRule type="cellIs" dxfId="273" priority="429" operator="between">
      <formula>95</formula>
      <formula>105</formula>
    </cfRule>
  </conditionalFormatting>
  <conditionalFormatting sqref="AV749:AV750">
    <cfRule type="cellIs" dxfId="272" priority="428" operator="between">
      <formula>95</formula>
      <formula>105</formula>
    </cfRule>
  </conditionalFormatting>
  <conditionalFormatting sqref="AV749:AV750">
    <cfRule type="cellIs" dxfId="271" priority="427" operator="between">
      <formula>95</formula>
      <formula>105</formula>
    </cfRule>
  </conditionalFormatting>
  <conditionalFormatting sqref="AV751">
    <cfRule type="cellIs" dxfId="270" priority="426" operator="between">
      <formula>95</formula>
      <formula>105</formula>
    </cfRule>
  </conditionalFormatting>
  <conditionalFormatting sqref="AV751">
    <cfRule type="cellIs" dxfId="269" priority="425" operator="between">
      <formula>95</formula>
      <formula>105</formula>
    </cfRule>
  </conditionalFormatting>
  <conditionalFormatting sqref="AV751">
    <cfRule type="cellIs" dxfId="268" priority="424" operator="between">
      <formula>95</formula>
      <formula>105</formula>
    </cfRule>
  </conditionalFormatting>
  <conditionalFormatting sqref="AV760">
    <cfRule type="cellIs" dxfId="267" priority="423" operator="between">
      <formula>95</formula>
      <formula>105</formula>
    </cfRule>
  </conditionalFormatting>
  <conditionalFormatting sqref="AV766">
    <cfRule type="cellIs" dxfId="266" priority="419" operator="between">
      <formula>95</formula>
      <formula>105</formula>
    </cfRule>
  </conditionalFormatting>
  <conditionalFormatting sqref="AV766">
    <cfRule type="cellIs" dxfId="265" priority="418" operator="between">
      <formula>95</formula>
      <formula>105</formula>
    </cfRule>
  </conditionalFormatting>
  <conditionalFormatting sqref="AV766">
    <cfRule type="cellIs" dxfId="264" priority="417" operator="between">
      <formula>95</formula>
      <formula>105</formula>
    </cfRule>
  </conditionalFormatting>
  <conditionalFormatting sqref="AV771:AV772">
    <cfRule type="cellIs" dxfId="263" priority="415" operator="between">
      <formula>95</formula>
      <formula>105</formula>
    </cfRule>
  </conditionalFormatting>
  <conditionalFormatting sqref="AV771:AV772">
    <cfRule type="cellIs" dxfId="262" priority="414" operator="between">
      <formula>95</formula>
      <formula>105</formula>
    </cfRule>
  </conditionalFormatting>
  <conditionalFormatting sqref="AV771:AV772">
    <cfRule type="cellIs" dxfId="261" priority="413" operator="between">
      <formula>95</formula>
      <formula>105</formula>
    </cfRule>
  </conditionalFormatting>
  <conditionalFormatting sqref="AV780:AV782">
    <cfRule type="cellIs" dxfId="260" priority="412" operator="between">
      <formula>95</formula>
      <formula>105</formula>
    </cfRule>
  </conditionalFormatting>
  <conditionalFormatting sqref="AV783">
    <cfRule type="cellIs" dxfId="259" priority="411" operator="between">
      <formula>95</formula>
      <formula>105</formula>
    </cfRule>
  </conditionalFormatting>
  <conditionalFormatting sqref="AV818:AV819">
    <cfRule type="cellIs" dxfId="258" priority="410" operator="between">
      <formula>95</formula>
      <formula>105</formula>
    </cfRule>
  </conditionalFormatting>
  <conditionalFormatting sqref="AV822">
    <cfRule type="cellIs" dxfId="257" priority="409" operator="between">
      <formula>95</formula>
      <formula>105</formula>
    </cfRule>
  </conditionalFormatting>
  <conditionalFormatting sqref="AV822">
    <cfRule type="cellIs" dxfId="256" priority="408" operator="between">
      <formula>95</formula>
      <formula>105</formula>
    </cfRule>
  </conditionalFormatting>
  <conditionalFormatting sqref="AV823:AV824">
    <cfRule type="cellIs" dxfId="255" priority="406" operator="between">
      <formula>95</formula>
      <formula>105</formula>
    </cfRule>
  </conditionalFormatting>
  <conditionalFormatting sqref="AV825">
    <cfRule type="cellIs" dxfId="254" priority="405" operator="between">
      <formula>95</formula>
      <formula>105</formula>
    </cfRule>
  </conditionalFormatting>
  <conditionalFormatting sqref="AV826:AV844">
    <cfRule type="cellIs" dxfId="253" priority="404" operator="between">
      <formula>95</formula>
      <formula>105</formula>
    </cfRule>
  </conditionalFormatting>
  <conditionalFormatting sqref="AV845">
    <cfRule type="cellIs" dxfId="252" priority="403" operator="between">
      <formula>95</formula>
      <formula>105</formula>
    </cfRule>
  </conditionalFormatting>
  <conditionalFormatting sqref="AV860:AV864">
    <cfRule type="cellIs" dxfId="251" priority="402" operator="between">
      <formula>95</formula>
      <formula>105</formula>
    </cfRule>
  </conditionalFormatting>
  <conditionalFormatting sqref="AV860:AV864">
    <cfRule type="cellIs" dxfId="250" priority="401" operator="between">
      <formula>95</formula>
      <formula>105</formula>
    </cfRule>
  </conditionalFormatting>
  <conditionalFormatting sqref="AV860:AV864">
    <cfRule type="cellIs" dxfId="249" priority="400" operator="between">
      <formula>95</formula>
      <formula>105</formula>
    </cfRule>
  </conditionalFormatting>
  <conditionalFormatting sqref="AV865">
    <cfRule type="cellIs" dxfId="248" priority="399" operator="between">
      <formula>95</formula>
      <formula>105</formula>
    </cfRule>
  </conditionalFormatting>
  <conditionalFormatting sqref="AV869">
    <cfRule type="cellIs" dxfId="247" priority="397" operator="between">
      <formula>95</formula>
      <formula>105</formula>
    </cfRule>
  </conditionalFormatting>
  <conditionalFormatting sqref="AV870:AV877">
    <cfRule type="cellIs" dxfId="246" priority="396" operator="between">
      <formula>95</formula>
      <formula>105</formula>
    </cfRule>
  </conditionalFormatting>
  <conditionalFormatting sqref="AV870:AV877">
    <cfRule type="cellIs" dxfId="245" priority="395" operator="between">
      <formula>95</formula>
      <formula>105</formula>
    </cfRule>
  </conditionalFormatting>
  <conditionalFormatting sqref="AV887">
    <cfRule type="cellIs" dxfId="244" priority="394" operator="between">
      <formula>95</formula>
      <formula>105</formula>
    </cfRule>
  </conditionalFormatting>
  <conditionalFormatting sqref="AV878:AV886">
    <cfRule type="cellIs" dxfId="243" priority="393" operator="between">
      <formula>95</formula>
      <formula>105</formula>
    </cfRule>
  </conditionalFormatting>
  <conditionalFormatting sqref="AV878:AV886">
    <cfRule type="cellIs" dxfId="242" priority="392" operator="between">
      <formula>95</formula>
      <formula>105</formula>
    </cfRule>
  </conditionalFormatting>
  <conditionalFormatting sqref="AV878:AV886">
    <cfRule type="cellIs" dxfId="241" priority="391" operator="between">
      <formula>95</formula>
      <formula>105</formula>
    </cfRule>
  </conditionalFormatting>
  <conditionalFormatting sqref="AV909">
    <cfRule type="cellIs" dxfId="240" priority="390" operator="between">
      <formula>95</formula>
      <formula>105</formula>
    </cfRule>
  </conditionalFormatting>
  <conditionalFormatting sqref="AV923">
    <cfRule type="cellIs" dxfId="239" priority="389" operator="between">
      <formula>95</formula>
      <formula>105</formula>
    </cfRule>
  </conditionalFormatting>
  <conditionalFormatting sqref="AV939">
    <cfRule type="cellIs" dxfId="238" priority="388" operator="between">
      <formula>95</formula>
      <formula>105</formula>
    </cfRule>
  </conditionalFormatting>
  <conditionalFormatting sqref="AV1034">
    <cfRule type="cellIs" dxfId="237" priority="387" operator="between">
      <formula>95</formula>
      <formula>105</formula>
    </cfRule>
  </conditionalFormatting>
  <conditionalFormatting sqref="AV1035:AV1036">
    <cfRule type="cellIs" dxfId="236" priority="386" operator="between">
      <formula>95</formula>
      <formula>105</formula>
    </cfRule>
  </conditionalFormatting>
  <conditionalFormatting sqref="AV1035:AV1036">
    <cfRule type="cellIs" dxfId="235" priority="385" operator="between">
      <formula>95</formula>
      <formula>105</formula>
    </cfRule>
  </conditionalFormatting>
  <conditionalFormatting sqref="AV1046">
    <cfRule type="cellIs" dxfId="234" priority="384" operator="between">
      <formula>95</formula>
      <formula>105</formula>
    </cfRule>
  </conditionalFormatting>
  <conditionalFormatting sqref="AV1037:AV1045">
    <cfRule type="cellIs" dxfId="233" priority="383" operator="between">
      <formula>95</formula>
      <formula>105</formula>
    </cfRule>
  </conditionalFormatting>
  <conditionalFormatting sqref="AV1037:AV1045">
    <cfRule type="cellIs" dxfId="232" priority="382" operator="between">
      <formula>95</formula>
      <formula>105</formula>
    </cfRule>
  </conditionalFormatting>
  <conditionalFormatting sqref="AV1037:AV1045">
    <cfRule type="cellIs" dxfId="231" priority="381" operator="between">
      <formula>95</formula>
      <formula>105</formula>
    </cfRule>
  </conditionalFormatting>
  <conditionalFormatting sqref="AV1053:AV1061">
    <cfRule type="cellIs" dxfId="230" priority="379" operator="between">
      <formula>95</formula>
      <formula>105</formula>
    </cfRule>
  </conditionalFormatting>
  <conditionalFormatting sqref="AV1053:AV1061">
    <cfRule type="cellIs" dxfId="229" priority="378" operator="between">
      <formula>95</formula>
      <formula>105</formula>
    </cfRule>
  </conditionalFormatting>
  <conditionalFormatting sqref="AV1053:AV1061">
    <cfRule type="cellIs" dxfId="228" priority="377" operator="between">
      <formula>95</formula>
      <formula>105</formula>
    </cfRule>
  </conditionalFormatting>
  <conditionalFormatting sqref="AV597">
    <cfRule type="cellIs" dxfId="227" priority="376" operator="between">
      <formula>95</formula>
      <formula>105</formula>
    </cfRule>
  </conditionalFormatting>
  <conditionalFormatting sqref="AV607">
    <cfRule type="cellIs" dxfId="226" priority="375" operator="between">
      <formula>95</formula>
      <formula>105</formula>
    </cfRule>
  </conditionalFormatting>
  <conditionalFormatting sqref="AV598:AV606">
    <cfRule type="cellIs" dxfId="225" priority="374" operator="between">
      <formula>95</formula>
      <formula>105</formula>
    </cfRule>
  </conditionalFormatting>
  <conditionalFormatting sqref="AV598:AV606">
    <cfRule type="cellIs" dxfId="224" priority="373" operator="between">
      <formula>95</formula>
      <formula>105</formula>
    </cfRule>
  </conditionalFormatting>
  <conditionalFormatting sqref="AV598:AV606">
    <cfRule type="cellIs" dxfId="223" priority="372" operator="between">
      <formula>95</formula>
      <formula>105</formula>
    </cfRule>
  </conditionalFormatting>
  <conditionalFormatting sqref="AV1063:AV1071">
    <cfRule type="cellIs" dxfId="222" priority="370" operator="between">
      <formula>95</formula>
      <formula>105</formula>
    </cfRule>
  </conditionalFormatting>
  <conditionalFormatting sqref="AV1063:AV1071">
    <cfRule type="cellIs" dxfId="221" priority="369" operator="between">
      <formula>95</formula>
      <formula>105</formula>
    </cfRule>
  </conditionalFormatting>
  <conditionalFormatting sqref="AV1063:AV1071">
    <cfRule type="cellIs" dxfId="220" priority="368" operator="between">
      <formula>95</formula>
      <formula>105</formula>
    </cfRule>
  </conditionalFormatting>
  <conditionalFormatting sqref="AV1073 AV1079:AV1086">
    <cfRule type="cellIs" dxfId="219" priority="367" operator="between">
      <formula>95</formula>
      <formula>105</formula>
    </cfRule>
  </conditionalFormatting>
  <conditionalFormatting sqref="AV1073 AV1079:AV1086">
    <cfRule type="cellIs" dxfId="218" priority="366" operator="between">
      <formula>95</formula>
      <formula>105</formula>
    </cfRule>
  </conditionalFormatting>
  <conditionalFormatting sqref="AV1073 AV1079:AV1086">
    <cfRule type="cellIs" dxfId="217" priority="365" operator="between">
      <formula>95</formula>
      <formula>105</formula>
    </cfRule>
  </conditionalFormatting>
  <conditionalFormatting sqref="AV1097">
    <cfRule type="cellIs" dxfId="216" priority="364" operator="between">
      <formula>95</formula>
      <formula>105</formula>
    </cfRule>
  </conditionalFormatting>
  <conditionalFormatting sqref="AV1088:AV1096">
    <cfRule type="cellIs" dxfId="215" priority="363" operator="between">
      <formula>95</formula>
      <formula>105</formula>
    </cfRule>
  </conditionalFormatting>
  <conditionalFormatting sqref="AV1088:AV1096">
    <cfRule type="cellIs" dxfId="214" priority="362" operator="between">
      <formula>95</formula>
      <formula>105</formula>
    </cfRule>
  </conditionalFormatting>
  <conditionalFormatting sqref="AV1088:AV1096">
    <cfRule type="cellIs" dxfId="213" priority="361" operator="between">
      <formula>95</formula>
      <formula>105</formula>
    </cfRule>
  </conditionalFormatting>
  <conditionalFormatting sqref="AV1098:AV1102">
    <cfRule type="cellIs" dxfId="212" priority="360" operator="between">
      <formula>95</formula>
      <formula>105</formula>
    </cfRule>
  </conditionalFormatting>
  <conditionalFormatting sqref="AV1098:AV1102">
    <cfRule type="cellIs" dxfId="211" priority="359" operator="between">
      <formula>95</formula>
      <formula>105</formula>
    </cfRule>
  </conditionalFormatting>
  <conditionalFormatting sqref="AV1098:AV1102">
    <cfRule type="cellIs" dxfId="210" priority="358" operator="between">
      <formula>95</formula>
      <formula>105</formula>
    </cfRule>
  </conditionalFormatting>
  <conditionalFormatting sqref="AV1112:AV1113">
    <cfRule type="cellIs" dxfId="209" priority="357" operator="between">
      <formula>95</formula>
      <formula>105</formula>
    </cfRule>
  </conditionalFormatting>
  <conditionalFormatting sqref="AV1112:AV1113">
    <cfRule type="cellIs" dxfId="208" priority="356" operator="between">
      <formula>95</formula>
      <formula>105</formula>
    </cfRule>
  </conditionalFormatting>
  <conditionalFormatting sqref="AV1114">
    <cfRule type="cellIs" dxfId="207" priority="355" operator="between">
      <formula>95</formula>
      <formula>105</formula>
    </cfRule>
  </conditionalFormatting>
  <conditionalFormatting sqref="AV1124">
    <cfRule type="cellIs" dxfId="206" priority="354" operator="between">
      <formula>95</formula>
      <formula>105</formula>
    </cfRule>
  </conditionalFormatting>
  <conditionalFormatting sqref="AV1115:AV1123">
    <cfRule type="cellIs" dxfId="205" priority="353" operator="between">
      <formula>95</formula>
      <formula>105</formula>
    </cfRule>
  </conditionalFormatting>
  <conditionalFormatting sqref="AV1115:AV1123">
    <cfRule type="cellIs" dxfId="204" priority="352" operator="between">
      <formula>95</formula>
      <formula>105</formula>
    </cfRule>
  </conditionalFormatting>
  <conditionalFormatting sqref="AV1115:AV1123">
    <cfRule type="cellIs" dxfId="203" priority="351" operator="between">
      <formula>95</formula>
      <formula>105</formula>
    </cfRule>
  </conditionalFormatting>
  <conditionalFormatting sqref="AV1125:AV1129">
    <cfRule type="cellIs" dxfId="202" priority="350" operator="between">
      <formula>95</formula>
      <formula>105</formula>
    </cfRule>
  </conditionalFormatting>
  <conditionalFormatting sqref="AV1125:AV1129">
    <cfRule type="cellIs" dxfId="201" priority="349" operator="between">
      <formula>95</formula>
      <formula>105</formula>
    </cfRule>
  </conditionalFormatting>
  <conditionalFormatting sqref="AV1125:AV1129">
    <cfRule type="cellIs" dxfId="200" priority="348" operator="between">
      <formula>95</formula>
      <formula>105</formula>
    </cfRule>
  </conditionalFormatting>
  <conditionalFormatting sqref="AV1130:AV1135">
    <cfRule type="cellIs" dxfId="199" priority="347" operator="between">
      <formula>95</formula>
      <formula>105</formula>
    </cfRule>
  </conditionalFormatting>
  <conditionalFormatting sqref="AV1139:AV1140">
    <cfRule type="cellIs" dxfId="198" priority="346" operator="between">
      <formula>95</formula>
      <formula>105</formula>
    </cfRule>
  </conditionalFormatting>
  <conditionalFormatting sqref="AV1139:AV1140">
    <cfRule type="cellIs" dxfId="197" priority="345" operator="between">
      <formula>95</formula>
      <formula>105</formula>
    </cfRule>
  </conditionalFormatting>
  <conditionalFormatting sqref="AV1141:AV1149">
    <cfRule type="cellIs" dxfId="196" priority="343" operator="between">
      <formula>95</formula>
      <formula>105</formula>
    </cfRule>
  </conditionalFormatting>
  <conditionalFormatting sqref="AV1141:AV1149">
    <cfRule type="cellIs" dxfId="195" priority="342" operator="between">
      <formula>95</formula>
      <formula>105</formula>
    </cfRule>
  </conditionalFormatting>
  <conditionalFormatting sqref="AV1141:AV1149">
    <cfRule type="cellIs" dxfId="194" priority="341" operator="between">
      <formula>95</formula>
      <formula>105</formula>
    </cfRule>
  </conditionalFormatting>
  <conditionalFormatting sqref="AV3:AV7">
    <cfRule type="cellIs" dxfId="193" priority="340" operator="between">
      <formula>95</formula>
      <formula>105</formula>
    </cfRule>
  </conditionalFormatting>
  <conditionalFormatting sqref="AV3:AV7">
    <cfRule type="cellIs" dxfId="192" priority="339" operator="between">
      <formula>95</formula>
      <formula>105</formula>
    </cfRule>
  </conditionalFormatting>
  <conditionalFormatting sqref="AV3:AV7">
    <cfRule type="cellIs" dxfId="191" priority="338" operator="between">
      <formula>95</formula>
      <formula>105</formula>
    </cfRule>
  </conditionalFormatting>
  <conditionalFormatting sqref="AV8">
    <cfRule type="cellIs" dxfId="190" priority="337" operator="between">
      <formula>95</formula>
      <formula>105</formula>
    </cfRule>
  </conditionalFormatting>
  <conditionalFormatting sqref="AV18">
    <cfRule type="cellIs" dxfId="189" priority="336" operator="between">
      <formula>95</formula>
      <formula>105</formula>
    </cfRule>
  </conditionalFormatting>
  <conditionalFormatting sqref="AV9:AV17">
    <cfRule type="cellIs" dxfId="188" priority="335" operator="between">
      <formula>95</formula>
      <formula>105</formula>
    </cfRule>
  </conditionalFormatting>
  <conditionalFormatting sqref="AV9:AV17">
    <cfRule type="cellIs" dxfId="187" priority="334" operator="between">
      <formula>95</formula>
      <formula>105</formula>
    </cfRule>
  </conditionalFormatting>
  <conditionalFormatting sqref="AV9:AV17">
    <cfRule type="cellIs" dxfId="186" priority="333" operator="between">
      <formula>95</formula>
      <formula>105</formula>
    </cfRule>
  </conditionalFormatting>
  <conditionalFormatting sqref="AV19:AV24">
    <cfRule type="cellIs" dxfId="185" priority="332" operator="between">
      <formula>95</formula>
      <formula>105</formula>
    </cfRule>
  </conditionalFormatting>
  <conditionalFormatting sqref="AV25:AV28">
    <cfRule type="cellIs" dxfId="184" priority="331" operator="between">
      <formula>95</formula>
      <formula>105</formula>
    </cfRule>
  </conditionalFormatting>
  <conditionalFormatting sqref="AV29">
    <cfRule type="cellIs" dxfId="183" priority="330" operator="between">
      <formula>95</formula>
      <formula>105</formula>
    </cfRule>
  </conditionalFormatting>
  <conditionalFormatting sqref="AV30:AV31">
    <cfRule type="cellIs" dxfId="182" priority="329" operator="between">
      <formula>95</formula>
      <formula>105</formula>
    </cfRule>
  </conditionalFormatting>
  <conditionalFormatting sqref="AV32:AV36">
    <cfRule type="cellIs" dxfId="181" priority="327" operator="between">
      <formula>95</formula>
      <formula>105</formula>
    </cfRule>
  </conditionalFormatting>
  <conditionalFormatting sqref="AV32:AV36">
    <cfRule type="cellIs" dxfId="180" priority="326" operator="between">
      <formula>95</formula>
      <formula>105</formula>
    </cfRule>
  </conditionalFormatting>
  <conditionalFormatting sqref="AV32:AV36">
    <cfRule type="cellIs" dxfId="179" priority="325" operator="between">
      <formula>95</formula>
      <formula>105</formula>
    </cfRule>
  </conditionalFormatting>
  <conditionalFormatting sqref="AV37">
    <cfRule type="cellIs" dxfId="178" priority="324" operator="between">
      <formula>95</formula>
      <formula>105</formula>
    </cfRule>
  </conditionalFormatting>
  <conditionalFormatting sqref="AV38:AV42">
    <cfRule type="cellIs" dxfId="177" priority="323" operator="between">
      <formula>95</formula>
      <formula>105</formula>
    </cfRule>
  </conditionalFormatting>
  <conditionalFormatting sqref="AV38:AV42">
    <cfRule type="cellIs" dxfId="176" priority="322" operator="between">
      <formula>95</formula>
      <formula>105</formula>
    </cfRule>
  </conditionalFormatting>
  <conditionalFormatting sqref="AV38:AV42">
    <cfRule type="cellIs" dxfId="175" priority="321" operator="between">
      <formula>95</formula>
      <formula>105</formula>
    </cfRule>
  </conditionalFormatting>
  <conditionalFormatting sqref="AV43:AV47">
    <cfRule type="cellIs" dxfId="174" priority="320" operator="between">
      <formula>95</formula>
      <formula>105</formula>
    </cfRule>
  </conditionalFormatting>
  <conditionalFormatting sqref="AV43:AV47">
    <cfRule type="cellIs" dxfId="173" priority="319" operator="between">
      <formula>95</formula>
      <formula>105</formula>
    </cfRule>
  </conditionalFormatting>
  <conditionalFormatting sqref="AV43:AV47">
    <cfRule type="cellIs" dxfId="172" priority="318" operator="between">
      <formula>95</formula>
      <formula>105</formula>
    </cfRule>
  </conditionalFormatting>
  <conditionalFormatting sqref="AV48">
    <cfRule type="cellIs" dxfId="171" priority="317" operator="between">
      <formula>95</formula>
      <formula>105</formula>
    </cfRule>
  </conditionalFormatting>
  <conditionalFormatting sqref="AV49:AV53">
    <cfRule type="cellIs" dxfId="170" priority="316" operator="between">
      <formula>95</formula>
      <formula>105</formula>
    </cfRule>
  </conditionalFormatting>
  <conditionalFormatting sqref="AV49:AV53">
    <cfRule type="cellIs" dxfId="169" priority="315" operator="between">
      <formula>95</formula>
      <formula>105</formula>
    </cfRule>
  </conditionalFormatting>
  <conditionalFormatting sqref="AV49:AV53">
    <cfRule type="cellIs" dxfId="168" priority="314" operator="between">
      <formula>95</formula>
      <formula>105</formula>
    </cfRule>
  </conditionalFormatting>
  <conditionalFormatting sqref="AV54:AV58">
    <cfRule type="cellIs" dxfId="167" priority="313" operator="between">
      <formula>95</formula>
      <formula>105</formula>
    </cfRule>
  </conditionalFormatting>
  <conditionalFormatting sqref="AV54:AV58">
    <cfRule type="cellIs" dxfId="166" priority="312" operator="between">
      <formula>95</formula>
      <formula>105</formula>
    </cfRule>
  </conditionalFormatting>
  <conditionalFormatting sqref="AV54:AV58">
    <cfRule type="cellIs" dxfId="165" priority="311" operator="between">
      <formula>95</formula>
      <formula>105</formula>
    </cfRule>
  </conditionalFormatting>
  <conditionalFormatting sqref="AV68">
    <cfRule type="cellIs" dxfId="164" priority="310" operator="between">
      <formula>95</formula>
      <formula>105</formula>
    </cfRule>
  </conditionalFormatting>
  <conditionalFormatting sqref="AV59:AV67">
    <cfRule type="cellIs" dxfId="163" priority="309" operator="between">
      <formula>95</formula>
      <formula>105</formula>
    </cfRule>
  </conditionalFormatting>
  <conditionalFormatting sqref="AV59:AV67">
    <cfRule type="cellIs" dxfId="162" priority="308" operator="between">
      <formula>95</formula>
      <formula>105</formula>
    </cfRule>
  </conditionalFormatting>
  <conditionalFormatting sqref="AV59:AV67">
    <cfRule type="cellIs" dxfId="161" priority="307" operator="between">
      <formula>95</formula>
      <formula>105</formula>
    </cfRule>
  </conditionalFormatting>
  <conditionalFormatting sqref="AV69:AV77">
    <cfRule type="cellIs" dxfId="160" priority="306" operator="between">
      <formula>95</formula>
      <formula>105</formula>
    </cfRule>
  </conditionalFormatting>
  <conditionalFormatting sqref="AV69:AV77">
    <cfRule type="cellIs" dxfId="159" priority="305" operator="between">
      <formula>95</formula>
      <formula>105</formula>
    </cfRule>
  </conditionalFormatting>
  <conditionalFormatting sqref="AV69:AV77">
    <cfRule type="cellIs" dxfId="158" priority="304" operator="between">
      <formula>95</formula>
      <formula>105</formula>
    </cfRule>
  </conditionalFormatting>
  <conditionalFormatting sqref="AV1160">
    <cfRule type="cellIs" dxfId="157" priority="303" operator="between">
      <formula>95</formula>
      <formula>105</formula>
    </cfRule>
  </conditionalFormatting>
  <conditionalFormatting sqref="AV1151:AV1159">
    <cfRule type="cellIs" dxfId="156" priority="302" operator="between">
      <formula>95</formula>
      <formula>105</formula>
    </cfRule>
  </conditionalFormatting>
  <conditionalFormatting sqref="AV1151:AV1159">
    <cfRule type="cellIs" dxfId="155" priority="301" operator="between">
      <formula>95</formula>
      <formula>105</formula>
    </cfRule>
  </conditionalFormatting>
  <conditionalFormatting sqref="AV1151:AV1159">
    <cfRule type="cellIs" dxfId="154" priority="300" operator="between">
      <formula>95</formula>
      <formula>105</formula>
    </cfRule>
  </conditionalFormatting>
  <conditionalFormatting sqref="AV1170">
    <cfRule type="cellIs" dxfId="153" priority="299" operator="between">
      <formula>95</formula>
      <formula>105</formula>
    </cfRule>
  </conditionalFormatting>
  <conditionalFormatting sqref="AV1161:AV1169">
    <cfRule type="cellIs" dxfId="152" priority="298" operator="between">
      <formula>95</formula>
      <formula>105</formula>
    </cfRule>
  </conditionalFormatting>
  <conditionalFormatting sqref="AV1161:AV1169">
    <cfRule type="cellIs" dxfId="151" priority="297" operator="between">
      <formula>95</formula>
      <formula>105</formula>
    </cfRule>
  </conditionalFormatting>
  <conditionalFormatting sqref="AV1161:AV1169">
    <cfRule type="cellIs" dxfId="150" priority="296" operator="between">
      <formula>95</formula>
      <formula>105</formula>
    </cfRule>
  </conditionalFormatting>
  <conditionalFormatting sqref="AV1171:AV1173">
    <cfRule type="cellIs" dxfId="149" priority="295" operator="between">
      <formula>95</formula>
      <formula>105</formula>
    </cfRule>
  </conditionalFormatting>
  <conditionalFormatting sqref="AV1195">
    <cfRule type="cellIs" dxfId="148" priority="293" operator="between">
      <formula>95</formula>
      <formula>105</formula>
    </cfRule>
  </conditionalFormatting>
  <conditionalFormatting sqref="AV1186:AV1194">
    <cfRule type="cellIs" dxfId="147" priority="292" operator="between">
      <formula>95</formula>
      <formula>105</formula>
    </cfRule>
  </conditionalFormatting>
  <conditionalFormatting sqref="AV1186:AV1194">
    <cfRule type="cellIs" dxfId="146" priority="291" operator="between">
      <formula>95</formula>
      <formula>105</formula>
    </cfRule>
  </conditionalFormatting>
  <conditionalFormatting sqref="AV1186:AV1194">
    <cfRule type="cellIs" dxfId="145" priority="290" operator="between">
      <formula>95</formula>
      <formula>105</formula>
    </cfRule>
  </conditionalFormatting>
  <conditionalFormatting sqref="AV1215">
    <cfRule type="cellIs" dxfId="144" priority="289" operator="between">
      <formula>95</formula>
      <formula>105</formula>
    </cfRule>
  </conditionalFormatting>
  <conditionalFormatting sqref="AV1215">
    <cfRule type="cellIs" dxfId="143" priority="288" operator="between">
      <formula>95</formula>
      <formula>105</formula>
    </cfRule>
  </conditionalFormatting>
  <conditionalFormatting sqref="AV1222">
    <cfRule type="cellIs" dxfId="142" priority="287" operator="between">
      <formula>95</formula>
      <formula>105</formula>
    </cfRule>
  </conditionalFormatting>
  <conditionalFormatting sqref="AV1222">
    <cfRule type="cellIs" dxfId="141" priority="286" operator="between">
      <formula>95</formula>
      <formula>105</formula>
    </cfRule>
  </conditionalFormatting>
  <conditionalFormatting sqref="AV1229">
    <cfRule type="cellIs" dxfId="140" priority="285" operator="between">
      <formula>95</formula>
      <formula>105</formula>
    </cfRule>
  </conditionalFormatting>
  <conditionalFormatting sqref="AV1229">
    <cfRule type="cellIs" dxfId="139" priority="284" operator="between">
      <formula>95</formula>
      <formula>105</formula>
    </cfRule>
  </conditionalFormatting>
  <conditionalFormatting sqref="V531:Y540 T531:T540">
    <cfRule type="cellIs" dxfId="138" priority="272" operator="equal">
      <formula>1</formula>
    </cfRule>
    <cfRule type="cellIs" dxfId="137" priority="273" operator="equal">
      <formula>1</formula>
    </cfRule>
  </conditionalFormatting>
  <conditionalFormatting sqref="AV531:AV540">
    <cfRule type="cellIs" dxfId="136" priority="271" operator="between">
      <formula>95</formula>
      <formula>105</formula>
    </cfRule>
  </conditionalFormatting>
  <conditionalFormatting sqref="N531:N540 P531:P540 R531:R540">
    <cfRule type="colorScale" priority="2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531:S540">
    <cfRule type="colorScale" priority="26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531:Q540">
    <cfRule type="colorScale" priority="26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531:O540">
    <cfRule type="colorScale" priority="2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31:S540">
    <cfRule type="colorScale" priority="26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666:AV675">
    <cfRule type="cellIs" dxfId="135" priority="265" operator="between">
      <formula>95</formula>
      <formula>105</formula>
    </cfRule>
  </conditionalFormatting>
  <conditionalFormatting sqref="AV666:AV675">
    <cfRule type="cellIs" dxfId="134" priority="264" operator="between">
      <formula>95</formula>
      <formula>105</formula>
    </cfRule>
  </conditionalFormatting>
  <conditionalFormatting sqref="V666:Y675">
    <cfRule type="cellIs" dxfId="133" priority="262" operator="equal">
      <formula>1</formula>
    </cfRule>
    <cfRule type="cellIs" dxfId="132" priority="263" operator="equal">
      <formula>1</formula>
    </cfRule>
  </conditionalFormatting>
  <conditionalFormatting sqref="T666:T675">
    <cfRule type="cellIs" dxfId="131" priority="260" operator="equal">
      <formula>1</formula>
    </cfRule>
    <cfRule type="cellIs" dxfId="130" priority="261" operator="equal">
      <formula>1</formula>
    </cfRule>
  </conditionalFormatting>
  <conditionalFormatting sqref="N666:N675 P666:P675 R666:R675">
    <cfRule type="colorScale" priority="2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666:S675">
    <cfRule type="colorScale" priority="2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666:Q675">
    <cfRule type="colorScale" priority="2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666:O675">
    <cfRule type="colorScale" priority="2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666:S675">
    <cfRule type="colorScale" priority="2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849:AV859">
    <cfRule type="cellIs" dxfId="129" priority="254" operator="between">
      <formula>95</formula>
      <formula>105</formula>
    </cfRule>
  </conditionalFormatting>
  <conditionalFormatting sqref="AV849:AV859">
    <cfRule type="cellIs" dxfId="128" priority="253" operator="between">
      <formula>95</formula>
      <formula>105</formula>
    </cfRule>
  </conditionalFormatting>
  <conditionalFormatting sqref="V849:Y859">
    <cfRule type="cellIs" dxfId="127" priority="251" operator="equal">
      <formula>1</formula>
    </cfRule>
    <cfRule type="cellIs" dxfId="126" priority="252" operator="equal">
      <formula>1</formula>
    </cfRule>
  </conditionalFormatting>
  <conditionalFormatting sqref="T849:T859">
    <cfRule type="cellIs" dxfId="125" priority="249" operator="equal">
      <formula>1</formula>
    </cfRule>
    <cfRule type="cellIs" dxfId="124" priority="250" operator="equal">
      <formula>1</formula>
    </cfRule>
  </conditionalFormatting>
  <conditionalFormatting sqref="R849:R859 P849:P859 N849:N859">
    <cfRule type="colorScale" priority="2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849:S859">
    <cfRule type="colorScale" priority="2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849:Q859">
    <cfRule type="colorScale" priority="2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849:O859">
    <cfRule type="colorScale" priority="2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849:S859">
    <cfRule type="colorScale" priority="24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517:AV519">
    <cfRule type="cellIs" dxfId="123" priority="206" operator="between">
      <formula>95</formula>
      <formula>105</formula>
    </cfRule>
  </conditionalFormatting>
  <conditionalFormatting sqref="AV517:AV519">
    <cfRule type="cellIs" dxfId="122" priority="205" operator="between">
      <formula>95</formula>
      <formula>105</formula>
    </cfRule>
  </conditionalFormatting>
  <conditionalFormatting sqref="V517:Y519 T517:T519">
    <cfRule type="cellIs" dxfId="121" priority="203" operator="equal">
      <formula>1</formula>
    </cfRule>
    <cfRule type="cellIs" dxfId="120" priority="204" operator="equal">
      <formula>1</formula>
    </cfRule>
  </conditionalFormatting>
  <conditionalFormatting sqref="T517:T519">
    <cfRule type="cellIs" dxfId="119" priority="201" operator="equal">
      <formula>1</formula>
    </cfRule>
    <cfRule type="cellIs" dxfId="118" priority="202" operator="equal">
      <formula>1</formula>
    </cfRule>
  </conditionalFormatting>
  <conditionalFormatting sqref="T517:T519">
    <cfRule type="cellIs" dxfId="117" priority="199" operator="equal">
      <formula>1</formula>
    </cfRule>
    <cfRule type="cellIs" dxfId="116" priority="200" operator="equal">
      <formula>1</formula>
    </cfRule>
  </conditionalFormatting>
  <conditionalFormatting sqref="T517:T519">
    <cfRule type="cellIs" dxfId="115" priority="197" operator="equal">
      <formula>1</formula>
    </cfRule>
    <cfRule type="cellIs" dxfId="114" priority="198" operator="equal">
      <formula>1</formula>
    </cfRule>
  </conditionalFormatting>
  <conditionalFormatting sqref="T517:T519">
    <cfRule type="cellIs" dxfId="113" priority="193" operator="equal">
      <formula>1</formula>
    </cfRule>
    <cfRule type="cellIs" dxfId="112" priority="194" operator="equal">
      <formula>1</formula>
    </cfRule>
  </conditionalFormatting>
  <conditionalFormatting sqref="T517:T519">
    <cfRule type="cellIs" dxfId="111" priority="195" operator="equal">
      <formula>1</formula>
    </cfRule>
    <cfRule type="cellIs" dxfId="110" priority="196" operator="equal">
      <formula>1</formula>
    </cfRule>
  </conditionalFormatting>
  <conditionalFormatting sqref="R517:R519 P517:P519 N517:N519">
    <cfRule type="colorScale" priority="1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517:S519">
    <cfRule type="colorScale" priority="19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517:Q519">
    <cfRule type="colorScale" priority="1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517:O519">
    <cfRule type="colorScale" priority="18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17:S519">
    <cfRule type="colorScale" priority="18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571:AV573">
    <cfRule type="cellIs" dxfId="109" priority="187" operator="between">
      <formula>95</formula>
      <formula>105</formula>
    </cfRule>
  </conditionalFormatting>
  <conditionalFormatting sqref="AV571:AV573">
    <cfRule type="cellIs" dxfId="108" priority="186" operator="between">
      <formula>95</formula>
      <formula>105</formula>
    </cfRule>
  </conditionalFormatting>
  <conditionalFormatting sqref="V571:Y573 T571:T573">
    <cfRule type="cellIs" dxfId="107" priority="184" operator="equal">
      <formula>1</formula>
    </cfRule>
    <cfRule type="cellIs" dxfId="106" priority="185" operator="equal">
      <formula>1</formula>
    </cfRule>
  </conditionalFormatting>
  <conditionalFormatting sqref="T571:T573">
    <cfRule type="cellIs" dxfId="105" priority="182" operator="equal">
      <formula>1</formula>
    </cfRule>
    <cfRule type="cellIs" dxfId="104" priority="183" operator="equal">
      <formula>1</formula>
    </cfRule>
  </conditionalFormatting>
  <conditionalFormatting sqref="T571:T573">
    <cfRule type="cellIs" dxfId="103" priority="180" operator="equal">
      <formula>1</formula>
    </cfRule>
    <cfRule type="cellIs" dxfId="102" priority="181" operator="equal">
      <formula>1</formula>
    </cfRule>
  </conditionalFormatting>
  <conditionalFormatting sqref="T571:T573">
    <cfRule type="cellIs" dxfId="101" priority="178" operator="equal">
      <formula>1</formula>
    </cfRule>
    <cfRule type="cellIs" dxfId="100" priority="179" operator="equal">
      <formula>1</formula>
    </cfRule>
  </conditionalFormatting>
  <conditionalFormatting sqref="T571:T573">
    <cfRule type="cellIs" dxfId="99" priority="174" operator="equal">
      <formula>1</formula>
    </cfRule>
    <cfRule type="cellIs" dxfId="98" priority="175" operator="equal">
      <formula>1</formula>
    </cfRule>
  </conditionalFormatting>
  <conditionalFormatting sqref="T571:T573">
    <cfRule type="cellIs" dxfId="97" priority="176" operator="equal">
      <formula>1</formula>
    </cfRule>
    <cfRule type="cellIs" dxfId="96" priority="177" operator="equal">
      <formula>1</formula>
    </cfRule>
  </conditionalFormatting>
  <conditionalFormatting sqref="N571:N572 P571:P572 R571:R572">
    <cfRule type="colorScale" priority="16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571:S572">
    <cfRule type="colorScale" priority="1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571:Q572">
    <cfRule type="colorScale" priority="17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571:O572">
    <cfRule type="colorScale" priority="1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71:S572">
    <cfRule type="colorScale" priority="17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71:S572">
    <cfRule type="colorScale" priority="16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144:Y149 T144:T149">
    <cfRule type="cellIs" dxfId="95" priority="155" operator="equal">
      <formula>1</formula>
    </cfRule>
    <cfRule type="cellIs" dxfId="94" priority="156" operator="equal">
      <formula>1</formula>
    </cfRule>
  </conditionalFormatting>
  <conditionalFormatting sqref="T144:T149">
    <cfRule type="cellIs" dxfId="93" priority="153" operator="equal">
      <formula>1</formula>
    </cfRule>
    <cfRule type="cellIs" dxfId="92" priority="154" operator="equal">
      <formula>1</formula>
    </cfRule>
  </conditionalFormatting>
  <conditionalFormatting sqref="N144:N149 P144:P149 R144:R149">
    <cfRule type="colorScale" priority="1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44:S149">
    <cfRule type="colorScale" priority="1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44:Q149">
    <cfRule type="colorScale" priority="1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44:O149">
    <cfRule type="colorScale" priority="1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44:S149">
    <cfRule type="colorScale" priority="1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144:AV149">
    <cfRule type="cellIs" dxfId="91" priority="147" operator="between">
      <formula>95</formula>
      <formula>105</formula>
    </cfRule>
  </conditionalFormatting>
  <conditionalFormatting sqref="AV144:AV149">
    <cfRule type="cellIs" dxfId="90" priority="146" operator="between">
      <formula>95</formula>
      <formula>105</formula>
    </cfRule>
  </conditionalFormatting>
  <conditionalFormatting sqref="BK144:BK149">
    <cfRule type="cellIs" dxfId="89" priority="145" operator="greaterThan">
      <formula>1</formula>
    </cfRule>
  </conditionalFormatting>
  <conditionalFormatting sqref="BK144:BK149">
    <cfRule type="cellIs" dxfId="88" priority="144" operator="greaterThan">
      <formula>1</formula>
    </cfRule>
  </conditionalFormatting>
  <conditionalFormatting sqref="AV223:AV228">
    <cfRule type="cellIs" dxfId="87" priority="143" operator="between">
      <formula>95</formula>
      <formula>105</formula>
    </cfRule>
  </conditionalFormatting>
  <conditionalFormatting sqref="AV223:AV228">
    <cfRule type="cellIs" dxfId="86" priority="142" operator="between">
      <formula>95</formula>
      <formula>105</formula>
    </cfRule>
  </conditionalFormatting>
  <conditionalFormatting sqref="BK223:BK228">
    <cfRule type="cellIs" dxfId="85" priority="141" operator="greaterThan">
      <formula>1</formula>
    </cfRule>
  </conditionalFormatting>
  <conditionalFormatting sqref="BK223:BK228">
    <cfRule type="cellIs" dxfId="84" priority="140" operator="greaterThan">
      <formula>1</formula>
    </cfRule>
  </conditionalFormatting>
  <conditionalFormatting sqref="V223:Y228 T223:T228">
    <cfRule type="cellIs" dxfId="83" priority="138" operator="equal">
      <formula>1</formula>
    </cfRule>
    <cfRule type="cellIs" dxfId="82" priority="139" operator="equal">
      <formula>1</formula>
    </cfRule>
  </conditionalFormatting>
  <conditionalFormatting sqref="T223:T228">
    <cfRule type="cellIs" dxfId="81" priority="136" operator="equal">
      <formula>1</formula>
    </cfRule>
    <cfRule type="cellIs" dxfId="80" priority="137" operator="equal">
      <formula>1</formula>
    </cfRule>
  </conditionalFormatting>
  <conditionalFormatting sqref="T223:T228">
    <cfRule type="cellIs" dxfId="79" priority="134" operator="equal">
      <formula>1</formula>
    </cfRule>
    <cfRule type="cellIs" dxfId="78" priority="135" operator="equal">
      <formula>1</formula>
    </cfRule>
  </conditionalFormatting>
  <conditionalFormatting sqref="T223:T228">
    <cfRule type="cellIs" dxfId="77" priority="132" operator="equal">
      <formula>1</formula>
    </cfRule>
    <cfRule type="cellIs" dxfId="76" priority="133" operator="equal">
      <formula>1</formula>
    </cfRule>
  </conditionalFormatting>
  <conditionalFormatting sqref="T223:T228">
    <cfRule type="cellIs" dxfId="75" priority="130" operator="equal">
      <formula>1</formula>
    </cfRule>
    <cfRule type="cellIs" dxfId="74" priority="131" operator="equal">
      <formula>1</formula>
    </cfRule>
  </conditionalFormatting>
  <conditionalFormatting sqref="R223:R228 N223:N228 P223:P228">
    <cfRule type="colorScale" priority="1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23:S228">
    <cfRule type="colorScale" priority="1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223:Q228">
    <cfRule type="colorScale" priority="1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223:O228">
    <cfRule type="colorScale" priority="1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223:S228">
    <cfRule type="colorScale" priority="1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496:AV501">
    <cfRule type="cellIs" dxfId="73" priority="124" operator="between">
      <formula>95</formula>
      <formula>105</formula>
    </cfRule>
  </conditionalFormatting>
  <conditionalFormatting sqref="AV496:AV501">
    <cfRule type="cellIs" dxfId="72" priority="123" operator="between">
      <formula>95</formula>
      <formula>105</formula>
    </cfRule>
  </conditionalFormatting>
  <conditionalFormatting sqref="BK496:BK501">
    <cfRule type="cellIs" dxfId="71" priority="122" operator="greaterThan">
      <formula>1</formula>
    </cfRule>
  </conditionalFormatting>
  <conditionalFormatting sqref="BK496:BK501">
    <cfRule type="cellIs" dxfId="70" priority="121" operator="greaterThan">
      <formula>1</formula>
    </cfRule>
  </conditionalFormatting>
  <conditionalFormatting sqref="V872:Y877">
    <cfRule type="cellIs" dxfId="69" priority="87" operator="equal">
      <formula>1</formula>
    </cfRule>
    <cfRule type="cellIs" dxfId="68" priority="88" operator="equal">
      <formula>1</formula>
    </cfRule>
  </conditionalFormatting>
  <conditionalFormatting sqref="T872:T877">
    <cfRule type="cellIs" dxfId="67" priority="85" operator="equal">
      <formula>1</formula>
    </cfRule>
    <cfRule type="cellIs" dxfId="66" priority="86" operator="equal">
      <formula>1</formula>
    </cfRule>
  </conditionalFormatting>
  <conditionalFormatting sqref="V496:Y501">
    <cfRule type="cellIs" dxfId="65" priority="119" operator="equal">
      <formula>1</formula>
    </cfRule>
    <cfRule type="cellIs" dxfId="64" priority="120" operator="equal">
      <formula>1</formula>
    </cfRule>
  </conditionalFormatting>
  <conditionalFormatting sqref="T496:T501">
    <cfRule type="cellIs" dxfId="63" priority="117" operator="equal">
      <formula>1</formula>
    </cfRule>
    <cfRule type="cellIs" dxfId="62" priority="118" operator="equal">
      <formula>1</formula>
    </cfRule>
  </conditionalFormatting>
  <conditionalFormatting sqref="T496:T501">
    <cfRule type="cellIs" dxfId="61" priority="115" operator="equal">
      <formula>1</formula>
    </cfRule>
    <cfRule type="cellIs" dxfId="60" priority="116" operator="equal">
      <formula>1</formula>
    </cfRule>
  </conditionalFormatting>
  <conditionalFormatting sqref="T496:T501">
    <cfRule type="cellIs" dxfId="59" priority="113" operator="equal">
      <formula>1</formula>
    </cfRule>
    <cfRule type="cellIs" dxfId="58" priority="114" operator="equal">
      <formula>1</formula>
    </cfRule>
  </conditionalFormatting>
  <conditionalFormatting sqref="T496:T501">
    <cfRule type="cellIs" dxfId="57" priority="111" operator="equal">
      <formula>1</formula>
    </cfRule>
    <cfRule type="cellIs" dxfId="56" priority="112" operator="equal">
      <formula>1</formula>
    </cfRule>
  </conditionalFormatting>
  <conditionalFormatting sqref="T496:T501">
    <cfRule type="cellIs" dxfId="55" priority="109" operator="equal">
      <formula>1</formula>
    </cfRule>
    <cfRule type="cellIs" dxfId="54" priority="110" operator="equal">
      <formula>1</formula>
    </cfRule>
  </conditionalFormatting>
  <conditionalFormatting sqref="N496:N501 P496:P501 R496:R501">
    <cfRule type="colorScale" priority="1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496:S501">
    <cfRule type="colorScale" priority="1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496:Q501">
    <cfRule type="colorScale" priority="10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496:O501">
    <cfRule type="colorScale" priority="1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96:S501">
    <cfRule type="colorScale" priority="10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616:AV621">
    <cfRule type="cellIs" dxfId="53" priority="103" operator="between">
      <formula>95</formula>
      <formula>105</formula>
    </cfRule>
  </conditionalFormatting>
  <conditionalFormatting sqref="AV616:AV621">
    <cfRule type="cellIs" dxfId="52" priority="102" operator="between">
      <formula>95</formula>
      <formula>105</formula>
    </cfRule>
  </conditionalFormatting>
  <conditionalFormatting sqref="BK616:BK621">
    <cfRule type="cellIs" dxfId="51" priority="101" operator="greaterThan">
      <formula>1</formula>
    </cfRule>
  </conditionalFormatting>
  <conditionalFormatting sqref="BK616:BK621">
    <cfRule type="cellIs" dxfId="50" priority="100" operator="greaterThan">
      <formula>1</formula>
    </cfRule>
  </conditionalFormatting>
  <conditionalFormatting sqref="V616:Y621 T616:T621">
    <cfRule type="cellIs" dxfId="49" priority="98" operator="equal">
      <formula>1</formula>
    </cfRule>
    <cfRule type="cellIs" dxfId="48" priority="99" operator="equal">
      <formula>1</formula>
    </cfRule>
  </conditionalFormatting>
  <conditionalFormatting sqref="N616:N621 P616:P621 R616:R621">
    <cfRule type="colorScale" priority="9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616:S621">
    <cfRule type="colorScale" priority="9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616:Q621">
    <cfRule type="colorScale" priority="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616:O621">
    <cfRule type="colorScale" priority="9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616:S621">
    <cfRule type="colorScale" priority="9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872:AV877">
    <cfRule type="cellIs" dxfId="47" priority="92" operator="between">
      <formula>95</formula>
      <formula>105</formula>
    </cfRule>
  </conditionalFormatting>
  <conditionalFormatting sqref="AV872:AV877">
    <cfRule type="cellIs" dxfId="46" priority="91" operator="between">
      <formula>95</formula>
      <formula>105</formula>
    </cfRule>
  </conditionalFormatting>
  <conditionalFormatting sqref="BK872:BK877">
    <cfRule type="cellIs" dxfId="45" priority="90" operator="greaterThan">
      <formula>1</formula>
    </cfRule>
  </conditionalFormatting>
  <conditionalFormatting sqref="BK872:BK877">
    <cfRule type="cellIs" dxfId="44" priority="89" operator="greaterThan">
      <formula>1</formula>
    </cfRule>
  </conditionalFormatting>
  <conditionalFormatting sqref="R872:R877 P872:P877 N872:N877">
    <cfRule type="colorScale" priority="8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872:S877">
    <cfRule type="colorScale" priority="8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872:Q877">
    <cfRule type="colorScale" priority="8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872:O877">
    <cfRule type="colorScale" priority="8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872:S877">
    <cfRule type="colorScale" priority="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220 AV218">
    <cfRule type="cellIs" dxfId="43" priority="67" operator="between">
      <formula>95</formula>
      <formula>105</formula>
    </cfRule>
  </conditionalFormatting>
  <conditionalFormatting sqref="AV218">
    <cfRule type="cellIs" dxfId="42" priority="66" operator="between">
      <formula>95</formula>
      <formula>105</formula>
    </cfRule>
  </conditionalFormatting>
  <conditionalFormatting sqref="AV219">
    <cfRule type="cellIs" dxfId="41" priority="65" operator="between">
      <formula>95</formula>
      <formula>105</formula>
    </cfRule>
  </conditionalFormatting>
  <conditionalFormatting sqref="AV548">
    <cfRule type="cellIs" dxfId="40" priority="58" operator="between">
      <formula>95</formula>
      <formula>105</formula>
    </cfRule>
  </conditionalFormatting>
  <conditionalFormatting sqref="AV570">
    <cfRule type="cellIs" dxfId="39" priority="56" operator="between">
      <formula>95</formula>
      <formula>105</formula>
    </cfRule>
  </conditionalFormatting>
  <conditionalFormatting sqref="AV630:AV632">
    <cfRule type="cellIs" dxfId="38" priority="53" operator="between">
      <formula>95</formula>
      <formula>105</formula>
    </cfRule>
  </conditionalFormatting>
  <conditionalFormatting sqref="AV747:AV748">
    <cfRule type="cellIs" dxfId="37" priority="52" operator="between">
      <formula>95</formula>
      <formula>105</formula>
    </cfRule>
  </conditionalFormatting>
  <conditionalFormatting sqref="AV746">
    <cfRule type="cellIs" dxfId="36" priority="51" operator="between">
      <formula>95</formula>
      <formula>105</formula>
    </cfRule>
  </conditionalFormatting>
  <conditionalFormatting sqref="AV867:AV868">
    <cfRule type="cellIs" dxfId="35" priority="50" operator="between">
      <formula>95</formula>
      <formula>105</formula>
    </cfRule>
  </conditionalFormatting>
  <conditionalFormatting sqref="AV866">
    <cfRule type="cellIs" dxfId="34" priority="49" operator="between">
      <formula>95</formula>
      <formula>105</formula>
    </cfRule>
  </conditionalFormatting>
  <conditionalFormatting sqref="AV1110:AV1111">
    <cfRule type="cellIs" dxfId="33" priority="48" operator="between">
      <formula>95</formula>
      <formula>105</formula>
    </cfRule>
  </conditionalFormatting>
  <conditionalFormatting sqref="AV1109">
    <cfRule type="cellIs" dxfId="32" priority="47" operator="between">
      <formula>95</formula>
      <formula>105</formula>
    </cfRule>
  </conditionalFormatting>
  <conditionalFormatting sqref="AV1137:AV1138">
    <cfRule type="cellIs" dxfId="31" priority="46" operator="between">
      <formula>95</formula>
      <formula>105</formula>
    </cfRule>
  </conditionalFormatting>
  <conditionalFormatting sqref="AV1136">
    <cfRule type="cellIs" dxfId="30" priority="45" operator="between">
      <formula>95</formula>
      <formula>105</formula>
    </cfRule>
  </conditionalFormatting>
  <conditionalFormatting sqref="AV1175:AV1176">
    <cfRule type="cellIs" dxfId="29" priority="44" operator="between">
      <formula>95</formula>
      <formula>105</formula>
    </cfRule>
  </conditionalFormatting>
  <conditionalFormatting sqref="AV1174">
    <cfRule type="cellIs" dxfId="28" priority="43" operator="between">
      <formula>95</formula>
      <formula>105</formula>
    </cfRule>
  </conditionalFormatting>
  <conditionalFormatting sqref="AV1197:AV1198">
    <cfRule type="cellIs" dxfId="27" priority="42" operator="between">
      <formula>95</formula>
      <formula>105</formula>
    </cfRule>
  </conditionalFormatting>
  <conditionalFormatting sqref="AV1196">
    <cfRule type="cellIs" dxfId="26" priority="41" operator="between">
      <formula>95</formula>
      <formula>105</formula>
    </cfRule>
  </conditionalFormatting>
  <conditionalFormatting sqref="R1079:R1087 P1073 N1073 R1073 P1079:P1087 N1079:N1087">
    <cfRule type="colorScale" priority="13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079:S1087 S1073">
    <cfRule type="colorScale" priority="13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079:Q1087 Q1073">
    <cfRule type="colorScale" priority="13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079:O1087 O1073">
    <cfRule type="colorScale" priority="13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079:S1087 N1073:S1073">
    <cfRule type="colorScale" priority="13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063:N1072 P1063:P1072 R1063:R1072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063:S1072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063:Q1072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063:O1072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063:S1072"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89:N607 P589:P607 R589:R607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589:S607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589:Q607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589:O607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89:S607"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V139 AV137">
    <cfRule type="cellIs" dxfId="25" priority="24" operator="between">
      <formula>95</formula>
      <formula>105</formula>
    </cfRule>
  </conditionalFormatting>
  <conditionalFormatting sqref="AV137">
    <cfRule type="cellIs" dxfId="24" priority="23" operator="between">
      <formula>95</formula>
      <formula>105</formula>
    </cfRule>
  </conditionalFormatting>
  <conditionalFormatting sqref="AV138">
    <cfRule type="cellIs" dxfId="23" priority="22" operator="between">
      <formula>95</formula>
      <formula>105</formula>
    </cfRule>
  </conditionalFormatting>
  <conditionalFormatting sqref="AV164 AV162">
    <cfRule type="cellIs" dxfId="22" priority="21" operator="between">
      <formula>95</formula>
      <formula>105</formula>
    </cfRule>
  </conditionalFormatting>
  <conditionalFormatting sqref="AV162">
    <cfRule type="cellIs" dxfId="21" priority="20" operator="between">
      <formula>95</formula>
      <formula>105</formula>
    </cfRule>
  </conditionalFormatting>
  <conditionalFormatting sqref="AV163">
    <cfRule type="cellIs" dxfId="20" priority="19" operator="between">
      <formula>95</formula>
      <formula>105</formula>
    </cfRule>
  </conditionalFormatting>
  <conditionalFormatting sqref="AV190 AV188">
    <cfRule type="cellIs" dxfId="19" priority="18" operator="between">
      <formula>95</formula>
      <formula>105</formula>
    </cfRule>
  </conditionalFormatting>
  <conditionalFormatting sqref="AV188">
    <cfRule type="cellIs" dxfId="18" priority="17" operator="between">
      <formula>95</formula>
      <formula>105</formula>
    </cfRule>
  </conditionalFormatting>
  <conditionalFormatting sqref="AV189">
    <cfRule type="cellIs" dxfId="17" priority="16" operator="between">
      <formula>95</formula>
      <formula>105</formula>
    </cfRule>
  </conditionalFormatting>
  <conditionalFormatting sqref="AV454 AV452">
    <cfRule type="cellIs" dxfId="16" priority="15" operator="between">
      <formula>95</formula>
      <formula>105</formula>
    </cfRule>
  </conditionalFormatting>
  <conditionalFormatting sqref="AV452">
    <cfRule type="cellIs" dxfId="15" priority="14" operator="between">
      <formula>95</formula>
      <formula>105</formula>
    </cfRule>
  </conditionalFormatting>
  <conditionalFormatting sqref="AV453">
    <cfRule type="cellIs" dxfId="14" priority="13" operator="between">
      <formula>95</formula>
      <formula>105</formula>
    </cfRule>
  </conditionalFormatting>
  <conditionalFormatting sqref="AV485 AV483">
    <cfRule type="cellIs" dxfId="13" priority="12" operator="between">
      <formula>95</formula>
      <formula>105</formula>
    </cfRule>
  </conditionalFormatting>
  <conditionalFormatting sqref="AV483">
    <cfRule type="cellIs" dxfId="12" priority="11" operator="between">
      <formula>95</formula>
      <formula>105</formula>
    </cfRule>
  </conditionalFormatting>
  <conditionalFormatting sqref="AV484">
    <cfRule type="cellIs" dxfId="11" priority="10" operator="between">
      <formula>95</formula>
      <formula>105</formula>
    </cfRule>
  </conditionalFormatting>
  <conditionalFormatting sqref="AV626 AV624">
    <cfRule type="cellIs" dxfId="10" priority="9" operator="between">
      <formula>95</formula>
      <formula>105</formula>
    </cfRule>
  </conditionalFormatting>
  <conditionalFormatting sqref="AV624">
    <cfRule type="cellIs" dxfId="9" priority="8" operator="between">
      <formula>95</formula>
      <formula>105</formula>
    </cfRule>
  </conditionalFormatting>
  <conditionalFormatting sqref="AV625">
    <cfRule type="cellIs" dxfId="8" priority="7" operator="between">
      <formula>95</formula>
      <formula>105</formula>
    </cfRule>
  </conditionalFormatting>
  <conditionalFormatting sqref="AV678 AV676">
    <cfRule type="cellIs" dxfId="7" priority="6" operator="between">
      <formula>95</formula>
      <formula>105</formula>
    </cfRule>
  </conditionalFormatting>
  <conditionalFormatting sqref="AV676">
    <cfRule type="cellIs" dxfId="6" priority="5" operator="between">
      <formula>95</formula>
      <formula>105</formula>
    </cfRule>
  </conditionalFormatting>
  <conditionalFormatting sqref="AV677">
    <cfRule type="cellIs" dxfId="5" priority="4" operator="between">
      <formula>95</formula>
      <formula>105</formula>
    </cfRule>
  </conditionalFormatting>
  <conditionalFormatting sqref="AV775 AV773">
    <cfRule type="cellIs" dxfId="4" priority="3" operator="between">
      <formula>95</formula>
      <formula>105</formula>
    </cfRule>
  </conditionalFormatting>
  <conditionalFormatting sqref="AV773">
    <cfRule type="cellIs" dxfId="3" priority="2" operator="between">
      <formula>95</formula>
      <formula>105</formula>
    </cfRule>
  </conditionalFormatting>
  <conditionalFormatting sqref="AV774">
    <cfRule type="cellIs" dxfId="2" priority="1" operator="between">
      <formula>95</formula>
      <formula>105</formula>
    </cfRule>
  </conditionalFormatting>
  <conditionalFormatting sqref="P1177:P1186 N1177:N1186 R1177:R1186">
    <cfRule type="colorScale" priority="37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177:S1186">
    <cfRule type="colorScale" priority="37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177:Q1186">
    <cfRule type="colorScale" priority="37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177:O1186">
    <cfRule type="colorScale" priority="37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177:S1186">
    <cfRule type="colorScale" priority="37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073:S1087">
    <cfRule type="colorScale" priority="37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073:Q1087">
    <cfRule type="colorScale" priority="37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073:O1087">
    <cfRule type="colorScale" priority="379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073:S1087">
    <cfRule type="colorScale" priority="379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073:N1087 P1073:P1087 R1073:R1087">
    <cfRule type="colorScale" priority="379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749:N760 P749:P760 R749:R760">
    <cfRule type="colorScale" priority="38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749:S760">
    <cfRule type="colorScale" priority="38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749:Q760">
    <cfRule type="colorScale" priority="38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749:O760">
    <cfRule type="colorScale" priority="38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749:S760">
    <cfRule type="colorScale" priority="38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85:N588 P585:P588 R585:R588">
    <cfRule type="colorScale" priority="39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585:S588">
    <cfRule type="colorScale" priority="39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585:Q588">
    <cfRule type="colorScale" priority="39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585:O588">
    <cfRule type="colorScale" priority="396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85:S588">
    <cfRule type="colorScale" priority="39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73:N584 P573:P584 R573:R584">
    <cfRule type="colorScale" priority="40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573:S584">
    <cfRule type="colorScale" priority="407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573:Q584">
    <cfRule type="colorScale" priority="407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573:O584">
    <cfRule type="colorScale" priority="40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73:S584">
    <cfRule type="colorScale" priority="407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49:N480 P449:P480 R449:R480">
    <cfRule type="colorScale" priority="41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449:S480">
    <cfRule type="colorScale" priority="41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449:Q480">
    <cfRule type="colorScale" priority="41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449:O480">
    <cfRule type="colorScale" priority="41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49:S480">
    <cfRule type="colorScale" priority="41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09:S134">
    <cfRule type="colorScale" priority="43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09:Q134">
    <cfRule type="colorScale" priority="430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09:O134">
    <cfRule type="colorScale" priority="43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109:R134 N109:N134">
    <cfRule type="colorScale" priority="43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09:O134 Q109:S134">
    <cfRule type="colorScale" priority="43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09:P134">
    <cfRule type="colorScale" priority="43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09:S134">
    <cfRule type="colorScale" priority="43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76C1F-07D4-4EFA-A43B-67F725AD2A95}">
  <dimension ref="A1:K2040"/>
  <sheetViews>
    <sheetView zoomScale="70" zoomScaleNormal="70" workbookViewId="0">
      <selection activeCell="B2" sqref="B2"/>
    </sheetView>
  </sheetViews>
  <sheetFormatPr defaultColWidth="13.33203125" defaultRowHeight="15.6" x14ac:dyDescent="0.3"/>
  <cols>
    <col min="1" max="1" width="13.33203125" style="155"/>
    <col min="2" max="2" width="20.77734375" style="155" bestFit="1" customWidth="1"/>
    <col min="3" max="3" width="6.33203125" style="155" bestFit="1" customWidth="1"/>
    <col min="4" max="4" width="14.6640625" style="155" bestFit="1" customWidth="1"/>
    <col min="5" max="5" width="13.44140625" style="155" bestFit="1" customWidth="1"/>
    <col min="6" max="16384" width="13.33203125" style="155"/>
  </cols>
  <sheetData>
    <row r="1" spans="1:11" x14ac:dyDescent="0.3">
      <c r="A1" s="153" t="s">
        <v>883</v>
      </c>
      <c r="B1" s="153" t="s">
        <v>884</v>
      </c>
      <c r="C1" s="153" t="s">
        <v>196</v>
      </c>
      <c r="D1" s="153" t="s">
        <v>885</v>
      </c>
      <c r="E1" s="153" t="s">
        <v>886</v>
      </c>
      <c r="F1" s="154" t="s">
        <v>17</v>
      </c>
      <c r="G1" s="154" t="s">
        <v>327</v>
      </c>
      <c r="H1" s="154" t="s">
        <v>665</v>
      </c>
      <c r="I1" s="154" t="s">
        <v>20</v>
      </c>
      <c r="J1" s="154" t="s">
        <v>21</v>
      </c>
      <c r="K1" s="154" t="s">
        <v>22</v>
      </c>
    </row>
    <row r="2" spans="1:11" x14ac:dyDescent="0.3">
      <c r="A2" s="156" t="s">
        <v>887</v>
      </c>
      <c r="B2" s="157" t="s">
        <v>888</v>
      </c>
      <c r="C2" s="157">
        <v>2024</v>
      </c>
      <c r="D2" s="158">
        <v>23.535833</v>
      </c>
      <c r="E2" s="158">
        <v>-19.845555999999998</v>
      </c>
      <c r="F2" s="159">
        <v>7.7</v>
      </c>
      <c r="G2" s="160">
        <v>14.8</v>
      </c>
      <c r="H2" s="161">
        <v>56</v>
      </c>
      <c r="I2" s="161">
        <v>13</v>
      </c>
      <c r="J2" s="161">
        <v>31</v>
      </c>
      <c r="K2" s="160">
        <v>2.9</v>
      </c>
    </row>
    <row r="3" spans="1:11" x14ac:dyDescent="0.3">
      <c r="A3" s="156" t="s">
        <v>887</v>
      </c>
      <c r="B3" s="157" t="s">
        <v>888</v>
      </c>
      <c r="C3" s="157">
        <v>2024</v>
      </c>
      <c r="D3" s="158">
        <v>25.476111</v>
      </c>
      <c r="E3" s="158">
        <v>-18.604444000000001</v>
      </c>
      <c r="F3" s="159">
        <v>6.2</v>
      </c>
      <c r="G3" s="160">
        <v>40.200000000000003</v>
      </c>
      <c r="H3" s="161">
        <v>32</v>
      </c>
      <c r="I3" s="161">
        <v>11</v>
      </c>
      <c r="J3" s="161">
        <v>57</v>
      </c>
      <c r="K3" s="160">
        <v>0.5</v>
      </c>
    </row>
    <row r="4" spans="1:11" x14ac:dyDescent="0.3">
      <c r="A4" s="156" t="s">
        <v>887</v>
      </c>
      <c r="B4" s="157" t="s">
        <v>888</v>
      </c>
      <c r="C4" s="157">
        <v>2024</v>
      </c>
      <c r="D4" s="158">
        <v>25.628056000000001</v>
      </c>
      <c r="E4" s="158">
        <v>-18.619721999999999</v>
      </c>
      <c r="F4" s="159">
        <v>5.0999999999999996</v>
      </c>
      <c r="G4" s="160">
        <v>1.2</v>
      </c>
      <c r="H4" s="161">
        <v>88</v>
      </c>
      <c r="I4" s="161">
        <v>3</v>
      </c>
      <c r="J4" s="161">
        <v>7.7</v>
      </c>
      <c r="K4" s="160">
        <v>0.1</v>
      </c>
    </row>
    <row r="5" spans="1:11" x14ac:dyDescent="0.3">
      <c r="A5" s="156" t="s">
        <v>887</v>
      </c>
      <c r="B5" s="157" t="s">
        <v>888</v>
      </c>
      <c r="C5" s="157">
        <v>2024</v>
      </c>
      <c r="D5" s="158">
        <v>26.893611</v>
      </c>
      <c r="E5" s="158">
        <v>-23.080556000000001</v>
      </c>
      <c r="F5" s="159">
        <v>5.0999999999999996</v>
      </c>
      <c r="G5" s="160">
        <v>2.5499999999999998</v>
      </c>
      <c r="H5" s="161">
        <v>78</v>
      </c>
      <c r="I5" s="161">
        <v>9</v>
      </c>
      <c r="J5" s="161">
        <v>13</v>
      </c>
      <c r="K5" s="160">
        <v>0.1</v>
      </c>
    </row>
    <row r="6" spans="1:11" x14ac:dyDescent="0.3">
      <c r="A6" s="156" t="s">
        <v>887</v>
      </c>
      <c r="B6" s="157" t="s">
        <v>888</v>
      </c>
      <c r="C6" s="157">
        <v>2024</v>
      </c>
      <c r="D6" s="158">
        <v>27.014721999999999</v>
      </c>
      <c r="E6" s="158">
        <v>-22.748888999999998</v>
      </c>
      <c r="F6" s="159">
        <v>5.8</v>
      </c>
      <c r="G6" s="160">
        <v>3.5</v>
      </c>
      <c r="H6" s="161">
        <v>69</v>
      </c>
      <c r="I6" s="161">
        <v>4</v>
      </c>
      <c r="J6" s="161">
        <v>27</v>
      </c>
      <c r="K6" s="160">
        <v>0.2</v>
      </c>
    </row>
    <row r="7" spans="1:11" x14ac:dyDescent="0.3">
      <c r="A7" s="156" t="s">
        <v>887</v>
      </c>
      <c r="B7" s="157" t="s">
        <v>888</v>
      </c>
      <c r="C7" s="157">
        <v>2024</v>
      </c>
      <c r="D7" s="158">
        <v>27.302222</v>
      </c>
      <c r="E7" s="158">
        <v>-20.998888999999998</v>
      </c>
      <c r="F7" s="159">
        <v>7.5</v>
      </c>
      <c r="G7" s="160">
        <v>12.2</v>
      </c>
      <c r="H7" s="161">
        <v>45</v>
      </c>
      <c r="I7" s="161">
        <v>5</v>
      </c>
      <c r="J7" s="161">
        <v>50</v>
      </c>
      <c r="K7" s="160">
        <v>0.3</v>
      </c>
    </row>
    <row r="8" spans="1:11" x14ac:dyDescent="0.3">
      <c r="A8" s="156" t="s">
        <v>887</v>
      </c>
      <c r="B8" s="157" t="s">
        <v>888</v>
      </c>
      <c r="C8" s="157">
        <v>2024</v>
      </c>
      <c r="D8" s="158">
        <v>28.041111000000001</v>
      </c>
      <c r="E8" s="158">
        <v>-21.905277999999999</v>
      </c>
      <c r="F8" s="159">
        <v>9.6999999999999993</v>
      </c>
      <c r="G8" s="160">
        <v>7.5</v>
      </c>
      <c r="H8" s="161">
        <v>77</v>
      </c>
      <c r="I8" s="161">
        <v>13</v>
      </c>
      <c r="J8" s="161">
        <v>10</v>
      </c>
      <c r="K8" s="160">
        <v>0.2</v>
      </c>
    </row>
    <row r="9" spans="1:11" x14ac:dyDescent="0.3">
      <c r="A9" s="156" t="s">
        <v>887</v>
      </c>
      <c r="B9" s="157" t="s">
        <v>888</v>
      </c>
      <c r="C9" s="157">
        <v>2024</v>
      </c>
      <c r="D9" s="158">
        <v>-156.247085599999</v>
      </c>
      <c r="E9" s="158">
        <v>20.812084200000001</v>
      </c>
      <c r="F9" s="159">
        <v>5.2</v>
      </c>
      <c r="G9" s="160">
        <v>0.7</v>
      </c>
      <c r="H9" s="161">
        <v>25.8</v>
      </c>
      <c r="I9" s="161">
        <v>35.6</v>
      </c>
      <c r="J9" s="161">
        <v>38.6</v>
      </c>
      <c r="K9" s="160">
        <v>5.26</v>
      </c>
    </row>
    <row r="10" spans="1:11" x14ac:dyDescent="0.3">
      <c r="A10" s="156" t="s">
        <v>887</v>
      </c>
      <c r="B10" s="157" t="s">
        <v>888</v>
      </c>
      <c r="C10" s="157">
        <v>2024</v>
      </c>
      <c r="D10" s="158">
        <v>-132.93333440000001</v>
      </c>
      <c r="E10" s="158">
        <v>54.9375</v>
      </c>
      <c r="F10" s="159">
        <v>4.9000000000000004</v>
      </c>
      <c r="G10" s="160">
        <v>5.2</v>
      </c>
      <c r="H10" s="161">
        <v>48.1</v>
      </c>
      <c r="I10" s="161">
        <v>51.5</v>
      </c>
      <c r="J10" s="161">
        <v>0.4</v>
      </c>
      <c r="K10" s="160">
        <v>2.13</v>
      </c>
    </row>
    <row r="11" spans="1:11" x14ac:dyDescent="0.3">
      <c r="A11" s="156" t="s">
        <v>887</v>
      </c>
      <c r="B11" s="157" t="s">
        <v>888</v>
      </c>
      <c r="C11" s="157">
        <v>2024</v>
      </c>
      <c r="D11" s="158">
        <v>-124.3683319</v>
      </c>
      <c r="E11" s="158">
        <v>43.1822205</v>
      </c>
      <c r="F11" s="159">
        <v>5.2</v>
      </c>
      <c r="G11" s="160">
        <v>0.3</v>
      </c>
      <c r="H11" s="161">
        <v>93.9</v>
      </c>
      <c r="I11" s="161">
        <v>5.4</v>
      </c>
      <c r="J11" s="161">
        <v>0.7</v>
      </c>
      <c r="K11" s="160">
        <v>0.3</v>
      </c>
    </row>
    <row r="12" spans="1:11" x14ac:dyDescent="0.3">
      <c r="A12" s="156" t="s">
        <v>887</v>
      </c>
      <c r="B12" s="157" t="s">
        <v>888</v>
      </c>
      <c r="C12" s="157">
        <v>2024</v>
      </c>
      <c r="D12" s="158">
        <v>-124.0998001</v>
      </c>
      <c r="E12" s="158">
        <v>43.3898048</v>
      </c>
      <c r="F12" s="159">
        <v>4.5</v>
      </c>
      <c r="G12" s="160">
        <v>34.1</v>
      </c>
      <c r="H12" s="161">
        <v>21.1</v>
      </c>
      <c r="I12" s="161">
        <v>47.7</v>
      </c>
      <c r="J12" s="161">
        <v>31.2</v>
      </c>
      <c r="K12" s="160">
        <v>0.31</v>
      </c>
    </row>
    <row r="13" spans="1:11" x14ac:dyDescent="0.3">
      <c r="A13" s="156" t="s">
        <v>887</v>
      </c>
      <c r="B13" s="157" t="s">
        <v>888</v>
      </c>
      <c r="C13" s="157">
        <v>2024</v>
      </c>
      <c r="D13" s="158">
        <v>-124.04166410000001</v>
      </c>
      <c r="E13" s="158">
        <v>44.474998499999998</v>
      </c>
      <c r="F13" s="159">
        <v>4.9000000000000004</v>
      </c>
      <c r="G13" s="160">
        <v>5.2</v>
      </c>
      <c r="H13" s="161">
        <v>49.6</v>
      </c>
      <c r="I13" s="161">
        <v>45.2</v>
      </c>
      <c r="J13" s="161">
        <v>5.2</v>
      </c>
      <c r="K13" s="160">
        <v>5.91</v>
      </c>
    </row>
    <row r="14" spans="1:11" x14ac:dyDescent="0.3">
      <c r="A14" s="156" t="s">
        <v>887</v>
      </c>
      <c r="B14" s="157" t="s">
        <v>888</v>
      </c>
      <c r="C14" s="157">
        <v>2024</v>
      </c>
      <c r="D14" s="158">
        <v>-123.958335899999</v>
      </c>
      <c r="E14" s="158">
        <v>44.5583344</v>
      </c>
      <c r="F14" s="159">
        <v>4.9000000000000004</v>
      </c>
      <c r="G14" s="160">
        <v>11.45</v>
      </c>
      <c r="H14" s="161">
        <v>37.6</v>
      </c>
      <c r="I14" s="161">
        <v>46</v>
      </c>
      <c r="J14" s="161">
        <v>16.399999999999999</v>
      </c>
      <c r="K14" s="160">
        <v>4.8100000000000005</v>
      </c>
    </row>
    <row r="15" spans="1:11" x14ac:dyDescent="0.3">
      <c r="A15" s="156" t="s">
        <v>887</v>
      </c>
      <c r="B15" s="157" t="s">
        <v>888</v>
      </c>
      <c r="C15" s="157">
        <v>2024</v>
      </c>
      <c r="D15" s="158">
        <v>-123.1500015</v>
      </c>
      <c r="E15" s="158">
        <v>47.538887000000003</v>
      </c>
      <c r="F15" s="159">
        <v>5.2</v>
      </c>
      <c r="G15" s="160">
        <v>3</v>
      </c>
      <c r="H15" s="161">
        <v>37</v>
      </c>
      <c r="I15" s="161">
        <v>48.6</v>
      </c>
      <c r="J15" s="161">
        <v>14.4</v>
      </c>
      <c r="K15" s="160">
        <v>2.23</v>
      </c>
    </row>
    <row r="16" spans="1:11" x14ac:dyDescent="0.3">
      <c r="A16" s="156" t="s">
        <v>887</v>
      </c>
      <c r="B16" s="157" t="s">
        <v>888</v>
      </c>
      <c r="C16" s="157">
        <v>2024</v>
      </c>
      <c r="D16" s="158">
        <v>-122.9369023</v>
      </c>
      <c r="E16" s="158">
        <v>38.144889399999997</v>
      </c>
      <c r="F16" s="159">
        <v>5.5</v>
      </c>
      <c r="G16" s="160">
        <v>3.45</v>
      </c>
      <c r="H16" s="161">
        <v>94</v>
      </c>
      <c r="I16" s="161">
        <v>3.9</v>
      </c>
      <c r="J16" s="161">
        <v>2.1</v>
      </c>
      <c r="K16" s="160">
        <v>1.17</v>
      </c>
    </row>
    <row r="17" spans="1:11" x14ac:dyDescent="0.3">
      <c r="A17" s="156" t="s">
        <v>887</v>
      </c>
      <c r="B17" s="157" t="s">
        <v>888</v>
      </c>
      <c r="C17" s="157">
        <v>2024</v>
      </c>
      <c r="D17" s="158">
        <v>-122.625</v>
      </c>
      <c r="E17" s="158">
        <v>43.283332799999997</v>
      </c>
      <c r="F17" s="159">
        <v>5.5</v>
      </c>
      <c r="G17" s="160">
        <v>60.3</v>
      </c>
      <c r="H17" s="161">
        <v>64.599999999999994</v>
      </c>
      <c r="I17" s="161">
        <v>24.8</v>
      </c>
      <c r="J17" s="161">
        <v>10.6</v>
      </c>
      <c r="K17" s="160">
        <v>34.450000000000003</v>
      </c>
    </row>
    <row r="18" spans="1:11" x14ac:dyDescent="0.3">
      <c r="A18" s="156" t="s">
        <v>887</v>
      </c>
      <c r="B18" s="157" t="s">
        <v>888</v>
      </c>
      <c r="C18" s="157">
        <v>2024</v>
      </c>
      <c r="D18" s="158">
        <v>-121.8722229</v>
      </c>
      <c r="E18" s="158">
        <v>48.144443500000001</v>
      </c>
      <c r="F18" s="159">
        <v>5</v>
      </c>
      <c r="G18" s="160">
        <v>2.15</v>
      </c>
      <c r="H18" s="161">
        <v>52.5</v>
      </c>
      <c r="I18" s="161">
        <v>34.9</v>
      </c>
      <c r="J18" s="161">
        <v>12.6</v>
      </c>
      <c r="K18" s="160">
        <v>2.42</v>
      </c>
    </row>
    <row r="19" spans="1:11" x14ac:dyDescent="0.3">
      <c r="A19" s="156" t="s">
        <v>887</v>
      </c>
      <c r="B19" s="157" t="s">
        <v>888</v>
      </c>
      <c r="C19" s="157">
        <v>2024</v>
      </c>
      <c r="D19" s="158">
        <v>-121.03555299999999</v>
      </c>
      <c r="E19" s="158">
        <v>46.666942599999999</v>
      </c>
      <c r="F19" s="159">
        <v>5.6</v>
      </c>
      <c r="G19" s="160">
        <v>5.25</v>
      </c>
      <c r="H19" s="161">
        <v>43.7</v>
      </c>
      <c r="I19" s="161">
        <v>51.3</v>
      </c>
      <c r="J19" s="161">
        <v>5</v>
      </c>
      <c r="K19" s="160">
        <v>0.96</v>
      </c>
    </row>
    <row r="20" spans="1:11" x14ac:dyDescent="0.3">
      <c r="A20" s="156" t="s">
        <v>887</v>
      </c>
      <c r="B20" s="157" t="s">
        <v>888</v>
      </c>
      <c r="C20" s="157">
        <v>2024</v>
      </c>
      <c r="D20" s="158">
        <v>-119.95545199999999</v>
      </c>
      <c r="E20" s="158">
        <v>39.411281600000002</v>
      </c>
      <c r="F20" s="159">
        <v>5.6</v>
      </c>
      <c r="G20" s="160">
        <v>6.55</v>
      </c>
      <c r="H20" s="161">
        <v>40.4</v>
      </c>
      <c r="I20" s="161">
        <v>44.3</v>
      </c>
      <c r="J20" s="161">
        <v>15.3</v>
      </c>
      <c r="K20" s="160">
        <v>0.15</v>
      </c>
    </row>
    <row r="21" spans="1:11" x14ac:dyDescent="0.3">
      <c r="A21" s="156" t="s">
        <v>887</v>
      </c>
      <c r="B21" s="157" t="s">
        <v>888</v>
      </c>
      <c r="C21" s="157">
        <v>2024</v>
      </c>
      <c r="D21" s="158">
        <v>-117.1344452</v>
      </c>
      <c r="E21" s="158">
        <v>32.846668200000003</v>
      </c>
      <c r="F21" s="159">
        <v>4.0999999999999996</v>
      </c>
      <c r="G21" s="160">
        <v>18.850000000000001</v>
      </c>
      <c r="H21" s="161">
        <v>27.4</v>
      </c>
      <c r="I21" s="161">
        <v>28.3</v>
      </c>
      <c r="J21" s="161">
        <v>44.3</v>
      </c>
      <c r="K21" s="160">
        <v>0.21000000000000002</v>
      </c>
    </row>
    <row r="22" spans="1:11" x14ac:dyDescent="0.3">
      <c r="A22" s="156" t="s">
        <v>887</v>
      </c>
      <c r="B22" s="157" t="s">
        <v>888</v>
      </c>
      <c r="C22" s="157">
        <v>2024</v>
      </c>
      <c r="D22" s="158">
        <v>-111.184166</v>
      </c>
      <c r="E22" s="158">
        <v>44.528610200000003</v>
      </c>
      <c r="F22" s="159">
        <v>5.6</v>
      </c>
      <c r="G22" s="160">
        <v>5.35</v>
      </c>
      <c r="H22" s="161">
        <v>26.3</v>
      </c>
      <c r="I22" s="161">
        <v>62.7</v>
      </c>
      <c r="J22" s="161">
        <v>11</v>
      </c>
      <c r="K22" s="160">
        <v>1.8</v>
      </c>
    </row>
    <row r="23" spans="1:11" x14ac:dyDescent="0.3">
      <c r="A23" s="156" t="s">
        <v>887</v>
      </c>
      <c r="B23" s="157" t="s">
        <v>888</v>
      </c>
      <c r="C23" s="157">
        <v>2024</v>
      </c>
      <c r="D23" s="158">
        <v>-110.1361084</v>
      </c>
      <c r="E23" s="158">
        <v>44.467220300000001</v>
      </c>
      <c r="F23" s="159">
        <v>5</v>
      </c>
      <c r="G23" s="160">
        <v>11</v>
      </c>
      <c r="H23" s="161">
        <v>43.1</v>
      </c>
      <c r="I23" s="161">
        <v>47.2</v>
      </c>
      <c r="J23" s="161">
        <v>9.6999999999999993</v>
      </c>
      <c r="K23" s="160">
        <v>1.92</v>
      </c>
    </row>
    <row r="24" spans="1:11" x14ac:dyDescent="0.3">
      <c r="A24" s="156" t="s">
        <v>887</v>
      </c>
      <c r="B24" s="157" t="s">
        <v>888</v>
      </c>
      <c r="C24" s="157">
        <v>2024</v>
      </c>
      <c r="D24" s="158">
        <v>-94.2914806</v>
      </c>
      <c r="E24" s="158">
        <v>37.2064667</v>
      </c>
      <c r="F24" s="159">
        <v>5.7</v>
      </c>
      <c r="G24" s="160">
        <v>11</v>
      </c>
      <c r="H24" s="161">
        <v>17.8</v>
      </c>
      <c r="I24" s="161">
        <v>35.9</v>
      </c>
      <c r="J24" s="161">
        <v>46.3</v>
      </c>
      <c r="K24" s="160">
        <v>0.1</v>
      </c>
    </row>
    <row r="25" spans="1:11" x14ac:dyDescent="0.3">
      <c r="A25" s="156" t="s">
        <v>887</v>
      </c>
      <c r="B25" s="157" t="s">
        <v>888</v>
      </c>
      <c r="C25" s="157">
        <v>2024</v>
      </c>
      <c r="D25" s="158">
        <v>-94.177075000000002</v>
      </c>
      <c r="E25" s="158">
        <v>37.090688900000004</v>
      </c>
      <c r="F25" s="159">
        <v>5.2</v>
      </c>
      <c r="G25" s="160">
        <v>7</v>
      </c>
      <c r="H25" s="161">
        <v>23.4</v>
      </c>
      <c r="I25" s="161">
        <v>50.3</v>
      </c>
      <c r="J25" s="161">
        <v>26.3</v>
      </c>
      <c r="K25" s="160">
        <v>0.1</v>
      </c>
    </row>
    <row r="26" spans="1:11" x14ac:dyDescent="0.3">
      <c r="A26" s="156" t="s">
        <v>887</v>
      </c>
      <c r="B26" s="157" t="s">
        <v>888</v>
      </c>
      <c r="C26" s="157">
        <v>2024</v>
      </c>
      <c r="D26" s="158">
        <v>-94.138137799999996</v>
      </c>
      <c r="E26" s="158">
        <v>39.9842491</v>
      </c>
      <c r="F26" s="159">
        <v>5.6</v>
      </c>
      <c r="G26" s="160">
        <v>30</v>
      </c>
      <c r="H26" s="161">
        <v>2.2999999999999998</v>
      </c>
      <c r="I26" s="161">
        <v>49.7</v>
      </c>
      <c r="J26" s="161">
        <v>48</v>
      </c>
      <c r="K26" s="160">
        <v>0.7</v>
      </c>
    </row>
    <row r="27" spans="1:11" x14ac:dyDescent="0.3">
      <c r="A27" s="156" t="s">
        <v>887</v>
      </c>
      <c r="B27" s="157" t="s">
        <v>888</v>
      </c>
      <c r="C27" s="157">
        <v>2024</v>
      </c>
      <c r="D27" s="158">
        <v>-94.063874999999996</v>
      </c>
      <c r="E27" s="158">
        <v>37.555333300000001</v>
      </c>
      <c r="F27" s="159">
        <v>5.0999999999999996</v>
      </c>
      <c r="G27" s="160">
        <v>11.95</v>
      </c>
      <c r="H27" s="161">
        <v>29.3</v>
      </c>
      <c r="I27" s="161">
        <v>32.299999999999997</v>
      </c>
      <c r="J27" s="161">
        <v>38.4</v>
      </c>
      <c r="K27" s="160">
        <v>0.4</v>
      </c>
    </row>
    <row r="28" spans="1:11" x14ac:dyDescent="0.3">
      <c r="A28" s="156" t="s">
        <v>887</v>
      </c>
      <c r="B28" s="157" t="s">
        <v>888</v>
      </c>
      <c r="C28" s="157">
        <v>2024</v>
      </c>
      <c r="D28" s="158">
        <v>-94.048614499999999</v>
      </c>
      <c r="E28" s="158">
        <v>37.574165299999997</v>
      </c>
      <c r="F28" s="159">
        <v>5.9</v>
      </c>
      <c r="G28" s="160">
        <v>11</v>
      </c>
      <c r="H28" s="161">
        <v>25.8</v>
      </c>
      <c r="I28" s="161">
        <v>41.5</v>
      </c>
      <c r="J28" s="161">
        <v>32.700000000000003</v>
      </c>
      <c r="K28" s="160">
        <v>0.09</v>
      </c>
    </row>
    <row r="29" spans="1:11" x14ac:dyDescent="0.3">
      <c r="A29" s="156" t="s">
        <v>887</v>
      </c>
      <c r="B29" s="157" t="s">
        <v>888</v>
      </c>
      <c r="C29" s="157">
        <v>2024</v>
      </c>
      <c r="D29" s="158">
        <v>-93.982922200000004</v>
      </c>
      <c r="E29" s="158">
        <v>39.916247200000001</v>
      </c>
      <c r="F29" s="159">
        <v>6.2</v>
      </c>
      <c r="G29" s="160">
        <v>18</v>
      </c>
      <c r="H29" s="161">
        <v>15.4</v>
      </c>
      <c r="I29" s="161">
        <v>66.3</v>
      </c>
      <c r="J29" s="161">
        <v>18.399999999999999</v>
      </c>
      <c r="K29" s="160">
        <v>1.2</v>
      </c>
    </row>
    <row r="30" spans="1:11" x14ac:dyDescent="0.3">
      <c r="A30" s="156" t="s">
        <v>887</v>
      </c>
      <c r="B30" s="157" t="s">
        <v>888</v>
      </c>
      <c r="C30" s="157">
        <v>2024</v>
      </c>
      <c r="D30" s="158">
        <v>-93.845050000000001</v>
      </c>
      <c r="E30" s="158">
        <v>37.8048377</v>
      </c>
      <c r="F30" s="159">
        <v>4.9000000000000004</v>
      </c>
      <c r="G30" s="160">
        <v>13</v>
      </c>
      <c r="H30" s="161">
        <v>10.199999999999999</v>
      </c>
      <c r="I30" s="161">
        <v>45.5</v>
      </c>
      <c r="J30" s="161">
        <v>44.3</v>
      </c>
      <c r="K30" s="160">
        <v>0.4</v>
      </c>
    </row>
    <row r="31" spans="1:11" x14ac:dyDescent="0.3">
      <c r="A31" s="156" t="s">
        <v>887</v>
      </c>
      <c r="B31" s="157" t="s">
        <v>888</v>
      </c>
      <c r="C31" s="157">
        <v>2024</v>
      </c>
      <c r="D31" s="158">
        <v>-93.817222599999994</v>
      </c>
      <c r="E31" s="158">
        <v>37.3122215</v>
      </c>
      <c r="F31" s="159">
        <v>5</v>
      </c>
      <c r="G31" s="160">
        <v>24.05</v>
      </c>
      <c r="H31" s="161">
        <v>7</v>
      </c>
      <c r="I31" s="161">
        <v>9.5</v>
      </c>
      <c r="J31" s="161">
        <v>83.5</v>
      </c>
      <c r="K31" s="160">
        <v>0.2</v>
      </c>
    </row>
    <row r="32" spans="1:11" x14ac:dyDescent="0.3">
      <c r="A32" s="156" t="s">
        <v>887</v>
      </c>
      <c r="B32" s="157" t="s">
        <v>888</v>
      </c>
      <c r="C32" s="157">
        <v>2024</v>
      </c>
      <c r="D32" s="158">
        <v>-93.686111499999996</v>
      </c>
      <c r="E32" s="158">
        <v>31.692777599999999</v>
      </c>
      <c r="F32" s="159">
        <v>4.7</v>
      </c>
      <c r="G32" s="160">
        <v>14.15</v>
      </c>
      <c r="H32" s="161">
        <v>22.1</v>
      </c>
      <c r="I32" s="161">
        <v>20.8</v>
      </c>
      <c r="J32" s="161">
        <v>57.1</v>
      </c>
      <c r="K32" s="160">
        <v>0.42000000000000004</v>
      </c>
    </row>
    <row r="33" spans="1:11" x14ac:dyDescent="0.3">
      <c r="A33" s="156" t="s">
        <v>887</v>
      </c>
      <c r="B33" s="157" t="s">
        <v>888</v>
      </c>
      <c r="C33" s="157">
        <v>2024</v>
      </c>
      <c r="D33" s="158">
        <v>-93.5155563</v>
      </c>
      <c r="E33" s="158">
        <v>30.9141674</v>
      </c>
      <c r="F33" s="159">
        <v>5</v>
      </c>
      <c r="G33" s="160">
        <v>10.8</v>
      </c>
      <c r="H33" s="161">
        <v>39</v>
      </c>
      <c r="I33" s="161">
        <v>42</v>
      </c>
      <c r="J33" s="161">
        <v>19</v>
      </c>
      <c r="K33" s="160">
        <v>0.05</v>
      </c>
    </row>
    <row r="34" spans="1:11" x14ac:dyDescent="0.3">
      <c r="A34" s="156" t="s">
        <v>887</v>
      </c>
      <c r="B34" s="157" t="s">
        <v>888</v>
      </c>
      <c r="C34" s="157">
        <v>2024</v>
      </c>
      <c r="D34" s="158">
        <v>-93.365708299999994</v>
      </c>
      <c r="E34" s="158">
        <v>37.796213899999998</v>
      </c>
      <c r="F34" s="159">
        <v>6.3</v>
      </c>
      <c r="G34" s="160">
        <v>26</v>
      </c>
      <c r="H34" s="161">
        <v>13.6</v>
      </c>
      <c r="I34" s="161">
        <v>22.6</v>
      </c>
      <c r="J34" s="161">
        <v>63.8</v>
      </c>
      <c r="K34" s="160">
        <v>0.2</v>
      </c>
    </row>
    <row r="35" spans="1:11" x14ac:dyDescent="0.3">
      <c r="A35" s="156" t="s">
        <v>887</v>
      </c>
      <c r="B35" s="157" t="s">
        <v>888</v>
      </c>
      <c r="C35" s="157">
        <v>2024</v>
      </c>
      <c r="D35" s="158">
        <v>-93.298057600000007</v>
      </c>
      <c r="E35" s="158">
        <v>37.7386093</v>
      </c>
      <c r="F35" s="159">
        <v>5.3</v>
      </c>
      <c r="G35" s="160">
        <v>11.2</v>
      </c>
      <c r="H35" s="161">
        <v>18.600000000000001</v>
      </c>
      <c r="I35" s="161">
        <v>63.6</v>
      </c>
      <c r="J35" s="161">
        <v>17.899999999999999</v>
      </c>
      <c r="K35" s="160">
        <v>1.8</v>
      </c>
    </row>
    <row r="36" spans="1:11" x14ac:dyDescent="0.3">
      <c r="A36" s="156" t="s">
        <v>887</v>
      </c>
      <c r="B36" s="157" t="s">
        <v>888</v>
      </c>
      <c r="C36" s="157">
        <v>2024</v>
      </c>
      <c r="D36" s="158">
        <v>-93.144447299999996</v>
      </c>
      <c r="E36" s="158">
        <v>30.949443800000001</v>
      </c>
      <c r="F36" s="159">
        <v>5.0999999999999996</v>
      </c>
      <c r="G36" s="160">
        <v>2.8</v>
      </c>
      <c r="H36" s="161">
        <v>56.4</v>
      </c>
      <c r="I36" s="161">
        <v>26.4</v>
      </c>
      <c r="J36" s="161">
        <v>17.2</v>
      </c>
      <c r="K36" s="160">
        <v>0.02</v>
      </c>
    </row>
    <row r="37" spans="1:11" x14ac:dyDescent="0.3">
      <c r="A37" s="156" t="s">
        <v>887</v>
      </c>
      <c r="B37" s="157" t="s">
        <v>888</v>
      </c>
      <c r="C37" s="157">
        <v>2024</v>
      </c>
      <c r="D37" s="158">
        <v>-93.126113899999993</v>
      </c>
      <c r="E37" s="158">
        <v>31.174167600000001</v>
      </c>
      <c r="F37" s="159">
        <v>5.3</v>
      </c>
      <c r="G37" s="160">
        <v>1.85</v>
      </c>
      <c r="H37" s="161">
        <v>56.4</v>
      </c>
      <c r="I37" s="161">
        <v>32.299999999999997</v>
      </c>
      <c r="J37" s="161">
        <v>11.3</v>
      </c>
      <c r="K37" s="160">
        <v>0.24</v>
      </c>
    </row>
    <row r="38" spans="1:11" x14ac:dyDescent="0.3">
      <c r="A38" s="156" t="s">
        <v>887</v>
      </c>
      <c r="B38" s="157" t="s">
        <v>888</v>
      </c>
      <c r="C38" s="157">
        <v>2024</v>
      </c>
      <c r="D38" s="158">
        <v>-93.099166699999998</v>
      </c>
      <c r="E38" s="158">
        <v>39.900277799999998</v>
      </c>
      <c r="F38" s="159">
        <v>5</v>
      </c>
      <c r="G38" s="160">
        <v>31</v>
      </c>
      <c r="H38" s="161">
        <v>2.8</v>
      </c>
      <c r="I38" s="161">
        <v>39.700000000000003</v>
      </c>
      <c r="J38" s="161">
        <v>57.5</v>
      </c>
      <c r="K38" s="160">
        <v>1</v>
      </c>
    </row>
    <row r="39" spans="1:11" x14ac:dyDescent="0.3">
      <c r="A39" s="156" t="s">
        <v>887</v>
      </c>
      <c r="B39" s="157" t="s">
        <v>888</v>
      </c>
      <c r="C39" s="157">
        <v>2024</v>
      </c>
      <c r="D39" s="158">
        <v>-92.850777800000003</v>
      </c>
      <c r="E39" s="158">
        <v>40.321972199999998</v>
      </c>
      <c r="F39" s="159">
        <v>5.3</v>
      </c>
      <c r="G39" s="160">
        <v>20.75</v>
      </c>
      <c r="H39" s="161">
        <v>3.6</v>
      </c>
      <c r="I39" s="161">
        <v>55.1</v>
      </c>
      <c r="J39" s="161">
        <v>41.3</v>
      </c>
      <c r="K39" s="160">
        <v>0.6</v>
      </c>
    </row>
    <row r="40" spans="1:11" x14ac:dyDescent="0.3">
      <c r="A40" s="156" t="s">
        <v>887</v>
      </c>
      <c r="B40" s="157" t="s">
        <v>888</v>
      </c>
      <c r="C40" s="157">
        <v>2024</v>
      </c>
      <c r="D40" s="158">
        <v>-92.766666700000002</v>
      </c>
      <c r="E40" s="158">
        <v>39</v>
      </c>
      <c r="F40" s="159">
        <v>6.3</v>
      </c>
      <c r="G40" s="160">
        <v>26.1</v>
      </c>
      <c r="H40" s="161">
        <v>2.9</v>
      </c>
      <c r="I40" s="161">
        <v>65.3</v>
      </c>
      <c r="J40" s="161">
        <v>31.7</v>
      </c>
      <c r="K40" s="160">
        <v>0.6</v>
      </c>
    </row>
    <row r="41" spans="1:11" x14ac:dyDescent="0.3">
      <c r="A41" s="156" t="s">
        <v>887</v>
      </c>
      <c r="B41" s="157" t="s">
        <v>888</v>
      </c>
      <c r="C41" s="157">
        <v>2024</v>
      </c>
      <c r="D41" s="158">
        <v>-92.760358299999993</v>
      </c>
      <c r="E41" s="158">
        <v>38.7583056</v>
      </c>
      <c r="F41" s="159">
        <v>6.2</v>
      </c>
      <c r="G41" s="160">
        <v>21.05</v>
      </c>
      <c r="H41" s="161">
        <v>25.8</v>
      </c>
      <c r="I41" s="161">
        <v>43.5</v>
      </c>
      <c r="J41" s="161">
        <v>30.8</v>
      </c>
      <c r="K41" s="160">
        <v>0.4</v>
      </c>
    </row>
    <row r="42" spans="1:11" x14ac:dyDescent="0.3">
      <c r="A42" s="156" t="s">
        <v>887</v>
      </c>
      <c r="B42" s="157" t="s">
        <v>888</v>
      </c>
      <c r="C42" s="157">
        <v>2024</v>
      </c>
      <c r="D42" s="158">
        <v>-92.755555599999994</v>
      </c>
      <c r="E42" s="158">
        <v>37.612499999999997</v>
      </c>
      <c r="F42" s="159">
        <v>5</v>
      </c>
      <c r="G42" s="160">
        <v>13.5</v>
      </c>
      <c r="H42" s="161">
        <v>7.8</v>
      </c>
      <c r="I42" s="161">
        <v>45</v>
      </c>
      <c r="J42" s="161">
        <v>47.2</v>
      </c>
      <c r="K42" s="160">
        <v>0.2</v>
      </c>
    </row>
    <row r="43" spans="1:11" x14ac:dyDescent="0.3">
      <c r="A43" s="156" t="s">
        <v>887</v>
      </c>
      <c r="B43" s="157" t="s">
        <v>888</v>
      </c>
      <c r="C43" s="157">
        <v>2024</v>
      </c>
      <c r="D43" s="158">
        <v>-92.623944399999999</v>
      </c>
      <c r="E43" s="158">
        <v>38.849111100000002</v>
      </c>
      <c r="F43" s="159">
        <v>5.6</v>
      </c>
      <c r="G43" s="160">
        <v>11.3</v>
      </c>
      <c r="H43" s="161">
        <v>5.5</v>
      </c>
      <c r="I43" s="161">
        <v>73.3</v>
      </c>
      <c r="J43" s="161">
        <v>21.3</v>
      </c>
      <c r="K43" s="160">
        <v>0.6</v>
      </c>
    </row>
    <row r="44" spans="1:11" x14ac:dyDescent="0.3">
      <c r="A44" s="156" t="s">
        <v>887</v>
      </c>
      <c r="B44" s="157" t="s">
        <v>888</v>
      </c>
      <c r="C44" s="157">
        <v>2024</v>
      </c>
      <c r="D44" s="158">
        <v>-92.622427799999997</v>
      </c>
      <c r="E44" s="158">
        <v>40.060722200000001</v>
      </c>
      <c r="F44" s="159">
        <v>5.7</v>
      </c>
      <c r="G44" s="160">
        <v>20</v>
      </c>
      <c r="H44" s="161">
        <v>8.1999999999999993</v>
      </c>
      <c r="I44" s="161">
        <v>51.7</v>
      </c>
      <c r="J44" s="161">
        <v>40.1</v>
      </c>
      <c r="K44" s="160">
        <v>0.1</v>
      </c>
    </row>
    <row r="45" spans="1:11" x14ac:dyDescent="0.3">
      <c r="A45" s="156" t="s">
        <v>887</v>
      </c>
      <c r="B45" s="157" t="s">
        <v>888</v>
      </c>
      <c r="C45" s="157">
        <v>2024</v>
      </c>
      <c r="D45" s="158">
        <v>-92.587205600000004</v>
      </c>
      <c r="E45" s="158">
        <v>36.93535</v>
      </c>
      <c r="F45" s="159">
        <v>6.3</v>
      </c>
      <c r="G45" s="160">
        <v>4.2</v>
      </c>
      <c r="H45" s="161">
        <v>83.7</v>
      </c>
      <c r="I45" s="161">
        <v>8.1999999999999993</v>
      </c>
      <c r="J45" s="161">
        <v>8.1</v>
      </c>
      <c r="K45" s="160">
        <v>0.5</v>
      </c>
    </row>
    <row r="46" spans="1:11" x14ac:dyDescent="0.3">
      <c r="A46" s="156" t="s">
        <v>887</v>
      </c>
      <c r="B46" s="157" t="s">
        <v>888</v>
      </c>
      <c r="C46" s="157">
        <v>2024</v>
      </c>
      <c r="D46" s="158">
        <v>-92.576111100000006</v>
      </c>
      <c r="E46" s="158">
        <v>37.735555599999998</v>
      </c>
      <c r="F46" s="159">
        <v>5</v>
      </c>
      <c r="G46" s="160">
        <v>15</v>
      </c>
      <c r="H46" s="161">
        <v>6.5</v>
      </c>
      <c r="I46" s="161">
        <v>40.700000000000003</v>
      </c>
      <c r="J46" s="161">
        <v>52.8</v>
      </c>
      <c r="K46" s="160">
        <v>0.3</v>
      </c>
    </row>
    <row r="47" spans="1:11" x14ac:dyDescent="0.3">
      <c r="A47" s="156" t="s">
        <v>887</v>
      </c>
      <c r="B47" s="157" t="s">
        <v>888</v>
      </c>
      <c r="C47" s="157">
        <v>2024</v>
      </c>
      <c r="D47" s="158">
        <v>-92.506001800000007</v>
      </c>
      <c r="E47" s="158">
        <v>37.021183399999998</v>
      </c>
      <c r="F47" s="159">
        <v>5.5</v>
      </c>
      <c r="G47" s="160">
        <v>3</v>
      </c>
      <c r="H47" s="161">
        <v>28.5</v>
      </c>
      <c r="I47" s="161">
        <v>60.9</v>
      </c>
      <c r="J47" s="161">
        <v>10.6</v>
      </c>
      <c r="K47" s="160">
        <v>0.8</v>
      </c>
    </row>
    <row r="48" spans="1:11" x14ac:dyDescent="0.3">
      <c r="A48" s="156" t="s">
        <v>887</v>
      </c>
      <c r="B48" s="157" t="s">
        <v>888</v>
      </c>
      <c r="C48" s="157">
        <v>2024</v>
      </c>
      <c r="D48" s="158">
        <v>-92.421111100000005</v>
      </c>
      <c r="E48" s="158">
        <v>36.662777800000001</v>
      </c>
      <c r="F48" s="159">
        <v>6.3</v>
      </c>
      <c r="G48" s="160">
        <v>17.100000000000001</v>
      </c>
      <c r="H48" s="161">
        <v>1.5</v>
      </c>
      <c r="I48" s="161">
        <v>16.2</v>
      </c>
      <c r="J48" s="161">
        <v>82.3</v>
      </c>
      <c r="K48" s="160">
        <v>0.3</v>
      </c>
    </row>
    <row r="49" spans="1:11" x14ac:dyDescent="0.3">
      <c r="A49" s="156" t="s">
        <v>887</v>
      </c>
      <c r="B49" s="157" t="s">
        <v>888</v>
      </c>
      <c r="C49" s="157">
        <v>2024</v>
      </c>
      <c r="D49" s="158">
        <v>-92.414281299999999</v>
      </c>
      <c r="E49" s="158">
        <v>38.2709014</v>
      </c>
      <c r="F49" s="159">
        <v>4.8</v>
      </c>
      <c r="G49" s="160">
        <v>15.25</v>
      </c>
      <c r="H49" s="161">
        <v>3.8</v>
      </c>
      <c r="I49" s="161">
        <v>62.1</v>
      </c>
      <c r="J49" s="161">
        <v>34</v>
      </c>
      <c r="K49" s="160">
        <v>0.2</v>
      </c>
    </row>
    <row r="50" spans="1:11" x14ac:dyDescent="0.3">
      <c r="A50" s="156" t="s">
        <v>887</v>
      </c>
      <c r="B50" s="157" t="s">
        <v>888</v>
      </c>
      <c r="C50" s="157">
        <v>2024</v>
      </c>
      <c r="D50" s="158">
        <v>-92.413027799999995</v>
      </c>
      <c r="E50" s="158">
        <v>39.242888899999997</v>
      </c>
      <c r="F50" s="159">
        <v>4.7</v>
      </c>
      <c r="G50" s="160">
        <v>19.149999999999999</v>
      </c>
      <c r="H50" s="161">
        <v>6.3</v>
      </c>
      <c r="I50" s="161">
        <v>63.7</v>
      </c>
      <c r="J50" s="161">
        <v>30</v>
      </c>
      <c r="K50" s="160">
        <v>0.3</v>
      </c>
    </row>
    <row r="51" spans="1:11" x14ac:dyDescent="0.3">
      <c r="A51" s="156" t="s">
        <v>887</v>
      </c>
      <c r="B51" s="157" t="s">
        <v>888</v>
      </c>
      <c r="C51" s="157">
        <v>2024</v>
      </c>
      <c r="D51" s="158">
        <v>-92.354672399999998</v>
      </c>
      <c r="E51" s="158">
        <v>38.463314699999998</v>
      </c>
      <c r="F51" s="159">
        <v>5.3</v>
      </c>
      <c r="G51" s="160">
        <v>2.85</v>
      </c>
      <c r="H51" s="161">
        <v>28.4</v>
      </c>
      <c r="I51" s="161">
        <v>62.9</v>
      </c>
      <c r="J51" s="161">
        <v>8.6999999999999993</v>
      </c>
      <c r="K51" s="160">
        <v>0.9</v>
      </c>
    </row>
    <row r="52" spans="1:11" x14ac:dyDescent="0.3">
      <c r="A52" s="156" t="s">
        <v>887</v>
      </c>
      <c r="B52" s="157" t="s">
        <v>888</v>
      </c>
      <c r="C52" s="157">
        <v>2024</v>
      </c>
      <c r="D52" s="158">
        <v>-92.345169067382798</v>
      </c>
      <c r="E52" s="158">
        <v>38.967266082763601</v>
      </c>
      <c r="F52" s="159">
        <v>7.9</v>
      </c>
      <c r="G52" s="160">
        <v>4</v>
      </c>
      <c r="H52" s="161">
        <v>28.8</v>
      </c>
      <c r="I52" s="161">
        <v>50.9</v>
      </c>
      <c r="J52" s="161">
        <v>20.3</v>
      </c>
      <c r="K52" s="160">
        <v>0.6</v>
      </c>
    </row>
    <row r="53" spans="1:11" x14ac:dyDescent="0.3">
      <c r="A53" s="156" t="s">
        <v>887</v>
      </c>
      <c r="B53" s="157" t="s">
        <v>888</v>
      </c>
      <c r="C53" s="157">
        <v>2024</v>
      </c>
      <c r="D53" s="158">
        <v>-92.344999999999999</v>
      </c>
      <c r="E53" s="158">
        <v>38.967222200000002</v>
      </c>
      <c r="F53" s="159">
        <v>4.5999999999999996</v>
      </c>
      <c r="G53" s="160">
        <v>21</v>
      </c>
      <c r="H53" s="161">
        <v>6.6</v>
      </c>
      <c r="I53" s="161">
        <v>67</v>
      </c>
      <c r="J53" s="161">
        <v>33.6</v>
      </c>
      <c r="K53" s="160">
        <v>0.3</v>
      </c>
    </row>
    <row r="54" spans="1:11" x14ac:dyDescent="0.3">
      <c r="A54" s="156" t="s">
        <v>887</v>
      </c>
      <c r="B54" s="157" t="s">
        <v>888</v>
      </c>
      <c r="C54" s="157">
        <v>2024</v>
      </c>
      <c r="D54" s="158">
        <v>-92.332984999999994</v>
      </c>
      <c r="E54" s="158">
        <v>38.453460200000002</v>
      </c>
      <c r="F54" s="159">
        <v>5.8</v>
      </c>
      <c r="G54" s="160">
        <v>13.1</v>
      </c>
      <c r="H54" s="161">
        <v>4.9000000000000004</v>
      </c>
      <c r="I54" s="161">
        <v>76.7</v>
      </c>
      <c r="J54" s="161">
        <v>18.3</v>
      </c>
      <c r="K54" s="160">
        <v>2.2000000000000002</v>
      </c>
    </row>
    <row r="55" spans="1:11" x14ac:dyDescent="0.3">
      <c r="A55" s="156" t="s">
        <v>887</v>
      </c>
      <c r="B55" s="157" t="s">
        <v>888</v>
      </c>
      <c r="C55" s="157">
        <v>2024</v>
      </c>
      <c r="D55" s="158">
        <v>-92.268841699999996</v>
      </c>
      <c r="E55" s="158">
        <v>36.796472199999997</v>
      </c>
      <c r="F55" s="159">
        <v>5</v>
      </c>
      <c r="G55" s="160">
        <v>10</v>
      </c>
      <c r="H55" s="161">
        <v>8.6999999999999993</v>
      </c>
      <c r="I55" s="161">
        <v>62.4</v>
      </c>
      <c r="J55" s="161">
        <v>28.9</v>
      </c>
      <c r="K55" s="160">
        <v>0.3</v>
      </c>
    </row>
    <row r="56" spans="1:11" x14ac:dyDescent="0.3">
      <c r="A56" s="156" t="s">
        <v>887</v>
      </c>
      <c r="B56" s="157" t="s">
        <v>888</v>
      </c>
      <c r="C56" s="157">
        <v>2024</v>
      </c>
      <c r="D56" s="158">
        <v>-92.260704000000004</v>
      </c>
      <c r="E56" s="158">
        <v>38.382551900000003</v>
      </c>
      <c r="F56" s="159">
        <v>5.3</v>
      </c>
      <c r="G56" s="160">
        <v>3</v>
      </c>
      <c r="H56" s="161">
        <v>30.3</v>
      </c>
      <c r="I56" s="161">
        <v>59.9</v>
      </c>
      <c r="J56" s="161">
        <v>9.8000000000000007</v>
      </c>
      <c r="K56" s="160">
        <v>0.3</v>
      </c>
    </row>
    <row r="57" spans="1:11" x14ac:dyDescent="0.3">
      <c r="A57" s="156" t="s">
        <v>887</v>
      </c>
      <c r="B57" s="157" t="s">
        <v>888</v>
      </c>
      <c r="C57" s="157">
        <v>2024</v>
      </c>
      <c r="D57" s="158">
        <v>-92.230777799999998</v>
      </c>
      <c r="E57" s="158">
        <v>37.823833299999997</v>
      </c>
      <c r="F57" s="159">
        <v>4.5999999999999996</v>
      </c>
      <c r="G57" s="160">
        <v>4</v>
      </c>
      <c r="H57" s="161">
        <v>11.2</v>
      </c>
      <c r="I57" s="161">
        <v>78.2</v>
      </c>
      <c r="J57" s="161">
        <v>10.6</v>
      </c>
      <c r="K57" s="160">
        <v>0.8</v>
      </c>
    </row>
    <row r="58" spans="1:11" x14ac:dyDescent="0.3">
      <c r="A58" s="156" t="s">
        <v>887</v>
      </c>
      <c r="B58" s="157" t="s">
        <v>888</v>
      </c>
      <c r="C58" s="157">
        <v>2024</v>
      </c>
      <c r="D58" s="158">
        <v>-92.216667200000003</v>
      </c>
      <c r="E58" s="158">
        <v>38.900001500000002</v>
      </c>
      <c r="F58" s="159">
        <v>5</v>
      </c>
      <c r="G58" s="160">
        <v>6.75</v>
      </c>
      <c r="H58" s="161">
        <v>6.2</v>
      </c>
      <c r="I58" s="161">
        <v>78.7</v>
      </c>
      <c r="J58" s="161">
        <v>15.1</v>
      </c>
      <c r="K58" s="160">
        <v>0.38</v>
      </c>
    </row>
    <row r="59" spans="1:11" x14ac:dyDescent="0.3">
      <c r="A59" s="156" t="s">
        <v>887</v>
      </c>
      <c r="B59" s="157" t="s">
        <v>888</v>
      </c>
      <c r="C59" s="157">
        <v>2024</v>
      </c>
      <c r="D59" s="158">
        <v>-92.213611099999994</v>
      </c>
      <c r="E59" s="158">
        <v>39.540277799999998</v>
      </c>
      <c r="F59" s="159">
        <v>5.3</v>
      </c>
      <c r="G59" s="160">
        <v>5.3</v>
      </c>
      <c r="H59" s="161">
        <v>55.8</v>
      </c>
      <c r="I59" s="161">
        <v>34</v>
      </c>
      <c r="J59" s="161">
        <v>10.199999999999999</v>
      </c>
      <c r="K59" s="160">
        <v>0.2</v>
      </c>
    </row>
    <row r="60" spans="1:11" x14ac:dyDescent="0.3">
      <c r="A60" s="156" t="s">
        <v>887</v>
      </c>
      <c r="B60" s="157" t="s">
        <v>888</v>
      </c>
      <c r="C60" s="157">
        <v>2024</v>
      </c>
      <c r="D60" s="158">
        <v>-92.174944400000001</v>
      </c>
      <c r="E60" s="158">
        <v>36.7871667</v>
      </c>
      <c r="F60" s="159">
        <v>4.9000000000000004</v>
      </c>
      <c r="G60" s="160">
        <v>9</v>
      </c>
      <c r="H60" s="161">
        <v>6.5</v>
      </c>
      <c r="I60" s="161">
        <v>39.9</v>
      </c>
      <c r="J60" s="161">
        <v>53.6</v>
      </c>
      <c r="K60" s="160">
        <v>0.1</v>
      </c>
    </row>
    <row r="61" spans="1:11" x14ac:dyDescent="0.3">
      <c r="A61" s="156" t="s">
        <v>887</v>
      </c>
      <c r="B61" s="157" t="s">
        <v>888</v>
      </c>
      <c r="C61" s="157">
        <v>2024</v>
      </c>
      <c r="D61" s="158">
        <v>-92.165555600000005</v>
      </c>
      <c r="E61" s="158">
        <v>39.045277800000001</v>
      </c>
      <c r="F61" s="159">
        <v>5</v>
      </c>
      <c r="G61" s="160">
        <v>26.75</v>
      </c>
      <c r="H61" s="161">
        <v>2</v>
      </c>
      <c r="I61" s="161">
        <v>41.8</v>
      </c>
      <c r="J61" s="161">
        <v>56.2</v>
      </c>
      <c r="K61" s="160">
        <v>0.8</v>
      </c>
    </row>
    <row r="62" spans="1:11" x14ac:dyDescent="0.3">
      <c r="A62" s="156" t="s">
        <v>887</v>
      </c>
      <c r="B62" s="157" t="s">
        <v>888</v>
      </c>
      <c r="C62" s="157">
        <v>2024</v>
      </c>
      <c r="D62" s="158">
        <v>-92.157657499999999</v>
      </c>
      <c r="E62" s="158">
        <v>37.015350599999998</v>
      </c>
      <c r="F62" s="159">
        <v>5.9</v>
      </c>
      <c r="G62" s="160">
        <v>10</v>
      </c>
      <c r="H62" s="161">
        <v>27.2</v>
      </c>
      <c r="I62" s="161">
        <v>61.2</v>
      </c>
      <c r="J62" s="161">
        <v>11.6</v>
      </c>
      <c r="K62" s="160">
        <v>4.5999999999999996</v>
      </c>
    </row>
    <row r="63" spans="1:11" x14ac:dyDescent="0.3">
      <c r="A63" s="156" t="s">
        <v>887</v>
      </c>
      <c r="B63" s="157" t="s">
        <v>888</v>
      </c>
      <c r="C63" s="157">
        <v>2024</v>
      </c>
      <c r="D63" s="158">
        <v>-92.145733300000003</v>
      </c>
      <c r="E63" s="158">
        <v>36.990052800000001</v>
      </c>
      <c r="F63" s="159">
        <v>4.7</v>
      </c>
      <c r="G63" s="160">
        <v>5</v>
      </c>
      <c r="H63" s="161">
        <v>14.2</v>
      </c>
      <c r="I63" s="161">
        <v>74.2</v>
      </c>
      <c r="J63" s="161">
        <v>11.6</v>
      </c>
      <c r="K63" s="160">
        <v>3.3</v>
      </c>
    </row>
    <row r="64" spans="1:11" x14ac:dyDescent="0.3">
      <c r="A64" s="156" t="s">
        <v>887</v>
      </c>
      <c r="B64" s="157" t="s">
        <v>888</v>
      </c>
      <c r="C64" s="157">
        <v>2024</v>
      </c>
      <c r="D64" s="158">
        <v>-92.140584200000006</v>
      </c>
      <c r="E64" s="158">
        <v>36.9482809</v>
      </c>
      <c r="F64" s="159">
        <v>5.0999999999999996</v>
      </c>
      <c r="G64" s="160">
        <v>2</v>
      </c>
      <c r="H64" s="161">
        <v>41.9</v>
      </c>
      <c r="I64" s="161">
        <v>50.5</v>
      </c>
      <c r="J64" s="161">
        <v>7.6</v>
      </c>
      <c r="K64" s="160">
        <v>1.2</v>
      </c>
    </row>
    <row r="65" spans="1:11" x14ac:dyDescent="0.3">
      <c r="A65" s="156" t="s">
        <v>887</v>
      </c>
      <c r="B65" s="157" t="s">
        <v>888</v>
      </c>
      <c r="C65" s="157">
        <v>2024</v>
      </c>
      <c r="D65" s="158">
        <v>-92</v>
      </c>
      <c r="E65" s="158">
        <v>36</v>
      </c>
      <c r="F65" s="159">
        <v>5.6</v>
      </c>
      <c r="G65" s="160">
        <v>2.8</v>
      </c>
      <c r="H65" s="161">
        <v>74.2</v>
      </c>
      <c r="I65" s="161">
        <v>22.2</v>
      </c>
      <c r="J65" s="161">
        <v>3.6</v>
      </c>
      <c r="K65" s="160">
        <v>1.2</v>
      </c>
    </row>
    <row r="66" spans="1:11" x14ac:dyDescent="0.3">
      <c r="A66" s="156" t="s">
        <v>887</v>
      </c>
      <c r="B66" s="157" t="s">
        <v>888</v>
      </c>
      <c r="C66" s="157">
        <v>2024</v>
      </c>
      <c r="D66" s="158">
        <v>-91.988080600000004</v>
      </c>
      <c r="E66" s="158">
        <v>36.991455600000002</v>
      </c>
      <c r="F66" s="159">
        <v>4.8</v>
      </c>
      <c r="G66" s="160">
        <v>11</v>
      </c>
      <c r="H66" s="161">
        <v>18.399999999999999</v>
      </c>
      <c r="I66" s="161">
        <v>42.6</v>
      </c>
      <c r="J66" s="161">
        <v>39</v>
      </c>
      <c r="K66" s="160">
        <v>0.1</v>
      </c>
    </row>
    <row r="67" spans="1:11" x14ac:dyDescent="0.3">
      <c r="A67" s="156" t="s">
        <v>887</v>
      </c>
      <c r="B67" s="157" t="s">
        <v>888</v>
      </c>
      <c r="C67" s="157">
        <v>2024</v>
      </c>
      <c r="D67" s="158">
        <v>-91.868611099999995</v>
      </c>
      <c r="E67" s="158">
        <v>39.179444400000001</v>
      </c>
      <c r="F67" s="159">
        <v>4.9000000000000004</v>
      </c>
      <c r="G67" s="160">
        <v>2.0499999999999998</v>
      </c>
      <c r="H67" s="161">
        <v>68</v>
      </c>
      <c r="I67" s="161">
        <v>28.7</v>
      </c>
      <c r="J67" s="161">
        <v>3.3</v>
      </c>
      <c r="K67" s="160">
        <v>0.1</v>
      </c>
    </row>
    <row r="68" spans="1:11" x14ac:dyDescent="0.3">
      <c r="A68" s="156" t="s">
        <v>887</v>
      </c>
      <c r="B68" s="157" t="s">
        <v>888</v>
      </c>
      <c r="C68" s="157">
        <v>2024</v>
      </c>
      <c r="D68" s="158">
        <v>-91.7733889</v>
      </c>
      <c r="E68" s="158">
        <v>38.718888900000003</v>
      </c>
      <c r="F68" s="159">
        <v>4.9000000000000004</v>
      </c>
      <c r="G68" s="160">
        <v>22.95</v>
      </c>
      <c r="H68" s="161">
        <v>5</v>
      </c>
      <c r="I68" s="161">
        <v>52.9</v>
      </c>
      <c r="J68" s="161">
        <v>42.1</v>
      </c>
      <c r="K68" s="160">
        <v>0.4</v>
      </c>
    </row>
    <row r="69" spans="1:11" x14ac:dyDescent="0.3">
      <c r="A69" s="156" t="s">
        <v>887</v>
      </c>
      <c r="B69" s="157" t="s">
        <v>888</v>
      </c>
      <c r="C69" s="157">
        <v>2024</v>
      </c>
      <c r="D69" s="158">
        <v>-91.581055599999999</v>
      </c>
      <c r="E69" s="158">
        <v>38.8828611</v>
      </c>
      <c r="F69" s="159">
        <v>7.4</v>
      </c>
      <c r="G69" s="160">
        <v>10</v>
      </c>
      <c r="H69" s="161">
        <v>12.4</v>
      </c>
      <c r="I69" s="161">
        <v>71.8</v>
      </c>
      <c r="J69" s="161">
        <v>15.8</v>
      </c>
      <c r="K69" s="160">
        <v>0.3</v>
      </c>
    </row>
    <row r="70" spans="1:11" x14ac:dyDescent="0.3">
      <c r="A70" s="156" t="s">
        <v>887</v>
      </c>
      <c r="B70" s="157" t="s">
        <v>888</v>
      </c>
      <c r="C70" s="157">
        <v>2024</v>
      </c>
      <c r="D70" s="158">
        <v>-91.535388900000001</v>
      </c>
      <c r="E70" s="158">
        <v>38.866</v>
      </c>
      <c r="F70" s="159">
        <v>6.9</v>
      </c>
      <c r="G70" s="160">
        <v>13.1</v>
      </c>
      <c r="H70" s="161">
        <v>9.6</v>
      </c>
      <c r="I70" s="161">
        <v>77.7</v>
      </c>
      <c r="J70" s="161">
        <v>12.7</v>
      </c>
      <c r="K70" s="160">
        <v>2.1</v>
      </c>
    </row>
    <row r="71" spans="1:11" x14ac:dyDescent="0.3">
      <c r="A71" s="156" t="s">
        <v>887</v>
      </c>
      <c r="B71" s="157" t="s">
        <v>888</v>
      </c>
      <c r="C71" s="157">
        <v>2024</v>
      </c>
      <c r="D71" s="158">
        <v>-91.45975</v>
      </c>
      <c r="E71" s="158">
        <v>38.674777800000001</v>
      </c>
      <c r="F71" s="159">
        <v>5.2</v>
      </c>
      <c r="G71" s="160">
        <v>16</v>
      </c>
      <c r="H71" s="161">
        <v>2.1</v>
      </c>
      <c r="I71" s="161">
        <v>62.8</v>
      </c>
      <c r="J71" s="161">
        <v>35.1</v>
      </c>
      <c r="K71" s="160">
        <v>0.3</v>
      </c>
    </row>
    <row r="72" spans="1:11" x14ac:dyDescent="0.3">
      <c r="A72" s="156" t="s">
        <v>887</v>
      </c>
      <c r="B72" s="157" t="s">
        <v>888</v>
      </c>
      <c r="C72" s="157">
        <v>2024</v>
      </c>
      <c r="D72" s="158">
        <v>-91.420736099999999</v>
      </c>
      <c r="E72" s="158">
        <v>37.312049999999999</v>
      </c>
      <c r="F72" s="159">
        <v>4.7</v>
      </c>
      <c r="G72" s="160">
        <v>15.25</v>
      </c>
      <c r="H72" s="161">
        <v>10.5</v>
      </c>
      <c r="I72" s="161">
        <v>23.2</v>
      </c>
      <c r="J72" s="161">
        <v>66.3</v>
      </c>
      <c r="K72" s="160">
        <v>0.1</v>
      </c>
    </row>
    <row r="73" spans="1:11" x14ac:dyDescent="0.3">
      <c r="A73" s="156" t="s">
        <v>887</v>
      </c>
      <c r="B73" s="157" t="s">
        <v>888</v>
      </c>
      <c r="C73" s="157">
        <v>2024</v>
      </c>
      <c r="D73" s="158">
        <v>-91.406388899999996</v>
      </c>
      <c r="E73" s="158">
        <v>38.8522222</v>
      </c>
      <c r="F73" s="159">
        <v>4.4000000000000004</v>
      </c>
      <c r="G73" s="160">
        <v>15</v>
      </c>
      <c r="H73" s="161">
        <v>13.6</v>
      </c>
      <c r="I73" s="161">
        <v>60.9</v>
      </c>
      <c r="J73" s="161">
        <v>25.5</v>
      </c>
      <c r="K73" s="160">
        <v>0.1</v>
      </c>
    </row>
    <row r="74" spans="1:11" x14ac:dyDescent="0.3">
      <c r="A74" s="156" t="s">
        <v>887</v>
      </c>
      <c r="B74" s="157" t="s">
        <v>888</v>
      </c>
      <c r="C74" s="157">
        <v>2024</v>
      </c>
      <c r="D74" s="158">
        <v>-91.386491699999993</v>
      </c>
      <c r="E74" s="158">
        <v>37.299322199999999</v>
      </c>
      <c r="F74" s="159">
        <v>5.5</v>
      </c>
      <c r="G74" s="160">
        <v>4</v>
      </c>
      <c r="H74" s="161">
        <v>17.2</v>
      </c>
      <c r="I74" s="161">
        <v>55.8</v>
      </c>
      <c r="J74" s="161">
        <v>27</v>
      </c>
      <c r="K74" s="160">
        <v>0.4</v>
      </c>
    </row>
    <row r="75" spans="1:11" x14ac:dyDescent="0.3">
      <c r="A75" s="156" t="s">
        <v>887</v>
      </c>
      <c r="B75" s="157" t="s">
        <v>888</v>
      </c>
      <c r="C75" s="157">
        <v>2024</v>
      </c>
      <c r="D75" s="158">
        <v>-91.3546944</v>
      </c>
      <c r="E75" s="158">
        <v>39.151027800000001</v>
      </c>
      <c r="F75" s="159">
        <v>5.2</v>
      </c>
      <c r="G75" s="160">
        <v>29.15</v>
      </c>
      <c r="H75" s="161">
        <v>1.8</v>
      </c>
      <c r="I75" s="161">
        <v>39.1</v>
      </c>
      <c r="J75" s="161">
        <v>59</v>
      </c>
      <c r="K75" s="160">
        <v>1.1000000000000001</v>
      </c>
    </row>
    <row r="76" spans="1:11" x14ac:dyDescent="0.3">
      <c r="A76" s="156" t="s">
        <v>887</v>
      </c>
      <c r="B76" s="157" t="s">
        <v>888</v>
      </c>
      <c r="C76" s="157">
        <v>2024</v>
      </c>
      <c r="D76" s="158">
        <v>-91.345944399999993</v>
      </c>
      <c r="E76" s="158">
        <v>37.378525000000003</v>
      </c>
      <c r="F76" s="159">
        <v>5</v>
      </c>
      <c r="G76" s="160">
        <v>17.5</v>
      </c>
      <c r="H76" s="161">
        <v>14.6</v>
      </c>
      <c r="I76" s="161">
        <v>17.600000000000001</v>
      </c>
      <c r="J76" s="161">
        <v>67.7</v>
      </c>
      <c r="K76" s="160">
        <v>0.6</v>
      </c>
    </row>
    <row r="77" spans="1:11" x14ac:dyDescent="0.3">
      <c r="A77" s="156" t="s">
        <v>887</v>
      </c>
      <c r="B77" s="157" t="s">
        <v>888</v>
      </c>
      <c r="C77" s="157">
        <v>2024</v>
      </c>
      <c r="D77" s="158">
        <v>-91.255569399999999</v>
      </c>
      <c r="E77" s="158">
        <v>37.104277799999998</v>
      </c>
      <c r="F77" s="159">
        <v>4.9000000000000004</v>
      </c>
      <c r="G77" s="160">
        <v>20</v>
      </c>
      <c r="H77" s="161">
        <v>6.9</v>
      </c>
      <c r="I77" s="161">
        <v>26.1</v>
      </c>
      <c r="J77" s="161">
        <v>67</v>
      </c>
      <c r="K77" s="160">
        <v>0.1</v>
      </c>
    </row>
    <row r="78" spans="1:11" x14ac:dyDescent="0.3">
      <c r="A78" s="156" t="s">
        <v>887</v>
      </c>
      <c r="B78" s="157" t="s">
        <v>888</v>
      </c>
      <c r="C78" s="157">
        <v>2024</v>
      </c>
      <c r="D78" s="158">
        <v>-91.245530599999995</v>
      </c>
      <c r="E78" s="158">
        <v>37.574838900000003</v>
      </c>
      <c r="F78" s="159">
        <v>5</v>
      </c>
      <c r="G78" s="160">
        <v>4.3499999999999996</v>
      </c>
      <c r="H78" s="161">
        <v>47.4</v>
      </c>
      <c r="I78" s="161">
        <v>31.3</v>
      </c>
      <c r="J78" s="161">
        <v>21.2</v>
      </c>
      <c r="K78" s="160">
        <v>0.1</v>
      </c>
    </row>
    <row r="79" spans="1:11" x14ac:dyDescent="0.3">
      <c r="A79" s="156" t="s">
        <v>887</v>
      </c>
      <c r="B79" s="157" t="s">
        <v>888</v>
      </c>
      <c r="C79" s="157">
        <v>2024</v>
      </c>
      <c r="D79" s="158">
        <v>-91.194555300000005</v>
      </c>
      <c r="E79" s="158">
        <v>37.916162999999997</v>
      </c>
      <c r="F79" s="159">
        <v>6.3</v>
      </c>
      <c r="G79" s="160">
        <v>12</v>
      </c>
      <c r="H79" s="161">
        <v>18</v>
      </c>
      <c r="I79" s="161">
        <v>73.599999999999994</v>
      </c>
      <c r="J79" s="161">
        <v>8.4</v>
      </c>
      <c r="K79" s="160">
        <v>2.9</v>
      </c>
    </row>
    <row r="80" spans="1:11" x14ac:dyDescent="0.3">
      <c r="A80" s="156" t="s">
        <v>887</v>
      </c>
      <c r="B80" s="157" t="s">
        <v>888</v>
      </c>
      <c r="C80" s="157">
        <v>2024</v>
      </c>
      <c r="D80" s="158">
        <v>-91.152703000000002</v>
      </c>
      <c r="E80" s="158">
        <v>37.801962799999998</v>
      </c>
      <c r="F80" s="159">
        <v>4.8</v>
      </c>
      <c r="G80" s="160">
        <v>18</v>
      </c>
      <c r="H80" s="161">
        <v>16.600000000000001</v>
      </c>
      <c r="I80" s="161">
        <v>36.700000000000003</v>
      </c>
      <c r="J80" s="161">
        <v>46.7</v>
      </c>
      <c r="K80" s="160">
        <v>0.2</v>
      </c>
    </row>
    <row r="81" spans="1:11" x14ac:dyDescent="0.3">
      <c r="A81" s="156" t="s">
        <v>887</v>
      </c>
      <c r="B81" s="157" t="s">
        <v>888</v>
      </c>
      <c r="C81" s="157">
        <v>2024</v>
      </c>
      <c r="D81" s="158">
        <v>-91.095924999999994</v>
      </c>
      <c r="E81" s="158">
        <v>37.1460972</v>
      </c>
      <c r="F81" s="159">
        <v>5.7</v>
      </c>
      <c r="G81" s="160">
        <v>9</v>
      </c>
      <c r="H81" s="161">
        <v>17.8</v>
      </c>
      <c r="I81" s="161">
        <v>40.1</v>
      </c>
      <c r="J81" s="161">
        <v>65.3</v>
      </c>
      <c r="K81" s="160">
        <v>0.2</v>
      </c>
    </row>
    <row r="82" spans="1:11" x14ac:dyDescent="0.3">
      <c r="A82" s="156" t="s">
        <v>887</v>
      </c>
      <c r="B82" s="157" t="s">
        <v>888</v>
      </c>
      <c r="C82" s="157">
        <v>2024</v>
      </c>
      <c r="D82" s="158">
        <v>-91.095686099999995</v>
      </c>
      <c r="E82" s="158">
        <v>37.146147200000001</v>
      </c>
      <c r="F82" s="159">
        <v>5.2</v>
      </c>
      <c r="G82" s="160">
        <v>2</v>
      </c>
      <c r="H82" s="161">
        <v>26</v>
      </c>
      <c r="I82" s="161">
        <v>60.2</v>
      </c>
      <c r="J82" s="161">
        <v>13.8</v>
      </c>
      <c r="K82" s="160">
        <v>0.3</v>
      </c>
    </row>
    <row r="83" spans="1:11" x14ac:dyDescent="0.3">
      <c r="A83" s="156" t="s">
        <v>887</v>
      </c>
      <c r="B83" s="157" t="s">
        <v>888</v>
      </c>
      <c r="C83" s="157">
        <v>2024</v>
      </c>
      <c r="D83" s="158">
        <v>-91.090461099999999</v>
      </c>
      <c r="E83" s="158">
        <v>37.094636100000002</v>
      </c>
      <c r="F83" s="159">
        <v>4.7</v>
      </c>
      <c r="G83" s="160">
        <v>16.399999999999999</v>
      </c>
      <c r="H83" s="161">
        <v>0.6</v>
      </c>
      <c r="I83" s="161">
        <v>7.6</v>
      </c>
      <c r="J83" s="161">
        <v>91.8</v>
      </c>
      <c r="K83" s="160">
        <v>0.1</v>
      </c>
    </row>
    <row r="84" spans="1:11" x14ac:dyDescent="0.3">
      <c r="A84" s="156" t="s">
        <v>887</v>
      </c>
      <c r="B84" s="157" t="s">
        <v>888</v>
      </c>
      <c r="C84" s="157">
        <v>2024</v>
      </c>
      <c r="D84" s="158">
        <v>-91.052402799999996</v>
      </c>
      <c r="E84" s="158">
        <v>37.316269400000003</v>
      </c>
      <c r="F84" s="159">
        <v>4.9000000000000004</v>
      </c>
      <c r="G84" s="160">
        <v>4</v>
      </c>
      <c r="H84" s="161">
        <v>24.7</v>
      </c>
      <c r="I84" s="161">
        <v>54.3</v>
      </c>
      <c r="J84" s="161">
        <v>21</v>
      </c>
      <c r="K84" s="160">
        <v>0.1</v>
      </c>
    </row>
    <row r="85" spans="1:11" x14ac:dyDescent="0.3">
      <c r="A85" s="156" t="s">
        <v>887</v>
      </c>
      <c r="B85" s="157" t="s">
        <v>888</v>
      </c>
      <c r="C85" s="157">
        <v>2024</v>
      </c>
      <c r="D85" s="158">
        <v>-91.048505599999999</v>
      </c>
      <c r="E85" s="158">
        <v>37.3181528</v>
      </c>
      <c r="F85" s="159">
        <v>4.5999999999999996</v>
      </c>
      <c r="G85" s="160">
        <v>14</v>
      </c>
      <c r="H85" s="161">
        <v>9.3000000000000007</v>
      </c>
      <c r="I85" s="161">
        <v>55.1</v>
      </c>
      <c r="J85" s="161">
        <v>35.6</v>
      </c>
      <c r="K85" s="160">
        <v>0.6</v>
      </c>
    </row>
    <row r="86" spans="1:11" x14ac:dyDescent="0.3">
      <c r="A86" s="156" t="s">
        <v>887</v>
      </c>
      <c r="B86" s="157" t="s">
        <v>888</v>
      </c>
      <c r="C86" s="157">
        <v>2024</v>
      </c>
      <c r="D86" s="158">
        <v>-91.039599999999993</v>
      </c>
      <c r="E86" s="158">
        <v>37.3213194</v>
      </c>
      <c r="F86" s="159">
        <v>4.7</v>
      </c>
      <c r="G86" s="160">
        <v>5</v>
      </c>
      <c r="H86" s="161">
        <v>19.399999999999999</v>
      </c>
      <c r="I86" s="161">
        <v>66.900000000000006</v>
      </c>
      <c r="J86" s="161">
        <v>13.7</v>
      </c>
      <c r="K86" s="160">
        <v>0.1</v>
      </c>
    </row>
    <row r="87" spans="1:11" x14ac:dyDescent="0.3">
      <c r="A87" s="156" t="s">
        <v>887</v>
      </c>
      <c r="B87" s="157" t="s">
        <v>888</v>
      </c>
      <c r="C87" s="157">
        <v>2024</v>
      </c>
      <c r="D87" s="158">
        <v>-90.960800300000002</v>
      </c>
      <c r="E87" s="158">
        <v>38.104919299999999</v>
      </c>
      <c r="F87" s="159">
        <v>5.8</v>
      </c>
      <c r="G87" s="160">
        <v>11.05</v>
      </c>
      <c r="H87" s="161">
        <v>9.5</v>
      </c>
      <c r="I87" s="161">
        <v>68.2</v>
      </c>
      <c r="J87" s="161">
        <v>22.3</v>
      </c>
      <c r="K87" s="160">
        <v>2.2999999999999998</v>
      </c>
    </row>
    <row r="88" spans="1:11" x14ac:dyDescent="0.3">
      <c r="A88" s="156" t="s">
        <v>887</v>
      </c>
      <c r="B88" s="157" t="s">
        <v>888</v>
      </c>
      <c r="C88" s="157">
        <v>2024</v>
      </c>
      <c r="D88" s="158">
        <v>-90.913416699999999</v>
      </c>
      <c r="E88" s="158">
        <v>38.626477800000004</v>
      </c>
      <c r="F88" s="159">
        <v>4</v>
      </c>
      <c r="G88" s="160">
        <v>22</v>
      </c>
      <c r="H88" s="161">
        <v>2.6</v>
      </c>
      <c r="I88" s="161">
        <v>60.8</v>
      </c>
      <c r="J88" s="161">
        <v>36.6</v>
      </c>
      <c r="K88" s="160">
        <v>0.3</v>
      </c>
    </row>
    <row r="89" spans="1:11" x14ac:dyDescent="0.3">
      <c r="A89" s="156" t="s">
        <v>887</v>
      </c>
      <c r="B89" s="157" t="s">
        <v>888</v>
      </c>
      <c r="C89" s="157">
        <v>2024</v>
      </c>
      <c r="D89" s="158">
        <v>-90.652900700000004</v>
      </c>
      <c r="E89" s="158">
        <v>37.085132600000001</v>
      </c>
      <c r="F89" s="159">
        <v>5.3</v>
      </c>
      <c r="G89" s="160">
        <v>3</v>
      </c>
      <c r="H89" s="161">
        <v>56.3</v>
      </c>
      <c r="I89" s="161">
        <v>30.7</v>
      </c>
      <c r="J89" s="161">
        <v>13</v>
      </c>
      <c r="K89" s="160">
        <v>0.3</v>
      </c>
    </row>
    <row r="90" spans="1:11" x14ac:dyDescent="0.3">
      <c r="A90" s="156" t="s">
        <v>887</v>
      </c>
      <c r="B90" s="157" t="s">
        <v>888</v>
      </c>
      <c r="C90" s="157">
        <v>2024</v>
      </c>
      <c r="D90" s="158">
        <v>-90.583055599999994</v>
      </c>
      <c r="E90" s="158">
        <v>38.978611100000002</v>
      </c>
      <c r="F90" s="159">
        <v>4.5999999999999996</v>
      </c>
      <c r="G90" s="160">
        <v>3.4</v>
      </c>
      <c r="H90" s="161">
        <v>4.3</v>
      </c>
      <c r="I90" s="161">
        <v>84</v>
      </c>
      <c r="J90" s="161">
        <v>11.7</v>
      </c>
      <c r="K90" s="160">
        <v>1.2</v>
      </c>
    </row>
    <row r="91" spans="1:11" x14ac:dyDescent="0.3">
      <c r="A91" s="156" t="s">
        <v>887</v>
      </c>
      <c r="B91" s="157" t="s">
        <v>888</v>
      </c>
      <c r="C91" s="157">
        <v>2024</v>
      </c>
      <c r="D91" s="158">
        <v>-90.486114499999999</v>
      </c>
      <c r="E91" s="158">
        <v>37.247222899999997</v>
      </c>
      <c r="F91" s="159">
        <v>5.0999999999999996</v>
      </c>
      <c r="G91" s="160">
        <v>4</v>
      </c>
      <c r="H91" s="161">
        <v>46.7</v>
      </c>
      <c r="I91" s="161">
        <v>18.5</v>
      </c>
      <c r="J91" s="161">
        <v>34.799999999999997</v>
      </c>
      <c r="K91" s="160">
        <v>0.1</v>
      </c>
    </row>
    <row r="92" spans="1:11" x14ac:dyDescent="0.3">
      <c r="A92" s="156" t="s">
        <v>887</v>
      </c>
      <c r="B92" s="157" t="s">
        <v>888</v>
      </c>
      <c r="C92" s="157">
        <v>2024</v>
      </c>
      <c r="D92" s="158">
        <v>-90.368331900000001</v>
      </c>
      <c r="E92" s="158">
        <v>37.582637800000001</v>
      </c>
      <c r="F92" s="159">
        <v>4.7</v>
      </c>
      <c r="G92" s="160">
        <v>6.15</v>
      </c>
      <c r="H92" s="161">
        <v>59.1</v>
      </c>
      <c r="I92" s="161">
        <v>22.9</v>
      </c>
      <c r="J92" s="161">
        <v>18</v>
      </c>
      <c r="K92" s="160">
        <v>0.1</v>
      </c>
    </row>
    <row r="93" spans="1:11" x14ac:dyDescent="0.3">
      <c r="A93" s="156" t="s">
        <v>887</v>
      </c>
      <c r="B93" s="157" t="s">
        <v>888</v>
      </c>
      <c r="C93" s="157">
        <v>2024</v>
      </c>
      <c r="D93" s="158">
        <v>-90.335220300000003</v>
      </c>
      <c r="E93" s="158">
        <v>37.4273338</v>
      </c>
      <c r="F93" s="159">
        <v>4.8</v>
      </c>
      <c r="G93" s="160">
        <v>14</v>
      </c>
      <c r="H93" s="161">
        <v>6.1</v>
      </c>
      <c r="I93" s="161">
        <v>54.3</v>
      </c>
      <c r="J93" s="161">
        <v>39.6</v>
      </c>
      <c r="K93" s="160">
        <v>0.1</v>
      </c>
    </row>
    <row r="94" spans="1:11" x14ac:dyDescent="0.3">
      <c r="A94" s="156" t="s">
        <v>887</v>
      </c>
      <c r="B94" s="157" t="s">
        <v>888</v>
      </c>
      <c r="C94" s="157">
        <v>2024</v>
      </c>
      <c r="D94" s="158">
        <v>-90.304885900000002</v>
      </c>
      <c r="E94" s="158">
        <v>37.339359299999998</v>
      </c>
      <c r="F94" s="159">
        <v>5.2</v>
      </c>
      <c r="G94" s="160">
        <v>7</v>
      </c>
      <c r="H94" s="161">
        <v>5</v>
      </c>
      <c r="I94" s="161">
        <v>77</v>
      </c>
      <c r="J94" s="161">
        <v>18</v>
      </c>
      <c r="K94" s="160">
        <v>2.2999999999999998</v>
      </c>
    </row>
    <row r="95" spans="1:11" x14ac:dyDescent="0.3">
      <c r="A95" s="156" t="s">
        <v>887</v>
      </c>
      <c r="B95" s="157" t="s">
        <v>888</v>
      </c>
      <c r="C95" s="157">
        <v>2024</v>
      </c>
      <c r="D95" s="158">
        <v>-90.256881699999994</v>
      </c>
      <c r="E95" s="158">
        <v>37.306419400000003</v>
      </c>
      <c r="F95" s="159">
        <v>4.8</v>
      </c>
      <c r="G95" s="160">
        <v>5</v>
      </c>
      <c r="H95" s="161">
        <v>21.1</v>
      </c>
      <c r="I95" s="161">
        <v>51.7</v>
      </c>
      <c r="J95" s="161">
        <v>27.2</v>
      </c>
      <c r="K95" s="160">
        <v>0.1</v>
      </c>
    </row>
    <row r="96" spans="1:11" x14ac:dyDescent="0.3">
      <c r="A96" s="156" t="s">
        <v>887</v>
      </c>
      <c r="B96" s="157" t="s">
        <v>888</v>
      </c>
      <c r="C96" s="157">
        <v>2024</v>
      </c>
      <c r="D96" s="158">
        <v>-90.179222100000004</v>
      </c>
      <c r="E96" s="158">
        <v>37.425861400000002</v>
      </c>
      <c r="F96" s="159">
        <v>5</v>
      </c>
      <c r="G96" s="160">
        <v>14.9</v>
      </c>
      <c r="H96" s="161">
        <v>4.5</v>
      </c>
      <c r="I96" s="161">
        <v>61.8</v>
      </c>
      <c r="J96" s="161">
        <v>33.6</v>
      </c>
      <c r="K96" s="160">
        <v>0.3</v>
      </c>
    </row>
    <row r="97" spans="1:11" x14ac:dyDescent="0.3">
      <c r="A97" s="156" t="s">
        <v>887</v>
      </c>
      <c r="B97" s="157" t="s">
        <v>888</v>
      </c>
      <c r="C97" s="157">
        <v>2024</v>
      </c>
      <c r="D97" s="158">
        <v>-90.127357500000002</v>
      </c>
      <c r="E97" s="158">
        <v>37.420799299999999</v>
      </c>
      <c r="F97" s="159">
        <v>4.5</v>
      </c>
      <c r="G97" s="160">
        <v>12.4</v>
      </c>
      <c r="H97" s="161">
        <v>8.1</v>
      </c>
      <c r="I97" s="161">
        <v>30.7</v>
      </c>
      <c r="J97" s="161">
        <v>61.2</v>
      </c>
      <c r="K97" s="160">
        <v>0.1</v>
      </c>
    </row>
    <row r="98" spans="1:11" x14ac:dyDescent="0.3">
      <c r="A98" s="156" t="s">
        <v>887</v>
      </c>
      <c r="B98" s="157" t="s">
        <v>888</v>
      </c>
      <c r="C98" s="157">
        <v>2024</v>
      </c>
      <c r="D98" s="158">
        <v>-90.050826999999998</v>
      </c>
      <c r="E98" s="158">
        <v>36.817127200000002</v>
      </c>
      <c r="F98" s="159">
        <v>5.2</v>
      </c>
      <c r="G98" s="160">
        <v>12</v>
      </c>
      <c r="H98" s="161">
        <v>1.7</v>
      </c>
      <c r="I98" s="161">
        <v>71.3</v>
      </c>
      <c r="J98" s="161">
        <v>27</v>
      </c>
      <c r="K98" s="160">
        <v>0.2</v>
      </c>
    </row>
    <row r="99" spans="1:11" x14ac:dyDescent="0.3">
      <c r="A99" s="156" t="s">
        <v>887</v>
      </c>
      <c r="B99" s="157" t="s">
        <v>888</v>
      </c>
      <c r="C99" s="157">
        <v>2024</v>
      </c>
      <c r="D99" s="158">
        <v>-90.044380200000006</v>
      </c>
      <c r="E99" s="158">
        <v>36.772365600000001</v>
      </c>
      <c r="F99" s="159">
        <v>5.2</v>
      </c>
      <c r="G99" s="160">
        <v>11</v>
      </c>
      <c r="H99" s="161">
        <v>4.3</v>
      </c>
      <c r="I99" s="161">
        <v>67.900000000000006</v>
      </c>
      <c r="J99" s="161">
        <v>27.8</v>
      </c>
      <c r="K99" s="160">
        <v>0.4</v>
      </c>
    </row>
    <row r="100" spans="1:11" x14ac:dyDescent="0.3">
      <c r="A100" s="156" t="s">
        <v>887</v>
      </c>
      <c r="B100" s="157" t="s">
        <v>888</v>
      </c>
      <c r="C100" s="157">
        <v>2024</v>
      </c>
      <c r="D100" s="158">
        <v>-89.959190399999997</v>
      </c>
      <c r="E100" s="158">
        <v>36.486751599999998</v>
      </c>
      <c r="F100" s="159">
        <v>6.1</v>
      </c>
      <c r="G100" s="160">
        <v>1</v>
      </c>
      <c r="H100" s="161">
        <v>89.1</v>
      </c>
      <c r="I100" s="161">
        <v>7.8</v>
      </c>
      <c r="J100" s="161">
        <v>3.1</v>
      </c>
      <c r="K100" s="160">
        <v>0.1</v>
      </c>
    </row>
    <row r="101" spans="1:11" x14ac:dyDescent="0.3">
      <c r="A101" s="156" t="s">
        <v>887</v>
      </c>
      <c r="B101" s="157" t="s">
        <v>888</v>
      </c>
      <c r="C101" s="157">
        <v>2024</v>
      </c>
      <c r="D101" s="158">
        <v>-89.919426000000001</v>
      </c>
      <c r="E101" s="158">
        <v>37.064273800000002</v>
      </c>
      <c r="F101" s="159">
        <v>6.3</v>
      </c>
      <c r="G101" s="160">
        <v>4</v>
      </c>
      <c r="H101" s="161">
        <v>22.2</v>
      </c>
      <c r="I101" s="161">
        <v>67.5</v>
      </c>
      <c r="J101" s="161">
        <v>10.3</v>
      </c>
      <c r="K101" s="160">
        <v>0.6</v>
      </c>
    </row>
    <row r="102" spans="1:11" x14ac:dyDescent="0.3">
      <c r="A102" s="156" t="s">
        <v>887</v>
      </c>
      <c r="B102" s="157" t="s">
        <v>888</v>
      </c>
      <c r="C102" s="157">
        <v>2024</v>
      </c>
      <c r="D102" s="158">
        <v>-89.910621599999999</v>
      </c>
      <c r="E102" s="158">
        <v>37.566890700000002</v>
      </c>
      <c r="F102" s="159">
        <v>6</v>
      </c>
      <c r="G102" s="160">
        <v>10</v>
      </c>
      <c r="H102" s="161">
        <v>4.7</v>
      </c>
      <c r="I102" s="161">
        <v>74.400000000000006</v>
      </c>
      <c r="J102" s="161">
        <v>20.9</v>
      </c>
      <c r="K102" s="160">
        <v>0.7</v>
      </c>
    </row>
    <row r="103" spans="1:11" x14ac:dyDescent="0.3">
      <c r="A103" s="156" t="s">
        <v>887</v>
      </c>
      <c r="B103" s="157" t="s">
        <v>888</v>
      </c>
      <c r="C103" s="157">
        <v>2024</v>
      </c>
      <c r="D103" s="158">
        <v>-89.881927500000003</v>
      </c>
      <c r="E103" s="158">
        <v>37.355110199999999</v>
      </c>
      <c r="F103" s="159">
        <v>4.4000000000000004</v>
      </c>
      <c r="G103" s="160">
        <v>9</v>
      </c>
      <c r="H103" s="161">
        <v>6.3</v>
      </c>
      <c r="I103" s="161">
        <v>75.2</v>
      </c>
      <c r="J103" s="161">
        <v>18.5</v>
      </c>
      <c r="K103" s="160">
        <v>0.04</v>
      </c>
    </row>
    <row r="104" spans="1:11" x14ac:dyDescent="0.3">
      <c r="A104" s="156" t="s">
        <v>887</v>
      </c>
      <c r="B104" s="157" t="s">
        <v>888</v>
      </c>
      <c r="C104" s="157">
        <v>2024</v>
      </c>
      <c r="D104" s="158">
        <v>-89.574333199999998</v>
      </c>
      <c r="E104" s="158">
        <v>36.537387799999998</v>
      </c>
      <c r="F104" s="159">
        <v>5</v>
      </c>
      <c r="G104" s="160">
        <v>7</v>
      </c>
      <c r="H104" s="161">
        <v>85.2</v>
      </c>
      <c r="I104" s="161">
        <v>8.9</v>
      </c>
      <c r="J104" s="161">
        <v>5.9</v>
      </c>
      <c r="K104" s="160">
        <v>0.1</v>
      </c>
    </row>
    <row r="105" spans="1:11" x14ac:dyDescent="0.3">
      <c r="A105" s="156" t="s">
        <v>887</v>
      </c>
      <c r="B105" s="157" t="s">
        <v>888</v>
      </c>
      <c r="C105" s="157">
        <v>2024</v>
      </c>
      <c r="D105" s="158">
        <v>-89.348335300000002</v>
      </c>
      <c r="E105" s="158">
        <v>37.272777599999998</v>
      </c>
      <c r="F105" s="159">
        <v>4.7</v>
      </c>
      <c r="G105" s="160">
        <v>13.3</v>
      </c>
      <c r="H105" s="161">
        <v>1.8</v>
      </c>
      <c r="I105" s="161">
        <v>78</v>
      </c>
      <c r="J105" s="161">
        <v>20.2</v>
      </c>
      <c r="K105" s="160">
        <v>0.06</v>
      </c>
    </row>
    <row r="106" spans="1:11" x14ac:dyDescent="0.3">
      <c r="A106" s="156" t="s">
        <v>887</v>
      </c>
      <c r="B106" s="157" t="s">
        <v>888</v>
      </c>
      <c r="C106" s="157">
        <v>2024</v>
      </c>
      <c r="D106" s="158">
        <v>-88.918667299999996</v>
      </c>
      <c r="E106" s="158">
        <v>37.362292099999998</v>
      </c>
      <c r="F106" s="159">
        <v>4.5</v>
      </c>
      <c r="G106" s="160">
        <v>2.9</v>
      </c>
      <c r="H106" s="161">
        <v>28.9</v>
      </c>
      <c r="I106" s="161">
        <v>59.1</v>
      </c>
      <c r="J106" s="161">
        <v>12</v>
      </c>
      <c r="K106" s="160">
        <v>0.62</v>
      </c>
    </row>
    <row r="107" spans="1:11" x14ac:dyDescent="0.3">
      <c r="A107" s="156" t="s">
        <v>887</v>
      </c>
      <c r="B107" s="157" t="s">
        <v>888</v>
      </c>
      <c r="C107" s="157">
        <v>2024</v>
      </c>
      <c r="D107" s="158">
        <v>-88.528381300000007</v>
      </c>
      <c r="E107" s="158">
        <v>38.636993400000001</v>
      </c>
      <c r="F107" s="159">
        <v>4.9000000000000004</v>
      </c>
      <c r="G107" s="160">
        <v>12</v>
      </c>
      <c r="H107" s="161">
        <v>33.9</v>
      </c>
      <c r="I107" s="161">
        <v>40.700000000000003</v>
      </c>
      <c r="J107" s="161">
        <v>25.4</v>
      </c>
      <c r="K107" s="160">
        <v>0.15</v>
      </c>
    </row>
    <row r="108" spans="1:11" x14ac:dyDescent="0.3">
      <c r="A108" s="156" t="s">
        <v>887</v>
      </c>
      <c r="B108" s="157" t="s">
        <v>888</v>
      </c>
      <c r="C108" s="157">
        <v>2024</v>
      </c>
      <c r="D108" s="158">
        <v>-88.455314599999994</v>
      </c>
      <c r="E108" s="158">
        <v>33.9529152</v>
      </c>
      <c r="F108" s="159">
        <v>5.3</v>
      </c>
      <c r="G108" s="160">
        <v>5.15</v>
      </c>
      <c r="H108" s="161">
        <v>38.799999999999997</v>
      </c>
      <c r="I108" s="161">
        <v>29.4</v>
      </c>
      <c r="J108" s="161">
        <v>31.8</v>
      </c>
      <c r="K108" s="160">
        <v>0.05</v>
      </c>
    </row>
    <row r="109" spans="1:11" x14ac:dyDescent="0.3">
      <c r="A109" s="156" t="s">
        <v>887</v>
      </c>
      <c r="B109" s="157" t="s">
        <v>888</v>
      </c>
      <c r="C109" s="157">
        <v>2024</v>
      </c>
      <c r="D109" s="158">
        <v>-87.556663499999999</v>
      </c>
      <c r="E109" s="158">
        <v>31.302221299999999</v>
      </c>
      <c r="F109" s="159">
        <v>5</v>
      </c>
      <c r="G109" s="160">
        <v>1.45</v>
      </c>
      <c r="H109" s="161">
        <v>42.566665999999998</v>
      </c>
      <c r="I109" s="161">
        <v>9.8000000000000007</v>
      </c>
      <c r="J109" s="161">
        <v>47.633335000000002</v>
      </c>
      <c r="K109" s="160">
        <v>0.02</v>
      </c>
    </row>
    <row r="110" spans="1:11" x14ac:dyDescent="0.3">
      <c r="A110" s="156" t="s">
        <v>887</v>
      </c>
      <c r="B110" s="157" t="s">
        <v>888</v>
      </c>
      <c r="C110" s="157">
        <v>2024</v>
      </c>
      <c r="D110" s="158">
        <v>-87.366943399999997</v>
      </c>
      <c r="E110" s="158">
        <v>35.790000900000003</v>
      </c>
      <c r="F110" s="159">
        <v>5.2</v>
      </c>
      <c r="G110" s="160">
        <v>5</v>
      </c>
      <c r="H110" s="161">
        <v>7.9</v>
      </c>
      <c r="I110" s="161">
        <v>60.4</v>
      </c>
      <c r="J110" s="161">
        <v>31.7</v>
      </c>
      <c r="K110" s="160">
        <v>0.13</v>
      </c>
    </row>
    <row r="111" spans="1:11" x14ac:dyDescent="0.3">
      <c r="A111" s="156" t="s">
        <v>887</v>
      </c>
      <c r="B111" s="157" t="s">
        <v>888</v>
      </c>
      <c r="C111" s="157">
        <v>2024</v>
      </c>
      <c r="D111" s="158">
        <v>-86.849723800000007</v>
      </c>
      <c r="E111" s="158">
        <v>39.310276000000002</v>
      </c>
      <c r="F111" s="159">
        <v>5.0999999999999996</v>
      </c>
      <c r="G111" s="160">
        <v>6.3</v>
      </c>
      <c r="H111" s="161">
        <v>7.7</v>
      </c>
      <c r="I111" s="161">
        <v>75.7</v>
      </c>
      <c r="J111" s="161">
        <v>16.600000000000001</v>
      </c>
      <c r="K111" s="160">
        <v>1.17</v>
      </c>
    </row>
    <row r="112" spans="1:11" x14ac:dyDescent="0.3">
      <c r="A112" s="156" t="s">
        <v>887</v>
      </c>
      <c r="B112" s="157" t="s">
        <v>888</v>
      </c>
      <c r="C112" s="157">
        <v>2024</v>
      </c>
      <c r="D112" s="158">
        <v>-86.783325199999993</v>
      </c>
      <c r="E112" s="158">
        <v>31.085210799999999</v>
      </c>
      <c r="F112" s="159">
        <v>5.2</v>
      </c>
      <c r="G112" s="160">
        <v>0.95</v>
      </c>
      <c r="H112" s="161">
        <v>79.099999999999994</v>
      </c>
      <c r="I112" s="161">
        <v>2.1</v>
      </c>
      <c r="J112" s="161">
        <v>18.8</v>
      </c>
      <c r="K112" s="160">
        <v>0.04</v>
      </c>
    </row>
    <row r="113" spans="1:11" x14ac:dyDescent="0.3">
      <c r="A113" s="156" t="s">
        <v>887</v>
      </c>
      <c r="B113" s="157" t="s">
        <v>888</v>
      </c>
      <c r="C113" s="157">
        <v>2024</v>
      </c>
      <c r="D113" s="158">
        <v>-85.797729500000003</v>
      </c>
      <c r="E113" s="158">
        <v>46.186943100000001</v>
      </c>
      <c r="F113" s="159">
        <v>5.0999999999999996</v>
      </c>
      <c r="G113" s="160">
        <v>2.4</v>
      </c>
      <c r="H113" s="161">
        <v>74.599999999999994</v>
      </c>
      <c r="I113" s="161">
        <v>19.5</v>
      </c>
      <c r="J113" s="161">
        <v>5.9</v>
      </c>
      <c r="K113" s="160">
        <v>0.57999999999999996</v>
      </c>
    </row>
    <row r="114" spans="1:11" x14ac:dyDescent="0.3">
      <c r="A114" s="156" t="s">
        <v>887</v>
      </c>
      <c r="B114" s="157" t="s">
        <v>888</v>
      </c>
      <c r="C114" s="157">
        <v>2024</v>
      </c>
      <c r="D114" s="158">
        <v>-85.713058500000002</v>
      </c>
      <c r="E114" s="158">
        <v>38.816112500000003</v>
      </c>
      <c r="F114" s="159">
        <v>4.9000000000000004</v>
      </c>
      <c r="G114" s="160">
        <v>6.85</v>
      </c>
      <c r="H114" s="161">
        <v>19.3</v>
      </c>
      <c r="I114" s="161">
        <v>59.5</v>
      </c>
      <c r="J114" s="161">
        <v>21.2</v>
      </c>
      <c r="K114" s="160">
        <v>6.9999999999999993E-2</v>
      </c>
    </row>
    <row r="115" spans="1:11" x14ac:dyDescent="0.3">
      <c r="A115" s="156" t="s">
        <v>887</v>
      </c>
      <c r="B115" s="157" t="s">
        <v>888</v>
      </c>
      <c r="C115" s="157">
        <v>2024</v>
      </c>
      <c r="D115" s="158">
        <v>-83.957496599999999</v>
      </c>
      <c r="E115" s="158">
        <v>35.195835099999996</v>
      </c>
      <c r="F115" s="159">
        <v>4.3</v>
      </c>
      <c r="G115" s="160">
        <v>3.15</v>
      </c>
      <c r="H115" s="161">
        <v>33.5</v>
      </c>
      <c r="I115" s="161">
        <v>43.5</v>
      </c>
      <c r="J115" s="161">
        <v>23</v>
      </c>
      <c r="K115" s="160">
        <v>2.2199999999999998</v>
      </c>
    </row>
    <row r="116" spans="1:11" x14ac:dyDescent="0.3">
      <c r="A116" s="156" t="s">
        <v>887</v>
      </c>
      <c r="B116" s="157" t="s">
        <v>888</v>
      </c>
      <c r="C116" s="157">
        <v>2024</v>
      </c>
      <c r="D116" s="158">
        <v>-83.906570400000007</v>
      </c>
      <c r="E116" s="158">
        <v>32.558227500000001</v>
      </c>
      <c r="F116" s="159">
        <v>5.2</v>
      </c>
      <c r="G116" s="160">
        <v>3.35</v>
      </c>
      <c r="H116" s="161">
        <v>55.6</v>
      </c>
      <c r="I116" s="161">
        <v>19.8</v>
      </c>
      <c r="J116" s="161">
        <v>24.6</v>
      </c>
      <c r="K116" s="160">
        <v>0.94000000000000006</v>
      </c>
    </row>
    <row r="117" spans="1:11" x14ac:dyDescent="0.3">
      <c r="A117" s="156" t="s">
        <v>887</v>
      </c>
      <c r="B117" s="157" t="s">
        <v>888</v>
      </c>
      <c r="C117" s="157">
        <v>2024</v>
      </c>
      <c r="D117" s="158">
        <v>-82.497222899999997</v>
      </c>
      <c r="E117" s="158">
        <v>33.282501199999999</v>
      </c>
      <c r="F117" s="159">
        <v>5</v>
      </c>
      <c r="G117" s="160">
        <v>1</v>
      </c>
      <c r="H117" s="161">
        <v>65</v>
      </c>
      <c r="I117" s="161">
        <v>6</v>
      </c>
      <c r="J117" s="161">
        <v>29</v>
      </c>
      <c r="K117" s="160">
        <v>0.18</v>
      </c>
    </row>
    <row r="118" spans="1:11" x14ac:dyDescent="0.3">
      <c r="A118" s="156" t="s">
        <v>887</v>
      </c>
      <c r="B118" s="157" t="s">
        <v>888</v>
      </c>
      <c r="C118" s="157">
        <v>2024</v>
      </c>
      <c r="D118" s="158">
        <v>-80.161388900000006</v>
      </c>
      <c r="E118" s="158">
        <v>40.147222200000002</v>
      </c>
      <c r="F118" s="159">
        <v>5.2</v>
      </c>
      <c r="G118" s="160">
        <v>11</v>
      </c>
      <c r="H118" s="161">
        <v>23.1</v>
      </c>
      <c r="I118" s="161">
        <v>52.6</v>
      </c>
      <c r="J118" s="161">
        <v>24.3</v>
      </c>
      <c r="K118" s="160">
        <v>0.12</v>
      </c>
    </row>
    <row r="119" spans="1:11" x14ac:dyDescent="0.3">
      <c r="A119" s="156" t="s">
        <v>887</v>
      </c>
      <c r="B119" s="157" t="s">
        <v>888</v>
      </c>
      <c r="C119" s="157">
        <v>2024</v>
      </c>
      <c r="D119" s="158">
        <v>-79.678055599999993</v>
      </c>
      <c r="E119" s="158">
        <v>41.6516667</v>
      </c>
      <c r="F119" s="159">
        <v>5.4</v>
      </c>
      <c r="G119" s="160">
        <v>11</v>
      </c>
      <c r="H119" s="161">
        <v>10.1</v>
      </c>
      <c r="I119" s="161">
        <v>62.4</v>
      </c>
      <c r="J119" s="161">
        <v>27.5</v>
      </c>
      <c r="K119" s="160">
        <v>0.38</v>
      </c>
    </row>
    <row r="120" spans="1:11" x14ac:dyDescent="0.3">
      <c r="A120" s="156" t="s">
        <v>887</v>
      </c>
      <c r="B120" s="157" t="s">
        <v>888</v>
      </c>
      <c r="C120" s="157">
        <v>2024</v>
      </c>
      <c r="D120" s="158">
        <v>-79.302780200000001</v>
      </c>
      <c r="E120" s="158">
        <v>33.3855553</v>
      </c>
      <c r="F120" s="159">
        <v>5.45</v>
      </c>
      <c r="G120" s="160">
        <v>34.4</v>
      </c>
      <c r="H120" s="161">
        <v>8.3000000000000007</v>
      </c>
      <c r="I120" s="161">
        <v>22.1</v>
      </c>
      <c r="J120" s="161">
        <v>69.599999999999994</v>
      </c>
      <c r="K120" s="160">
        <v>13.85</v>
      </c>
    </row>
    <row r="121" spans="1:11" x14ac:dyDescent="0.3">
      <c r="A121" s="156" t="s">
        <v>887</v>
      </c>
      <c r="B121" s="157" t="s">
        <v>888</v>
      </c>
      <c r="C121" s="157">
        <v>2024</v>
      </c>
      <c r="D121" s="158">
        <v>-78.933914200000004</v>
      </c>
      <c r="E121" s="158">
        <v>36.307300599999998</v>
      </c>
      <c r="F121" s="159">
        <v>4.7</v>
      </c>
      <c r="G121" s="160">
        <v>22</v>
      </c>
      <c r="H121" s="161">
        <v>3.3</v>
      </c>
      <c r="I121" s="161">
        <v>59.5</v>
      </c>
      <c r="J121" s="161">
        <v>37.200000000000003</v>
      </c>
      <c r="K121" s="160">
        <v>0.16999999999999998</v>
      </c>
    </row>
    <row r="122" spans="1:11" x14ac:dyDescent="0.3">
      <c r="A122" s="156" t="s">
        <v>887</v>
      </c>
      <c r="B122" s="157" t="s">
        <v>888</v>
      </c>
      <c r="C122" s="157">
        <v>2024</v>
      </c>
      <c r="D122" s="158">
        <v>-78.547775299999998</v>
      </c>
      <c r="E122" s="158">
        <v>35.365001700000001</v>
      </c>
      <c r="F122" s="159">
        <v>4.3</v>
      </c>
      <c r="G122" s="160">
        <v>4.25</v>
      </c>
      <c r="H122" s="161">
        <v>53.8</v>
      </c>
      <c r="I122" s="161">
        <v>20</v>
      </c>
      <c r="J122" s="161">
        <v>26.2</v>
      </c>
      <c r="K122" s="160">
        <v>0.11000000000000001</v>
      </c>
    </row>
    <row r="123" spans="1:11" x14ac:dyDescent="0.3">
      <c r="A123" s="156" t="s">
        <v>887</v>
      </c>
      <c r="B123" s="157" t="s">
        <v>888</v>
      </c>
      <c r="C123" s="157">
        <v>2024</v>
      </c>
      <c r="D123" s="158">
        <v>-78.444722200000001</v>
      </c>
      <c r="E123" s="158">
        <v>41.063333299999996</v>
      </c>
      <c r="F123" s="159">
        <v>4.7</v>
      </c>
      <c r="G123" s="160">
        <v>2</v>
      </c>
      <c r="H123" s="161">
        <v>62.3</v>
      </c>
      <c r="I123" s="161">
        <v>27.5</v>
      </c>
      <c r="J123" s="161">
        <v>10.199999999999999</v>
      </c>
      <c r="K123" s="160">
        <v>1.8</v>
      </c>
    </row>
    <row r="124" spans="1:11" x14ac:dyDescent="0.3">
      <c r="A124" s="156" t="s">
        <v>887</v>
      </c>
      <c r="B124" s="157" t="s">
        <v>888</v>
      </c>
      <c r="C124" s="157">
        <v>2024</v>
      </c>
      <c r="D124" s="158">
        <v>-77.473055599999995</v>
      </c>
      <c r="E124" s="158">
        <v>40.207222199999997</v>
      </c>
      <c r="F124" s="159">
        <v>5.2</v>
      </c>
      <c r="G124" s="160">
        <v>6</v>
      </c>
      <c r="H124" s="161">
        <v>18.3</v>
      </c>
      <c r="I124" s="161">
        <v>60.6</v>
      </c>
      <c r="J124" s="161">
        <v>21.1</v>
      </c>
      <c r="K124" s="160">
        <v>1.8699999999999999</v>
      </c>
    </row>
    <row r="125" spans="1:11" x14ac:dyDescent="0.3">
      <c r="A125" s="156" t="s">
        <v>887</v>
      </c>
      <c r="B125" s="157" t="s">
        <v>888</v>
      </c>
      <c r="C125" s="157">
        <v>2024</v>
      </c>
      <c r="D125" s="158">
        <v>-77.183333333333294</v>
      </c>
      <c r="E125" s="158">
        <v>1.1666666666666701</v>
      </c>
      <c r="F125" s="159">
        <v>4.9000000000000004</v>
      </c>
      <c r="G125" s="160">
        <v>6.7</v>
      </c>
      <c r="H125" s="161">
        <v>28</v>
      </c>
      <c r="I125" s="161">
        <v>55</v>
      </c>
      <c r="J125" s="161">
        <v>17</v>
      </c>
      <c r="K125" s="160">
        <v>13.059999999999999</v>
      </c>
    </row>
    <row r="126" spans="1:11" x14ac:dyDescent="0.3">
      <c r="A126" s="156" t="s">
        <v>887</v>
      </c>
      <c r="B126" s="157" t="s">
        <v>888</v>
      </c>
      <c r="C126" s="157">
        <v>2024</v>
      </c>
      <c r="D126" s="158">
        <v>-76.0833333333333</v>
      </c>
      <c r="E126" s="158">
        <v>-5.7666666666666702</v>
      </c>
      <c r="F126" s="159">
        <v>4.5999999999999996</v>
      </c>
      <c r="G126" s="160">
        <v>4.4000000000000004</v>
      </c>
      <c r="H126" s="161">
        <v>45</v>
      </c>
      <c r="I126" s="161">
        <v>36</v>
      </c>
      <c r="J126" s="161">
        <v>19</v>
      </c>
      <c r="K126" s="160">
        <v>0.59000000000000008</v>
      </c>
    </row>
    <row r="127" spans="1:11" x14ac:dyDescent="0.3">
      <c r="A127" s="156" t="s">
        <v>887</v>
      </c>
      <c r="B127" s="157" t="s">
        <v>888</v>
      </c>
      <c r="C127" s="157">
        <v>2024</v>
      </c>
      <c r="D127" s="158">
        <v>-76.048614499999999</v>
      </c>
      <c r="E127" s="158">
        <v>35.531944299999999</v>
      </c>
      <c r="F127" s="159">
        <v>5.2</v>
      </c>
      <c r="G127" s="160">
        <v>5</v>
      </c>
      <c r="H127" s="161">
        <v>22.2</v>
      </c>
      <c r="I127" s="161">
        <v>70.900000000000006</v>
      </c>
      <c r="J127" s="161">
        <v>6.9</v>
      </c>
      <c r="K127" s="160">
        <v>2.21</v>
      </c>
    </row>
    <row r="128" spans="1:11" x14ac:dyDescent="0.3">
      <c r="A128" s="156" t="s">
        <v>887</v>
      </c>
      <c r="B128" s="157" t="s">
        <v>888</v>
      </c>
      <c r="C128" s="157">
        <v>2024</v>
      </c>
      <c r="D128" s="158">
        <v>-76.028633099999993</v>
      </c>
      <c r="E128" s="158">
        <v>36.865940100000003</v>
      </c>
      <c r="F128" s="159">
        <v>4.9000000000000004</v>
      </c>
      <c r="G128" s="160">
        <v>5</v>
      </c>
      <c r="H128" s="161">
        <v>22.9</v>
      </c>
      <c r="I128" s="161">
        <v>51.8</v>
      </c>
      <c r="J128" s="161">
        <v>25.3</v>
      </c>
      <c r="K128" s="160">
        <v>0.41</v>
      </c>
    </row>
    <row r="129" spans="1:11" x14ac:dyDescent="0.3">
      <c r="A129" s="156" t="s">
        <v>887</v>
      </c>
      <c r="B129" s="157" t="s">
        <v>888</v>
      </c>
      <c r="C129" s="157">
        <v>2024</v>
      </c>
      <c r="D129" s="158">
        <v>-75.608047499999998</v>
      </c>
      <c r="E129" s="158">
        <v>37.571182299999997</v>
      </c>
      <c r="F129" s="159">
        <v>4.2</v>
      </c>
      <c r="G129" s="160">
        <v>1</v>
      </c>
      <c r="H129" s="161">
        <v>98.5</v>
      </c>
      <c r="I129" s="161">
        <v>0.8</v>
      </c>
      <c r="J129" s="161">
        <v>0.7</v>
      </c>
      <c r="K129" s="160">
        <v>0</v>
      </c>
    </row>
    <row r="130" spans="1:11" x14ac:dyDescent="0.3">
      <c r="A130" s="156" t="s">
        <v>887</v>
      </c>
      <c r="B130" s="157" t="s">
        <v>888</v>
      </c>
      <c r="C130" s="157">
        <v>2024</v>
      </c>
      <c r="D130" s="158">
        <v>-75.5823441</v>
      </c>
      <c r="E130" s="158">
        <v>37.964965800000002</v>
      </c>
      <c r="F130" s="159">
        <v>4.5999999999999996</v>
      </c>
      <c r="G130" s="160">
        <v>24</v>
      </c>
      <c r="H130" s="161">
        <v>45.5</v>
      </c>
      <c r="I130" s="161">
        <v>27</v>
      </c>
      <c r="J130" s="161">
        <v>27.5</v>
      </c>
      <c r="K130" s="160">
        <v>34.910000000000004</v>
      </c>
    </row>
    <row r="131" spans="1:11" x14ac:dyDescent="0.3">
      <c r="A131" s="156" t="s">
        <v>887</v>
      </c>
      <c r="B131" s="157" t="s">
        <v>888</v>
      </c>
      <c r="C131" s="157">
        <v>2024</v>
      </c>
      <c r="D131" s="158">
        <v>-75.366668700000005</v>
      </c>
      <c r="E131" s="158">
        <v>39.638889300000002</v>
      </c>
      <c r="F131" s="159">
        <v>4.2</v>
      </c>
      <c r="G131" s="160">
        <v>7</v>
      </c>
      <c r="H131" s="161">
        <v>59.8</v>
      </c>
      <c r="I131" s="161">
        <v>17.399999999999999</v>
      </c>
      <c r="J131" s="161">
        <v>22.8</v>
      </c>
      <c r="K131" s="160">
        <v>0.13999999999999999</v>
      </c>
    </row>
    <row r="132" spans="1:11" x14ac:dyDescent="0.3">
      <c r="A132" s="156" t="s">
        <v>887</v>
      </c>
      <c r="B132" s="157" t="s">
        <v>888</v>
      </c>
      <c r="C132" s="157">
        <v>2024</v>
      </c>
      <c r="D132" s="158">
        <v>-75.150000000000006</v>
      </c>
      <c r="E132" s="158">
        <v>38.216666699999998</v>
      </c>
      <c r="F132" s="159">
        <v>4.5</v>
      </c>
      <c r="G132" s="160">
        <v>6.45</v>
      </c>
      <c r="H132" s="161">
        <v>75</v>
      </c>
      <c r="I132" s="161">
        <v>22.4</v>
      </c>
      <c r="J132" s="161">
        <v>2.6</v>
      </c>
      <c r="K132" s="160">
        <v>4.8600000000000003</v>
      </c>
    </row>
    <row r="133" spans="1:11" x14ac:dyDescent="0.3">
      <c r="A133" s="156" t="s">
        <v>887</v>
      </c>
      <c r="B133" s="157" t="s">
        <v>888</v>
      </c>
      <c r="C133" s="157">
        <v>2024</v>
      </c>
      <c r="D133" s="158">
        <v>-73.366699999999994</v>
      </c>
      <c r="E133" s="158">
        <v>-7.5</v>
      </c>
      <c r="F133" s="159">
        <v>5.2</v>
      </c>
      <c r="G133" s="160">
        <v>24.9</v>
      </c>
      <c r="H133" s="161">
        <v>44.8</v>
      </c>
      <c r="I133" s="161">
        <v>31</v>
      </c>
      <c r="J133" s="161">
        <v>24.2</v>
      </c>
      <c r="K133" s="160">
        <v>0.8</v>
      </c>
    </row>
    <row r="134" spans="1:11" x14ac:dyDescent="0.3">
      <c r="A134" s="156" t="s">
        <v>887</v>
      </c>
      <c r="B134" s="157" t="s">
        <v>888</v>
      </c>
      <c r="C134" s="157">
        <v>2024</v>
      </c>
      <c r="D134" s="158">
        <v>-72.837013200000001</v>
      </c>
      <c r="E134" s="158">
        <v>42.9749756</v>
      </c>
      <c r="F134" s="159">
        <v>4.8</v>
      </c>
      <c r="G134" s="160">
        <v>1.1499999999999999</v>
      </c>
      <c r="H134" s="161">
        <v>70.099999999999994</v>
      </c>
      <c r="I134" s="161">
        <v>26.2</v>
      </c>
      <c r="J134" s="161">
        <v>3.7</v>
      </c>
      <c r="K134" s="160">
        <v>0.85</v>
      </c>
    </row>
    <row r="135" spans="1:11" x14ac:dyDescent="0.3">
      <c r="A135" s="156" t="s">
        <v>887</v>
      </c>
      <c r="B135" s="157" t="s">
        <v>888</v>
      </c>
      <c r="C135" s="157">
        <v>2024</v>
      </c>
      <c r="D135" s="158">
        <v>-72.802780200000001</v>
      </c>
      <c r="E135" s="158">
        <v>42.851387000000003</v>
      </c>
      <c r="F135" s="159">
        <v>4.5999999999999996</v>
      </c>
      <c r="G135" s="160">
        <v>3.3</v>
      </c>
      <c r="H135" s="161">
        <v>67.5</v>
      </c>
      <c r="I135" s="161">
        <v>28.6</v>
      </c>
      <c r="J135" s="161">
        <v>3.9</v>
      </c>
      <c r="K135" s="160">
        <v>2.93</v>
      </c>
    </row>
    <row r="136" spans="1:11" x14ac:dyDescent="0.3">
      <c r="A136" s="156" t="s">
        <v>887</v>
      </c>
      <c r="B136" s="157" t="s">
        <v>888</v>
      </c>
      <c r="C136" s="157">
        <v>2024</v>
      </c>
      <c r="D136" s="158">
        <v>-72.511459350585895</v>
      </c>
      <c r="E136" s="158">
        <v>41.416099548339801</v>
      </c>
      <c r="F136" s="159">
        <v>4.3</v>
      </c>
      <c r="G136" s="160">
        <v>2.85</v>
      </c>
      <c r="H136" s="161">
        <v>47.2</v>
      </c>
      <c r="I136" s="161">
        <v>42.4</v>
      </c>
      <c r="J136" s="161">
        <v>10.4</v>
      </c>
      <c r="K136" s="160">
        <v>1.78</v>
      </c>
    </row>
    <row r="137" spans="1:11" x14ac:dyDescent="0.3">
      <c r="A137" s="156" t="s">
        <v>887</v>
      </c>
      <c r="B137" s="157" t="s">
        <v>888</v>
      </c>
      <c r="C137" s="157">
        <v>2024</v>
      </c>
      <c r="D137" s="158">
        <v>-71.031111100000004</v>
      </c>
      <c r="E137" s="158">
        <v>41.935277800000001</v>
      </c>
      <c r="F137" s="159">
        <v>4.5999999999999996</v>
      </c>
      <c r="G137" s="160">
        <v>1.1499999999999999</v>
      </c>
      <c r="H137" s="161">
        <v>84.1</v>
      </c>
      <c r="I137" s="161">
        <v>12.5</v>
      </c>
      <c r="J137" s="161">
        <v>3.4</v>
      </c>
      <c r="K137" s="160">
        <v>1.1400000000000001</v>
      </c>
    </row>
    <row r="138" spans="1:11" x14ac:dyDescent="0.3">
      <c r="A138" s="156" t="s">
        <v>887</v>
      </c>
      <c r="B138" s="157" t="s">
        <v>888</v>
      </c>
      <c r="C138" s="157">
        <v>2024</v>
      </c>
      <c r="D138" s="158">
        <v>-70.933333333333294</v>
      </c>
      <c r="E138" s="158">
        <v>4.56666666666667</v>
      </c>
      <c r="F138" s="159">
        <v>5.0999999999999996</v>
      </c>
      <c r="G138" s="160">
        <v>1.7</v>
      </c>
      <c r="H138" s="161">
        <v>6</v>
      </c>
      <c r="I138" s="161">
        <v>42</v>
      </c>
      <c r="J138" s="161">
        <v>52</v>
      </c>
      <c r="K138" s="160">
        <v>1.17</v>
      </c>
    </row>
    <row r="139" spans="1:11" x14ac:dyDescent="0.3">
      <c r="A139" s="156" t="s">
        <v>887</v>
      </c>
      <c r="B139" s="157" t="s">
        <v>888</v>
      </c>
      <c r="C139" s="157">
        <v>2024</v>
      </c>
      <c r="D139" s="158">
        <v>-70.6666666666667</v>
      </c>
      <c r="E139" s="158">
        <v>-9.75</v>
      </c>
      <c r="F139" s="159">
        <v>5.8</v>
      </c>
      <c r="G139" s="160">
        <v>16.100000000000001</v>
      </c>
      <c r="H139" s="161">
        <v>30</v>
      </c>
      <c r="I139" s="161">
        <v>38</v>
      </c>
      <c r="J139" s="161">
        <v>32</v>
      </c>
      <c r="K139" s="160">
        <v>1.28</v>
      </c>
    </row>
    <row r="140" spans="1:11" x14ac:dyDescent="0.3">
      <c r="A140" s="156" t="s">
        <v>887</v>
      </c>
      <c r="B140" s="157" t="s">
        <v>888</v>
      </c>
      <c r="C140" s="157">
        <v>2024</v>
      </c>
      <c r="D140" s="158">
        <v>-68.6785</v>
      </c>
      <c r="E140" s="158">
        <v>44.933361099999999</v>
      </c>
      <c r="F140" s="159">
        <v>4.7</v>
      </c>
      <c r="G140" s="160">
        <v>3.4</v>
      </c>
      <c r="H140" s="161">
        <v>46.2</v>
      </c>
      <c r="I140" s="161">
        <v>44.9</v>
      </c>
      <c r="J140" s="161">
        <v>8.9</v>
      </c>
      <c r="K140" s="160">
        <v>1.47</v>
      </c>
    </row>
    <row r="141" spans="1:11" x14ac:dyDescent="0.3">
      <c r="A141" s="156" t="s">
        <v>887</v>
      </c>
      <c r="B141" s="157" t="s">
        <v>888</v>
      </c>
      <c r="C141" s="157">
        <v>2024</v>
      </c>
      <c r="D141" s="158">
        <v>-67</v>
      </c>
      <c r="E141" s="158">
        <v>-8.5</v>
      </c>
      <c r="F141" s="159">
        <v>4.4000000000000004</v>
      </c>
      <c r="G141" s="160">
        <v>4</v>
      </c>
      <c r="H141" s="161">
        <v>27</v>
      </c>
      <c r="I141" s="161">
        <v>51</v>
      </c>
      <c r="J141" s="161">
        <v>22</v>
      </c>
      <c r="K141" s="160">
        <v>0.13</v>
      </c>
    </row>
    <row r="142" spans="1:11" x14ac:dyDescent="0.3">
      <c r="A142" s="156" t="s">
        <v>887</v>
      </c>
      <c r="B142" s="157" t="s">
        <v>888</v>
      </c>
      <c r="C142" s="157">
        <v>2024</v>
      </c>
      <c r="D142" s="158">
        <v>-66.933300000000003</v>
      </c>
      <c r="E142" s="158">
        <v>-1.6167</v>
      </c>
      <c r="F142" s="159">
        <v>4.0999999999999996</v>
      </c>
      <c r="G142" s="160">
        <v>4.2</v>
      </c>
      <c r="H142" s="161">
        <v>63.9</v>
      </c>
      <c r="I142" s="161">
        <v>18.600000000000001</v>
      </c>
      <c r="J142" s="161">
        <v>17.5</v>
      </c>
      <c r="K142" s="160">
        <v>0.7</v>
      </c>
    </row>
    <row r="143" spans="1:11" x14ac:dyDescent="0.3">
      <c r="A143" s="156" t="s">
        <v>887</v>
      </c>
      <c r="B143" s="157" t="s">
        <v>888</v>
      </c>
      <c r="C143" s="157">
        <v>2024</v>
      </c>
      <c r="D143" s="158">
        <v>-64.25</v>
      </c>
      <c r="E143" s="158">
        <v>8.8999995999999992</v>
      </c>
      <c r="F143" s="159">
        <v>4.7</v>
      </c>
      <c r="G143" s="160">
        <v>0.8</v>
      </c>
      <c r="H143" s="161">
        <v>80</v>
      </c>
      <c r="I143" s="161">
        <v>7</v>
      </c>
      <c r="J143" s="161">
        <v>13</v>
      </c>
      <c r="K143" s="160">
        <v>0.24</v>
      </c>
    </row>
    <row r="144" spans="1:11" x14ac:dyDescent="0.3">
      <c r="A144" s="156" t="s">
        <v>887</v>
      </c>
      <c r="B144" s="157" t="s">
        <v>888</v>
      </c>
      <c r="C144" s="157">
        <v>2024</v>
      </c>
      <c r="D144" s="158">
        <v>-63.966700000000003</v>
      </c>
      <c r="E144" s="158">
        <v>-8.3833000000000002</v>
      </c>
      <c r="F144" s="159">
        <v>4.5</v>
      </c>
      <c r="G144" s="160">
        <v>4.9000000000000004</v>
      </c>
      <c r="H144" s="161">
        <v>27</v>
      </c>
      <c r="I144" s="161">
        <v>55</v>
      </c>
      <c r="J144" s="161">
        <v>18</v>
      </c>
      <c r="K144" s="160">
        <v>2.15</v>
      </c>
    </row>
    <row r="145" spans="1:11" x14ac:dyDescent="0.3">
      <c r="A145" s="156" t="s">
        <v>887</v>
      </c>
      <c r="B145" s="157" t="s">
        <v>888</v>
      </c>
      <c r="C145" s="157">
        <v>2024</v>
      </c>
      <c r="D145" s="158">
        <v>-62.933300000000003</v>
      </c>
      <c r="E145" s="158">
        <v>-10.1167</v>
      </c>
      <c r="F145" s="159">
        <v>5</v>
      </c>
      <c r="G145" s="160">
        <v>4</v>
      </c>
      <c r="H145" s="161">
        <v>37</v>
      </c>
      <c r="I145" s="161">
        <v>23</v>
      </c>
      <c r="J145" s="161">
        <v>40</v>
      </c>
      <c r="K145" s="160">
        <v>0.43</v>
      </c>
    </row>
    <row r="146" spans="1:11" x14ac:dyDescent="0.3">
      <c r="A146" s="156" t="s">
        <v>887</v>
      </c>
      <c r="B146" s="157" t="s">
        <v>888</v>
      </c>
      <c r="C146" s="157">
        <v>2024</v>
      </c>
      <c r="D146" s="158">
        <v>-58.116700000000002</v>
      </c>
      <c r="E146" s="158">
        <v>-9.2166999999999994</v>
      </c>
      <c r="F146" s="159">
        <v>4.3</v>
      </c>
      <c r="G146" s="160">
        <v>2.2000000000000002</v>
      </c>
      <c r="H146" s="161">
        <v>26.7</v>
      </c>
      <c r="I146" s="161">
        <v>21.1</v>
      </c>
      <c r="J146" s="161">
        <v>52.1</v>
      </c>
      <c r="K146" s="160">
        <v>0.2</v>
      </c>
    </row>
    <row r="147" spans="1:11" x14ac:dyDescent="0.3">
      <c r="A147" s="156" t="s">
        <v>887</v>
      </c>
      <c r="B147" s="157" t="s">
        <v>888</v>
      </c>
      <c r="C147" s="157">
        <v>2024</v>
      </c>
      <c r="D147" s="158">
        <v>-55.716666666666697</v>
      </c>
      <c r="E147" s="158">
        <v>5.25</v>
      </c>
      <c r="F147" s="159">
        <v>5</v>
      </c>
      <c r="G147" s="160">
        <v>1</v>
      </c>
      <c r="H147" s="161">
        <v>89</v>
      </c>
      <c r="I147" s="161">
        <v>3</v>
      </c>
      <c r="J147" s="161">
        <v>8</v>
      </c>
      <c r="K147" s="160">
        <v>0.49000000000000005</v>
      </c>
    </row>
    <row r="148" spans="1:11" x14ac:dyDescent="0.3">
      <c r="A148" s="156" t="s">
        <v>887</v>
      </c>
      <c r="B148" s="157" t="s">
        <v>888</v>
      </c>
      <c r="C148" s="157">
        <v>2024</v>
      </c>
      <c r="D148" s="158">
        <v>-55.3</v>
      </c>
      <c r="E148" s="158">
        <v>-5.8167</v>
      </c>
      <c r="F148" s="159">
        <v>4.4000000000000004</v>
      </c>
      <c r="G148" s="160">
        <v>7.7</v>
      </c>
      <c r="H148" s="161">
        <v>12</v>
      </c>
      <c r="I148" s="161">
        <v>41</v>
      </c>
      <c r="J148" s="161">
        <v>47</v>
      </c>
      <c r="K148" s="160">
        <v>0.54</v>
      </c>
    </row>
    <row r="149" spans="1:11" x14ac:dyDescent="0.3">
      <c r="A149" s="156" t="s">
        <v>887</v>
      </c>
      <c r="B149" s="157" t="s">
        <v>888</v>
      </c>
      <c r="C149" s="157">
        <v>2024</v>
      </c>
      <c r="D149" s="158">
        <v>-53.9833</v>
      </c>
      <c r="E149" s="158">
        <v>-14.566700000000001</v>
      </c>
      <c r="F149" s="159">
        <v>5.0999999999999996</v>
      </c>
      <c r="G149" s="160">
        <v>8.1</v>
      </c>
      <c r="H149" s="161">
        <v>53</v>
      </c>
      <c r="I149" s="161">
        <v>14</v>
      </c>
      <c r="J149" s="161">
        <v>32</v>
      </c>
      <c r="K149" s="160">
        <v>0.9</v>
      </c>
    </row>
    <row r="150" spans="1:11" x14ac:dyDescent="0.3">
      <c r="A150" s="156" t="s">
        <v>887</v>
      </c>
      <c r="B150" s="157" t="s">
        <v>888</v>
      </c>
      <c r="C150" s="157">
        <v>2024</v>
      </c>
      <c r="D150" s="158">
        <v>-52.416699999999999</v>
      </c>
      <c r="E150" s="158">
        <v>-13.966699999999999</v>
      </c>
      <c r="F150" s="159">
        <v>5.7</v>
      </c>
      <c r="G150" s="160">
        <v>3.8</v>
      </c>
      <c r="H150" s="161">
        <v>47</v>
      </c>
      <c r="I150" s="161">
        <v>6</v>
      </c>
      <c r="J150" s="161">
        <v>47</v>
      </c>
      <c r="K150" s="160">
        <v>0.8</v>
      </c>
    </row>
    <row r="151" spans="1:11" x14ac:dyDescent="0.3">
      <c r="A151" s="156" t="s">
        <v>887</v>
      </c>
      <c r="B151" s="157" t="s">
        <v>888</v>
      </c>
      <c r="C151" s="157">
        <v>2024</v>
      </c>
      <c r="D151" s="158">
        <v>-50.416699999999999</v>
      </c>
      <c r="E151" s="158">
        <v>-9.0667000000000009</v>
      </c>
      <c r="F151" s="159">
        <v>4.0999999999999996</v>
      </c>
      <c r="G151" s="160">
        <v>1.5</v>
      </c>
      <c r="H151" s="161">
        <v>63.8</v>
      </c>
      <c r="I151" s="161">
        <v>21.8</v>
      </c>
      <c r="J151" s="161">
        <v>14.4</v>
      </c>
      <c r="K151" s="160">
        <v>0.7</v>
      </c>
    </row>
    <row r="152" spans="1:11" x14ac:dyDescent="0.3">
      <c r="A152" s="156" t="s">
        <v>887</v>
      </c>
      <c r="B152" s="157" t="s">
        <v>888</v>
      </c>
      <c r="C152" s="157">
        <v>2024</v>
      </c>
      <c r="D152" s="158">
        <v>-50.216700000000003</v>
      </c>
      <c r="E152" s="158">
        <v>-23.966699999999999</v>
      </c>
      <c r="F152" s="159">
        <v>4.9000000000000004</v>
      </c>
      <c r="G152" s="160">
        <v>16.3</v>
      </c>
      <c r="H152" s="161">
        <v>25</v>
      </c>
      <c r="I152" s="161">
        <v>25</v>
      </c>
      <c r="J152" s="161">
        <v>50</v>
      </c>
      <c r="K152" s="160">
        <v>1.1800000000000002</v>
      </c>
    </row>
    <row r="153" spans="1:11" x14ac:dyDescent="0.3">
      <c r="A153" s="156" t="s">
        <v>887</v>
      </c>
      <c r="B153" s="157" t="s">
        <v>888</v>
      </c>
      <c r="C153" s="157">
        <v>2024</v>
      </c>
      <c r="D153" s="158">
        <v>-48.7333</v>
      </c>
      <c r="E153" s="158">
        <v>-15.166700000000001</v>
      </c>
      <c r="F153" s="159">
        <v>5.8</v>
      </c>
      <c r="G153" s="160">
        <v>4.2</v>
      </c>
      <c r="H153" s="161">
        <v>12</v>
      </c>
      <c r="I153" s="161">
        <v>28</v>
      </c>
      <c r="J153" s="161">
        <v>60</v>
      </c>
      <c r="K153" s="160">
        <v>0.61</v>
      </c>
    </row>
    <row r="154" spans="1:11" x14ac:dyDescent="0.3">
      <c r="A154" s="156" t="s">
        <v>887</v>
      </c>
      <c r="B154" s="157" t="s">
        <v>888</v>
      </c>
      <c r="C154" s="157">
        <v>2024</v>
      </c>
      <c r="D154" s="158">
        <v>-44.833300000000001</v>
      </c>
      <c r="E154" s="158">
        <v>-3.35</v>
      </c>
      <c r="F154" s="159">
        <v>4.2</v>
      </c>
      <c r="G154" s="160">
        <v>38.9</v>
      </c>
      <c r="H154" s="161">
        <v>2</v>
      </c>
      <c r="I154" s="161">
        <v>36</v>
      </c>
      <c r="J154" s="161">
        <v>62</v>
      </c>
      <c r="K154" s="160">
        <v>4.83</v>
      </c>
    </row>
    <row r="155" spans="1:11" x14ac:dyDescent="0.3">
      <c r="A155" s="156" t="s">
        <v>887</v>
      </c>
      <c r="B155" s="157" t="s">
        <v>888</v>
      </c>
      <c r="C155" s="157">
        <v>2024</v>
      </c>
      <c r="D155" s="158">
        <v>-40.283299999999997</v>
      </c>
      <c r="E155" s="158">
        <v>-7.7832999999999997</v>
      </c>
      <c r="F155" s="159">
        <v>5.3</v>
      </c>
      <c r="G155" s="160">
        <v>3.5</v>
      </c>
      <c r="H155" s="161">
        <v>66.5</v>
      </c>
      <c r="I155" s="161">
        <v>4</v>
      </c>
      <c r="J155" s="161">
        <v>29</v>
      </c>
      <c r="K155" s="160">
        <v>0.2</v>
      </c>
    </row>
    <row r="156" spans="1:11" x14ac:dyDescent="0.3">
      <c r="A156" s="156" t="s">
        <v>887</v>
      </c>
      <c r="B156" s="157" t="s">
        <v>888</v>
      </c>
      <c r="C156" s="157">
        <v>2024</v>
      </c>
      <c r="D156" s="158">
        <v>-36.799999999999997</v>
      </c>
      <c r="E156" s="158">
        <v>-6.4166999999999996</v>
      </c>
      <c r="F156" s="159">
        <v>5.9</v>
      </c>
      <c r="G156" s="160">
        <v>9.9</v>
      </c>
      <c r="H156" s="161">
        <v>53</v>
      </c>
      <c r="I156" s="161">
        <v>36</v>
      </c>
      <c r="J156" s="161">
        <v>11</v>
      </c>
      <c r="K156" s="160">
        <v>1.44</v>
      </c>
    </row>
    <row r="157" spans="1:11" x14ac:dyDescent="0.3">
      <c r="A157" s="156" t="s">
        <v>887</v>
      </c>
      <c r="B157" s="157" t="s">
        <v>888</v>
      </c>
      <c r="C157" s="157">
        <v>2024</v>
      </c>
      <c r="D157" s="158">
        <v>-16.787777777777801</v>
      </c>
      <c r="E157" s="158">
        <v>32.706944444444403</v>
      </c>
      <c r="F157" s="159">
        <v>5.4</v>
      </c>
      <c r="G157" s="160">
        <v>4</v>
      </c>
      <c r="H157" s="161">
        <v>29</v>
      </c>
      <c r="I157" s="161">
        <v>39</v>
      </c>
      <c r="J157" s="161">
        <v>32</v>
      </c>
      <c r="K157" s="160">
        <v>6</v>
      </c>
    </row>
    <row r="158" spans="1:11" x14ac:dyDescent="0.3">
      <c r="A158" s="156" t="s">
        <v>887</v>
      </c>
      <c r="B158" s="157" t="s">
        <v>888</v>
      </c>
      <c r="C158" s="157">
        <v>2024</v>
      </c>
      <c r="D158" s="158">
        <v>-15.23</v>
      </c>
      <c r="E158" s="158">
        <v>16.52</v>
      </c>
      <c r="F158" s="159">
        <v>7.4</v>
      </c>
      <c r="G158" s="160">
        <v>4</v>
      </c>
      <c r="H158" s="161">
        <v>86</v>
      </c>
      <c r="I158" s="161">
        <v>4</v>
      </c>
      <c r="J158" s="161">
        <v>10</v>
      </c>
      <c r="K158" s="160">
        <v>0.15</v>
      </c>
    </row>
    <row r="159" spans="1:11" x14ac:dyDescent="0.3">
      <c r="A159" s="156" t="s">
        <v>887</v>
      </c>
      <c r="B159" s="157" t="s">
        <v>888</v>
      </c>
      <c r="C159" s="157">
        <v>2024</v>
      </c>
      <c r="D159" s="158">
        <v>-11.17</v>
      </c>
      <c r="E159" s="158">
        <v>7.22</v>
      </c>
      <c r="F159" s="159">
        <v>4.8</v>
      </c>
      <c r="G159" s="160">
        <v>1.75</v>
      </c>
      <c r="H159" s="161">
        <v>53</v>
      </c>
      <c r="I159" s="161">
        <v>15</v>
      </c>
      <c r="J159" s="161">
        <v>32</v>
      </c>
      <c r="K159" s="160">
        <v>1.34</v>
      </c>
    </row>
    <row r="160" spans="1:11" x14ac:dyDescent="0.3">
      <c r="A160" s="156" t="s">
        <v>887</v>
      </c>
      <c r="B160" s="157" t="s">
        <v>888</v>
      </c>
      <c r="C160" s="157">
        <v>2024</v>
      </c>
      <c r="D160" s="158">
        <v>-10.77</v>
      </c>
      <c r="E160" s="158">
        <v>6.4589999999999996</v>
      </c>
      <c r="F160" s="159">
        <v>4.5999999999999996</v>
      </c>
      <c r="G160" s="160">
        <v>3.8</v>
      </c>
      <c r="H160" s="161">
        <v>53</v>
      </c>
      <c r="I160" s="161">
        <v>14</v>
      </c>
      <c r="J160" s="161">
        <v>33</v>
      </c>
      <c r="K160" s="160">
        <v>5.89</v>
      </c>
    </row>
    <row r="161" spans="1:11" x14ac:dyDescent="0.3">
      <c r="A161" s="156" t="s">
        <v>887</v>
      </c>
      <c r="B161" s="157" t="s">
        <v>888</v>
      </c>
      <c r="C161" s="157">
        <v>2024</v>
      </c>
      <c r="D161" s="158">
        <v>-7.983333</v>
      </c>
      <c r="E161" s="158">
        <v>12.666667</v>
      </c>
      <c r="F161" s="159">
        <v>5.2</v>
      </c>
      <c r="G161" s="160">
        <v>7.35</v>
      </c>
      <c r="H161" s="161">
        <v>13</v>
      </c>
      <c r="I161" s="161">
        <v>10</v>
      </c>
      <c r="J161" s="161">
        <v>77</v>
      </c>
      <c r="K161" s="160">
        <v>0.16999999999999998</v>
      </c>
    </row>
    <row r="162" spans="1:11" x14ac:dyDescent="0.3">
      <c r="A162" s="156" t="s">
        <v>887</v>
      </c>
      <c r="B162" s="157" t="s">
        <v>888</v>
      </c>
      <c r="C162" s="157">
        <v>2024</v>
      </c>
      <c r="D162" s="158">
        <v>-7.4350610000000001</v>
      </c>
      <c r="E162" s="158">
        <v>4.4762139999999997</v>
      </c>
      <c r="F162" s="159">
        <v>5.2</v>
      </c>
      <c r="G162" s="160">
        <v>8.35</v>
      </c>
      <c r="H162" s="161">
        <v>35.700000000000003</v>
      </c>
      <c r="I162" s="161">
        <v>16.899999999999999</v>
      </c>
      <c r="J162" s="161">
        <v>47.4</v>
      </c>
      <c r="K162" s="160">
        <v>0.3</v>
      </c>
    </row>
    <row r="163" spans="1:11" x14ac:dyDescent="0.3">
      <c r="A163" s="156" t="s">
        <v>887</v>
      </c>
      <c r="B163" s="157" t="s">
        <v>888</v>
      </c>
      <c r="C163" s="157">
        <v>2024</v>
      </c>
      <c r="D163" s="158">
        <v>-1.6666700000000001</v>
      </c>
      <c r="E163" s="158">
        <v>6.6666699999999999</v>
      </c>
      <c r="F163" s="159">
        <v>4.9000000000000004</v>
      </c>
      <c r="G163" s="160">
        <v>1.85</v>
      </c>
      <c r="H163" s="161">
        <v>36.200000000000003</v>
      </c>
      <c r="I163" s="161">
        <v>10.1</v>
      </c>
      <c r="J163" s="161">
        <v>53.7</v>
      </c>
      <c r="K163" s="160">
        <v>0.21000000000000002</v>
      </c>
    </row>
    <row r="164" spans="1:11" x14ac:dyDescent="0.3">
      <c r="A164" s="156" t="s">
        <v>887</v>
      </c>
      <c r="B164" s="157" t="s">
        <v>888</v>
      </c>
      <c r="C164" s="157">
        <v>2024</v>
      </c>
      <c r="D164" s="158">
        <v>-1.032011</v>
      </c>
      <c r="E164" s="158">
        <v>11.708335</v>
      </c>
      <c r="F164" s="159">
        <v>6.6</v>
      </c>
      <c r="G164" s="160">
        <v>4.0999999999999996</v>
      </c>
      <c r="H164" s="161">
        <v>31.5</v>
      </c>
      <c r="I164" s="161">
        <v>29.8</v>
      </c>
      <c r="J164" s="161">
        <v>38.799999999999997</v>
      </c>
      <c r="K164" s="160">
        <v>0.2</v>
      </c>
    </row>
    <row r="165" spans="1:11" x14ac:dyDescent="0.3">
      <c r="A165" s="156" t="s">
        <v>887</v>
      </c>
      <c r="B165" s="157" t="s">
        <v>888</v>
      </c>
      <c r="C165" s="157">
        <v>2024</v>
      </c>
      <c r="D165" s="158">
        <v>0.94166700000000003</v>
      </c>
      <c r="E165" s="158">
        <v>11.0722</v>
      </c>
      <c r="F165" s="159">
        <v>6</v>
      </c>
      <c r="G165" s="160">
        <v>15.4</v>
      </c>
      <c r="H165" s="161">
        <v>31.4</v>
      </c>
      <c r="I165" s="161">
        <v>42.7</v>
      </c>
      <c r="J165" s="161">
        <v>25.5</v>
      </c>
      <c r="K165" s="160">
        <v>0.24</v>
      </c>
    </row>
    <row r="166" spans="1:11" x14ac:dyDescent="0.3">
      <c r="A166" s="156" t="s">
        <v>887</v>
      </c>
      <c r="B166" s="157" t="s">
        <v>888</v>
      </c>
      <c r="C166" s="157">
        <v>2024</v>
      </c>
      <c r="D166" s="158">
        <v>1.738056</v>
      </c>
      <c r="E166" s="158">
        <v>13.108333</v>
      </c>
      <c r="F166" s="159">
        <v>6.3</v>
      </c>
      <c r="G166" s="160">
        <v>4.8</v>
      </c>
      <c r="H166" s="161">
        <v>32</v>
      </c>
      <c r="I166" s="161">
        <v>46</v>
      </c>
      <c r="J166" s="161">
        <v>22</v>
      </c>
      <c r="K166" s="160">
        <v>0.22999999999999998</v>
      </c>
    </row>
    <row r="167" spans="1:11" x14ac:dyDescent="0.3">
      <c r="A167" s="156" t="s">
        <v>887</v>
      </c>
      <c r="B167" s="157" t="s">
        <v>888</v>
      </c>
      <c r="C167" s="157">
        <v>2024</v>
      </c>
      <c r="D167" s="158">
        <v>1.8436110000000001</v>
      </c>
      <c r="E167" s="158">
        <v>13.638056000000001</v>
      </c>
      <c r="F167" s="159">
        <v>7.3</v>
      </c>
      <c r="G167" s="160">
        <v>6.8</v>
      </c>
      <c r="H167" s="161">
        <v>46</v>
      </c>
      <c r="I167" s="161">
        <v>24</v>
      </c>
      <c r="J167" s="161">
        <v>30</v>
      </c>
      <c r="K167" s="160">
        <v>0.3</v>
      </c>
    </row>
    <row r="168" spans="1:11" x14ac:dyDescent="0.3">
      <c r="A168" s="156" t="s">
        <v>887</v>
      </c>
      <c r="B168" s="157" t="s">
        <v>888</v>
      </c>
      <c r="C168" s="157">
        <v>2024</v>
      </c>
      <c r="D168" s="158">
        <v>2.0017999999999998</v>
      </c>
      <c r="E168" s="158">
        <v>7.2237</v>
      </c>
      <c r="F168" s="159">
        <v>7.2</v>
      </c>
      <c r="G168" s="160">
        <v>11.2</v>
      </c>
      <c r="H168" s="161">
        <v>46</v>
      </c>
      <c r="I168" s="161">
        <v>5</v>
      </c>
      <c r="J168" s="161">
        <v>49</v>
      </c>
      <c r="K168" s="160">
        <v>2</v>
      </c>
    </row>
    <row r="169" spans="1:11" x14ac:dyDescent="0.3">
      <c r="A169" s="156" t="s">
        <v>887</v>
      </c>
      <c r="B169" s="157" t="s">
        <v>888</v>
      </c>
      <c r="C169" s="157">
        <v>2024</v>
      </c>
      <c r="D169" s="158">
        <v>2.0833330000000001</v>
      </c>
      <c r="E169" s="158">
        <v>13.533333000000001</v>
      </c>
      <c r="F169" s="159">
        <v>4.5999999999999996</v>
      </c>
      <c r="G169" s="160">
        <v>1.1499999999999999</v>
      </c>
      <c r="H169" s="161">
        <v>88.5</v>
      </c>
      <c r="I169" s="161">
        <v>3.2</v>
      </c>
      <c r="J169" s="161">
        <v>8.3000000000000007</v>
      </c>
      <c r="K169" s="160">
        <v>0.09</v>
      </c>
    </row>
    <row r="170" spans="1:11" x14ac:dyDescent="0.3">
      <c r="A170" s="156" t="s">
        <v>887</v>
      </c>
      <c r="B170" s="157" t="s">
        <v>888</v>
      </c>
      <c r="C170" s="157">
        <v>2024</v>
      </c>
      <c r="D170" s="158">
        <v>2.1044999999999998</v>
      </c>
      <c r="E170" s="158">
        <v>7.4992000000000001</v>
      </c>
      <c r="F170" s="159">
        <v>7.3</v>
      </c>
      <c r="G170" s="160">
        <v>26.9</v>
      </c>
      <c r="H170" s="161">
        <v>46</v>
      </c>
      <c r="I170" s="161">
        <v>26</v>
      </c>
      <c r="J170" s="161">
        <v>28</v>
      </c>
      <c r="K170" s="160">
        <v>0.7</v>
      </c>
    </row>
    <row r="171" spans="1:11" x14ac:dyDescent="0.3">
      <c r="A171" s="156" t="s">
        <v>887</v>
      </c>
      <c r="B171" s="157" t="s">
        <v>888</v>
      </c>
      <c r="C171" s="157">
        <v>2024</v>
      </c>
      <c r="D171" s="158">
        <v>2.2576000000000001</v>
      </c>
      <c r="E171" s="158">
        <v>7.2542999999999997</v>
      </c>
      <c r="F171" s="159">
        <v>6.8</v>
      </c>
      <c r="G171" s="160">
        <v>8.1</v>
      </c>
      <c r="H171" s="161">
        <v>76</v>
      </c>
      <c r="I171" s="161">
        <v>17</v>
      </c>
      <c r="J171" s="161">
        <v>7</v>
      </c>
      <c r="K171" s="160">
        <v>1.5</v>
      </c>
    </row>
    <row r="172" spans="1:11" x14ac:dyDescent="0.3">
      <c r="A172" s="156" t="s">
        <v>887</v>
      </c>
      <c r="B172" s="157" t="s">
        <v>888</v>
      </c>
      <c r="C172" s="157">
        <v>2024</v>
      </c>
      <c r="D172" s="158">
        <v>2.403</v>
      </c>
      <c r="E172" s="158">
        <v>7.4095000000000004</v>
      </c>
      <c r="F172" s="159">
        <v>6.3</v>
      </c>
      <c r="G172" s="160">
        <v>7.1</v>
      </c>
      <c r="H172" s="161">
        <v>49</v>
      </c>
      <c r="I172" s="161">
        <v>18</v>
      </c>
      <c r="J172" s="161">
        <v>9</v>
      </c>
      <c r="K172" s="160">
        <v>1</v>
      </c>
    </row>
    <row r="173" spans="1:11" x14ac:dyDescent="0.3">
      <c r="A173" s="156" t="s">
        <v>887</v>
      </c>
      <c r="B173" s="157" t="s">
        <v>888</v>
      </c>
      <c r="C173" s="157">
        <v>2024</v>
      </c>
      <c r="D173" s="158">
        <v>2.5177999999999998</v>
      </c>
      <c r="E173" s="158">
        <v>7.4993999999999996</v>
      </c>
      <c r="F173" s="159">
        <v>7.4</v>
      </c>
      <c r="G173" s="160">
        <v>5.6</v>
      </c>
      <c r="H173" s="161">
        <v>77</v>
      </c>
      <c r="I173" s="161">
        <v>13</v>
      </c>
      <c r="J173" s="161">
        <v>10</v>
      </c>
      <c r="K173" s="160">
        <v>1</v>
      </c>
    </row>
    <row r="174" spans="1:11" x14ac:dyDescent="0.3">
      <c r="A174" s="156" t="s">
        <v>887</v>
      </c>
      <c r="B174" s="157" t="s">
        <v>888</v>
      </c>
      <c r="C174" s="157">
        <v>2024</v>
      </c>
      <c r="D174" s="158">
        <v>2.5554000000000001</v>
      </c>
      <c r="E174" s="158">
        <v>7.1288999999999998</v>
      </c>
      <c r="F174" s="159">
        <v>6.7</v>
      </c>
      <c r="G174" s="160">
        <v>12.9</v>
      </c>
      <c r="H174" s="161">
        <v>69</v>
      </c>
      <c r="I174" s="161">
        <v>14</v>
      </c>
      <c r="J174" s="161">
        <v>17</v>
      </c>
      <c r="K174" s="160">
        <v>1.5</v>
      </c>
    </row>
    <row r="175" spans="1:11" x14ac:dyDescent="0.3">
      <c r="A175" s="156" t="s">
        <v>887</v>
      </c>
      <c r="B175" s="157" t="s">
        <v>888</v>
      </c>
      <c r="C175" s="157">
        <v>2024</v>
      </c>
      <c r="D175" s="158">
        <v>3.8837899999999999</v>
      </c>
      <c r="E175" s="158">
        <v>7.495495</v>
      </c>
      <c r="F175" s="159">
        <v>6.3</v>
      </c>
      <c r="G175" s="160">
        <v>4.2</v>
      </c>
      <c r="H175" s="161">
        <v>38</v>
      </c>
      <c r="I175" s="161">
        <v>10</v>
      </c>
      <c r="J175" s="161">
        <v>52</v>
      </c>
      <c r="K175" s="160">
        <v>0.49000000000000005</v>
      </c>
    </row>
    <row r="176" spans="1:11" x14ac:dyDescent="0.3">
      <c r="A176" s="156" t="s">
        <v>887</v>
      </c>
      <c r="B176" s="157" t="s">
        <v>888</v>
      </c>
      <c r="C176" s="157">
        <v>2024</v>
      </c>
      <c r="D176" s="158">
        <v>4.1100000000000003</v>
      </c>
      <c r="E176" s="158">
        <v>8.8650000000000002</v>
      </c>
      <c r="F176" s="159">
        <v>7</v>
      </c>
      <c r="G176" s="160">
        <v>5.4</v>
      </c>
      <c r="H176" s="161">
        <v>77</v>
      </c>
      <c r="I176" s="161">
        <v>12</v>
      </c>
      <c r="J176" s="161">
        <v>12</v>
      </c>
      <c r="K176" s="160">
        <v>0.41</v>
      </c>
    </row>
    <row r="177" spans="1:11" x14ac:dyDescent="0.3">
      <c r="A177" s="156" t="s">
        <v>887</v>
      </c>
      <c r="B177" s="157" t="s">
        <v>888</v>
      </c>
      <c r="C177" s="157">
        <v>2024</v>
      </c>
      <c r="D177" s="158">
        <v>4.5185000000000004</v>
      </c>
      <c r="E177" s="158">
        <v>8.4749999999999996</v>
      </c>
      <c r="F177" s="159">
        <v>5.7</v>
      </c>
      <c r="G177" s="160">
        <v>11.3</v>
      </c>
      <c r="H177" s="161">
        <v>48.8</v>
      </c>
      <c r="I177" s="161">
        <v>27</v>
      </c>
      <c r="J177" s="161">
        <v>24.2</v>
      </c>
      <c r="K177" s="160">
        <v>0.35</v>
      </c>
    </row>
    <row r="178" spans="1:11" x14ac:dyDescent="0.3">
      <c r="A178" s="156" t="s">
        <v>887</v>
      </c>
      <c r="B178" s="157" t="s">
        <v>888</v>
      </c>
      <c r="C178" s="157">
        <v>2024</v>
      </c>
      <c r="D178" s="158">
        <v>7.18472222222222</v>
      </c>
      <c r="E178" s="158">
        <v>48.371666666666698</v>
      </c>
      <c r="F178" s="159">
        <v>5.6</v>
      </c>
      <c r="G178" s="160">
        <v>16.100000000000001</v>
      </c>
      <c r="H178" s="161">
        <v>78</v>
      </c>
      <c r="I178" s="161">
        <v>12</v>
      </c>
      <c r="J178" s="161">
        <v>10</v>
      </c>
      <c r="K178" s="160">
        <v>0.16999999999999998</v>
      </c>
    </row>
    <row r="179" spans="1:11" x14ac:dyDescent="0.3">
      <c r="A179" s="156" t="s">
        <v>887</v>
      </c>
      <c r="B179" s="157" t="s">
        <v>888</v>
      </c>
      <c r="C179" s="157">
        <v>2024</v>
      </c>
      <c r="D179" s="158">
        <v>10.1000003814697</v>
      </c>
      <c r="E179" s="158">
        <v>54.333328247070298</v>
      </c>
      <c r="F179" s="159">
        <v>4.4000000000000004</v>
      </c>
      <c r="G179" s="160">
        <v>1.1000000000000001</v>
      </c>
      <c r="H179" s="161">
        <v>83.7</v>
      </c>
      <c r="I179" s="161">
        <v>16</v>
      </c>
      <c r="J179" s="161">
        <v>0.3</v>
      </c>
      <c r="K179" s="160">
        <v>0.18</v>
      </c>
    </row>
    <row r="180" spans="1:11" x14ac:dyDescent="0.3">
      <c r="A180" s="156" t="s">
        <v>887</v>
      </c>
      <c r="B180" s="157" t="s">
        <v>888</v>
      </c>
      <c r="C180" s="157">
        <v>2024</v>
      </c>
      <c r="D180" s="158">
        <v>10.483667000000001</v>
      </c>
      <c r="E180" s="158">
        <v>2.9546670000000002</v>
      </c>
      <c r="F180" s="159">
        <v>5.4</v>
      </c>
      <c r="G180" s="160">
        <v>4.75</v>
      </c>
      <c r="H180" s="161">
        <v>28</v>
      </c>
      <c r="I180" s="161">
        <v>39</v>
      </c>
      <c r="J180" s="161">
        <v>33</v>
      </c>
      <c r="K180" s="160">
        <v>0.1</v>
      </c>
    </row>
    <row r="181" spans="1:11" x14ac:dyDescent="0.3">
      <c r="A181" s="156" t="s">
        <v>887</v>
      </c>
      <c r="B181" s="157" t="s">
        <v>888</v>
      </c>
      <c r="C181" s="157">
        <v>2024</v>
      </c>
      <c r="D181" s="158">
        <v>11.45</v>
      </c>
      <c r="E181" s="158">
        <v>3.6333329999999999</v>
      </c>
      <c r="F181" s="159">
        <v>6.9</v>
      </c>
      <c r="G181" s="160">
        <v>6.3</v>
      </c>
      <c r="H181" s="161">
        <v>47.7</v>
      </c>
      <c r="I181" s="161">
        <v>3.3</v>
      </c>
      <c r="J181" s="161">
        <v>49</v>
      </c>
      <c r="K181" s="160">
        <v>0.43</v>
      </c>
    </row>
    <row r="182" spans="1:11" x14ac:dyDescent="0.3">
      <c r="A182" s="156" t="s">
        <v>887</v>
      </c>
      <c r="B182" s="157" t="s">
        <v>888</v>
      </c>
      <c r="C182" s="157">
        <v>2024</v>
      </c>
      <c r="D182" s="158">
        <v>11.516667</v>
      </c>
      <c r="E182" s="158">
        <v>3.5833330000000001</v>
      </c>
      <c r="F182" s="159">
        <v>4.8</v>
      </c>
      <c r="G182" s="160">
        <v>3.65</v>
      </c>
      <c r="H182" s="161">
        <v>35.299999999999997</v>
      </c>
      <c r="I182" s="161">
        <v>6.9</v>
      </c>
      <c r="J182" s="161">
        <v>57.8</v>
      </c>
      <c r="K182" s="160">
        <v>0.44000000000000006</v>
      </c>
    </row>
    <row r="183" spans="1:11" x14ac:dyDescent="0.3">
      <c r="A183" s="156" t="s">
        <v>887</v>
      </c>
      <c r="B183" s="157" t="s">
        <v>888</v>
      </c>
      <c r="C183" s="157">
        <v>2024</v>
      </c>
      <c r="D183" s="158">
        <v>12.116667</v>
      </c>
      <c r="E183" s="158">
        <v>3.3833329999999999</v>
      </c>
      <c r="F183" s="159">
        <v>5.5</v>
      </c>
      <c r="G183" s="160">
        <v>5.6</v>
      </c>
      <c r="H183" s="161">
        <v>57.1</v>
      </c>
      <c r="I183" s="161">
        <v>9.3000000000000007</v>
      </c>
      <c r="J183" s="161">
        <v>33.6</v>
      </c>
      <c r="K183" s="160">
        <v>1.2</v>
      </c>
    </row>
    <row r="184" spans="1:11" x14ac:dyDescent="0.3">
      <c r="A184" s="156" t="s">
        <v>887</v>
      </c>
      <c r="B184" s="157" t="s">
        <v>888</v>
      </c>
      <c r="C184" s="157">
        <v>2024</v>
      </c>
      <c r="D184" s="158">
        <v>12.716666999999999</v>
      </c>
      <c r="E184" s="158">
        <v>3.9166669999999999</v>
      </c>
      <c r="F184" s="159">
        <v>4.9000000000000004</v>
      </c>
      <c r="G184" s="160">
        <v>2.75</v>
      </c>
      <c r="H184" s="161">
        <v>31</v>
      </c>
      <c r="I184" s="161">
        <v>1.4</v>
      </c>
      <c r="J184" s="161">
        <v>67.599999999999994</v>
      </c>
      <c r="K184" s="160">
        <v>0.45</v>
      </c>
    </row>
    <row r="185" spans="1:11" x14ac:dyDescent="0.3">
      <c r="A185" s="156" t="s">
        <v>887</v>
      </c>
      <c r="B185" s="157" t="s">
        <v>888</v>
      </c>
      <c r="C185" s="157">
        <v>2024</v>
      </c>
      <c r="D185" s="158">
        <v>13.364875</v>
      </c>
      <c r="E185" s="158">
        <v>-12.936119</v>
      </c>
      <c r="F185" s="159">
        <v>8.6999999999999993</v>
      </c>
      <c r="G185" s="160">
        <v>15.1</v>
      </c>
      <c r="H185" s="161">
        <v>83.1</v>
      </c>
      <c r="I185" s="161">
        <v>4.7</v>
      </c>
      <c r="J185" s="161">
        <v>12.3</v>
      </c>
      <c r="K185" s="160">
        <v>0.31</v>
      </c>
    </row>
    <row r="186" spans="1:11" x14ac:dyDescent="0.3">
      <c r="A186" s="156" t="s">
        <v>887</v>
      </c>
      <c r="B186" s="157" t="s">
        <v>888</v>
      </c>
      <c r="C186" s="157">
        <v>2024</v>
      </c>
      <c r="D186" s="158">
        <v>13.372854</v>
      </c>
      <c r="E186" s="158">
        <v>-13.971251000000001</v>
      </c>
      <c r="F186" s="159">
        <v>6.8</v>
      </c>
      <c r="G186" s="160">
        <v>5.3</v>
      </c>
      <c r="H186" s="161">
        <v>88.8</v>
      </c>
      <c r="I186" s="161">
        <v>5.2</v>
      </c>
      <c r="J186" s="161">
        <v>5.3</v>
      </c>
      <c r="K186" s="160">
        <v>0.45999999999999996</v>
      </c>
    </row>
    <row r="187" spans="1:11" x14ac:dyDescent="0.3">
      <c r="A187" s="156" t="s">
        <v>887</v>
      </c>
      <c r="B187" s="157" t="s">
        <v>888</v>
      </c>
      <c r="C187" s="157">
        <v>2024</v>
      </c>
      <c r="D187" s="158">
        <v>13.881546999999999</v>
      </c>
      <c r="E187" s="158">
        <v>-11.586448000000001</v>
      </c>
      <c r="F187" s="159">
        <v>6.8</v>
      </c>
      <c r="G187" s="160">
        <v>8</v>
      </c>
      <c r="H187" s="161">
        <v>57.8</v>
      </c>
      <c r="I187" s="161">
        <v>5.3</v>
      </c>
      <c r="J187" s="161">
        <v>19.899999999999999</v>
      </c>
      <c r="K187" s="160">
        <v>0.41</v>
      </c>
    </row>
    <row r="188" spans="1:11" x14ac:dyDescent="0.3">
      <c r="A188" s="156" t="s">
        <v>887</v>
      </c>
      <c r="B188" s="157" t="s">
        <v>888</v>
      </c>
      <c r="C188" s="157">
        <v>2024</v>
      </c>
      <c r="D188" s="158">
        <v>14.899999599999999</v>
      </c>
      <c r="E188" s="158">
        <v>-5.4499997999999996</v>
      </c>
      <c r="F188" s="159">
        <v>4.5999999999999996</v>
      </c>
      <c r="G188" s="160">
        <v>4.25</v>
      </c>
      <c r="H188" s="161">
        <v>39.9</v>
      </c>
      <c r="I188" s="161">
        <v>24.8</v>
      </c>
      <c r="J188" s="161">
        <v>35.299999999999997</v>
      </c>
      <c r="K188" s="160">
        <v>0.43</v>
      </c>
    </row>
    <row r="189" spans="1:11" x14ac:dyDescent="0.3">
      <c r="A189" s="156" t="s">
        <v>887</v>
      </c>
      <c r="B189" s="157" t="s">
        <v>888</v>
      </c>
      <c r="C189" s="157">
        <v>2024</v>
      </c>
      <c r="D189" s="158">
        <v>15.31884</v>
      </c>
      <c r="E189" s="158">
        <v>-9.9084710000000005</v>
      </c>
      <c r="F189" s="159">
        <v>6.2</v>
      </c>
      <c r="G189" s="160">
        <v>5.4</v>
      </c>
      <c r="H189" s="161">
        <v>89.3</v>
      </c>
      <c r="I189" s="161">
        <v>3.4</v>
      </c>
      <c r="J189" s="161">
        <v>7.3</v>
      </c>
      <c r="K189" s="160">
        <v>0.37</v>
      </c>
    </row>
    <row r="190" spans="1:11" x14ac:dyDescent="0.3">
      <c r="A190" s="156" t="s">
        <v>887</v>
      </c>
      <c r="B190" s="157" t="s">
        <v>888</v>
      </c>
      <c r="C190" s="157">
        <v>2024</v>
      </c>
      <c r="D190" s="158">
        <v>15.782628000000001</v>
      </c>
      <c r="E190" s="158">
        <v>-9.4213310000000003</v>
      </c>
      <c r="F190" s="159">
        <v>6.1</v>
      </c>
      <c r="G190" s="160">
        <v>4.3</v>
      </c>
      <c r="H190" s="161">
        <v>75</v>
      </c>
      <c r="I190" s="161">
        <v>7</v>
      </c>
      <c r="J190" s="161">
        <v>18</v>
      </c>
      <c r="K190" s="160">
        <v>0.89</v>
      </c>
    </row>
    <row r="191" spans="1:11" x14ac:dyDescent="0.3">
      <c r="A191" s="156" t="s">
        <v>887</v>
      </c>
      <c r="B191" s="157" t="s">
        <v>888</v>
      </c>
      <c r="C191" s="157">
        <v>2024</v>
      </c>
      <c r="D191" s="158">
        <v>17.081955000000001</v>
      </c>
      <c r="E191" s="158">
        <v>-9.2745870000000004</v>
      </c>
      <c r="F191" s="159">
        <v>6</v>
      </c>
      <c r="G191" s="160">
        <v>8.1999999999999993</v>
      </c>
      <c r="H191" s="161">
        <v>83.7</v>
      </c>
      <c r="I191" s="161">
        <v>2.2000000000000002</v>
      </c>
      <c r="J191" s="161">
        <v>14.1</v>
      </c>
      <c r="K191" s="160">
        <v>0.89</v>
      </c>
    </row>
    <row r="192" spans="1:11" x14ac:dyDescent="0.3">
      <c r="A192" s="156" t="s">
        <v>887</v>
      </c>
      <c r="B192" s="157" t="s">
        <v>888</v>
      </c>
      <c r="C192" s="157">
        <v>2024</v>
      </c>
      <c r="D192" s="158">
        <v>23.178332999999999</v>
      </c>
      <c r="E192" s="158">
        <v>-20.259722</v>
      </c>
      <c r="F192" s="159">
        <v>8.1</v>
      </c>
      <c r="G192" s="160">
        <v>8.5</v>
      </c>
      <c r="H192" s="161">
        <v>86</v>
      </c>
      <c r="I192" s="161">
        <v>4</v>
      </c>
      <c r="J192" s="161">
        <v>10</v>
      </c>
      <c r="K192" s="160">
        <v>0.2</v>
      </c>
    </row>
    <row r="193" spans="1:11" x14ac:dyDescent="0.3">
      <c r="A193" s="156" t="s">
        <v>887</v>
      </c>
      <c r="B193" s="157" t="s">
        <v>888</v>
      </c>
      <c r="C193" s="157">
        <v>2024</v>
      </c>
      <c r="D193" s="158">
        <v>23.533332999999999</v>
      </c>
      <c r="E193" s="158">
        <v>-19.849443999999998</v>
      </c>
      <c r="F193" s="159">
        <v>6.5</v>
      </c>
      <c r="G193" s="160">
        <v>21.1</v>
      </c>
      <c r="H193" s="161">
        <v>48</v>
      </c>
      <c r="I193" s="161">
        <v>9</v>
      </c>
      <c r="J193" s="161">
        <v>44</v>
      </c>
      <c r="K193" s="160">
        <v>0.2</v>
      </c>
    </row>
    <row r="194" spans="1:11" x14ac:dyDescent="0.3">
      <c r="A194" s="156" t="s">
        <v>887</v>
      </c>
      <c r="B194" s="157" t="s">
        <v>888</v>
      </c>
      <c r="C194" s="157">
        <v>2024</v>
      </c>
      <c r="D194" s="158">
        <v>23.616944</v>
      </c>
      <c r="E194" s="158">
        <v>-19.763611000000001</v>
      </c>
      <c r="F194" s="159">
        <v>6.7</v>
      </c>
      <c r="G194" s="160">
        <v>8.6999999999999993</v>
      </c>
      <c r="H194" s="161">
        <v>77</v>
      </c>
      <c r="I194" s="161">
        <v>9</v>
      </c>
      <c r="J194" s="161">
        <v>14</v>
      </c>
      <c r="K194" s="160">
        <v>1.7</v>
      </c>
    </row>
    <row r="195" spans="1:11" x14ac:dyDescent="0.3">
      <c r="A195" s="156" t="s">
        <v>887</v>
      </c>
      <c r="B195" s="157" t="s">
        <v>888</v>
      </c>
      <c r="C195" s="157">
        <v>2024</v>
      </c>
      <c r="D195" s="158">
        <v>23.628056000000001</v>
      </c>
      <c r="E195" s="158">
        <v>-19.763888999999999</v>
      </c>
      <c r="F195" s="159">
        <v>6.1</v>
      </c>
      <c r="G195" s="160">
        <v>16.3</v>
      </c>
      <c r="H195" s="161">
        <v>47</v>
      </c>
      <c r="I195" s="161">
        <v>13</v>
      </c>
      <c r="J195" s="161">
        <v>35</v>
      </c>
      <c r="K195" s="160">
        <v>0.1</v>
      </c>
    </row>
    <row r="196" spans="1:11" x14ac:dyDescent="0.3">
      <c r="A196" s="156" t="s">
        <v>887</v>
      </c>
      <c r="B196" s="157" t="s">
        <v>888</v>
      </c>
      <c r="C196" s="157">
        <v>2024</v>
      </c>
      <c r="D196" s="158">
        <v>23.8</v>
      </c>
      <c r="E196" s="158">
        <v>-19.133333</v>
      </c>
      <c r="F196" s="159">
        <v>7.5</v>
      </c>
      <c r="G196" s="160">
        <v>7.3</v>
      </c>
      <c r="H196" s="161">
        <v>86</v>
      </c>
      <c r="I196" s="161">
        <v>6</v>
      </c>
      <c r="J196" s="161">
        <v>12</v>
      </c>
      <c r="K196" s="160">
        <v>1.4</v>
      </c>
    </row>
    <row r="197" spans="1:11" x14ac:dyDescent="0.3">
      <c r="A197" s="156" t="s">
        <v>887</v>
      </c>
      <c r="B197" s="157" t="s">
        <v>888</v>
      </c>
      <c r="C197" s="157">
        <v>2024</v>
      </c>
      <c r="D197" s="158">
        <v>24.254166999999999</v>
      </c>
      <c r="E197" s="158">
        <v>-18.263332999999999</v>
      </c>
      <c r="F197" s="159">
        <v>10.1</v>
      </c>
      <c r="G197" s="160">
        <v>47.9</v>
      </c>
      <c r="H197" s="161">
        <v>16</v>
      </c>
      <c r="I197" s="161">
        <v>30</v>
      </c>
      <c r="J197" s="161">
        <v>54</v>
      </c>
      <c r="K197" s="160">
        <v>0.3</v>
      </c>
    </row>
    <row r="198" spans="1:11" x14ac:dyDescent="0.3">
      <c r="A198" s="156" t="s">
        <v>887</v>
      </c>
      <c r="B198" s="157" t="s">
        <v>888</v>
      </c>
      <c r="C198" s="157">
        <v>2024</v>
      </c>
      <c r="D198" s="158">
        <v>24.706944</v>
      </c>
      <c r="E198" s="158">
        <v>-19.551389</v>
      </c>
      <c r="F198" s="159">
        <v>6.7</v>
      </c>
      <c r="G198" s="160">
        <v>4.3</v>
      </c>
      <c r="H198" s="161">
        <v>91</v>
      </c>
      <c r="I198" s="161">
        <v>6</v>
      </c>
      <c r="J198" s="161">
        <v>3</v>
      </c>
      <c r="K198" s="160">
        <v>0.3</v>
      </c>
    </row>
    <row r="199" spans="1:11" x14ac:dyDescent="0.3">
      <c r="A199" s="156" t="s">
        <v>887</v>
      </c>
      <c r="B199" s="157" t="s">
        <v>888</v>
      </c>
      <c r="C199" s="157">
        <v>2024</v>
      </c>
      <c r="D199" s="158">
        <v>24.766667000000002</v>
      </c>
      <c r="E199" s="158">
        <v>-19.915278000000001</v>
      </c>
      <c r="F199" s="159">
        <v>8.1</v>
      </c>
      <c r="G199" s="160">
        <v>45.7</v>
      </c>
      <c r="H199" s="161">
        <v>34</v>
      </c>
      <c r="I199" s="161">
        <v>5</v>
      </c>
      <c r="J199" s="161">
        <v>57</v>
      </c>
      <c r="K199" s="160">
        <v>0.7</v>
      </c>
    </row>
    <row r="200" spans="1:11" x14ac:dyDescent="0.3">
      <c r="A200" s="156" t="s">
        <v>887</v>
      </c>
      <c r="B200" s="157" t="s">
        <v>888</v>
      </c>
      <c r="C200" s="157">
        <v>2024</v>
      </c>
      <c r="D200" s="158">
        <v>25.476111</v>
      </c>
      <c r="E200" s="158">
        <v>-18.604444000000001</v>
      </c>
      <c r="F200" s="159">
        <v>7.7</v>
      </c>
      <c r="G200" s="160">
        <v>39.299999999999997</v>
      </c>
      <c r="H200" s="161">
        <v>28</v>
      </c>
      <c r="I200" s="161">
        <v>8</v>
      </c>
      <c r="J200" s="161">
        <v>64</v>
      </c>
      <c r="K200" s="160">
        <v>0.4</v>
      </c>
    </row>
    <row r="201" spans="1:11" x14ac:dyDescent="0.3">
      <c r="A201" s="156" t="s">
        <v>887</v>
      </c>
      <c r="B201" s="157" t="s">
        <v>888</v>
      </c>
      <c r="C201" s="157">
        <v>2024</v>
      </c>
      <c r="D201" s="158">
        <v>25.628056000000001</v>
      </c>
      <c r="E201" s="158">
        <v>-18.619721999999999</v>
      </c>
      <c r="F201" s="159">
        <v>5.0999999999999996</v>
      </c>
      <c r="G201" s="160">
        <v>1.1499999999999999</v>
      </c>
      <c r="H201" s="161">
        <v>92</v>
      </c>
      <c r="I201" s="161">
        <v>4</v>
      </c>
      <c r="J201" s="161">
        <v>5</v>
      </c>
      <c r="K201" s="160">
        <v>0.2</v>
      </c>
    </row>
    <row r="202" spans="1:11" x14ac:dyDescent="0.3">
      <c r="A202" s="156" t="s">
        <v>887</v>
      </c>
      <c r="B202" s="157" t="s">
        <v>888</v>
      </c>
      <c r="C202" s="157">
        <v>2024</v>
      </c>
      <c r="D202" s="158">
        <v>26.136109999999999</v>
      </c>
      <c r="E202" s="158">
        <v>-25.433330000000002</v>
      </c>
      <c r="F202" s="159">
        <v>6.3</v>
      </c>
      <c r="G202" s="160">
        <v>13.4</v>
      </c>
      <c r="H202" s="161">
        <v>40</v>
      </c>
      <c r="I202" s="161">
        <v>14</v>
      </c>
      <c r="J202" s="161">
        <v>43</v>
      </c>
      <c r="K202" s="160">
        <v>0.5</v>
      </c>
    </row>
    <row r="203" spans="1:11" x14ac:dyDescent="0.3">
      <c r="A203" s="156" t="s">
        <v>887</v>
      </c>
      <c r="B203" s="157" t="s">
        <v>888</v>
      </c>
      <c r="C203" s="157">
        <v>2024</v>
      </c>
      <c r="D203" s="158">
        <v>26.276430999999999</v>
      </c>
      <c r="E203" s="158">
        <v>-15.696697</v>
      </c>
      <c r="F203" s="159">
        <v>4.9000000000000004</v>
      </c>
      <c r="G203" s="160">
        <v>1.5</v>
      </c>
      <c r="H203" s="161">
        <v>89.7</v>
      </c>
      <c r="I203" s="161">
        <v>7.3</v>
      </c>
      <c r="J203" s="161">
        <v>3</v>
      </c>
      <c r="K203" s="160">
        <v>0.13999999999999999</v>
      </c>
    </row>
    <row r="204" spans="1:11" x14ac:dyDescent="0.3">
      <c r="A204" s="156" t="s">
        <v>887</v>
      </c>
      <c r="B204" s="157" t="s">
        <v>888</v>
      </c>
      <c r="C204" s="157">
        <v>2024</v>
      </c>
      <c r="D204" s="158">
        <v>26.627777999999999</v>
      </c>
      <c r="E204" s="158">
        <v>-23.130555999999999</v>
      </c>
      <c r="F204" s="159">
        <v>8.1</v>
      </c>
      <c r="G204" s="160">
        <v>84.3</v>
      </c>
      <c r="H204" s="161">
        <v>18</v>
      </c>
      <c r="I204" s="161">
        <v>4</v>
      </c>
      <c r="J204" s="161">
        <v>78</v>
      </c>
      <c r="K204" s="160">
        <v>0.3</v>
      </c>
    </row>
    <row r="205" spans="1:11" x14ac:dyDescent="0.3">
      <c r="A205" s="156" t="s">
        <v>887</v>
      </c>
      <c r="B205" s="157" t="s">
        <v>888</v>
      </c>
      <c r="C205" s="157">
        <v>2024</v>
      </c>
      <c r="D205" s="158">
        <v>26.837204</v>
      </c>
      <c r="E205" s="158">
        <v>-12.006949000000001</v>
      </c>
      <c r="F205" s="159">
        <v>5.8</v>
      </c>
      <c r="G205" s="160">
        <v>1.25</v>
      </c>
      <c r="H205" s="161">
        <v>41</v>
      </c>
      <c r="I205" s="161">
        <v>29</v>
      </c>
      <c r="J205" s="161">
        <v>30</v>
      </c>
      <c r="K205" s="160">
        <v>0.2</v>
      </c>
    </row>
    <row r="206" spans="1:11" x14ac:dyDescent="0.3">
      <c r="A206" s="156" t="s">
        <v>887</v>
      </c>
      <c r="B206" s="157" t="s">
        <v>888</v>
      </c>
      <c r="C206" s="157">
        <v>2024</v>
      </c>
      <c r="D206" s="158">
        <v>26.893611</v>
      </c>
      <c r="E206" s="158">
        <v>-23.080556000000001</v>
      </c>
      <c r="F206" s="159">
        <v>7</v>
      </c>
      <c r="G206" s="160">
        <v>3.8</v>
      </c>
      <c r="H206" s="161">
        <v>84</v>
      </c>
      <c r="I206" s="161">
        <v>5</v>
      </c>
      <c r="J206" s="161">
        <v>11</v>
      </c>
      <c r="K206" s="160">
        <v>0.3</v>
      </c>
    </row>
    <row r="207" spans="1:11" x14ac:dyDescent="0.3">
      <c r="A207" s="156" t="s">
        <v>887</v>
      </c>
      <c r="B207" s="157" t="s">
        <v>888</v>
      </c>
      <c r="C207" s="157">
        <v>2024</v>
      </c>
      <c r="D207" s="158">
        <v>27.014721999999999</v>
      </c>
      <c r="E207" s="158">
        <v>-22.748888999999998</v>
      </c>
      <c r="F207" s="159">
        <v>5.2</v>
      </c>
      <c r="G207" s="160">
        <v>3.1</v>
      </c>
      <c r="H207" s="161">
        <v>68</v>
      </c>
      <c r="I207" s="161">
        <v>5</v>
      </c>
      <c r="J207" s="161">
        <v>27</v>
      </c>
      <c r="K207" s="160">
        <v>0.3</v>
      </c>
    </row>
    <row r="208" spans="1:11" x14ac:dyDescent="0.3">
      <c r="A208" s="156" t="s">
        <v>887</v>
      </c>
      <c r="B208" s="157" t="s">
        <v>888</v>
      </c>
      <c r="C208" s="157">
        <v>2024</v>
      </c>
      <c r="D208" s="158">
        <v>27.302222</v>
      </c>
      <c r="E208" s="158">
        <v>-20.998888999999998</v>
      </c>
      <c r="F208" s="159">
        <v>5.3</v>
      </c>
      <c r="G208" s="160">
        <v>9.3000000000000007</v>
      </c>
      <c r="H208" s="161">
        <v>70</v>
      </c>
      <c r="I208" s="161">
        <v>4</v>
      </c>
      <c r="J208" s="161">
        <v>26</v>
      </c>
      <c r="K208" s="160">
        <v>0.4</v>
      </c>
    </row>
    <row r="209" spans="1:11" x14ac:dyDescent="0.3">
      <c r="A209" s="156" t="s">
        <v>887</v>
      </c>
      <c r="B209" s="157" t="s">
        <v>888</v>
      </c>
      <c r="C209" s="157">
        <v>2024</v>
      </c>
      <c r="D209" s="158">
        <v>28.041111000000001</v>
      </c>
      <c r="E209" s="158">
        <v>-21.905277999999999</v>
      </c>
      <c r="F209" s="159">
        <v>10.199999999999999</v>
      </c>
      <c r="G209" s="160">
        <v>3.5</v>
      </c>
      <c r="H209" s="161">
        <v>38</v>
      </c>
      <c r="I209" s="161">
        <v>23</v>
      </c>
      <c r="J209" s="161">
        <v>39</v>
      </c>
      <c r="K209" s="160">
        <v>0.1</v>
      </c>
    </row>
    <row r="210" spans="1:11" x14ac:dyDescent="0.3">
      <c r="A210" s="156" t="s">
        <v>887</v>
      </c>
      <c r="B210" s="157" t="s">
        <v>888</v>
      </c>
      <c r="C210" s="157">
        <v>2024</v>
      </c>
      <c r="D210" s="158">
        <v>28.05</v>
      </c>
      <c r="E210" s="158">
        <v>-28.866667</v>
      </c>
      <c r="F210" s="159">
        <v>5.4</v>
      </c>
      <c r="G210" s="160">
        <v>2.65</v>
      </c>
      <c r="H210" s="161">
        <v>50</v>
      </c>
      <c r="I210" s="161">
        <v>31.6</v>
      </c>
      <c r="J210" s="161">
        <v>18.399999999999999</v>
      </c>
      <c r="K210" s="160">
        <v>0.65999999999999992</v>
      </c>
    </row>
    <row r="211" spans="1:11" x14ac:dyDescent="0.3">
      <c r="A211" s="156" t="s">
        <v>887</v>
      </c>
      <c r="B211" s="157" t="s">
        <v>888</v>
      </c>
      <c r="C211" s="157">
        <v>2024</v>
      </c>
      <c r="D211" s="158">
        <v>28.431110400000001</v>
      </c>
      <c r="E211" s="158">
        <v>-20.0333328</v>
      </c>
      <c r="F211" s="159">
        <v>5.0999999999999996</v>
      </c>
      <c r="G211" s="160">
        <v>1</v>
      </c>
      <c r="H211" s="161">
        <v>88</v>
      </c>
      <c r="I211" s="161">
        <v>2.7</v>
      </c>
      <c r="J211" s="161">
        <v>9</v>
      </c>
      <c r="K211" s="160">
        <v>0.1</v>
      </c>
    </row>
    <row r="212" spans="1:11" x14ac:dyDescent="0.3">
      <c r="A212" s="156" t="s">
        <v>887</v>
      </c>
      <c r="B212" s="157" t="s">
        <v>888</v>
      </c>
      <c r="C212" s="157">
        <v>2024</v>
      </c>
      <c r="D212" s="158">
        <v>28.466667000000001</v>
      </c>
      <c r="E212" s="158">
        <v>-15.383333</v>
      </c>
      <c r="F212" s="159">
        <v>6.2</v>
      </c>
      <c r="G212" s="160">
        <v>4.5999999999999996</v>
      </c>
      <c r="H212" s="161">
        <v>42</v>
      </c>
      <c r="I212" s="161">
        <v>16</v>
      </c>
      <c r="J212" s="161">
        <v>42</v>
      </c>
      <c r="K212" s="160">
        <v>0.24</v>
      </c>
    </row>
    <row r="213" spans="1:11" x14ac:dyDescent="0.3">
      <c r="A213" s="156" t="s">
        <v>887</v>
      </c>
      <c r="B213" s="157" t="s">
        <v>888</v>
      </c>
      <c r="C213" s="157">
        <v>2024</v>
      </c>
      <c r="D213" s="158">
        <v>29.332999999999998</v>
      </c>
      <c r="E213" s="158">
        <v>-3.2332999999999998</v>
      </c>
      <c r="F213" s="159">
        <v>6.3</v>
      </c>
      <c r="G213" s="160">
        <v>25.1</v>
      </c>
      <c r="H213" s="161">
        <v>59</v>
      </c>
      <c r="I213" s="161">
        <v>10</v>
      </c>
      <c r="J213" s="161">
        <v>32</v>
      </c>
      <c r="K213" s="160">
        <v>0.1</v>
      </c>
    </row>
    <row r="214" spans="1:11" x14ac:dyDescent="0.3">
      <c r="A214" s="156" t="s">
        <v>887</v>
      </c>
      <c r="B214" s="157" t="s">
        <v>888</v>
      </c>
      <c r="C214" s="157">
        <v>2024</v>
      </c>
      <c r="D214" s="158">
        <v>29.905280000000001</v>
      </c>
      <c r="E214" s="158">
        <v>-31.005279999999999</v>
      </c>
      <c r="F214" s="159">
        <v>5.4</v>
      </c>
      <c r="G214" s="160">
        <v>2.6</v>
      </c>
      <c r="H214" s="161">
        <v>28</v>
      </c>
      <c r="I214" s="161">
        <v>29</v>
      </c>
      <c r="J214" s="161">
        <v>41</v>
      </c>
      <c r="K214" s="160">
        <v>1.02</v>
      </c>
    </row>
    <row r="215" spans="1:11" x14ac:dyDescent="0.3">
      <c r="A215" s="156" t="s">
        <v>887</v>
      </c>
      <c r="B215" s="157" t="s">
        <v>888</v>
      </c>
      <c r="C215" s="157">
        <v>2024</v>
      </c>
      <c r="D215" s="158">
        <v>30.44</v>
      </c>
      <c r="E215" s="158">
        <v>-1.91</v>
      </c>
      <c r="F215" s="159">
        <v>5.4</v>
      </c>
      <c r="G215" s="160">
        <v>7.7</v>
      </c>
      <c r="H215" s="161">
        <v>50</v>
      </c>
      <c r="I215" s="161">
        <v>7</v>
      </c>
      <c r="J215" s="161">
        <v>43</v>
      </c>
      <c r="K215" s="160">
        <v>1.75</v>
      </c>
    </row>
    <row r="216" spans="1:11" x14ac:dyDescent="0.3">
      <c r="A216" s="156" t="s">
        <v>887</v>
      </c>
      <c r="B216" s="157" t="s">
        <v>888</v>
      </c>
      <c r="C216" s="157">
        <v>2024</v>
      </c>
      <c r="D216" s="158">
        <v>30.658332999999999</v>
      </c>
      <c r="E216" s="158">
        <v>-29.45</v>
      </c>
      <c r="F216" s="159">
        <v>5.0999999999999996</v>
      </c>
      <c r="G216" s="160">
        <v>4.1500000000000004</v>
      </c>
      <c r="H216" s="161">
        <v>33.799999999999997</v>
      </c>
      <c r="I216" s="161">
        <v>16.8</v>
      </c>
      <c r="J216" s="161">
        <v>52.4</v>
      </c>
      <c r="K216" s="160">
        <v>0.52</v>
      </c>
    </row>
    <row r="217" spans="1:11" x14ac:dyDescent="0.3">
      <c r="A217" s="156" t="s">
        <v>887</v>
      </c>
      <c r="B217" s="157" t="s">
        <v>888</v>
      </c>
      <c r="C217" s="157">
        <v>2024</v>
      </c>
      <c r="D217" s="158">
        <v>30.67</v>
      </c>
      <c r="E217" s="158">
        <v>-27.473330000000001</v>
      </c>
      <c r="F217" s="159">
        <v>5.4</v>
      </c>
      <c r="G217" s="160">
        <v>2</v>
      </c>
      <c r="H217" s="161">
        <v>28</v>
      </c>
      <c r="I217" s="161">
        <v>13</v>
      </c>
      <c r="J217" s="161">
        <v>57</v>
      </c>
      <c r="K217" s="160">
        <v>1.8</v>
      </c>
    </row>
    <row r="218" spans="1:11" x14ac:dyDescent="0.3">
      <c r="A218" s="156" t="s">
        <v>887</v>
      </c>
      <c r="B218" s="157" t="s">
        <v>888</v>
      </c>
      <c r="C218" s="157">
        <v>2024</v>
      </c>
      <c r="D218" s="158">
        <v>31.044445</v>
      </c>
      <c r="E218" s="158">
        <v>-17.7600002</v>
      </c>
      <c r="F218" s="159">
        <v>5.6</v>
      </c>
      <c r="G218" s="160">
        <v>10.1</v>
      </c>
      <c r="H218" s="161">
        <v>23.1</v>
      </c>
      <c r="I218" s="161">
        <v>17.2</v>
      </c>
      <c r="J218" s="161">
        <v>59.7</v>
      </c>
      <c r="K218" s="160">
        <v>0.37</v>
      </c>
    </row>
    <row r="219" spans="1:11" x14ac:dyDescent="0.3">
      <c r="A219" s="156" t="s">
        <v>887</v>
      </c>
      <c r="B219" s="157" t="s">
        <v>888</v>
      </c>
      <c r="C219" s="157">
        <v>2024</v>
      </c>
      <c r="D219" s="158">
        <v>31.199000000000002</v>
      </c>
      <c r="E219" s="158">
        <v>-27.13</v>
      </c>
      <c r="F219" s="159">
        <v>4.5</v>
      </c>
      <c r="G219" s="160">
        <v>1.2</v>
      </c>
      <c r="H219" s="161">
        <v>58</v>
      </c>
      <c r="I219" s="161">
        <v>4</v>
      </c>
      <c r="J219" s="161">
        <v>38</v>
      </c>
      <c r="K219" s="160">
        <v>1.01</v>
      </c>
    </row>
    <row r="220" spans="1:11" x14ac:dyDescent="0.3">
      <c r="A220" s="156" t="s">
        <v>887</v>
      </c>
      <c r="B220" s="157" t="s">
        <v>888</v>
      </c>
      <c r="C220" s="157">
        <v>2024</v>
      </c>
      <c r="D220" s="158">
        <v>31.558</v>
      </c>
      <c r="E220" s="158">
        <v>-26.431999999999999</v>
      </c>
      <c r="F220" s="159">
        <v>5.5</v>
      </c>
      <c r="G220" s="160">
        <v>5.2</v>
      </c>
      <c r="H220" s="161">
        <v>87</v>
      </c>
      <c r="I220" s="161">
        <v>9</v>
      </c>
      <c r="J220" s="161">
        <v>4</v>
      </c>
      <c r="K220" s="160">
        <v>2.73</v>
      </c>
    </row>
    <row r="221" spans="1:11" x14ac:dyDescent="0.3">
      <c r="A221" s="156" t="s">
        <v>887</v>
      </c>
      <c r="B221" s="157" t="s">
        <v>888</v>
      </c>
      <c r="C221" s="157">
        <v>2024</v>
      </c>
      <c r="D221" s="158">
        <v>31.75</v>
      </c>
      <c r="E221" s="158">
        <v>-19.8</v>
      </c>
      <c r="F221" s="159">
        <v>5.2</v>
      </c>
      <c r="G221" s="160">
        <v>0.6</v>
      </c>
      <c r="H221" s="161">
        <v>77</v>
      </c>
      <c r="I221" s="161">
        <v>10</v>
      </c>
      <c r="J221" s="161">
        <v>13</v>
      </c>
      <c r="K221" s="160">
        <v>0.05</v>
      </c>
    </row>
    <row r="222" spans="1:11" x14ac:dyDescent="0.3">
      <c r="A222" s="156" t="s">
        <v>887</v>
      </c>
      <c r="B222" s="157" t="s">
        <v>888</v>
      </c>
      <c r="C222" s="157">
        <v>2024</v>
      </c>
      <c r="D222" s="158">
        <v>32.204166399999998</v>
      </c>
      <c r="E222" s="158">
        <v>-20.825000800000002</v>
      </c>
      <c r="F222" s="159">
        <v>7.2</v>
      </c>
      <c r="G222" s="160">
        <v>85.4</v>
      </c>
      <c r="H222" s="161">
        <v>8</v>
      </c>
      <c r="I222" s="161">
        <v>19.100000000000001</v>
      </c>
      <c r="J222" s="161">
        <v>74</v>
      </c>
      <c r="K222" s="160">
        <v>1.95</v>
      </c>
    </row>
    <row r="223" spans="1:11" x14ac:dyDescent="0.3">
      <c r="A223" s="156" t="s">
        <v>887</v>
      </c>
      <c r="B223" s="157" t="s">
        <v>888</v>
      </c>
      <c r="C223" s="157">
        <v>2024</v>
      </c>
      <c r="D223" s="158">
        <v>33.409999999999997</v>
      </c>
      <c r="E223" s="158">
        <v>-9.89</v>
      </c>
      <c r="F223" s="159">
        <v>7.4</v>
      </c>
      <c r="G223" s="160">
        <v>19.7</v>
      </c>
      <c r="H223" s="161">
        <v>64</v>
      </c>
      <c r="I223" s="161">
        <v>6</v>
      </c>
      <c r="J223" s="161">
        <v>30</v>
      </c>
      <c r="K223" s="160">
        <v>0.59000000000000008</v>
      </c>
    </row>
    <row r="224" spans="1:11" x14ac:dyDescent="0.3">
      <c r="A224" s="156" t="s">
        <v>887</v>
      </c>
      <c r="B224" s="157" t="s">
        <v>888</v>
      </c>
      <c r="C224" s="157">
        <v>2024</v>
      </c>
      <c r="D224" s="158">
        <v>33.666666999999997</v>
      </c>
      <c r="E224" s="158">
        <v>16.850000000000001</v>
      </c>
      <c r="F224" s="159">
        <v>7.7</v>
      </c>
      <c r="G224" s="160">
        <v>55.4</v>
      </c>
      <c r="H224" s="161">
        <v>44</v>
      </c>
      <c r="I224" s="161">
        <v>14</v>
      </c>
      <c r="J224" s="161">
        <v>42</v>
      </c>
      <c r="K224" s="160">
        <v>0.27999999999999997</v>
      </c>
    </row>
    <row r="225" spans="1:11" x14ac:dyDescent="0.3">
      <c r="A225" s="156" t="s">
        <v>887</v>
      </c>
      <c r="B225" s="157" t="s">
        <v>888</v>
      </c>
      <c r="C225" s="157">
        <v>2024</v>
      </c>
      <c r="D225" s="158">
        <v>34.5</v>
      </c>
      <c r="E225" s="158">
        <v>-0.75138899999999997</v>
      </c>
      <c r="F225" s="159">
        <v>5.3</v>
      </c>
      <c r="G225" s="160">
        <v>22.5</v>
      </c>
      <c r="H225" s="161">
        <v>38.9</v>
      </c>
      <c r="I225" s="161">
        <v>42</v>
      </c>
      <c r="J225" s="161">
        <v>19.100000000000001</v>
      </c>
      <c r="K225" s="160">
        <v>0.85</v>
      </c>
    </row>
    <row r="226" spans="1:11" x14ac:dyDescent="0.3">
      <c r="A226" s="156" t="s">
        <v>887</v>
      </c>
      <c r="B226" s="157" t="s">
        <v>888</v>
      </c>
      <c r="C226" s="157">
        <v>2024</v>
      </c>
      <c r="D226" s="158">
        <v>35.4</v>
      </c>
      <c r="E226" s="158">
        <v>0.5</v>
      </c>
      <c r="F226" s="159">
        <v>5.8</v>
      </c>
      <c r="G226" s="160">
        <v>15.4</v>
      </c>
      <c r="H226" s="161">
        <v>14</v>
      </c>
      <c r="I226" s="161">
        <v>26</v>
      </c>
      <c r="J226" s="161">
        <v>60</v>
      </c>
      <c r="K226" s="160">
        <v>2.2999999999999998</v>
      </c>
    </row>
    <row r="227" spans="1:11" x14ac:dyDescent="0.3">
      <c r="A227" s="156" t="s">
        <v>887</v>
      </c>
      <c r="B227" s="157" t="s">
        <v>888</v>
      </c>
      <c r="C227" s="157">
        <v>2024</v>
      </c>
      <c r="D227" s="158">
        <v>36.648595</v>
      </c>
      <c r="E227" s="158">
        <v>14.264480000000001</v>
      </c>
      <c r="F227" s="159">
        <v>9.1999999999999993</v>
      </c>
      <c r="G227" s="160">
        <v>65.8</v>
      </c>
      <c r="H227" s="161">
        <v>30</v>
      </c>
      <c r="I227" s="161">
        <v>34</v>
      </c>
      <c r="J227" s="161">
        <v>36</v>
      </c>
      <c r="K227" s="160">
        <v>0.5</v>
      </c>
    </row>
    <row r="228" spans="1:11" x14ac:dyDescent="0.3">
      <c r="A228" s="156" t="s">
        <v>887</v>
      </c>
      <c r="B228" s="157" t="s">
        <v>888</v>
      </c>
      <c r="C228" s="157">
        <v>2024</v>
      </c>
      <c r="D228" s="158">
        <v>36.737777999999999</v>
      </c>
      <c r="E228" s="158">
        <v>-1.2502219999999999</v>
      </c>
      <c r="F228" s="159">
        <v>9.1</v>
      </c>
      <c r="G228" s="160">
        <v>89.1</v>
      </c>
      <c r="H228" s="161">
        <v>50.5</v>
      </c>
      <c r="I228" s="161">
        <v>38.6</v>
      </c>
      <c r="J228" s="161">
        <v>10.9</v>
      </c>
      <c r="K228" s="160">
        <v>0</v>
      </c>
    </row>
    <row r="229" spans="1:11" x14ac:dyDescent="0.3">
      <c r="A229" s="156" t="s">
        <v>887</v>
      </c>
      <c r="B229" s="157" t="s">
        <v>888</v>
      </c>
      <c r="C229" s="157">
        <v>2024</v>
      </c>
      <c r="D229" s="158">
        <v>36.752222000000003</v>
      </c>
      <c r="E229" s="158">
        <v>-0.7</v>
      </c>
      <c r="F229" s="159">
        <v>4.5</v>
      </c>
      <c r="G229" s="160">
        <v>5.4</v>
      </c>
      <c r="H229" s="161">
        <v>4.5999999999999996</v>
      </c>
      <c r="I229" s="161">
        <v>39</v>
      </c>
      <c r="J229" s="161">
        <v>56.5</v>
      </c>
      <c r="K229" s="160">
        <v>4.01</v>
      </c>
    </row>
    <row r="230" spans="1:11" x14ac:dyDescent="0.3">
      <c r="A230" s="156" t="s">
        <v>887</v>
      </c>
      <c r="B230" s="157" t="s">
        <v>888</v>
      </c>
      <c r="C230" s="157">
        <v>2024</v>
      </c>
      <c r="D230" s="158">
        <v>36.85</v>
      </c>
      <c r="E230" s="158">
        <v>-0.1166</v>
      </c>
      <c r="F230" s="159">
        <v>8.4</v>
      </c>
      <c r="G230" s="160">
        <v>24.8</v>
      </c>
      <c r="H230" s="161">
        <v>44</v>
      </c>
      <c r="I230" s="161">
        <v>16</v>
      </c>
      <c r="J230" s="161">
        <v>40</v>
      </c>
      <c r="K230" s="160">
        <v>0.42000000000000004</v>
      </c>
    </row>
    <row r="231" spans="1:11" x14ac:dyDescent="0.3">
      <c r="A231" s="156" t="s">
        <v>887</v>
      </c>
      <c r="B231" s="157" t="s">
        <v>888</v>
      </c>
      <c r="C231" s="157">
        <v>2024</v>
      </c>
      <c r="D231" s="158">
        <v>37.033299999999997</v>
      </c>
      <c r="E231" s="158">
        <v>6.6600000000000006E-2</v>
      </c>
      <c r="F231" s="159">
        <v>6.9</v>
      </c>
      <c r="G231" s="160">
        <v>6.2</v>
      </c>
      <c r="H231" s="161">
        <v>34</v>
      </c>
      <c r="I231" s="161">
        <v>12</v>
      </c>
      <c r="J231" s="161">
        <v>62</v>
      </c>
      <c r="K231" s="160">
        <v>0.83000000000000007</v>
      </c>
    </row>
    <row r="232" spans="1:11" x14ac:dyDescent="0.3">
      <c r="A232" s="156" t="s">
        <v>887</v>
      </c>
      <c r="B232" s="157" t="s">
        <v>888</v>
      </c>
      <c r="C232" s="157">
        <v>2024</v>
      </c>
      <c r="D232" s="158">
        <v>37.159999999999997</v>
      </c>
      <c r="E232" s="158">
        <v>-0.7</v>
      </c>
      <c r="F232" s="159">
        <v>6.8</v>
      </c>
      <c r="G232" s="160">
        <v>1.7</v>
      </c>
      <c r="H232" s="161">
        <v>40</v>
      </c>
      <c r="I232" s="161">
        <v>20</v>
      </c>
      <c r="J232" s="161">
        <v>40</v>
      </c>
      <c r="K232" s="160">
        <v>0.05</v>
      </c>
    </row>
    <row r="233" spans="1:11" x14ac:dyDescent="0.3">
      <c r="A233" s="156" t="s">
        <v>887</v>
      </c>
      <c r="B233" s="157" t="s">
        <v>888</v>
      </c>
      <c r="C233" s="157">
        <v>2024</v>
      </c>
      <c r="D233" s="158">
        <v>37.366667</v>
      </c>
      <c r="E233" s="158">
        <v>-1.3769439999999999</v>
      </c>
      <c r="F233" s="159">
        <v>4.7</v>
      </c>
      <c r="G233" s="160">
        <v>9</v>
      </c>
      <c r="H233" s="161">
        <v>31</v>
      </c>
      <c r="I233" s="161">
        <v>8</v>
      </c>
      <c r="J233" s="161">
        <v>61</v>
      </c>
      <c r="K233" s="160">
        <v>0.61</v>
      </c>
    </row>
    <row r="234" spans="1:11" x14ac:dyDescent="0.3">
      <c r="A234" s="156" t="s">
        <v>887</v>
      </c>
      <c r="B234" s="157" t="s">
        <v>888</v>
      </c>
      <c r="C234" s="157">
        <v>2024</v>
      </c>
      <c r="D234" s="158">
        <v>37.619999999999997</v>
      </c>
      <c r="E234" s="158">
        <v>-2.62</v>
      </c>
      <c r="F234" s="159">
        <v>7.5</v>
      </c>
      <c r="G234" s="160">
        <v>76.599999999999994</v>
      </c>
      <c r="H234" s="161">
        <v>32</v>
      </c>
      <c r="I234" s="161">
        <v>25</v>
      </c>
      <c r="J234" s="161">
        <v>43</v>
      </c>
      <c r="K234" s="160">
        <v>1</v>
      </c>
    </row>
    <row r="235" spans="1:11" x14ac:dyDescent="0.3">
      <c r="A235" s="156" t="s">
        <v>887</v>
      </c>
      <c r="B235" s="157" t="s">
        <v>888</v>
      </c>
      <c r="C235" s="157">
        <v>2024</v>
      </c>
      <c r="D235" s="158">
        <v>37.664999999999999</v>
      </c>
      <c r="E235" s="158">
        <v>12.01</v>
      </c>
      <c r="F235" s="159">
        <v>7.2</v>
      </c>
      <c r="G235" s="160">
        <v>47.6</v>
      </c>
      <c r="H235" s="161">
        <v>20</v>
      </c>
      <c r="I235" s="161">
        <v>25</v>
      </c>
      <c r="J235" s="161">
        <v>55</v>
      </c>
      <c r="K235" s="160">
        <v>0.98000000000000009</v>
      </c>
    </row>
    <row r="236" spans="1:11" x14ac:dyDescent="0.3">
      <c r="A236" s="156" t="s">
        <v>887</v>
      </c>
      <c r="B236" s="157" t="s">
        <v>888</v>
      </c>
      <c r="C236" s="157">
        <v>2024</v>
      </c>
      <c r="D236" s="158">
        <v>38.396726999999998</v>
      </c>
      <c r="E236" s="158">
        <v>4.6599089999999999</v>
      </c>
      <c r="F236" s="159">
        <v>6.6</v>
      </c>
      <c r="G236" s="160">
        <v>21.2</v>
      </c>
      <c r="H236" s="161">
        <v>75</v>
      </c>
      <c r="I236" s="161">
        <v>7</v>
      </c>
      <c r="J236" s="161">
        <v>18</v>
      </c>
      <c r="K236" s="160">
        <v>0.43</v>
      </c>
    </row>
    <row r="237" spans="1:11" x14ac:dyDescent="0.3">
      <c r="A237" s="156" t="s">
        <v>887</v>
      </c>
      <c r="B237" s="157" t="s">
        <v>888</v>
      </c>
      <c r="C237" s="157">
        <v>2024</v>
      </c>
      <c r="D237" s="158">
        <v>38.616667</v>
      </c>
      <c r="E237" s="158">
        <v>-5.0999999999999996</v>
      </c>
      <c r="F237" s="159">
        <v>5.6</v>
      </c>
      <c r="G237" s="160">
        <v>2</v>
      </c>
      <c r="H237" s="161">
        <v>34</v>
      </c>
      <c r="I237" s="161">
        <v>18</v>
      </c>
      <c r="J237" s="161">
        <v>48</v>
      </c>
      <c r="K237" s="160">
        <v>0.6</v>
      </c>
    </row>
    <row r="238" spans="1:11" x14ac:dyDescent="0.3">
      <c r="A238" s="156" t="s">
        <v>887</v>
      </c>
      <c r="B238" s="157" t="s">
        <v>888</v>
      </c>
      <c r="C238" s="157">
        <v>2024</v>
      </c>
      <c r="D238" s="158">
        <v>38.763742999999998</v>
      </c>
      <c r="E238" s="158">
        <v>-6.4164029999999999</v>
      </c>
      <c r="F238" s="159">
        <v>5</v>
      </c>
      <c r="G238" s="160">
        <v>2.5</v>
      </c>
      <c r="H238" s="161">
        <v>80</v>
      </c>
      <c r="I238" s="161">
        <v>6</v>
      </c>
      <c r="J238" s="161">
        <v>14</v>
      </c>
      <c r="K238" s="160">
        <v>0.19</v>
      </c>
    </row>
    <row r="239" spans="1:11" x14ac:dyDescent="0.3">
      <c r="A239" s="156" t="s">
        <v>887</v>
      </c>
      <c r="B239" s="157" t="s">
        <v>888</v>
      </c>
      <c r="C239" s="157">
        <v>2024</v>
      </c>
      <c r="D239" s="158">
        <v>38.798811000000001</v>
      </c>
      <c r="E239" s="158">
        <v>4.686375</v>
      </c>
      <c r="F239" s="159">
        <v>7</v>
      </c>
      <c r="G239" s="160">
        <v>25.6</v>
      </c>
      <c r="H239" s="161">
        <v>59</v>
      </c>
      <c r="I239" s="161">
        <v>27</v>
      </c>
      <c r="J239" s="161">
        <v>14</v>
      </c>
      <c r="K239" s="160">
        <v>0.44000000000000006</v>
      </c>
    </row>
    <row r="240" spans="1:11" x14ac:dyDescent="0.3">
      <c r="A240" s="156" t="s">
        <v>887</v>
      </c>
      <c r="B240" s="157" t="s">
        <v>888</v>
      </c>
      <c r="C240" s="157">
        <v>2024</v>
      </c>
      <c r="D240" s="158">
        <v>39.324193999999999</v>
      </c>
      <c r="E240" s="158">
        <v>8.4070280000000004</v>
      </c>
      <c r="F240" s="159">
        <v>6.7</v>
      </c>
      <c r="G240" s="160">
        <v>33.9</v>
      </c>
      <c r="H240" s="161">
        <v>20</v>
      </c>
      <c r="I240" s="161">
        <v>24</v>
      </c>
      <c r="J240" s="161">
        <v>67</v>
      </c>
      <c r="K240" s="160">
        <v>0.76</v>
      </c>
    </row>
    <row r="241" spans="1:11" x14ac:dyDescent="0.3">
      <c r="A241" s="156" t="s">
        <v>887</v>
      </c>
      <c r="B241" s="157" t="s">
        <v>888</v>
      </c>
      <c r="C241" s="157">
        <v>2024</v>
      </c>
      <c r="D241" s="158">
        <v>40.083333000000003</v>
      </c>
      <c r="E241" s="158">
        <v>-14.816667000000001</v>
      </c>
      <c r="F241" s="159">
        <v>7.1</v>
      </c>
      <c r="G241" s="160">
        <v>24.7</v>
      </c>
      <c r="H241" s="161">
        <v>35.1</v>
      </c>
      <c r="I241" s="161">
        <v>23.4</v>
      </c>
      <c r="J241" s="161">
        <v>41.4</v>
      </c>
      <c r="K241" s="160">
        <v>1.92</v>
      </c>
    </row>
    <row r="242" spans="1:11" x14ac:dyDescent="0.3">
      <c r="A242" s="156" t="s">
        <v>887</v>
      </c>
      <c r="B242" s="157" t="s">
        <v>888</v>
      </c>
      <c r="C242" s="157">
        <v>2024</v>
      </c>
      <c r="D242" s="158">
        <v>43.384753000000003</v>
      </c>
      <c r="E242" s="158">
        <v>9.6899280000000001</v>
      </c>
      <c r="F242" s="159">
        <v>8.1</v>
      </c>
      <c r="G242" s="160">
        <v>35.799999999999997</v>
      </c>
      <c r="H242" s="161">
        <v>52</v>
      </c>
      <c r="I242" s="161">
        <v>10</v>
      </c>
      <c r="J242" s="161">
        <v>38</v>
      </c>
      <c r="K242" s="160">
        <v>0.55999999999999994</v>
      </c>
    </row>
    <row r="243" spans="1:11" x14ac:dyDescent="0.3">
      <c r="A243" s="156" t="s">
        <v>887</v>
      </c>
      <c r="B243" s="157" t="s">
        <v>888</v>
      </c>
      <c r="C243" s="157">
        <v>2024</v>
      </c>
      <c r="D243" s="158">
        <v>47.498055999999998</v>
      </c>
      <c r="E243" s="158">
        <v>-21.060555999999998</v>
      </c>
      <c r="F243" s="159">
        <v>4.4000000000000004</v>
      </c>
      <c r="G243" s="160">
        <v>1.3</v>
      </c>
      <c r="H243" s="161">
        <v>46</v>
      </c>
      <c r="I243" s="161">
        <v>33</v>
      </c>
      <c r="J243" s="161">
        <v>30</v>
      </c>
      <c r="K243" s="160">
        <v>1.03</v>
      </c>
    </row>
    <row r="244" spans="1:11" x14ac:dyDescent="0.3">
      <c r="A244" s="156" t="s">
        <v>887</v>
      </c>
      <c r="B244" s="157" t="s">
        <v>888</v>
      </c>
      <c r="C244" s="157">
        <v>2024</v>
      </c>
      <c r="D244" s="158">
        <v>91.495894645287805</v>
      </c>
      <c r="E244" s="158">
        <v>27.1169673205879</v>
      </c>
      <c r="F244" s="159">
        <v>5.2</v>
      </c>
      <c r="G244" s="160">
        <v>1.35</v>
      </c>
      <c r="H244" s="161">
        <v>27.2</v>
      </c>
      <c r="I244" s="161">
        <v>51.4</v>
      </c>
      <c r="J244" s="161">
        <v>21.5</v>
      </c>
      <c r="K244" s="160">
        <v>6.9999999999999993E-2</v>
      </c>
    </row>
    <row r="245" spans="1:11" x14ac:dyDescent="0.3">
      <c r="A245" s="156" t="s">
        <v>887</v>
      </c>
      <c r="B245" s="157" t="s">
        <v>888</v>
      </c>
      <c r="C245" s="157">
        <v>2024</v>
      </c>
      <c r="D245" s="158">
        <v>101.616666666667</v>
      </c>
      <c r="E245" s="158">
        <v>3.0333333333333301</v>
      </c>
      <c r="F245" s="159">
        <v>4.3</v>
      </c>
      <c r="G245" s="160">
        <v>1.3</v>
      </c>
      <c r="H245" s="161">
        <v>75.900000000000006</v>
      </c>
      <c r="I245" s="161">
        <v>4.3</v>
      </c>
      <c r="J245" s="161">
        <v>19.7</v>
      </c>
      <c r="K245" s="160">
        <v>1.41</v>
      </c>
    </row>
    <row r="246" spans="1:11" x14ac:dyDescent="0.3">
      <c r="A246" s="156" t="s">
        <v>887</v>
      </c>
      <c r="B246" s="157" t="s">
        <v>888</v>
      </c>
      <c r="C246" s="157">
        <v>2024</v>
      </c>
      <c r="D246" s="158">
        <v>116.184828</v>
      </c>
      <c r="E246" s="158">
        <v>-32.315446999999999</v>
      </c>
      <c r="F246" s="159">
        <v>6.1</v>
      </c>
      <c r="G246" s="160">
        <v>0.6</v>
      </c>
      <c r="H246" s="161">
        <v>55</v>
      </c>
      <c r="I246" s="161">
        <v>15</v>
      </c>
      <c r="J246" s="161">
        <v>37</v>
      </c>
      <c r="K246" s="160">
        <v>0.55999999999999994</v>
      </c>
    </row>
    <row r="247" spans="1:11" x14ac:dyDescent="0.3">
      <c r="A247" s="156" t="s">
        <v>887</v>
      </c>
      <c r="B247" s="157" t="s">
        <v>888</v>
      </c>
      <c r="C247" s="157">
        <v>2024</v>
      </c>
      <c r="D247" s="158">
        <v>-155.448888888889</v>
      </c>
      <c r="E247" s="158">
        <v>20.0683333333333</v>
      </c>
      <c r="F247" s="159">
        <v>5.2</v>
      </c>
      <c r="G247" s="160">
        <v>0.7</v>
      </c>
      <c r="H247" s="161">
        <v>5</v>
      </c>
      <c r="I247" s="161">
        <v>49</v>
      </c>
      <c r="J247" s="161">
        <v>45</v>
      </c>
      <c r="K247" s="160">
        <v>7.9099999999999993</v>
      </c>
    </row>
    <row r="248" spans="1:11" x14ac:dyDescent="0.3">
      <c r="A248" s="156" t="s">
        <v>887</v>
      </c>
      <c r="B248" s="157" t="s">
        <v>888</v>
      </c>
      <c r="C248" s="157">
        <v>2024</v>
      </c>
      <c r="D248" s="158">
        <v>-155.2250061</v>
      </c>
      <c r="E248" s="158">
        <v>19.551389700000001</v>
      </c>
      <c r="F248" s="159">
        <v>6.2</v>
      </c>
      <c r="G248" s="160">
        <v>10.45</v>
      </c>
      <c r="H248" s="161">
        <v>31.2</v>
      </c>
      <c r="I248" s="161">
        <v>68.8</v>
      </c>
      <c r="J248" s="161">
        <v>0</v>
      </c>
      <c r="K248" s="160">
        <v>7.95</v>
      </c>
    </row>
    <row r="249" spans="1:11" x14ac:dyDescent="0.3">
      <c r="A249" s="156" t="s">
        <v>887</v>
      </c>
      <c r="B249" s="157" t="s">
        <v>888</v>
      </c>
      <c r="C249" s="157">
        <v>2024</v>
      </c>
      <c r="D249" s="158">
        <v>-155.09971619999899</v>
      </c>
      <c r="E249" s="158">
        <v>19.744167300000001</v>
      </c>
      <c r="F249" s="159">
        <v>5.5</v>
      </c>
      <c r="G249" s="160">
        <v>1</v>
      </c>
      <c r="H249" s="161">
        <v>58.6</v>
      </c>
      <c r="I249" s="161">
        <v>24.9</v>
      </c>
      <c r="J249" s="161">
        <v>16.5</v>
      </c>
      <c r="K249" s="160">
        <v>1.65</v>
      </c>
    </row>
    <row r="250" spans="1:11" x14ac:dyDescent="0.3">
      <c r="A250" s="156" t="s">
        <v>887</v>
      </c>
      <c r="B250" s="157" t="s">
        <v>888</v>
      </c>
      <c r="C250" s="157">
        <v>2024</v>
      </c>
      <c r="D250" s="158">
        <v>-151.832305899999</v>
      </c>
      <c r="E250" s="158">
        <v>59.752800000000001</v>
      </c>
      <c r="F250" s="159">
        <v>4.5</v>
      </c>
      <c r="G250" s="160">
        <v>6.95</v>
      </c>
      <c r="H250" s="161">
        <v>32.4</v>
      </c>
      <c r="I250" s="161">
        <v>59.7</v>
      </c>
      <c r="J250" s="161">
        <v>7.9</v>
      </c>
      <c r="K250" s="160">
        <v>3.6700000000000004</v>
      </c>
    </row>
    <row r="251" spans="1:11" x14ac:dyDescent="0.3">
      <c r="A251" s="156" t="s">
        <v>887</v>
      </c>
      <c r="B251" s="157" t="s">
        <v>888</v>
      </c>
      <c r="C251" s="157">
        <v>2024</v>
      </c>
      <c r="D251" s="158">
        <v>-151.23333740000001</v>
      </c>
      <c r="E251" s="158">
        <v>61.5833321</v>
      </c>
      <c r="F251" s="159">
        <v>5.6</v>
      </c>
      <c r="G251" s="160">
        <v>9.5</v>
      </c>
      <c r="H251" s="161">
        <v>30</v>
      </c>
      <c r="I251" s="161">
        <v>65</v>
      </c>
      <c r="J251" s="161">
        <v>5</v>
      </c>
      <c r="K251" s="160">
        <v>1.47</v>
      </c>
    </row>
    <row r="252" spans="1:11" x14ac:dyDescent="0.3">
      <c r="A252" s="156" t="s">
        <v>887</v>
      </c>
      <c r="B252" s="157" t="s">
        <v>888</v>
      </c>
      <c r="C252" s="157">
        <v>2024</v>
      </c>
      <c r="D252" s="158">
        <v>-150.23803710000001</v>
      </c>
      <c r="E252" s="158">
        <v>62.316215499999998</v>
      </c>
      <c r="F252" s="159">
        <v>5.2</v>
      </c>
      <c r="G252" s="160">
        <v>1.3</v>
      </c>
      <c r="H252" s="161">
        <v>80</v>
      </c>
      <c r="I252" s="161">
        <v>70.5</v>
      </c>
      <c r="J252" s="161">
        <v>1.6</v>
      </c>
      <c r="K252" s="160">
        <v>0.19</v>
      </c>
    </row>
    <row r="253" spans="1:11" x14ac:dyDescent="0.3">
      <c r="A253" s="156" t="s">
        <v>887</v>
      </c>
      <c r="B253" s="157" t="s">
        <v>888</v>
      </c>
      <c r="C253" s="157">
        <v>2024</v>
      </c>
      <c r="D253" s="158">
        <v>-148.97999569999899</v>
      </c>
      <c r="E253" s="158">
        <v>63.731945000000003</v>
      </c>
      <c r="F253" s="159">
        <v>5.7</v>
      </c>
      <c r="G253" s="160">
        <v>2.8</v>
      </c>
      <c r="H253" s="161">
        <v>69.599999999999994</v>
      </c>
      <c r="I253" s="161">
        <v>27.4</v>
      </c>
      <c r="J253" s="161">
        <v>3</v>
      </c>
      <c r="K253" s="160">
        <v>0.08</v>
      </c>
    </row>
    <row r="254" spans="1:11" x14ac:dyDescent="0.3">
      <c r="A254" s="156" t="s">
        <v>887</v>
      </c>
      <c r="B254" s="157" t="s">
        <v>888</v>
      </c>
      <c r="C254" s="157">
        <v>2024</v>
      </c>
      <c r="D254" s="158">
        <v>-135.66667179999899</v>
      </c>
      <c r="E254" s="158">
        <v>57.1833344</v>
      </c>
      <c r="F254" s="159">
        <v>5.6</v>
      </c>
      <c r="G254" s="160">
        <v>76.7</v>
      </c>
      <c r="H254" s="161">
        <v>30.3</v>
      </c>
      <c r="I254" s="161">
        <v>44.3</v>
      </c>
      <c r="J254" s="161">
        <v>25.4</v>
      </c>
      <c r="K254" s="160">
        <v>11.67</v>
      </c>
    </row>
    <row r="255" spans="1:11" x14ac:dyDescent="0.3">
      <c r="A255" s="156" t="s">
        <v>887</v>
      </c>
      <c r="B255" s="157" t="s">
        <v>888</v>
      </c>
      <c r="C255" s="157">
        <v>2024</v>
      </c>
      <c r="D255" s="158">
        <v>-133.6125031</v>
      </c>
      <c r="E255" s="158">
        <v>55.966667200000003</v>
      </c>
      <c r="F255" s="159">
        <v>5.0999999999999996</v>
      </c>
      <c r="G255" s="160">
        <v>24</v>
      </c>
      <c r="H255" s="161">
        <v>52.1</v>
      </c>
      <c r="I255" s="161">
        <v>41.6</v>
      </c>
      <c r="J255" s="161">
        <v>6.3</v>
      </c>
      <c r="K255" s="160">
        <v>2.3899999999999997</v>
      </c>
    </row>
    <row r="256" spans="1:11" x14ac:dyDescent="0.3">
      <c r="A256" s="156" t="s">
        <v>887</v>
      </c>
      <c r="B256" s="157" t="s">
        <v>888</v>
      </c>
      <c r="C256" s="157">
        <v>2024</v>
      </c>
      <c r="D256" s="158">
        <v>-132.58332820000001</v>
      </c>
      <c r="E256" s="158">
        <v>55.704166399999998</v>
      </c>
      <c r="F256" s="159">
        <v>3.8</v>
      </c>
      <c r="G256" s="160">
        <v>9</v>
      </c>
      <c r="H256" s="161">
        <v>52.3</v>
      </c>
      <c r="I256" s="161">
        <v>41.9</v>
      </c>
      <c r="J256" s="161">
        <v>5.8</v>
      </c>
      <c r="K256" s="160">
        <v>5.7299999999999995</v>
      </c>
    </row>
    <row r="257" spans="1:11" x14ac:dyDescent="0.3">
      <c r="A257" s="156" t="s">
        <v>887</v>
      </c>
      <c r="B257" s="157" t="s">
        <v>888</v>
      </c>
      <c r="C257" s="157">
        <v>2024</v>
      </c>
      <c r="D257" s="158">
        <v>-124.3219452</v>
      </c>
      <c r="E257" s="158">
        <v>42.135833699999999</v>
      </c>
      <c r="F257" s="159">
        <v>5.4</v>
      </c>
      <c r="G257" s="160">
        <v>9.35</v>
      </c>
      <c r="H257" s="161">
        <v>22.7</v>
      </c>
      <c r="I257" s="161">
        <v>40.6</v>
      </c>
      <c r="J257" s="161">
        <v>36.700000000000003</v>
      </c>
      <c r="K257" s="160">
        <v>5.75</v>
      </c>
    </row>
    <row r="258" spans="1:11" x14ac:dyDescent="0.3">
      <c r="A258" s="156" t="s">
        <v>887</v>
      </c>
      <c r="B258" s="157" t="s">
        <v>888</v>
      </c>
      <c r="C258" s="157">
        <v>2024</v>
      </c>
      <c r="D258" s="158">
        <v>-124.0998001</v>
      </c>
      <c r="E258" s="158">
        <v>43.3898048</v>
      </c>
      <c r="F258" s="159">
        <v>4.4000000000000004</v>
      </c>
      <c r="G258" s="160">
        <v>19.899999999999999</v>
      </c>
      <c r="H258" s="161">
        <v>13.6</v>
      </c>
      <c r="I258" s="161">
        <v>38.700000000000003</v>
      </c>
      <c r="J258" s="161">
        <v>47.7</v>
      </c>
      <c r="K258" s="160">
        <v>0.59000000000000008</v>
      </c>
    </row>
    <row r="259" spans="1:11" x14ac:dyDescent="0.3">
      <c r="A259" s="156" t="s">
        <v>887</v>
      </c>
      <c r="B259" s="157" t="s">
        <v>888</v>
      </c>
      <c r="C259" s="157">
        <v>2024</v>
      </c>
      <c r="D259" s="158">
        <v>-123.86000060000001</v>
      </c>
      <c r="E259" s="158">
        <v>45.485553699999997</v>
      </c>
      <c r="F259" s="159">
        <v>5.0999999999999996</v>
      </c>
      <c r="G259" s="160">
        <v>7.65</v>
      </c>
      <c r="H259" s="161">
        <v>14.3</v>
      </c>
      <c r="I259" s="161">
        <v>58.7</v>
      </c>
      <c r="J259" s="161">
        <v>27</v>
      </c>
      <c r="K259" s="160">
        <v>10.959999999999999</v>
      </c>
    </row>
    <row r="260" spans="1:11" x14ac:dyDescent="0.3">
      <c r="A260" s="156" t="s">
        <v>887</v>
      </c>
      <c r="B260" s="157" t="s">
        <v>888</v>
      </c>
      <c r="C260" s="157">
        <v>2024</v>
      </c>
      <c r="D260" s="158">
        <v>-123.1583328</v>
      </c>
      <c r="E260" s="158">
        <v>47.5416679</v>
      </c>
      <c r="F260" s="159">
        <v>5.3</v>
      </c>
      <c r="G260" s="160">
        <v>18.75</v>
      </c>
      <c r="H260" s="161">
        <v>84.7</v>
      </c>
      <c r="I260" s="161">
        <v>13.1</v>
      </c>
      <c r="J260" s="161">
        <v>2.2000000000000002</v>
      </c>
      <c r="K260" s="160">
        <v>0.62</v>
      </c>
    </row>
    <row r="261" spans="1:11" x14ac:dyDescent="0.3">
      <c r="A261" s="156" t="s">
        <v>887</v>
      </c>
      <c r="B261" s="157" t="s">
        <v>888</v>
      </c>
      <c r="C261" s="157">
        <v>2024</v>
      </c>
      <c r="D261" s="158">
        <v>-122.9563904</v>
      </c>
      <c r="E261" s="158">
        <v>42.234722099999999</v>
      </c>
      <c r="F261" s="159">
        <v>5.8</v>
      </c>
      <c r="G261" s="160">
        <v>24.05</v>
      </c>
      <c r="H261" s="161">
        <v>21.4</v>
      </c>
      <c r="I261" s="161">
        <v>54.4</v>
      </c>
      <c r="J261" s="161">
        <v>24.2</v>
      </c>
      <c r="K261" s="160">
        <v>0.06</v>
      </c>
    </row>
    <row r="262" spans="1:11" x14ac:dyDescent="0.3">
      <c r="A262" s="156" t="s">
        <v>887</v>
      </c>
      <c r="B262" s="157" t="s">
        <v>888</v>
      </c>
      <c r="C262" s="157">
        <v>2024</v>
      </c>
      <c r="D262" s="158">
        <v>-122.9130554</v>
      </c>
      <c r="E262" s="158">
        <v>42.231945000000003</v>
      </c>
      <c r="F262" s="159">
        <v>6.1</v>
      </c>
      <c r="G262" s="160">
        <v>23.1</v>
      </c>
      <c r="H262" s="161">
        <v>27</v>
      </c>
      <c r="I262" s="161">
        <v>52.8</v>
      </c>
      <c r="J262" s="161">
        <v>20.2</v>
      </c>
      <c r="K262" s="160">
        <v>0.3</v>
      </c>
    </row>
    <row r="263" spans="1:11" x14ac:dyDescent="0.3">
      <c r="A263" s="156" t="s">
        <v>887</v>
      </c>
      <c r="B263" s="157" t="s">
        <v>888</v>
      </c>
      <c r="C263" s="157">
        <v>2024</v>
      </c>
      <c r="D263" s="158">
        <v>-122.8913879</v>
      </c>
      <c r="E263" s="158">
        <v>46.628887200000001</v>
      </c>
      <c r="F263" s="159">
        <v>5</v>
      </c>
      <c r="G263" s="160">
        <v>10.050000000000001</v>
      </c>
      <c r="H263" s="161">
        <v>9.9</v>
      </c>
      <c r="I263" s="161">
        <v>26.6</v>
      </c>
      <c r="J263" s="161">
        <v>63.5</v>
      </c>
      <c r="K263" s="160">
        <v>0.22999999999999998</v>
      </c>
    </row>
    <row r="264" spans="1:11" x14ac:dyDescent="0.3">
      <c r="A264" s="156" t="s">
        <v>887</v>
      </c>
      <c r="B264" s="157" t="s">
        <v>888</v>
      </c>
      <c r="C264" s="157">
        <v>2024</v>
      </c>
      <c r="D264" s="158">
        <v>-122.74166870000001</v>
      </c>
      <c r="E264" s="158">
        <v>45.974998499999998</v>
      </c>
      <c r="F264" s="159">
        <v>5</v>
      </c>
      <c r="G264" s="160">
        <v>16.899999999999999</v>
      </c>
      <c r="H264" s="161">
        <v>7.4</v>
      </c>
      <c r="I264" s="161">
        <v>39.200000000000003</v>
      </c>
      <c r="J264" s="161">
        <v>53.4</v>
      </c>
      <c r="K264" s="160">
        <v>0.22999999999999998</v>
      </c>
    </row>
    <row r="265" spans="1:11" x14ac:dyDescent="0.3">
      <c r="A265" s="156" t="s">
        <v>887</v>
      </c>
      <c r="B265" s="157" t="s">
        <v>888</v>
      </c>
      <c r="C265" s="157">
        <v>2024</v>
      </c>
      <c r="D265" s="158">
        <v>-122.248054499999</v>
      </c>
      <c r="E265" s="158">
        <v>46.325000799999998</v>
      </c>
      <c r="F265" s="159">
        <v>4.3</v>
      </c>
      <c r="G265" s="160">
        <v>2.85</v>
      </c>
      <c r="H265" s="161">
        <v>87.3</v>
      </c>
      <c r="I265" s="161">
        <v>11.2</v>
      </c>
      <c r="J265" s="161">
        <v>1.5</v>
      </c>
      <c r="K265" s="160">
        <v>1.72</v>
      </c>
    </row>
    <row r="266" spans="1:11" x14ac:dyDescent="0.3">
      <c r="A266" s="156" t="s">
        <v>887</v>
      </c>
      <c r="B266" s="157" t="s">
        <v>888</v>
      </c>
      <c r="C266" s="157">
        <v>2024</v>
      </c>
      <c r="D266" s="158">
        <v>-121.85111240000001</v>
      </c>
      <c r="E266" s="158">
        <v>36.918056499999999</v>
      </c>
      <c r="F266" s="159">
        <v>6.35</v>
      </c>
      <c r="G266" s="160">
        <v>6</v>
      </c>
      <c r="H266" s="161">
        <v>76.8</v>
      </c>
      <c r="I266" s="161">
        <v>15.8</v>
      </c>
      <c r="J266" s="161">
        <v>7.4</v>
      </c>
      <c r="K266" s="160">
        <v>0.12</v>
      </c>
    </row>
    <row r="267" spans="1:11" x14ac:dyDescent="0.3">
      <c r="A267" s="156" t="s">
        <v>887</v>
      </c>
      <c r="B267" s="157" t="s">
        <v>888</v>
      </c>
      <c r="C267" s="157">
        <v>2024</v>
      </c>
      <c r="D267" s="158">
        <v>-121.5773652</v>
      </c>
      <c r="E267" s="158">
        <v>39.916454799999997</v>
      </c>
      <c r="F267" s="159">
        <v>5.3</v>
      </c>
      <c r="G267" s="160">
        <v>3.95</v>
      </c>
      <c r="H267" s="161">
        <v>32.200000000000003</v>
      </c>
      <c r="I267" s="161">
        <v>50</v>
      </c>
      <c r="J267" s="161">
        <v>17.8</v>
      </c>
      <c r="K267" s="160">
        <v>6.9999999999999993E-2</v>
      </c>
    </row>
    <row r="268" spans="1:11" x14ac:dyDescent="0.3">
      <c r="A268" s="156" t="s">
        <v>887</v>
      </c>
      <c r="B268" s="157" t="s">
        <v>888</v>
      </c>
      <c r="C268" s="157">
        <v>2024</v>
      </c>
      <c r="D268" s="158">
        <v>-120.976387</v>
      </c>
      <c r="E268" s="158">
        <v>39.186943100000001</v>
      </c>
      <c r="F268" s="159">
        <v>5.5</v>
      </c>
      <c r="G268" s="160">
        <v>5.85</v>
      </c>
      <c r="H268" s="161">
        <v>18.8</v>
      </c>
      <c r="I268" s="161">
        <v>38.5</v>
      </c>
      <c r="J268" s="161">
        <v>42.7</v>
      </c>
      <c r="K268" s="160">
        <v>0.51</v>
      </c>
    </row>
    <row r="269" spans="1:11" x14ac:dyDescent="0.3">
      <c r="A269" s="156" t="s">
        <v>887</v>
      </c>
      <c r="B269" s="157" t="s">
        <v>888</v>
      </c>
      <c r="C269" s="157">
        <v>2024</v>
      </c>
      <c r="D269" s="158">
        <v>-119.25096130371</v>
      </c>
      <c r="E269" s="158">
        <v>37.499935150146399</v>
      </c>
      <c r="F269" s="159">
        <v>5.2</v>
      </c>
      <c r="G269" s="160">
        <v>0.9</v>
      </c>
      <c r="H269" s="161">
        <v>88.9</v>
      </c>
      <c r="I269" s="161">
        <v>11.1</v>
      </c>
      <c r="J269" s="161">
        <v>0</v>
      </c>
      <c r="K269" s="160">
        <v>0.54</v>
      </c>
    </row>
    <row r="270" spans="1:11" x14ac:dyDescent="0.3">
      <c r="A270" s="156" t="s">
        <v>887</v>
      </c>
      <c r="B270" s="157" t="s">
        <v>888</v>
      </c>
      <c r="C270" s="157">
        <v>2024</v>
      </c>
      <c r="D270" s="158">
        <v>-119.2166672</v>
      </c>
      <c r="E270" s="158">
        <v>38.2458344</v>
      </c>
      <c r="F270" s="159">
        <v>7.2</v>
      </c>
      <c r="G270" s="160">
        <v>8.9499999999999993</v>
      </c>
      <c r="H270" s="161">
        <v>80.3</v>
      </c>
      <c r="I270" s="161">
        <v>13.6</v>
      </c>
      <c r="J270" s="161">
        <v>6.1</v>
      </c>
      <c r="K270" s="160">
        <v>0.69000000000000006</v>
      </c>
    </row>
    <row r="271" spans="1:11" x14ac:dyDescent="0.3">
      <c r="A271" s="156" t="s">
        <v>887</v>
      </c>
      <c r="B271" s="157" t="s">
        <v>888</v>
      </c>
      <c r="C271" s="157">
        <v>2024</v>
      </c>
      <c r="D271" s="158">
        <v>-118.90638730000001</v>
      </c>
      <c r="E271" s="158">
        <v>37.133888200000001</v>
      </c>
      <c r="F271" s="159">
        <v>5</v>
      </c>
      <c r="G271" s="160">
        <v>2.1</v>
      </c>
      <c r="H271" s="161">
        <v>81.2</v>
      </c>
      <c r="I271" s="161">
        <v>17.5</v>
      </c>
      <c r="J271" s="161">
        <v>1.3</v>
      </c>
      <c r="K271" s="160">
        <v>1.7100000000000002</v>
      </c>
    </row>
    <row r="272" spans="1:11" x14ac:dyDescent="0.3">
      <c r="A272" s="156" t="s">
        <v>887</v>
      </c>
      <c r="B272" s="157" t="s">
        <v>888</v>
      </c>
      <c r="C272" s="157">
        <v>2024</v>
      </c>
      <c r="D272" s="158">
        <v>-118.28194430000001</v>
      </c>
      <c r="E272" s="158">
        <v>44.9636116</v>
      </c>
      <c r="F272" s="159">
        <v>5</v>
      </c>
      <c r="G272" s="160">
        <v>2.8</v>
      </c>
      <c r="H272" s="161">
        <v>79.8</v>
      </c>
      <c r="I272" s="161">
        <v>18.8</v>
      </c>
      <c r="J272" s="161">
        <v>1.4</v>
      </c>
      <c r="K272" s="160">
        <v>1.69</v>
      </c>
    </row>
    <row r="273" spans="1:11" x14ac:dyDescent="0.3">
      <c r="A273" s="156" t="s">
        <v>887</v>
      </c>
      <c r="B273" s="157" t="s">
        <v>888</v>
      </c>
      <c r="C273" s="157">
        <v>2024</v>
      </c>
      <c r="D273" s="158">
        <v>-116.0350876</v>
      </c>
      <c r="E273" s="158">
        <v>41.242122700000003</v>
      </c>
      <c r="F273" s="159">
        <v>5.05</v>
      </c>
      <c r="G273" s="160">
        <v>49</v>
      </c>
      <c r="H273" s="161">
        <v>29.5</v>
      </c>
      <c r="I273" s="161">
        <v>13.3</v>
      </c>
      <c r="J273" s="161">
        <v>57.2</v>
      </c>
      <c r="K273" s="160">
        <v>0.65</v>
      </c>
    </row>
    <row r="274" spans="1:11" x14ac:dyDescent="0.3">
      <c r="A274" s="156" t="s">
        <v>887</v>
      </c>
      <c r="B274" s="157" t="s">
        <v>888</v>
      </c>
      <c r="C274" s="157">
        <v>2024</v>
      </c>
      <c r="D274" s="158">
        <v>-116.020835899999</v>
      </c>
      <c r="E274" s="158">
        <v>45.663887000000003</v>
      </c>
      <c r="F274" s="159">
        <v>5.9333334000000004</v>
      </c>
      <c r="G274" s="160">
        <v>2.7</v>
      </c>
      <c r="H274" s="161">
        <v>45.066665999999998</v>
      </c>
      <c r="I274" s="161">
        <v>51.233333999999999</v>
      </c>
      <c r="J274" s="161">
        <v>3.7</v>
      </c>
      <c r="K274" s="160">
        <v>2.3233334000000001</v>
      </c>
    </row>
    <row r="275" spans="1:11" x14ac:dyDescent="0.3">
      <c r="A275" s="156" t="s">
        <v>887</v>
      </c>
      <c r="B275" s="157" t="s">
        <v>888</v>
      </c>
      <c r="C275" s="157">
        <v>2024</v>
      </c>
      <c r="D275" s="158">
        <v>-115.9597244</v>
      </c>
      <c r="E275" s="158">
        <v>46.534999800000001</v>
      </c>
      <c r="F275" s="159">
        <v>5.2</v>
      </c>
      <c r="G275" s="160">
        <v>6.5</v>
      </c>
      <c r="H275" s="161">
        <v>78.400000000000006</v>
      </c>
      <c r="I275" s="161">
        <v>8.9</v>
      </c>
      <c r="J275" s="161">
        <v>12.7</v>
      </c>
      <c r="K275" s="160">
        <v>0.03</v>
      </c>
    </row>
    <row r="276" spans="1:11" x14ac:dyDescent="0.3">
      <c r="A276" s="156" t="s">
        <v>887</v>
      </c>
      <c r="B276" s="157" t="s">
        <v>888</v>
      </c>
      <c r="C276" s="157">
        <v>2024</v>
      </c>
      <c r="D276" s="158">
        <v>-115.7963867</v>
      </c>
      <c r="E276" s="158">
        <v>46.881111099999998</v>
      </c>
      <c r="F276" s="159">
        <v>5.8</v>
      </c>
      <c r="G276" s="160">
        <v>18.95</v>
      </c>
      <c r="H276" s="161">
        <v>81.7</v>
      </c>
      <c r="I276" s="161">
        <v>13.4</v>
      </c>
      <c r="J276" s="161">
        <v>4.9000000000000004</v>
      </c>
      <c r="K276" s="160">
        <v>0.09</v>
      </c>
    </row>
    <row r="277" spans="1:11" x14ac:dyDescent="0.3">
      <c r="A277" s="156" t="s">
        <v>887</v>
      </c>
      <c r="B277" s="157" t="s">
        <v>888</v>
      </c>
      <c r="C277" s="157">
        <v>2024</v>
      </c>
      <c r="D277" s="158">
        <v>-112.96944430000001</v>
      </c>
      <c r="E277" s="158">
        <v>46.0052795</v>
      </c>
      <c r="F277" s="159">
        <v>4</v>
      </c>
      <c r="G277" s="160">
        <v>33.950000000000003</v>
      </c>
      <c r="H277" s="161">
        <v>62.7</v>
      </c>
      <c r="I277" s="161">
        <v>29.1</v>
      </c>
      <c r="J277" s="161">
        <v>8.1999999999999993</v>
      </c>
      <c r="K277" s="160">
        <v>8.09</v>
      </c>
    </row>
    <row r="278" spans="1:11" x14ac:dyDescent="0.3">
      <c r="A278" s="156" t="s">
        <v>887</v>
      </c>
      <c r="B278" s="157" t="s">
        <v>888</v>
      </c>
      <c r="C278" s="157">
        <v>2024</v>
      </c>
      <c r="D278" s="158">
        <v>-110.5094452</v>
      </c>
      <c r="E278" s="158">
        <v>31.4974995</v>
      </c>
      <c r="F278" s="159">
        <v>4.9000000000000004</v>
      </c>
      <c r="G278" s="160">
        <v>21.8</v>
      </c>
      <c r="H278" s="161">
        <v>60.2</v>
      </c>
      <c r="I278" s="161">
        <v>10.4</v>
      </c>
      <c r="J278" s="161">
        <v>29.4</v>
      </c>
      <c r="K278" s="160">
        <v>0.22999999999999998</v>
      </c>
    </row>
    <row r="279" spans="1:11" x14ac:dyDescent="0.3">
      <c r="A279" s="156" t="s">
        <v>887</v>
      </c>
      <c r="B279" s="157" t="s">
        <v>888</v>
      </c>
      <c r="C279" s="157">
        <v>2024</v>
      </c>
      <c r="D279" s="158">
        <v>-108.86499790000001</v>
      </c>
      <c r="E279" s="158">
        <v>36.075279199999997</v>
      </c>
      <c r="F279" s="159">
        <v>5.9</v>
      </c>
      <c r="G279" s="160">
        <v>15</v>
      </c>
      <c r="H279" s="161">
        <v>67.400000000000006</v>
      </c>
      <c r="I279" s="161">
        <v>25.2</v>
      </c>
      <c r="J279" s="161">
        <v>7.4</v>
      </c>
      <c r="K279" s="160">
        <v>2.58</v>
      </c>
    </row>
    <row r="280" spans="1:11" x14ac:dyDescent="0.3">
      <c r="A280" s="156" t="s">
        <v>887</v>
      </c>
      <c r="B280" s="157" t="s">
        <v>888</v>
      </c>
      <c r="C280" s="157">
        <v>2024</v>
      </c>
      <c r="D280" s="158">
        <v>-107.0263901</v>
      </c>
      <c r="E280" s="158">
        <v>44.0216675</v>
      </c>
      <c r="F280" s="159">
        <v>5.6</v>
      </c>
      <c r="G280" s="160">
        <v>9.4</v>
      </c>
      <c r="H280" s="161">
        <v>82.4</v>
      </c>
      <c r="I280" s="161">
        <v>6.5</v>
      </c>
      <c r="J280" s="161">
        <v>11.1</v>
      </c>
      <c r="K280" s="160">
        <v>0.05</v>
      </c>
    </row>
    <row r="281" spans="1:11" x14ac:dyDescent="0.3">
      <c r="A281" s="156" t="s">
        <v>887</v>
      </c>
      <c r="B281" s="157" t="s">
        <v>888</v>
      </c>
      <c r="C281" s="157">
        <v>2024</v>
      </c>
      <c r="D281" s="158">
        <v>-106.3499985</v>
      </c>
      <c r="E281" s="158">
        <v>37.4583321</v>
      </c>
      <c r="F281" s="159">
        <v>5.5</v>
      </c>
      <c r="G281" s="160">
        <v>14.65</v>
      </c>
      <c r="H281" s="161">
        <v>38.4</v>
      </c>
      <c r="I281" s="161">
        <v>51.2</v>
      </c>
      <c r="J281" s="161">
        <v>10.4</v>
      </c>
      <c r="K281" s="160">
        <v>1.7600000000000002</v>
      </c>
    </row>
    <row r="282" spans="1:11" x14ac:dyDescent="0.3">
      <c r="A282" s="156" t="s">
        <v>887</v>
      </c>
      <c r="B282" s="157" t="s">
        <v>888</v>
      </c>
      <c r="C282" s="157">
        <v>2024</v>
      </c>
      <c r="D282" s="158">
        <v>-105.1577759</v>
      </c>
      <c r="E282" s="158">
        <v>37.295833600000002</v>
      </c>
      <c r="F282" s="159">
        <v>5.3</v>
      </c>
      <c r="G282" s="160">
        <v>11.55</v>
      </c>
      <c r="H282" s="161">
        <v>60.9</v>
      </c>
      <c r="I282" s="161">
        <v>25.8</v>
      </c>
      <c r="J282" s="161">
        <v>13.3</v>
      </c>
      <c r="K282" s="160">
        <v>5.35</v>
      </c>
    </row>
    <row r="283" spans="1:11" x14ac:dyDescent="0.3">
      <c r="A283" s="156" t="s">
        <v>887</v>
      </c>
      <c r="B283" s="157" t="s">
        <v>888</v>
      </c>
      <c r="C283" s="157">
        <v>2024</v>
      </c>
      <c r="D283" s="158">
        <v>-104.0008316</v>
      </c>
      <c r="E283" s="158">
        <v>44.7647209</v>
      </c>
      <c r="F283" s="159">
        <v>4.2</v>
      </c>
      <c r="G283" s="160">
        <v>26.3</v>
      </c>
      <c r="H283" s="161">
        <v>2.5</v>
      </c>
      <c r="I283" s="161">
        <v>39.4</v>
      </c>
      <c r="J283" s="161">
        <v>64</v>
      </c>
      <c r="K283" s="160">
        <v>0.78</v>
      </c>
    </row>
    <row r="284" spans="1:11" x14ac:dyDescent="0.3">
      <c r="A284" s="156" t="s">
        <v>887</v>
      </c>
      <c r="B284" s="157" t="s">
        <v>888</v>
      </c>
      <c r="C284" s="157">
        <v>2024</v>
      </c>
      <c r="D284" s="158">
        <v>-103.99503326416</v>
      </c>
      <c r="E284" s="158">
        <v>44.759120941162102</v>
      </c>
      <c r="F284" s="159">
        <v>4.5</v>
      </c>
      <c r="G284" s="160">
        <v>28.15</v>
      </c>
      <c r="H284" s="161">
        <v>4.5</v>
      </c>
      <c r="I284" s="161">
        <v>35.1</v>
      </c>
      <c r="J284" s="161">
        <v>60.4</v>
      </c>
      <c r="K284" s="160">
        <v>0.74</v>
      </c>
    </row>
    <row r="285" spans="1:11" x14ac:dyDescent="0.3">
      <c r="A285" s="156" t="s">
        <v>887</v>
      </c>
      <c r="B285" s="157" t="s">
        <v>888</v>
      </c>
      <c r="C285" s="157">
        <v>2024</v>
      </c>
      <c r="D285" s="158">
        <v>-96.957221984863196</v>
      </c>
      <c r="E285" s="158">
        <v>28.874433517456001</v>
      </c>
      <c r="F285" s="159">
        <v>7.1</v>
      </c>
      <c r="G285" s="160">
        <v>13</v>
      </c>
      <c r="H285" s="161">
        <v>67.2</v>
      </c>
      <c r="I285" s="161">
        <v>8.1999999999999993</v>
      </c>
      <c r="J285" s="161">
        <v>24.6</v>
      </c>
      <c r="K285" s="160">
        <v>0</v>
      </c>
    </row>
    <row r="286" spans="1:11" x14ac:dyDescent="0.3">
      <c r="A286" s="156" t="s">
        <v>887</v>
      </c>
      <c r="B286" s="157" t="s">
        <v>888</v>
      </c>
      <c r="C286" s="157">
        <v>2024</v>
      </c>
      <c r="D286" s="158">
        <v>-96.616668700000005</v>
      </c>
      <c r="E286" s="158">
        <v>31.032777800000002</v>
      </c>
      <c r="F286" s="159">
        <v>6.65</v>
      </c>
      <c r="G286" s="160">
        <v>8.35</v>
      </c>
      <c r="H286" s="161">
        <v>43.2</v>
      </c>
      <c r="I286" s="161">
        <v>27.1</v>
      </c>
      <c r="J286" s="161">
        <v>29.7</v>
      </c>
      <c r="K286" s="160">
        <v>0.32999999999999996</v>
      </c>
    </row>
    <row r="287" spans="1:11" x14ac:dyDescent="0.3">
      <c r="A287" s="156" t="s">
        <v>887</v>
      </c>
      <c r="B287" s="157" t="s">
        <v>888</v>
      </c>
      <c r="C287" s="157">
        <v>2024</v>
      </c>
      <c r="D287" s="158">
        <v>-96.347778300000002</v>
      </c>
      <c r="E287" s="158">
        <v>40.7247238</v>
      </c>
      <c r="F287" s="159">
        <v>5.2</v>
      </c>
      <c r="G287" s="160">
        <v>10</v>
      </c>
      <c r="H287" s="161">
        <v>47</v>
      </c>
      <c r="I287" s="161">
        <v>37.200000000000003</v>
      </c>
      <c r="J287" s="161">
        <v>15.8</v>
      </c>
      <c r="K287" s="160">
        <v>1.3900000000000001</v>
      </c>
    </row>
    <row r="288" spans="1:11" x14ac:dyDescent="0.3">
      <c r="A288" s="156" t="s">
        <v>887</v>
      </c>
      <c r="B288" s="157" t="s">
        <v>888</v>
      </c>
      <c r="C288" s="157">
        <v>2024</v>
      </c>
      <c r="D288" s="158">
        <v>-95.703331000000006</v>
      </c>
      <c r="E288" s="158">
        <v>30.495277399999999</v>
      </c>
      <c r="F288" s="159">
        <v>4.3</v>
      </c>
      <c r="G288" s="160">
        <v>1.4</v>
      </c>
      <c r="H288" s="161">
        <v>69.5</v>
      </c>
      <c r="I288" s="161">
        <v>5.9</v>
      </c>
      <c r="J288" s="161">
        <v>58.1</v>
      </c>
      <c r="K288" s="160">
        <v>0.04</v>
      </c>
    </row>
    <row r="289" spans="1:11" x14ac:dyDescent="0.3">
      <c r="A289" s="156" t="s">
        <v>887</v>
      </c>
      <c r="B289" s="157" t="s">
        <v>888</v>
      </c>
      <c r="C289" s="157">
        <v>2024</v>
      </c>
      <c r="D289" s="158">
        <v>-95.386085510253906</v>
      </c>
      <c r="E289" s="158">
        <v>35.999809265136697</v>
      </c>
      <c r="F289" s="159">
        <v>7.1</v>
      </c>
      <c r="G289" s="160">
        <v>13.95</v>
      </c>
      <c r="H289" s="161">
        <v>4.8</v>
      </c>
      <c r="I289" s="161">
        <v>54.4</v>
      </c>
      <c r="J289" s="161">
        <v>40.799999999999997</v>
      </c>
      <c r="K289" s="160">
        <v>0.31</v>
      </c>
    </row>
    <row r="290" spans="1:11" x14ac:dyDescent="0.3">
      <c r="A290" s="156" t="s">
        <v>887</v>
      </c>
      <c r="B290" s="157" t="s">
        <v>888</v>
      </c>
      <c r="C290" s="157">
        <v>2024</v>
      </c>
      <c r="D290" s="158">
        <v>-95.099998499999998</v>
      </c>
      <c r="E290" s="158">
        <v>32.436111500000003</v>
      </c>
      <c r="F290" s="159">
        <v>5</v>
      </c>
      <c r="G290" s="160">
        <v>6.25</v>
      </c>
      <c r="H290" s="161">
        <v>54.4</v>
      </c>
      <c r="I290" s="161">
        <v>17.8</v>
      </c>
      <c r="J290" s="161">
        <v>27.8</v>
      </c>
      <c r="K290" s="160">
        <v>0.09</v>
      </c>
    </row>
    <row r="291" spans="1:11" x14ac:dyDescent="0.3">
      <c r="A291" s="156" t="s">
        <v>887</v>
      </c>
      <c r="B291" s="157" t="s">
        <v>888</v>
      </c>
      <c r="C291" s="157">
        <v>2024</v>
      </c>
      <c r="D291" s="158">
        <v>-94.723854099999997</v>
      </c>
      <c r="E291" s="158">
        <v>38.668376899999998</v>
      </c>
      <c r="F291" s="159">
        <v>5.4</v>
      </c>
      <c r="G291" s="160">
        <v>19</v>
      </c>
      <c r="H291" s="161">
        <v>3</v>
      </c>
      <c r="I291" s="161">
        <v>58.1</v>
      </c>
      <c r="J291" s="161">
        <v>38.9</v>
      </c>
      <c r="K291" s="160">
        <v>3.28</v>
      </c>
    </row>
    <row r="292" spans="1:11" x14ac:dyDescent="0.3">
      <c r="A292" s="156" t="s">
        <v>887</v>
      </c>
      <c r="B292" s="157" t="s">
        <v>888</v>
      </c>
      <c r="C292" s="157">
        <v>2024</v>
      </c>
      <c r="D292" s="158">
        <v>-94.711112999999997</v>
      </c>
      <c r="E292" s="158">
        <v>31.261110299999999</v>
      </c>
      <c r="F292" s="159">
        <v>7.6</v>
      </c>
      <c r="G292" s="160">
        <v>3.95</v>
      </c>
      <c r="H292" s="161">
        <v>39.5</v>
      </c>
      <c r="I292" s="161">
        <v>28.2</v>
      </c>
      <c r="J292" s="161">
        <v>32.299999999999997</v>
      </c>
      <c r="K292" s="160">
        <v>0.1</v>
      </c>
    </row>
    <row r="293" spans="1:11" x14ac:dyDescent="0.3">
      <c r="A293" s="156" t="s">
        <v>887</v>
      </c>
      <c r="B293" s="157" t="s">
        <v>888</v>
      </c>
      <c r="C293" s="157">
        <v>2024</v>
      </c>
      <c r="D293" s="158">
        <v>-94.655555699999994</v>
      </c>
      <c r="E293" s="158">
        <v>33.853889500000001</v>
      </c>
      <c r="F293" s="159">
        <v>4.5999999999999996</v>
      </c>
      <c r="G293" s="160">
        <v>5.25</v>
      </c>
      <c r="H293" s="161">
        <v>22.4</v>
      </c>
      <c r="I293" s="161">
        <v>61.8</v>
      </c>
      <c r="J293" s="161">
        <v>15.8</v>
      </c>
      <c r="K293" s="160">
        <v>0.16</v>
      </c>
    </row>
    <row r="294" spans="1:11" x14ac:dyDescent="0.3">
      <c r="A294" s="156" t="s">
        <v>887</v>
      </c>
      <c r="B294" s="157" t="s">
        <v>888</v>
      </c>
      <c r="C294" s="157">
        <v>2024</v>
      </c>
      <c r="D294" s="158">
        <v>-94.613574999999997</v>
      </c>
      <c r="E294" s="158">
        <v>37.1739028</v>
      </c>
      <c r="F294" s="159">
        <v>4.5</v>
      </c>
      <c r="G294" s="160">
        <v>20.9</v>
      </c>
      <c r="H294" s="161">
        <v>10.8</v>
      </c>
      <c r="I294" s="161">
        <v>52.8</v>
      </c>
      <c r="J294" s="161">
        <v>36.299999999999997</v>
      </c>
      <c r="K294" s="160">
        <v>0.2</v>
      </c>
    </row>
    <row r="295" spans="1:11" x14ac:dyDescent="0.3">
      <c r="A295" s="156" t="s">
        <v>887</v>
      </c>
      <c r="B295" s="157" t="s">
        <v>888</v>
      </c>
      <c r="C295" s="157">
        <v>2024</v>
      </c>
      <c r="D295" s="158">
        <v>-94.569166699999997</v>
      </c>
      <c r="E295" s="158">
        <v>37.3580556</v>
      </c>
      <c r="F295" s="159">
        <v>5.0999999999999996</v>
      </c>
      <c r="G295" s="160">
        <v>9</v>
      </c>
      <c r="H295" s="161">
        <v>36.1</v>
      </c>
      <c r="I295" s="161">
        <v>33.200000000000003</v>
      </c>
      <c r="J295" s="161">
        <v>30.7</v>
      </c>
      <c r="K295" s="160">
        <v>0.2</v>
      </c>
    </row>
    <row r="296" spans="1:11" x14ac:dyDescent="0.3">
      <c r="A296" s="156" t="s">
        <v>887</v>
      </c>
      <c r="B296" s="157" t="s">
        <v>888</v>
      </c>
      <c r="C296" s="157">
        <v>2024</v>
      </c>
      <c r="D296" s="158">
        <v>-94.561344399999996</v>
      </c>
      <c r="E296" s="158">
        <v>36.542583299999997</v>
      </c>
      <c r="F296" s="159">
        <v>5</v>
      </c>
      <c r="G296" s="160">
        <v>7</v>
      </c>
      <c r="H296" s="161">
        <v>9.3000000000000007</v>
      </c>
      <c r="I296" s="161">
        <v>77.599999999999994</v>
      </c>
      <c r="J296" s="161">
        <v>28.9</v>
      </c>
      <c r="K296" s="160">
        <v>0.2</v>
      </c>
    </row>
    <row r="297" spans="1:11" x14ac:dyDescent="0.3">
      <c r="A297" s="156" t="s">
        <v>887</v>
      </c>
      <c r="B297" s="157" t="s">
        <v>888</v>
      </c>
      <c r="C297" s="157">
        <v>2024</v>
      </c>
      <c r="D297" s="158">
        <v>-94.501388899999995</v>
      </c>
      <c r="E297" s="158">
        <v>37.516555599999997</v>
      </c>
      <c r="F297" s="159">
        <v>6.2</v>
      </c>
      <c r="G297" s="160">
        <v>21</v>
      </c>
      <c r="H297" s="161">
        <v>22.3</v>
      </c>
      <c r="I297" s="161">
        <v>34.299999999999997</v>
      </c>
      <c r="J297" s="161">
        <v>43.4</v>
      </c>
      <c r="K297" s="160">
        <v>1.1000000000000001</v>
      </c>
    </row>
    <row r="298" spans="1:11" x14ac:dyDescent="0.3">
      <c r="A298" s="156" t="s">
        <v>887</v>
      </c>
      <c r="B298" s="157" t="s">
        <v>888</v>
      </c>
      <c r="C298" s="157">
        <v>2024</v>
      </c>
      <c r="D298" s="158">
        <v>-94.495644400000003</v>
      </c>
      <c r="E298" s="158">
        <v>36.657697200000001</v>
      </c>
      <c r="F298" s="159">
        <v>4.0999999999999996</v>
      </c>
      <c r="G298" s="160">
        <v>4</v>
      </c>
      <c r="H298" s="161">
        <v>5.7</v>
      </c>
      <c r="I298" s="161">
        <v>34.700000000000003</v>
      </c>
      <c r="J298" s="161">
        <v>59.6</v>
      </c>
      <c r="K298" s="160">
        <v>0.1</v>
      </c>
    </row>
    <row r="299" spans="1:11" x14ac:dyDescent="0.3">
      <c r="A299" s="156" t="s">
        <v>887</v>
      </c>
      <c r="B299" s="157" t="s">
        <v>888</v>
      </c>
      <c r="C299" s="157">
        <v>2024</v>
      </c>
      <c r="D299" s="158">
        <v>-94.494514499999994</v>
      </c>
      <c r="E299" s="158">
        <v>36.653083799999997</v>
      </c>
      <c r="F299" s="159">
        <v>4.3</v>
      </c>
      <c r="G299" s="160">
        <v>17.75</v>
      </c>
      <c r="H299" s="161">
        <v>7.5</v>
      </c>
      <c r="I299" s="161">
        <v>27.2</v>
      </c>
      <c r="J299" s="161">
        <v>65.3</v>
      </c>
      <c r="K299" s="160">
        <v>0.1</v>
      </c>
    </row>
    <row r="300" spans="1:11" x14ac:dyDescent="0.3">
      <c r="A300" s="156" t="s">
        <v>887</v>
      </c>
      <c r="B300" s="157" t="s">
        <v>888</v>
      </c>
      <c r="C300" s="157">
        <v>2024</v>
      </c>
      <c r="D300" s="158">
        <v>-94.485105599999997</v>
      </c>
      <c r="E300" s="158">
        <v>37.310244400000002</v>
      </c>
      <c r="F300" s="159">
        <v>4.2</v>
      </c>
      <c r="G300" s="160">
        <v>8.6</v>
      </c>
      <c r="H300" s="161">
        <v>33.5</v>
      </c>
      <c r="I300" s="161">
        <v>36.5</v>
      </c>
      <c r="J300" s="161">
        <v>30</v>
      </c>
      <c r="K300" s="160">
        <v>0.8</v>
      </c>
    </row>
    <row r="301" spans="1:11" x14ac:dyDescent="0.3">
      <c r="A301" s="156" t="s">
        <v>887</v>
      </c>
      <c r="B301" s="157" t="s">
        <v>888</v>
      </c>
      <c r="C301" s="157">
        <v>2024</v>
      </c>
      <c r="D301" s="158">
        <v>-94.416389499999994</v>
      </c>
      <c r="E301" s="158">
        <v>29.9950008</v>
      </c>
      <c r="F301" s="159">
        <v>5.4</v>
      </c>
      <c r="G301" s="160">
        <v>23.05</v>
      </c>
      <c r="H301" s="161">
        <v>9.6</v>
      </c>
      <c r="I301" s="161">
        <v>44.9</v>
      </c>
      <c r="J301" s="161">
        <v>45.5</v>
      </c>
      <c r="K301" s="160">
        <v>1.1800000000000002</v>
      </c>
    </row>
    <row r="302" spans="1:11" x14ac:dyDescent="0.3">
      <c r="A302" s="156" t="s">
        <v>887</v>
      </c>
      <c r="B302" s="157" t="s">
        <v>888</v>
      </c>
      <c r="C302" s="157">
        <v>2024</v>
      </c>
      <c r="D302" s="158">
        <v>-94.383560200000005</v>
      </c>
      <c r="E302" s="158">
        <v>37.033401499999997</v>
      </c>
      <c r="F302" s="159">
        <v>7.1</v>
      </c>
      <c r="G302" s="160">
        <v>17.95</v>
      </c>
      <c r="H302" s="161">
        <v>9.8000000000000007</v>
      </c>
      <c r="I302" s="161">
        <v>68.900000000000006</v>
      </c>
      <c r="J302" s="161">
        <v>21.3</v>
      </c>
      <c r="K302" s="160">
        <v>1.49</v>
      </c>
    </row>
    <row r="303" spans="1:11" x14ac:dyDescent="0.3">
      <c r="A303" s="156" t="s">
        <v>887</v>
      </c>
      <c r="B303" s="157" t="s">
        <v>888</v>
      </c>
      <c r="C303" s="157">
        <v>2024</v>
      </c>
      <c r="D303" s="158">
        <v>-94.3352778</v>
      </c>
      <c r="E303" s="158">
        <v>29.992775000000002</v>
      </c>
      <c r="F303" s="159">
        <v>4.75</v>
      </c>
      <c r="G303" s="160">
        <v>32.15</v>
      </c>
      <c r="H303" s="161">
        <v>10.3</v>
      </c>
      <c r="I303" s="161">
        <v>32</v>
      </c>
      <c r="J303" s="161">
        <v>57.7</v>
      </c>
      <c r="K303" s="160">
        <v>0.44000000000000006</v>
      </c>
    </row>
    <row r="304" spans="1:11" x14ac:dyDescent="0.3">
      <c r="A304" s="156" t="s">
        <v>887</v>
      </c>
      <c r="B304" s="157" t="s">
        <v>888</v>
      </c>
      <c r="C304" s="157">
        <v>2024</v>
      </c>
      <c r="D304" s="158">
        <v>-94.314833300000004</v>
      </c>
      <c r="E304" s="158">
        <v>30.479749999999999</v>
      </c>
      <c r="F304" s="159">
        <v>5.0999999999999996</v>
      </c>
      <c r="G304" s="160">
        <v>1.75</v>
      </c>
      <c r="H304" s="161">
        <v>68.400000000000006</v>
      </c>
      <c r="I304" s="161">
        <v>25.3</v>
      </c>
      <c r="J304" s="161">
        <v>6.3</v>
      </c>
      <c r="K304" s="160">
        <v>0.03</v>
      </c>
    </row>
    <row r="305" spans="1:11" x14ac:dyDescent="0.3">
      <c r="A305" s="156" t="s">
        <v>887</v>
      </c>
      <c r="B305" s="157" t="s">
        <v>888</v>
      </c>
      <c r="C305" s="157">
        <v>2024</v>
      </c>
      <c r="D305" s="158">
        <v>-94.3057917</v>
      </c>
      <c r="E305" s="158">
        <v>36.8103056</v>
      </c>
      <c r="F305" s="159">
        <v>5.5</v>
      </c>
      <c r="G305" s="160">
        <v>10</v>
      </c>
      <c r="H305" s="161">
        <v>26</v>
      </c>
      <c r="I305" s="161">
        <v>59.8</v>
      </c>
      <c r="J305" s="161">
        <v>14.2</v>
      </c>
      <c r="K305" s="160">
        <v>26.5</v>
      </c>
    </row>
    <row r="306" spans="1:11" x14ac:dyDescent="0.3">
      <c r="A306" s="156" t="s">
        <v>887</v>
      </c>
      <c r="B306" s="157" t="s">
        <v>888</v>
      </c>
      <c r="C306" s="157">
        <v>2024</v>
      </c>
      <c r="D306" s="158">
        <v>-94.302780200000001</v>
      </c>
      <c r="E306" s="158">
        <v>37.487220800000003</v>
      </c>
      <c r="F306" s="159">
        <v>4.9000000000000004</v>
      </c>
      <c r="G306" s="160">
        <v>6.75</v>
      </c>
      <c r="H306" s="161">
        <v>47.6</v>
      </c>
      <c r="I306" s="161">
        <v>30.4</v>
      </c>
      <c r="J306" s="161">
        <v>22</v>
      </c>
      <c r="K306" s="160">
        <v>0.67</v>
      </c>
    </row>
    <row r="307" spans="1:11" x14ac:dyDescent="0.3">
      <c r="A307" s="156" t="s">
        <v>887</v>
      </c>
      <c r="B307" s="157" t="s">
        <v>888</v>
      </c>
      <c r="C307" s="157">
        <v>2024</v>
      </c>
      <c r="D307" s="158">
        <v>-94.298611100000002</v>
      </c>
      <c r="E307" s="158">
        <v>29.936111100000002</v>
      </c>
      <c r="F307" s="159">
        <v>5</v>
      </c>
      <c r="G307" s="160">
        <v>1.1000000000000001</v>
      </c>
      <c r="H307" s="161">
        <v>87.9</v>
      </c>
      <c r="I307" s="161">
        <v>9.3000000000000007</v>
      </c>
      <c r="J307" s="161">
        <v>2.8</v>
      </c>
      <c r="K307" s="160">
        <v>0.22000000000000003</v>
      </c>
    </row>
    <row r="308" spans="1:11" x14ac:dyDescent="0.3">
      <c r="A308" s="156" t="s">
        <v>887</v>
      </c>
      <c r="B308" s="157" t="s">
        <v>888</v>
      </c>
      <c r="C308" s="157">
        <v>2024</v>
      </c>
      <c r="D308" s="158">
        <v>-94.284955600000004</v>
      </c>
      <c r="E308" s="158">
        <v>37.152563899999997</v>
      </c>
      <c r="F308" s="159">
        <v>5.5</v>
      </c>
      <c r="G308" s="160">
        <v>8</v>
      </c>
      <c r="H308" s="161">
        <v>17.600000000000001</v>
      </c>
      <c r="I308" s="161">
        <v>38.5</v>
      </c>
      <c r="J308" s="161">
        <v>43.9</v>
      </c>
      <c r="K308" s="160">
        <v>0.1</v>
      </c>
    </row>
    <row r="309" spans="1:11" x14ac:dyDescent="0.3">
      <c r="A309" s="156" t="s">
        <v>887</v>
      </c>
      <c r="B309" s="157" t="s">
        <v>888</v>
      </c>
      <c r="C309" s="157">
        <v>2024</v>
      </c>
      <c r="D309" s="158">
        <v>-94.270250000000004</v>
      </c>
      <c r="E309" s="158">
        <v>36.631227799999998</v>
      </c>
      <c r="F309" s="159">
        <v>5.5</v>
      </c>
      <c r="G309" s="160">
        <v>3</v>
      </c>
      <c r="H309" s="161">
        <v>27.8</v>
      </c>
      <c r="I309" s="161">
        <v>58.5</v>
      </c>
      <c r="J309" s="161">
        <v>13.7</v>
      </c>
      <c r="K309" s="160">
        <v>0.3</v>
      </c>
    </row>
    <row r="310" spans="1:11" x14ac:dyDescent="0.3">
      <c r="A310" s="156" t="s">
        <v>887</v>
      </c>
      <c r="B310" s="157" t="s">
        <v>888</v>
      </c>
      <c r="C310" s="157">
        <v>2024</v>
      </c>
      <c r="D310" s="158">
        <v>-94.227558299999998</v>
      </c>
      <c r="E310" s="158">
        <v>37.201999999999998</v>
      </c>
      <c r="F310" s="159">
        <v>5.9</v>
      </c>
      <c r="G310" s="160">
        <v>9</v>
      </c>
      <c r="H310" s="161">
        <v>8.1</v>
      </c>
      <c r="I310" s="161">
        <v>64.2</v>
      </c>
      <c r="J310" s="161">
        <v>27.7</v>
      </c>
      <c r="K310" s="160">
        <v>0.7</v>
      </c>
    </row>
    <row r="311" spans="1:11" x14ac:dyDescent="0.3">
      <c r="A311" s="156" t="s">
        <v>887</v>
      </c>
      <c r="B311" s="157" t="s">
        <v>888</v>
      </c>
      <c r="C311" s="157">
        <v>2024</v>
      </c>
      <c r="D311" s="158">
        <v>-94.208055599999994</v>
      </c>
      <c r="E311" s="158">
        <v>36.714722199999997</v>
      </c>
      <c r="F311" s="159">
        <v>5.0999999999999996</v>
      </c>
      <c r="G311" s="160">
        <v>16</v>
      </c>
      <c r="H311" s="161">
        <v>28.8</v>
      </c>
      <c r="I311" s="161">
        <v>44.7</v>
      </c>
      <c r="J311" s="161">
        <v>26.5</v>
      </c>
      <c r="K311" s="160">
        <v>0.1</v>
      </c>
    </row>
    <row r="312" spans="1:11" x14ac:dyDescent="0.3">
      <c r="A312" s="156" t="s">
        <v>887</v>
      </c>
      <c r="B312" s="157" t="s">
        <v>888</v>
      </c>
      <c r="C312" s="157">
        <v>2024</v>
      </c>
      <c r="D312" s="158">
        <v>-94.186719400000001</v>
      </c>
      <c r="E312" s="158">
        <v>37.175077799999997</v>
      </c>
      <c r="F312" s="159">
        <v>5.3</v>
      </c>
      <c r="G312" s="160">
        <v>7</v>
      </c>
      <c r="H312" s="161">
        <v>9.9</v>
      </c>
      <c r="I312" s="161">
        <v>77</v>
      </c>
      <c r="J312" s="161">
        <v>13.1</v>
      </c>
      <c r="K312" s="160">
        <v>2.2000000000000002</v>
      </c>
    </row>
    <row r="313" spans="1:11" x14ac:dyDescent="0.3">
      <c r="A313" s="156" t="s">
        <v>887</v>
      </c>
      <c r="B313" s="157" t="s">
        <v>888</v>
      </c>
      <c r="C313" s="157">
        <v>2024</v>
      </c>
      <c r="D313" s="158">
        <v>-94.186388899999997</v>
      </c>
      <c r="E313" s="158">
        <v>37.198333300000002</v>
      </c>
      <c r="F313" s="159">
        <v>6.8</v>
      </c>
      <c r="G313" s="160">
        <v>19</v>
      </c>
      <c r="H313" s="161">
        <v>11.2</v>
      </c>
      <c r="I313" s="161">
        <v>74.8</v>
      </c>
      <c r="J313" s="161">
        <v>14</v>
      </c>
      <c r="K313" s="160">
        <v>1.4</v>
      </c>
    </row>
    <row r="314" spans="1:11" x14ac:dyDescent="0.3">
      <c r="A314" s="156" t="s">
        <v>887</v>
      </c>
      <c r="B314" s="157" t="s">
        <v>888</v>
      </c>
      <c r="C314" s="157">
        <v>2024</v>
      </c>
      <c r="D314" s="158">
        <v>-94.176594399999999</v>
      </c>
      <c r="E314" s="158">
        <v>37.128658299999998</v>
      </c>
      <c r="F314" s="159">
        <v>6.3</v>
      </c>
      <c r="G314" s="160">
        <v>9</v>
      </c>
      <c r="H314" s="161">
        <v>7.4</v>
      </c>
      <c r="I314" s="161">
        <v>56.6</v>
      </c>
      <c r="J314" s="161">
        <v>36</v>
      </c>
      <c r="K314" s="160">
        <v>0.5</v>
      </c>
    </row>
    <row r="315" spans="1:11" x14ac:dyDescent="0.3">
      <c r="A315" s="156" t="s">
        <v>887</v>
      </c>
      <c r="B315" s="157" t="s">
        <v>888</v>
      </c>
      <c r="C315" s="157">
        <v>2024</v>
      </c>
      <c r="D315" s="158">
        <v>-94.166969300000005</v>
      </c>
      <c r="E315" s="158">
        <v>39.830944100000004</v>
      </c>
      <c r="F315" s="159">
        <v>6.3</v>
      </c>
      <c r="G315" s="160">
        <v>26</v>
      </c>
      <c r="H315" s="161">
        <v>9.4</v>
      </c>
      <c r="I315" s="161">
        <v>45.4</v>
      </c>
      <c r="J315" s="161">
        <v>45.2</v>
      </c>
      <c r="K315" s="160">
        <v>0.3</v>
      </c>
    </row>
    <row r="316" spans="1:11" x14ac:dyDescent="0.3">
      <c r="A316" s="156" t="s">
        <v>887</v>
      </c>
      <c r="B316" s="157" t="s">
        <v>888</v>
      </c>
      <c r="C316" s="157">
        <v>2024</v>
      </c>
      <c r="D316" s="158">
        <v>-94.162547200000006</v>
      </c>
      <c r="E316" s="158">
        <v>37.1000972</v>
      </c>
      <c r="F316" s="159">
        <v>5.3</v>
      </c>
      <c r="G316" s="160">
        <v>9</v>
      </c>
      <c r="H316" s="161">
        <v>4</v>
      </c>
      <c r="I316" s="161">
        <v>52</v>
      </c>
      <c r="J316" s="161">
        <v>44</v>
      </c>
      <c r="K316" s="160">
        <v>0.2</v>
      </c>
    </row>
    <row r="317" spans="1:11" x14ac:dyDescent="0.3">
      <c r="A317" s="156" t="s">
        <v>887</v>
      </c>
      <c r="B317" s="157" t="s">
        <v>888</v>
      </c>
      <c r="C317" s="157">
        <v>2024</v>
      </c>
      <c r="D317" s="158">
        <v>-94.159322200000005</v>
      </c>
      <c r="E317" s="158">
        <v>37.277372200000002</v>
      </c>
      <c r="F317" s="159">
        <v>6</v>
      </c>
      <c r="G317" s="160">
        <v>16</v>
      </c>
      <c r="H317" s="161">
        <v>8.6</v>
      </c>
      <c r="I317" s="161">
        <v>57.3</v>
      </c>
      <c r="J317" s="161">
        <v>34.1</v>
      </c>
      <c r="K317" s="160">
        <v>0.8</v>
      </c>
    </row>
    <row r="318" spans="1:11" x14ac:dyDescent="0.3">
      <c r="A318" s="156" t="s">
        <v>887</v>
      </c>
      <c r="B318" s="157" t="s">
        <v>888</v>
      </c>
      <c r="C318" s="157">
        <v>2024</v>
      </c>
      <c r="D318" s="158">
        <v>-94.158713899999995</v>
      </c>
      <c r="E318" s="158">
        <v>37.347963900000003</v>
      </c>
      <c r="F318" s="159">
        <v>7.7</v>
      </c>
      <c r="G318" s="160">
        <v>22</v>
      </c>
      <c r="H318" s="161">
        <v>10.4</v>
      </c>
      <c r="I318" s="161">
        <v>36.9</v>
      </c>
      <c r="J318" s="161">
        <v>52.8</v>
      </c>
      <c r="K318" s="160">
        <v>0.3</v>
      </c>
    </row>
    <row r="319" spans="1:11" x14ac:dyDescent="0.3">
      <c r="A319" s="156" t="s">
        <v>887</v>
      </c>
      <c r="B319" s="157" t="s">
        <v>888</v>
      </c>
      <c r="C319" s="157">
        <v>2024</v>
      </c>
      <c r="D319" s="158">
        <v>-94.127327800000003</v>
      </c>
      <c r="E319" s="158">
        <v>36.7335639</v>
      </c>
      <c r="F319" s="159">
        <v>4.7</v>
      </c>
      <c r="G319" s="160">
        <v>14</v>
      </c>
      <c r="H319" s="161">
        <v>9.1999999999999993</v>
      </c>
      <c r="I319" s="161">
        <v>25.8</v>
      </c>
      <c r="J319" s="161">
        <v>65</v>
      </c>
      <c r="K319" s="160">
        <v>0.1</v>
      </c>
    </row>
    <row r="320" spans="1:11" x14ac:dyDescent="0.3">
      <c r="A320" s="156" t="s">
        <v>887</v>
      </c>
      <c r="B320" s="157" t="s">
        <v>888</v>
      </c>
      <c r="C320" s="157">
        <v>2024</v>
      </c>
      <c r="D320" s="158">
        <v>-94.116666699999996</v>
      </c>
      <c r="E320" s="158">
        <v>37.139722200000001</v>
      </c>
      <c r="F320" s="159">
        <v>7</v>
      </c>
      <c r="G320" s="160">
        <v>7</v>
      </c>
      <c r="H320" s="161">
        <v>5.2</v>
      </c>
      <c r="I320" s="161">
        <v>78.400000000000006</v>
      </c>
      <c r="J320" s="161">
        <v>16.399999999999999</v>
      </c>
      <c r="K320" s="160">
        <v>1.4</v>
      </c>
    </row>
    <row r="321" spans="1:11" x14ac:dyDescent="0.3">
      <c r="A321" s="156" t="s">
        <v>887</v>
      </c>
      <c r="B321" s="157" t="s">
        <v>888</v>
      </c>
      <c r="C321" s="157">
        <v>2024</v>
      </c>
      <c r="D321" s="158">
        <v>-94.111313899999999</v>
      </c>
      <c r="E321" s="158">
        <v>37.2034722</v>
      </c>
      <c r="F321" s="159">
        <v>6</v>
      </c>
      <c r="G321" s="160">
        <v>9.75</v>
      </c>
      <c r="H321" s="161">
        <v>7.9</v>
      </c>
      <c r="I321" s="161">
        <v>79.2</v>
      </c>
      <c r="J321" s="161">
        <v>12.9</v>
      </c>
      <c r="K321" s="160">
        <v>0.9</v>
      </c>
    </row>
    <row r="322" spans="1:11" x14ac:dyDescent="0.3">
      <c r="A322" s="156" t="s">
        <v>887</v>
      </c>
      <c r="B322" s="157" t="s">
        <v>888</v>
      </c>
      <c r="C322" s="157">
        <v>2024</v>
      </c>
      <c r="D322" s="158">
        <v>-94.106375</v>
      </c>
      <c r="E322" s="158">
        <v>36.740558299999996</v>
      </c>
      <c r="F322" s="159">
        <v>4.3</v>
      </c>
      <c r="G322" s="160">
        <v>12</v>
      </c>
      <c r="H322" s="161">
        <v>14.5</v>
      </c>
      <c r="I322" s="161">
        <v>37.1</v>
      </c>
      <c r="J322" s="161">
        <v>48.4</v>
      </c>
      <c r="K322" s="160">
        <v>0.1</v>
      </c>
    </row>
    <row r="323" spans="1:11" x14ac:dyDescent="0.3">
      <c r="A323" s="156" t="s">
        <v>887</v>
      </c>
      <c r="B323" s="157" t="s">
        <v>888</v>
      </c>
      <c r="C323" s="157">
        <v>2024</v>
      </c>
      <c r="D323" s="158">
        <v>-94.082213899999999</v>
      </c>
      <c r="E323" s="158">
        <v>37.3432806</v>
      </c>
      <c r="F323" s="159">
        <v>5</v>
      </c>
      <c r="G323" s="160">
        <v>11.4</v>
      </c>
      <c r="H323" s="161">
        <v>69.599999999999994</v>
      </c>
      <c r="I323" s="161">
        <v>17.8</v>
      </c>
      <c r="J323" s="161">
        <v>12.6</v>
      </c>
      <c r="K323" s="160">
        <v>0.4</v>
      </c>
    </row>
    <row r="324" spans="1:11" x14ac:dyDescent="0.3">
      <c r="A324" s="156" t="s">
        <v>887</v>
      </c>
      <c r="B324" s="157" t="s">
        <v>888</v>
      </c>
      <c r="C324" s="157">
        <v>2024</v>
      </c>
      <c r="D324" s="158">
        <v>-94.052674999999994</v>
      </c>
      <c r="E324" s="158">
        <v>37.517975</v>
      </c>
      <c r="F324" s="159">
        <v>6.1</v>
      </c>
      <c r="G324" s="160">
        <v>7</v>
      </c>
      <c r="H324" s="161">
        <v>34.799999999999997</v>
      </c>
      <c r="I324" s="161">
        <v>49.4</v>
      </c>
      <c r="J324" s="161">
        <v>15.8</v>
      </c>
      <c r="K324" s="160">
        <v>1.8</v>
      </c>
    </row>
    <row r="325" spans="1:11" x14ac:dyDescent="0.3">
      <c r="A325" s="156" t="s">
        <v>887</v>
      </c>
      <c r="B325" s="157" t="s">
        <v>888</v>
      </c>
      <c r="C325" s="157">
        <v>2024</v>
      </c>
      <c r="D325" s="158">
        <v>-94.052314800000005</v>
      </c>
      <c r="E325" s="158">
        <v>37.6734005</v>
      </c>
      <c r="F325" s="159">
        <v>5</v>
      </c>
      <c r="G325" s="160">
        <v>6</v>
      </c>
      <c r="H325" s="161">
        <v>57.6</v>
      </c>
      <c r="I325" s="161">
        <v>34.1</v>
      </c>
      <c r="J325" s="161">
        <v>8.3000000000000007</v>
      </c>
      <c r="K325" s="160">
        <v>0.4</v>
      </c>
    </row>
    <row r="326" spans="1:11" x14ac:dyDescent="0.3">
      <c r="A326" s="156" t="s">
        <v>887</v>
      </c>
      <c r="B326" s="157" t="s">
        <v>888</v>
      </c>
      <c r="C326" s="157">
        <v>2024</v>
      </c>
      <c r="D326" s="158">
        <v>-94.008580499999994</v>
      </c>
      <c r="E326" s="158">
        <v>37.696946099999998</v>
      </c>
      <c r="F326" s="159">
        <v>5.4</v>
      </c>
      <c r="G326" s="160">
        <v>9</v>
      </c>
      <c r="H326" s="161">
        <v>33.9</v>
      </c>
      <c r="I326" s="161">
        <v>53.8</v>
      </c>
      <c r="J326" s="161">
        <v>12.3</v>
      </c>
      <c r="K326" s="160">
        <v>0.3</v>
      </c>
    </row>
    <row r="327" spans="1:11" x14ac:dyDescent="0.3">
      <c r="A327" s="156" t="s">
        <v>887</v>
      </c>
      <c r="B327" s="157" t="s">
        <v>888</v>
      </c>
      <c r="C327" s="157">
        <v>2024</v>
      </c>
      <c r="D327" s="158">
        <v>-93.984407599999997</v>
      </c>
      <c r="E327" s="158">
        <v>37.639349600000003</v>
      </c>
      <c r="F327" s="159">
        <v>5</v>
      </c>
      <c r="G327" s="160">
        <v>8</v>
      </c>
      <c r="H327" s="161">
        <v>34.1</v>
      </c>
      <c r="I327" s="161">
        <v>45</v>
      </c>
      <c r="J327" s="161">
        <v>20.9</v>
      </c>
      <c r="K327" s="160">
        <v>1</v>
      </c>
    </row>
    <row r="328" spans="1:11" x14ac:dyDescent="0.3">
      <c r="A328" s="156" t="s">
        <v>887</v>
      </c>
      <c r="B328" s="157" t="s">
        <v>888</v>
      </c>
      <c r="C328" s="157">
        <v>2024</v>
      </c>
      <c r="D328" s="158">
        <v>-93.983361599999995</v>
      </c>
      <c r="E328" s="158">
        <v>37.641683700000002</v>
      </c>
      <c r="F328" s="159">
        <v>5.4</v>
      </c>
      <c r="G328" s="160">
        <v>7</v>
      </c>
      <c r="H328" s="161">
        <v>62.3</v>
      </c>
      <c r="I328" s="161">
        <v>19.7</v>
      </c>
      <c r="J328" s="161">
        <v>18</v>
      </c>
      <c r="K328" s="160">
        <v>2.8</v>
      </c>
    </row>
    <row r="329" spans="1:11" x14ac:dyDescent="0.3">
      <c r="A329" s="156" t="s">
        <v>887</v>
      </c>
      <c r="B329" s="157" t="s">
        <v>888</v>
      </c>
      <c r="C329" s="157">
        <v>2024</v>
      </c>
      <c r="D329" s="158">
        <v>-93.982922200000004</v>
      </c>
      <c r="E329" s="158">
        <v>39.916247200000001</v>
      </c>
      <c r="F329" s="159">
        <v>8.1</v>
      </c>
      <c r="G329" s="160">
        <v>26</v>
      </c>
      <c r="H329" s="161">
        <v>20.399999999999999</v>
      </c>
      <c r="I329" s="161">
        <v>35.4</v>
      </c>
      <c r="J329" s="161">
        <v>44.2</v>
      </c>
      <c r="K329" s="160">
        <v>0.1</v>
      </c>
    </row>
    <row r="330" spans="1:11" x14ac:dyDescent="0.3">
      <c r="A330" s="156" t="s">
        <v>887</v>
      </c>
      <c r="B330" s="157" t="s">
        <v>888</v>
      </c>
      <c r="C330" s="157">
        <v>2024</v>
      </c>
      <c r="D330" s="158">
        <v>-93.932169999999999</v>
      </c>
      <c r="E330" s="158">
        <v>37.713798500000003</v>
      </c>
      <c r="F330" s="159">
        <v>5.2</v>
      </c>
      <c r="G330" s="160">
        <v>8</v>
      </c>
      <c r="H330" s="161">
        <v>56.7</v>
      </c>
      <c r="I330" s="161">
        <v>32.4</v>
      </c>
      <c r="J330" s="161">
        <v>10.9</v>
      </c>
      <c r="K330" s="160">
        <v>1.9</v>
      </c>
    </row>
    <row r="331" spans="1:11" x14ac:dyDescent="0.3">
      <c r="A331" s="156" t="s">
        <v>887</v>
      </c>
      <c r="B331" s="157" t="s">
        <v>888</v>
      </c>
      <c r="C331" s="157">
        <v>2024</v>
      </c>
      <c r="D331" s="158">
        <v>-93.924380499999998</v>
      </c>
      <c r="E331" s="158">
        <v>37.709623700000002</v>
      </c>
      <c r="F331" s="159">
        <v>6</v>
      </c>
      <c r="G331" s="160">
        <v>22</v>
      </c>
      <c r="H331" s="161">
        <v>3.2</v>
      </c>
      <c r="I331" s="161">
        <v>21.2</v>
      </c>
      <c r="J331" s="161">
        <v>46.3</v>
      </c>
      <c r="K331" s="160">
        <v>0.2</v>
      </c>
    </row>
    <row r="332" spans="1:11" x14ac:dyDescent="0.3">
      <c r="A332" s="156" t="s">
        <v>887</v>
      </c>
      <c r="B332" s="157" t="s">
        <v>888</v>
      </c>
      <c r="C332" s="157">
        <v>2024</v>
      </c>
      <c r="D332" s="158">
        <v>-93.827499399999994</v>
      </c>
      <c r="E332" s="158">
        <v>40.092498800000001</v>
      </c>
      <c r="F332" s="159">
        <v>6.4</v>
      </c>
      <c r="G332" s="160">
        <v>29</v>
      </c>
      <c r="H332" s="161">
        <v>3.9</v>
      </c>
      <c r="I332" s="161">
        <v>64.2</v>
      </c>
      <c r="J332" s="161">
        <v>32.4</v>
      </c>
      <c r="K332" s="160">
        <v>0.2</v>
      </c>
    </row>
    <row r="333" spans="1:11" x14ac:dyDescent="0.3">
      <c r="A333" s="156" t="s">
        <v>887</v>
      </c>
      <c r="B333" s="157" t="s">
        <v>888</v>
      </c>
      <c r="C333" s="157">
        <v>2024</v>
      </c>
      <c r="D333" s="158">
        <v>-93.810279800000004</v>
      </c>
      <c r="E333" s="158">
        <v>37.323333699999999</v>
      </c>
      <c r="F333" s="159">
        <v>4.7</v>
      </c>
      <c r="G333" s="160">
        <v>18.3</v>
      </c>
      <c r="H333" s="161">
        <v>8.9</v>
      </c>
      <c r="I333" s="161">
        <v>44.8</v>
      </c>
      <c r="J333" s="161">
        <v>46.3</v>
      </c>
      <c r="K333" s="160">
        <v>0.19</v>
      </c>
    </row>
    <row r="334" spans="1:11" x14ac:dyDescent="0.3">
      <c r="A334" s="156" t="s">
        <v>887</v>
      </c>
      <c r="B334" s="157" t="s">
        <v>888</v>
      </c>
      <c r="C334" s="157">
        <v>2024</v>
      </c>
      <c r="D334" s="158">
        <v>-93.787551899999997</v>
      </c>
      <c r="E334" s="158">
        <v>40.070667299999997</v>
      </c>
      <c r="F334" s="159">
        <v>6.1</v>
      </c>
      <c r="G334" s="160">
        <v>19</v>
      </c>
      <c r="H334" s="161">
        <v>9.6999999999999993</v>
      </c>
      <c r="I334" s="161">
        <v>55.8</v>
      </c>
      <c r="J334" s="161">
        <v>34.5</v>
      </c>
      <c r="K334" s="160">
        <v>0.5</v>
      </c>
    </row>
    <row r="335" spans="1:11" x14ac:dyDescent="0.3">
      <c r="A335" s="156" t="s">
        <v>887</v>
      </c>
      <c r="B335" s="157" t="s">
        <v>888</v>
      </c>
      <c r="C335" s="157">
        <v>2024</v>
      </c>
      <c r="D335" s="158">
        <v>-93.749444400000002</v>
      </c>
      <c r="E335" s="158">
        <v>37.385833300000002</v>
      </c>
      <c r="F335" s="159">
        <v>5.0999999999999996</v>
      </c>
      <c r="G335" s="160">
        <v>3.7</v>
      </c>
      <c r="H335" s="161">
        <v>45</v>
      </c>
      <c r="I335" s="161">
        <v>46.3</v>
      </c>
      <c r="J335" s="161">
        <v>8.6999999999999993</v>
      </c>
      <c r="K335" s="160">
        <v>0.2</v>
      </c>
    </row>
    <row r="336" spans="1:11" x14ac:dyDescent="0.3">
      <c r="A336" s="156" t="s">
        <v>887</v>
      </c>
      <c r="B336" s="157" t="s">
        <v>888</v>
      </c>
      <c r="C336" s="157">
        <v>2024</v>
      </c>
      <c r="D336" s="158">
        <v>-93.746313900000004</v>
      </c>
      <c r="E336" s="158">
        <v>37.5558944</v>
      </c>
      <c r="F336" s="159">
        <v>5.6</v>
      </c>
      <c r="G336" s="160">
        <v>5.2</v>
      </c>
      <c r="H336" s="161">
        <v>55.2</v>
      </c>
      <c r="I336" s="161">
        <v>24.6</v>
      </c>
      <c r="J336" s="161">
        <v>20.2</v>
      </c>
      <c r="K336" s="160">
        <v>0.2</v>
      </c>
    </row>
    <row r="337" spans="1:11" x14ac:dyDescent="0.3">
      <c r="A337" s="156" t="s">
        <v>887</v>
      </c>
      <c r="B337" s="157" t="s">
        <v>888</v>
      </c>
      <c r="C337" s="157">
        <v>2024</v>
      </c>
      <c r="D337" s="158">
        <v>-93.739202800000001</v>
      </c>
      <c r="E337" s="158">
        <v>37.3834722</v>
      </c>
      <c r="F337" s="159">
        <v>4.9000000000000004</v>
      </c>
      <c r="G337" s="160">
        <v>13.95</v>
      </c>
      <c r="H337" s="161">
        <v>47.6</v>
      </c>
      <c r="I337" s="161">
        <v>42.4</v>
      </c>
      <c r="J337" s="161">
        <v>10</v>
      </c>
      <c r="K337" s="160">
        <v>3.9</v>
      </c>
    </row>
    <row r="338" spans="1:11" x14ac:dyDescent="0.3">
      <c r="A338" s="156" t="s">
        <v>887</v>
      </c>
      <c r="B338" s="157" t="s">
        <v>888</v>
      </c>
      <c r="C338" s="157">
        <v>2024</v>
      </c>
      <c r="D338" s="158">
        <v>-93.714996299999996</v>
      </c>
      <c r="E338" s="158">
        <v>39.919166599999997</v>
      </c>
      <c r="F338" s="159">
        <v>5.8</v>
      </c>
      <c r="G338" s="160">
        <v>25</v>
      </c>
      <c r="H338" s="161">
        <v>31.3</v>
      </c>
      <c r="I338" s="161">
        <v>40.5</v>
      </c>
      <c r="J338" s="161">
        <v>28.2</v>
      </c>
      <c r="K338" s="160">
        <v>3.4</v>
      </c>
    </row>
    <row r="339" spans="1:11" x14ac:dyDescent="0.3">
      <c r="A339" s="156" t="s">
        <v>887</v>
      </c>
      <c r="B339" s="157" t="s">
        <v>888</v>
      </c>
      <c r="C339" s="157">
        <v>2024</v>
      </c>
      <c r="D339" s="158">
        <v>-93.705261199999995</v>
      </c>
      <c r="E339" s="158">
        <v>40.337161999999999</v>
      </c>
      <c r="F339" s="159">
        <v>5.8</v>
      </c>
      <c r="G339" s="160">
        <v>17.25</v>
      </c>
      <c r="H339" s="161">
        <v>38.6</v>
      </c>
      <c r="I339" s="161">
        <v>30.3</v>
      </c>
      <c r="J339" s="161">
        <v>31.2</v>
      </c>
      <c r="K339" s="160">
        <v>0.1</v>
      </c>
    </row>
    <row r="340" spans="1:11" x14ac:dyDescent="0.3">
      <c r="A340" s="156" t="s">
        <v>887</v>
      </c>
      <c r="B340" s="157" t="s">
        <v>888</v>
      </c>
      <c r="C340" s="157">
        <v>2024</v>
      </c>
      <c r="D340" s="158">
        <v>-93.689910900000001</v>
      </c>
      <c r="E340" s="158">
        <v>30.402446699999999</v>
      </c>
      <c r="F340" s="159">
        <v>5.0999999999999996</v>
      </c>
      <c r="G340" s="160">
        <v>4.1500000000000004</v>
      </c>
      <c r="H340" s="161">
        <v>27.7</v>
      </c>
      <c r="I340" s="161">
        <v>48.7</v>
      </c>
      <c r="J340" s="161">
        <v>23.6</v>
      </c>
      <c r="K340" s="160">
        <v>0.13999999999999999</v>
      </c>
    </row>
    <row r="341" spans="1:11" x14ac:dyDescent="0.3">
      <c r="A341" s="156" t="s">
        <v>887</v>
      </c>
      <c r="B341" s="157" t="s">
        <v>888</v>
      </c>
      <c r="C341" s="157">
        <v>2024</v>
      </c>
      <c r="D341" s="158">
        <v>-93.643890400000004</v>
      </c>
      <c r="E341" s="158">
        <v>31.821666700000002</v>
      </c>
      <c r="F341" s="159">
        <v>5.3</v>
      </c>
      <c r="G341" s="160">
        <v>4.4000000000000004</v>
      </c>
      <c r="H341" s="161">
        <v>49.1</v>
      </c>
      <c r="I341" s="161">
        <v>31.4</v>
      </c>
      <c r="J341" s="161">
        <v>19.5</v>
      </c>
      <c r="K341" s="160">
        <v>0.13999999999999999</v>
      </c>
    </row>
    <row r="342" spans="1:11" x14ac:dyDescent="0.3">
      <c r="A342" s="156" t="s">
        <v>887</v>
      </c>
      <c r="B342" s="157" t="s">
        <v>888</v>
      </c>
      <c r="C342" s="157">
        <v>2024</v>
      </c>
      <c r="D342" s="158">
        <v>-93.565233300000003</v>
      </c>
      <c r="E342" s="158">
        <v>37.5184389</v>
      </c>
      <c r="F342" s="159">
        <v>5.9</v>
      </c>
      <c r="G342" s="160">
        <v>34.799999999999997</v>
      </c>
      <c r="H342" s="161">
        <v>14.5</v>
      </c>
      <c r="I342" s="161">
        <v>73.5</v>
      </c>
      <c r="J342" s="161">
        <v>12</v>
      </c>
      <c r="K342" s="160">
        <v>0.6</v>
      </c>
    </row>
    <row r="343" spans="1:11" x14ac:dyDescent="0.3">
      <c r="A343" s="156" t="s">
        <v>887</v>
      </c>
      <c r="B343" s="157" t="s">
        <v>888</v>
      </c>
      <c r="C343" s="157">
        <v>2024</v>
      </c>
      <c r="D343" s="158">
        <v>-93.564966699999999</v>
      </c>
      <c r="E343" s="158">
        <v>36.921858299999997</v>
      </c>
      <c r="F343" s="159">
        <v>6.1</v>
      </c>
      <c r="G343" s="160">
        <v>4</v>
      </c>
      <c r="H343" s="161">
        <v>13.5</v>
      </c>
      <c r="I343" s="161">
        <v>69.5</v>
      </c>
      <c r="J343" s="161">
        <v>17</v>
      </c>
      <c r="K343" s="160">
        <v>0.3</v>
      </c>
    </row>
    <row r="344" spans="1:11" x14ac:dyDescent="0.3">
      <c r="A344" s="156" t="s">
        <v>887</v>
      </c>
      <c r="B344" s="157" t="s">
        <v>888</v>
      </c>
      <c r="C344" s="157">
        <v>2024</v>
      </c>
      <c r="D344" s="158">
        <v>-93.538093599999996</v>
      </c>
      <c r="E344" s="158">
        <v>44.061271699999999</v>
      </c>
      <c r="F344" s="159">
        <v>5.4</v>
      </c>
      <c r="G344" s="160">
        <v>22</v>
      </c>
      <c r="H344" s="161">
        <v>27.5</v>
      </c>
      <c r="I344" s="161">
        <v>40.4</v>
      </c>
      <c r="J344" s="161">
        <v>32.1</v>
      </c>
      <c r="K344" s="160">
        <v>2.88</v>
      </c>
    </row>
    <row r="345" spans="1:11" x14ac:dyDescent="0.3">
      <c r="A345" s="156" t="s">
        <v>887</v>
      </c>
      <c r="B345" s="157" t="s">
        <v>888</v>
      </c>
      <c r="C345" s="157">
        <v>2024</v>
      </c>
      <c r="D345" s="158">
        <v>-93.536111099999999</v>
      </c>
      <c r="E345" s="158">
        <v>36.893055599999997</v>
      </c>
      <c r="F345" s="159">
        <v>4.7</v>
      </c>
      <c r="G345" s="160">
        <v>6</v>
      </c>
      <c r="H345" s="161">
        <v>26.5</v>
      </c>
      <c r="I345" s="161">
        <v>64.599999999999994</v>
      </c>
      <c r="J345" s="161">
        <v>8.9</v>
      </c>
      <c r="K345" s="160">
        <v>3.2</v>
      </c>
    </row>
    <row r="346" spans="1:11" x14ac:dyDescent="0.3">
      <c r="A346" s="156" t="s">
        <v>887</v>
      </c>
      <c r="B346" s="157" t="s">
        <v>888</v>
      </c>
      <c r="C346" s="157">
        <v>2024</v>
      </c>
      <c r="D346" s="158">
        <v>-93.528335600000005</v>
      </c>
      <c r="E346" s="158">
        <v>31.084999100000001</v>
      </c>
      <c r="F346" s="159">
        <v>4.8</v>
      </c>
      <c r="G346" s="160">
        <v>18.05</v>
      </c>
      <c r="H346" s="161">
        <v>2.1</v>
      </c>
      <c r="I346" s="161">
        <v>55.9</v>
      </c>
      <c r="J346" s="161">
        <v>42</v>
      </c>
      <c r="K346" s="160">
        <v>2.6</v>
      </c>
    </row>
    <row r="347" spans="1:11" x14ac:dyDescent="0.3">
      <c r="A347" s="156" t="s">
        <v>887</v>
      </c>
      <c r="B347" s="157" t="s">
        <v>888</v>
      </c>
      <c r="C347" s="157">
        <v>2024</v>
      </c>
      <c r="D347" s="158">
        <v>-93.5155563</v>
      </c>
      <c r="E347" s="158">
        <v>30.9141674</v>
      </c>
      <c r="F347" s="159">
        <v>6.4</v>
      </c>
      <c r="G347" s="160">
        <v>17.399999999999999</v>
      </c>
      <c r="H347" s="161">
        <v>67</v>
      </c>
      <c r="I347" s="161">
        <v>11.95</v>
      </c>
      <c r="J347" s="161">
        <v>21.05</v>
      </c>
      <c r="K347" s="160">
        <v>0.02</v>
      </c>
    </row>
    <row r="348" spans="1:11" x14ac:dyDescent="0.3">
      <c r="A348" s="156" t="s">
        <v>887</v>
      </c>
      <c r="B348" s="157" t="s">
        <v>888</v>
      </c>
      <c r="C348" s="157">
        <v>2024</v>
      </c>
      <c r="D348" s="158">
        <v>-93.4932333</v>
      </c>
      <c r="E348" s="158">
        <v>37.771208299999998</v>
      </c>
      <c r="F348" s="159">
        <v>5.5</v>
      </c>
      <c r="G348" s="160">
        <v>15.5</v>
      </c>
      <c r="H348" s="161">
        <v>2.5</v>
      </c>
      <c r="I348" s="161">
        <v>74.3</v>
      </c>
      <c r="J348" s="161">
        <v>23.2</v>
      </c>
      <c r="K348" s="160">
        <v>2.7</v>
      </c>
    </row>
    <row r="349" spans="1:11" x14ac:dyDescent="0.3">
      <c r="A349" s="156" t="s">
        <v>887</v>
      </c>
      <c r="B349" s="157" t="s">
        <v>888</v>
      </c>
      <c r="C349" s="157">
        <v>2024</v>
      </c>
      <c r="D349" s="158">
        <v>-93.476944399999994</v>
      </c>
      <c r="E349" s="158">
        <v>37.994444399999999</v>
      </c>
      <c r="F349" s="159">
        <v>7.6</v>
      </c>
      <c r="G349" s="160">
        <v>22</v>
      </c>
      <c r="H349" s="161">
        <v>26.8</v>
      </c>
      <c r="I349" s="161">
        <v>54.7</v>
      </c>
      <c r="J349" s="161">
        <v>18.5</v>
      </c>
      <c r="K349" s="160">
        <v>1.4</v>
      </c>
    </row>
    <row r="350" spans="1:11" x14ac:dyDescent="0.3">
      <c r="A350" s="156" t="s">
        <v>887</v>
      </c>
      <c r="B350" s="157" t="s">
        <v>888</v>
      </c>
      <c r="C350" s="157">
        <v>2024</v>
      </c>
      <c r="D350" s="158">
        <v>-93.476577758789006</v>
      </c>
      <c r="E350" s="158">
        <v>30.773826599121001</v>
      </c>
      <c r="F350" s="159">
        <v>4.4000000000000004</v>
      </c>
      <c r="G350" s="160">
        <v>5.15</v>
      </c>
      <c r="H350" s="161">
        <v>25.8</v>
      </c>
      <c r="I350" s="161">
        <v>55.1</v>
      </c>
      <c r="J350" s="161">
        <v>19.100000000000001</v>
      </c>
      <c r="K350" s="160">
        <v>0.25</v>
      </c>
    </row>
    <row r="351" spans="1:11" x14ac:dyDescent="0.3">
      <c r="A351" s="156" t="s">
        <v>887</v>
      </c>
      <c r="B351" s="157" t="s">
        <v>888</v>
      </c>
      <c r="C351" s="157">
        <v>2024</v>
      </c>
      <c r="D351" s="158">
        <v>-93.461388900000003</v>
      </c>
      <c r="E351" s="158">
        <v>36.940555600000003</v>
      </c>
      <c r="F351" s="159">
        <v>5.0999999999999996</v>
      </c>
      <c r="G351" s="160">
        <v>2.65</v>
      </c>
      <c r="H351" s="161">
        <v>15</v>
      </c>
      <c r="I351" s="161">
        <v>75</v>
      </c>
      <c r="J351" s="161">
        <v>10</v>
      </c>
      <c r="K351" s="160">
        <v>0.2</v>
      </c>
    </row>
    <row r="352" spans="1:11" x14ac:dyDescent="0.3">
      <c r="A352" s="156" t="s">
        <v>887</v>
      </c>
      <c r="B352" s="157" t="s">
        <v>888</v>
      </c>
      <c r="C352" s="157">
        <v>2024</v>
      </c>
      <c r="D352" s="158">
        <v>-93.449444400000004</v>
      </c>
      <c r="E352" s="158">
        <v>36.9261111</v>
      </c>
      <c r="F352" s="159">
        <v>6.3</v>
      </c>
      <c r="G352" s="160">
        <v>11</v>
      </c>
      <c r="H352" s="161">
        <v>12.1</v>
      </c>
      <c r="I352" s="161">
        <v>73.3</v>
      </c>
      <c r="J352" s="161">
        <v>14.6</v>
      </c>
      <c r="K352" s="160">
        <v>0.4</v>
      </c>
    </row>
    <row r="353" spans="1:11" x14ac:dyDescent="0.3">
      <c r="A353" s="156" t="s">
        <v>887</v>
      </c>
      <c r="B353" s="157" t="s">
        <v>888</v>
      </c>
      <c r="C353" s="157">
        <v>2024</v>
      </c>
      <c r="D353" s="158">
        <v>-93.427777800000001</v>
      </c>
      <c r="E353" s="158">
        <v>36.666111100000002</v>
      </c>
      <c r="F353" s="159">
        <v>4.5999999999999996</v>
      </c>
      <c r="G353" s="160">
        <v>7</v>
      </c>
      <c r="H353" s="161">
        <v>8.6999999999999993</v>
      </c>
      <c r="I353" s="161">
        <v>28</v>
      </c>
      <c r="J353" s="161">
        <v>63.3</v>
      </c>
      <c r="K353" s="160">
        <v>0.3</v>
      </c>
    </row>
    <row r="354" spans="1:11" x14ac:dyDescent="0.3">
      <c r="A354" s="156" t="s">
        <v>887</v>
      </c>
      <c r="B354" s="157" t="s">
        <v>888</v>
      </c>
      <c r="C354" s="157">
        <v>2024</v>
      </c>
      <c r="D354" s="158">
        <v>-93.421305599999997</v>
      </c>
      <c r="E354" s="158">
        <v>37.203791699999996</v>
      </c>
      <c r="F354" s="159">
        <v>6.4</v>
      </c>
      <c r="G354" s="160">
        <v>13</v>
      </c>
      <c r="H354" s="161">
        <v>15.8</v>
      </c>
      <c r="I354" s="161">
        <v>42.5</v>
      </c>
      <c r="J354" s="161">
        <v>41.7</v>
      </c>
      <c r="K354" s="160">
        <v>0.2</v>
      </c>
    </row>
    <row r="355" spans="1:11" x14ac:dyDescent="0.3">
      <c r="A355" s="156" t="s">
        <v>887</v>
      </c>
      <c r="B355" s="157" t="s">
        <v>888</v>
      </c>
      <c r="C355" s="157">
        <v>2024</v>
      </c>
      <c r="D355" s="158">
        <v>-93.400933300000005</v>
      </c>
      <c r="E355" s="158">
        <v>36.739041700000001</v>
      </c>
      <c r="F355" s="159">
        <v>5.0999999999999996</v>
      </c>
      <c r="G355" s="160">
        <v>15</v>
      </c>
      <c r="H355" s="161">
        <v>4.2</v>
      </c>
      <c r="I355" s="161">
        <v>59.8</v>
      </c>
      <c r="J355" s="161">
        <v>36</v>
      </c>
      <c r="K355" s="160">
        <v>0.2</v>
      </c>
    </row>
    <row r="356" spans="1:11" x14ac:dyDescent="0.3">
      <c r="A356" s="156" t="s">
        <v>887</v>
      </c>
      <c r="B356" s="157" t="s">
        <v>888</v>
      </c>
      <c r="C356" s="157">
        <v>2024</v>
      </c>
      <c r="D356" s="158">
        <v>-93.388549999999995</v>
      </c>
      <c r="E356" s="158">
        <v>37.624141700000003</v>
      </c>
      <c r="F356" s="159">
        <v>5.6</v>
      </c>
      <c r="G356" s="160">
        <v>2</v>
      </c>
      <c r="H356" s="161">
        <v>65.7</v>
      </c>
      <c r="I356" s="161">
        <v>27.5</v>
      </c>
      <c r="J356" s="161">
        <v>6.8</v>
      </c>
      <c r="K356" s="160">
        <v>0.5</v>
      </c>
    </row>
    <row r="357" spans="1:11" x14ac:dyDescent="0.3">
      <c r="A357" s="156" t="s">
        <v>887</v>
      </c>
      <c r="B357" s="157" t="s">
        <v>888</v>
      </c>
      <c r="C357" s="157">
        <v>2024</v>
      </c>
      <c r="D357" s="158">
        <v>-93.375908300000006</v>
      </c>
      <c r="E357" s="158">
        <v>36.644269399999999</v>
      </c>
      <c r="F357" s="159">
        <v>5.3</v>
      </c>
      <c r="G357" s="160">
        <v>22</v>
      </c>
      <c r="H357" s="161">
        <v>27.4</v>
      </c>
      <c r="I357" s="161">
        <v>59.4</v>
      </c>
      <c r="J357" s="161">
        <v>13.2</v>
      </c>
      <c r="K357" s="160">
        <v>0.3</v>
      </c>
    </row>
    <row r="358" spans="1:11" x14ac:dyDescent="0.3">
      <c r="A358" s="156" t="s">
        <v>887</v>
      </c>
      <c r="B358" s="157" t="s">
        <v>888</v>
      </c>
      <c r="C358" s="157">
        <v>2024</v>
      </c>
      <c r="D358" s="158">
        <v>-93.359238899999994</v>
      </c>
      <c r="E358" s="158">
        <v>36.834155600000003</v>
      </c>
      <c r="F358" s="159">
        <v>6.4</v>
      </c>
      <c r="G358" s="160">
        <v>6</v>
      </c>
      <c r="H358" s="161">
        <v>10.4</v>
      </c>
      <c r="I358" s="161">
        <v>76.8</v>
      </c>
      <c r="J358" s="161">
        <v>12.8</v>
      </c>
      <c r="K358" s="160">
        <v>2</v>
      </c>
    </row>
    <row r="359" spans="1:11" x14ac:dyDescent="0.3">
      <c r="A359" s="156" t="s">
        <v>887</v>
      </c>
      <c r="B359" s="157" t="s">
        <v>888</v>
      </c>
      <c r="C359" s="157">
        <v>2024</v>
      </c>
      <c r="D359" s="158">
        <v>-93.353057899999996</v>
      </c>
      <c r="E359" s="158">
        <v>41.1511116</v>
      </c>
      <c r="F359" s="159">
        <v>6</v>
      </c>
      <c r="G359" s="160">
        <v>20.8</v>
      </c>
      <c r="H359" s="161">
        <v>44.5</v>
      </c>
      <c r="I359" s="161">
        <v>34.9</v>
      </c>
      <c r="J359" s="161">
        <v>20.6</v>
      </c>
      <c r="K359" s="160">
        <v>0</v>
      </c>
    </row>
    <row r="360" spans="1:11" x14ac:dyDescent="0.3">
      <c r="A360" s="156" t="s">
        <v>887</v>
      </c>
      <c r="B360" s="157" t="s">
        <v>888</v>
      </c>
      <c r="C360" s="157">
        <v>2024</v>
      </c>
      <c r="D360" s="158">
        <v>-93.340555600000002</v>
      </c>
      <c r="E360" s="158">
        <v>39.712499999999999</v>
      </c>
      <c r="F360" s="159">
        <v>6</v>
      </c>
      <c r="G360" s="160">
        <v>27</v>
      </c>
      <c r="H360" s="161">
        <v>0.8</v>
      </c>
      <c r="I360" s="161">
        <v>70.3</v>
      </c>
      <c r="J360" s="161">
        <v>28.9</v>
      </c>
      <c r="K360" s="160">
        <v>1</v>
      </c>
    </row>
    <row r="361" spans="1:11" x14ac:dyDescent="0.3">
      <c r="A361" s="156" t="s">
        <v>887</v>
      </c>
      <c r="B361" s="157" t="s">
        <v>888</v>
      </c>
      <c r="C361" s="157">
        <v>2024</v>
      </c>
      <c r="D361" s="158">
        <v>-93.338049999999996</v>
      </c>
      <c r="E361" s="158">
        <v>37.101952799999999</v>
      </c>
      <c r="F361" s="159">
        <v>5.3</v>
      </c>
      <c r="G361" s="160">
        <v>7</v>
      </c>
      <c r="H361" s="161">
        <v>6.1</v>
      </c>
      <c r="I361" s="161">
        <v>66.400000000000006</v>
      </c>
      <c r="J361" s="161">
        <v>27.5</v>
      </c>
      <c r="K361" s="160">
        <v>0.2</v>
      </c>
    </row>
    <row r="362" spans="1:11" x14ac:dyDescent="0.3">
      <c r="A362" s="156" t="s">
        <v>887</v>
      </c>
      <c r="B362" s="157" t="s">
        <v>888</v>
      </c>
      <c r="C362" s="157">
        <v>2024</v>
      </c>
      <c r="D362" s="158">
        <v>-93.333825000000004</v>
      </c>
      <c r="E362" s="158">
        <v>37.679488900000003</v>
      </c>
      <c r="F362" s="159">
        <v>4.5999999999999996</v>
      </c>
      <c r="G362" s="160">
        <v>16</v>
      </c>
      <c r="H362" s="161">
        <v>7.6</v>
      </c>
      <c r="I362" s="161">
        <v>45.5</v>
      </c>
      <c r="J362" s="161">
        <v>46.9</v>
      </c>
      <c r="K362" s="160">
        <v>0.4</v>
      </c>
    </row>
    <row r="363" spans="1:11" x14ac:dyDescent="0.3">
      <c r="A363" s="156" t="s">
        <v>887</v>
      </c>
      <c r="B363" s="157" t="s">
        <v>888</v>
      </c>
      <c r="C363" s="157">
        <v>2024</v>
      </c>
      <c r="D363" s="158">
        <v>-93.316972199999995</v>
      </c>
      <c r="E363" s="158">
        <v>39.701711099999997</v>
      </c>
      <c r="F363" s="159">
        <v>5.5</v>
      </c>
      <c r="G363" s="160">
        <v>38.65</v>
      </c>
      <c r="H363" s="161">
        <v>2</v>
      </c>
      <c r="I363" s="161">
        <v>38.5</v>
      </c>
      <c r="J363" s="161">
        <v>59.6</v>
      </c>
      <c r="K363" s="160">
        <v>1.6</v>
      </c>
    </row>
    <row r="364" spans="1:11" x14ac:dyDescent="0.3">
      <c r="A364" s="156" t="s">
        <v>887</v>
      </c>
      <c r="B364" s="157" t="s">
        <v>888</v>
      </c>
      <c r="C364" s="157">
        <v>2024</v>
      </c>
      <c r="D364" s="158">
        <v>-93.302338899999995</v>
      </c>
      <c r="E364" s="158">
        <v>39.686819399999997</v>
      </c>
      <c r="F364" s="159">
        <v>6.4</v>
      </c>
      <c r="G364" s="160">
        <v>25.9</v>
      </c>
      <c r="H364" s="161">
        <v>0.3</v>
      </c>
      <c r="I364" s="161">
        <v>62.4</v>
      </c>
      <c r="J364" s="161">
        <v>37.200000000000003</v>
      </c>
      <c r="K364" s="160">
        <v>1.3</v>
      </c>
    </row>
    <row r="365" spans="1:11" x14ac:dyDescent="0.3">
      <c r="A365" s="156" t="s">
        <v>887</v>
      </c>
      <c r="B365" s="157" t="s">
        <v>888</v>
      </c>
      <c r="C365" s="157">
        <v>2024</v>
      </c>
      <c r="D365" s="158">
        <v>-93.302222200000003</v>
      </c>
      <c r="E365" s="158">
        <v>37.429166700000003</v>
      </c>
      <c r="F365" s="159">
        <v>4.5</v>
      </c>
      <c r="G365" s="160">
        <v>31.65</v>
      </c>
      <c r="H365" s="161">
        <v>3</v>
      </c>
      <c r="I365" s="161">
        <v>15.8</v>
      </c>
      <c r="J365" s="161">
        <v>81.099999999999994</v>
      </c>
      <c r="K365" s="160">
        <v>0.2</v>
      </c>
    </row>
    <row r="366" spans="1:11" x14ac:dyDescent="0.3">
      <c r="A366" s="156" t="s">
        <v>887</v>
      </c>
      <c r="B366" s="157" t="s">
        <v>888</v>
      </c>
      <c r="C366" s="157">
        <v>2024</v>
      </c>
      <c r="D366" s="158">
        <v>-93.270835899999994</v>
      </c>
      <c r="E366" s="158">
        <v>34.4791679</v>
      </c>
      <c r="F366" s="159">
        <v>5.4</v>
      </c>
      <c r="G366" s="160">
        <v>2.4</v>
      </c>
      <c r="H366" s="161">
        <v>40.299999999999997</v>
      </c>
      <c r="I366" s="161">
        <v>29.1</v>
      </c>
      <c r="J366" s="161">
        <v>30.6</v>
      </c>
      <c r="K366" s="160">
        <v>0.18</v>
      </c>
    </row>
    <row r="367" spans="1:11" x14ac:dyDescent="0.3">
      <c r="A367" s="156" t="s">
        <v>887</v>
      </c>
      <c r="B367" s="157" t="s">
        <v>888</v>
      </c>
      <c r="C367" s="157">
        <v>2024</v>
      </c>
      <c r="D367" s="158">
        <v>-93.232498199999995</v>
      </c>
      <c r="E367" s="158">
        <v>39.717777300000002</v>
      </c>
      <c r="F367" s="159">
        <v>5.4</v>
      </c>
      <c r="G367" s="160">
        <v>39</v>
      </c>
      <c r="H367" s="161">
        <v>0.8</v>
      </c>
      <c r="I367" s="161">
        <v>37.799999999999997</v>
      </c>
      <c r="J367" s="161">
        <v>61.4</v>
      </c>
      <c r="K367" s="160">
        <v>1.7100000000000002</v>
      </c>
    </row>
    <row r="368" spans="1:11" x14ac:dyDescent="0.3">
      <c r="A368" s="156" t="s">
        <v>887</v>
      </c>
      <c r="B368" s="157" t="s">
        <v>888</v>
      </c>
      <c r="C368" s="157">
        <v>2024</v>
      </c>
      <c r="D368" s="158">
        <v>-93.199165300000004</v>
      </c>
      <c r="E368" s="158">
        <v>32.425277700000002</v>
      </c>
      <c r="F368" s="159">
        <v>4.7</v>
      </c>
      <c r="G368" s="160">
        <v>1.6</v>
      </c>
      <c r="H368" s="161">
        <v>61.8</v>
      </c>
      <c r="I368" s="161">
        <v>15.5</v>
      </c>
      <c r="J368" s="161">
        <v>22.7</v>
      </c>
      <c r="K368" s="160">
        <v>0.05</v>
      </c>
    </row>
    <row r="369" spans="1:11" x14ac:dyDescent="0.3">
      <c r="A369" s="156" t="s">
        <v>887</v>
      </c>
      <c r="B369" s="157" t="s">
        <v>888</v>
      </c>
      <c r="C369" s="157">
        <v>2024</v>
      </c>
      <c r="D369" s="158">
        <v>-93.1958889</v>
      </c>
      <c r="E369" s="158">
        <v>39.576999999999998</v>
      </c>
      <c r="F369" s="159">
        <v>5.0999999999999996</v>
      </c>
      <c r="G369" s="160">
        <v>33.75</v>
      </c>
      <c r="H369" s="161">
        <v>1.8</v>
      </c>
      <c r="I369" s="161">
        <v>45</v>
      </c>
      <c r="J369" s="161">
        <v>53.1</v>
      </c>
      <c r="K369" s="160">
        <v>2.6</v>
      </c>
    </row>
    <row r="370" spans="1:11" x14ac:dyDescent="0.3">
      <c r="A370" s="156" t="s">
        <v>887</v>
      </c>
      <c r="B370" s="157" t="s">
        <v>888</v>
      </c>
      <c r="C370" s="157">
        <v>2024</v>
      </c>
      <c r="D370" s="158">
        <v>-93.178888900000004</v>
      </c>
      <c r="E370" s="158">
        <v>40.1686111</v>
      </c>
      <c r="F370" s="159">
        <v>5.8</v>
      </c>
      <c r="G370" s="160">
        <v>6</v>
      </c>
      <c r="H370" s="161">
        <v>82.7</v>
      </c>
      <c r="I370" s="161">
        <v>11.9</v>
      </c>
      <c r="J370" s="161">
        <v>5.3</v>
      </c>
      <c r="K370" s="160">
        <v>0.5</v>
      </c>
    </row>
    <row r="371" spans="1:11" x14ac:dyDescent="0.3">
      <c r="A371" s="156" t="s">
        <v>887</v>
      </c>
      <c r="B371" s="157" t="s">
        <v>888</v>
      </c>
      <c r="C371" s="157">
        <v>2024</v>
      </c>
      <c r="D371" s="158">
        <v>-93.172775299999998</v>
      </c>
      <c r="E371" s="158">
        <v>41.057777399999999</v>
      </c>
      <c r="F371" s="159">
        <v>5</v>
      </c>
      <c r="G371" s="160">
        <v>25.95</v>
      </c>
      <c r="H371" s="161">
        <v>2</v>
      </c>
      <c r="I371" s="161">
        <v>78.099999999999994</v>
      </c>
      <c r="J371" s="161">
        <v>19.899999999999999</v>
      </c>
      <c r="K371" s="160">
        <v>1.1599999999999999</v>
      </c>
    </row>
    <row r="372" spans="1:11" x14ac:dyDescent="0.3">
      <c r="A372" s="156" t="s">
        <v>887</v>
      </c>
      <c r="B372" s="157" t="s">
        <v>888</v>
      </c>
      <c r="C372" s="157">
        <v>2024</v>
      </c>
      <c r="D372" s="158">
        <v>-93.152222199999997</v>
      </c>
      <c r="E372" s="158">
        <v>39.639166699999997</v>
      </c>
      <c r="F372" s="159">
        <v>5.3</v>
      </c>
      <c r="G372" s="160">
        <v>27</v>
      </c>
      <c r="H372" s="161">
        <v>1.1000000000000001</v>
      </c>
      <c r="I372" s="161">
        <v>60.9</v>
      </c>
      <c r="J372" s="161">
        <v>38</v>
      </c>
      <c r="K372" s="160">
        <v>1.5</v>
      </c>
    </row>
    <row r="373" spans="1:11" x14ac:dyDescent="0.3">
      <c r="A373" s="156" t="s">
        <v>887</v>
      </c>
      <c r="B373" s="157" t="s">
        <v>888</v>
      </c>
      <c r="C373" s="157">
        <v>2024</v>
      </c>
      <c r="D373" s="158">
        <v>-93.121009826660099</v>
      </c>
      <c r="E373" s="158">
        <v>30.9107666015625</v>
      </c>
      <c r="F373" s="159">
        <v>5</v>
      </c>
      <c r="G373" s="160">
        <v>4.5999999999999996</v>
      </c>
      <c r="H373" s="161">
        <v>51.4</v>
      </c>
      <c r="I373" s="161">
        <v>21.8</v>
      </c>
      <c r="J373" s="161">
        <v>26.8</v>
      </c>
      <c r="K373" s="160">
        <v>0.16999999999999998</v>
      </c>
    </row>
    <row r="374" spans="1:11" x14ac:dyDescent="0.3">
      <c r="A374" s="156" t="s">
        <v>887</v>
      </c>
      <c r="B374" s="157" t="s">
        <v>888</v>
      </c>
      <c r="C374" s="157">
        <v>2024</v>
      </c>
      <c r="D374" s="158">
        <v>-92.875333299999994</v>
      </c>
      <c r="E374" s="158">
        <v>38.750444399999999</v>
      </c>
      <c r="F374" s="159">
        <v>7</v>
      </c>
      <c r="G374" s="160">
        <v>4</v>
      </c>
      <c r="H374" s="161">
        <v>2.4</v>
      </c>
      <c r="I374" s="161">
        <v>83</v>
      </c>
      <c r="J374" s="161">
        <v>14.6</v>
      </c>
      <c r="K374" s="160">
        <v>0.3</v>
      </c>
    </row>
    <row r="375" spans="1:11" x14ac:dyDescent="0.3">
      <c r="A375" s="156" t="s">
        <v>887</v>
      </c>
      <c r="B375" s="157" t="s">
        <v>888</v>
      </c>
      <c r="C375" s="157">
        <v>2024</v>
      </c>
      <c r="D375" s="158">
        <v>-92.866668700000005</v>
      </c>
      <c r="E375" s="158">
        <v>46.6833344</v>
      </c>
      <c r="F375" s="159">
        <v>4.8</v>
      </c>
      <c r="G375" s="160">
        <v>3.15</v>
      </c>
      <c r="H375" s="161">
        <v>47.6</v>
      </c>
      <c r="I375" s="161">
        <v>46</v>
      </c>
      <c r="J375" s="161">
        <v>6.4</v>
      </c>
      <c r="K375" s="160">
        <v>1.02</v>
      </c>
    </row>
    <row r="376" spans="1:11" x14ac:dyDescent="0.3">
      <c r="A376" s="156" t="s">
        <v>887</v>
      </c>
      <c r="B376" s="157" t="s">
        <v>888</v>
      </c>
      <c r="C376" s="157">
        <v>2024</v>
      </c>
      <c r="D376" s="158">
        <v>-92.845916700000004</v>
      </c>
      <c r="E376" s="158">
        <v>38.860636100000001</v>
      </c>
      <c r="F376" s="159">
        <v>7.4</v>
      </c>
      <c r="G376" s="160">
        <v>11.6</v>
      </c>
      <c r="H376" s="161">
        <v>4.0999999999999996</v>
      </c>
      <c r="I376" s="161">
        <v>68.2</v>
      </c>
      <c r="J376" s="161">
        <v>27.7</v>
      </c>
      <c r="K376" s="160">
        <v>0.8</v>
      </c>
    </row>
    <row r="377" spans="1:11" x14ac:dyDescent="0.3">
      <c r="A377" s="156" t="s">
        <v>887</v>
      </c>
      <c r="B377" s="157" t="s">
        <v>888</v>
      </c>
      <c r="C377" s="157">
        <v>2024</v>
      </c>
      <c r="D377" s="158">
        <v>-92.835833300000004</v>
      </c>
      <c r="E377" s="158">
        <v>37.536666699999998</v>
      </c>
      <c r="F377" s="159">
        <v>4.9000000000000004</v>
      </c>
      <c r="G377" s="160">
        <v>17</v>
      </c>
      <c r="H377" s="161">
        <v>7.9</v>
      </c>
      <c r="I377" s="161">
        <v>55.8</v>
      </c>
      <c r="J377" s="161">
        <v>36.299999999999997</v>
      </c>
      <c r="K377" s="160">
        <v>0.4</v>
      </c>
    </row>
    <row r="378" spans="1:11" x14ac:dyDescent="0.3">
      <c r="A378" s="156" t="s">
        <v>887</v>
      </c>
      <c r="B378" s="157" t="s">
        <v>888</v>
      </c>
      <c r="C378" s="157">
        <v>2024</v>
      </c>
      <c r="D378" s="158">
        <v>-92.834166699999997</v>
      </c>
      <c r="E378" s="158">
        <v>37.638888899999998</v>
      </c>
      <c r="F378" s="159">
        <v>5</v>
      </c>
      <c r="G378" s="160">
        <v>18</v>
      </c>
      <c r="H378" s="161">
        <v>13.5</v>
      </c>
      <c r="I378" s="161">
        <v>67.3</v>
      </c>
      <c r="J378" s="161">
        <v>19.2</v>
      </c>
      <c r="K378" s="160">
        <v>0.1</v>
      </c>
    </row>
    <row r="379" spans="1:11" x14ac:dyDescent="0.3">
      <c r="A379" s="156" t="s">
        <v>887</v>
      </c>
      <c r="B379" s="157" t="s">
        <v>888</v>
      </c>
      <c r="C379" s="157">
        <v>2024</v>
      </c>
      <c r="D379" s="158">
        <v>-92.822502099999994</v>
      </c>
      <c r="E379" s="158">
        <v>40.681110400000001</v>
      </c>
      <c r="F379" s="159">
        <v>5.3</v>
      </c>
      <c r="G379" s="160">
        <v>26.1</v>
      </c>
      <c r="H379" s="161">
        <v>4.9000000000000004</v>
      </c>
      <c r="I379" s="161">
        <v>74.599999999999994</v>
      </c>
      <c r="J379" s="161">
        <v>20.5</v>
      </c>
      <c r="K379" s="160">
        <v>2.25</v>
      </c>
    </row>
    <row r="380" spans="1:11" x14ac:dyDescent="0.3">
      <c r="A380" s="156" t="s">
        <v>887</v>
      </c>
      <c r="B380" s="157" t="s">
        <v>888</v>
      </c>
      <c r="C380" s="157">
        <v>2024</v>
      </c>
      <c r="D380" s="158">
        <v>-92.766666700000002</v>
      </c>
      <c r="E380" s="158">
        <v>39</v>
      </c>
      <c r="F380" s="159">
        <v>6</v>
      </c>
      <c r="G380" s="160">
        <v>8.25</v>
      </c>
      <c r="H380" s="161">
        <v>16.899999999999999</v>
      </c>
      <c r="I380" s="161">
        <v>44.3</v>
      </c>
      <c r="J380" s="161">
        <v>38.799999999999997</v>
      </c>
      <c r="K380" s="160">
        <v>1</v>
      </c>
    </row>
    <row r="381" spans="1:11" x14ac:dyDescent="0.3">
      <c r="A381" s="156" t="s">
        <v>887</v>
      </c>
      <c r="B381" s="157" t="s">
        <v>888</v>
      </c>
      <c r="C381" s="157">
        <v>2024</v>
      </c>
      <c r="D381" s="158">
        <v>-92.751388899999995</v>
      </c>
      <c r="E381" s="158">
        <v>37.6136111</v>
      </c>
      <c r="F381" s="159">
        <v>5.4</v>
      </c>
      <c r="G381" s="160">
        <v>10</v>
      </c>
      <c r="H381" s="161">
        <v>10</v>
      </c>
      <c r="I381" s="161">
        <v>64.5</v>
      </c>
      <c r="J381" s="161">
        <v>25.5</v>
      </c>
      <c r="K381" s="160">
        <v>0.2</v>
      </c>
    </row>
    <row r="382" spans="1:11" x14ac:dyDescent="0.3">
      <c r="A382" s="156" t="s">
        <v>887</v>
      </c>
      <c r="B382" s="157" t="s">
        <v>888</v>
      </c>
      <c r="C382" s="157">
        <v>2024</v>
      </c>
      <c r="D382" s="158">
        <v>-92.750502800000007</v>
      </c>
      <c r="E382" s="158">
        <v>36.773811100000003</v>
      </c>
      <c r="F382" s="159">
        <v>5.6</v>
      </c>
      <c r="G382" s="160">
        <v>4</v>
      </c>
      <c r="H382" s="161">
        <v>18.399999999999999</v>
      </c>
      <c r="I382" s="161">
        <v>61.8</v>
      </c>
      <c r="J382" s="161">
        <v>19.8</v>
      </c>
      <c r="K382" s="160">
        <v>0.5</v>
      </c>
    </row>
    <row r="383" spans="1:11" x14ac:dyDescent="0.3">
      <c r="A383" s="156" t="s">
        <v>887</v>
      </c>
      <c r="B383" s="157" t="s">
        <v>888</v>
      </c>
      <c r="C383" s="157">
        <v>2024</v>
      </c>
      <c r="D383" s="158">
        <v>-92.744144399999996</v>
      </c>
      <c r="E383" s="158">
        <v>36.679952800000002</v>
      </c>
      <c r="F383" s="159">
        <v>6</v>
      </c>
      <c r="G383" s="160">
        <v>10</v>
      </c>
      <c r="H383" s="161">
        <v>11.9</v>
      </c>
      <c r="I383" s="161">
        <v>22.2</v>
      </c>
      <c r="J383" s="161">
        <v>65.900000000000006</v>
      </c>
      <c r="K383" s="160">
        <v>1.2</v>
      </c>
    </row>
    <row r="384" spans="1:11" x14ac:dyDescent="0.3">
      <c r="A384" s="156" t="s">
        <v>887</v>
      </c>
      <c r="B384" s="157" t="s">
        <v>888</v>
      </c>
      <c r="C384" s="157">
        <v>2024</v>
      </c>
      <c r="D384" s="158">
        <v>-92.731636100000003</v>
      </c>
      <c r="E384" s="158">
        <v>36.785127799999998</v>
      </c>
      <c r="F384" s="159">
        <v>5</v>
      </c>
      <c r="G384" s="160">
        <v>2</v>
      </c>
      <c r="H384" s="161">
        <v>19.399999999999999</v>
      </c>
      <c r="I384" s="161">
        <v>71.099999999999994</v>
      </c>
      <c r="J384" s="161">
        <v>9.5</v>
      </c>
      <c r="K384" s="160">
        <v>2</v>
      </c>
    </row>
    <row r="385" spans="1:11" x14ac:dyDescent="0.3">
      <c r="A385" s="156" t="s">
        <v>887</v>
      </c>
      <c r="B385" s="157" t="s">
        <v>888</v>
      </c>
      <c r="C385" s="157">
        <v>2024</v>
      </c>
      <c r="D385" s="158">
        <v>-92.706944399999998</v>
      </c>
      <c r="E385" s="158">
        <v>37.808055600000003</v>
      </c>
      <c r="F385" s="159">
        <v>5.2</v>
      </c>
      <c r="G385" s="160">
        <v>9.0500000000000007</v>
      </c>
      <c r="H385" s="161">
        <v>23.6</v>
      </c>
      <c r="I385" s="161">
        <v>47.8</v>
      </c>
      <c r="J385" s="161">
        <v>28.6</v>
      </c>
      <c r="K385" s="160">
        <v>0.1</v>
      </c>
    </row>
    <row r="386" spans="1:11" x14ac:dyDescent="0.3">
      <c r="A386" s="156" t="s">
        <v>887</v>
      </c>
      <c r="B386" s="157" t="s">
        <v>888</v>
      </c>
      <c r="C386" s="157">
        <v>2024</v>
      </c>
      <c r="D386" s="158">
        <v>-92.703611100000003</v>
      </c>
      <c r="E386" s="158">
        <v>37.620555600000003</v>
      </c>
      <c r="F386" s="159">
        <v>4.8</v>
      </c>
      <c r="G386" s="160">
        <v>14</v>
      </c>
      <c r="H386" s="161">
        <v>16.3</v>
      </c>
      <c r="I386" s="161">
        <v>31</v>
      </c>
      <c r="J386" s="161">
        <v>52.7</v>
      </c>
      <c r="K386" s="160">
        <v>0.1</v>
      </c>
    </row>
    <row r="387" spans="1:11" x14ac:dyDescent="0.3">
      <c r="A387" s="156" t="s">
        <v>887</v>
      </c>
      <c r="B387" s="157" t="s">
        <v>888</v>
      </c>
      <c r="C387" s="157">
        <v>2024</v>
      </c>
      <c r="D387" s="158">
        <v>-92.691665599999993</v>
      </c>
      <c r="E387" s="158">
        <v>45.668609600000003</v>
      </c>
      <c r="F387" s="159">
        <v>6.2</v>
      </c>
      <c r="G387" s="160">
        <v>1</v>
      </c>
      <c r="H387" s="161">
        <v>94.8</v>
      </c>
      <c r="I387" s="161">
        <v>5.2</v>
      </c>
      <c r="J387" s="161">
        <v>0</v>
      </c>
      <c r="K387" s="160">
        <v>0.02</v>
      </c>
    </row>
    <row r="388" spans="1:11" x14ac:dyDescent="0.3">
      <c r="A388" s="156" t="s">
        <v>887</v>
      </c>
      <c r="B388" s="157" t="s">
        <v>888</v>
      </c>
      <c r="C388" s="157">
        <v>2024</v>
      </c>
      <c r="D388" s="158">
        <v>-92.685555600000001</v>
      </c>
      <c r="E388" s="158">
        <v>40.562222200000001</v>
      </c>
      <c r="F388" s="159">
        <v>5.8</v>
      </c>
      <c r="G388" s="160">
        <v>11.4</v>
      </c>
      <c r="H388" s="161">
        <v>5.0999999999999996</v>
      </c>
      <c r="I388" s="161">
        <v>64.8</v>
      </c>
      <c r="J388" s="161">
        <v>30.1</v>
      </c>
      <c r="K388" s="160">
        <v>1.4</v>
      </c>
    </row>
    <row r="389" spans="1:11" x14ac:dyDescent="0.3">
      <c r="A389" s="156" t="s">
        <v>887</v>
      </c>
      <c r="B389" s="157" t="s">
        <v>888</v>
      </c>
      <c r="C389" s="157">
        <v>2024</v>
      </c>
      <c r="D389" s="158">
        <v>-92.648366699999997</v>
      </c>
      <c r="E389" s="158">
        <v>40.078461099999998</v>
      </c>
      <c r="F389" s="159">
        <v>4.5</v>
      </c>
      <c r="G389" s="160">
        <v>19</v>
      </c>
      <c r="H389" s="161">
        <v>23.4</v>
      </c>
      <c r="I389" s="161">
        <v>25.4</v>
      </c>
      <c r="J389" s="161">
        <v>51.2</v>
      </c>
      <c r="K389" s="160">
        <v>0.3</v>
      </c>
    </row>
    <row r="390" spans="1:11" x14ac:dyDescent="0.3">
      <c r="A390" s="156" t="s">
        <v>887</v>
      </c>
      <c r="B390" s="157" t="s">
        <v>888</v>
      </c>
      <c r="C390" s="157">
        <v>2024</v>
      </c>
      <c r="D390" s="158">
        <v>-92.625274700000006</v>
      </c>
      <c r="E390" s="158">
        <v>38.102779400000003</v>
      </c>
      <c r="F390" s="159">
        <v>6.8</v>
      </c>
      <c r="G390" s="160">
        <v>9</v>
      </c>
      <c r="H390" s="161">
        <v>44.5</v>
      </c>
      <c r="I390" s="161">
        <v>12.6</v>
      </c>
      <c r="J390" s="161">
        <v>42.9</v>
      </c>
      <c r="K390" s="160">
        <v>13.91</v>
      </c>
    </row>
    <row r="391" spans="1:11" x14ac:dyDescent="0.3">
      <c r="A391" s="156" t="s">
        <v>887</v>
      </c>
      <c r="B391" s="157" t="s">
        <v>888</v>
      </c>
      <c r="C391" s="157">
        <v>2024</v>
      </c>
      <c r="D391" s="158">
        <v>-92.598638899999997</v>
      </c>
      <c r="E391" s="158">
        <v>38.533166700000002</v>
      </c>
      <c r="F391" s="159">
        <v>4.9000000000000004</v>
      </c>
      <c r="G391" s="160">
        <v>12.7</v>
      </c>
      <c r="H391" s="161">
        <v>20.8</v>
      </c>
      <c r="I391" s="161">
        <v>50</v>
      </c>
      <c r="J391" s="161">
        <v>29.2</v>
      </c>
      <c r="K391" s="160">
        <v>0.5</v>
      </c>
    </row>
    <row r="392" spans="1:11" x14ac:dyDescent="0.3">
      <c r="A392" s="156" t="s">
        <v>887</v>
      </c>
      <c r="B392" s="157" t="s">
        <v>888</v>
      </c>
      <c r="C392" s="157">
        <v>2024</v>
      </c>
      <c r="D392" s="158">
        <v>-92.562774700000006</v>
      </c>
      <c r="E392" s="158">
        <v>39.9638901</v>
      </c>
      <c r="F392" s="159">
        <v>6.7</v>
      </c>
      <c r="G392" s="160">
        <v>29.9</v>
      </c>
      <c r="H392" s="161">
        <v>6.4</v>
      </c>
      <c r="I392" s="161">
        <v>63.2</v>
      </c>
      <c r="J392" s="161">
        <v>30.4</v>
      </c>
      <c r="K392" s="160">
        <v>0.16999999999999998</v>
      </c>
    </row>
    <row r="393" spans="1:11" x14ac:dyDescent="0.3">
      <c r="A393" s="156" t="s">
        <v>887</v>
      </c>
      <c r="B393" s="157" t="s">
        <v>888</v>
      </c>
      <c r="C393" s="157">
        <v>2024</v>
      </c>
      <c r="D393" s="158">
        <v>-92.555274999999995</v>
      </c>
      <c r="E393" s="158">
        <v>48.185833000000002</v>
      </c>
      <c r="F393" s="159">
        <v>5.0999999999999996</v>
      </c>
      <c r="G393" s="160">
        <v>4</v>
      </c>
      <c r="H393" s="161">
        <v>97.7</v>
      </c>
      <c r="I393" s="161">
        <v>1.3</v>
      </c>
      <c r="J393" s="161">
        <v>1</v>
      </c>
      <c r="K393" s="160">
        <v>0.02</v>
      </c>
    </row>
    <row r="394" spans="1:11" x14ac:dyDescent="0.3">
      <c r="A394" s="156" t="s">
        <v>887</v>
      </c>
      <c r="B394" s="157" t="s">
        <v>888</v>
      </c>
      <c r="C394" s="157">
        <v>2024</v>
      </c>
      <c r="D394" s="158">
        <v>-92.554583300000004</v>
      </c>
      <c r="E394" s="158">
        <v>38.107194399999997</v>
      </c>
      <c r="F394" s="159">
        <v>7.5</v>
      </c>
      <c r="G394" s="160">
        <v>5</v>
      </c>
      <c r="H394" s="161">
        <v>13.1</v>
      </c>
      <c r="I394" s="161">
        <v>17.2</v>
      </c>
      <c r="J394" s="161">
        <v>69.7</v>
      </c>
      <c r="K394" s="160">
        <v>0.1</v>
      </c>
    </row>
    <row r="395" spans="1:11" x14ac:dyDescent="0.3">
      <c r="A395" s="156" t="s">
        <v>887</v>
      </c>
      <c r="B395" s="157" t="s">
        <v>888</v>
      </c>
      <c r="C395" s="157">
        <v>2024</v>
      </c>
      <c r="D395" s="158">
        <v>-92.522584199999997</v>
      </c>
      <c r="E395" s="158">
        <v>38.966252799999999</v>
      </c>
      <c r="F395" s="159">
        <v>5.3</v>
      </c>
      <c r="G395" s="160">
        <v>18</v>
      </c>
      <c r="H395" s="161">
        <v>4.2</v>
      </c>
      <c r="I395" s="161">
        <v>67.599999999999994</v>
      </c>
      <c r="J395" s="161">
        <v>28.2</v>
      </c>
      <c r="K395" s="160">
        <v>0.2</v>
      </c>
    </row>
    <row r="396" spans="1:11" x14ac:dyDescent="0.3">
      <c r="A396" s="156" t="s">
        <v>887</v>
      </c>
      <c r="B396" s="157" t="s">
        <v>888</v>
      </c>
      <c r="C396" s="157">
        <v>2024</v>
      </c>
      <c r="D396" s="158">
        <v>-92.519661499999998</v>
      </c>
      <c r="E396" s="158">
        <v>38.230869300000002</v>
      </c>
      <c r="F396" s="159">
        <v>4.5999999999999996</v>
      </c>
      <c r="G396" s="160">
        <v>13.3</v>
      </c>
      <c r="H396" s="161">
        <v>8.1999999999999993</v>
      </c>
      <c r="I396" s="161">
        <v>20.399999999999999</v>
      </c>
      <c r="J396" s="161">
        <v>71.400000000000006</v>
      </c>
      <c r="K396" s="160">
        <v>0.3</v>
      </c>
    </row>
    <row r="397" spans="1:11" x14ac:dyDescent="0.3">
      <c r="A397" s="156" t="s">
        <v>887</v>
      </c>
      <c r="B397" s="157" t="s">
        <v>888</v>
      </c>
      <c r="C397" s="157">
        <v>2024</v>
      </c>
      <c r="D397" s="158">
        <v>-92.513249999999999</v>
      </c>
      <c r="E397" s="158">
        <v>38.635722199999996</v>
      </c>
      <c r="F397" s="159">
        <v>6.3</v>
      </c>
      <c r="G397" s="160">
        <v>7.25</v>
      </c>
      <c r="H397" s="161">
        <v>18</v>
      </c>
      <c r="I397" s="161">
        <v>67.5</v>
      </c>
      <c r="J397" s="161">
        <v>14.5</v>
      </c>
      <c r="K397" s="160">
        <v>1.1000000000000001</v>
      </c>
    </row>
    <row r="398" spans="1:11" x14ac:dyDescent="0.3">
      <c r="A398" s="156" t="s">
        <v>887</v>
      </c>
      <c r="B398" s="157" t="s">
        <v>888</v>
      </c>
      <c r="C398" s="157">
        <v>2024</v>
      </c>
      <c r="D398" s="158">
        <v>-92.513055600000001</v>
      </c>
      <c r="E398" s="158">
        <v>38.633861099999997</v>
      </c>
      <c r="F398" s="159">
        <v>5.5</v>
      </c>
      <c r="G398" s="160">
        <v>11.95</v>
      </c>
      <c r="H398" s="161">
        <v>19.600000000000001</v>
      </c>
      <c r="I398" s="161">
        <v>52.6</v>
      </c>
      <c r="J398" s="161">
        <v>27.8</v>
      </c>
      <c r="K398" s="160">
        <v>0.1</v>
      </c>
    </row>
    <row r="399" spans="1:11" x14ac:dyDescent="0.3">
      <c r="A399" s="156" t="s">
        <v>887</v>
      </c>
      <c r="B399" s="157" t="s">
        <v>888</v>
      </c>
      <c r="C399" s="157">
        <v>2024</v>
      </c>
      <c r="D399" s="158">
        <v>-92.499852799999999</v>
      </c>
      <c r="E399" s="158">
        <v>39.8111611</v>
      </c>
      <c r="F399" s="159">
        <v>4.5999999999999996</v>
      </c>
      <c r="G399" s="160">
        <v>18</v>
      </c>
      <c r="H399" s="161">
        <v>34.799999999999997</v>
      </c>
      <c r="I399" s="161">
        <v>28.6</v>
      </c>
      <c r="J399" s="161">
        <v>36.6</v>
      </c>
      <c r="K399" s="160">
        <v>0.3</v>
      </c>
    </row>
    <row r="400" spans="1:11" x14ac:dyDescent="0.3">
      <c r="A400" s="156" t="s">
        <v>887</v>
      </c>
      <c r="B400" s="157" t="s">
        <v>888</v>
      </c>
      <c r="C400" s="157">
        <v>2024</v>
      </c>
      <c r="D400" s="158">
        <v>-92.464545900000005</v>
      </c>
      <c r="E400" s="158">
        <v>39.039893399999997</v>
      </c>
      <c r="F400" s="159">
        <v>6.2</v>
      </c>
      <c r="G400" s="160">
        <v>10</v>
      </c>
      <c r="H400" s="161">
        <v>5.8</v>
      </c>
      <c r="I400" s="161">
        <v>77.099999999999994</v>
      </c>
      <c r="J400" s="161">
        <v>17.100000000000001</v>
      </c>
      <c r="K400" s="160">
        <v>0.4</v>
      </c>
    </row>
    <row r="401" spans="1:11" x14ac:dyDescent="0.3">
      <c r="A401" s="156" t="s">
        <v>887</v>
      </c>
      <c r="B401" s="157" t="s">
        <v>888</v>
      </c>
      <c r="C401" s="157">
        <v>2024</v>
      </c>
      <c r="D401" s="158">
        <v>-92.461391699999993</v>
      </c>
      <c r="E401" s="158">
        <v>39.725547200000001</v>
      </c>
      <c r="F401" s="159">
        <v>6.1</v>
      </c>
      <c r="G401" s="160">
        <v>24</v>
      </c>
      <c r="H401" s="161">
        <v>21.3</v>
      </c>
      <c r="I401" s="161">
        <v>36.299999999999997</v>
      </c>
      <c r="J401" s="161">
        <v>42.4</v>
      </c>
      <c r="K401" s="160">
        <v>0.1</v>
      </c>
    </row>
    <row r="402" spans="1:11" x14ac:dyDescent="0.3">
      <c r="A402" s="156" t="s">
        <v>887</v>
      </c>
      <c r="B402" s="157" t="s">
        <v>888</v>
      </c>
      <c r="C402" s="157">
        <v>2024</v>
      </c>
      <c r="D402" s="158">
        <v>-92.436022199999996</v>
      </c>
      <c r="E402" s="158">
        <v>36.510077799999998</v>
      </c>
      <c r="F402" s="159">
        <v>5.2</v>
      </c>
      <c r="G402" s="160">
        <v>6</v>
      </c>
      <c r="H402" s="161">
        <v>35.200000000000003</v>
      </c>
      <c r="I402" s="161">
        <v>36.6</v>
      </c>
      <c r="J402" s="161">
        <v>28.2</v>
      </c>
      <c r="K402" s="160">
        <v>0.1</v>
      </c>
    </row>
    <row r="403" spans="1:11" x14ac:dyDescent="0.3">
      <c r="A403" s="156" t="s">
        <v>887</v>
      </c>
      <c r="B403" s="157" t="s">
        <v>888</v>
      </c>
      <c r="C403" s="157">
        <v>2024</v>
      </c>
      <c r="D403" s="158">
        <v>-92.409688900000006</v>
      </c>
      <c r="E403" s="158">
        <v>40.406413899999997</v>
      </c>
      <c r="F403" s="159">
        <v>6.1</v>
      </c>
      <c r="G403" s="160">
        <v>26</v>
      </c>
      <c r="H403" s="161">
        <v>39.799999999999997</v>
      </c>
      <c r="I403" s="161">
        <v>31.4</v>
      </c>
      <c r="J403" s="161">
        <v>28.8</v>
      </c>
      <c r="K403" s="160">
        <v>0.1</v>
      </c>
    </row>
    <row r="404" spans="1:11" x14ac:dyDescent="0.3">
      <c r="A404" s="156" t="s">
        <v>887</v>
      </c>
      <c r="B404" s="157" t="s">
        <v>888</v>
      </c>
      <c r="C404" s="157">
        <v>2024</v>
      </c>
      <c r="D404" s="158">
        <v>-92.403335600000005</v>
      </c>
      <c r="E404" s="158">
        <v>37.604721099999999</v>
      </c>
      <c r="F404" s="159">
        <v>5.5</v>
      </c>
      <c r="G404" s="160">
        <v>4.6500000000000004</v>
      </c>
      <c r="H404" s="161">
        <v>9.3000000000000007</v>
      </c>
      <c r="I404" s="161">
        <v>20</v>
      </c>
      <c r="J404" s="161">
        <v>70.7</v>
      </c>
      <c r="K404" s="160">
        <v>0.13999999999999999</v>
      </c>
    </row>
    <row r="405" spans="1:11" x14ac:dyDescent="0.3">
      <c r="A405" s="156" t="s">
        <v>887</v>
      </c>
      <c r="B405" s="157" t="s">
        <v>888</v>
      </c>
      <c r="C405" s="157">
        <v>2024</v>
      </c>
      <c r="D405" s="158">
        <v>-92.395197199999998</v>
      </c>
      <c r="E405" s="158">
        <v>36.7641694</v>
      </c>
      <c r="F405" s="159">
        <v>4.9000000000000004</v>
      </c>
      <c r="G405" s="160">
        <v>5</v>
      </c>
      <c r="H405" s="161">
        <v>43.7</v>
      </c>
      <c r="I405" s="161">
        <v>45.7</v>
      </c>
      <c r="J405" s="161">
        <v>10.6</v>
      </c>
      <c r="K405" s="160">
        <v>0.2</v>
      </c>
    </row>
    <row r="406" spans="1:11" x14ac:dyDescent="0.3">
      <c r="A406" s="156" t="s">
        <v>887</v>
      </c>
      <c r="B406" s="157" t="s">
        <v>888</v>
      </c>
      <c r="C406" s="157">
        <v>2024</v>
      </c>
      <c r="D406" s="158">
        <v>-92.345169067382798</v>
      </c>
      <c r="E406" s="158">
        <v>38.967266082763601</v>
      </c>
      <c r="F406" s="159">
        <v>5.6</v>
      </c>
      <c r="G406" s="160">
        <v>12</v>
      </c>
      <c r="H406" s="161">
        <v>4.5</v>
      </c>
      <c r="I406" s="161">
        <v>71.3</v>
      </c>
      <c r="J406" s="161">
        <v>24.2</v>
      </c>
      <c r="K406" s="160">
        <v>1.8</v>
      </c>
    </row>
    <row r="407" spans="1:11" x14ac:dyDescent="0.3">
      <c r="A407" s="156" t="s">
        <v>887</v>
      </c>
      <c r="B407" s="157" t="s">
        <v>888</v>
      </c>
      <c r="C407" s="157">
        <v>2024</v>
      </c>
      <c r="D407" s="158">
        <v>-92.345165499999993</v>
      </c>
      <c r="E407" s="158">
        <v>37.974501199999999</v>
      </c>
      <c r="F407" s="159">
        <v>4.7</v>
      </c>
      <c r="G407" s="160">
        <v>8</v>
      </c>
      <c r="H407" s="161">
        <v>7.6</v>
      </c>
      <c r="I407" s="161">
        <v>68.900000000000006</v>
      </c>
      <c r="J407" s="161">
        <v>23.5</v>
      </c>
      <c r="K407" s="160">
        <v>0.4</v>
      </c>
    </row>
    <row r="408" spans="1:11" x14ac:dyDescent="0.3">
      <c r="A408" s="156" t="s">
        <v>887</v>
      </c>
      <c r="B408" s="157" t="s">
        <v>888</v>
      </c>
      <c r="C408" s="157">
        <v>2024</v>
      </c>
      <c r="D408" s="158">
        <v>-92.344999999999999</v>
      </c>
      <c r="E408" s="158">
        <v>38.967222200000002</v>
      </c>
      <c r="F408" s="159">
        <v>6.4</v>
      </c>
      <c r="G408" s="160">
        <v>9</v>
      </c>
      <c r="H408" s="161">
        <v>2.5</v>
      </c>
      <c r="I408" s="161">
        <v>62.5</v>
      </c>
      <c r="J408" s="161">
        <v>24.8</v>
      </c>
      <c r="K408" s="160">
        <v>0.5</v>
      </c>
    </row>
    <row r="409" spans="1:11" x14ac:dyDescent="0.3">
      <c r="A409" s="156" t="s">
        <v>887</v>
      </c>
      <c r="B409" s="157" t="s">
        <v>888</v>
      </c>
      <c r="C409" s="157">
        <v>2024</v>
      </c>
      <c r="D409" s="158">
        <v>-92.342638899999997</v>
      </c>
      <c r="E409" s="158">
        <v>37.615583299999997</v>
      </c>
      <c r="F409" s="159">
        <v>4.7</v>
      </c>
      <c r="G409" s="160">
        <v>5.75</v>
      </c>
      <c r="H409" s="161">
        <v>24.7</v>
      </c>
      <c r="I409" s="161">
        <v>52.8</v>
      </c>
      <c r="J409" s="161">
        <v>22.5</v>
      </c>
      <c r="K409" s="160">
        <v>0.1</v>
      </c>
    </row>
    <row r="410" spans="1:11" x14ac:dyDescent="0.3">
      <c r="A410" s="156" t="s">
        <v>887</v>
      </c>
      <c r="B410" s="157" t="s">
        <v>888</v>
      </c>
      <c r="C410" s="157">
        <v>2024</v>
      </c>
      <c r="D410" s="158">
        <v>-92.341626599999998</v>
      </c>
      <c r="E410" s="158">
        <v>38.334728900000002</v>
      </c>
      <c r="F410" s="159">
        <v>4.8</v>
      </c>
      <c r="G410" s="160">
        <v>8.75</v>
      </c>
      <c r="H410" s="161">
        <v>23.8</v>
      </c>
      <c r="I410" s="161">
        <v>57.5</v>
      </c>
      <c r="J410" s="161">
        <v>18.7</v>
      </c>
      <c r="K410" s="160">
        <v>0.1</v>
      </c>
    </row>
    <row r="411" spans="1:11" x14ac:dyDescent="0.3">
      <c r="A411" s="156" t="s">
        <v>887</v>
      </c>
      <c r="B411" s="157" t="s">
        <v>888</v>
      </c>
      <c r="C411" s="157">
        <v>2024</v>
      </c>
      <c r="D411" s="158">
        <v>-92.326659199999995</v>
      </c>
      <c r="E411" s="158">
        <v>38.468203799999998</v>
      </c>
      <c r="F411" s="159">
        <v>5.7</v>
      </c>
      <c r="G411" s="160">
        <v>7</v>
      </c>
      <c r="H411" s="161">
        <v>5.5</v>
      </c>
      <c r="I411" s="161">
        <v>76.900000000000006</v>
      </c>
      <c r="J411" s="161">
        <v>17.600000000000001</v>
      </c>
      <c r="K411" s="160">
        <v>0.4</v>
      </c>
    </row>
    <row r="412" spans="1:11" x14ac:dyDescent="0.3">
      <c r="A412" s="156" t="s">
        <v>887</v>
      </c>
      <c r="B412" s="157" t="s">
        <v>888</v>
      </c>
      <c r="C412" s="157">
        <v>2024</v>
      </c>
      <c r="D412" s="158">
        <v>-92.322111899999996</v>
      </c>
      <c r="E412" s="158">
        <v>39.155317400000001</v>
      </c>
      <c r="F412" s="159">
        <v>5.7</v>
      </c>
      <c r="G412" s="160">
        <v>13</v>
      </c>
      <c r="H412" s="161">
        <v>32.299999999999997</v>
      </c>
      <c r="I412" s="161">
        <v>50</v>
      </c>
      <c r="J412" s="161">
        <v>17.7</v>
      </c>
      <c r="K412" s="160">
        <v>0.1</v>
      </c>
    </row>
    <row r="413" spans="1:11" x14ac:dyDescent="0.3">
      <c r="A413" s="156" t="s">
        <v>887</v>
      </c>
      <c r="B413" s="157" t="s">
        <v>888</v>
      </c>
      <c r="C413" s="157">
        <v>2024</v>
      </c>
      <c r="D413" s="158">
        <v>-92.319333299999997</v>
      </c>
      <c r="E413" s="158">
        <v>39.215972200000003</v>
      </c>
      <c r="F413" s="159">
        <v>4.5999999999999996</v>
      </c>
      <c r="G413" s="160">
        <v>25</v>
      </c>
      <c r="H413" s="161">
        <v>3.2</v>
      </c>
      <c r="I413" s="161">
        <v>43</v>
      </c>
      <c r="J413" s="161">
        <v>53.8</v>
      </c>
      <c r="K413" s="160">
        <v>0.8</v>
      </c>
    </row>
    <row r="414" spans="1:11" x14ac:dyDescent="0.3">
      <c r="A414" s="156" t="s">
        <v>887</v>
      </c>
      <c r="B414" s="157" t="s">
        <v>888</v>
      </c>
      <c r="C414" s="157">
        <v>2024</v>
      </c>
      <c r="D414" s="158">
        <v>-92.318183399999995</v>
      </c>
      <c r="E414" s="158">
        <v>38.710303199999998</v>
      </c>
      <c r="F414" s="159">
        <v>6.8</v>
      </c>
      <c r="G414" s="160">
        <v>15.2</v>
      </c>
      <c r="H414" s="161">
        <v>15.8</v>
      </c>
      <c r="I414" s="161">
        <v>65</v>
      </c>
      <c r="J414" s="161">
        <v>19.2</v>
      </c>
      <c r="K414" s="160">
        <v>0.2</v>
      </c>
    </row>
    <row r="415" spans="1:11" x14ac:dyDescent="0.3">
      <c r="A415" s="156" t="s">
        <v>887</v>
      </c>
      <c r="B415" s="157" t="s">
        <v>888</v>
      </c>
      <c r="C415" s="157">
        <v>2024</v>
      </c>
      <c r="D415" s="158">
        <v>-92.309681900000001</v>
      </c>
      <c r="E415" s="158">
        <v>36.95299</v>
      </c>
      <c r="F415" s="159">
        <v>5.5</v>
      </c>
      <c r="G415" s="160">
        <v>8</v>
      </c>
      <c r="H415" s="161">
        <v>8</v>
      </c>
      <c r="I415" s="161">
        <v>11.9</v>
      </c>
      <c r="J415" s="161">
        <v>80.099999999999994</v>
      </c>
      <c r="K415" s="160">
        <v>0.3</v>
      </c>
    </row>
    <row r="416" spans="1:11" x14ac:dyDescent="0.3">
      <c r="A416" s="156" t="s">
        <v>887</v>
      </c>
      <c r="B416" s="157" t="s">
        <v>888</v>
      </c>
      <c r="C416" s="157">
        <v>2024</v>
      </c>
      <c r="D416" s="158">
        <v>-92.2967333</v>
      </c>
      <c r="E416" s="158">
        <v>36.7972611</v>
      </c>
      <c r="F416" s="159">
        <v>5.6</v>
      </c>
      <c r="G416" s="160">
        <v>3</v>
      </c>
      <c r="H416" s="161">
        <v>46.2</v>
      </c>
      <c r="I416" s="161">
        <v>43.9</v>
      </c>
      <c r="J416" s="161">
        <v>9.9</v>
      </c>
      <c r="K416" s="160">
        <v>0.1</v>
      </c>
    </row>
    <row r="417" spans="1:11" x14ac:dyDescent="0.3">
      <c r="A417" s="156" t="s">
        <v>887</v>
      </c>
      <c r="B417" s="157" t="s">
        <v>888</v>
      </c>
      <c r="C417" s="157">
        <v>2024</v>
      </c>
      <c r="D417" s="158">
        <v>-92.268385199999997</v>
      </c>
      <c r="E417" s="158">
        <v>38.856439600000002</v>
      </c>
      <c r="F417" s="159">
        <v>6</v>
      </c>
      <c r="G417" s="160">
        <v>10</v>
      </c>
      <c r="H417" s="161">
        <v>14</v>
      </c>
      <c r="I417" s="161">
        <v>66.3</v>
      </c>
      <c r="J417" s="161">
        <v>19.7</v>
      </c>
      <c r="K417" s="160">
        <v>0.1</v>
      </c>
    </row>
    <row r="418" spans="1:11" x14ac:dyDescent="0.3">
      <c r="A418" s="156" t="s">
        <v>887</v>
      </c>
      <c r="B418" s="157" t="s">
        <v>888</v>
      </c>
      <c r="C418" s="157">
        <v>2024</v>
      </c>
      <c r="D418" s="158">
        <v>-92.244219700000002</v>
      </c>
      <c r="E418" s="158">
        <v>38.371271700000001</v>
      </c>
      <c r="F418" s="159">
        <v>5.0999999999999996</v>
      </c>
      <c r="G418" s="160">
        <v>12</v>
      </c>
      <c r="H418" s="161">
        <v>11.9</v>
      </c>
      <c r="I418" s="161">
        <v>59.9</v>
      </c>
      <c r="J418" s="161">
        <v>28.2</v>
      </c>
      <c r="K418" s="160">
        <v>0.2</v>
      </c>
    </row>
    <row r="419" spans="1:11" x14ac:dyDescent="0.3">
      <c r="A419" s="156" t="s">
        <v>887</v>
      </c>
      <c r="B419" s="157" t="s">
        <v>888</v>
      </c>
      <c r="C419" s="157">
        <v>2024</v>
      </c>
      <c r="D419" s="158">
        <v>-92.2390556</v>
      </c>
      <c r="E419" s="158">
        <v>40.44</v>
      </c>
      <c r="F419" s="159">
        <v>5.8</v>
      </c>
      <c r="G419" s="160">
        <v>20.350000000000001</v>
      </c>
      <c r="H419" s="161">
        <v>4.3</v>
      </c>
      <c r="I419" s="161">
        <v>64.5</v>
      </c>
      <c r="J419" s="161">
        <v>31.2</v>
      </c>
      <c r="K419" s="160">
        <v>0.2</v>
      </c>
    </row>
    <row r="420" spans="1:11" x14ac:dyDescent="0.3">
      <c r="A420" s="156" t="s">
        <v>887</v>
      </c>
      <c r="B420" s="157" t="s">
        <v>888</v>
      </c>
      <c r="C420" s="157">
        <v>2024</v>
      </c>
      <c r="D420" s="158">
        <v>-92.234964300000001</v>
      </c>
      <c r="E420" s="158">
        <v>38.489089399999997</v>
      </c>
      <c r="F420" s="159">
        <v>5.9</v>
      </c>
      <c r="G420" s="160">
        <v>15.85</v>
      </c>
      <c r="H420" s="161">
        <v>8.8000000000000007</v>
      </c>
      <c r="I420" s="161">
        <v>62.4</v>
      </c>
      <c r="J420" s="161">
        <v>28.8</v>
      </c>
      <c r="K420" s="160">
        <v>0.1</v>
      </c>
    </row>
    <row r="421" spans="1:11" x14ac:dyDescent="0.3">
      <c r="A421" s="156" t="s">
        <v>887</v>
      </c>
      <c r="B421" s="157" t="s">
        <v>888</v>
      </c>
      <c r="C421" s="157">
        <v>2024</v>
      </c>
      <c r="D421" s="158">
        <v>-92.232749999999996</v>
      </c>
      <c r="E421" s="158">
        <v>40.440361099999997</v>
      </c>
      <c r="F421" s="159">
        <v>5.6</v>
      </c>
      <c r="G421" s="160">
        <v>25.95</v>
      </c>
      <c r="H421" s="161">
        <v>36.9</v>
      </c>
      <c r="I421" s="161">
        <v>25.5</v>
      </c>
      <c r="J421" s="161">
        <v>37.6</v>
      </c>
      <c r="K421" s="160">
        <v>0.2</v>
      </c>
    </row>
    <row r="422" spans="1:11" x14ac:dyDescent="0.3">
      <c r="A422" s="156" t="s">
        <v>887</v>
      </c>
      <c r="B422" s="157" t="s">
        <v>888</v>
      </c>
      <c r="C422" s="157">
        <v>2024</v>
      </c>
      <c r="D422" s="158">
        <v>-92.217222199999995</v>
      </c>
      <c r="E422" s="158">
        <v>39.171583300000002</v>
      </c>
      <c r="F422" s="159">
        <v>4.5</v>
      </c>
      <c r="G422" s="160">
        <v>4</v>
      </c>
      <c r="H422" s="161">
        <v>0.9</v>
      </c>
      <c r="I422" s="161">
        <v>42.8</v>
      </c>
      <c r="J422" s="161">
        <v>56.3</v>
      </c>
      <c r="K422" s="160">
        <v>0.4</v>
      </c>
    </row>
    <row r="423" spans="1:11" x14ac:dyDescent="0.3">
      <c r="A423" s="156" t="s">
        <v>887</v>
      </c>
      <c r="B423" s="157" t="s">
        <v>888</v>
      </c>
      <c r="C423" s="157">
        <v>2024</v>
      </c>
      <c r="D423" s="158">
        <v>-92.216667200000003</v>
      </c>
      <c r="E423" s="158">
        <v>38.900001500000002</v>
      </c>
      <c r="F423" s="159">
        <v>6.7</v>
      </c>
      <c r="G423" s="160">
        <v>30</v>
      </c>
      <c r="H423" s="161">
        <v>2.1</v>
      </c>
      <c r="I423" s="161">
        <v>66.7</v>
      </c>
      <c r="J423" s="161">
        <v>31.2</v>
      </c>
      <c r="K423" s="160">
        <v>0.19</v>
      </c>
    </row>
    <row r="424" spans="1:11" x14ac:dyDescent="0.3">
      <c r="A424" s="156" t="s">
        <v>887</v>
      </c>
      <c r="B424" s="157" t="s">
        <v>888</v>
      </c>
      <c r="C424" s="157">
        <v>2024</v>
      </c>
      <c r="D424" s="158">
        <v>-92.215119400000006</v>
      </c>
      <c r="E424" s="158">
        <v>36.798708300000001</v>
      </c>
      <c r="F424" s="159">
        <v>5.0999999999999996</v>
      </c>
      <c r="G424" s="160">
        <v>8.5500000000000007</v>
      </c>
      <c r="H424" s="161">
        <v>8.9</v>
      </c>
      <c r="I424" s="161">
        <v>22.1</v>
      </c>
      <c r="J424" s="161">
        <v>69.099999999999994</v>
      </c>
      <c r="K424" s="160">
        <v>0.1</v>
      </c>
    </row>
    <row r="425" spans="1:11" x14ac:dyDescent="0.3">
      <c r="A425" s="156" t="s">
        <v>887</v>
      </c>
      <c r="B425" s="157" t="s">
        <v>888</v>
      </c>
      <c r="C425" s="157">
        <v>2024</v>
      </c>
      <c r="D425" s="158">
        <v>-92.211308599999995</v>
      </c>
      <c r="E425" s="158">
        <v>38.334285299999998</v>
      </c>
      <c r="F425" s="159">
        <v>5.3</v>
      </c>
      <c r="G425" s="160">
        <v>3.15</v>
      </c>
      <c r="H425" s="161">
        <v>26.6</v>
      </c>
      <c r="I425" s="161">
        <v>54.1</v>
      </c>
      <c r="J425" s="161">
        <v>19.3</v>
      </c>
      <c r="K425" s="160">
        <v>0.3</v>
      </c>
    </row>
    <row r="426" spans="1:11" x14ac:dyDescent="0.3">
      <c r="A426" s="156" t="s">
        <v>887</v>
      </c>
      <c r="B426" s="157" t="s">
        <v>888</v>
      </c>
      <c r="C426" s="157">
        <v>2024</v>
      </c>
      <c r="D426" s="158">
        <v>-92.209732700000004</v>
      </c>
      <c r="E426" s="158">
        <v>38.337158600000002</v>
      </c>
      <c r="F426" s="159">
        <v>5.3</v>
      </c>
      <c r="G426" s="160">
        <v>5</v>
      </c>
      <c r="H426" s="161">
        <v>34.700000000000003</v>
      </c>
      <c r="I426" s="161">
        <v>47.5</v>
      </c>
      <c r="J426" s="161">
        <v>17.8</v>
      </c>
      <c r="K426" s="160">
        <v>0.1</v>
      </c>
    </row>
    <row r="427" spans="1:11" x14ac:dyDescent="0.3">
      <c r="A427" s="156" t="s">
        <v>887</v>
      </c>
      <c r="B427" s="157" t="s">
        <v>888</v>
      </c>
      <c r="C427" s="157">
        <v>2024</v>
      </c>
      <c r="D427" s="158">
        <v>-92.202654800000005</v>
      </c>
      <c r="E427" s="158">
        <v>39.065790800000002</v>
      </c>
      <c r="F427" s="159">
        <v>4.7</v>
      </c>
      <c r="G427" s="160">
        <v>5</v>
      </c>
      <c r="H427" s="161">
        <v>44.6</v>
      </c>
      <c r="I427" s="161">
        <v>24</v>
      </c>
      <c r="J427" s="161">
        <v>31.4</v>
      </c>
      <c r="K427" s="160">
        <v>0.3</v>
      </c>
    </row>
    <row r="428" spans="1:11" x14ac:dyDescent="0.3">
      <c r="A428" s="156" t="s">
        <v>887</v>
      </c>
      <c r="B428" s="157" t="s">
        <v>888</v>
      </c>
      <c r="C428" s="157">
        <v>2024</v>
      </c>
      <c r="D428" s="158">
        <v>-92.202475000000007</v>
      </c>
      <c r="E428" s="158">
        <v>36.590386100000003</v>
      </c>
      <c r="F428" s="159">
        <v>5.6</v>
      </c>
      <c r="G428" s="160">
        <v>2</v>
      </c>
      <c r="H428" s="161">
        <v>70.900000000000006</v>
      </c>
      <c r="I428" s="161">
        <v>24.6</v>
      </c>
      <c r="J428" s="161">
        <v>4.5</v>
      </c>
      <c r="K428" s="160">
        <v>1</v>
      </c>
    </row>
    <row r="429" spans="1:11" x14ac:dyDescent="0.3">
      <c r="A429" s="156" t="s">
        <v>887</v>
      </c>
      <c r="B429" s="157" t="s">
        <v>888</v>
      </c>
      <c r="C429" s="157">
        <v>2024</v>
      </c>
      <c r="D429" s="158">
        <v>-92.200330600000001</v>
      </c>
      <c r="E429" s="158">
        <v>36.877611100000003</v>
      </c>
      <c r="F429" s="159">
        <v>4.5</v>
      </c>
      <c r="G429" s="160">
        <v>2.9</v>
      </c>
      <c r="H429" s="161">
        <v>1.7</v>
      </c>
      <c r="I429" s="161">
        <v>24.7</v>
      </c>
      <c r="J429" s="161">
        <v>73.599999999999994</v>
      </c>
      <c r="K429" s="160">
        <v>0.1</v>
      </c>
    </row>
    <row r="430" spans="1:11" x14ac:dyDescent="0.3">
      <c r="A430" s="156" t="s">
        <v>887</v>
      </c>
      <c r="B430" s="157" t="s">
        <v>888</v>
      </c>
      <c r="C430" s="157">
        <v>2024</v>
      </c>
      <c r="D430" s="158">
        <v>-92.189564700000005</v>
      </c>
      <c r="E430" s="158">
        <v>39.2397919</v>
      </c>
      <c r="F430" s="159">
        <v>5.8</v>
      </c>
      <c r="G430" s="160">
        <v>21</v>
      </c>
      <c r="H430" s="161">
        <v>4.8</v>
      </c>
      <c r="I430" s="161">
        <v>73.7</v>
      </c>
      <c r="J430" s="161">
        <v>21.5</v>
      </c>
      <c r="K430" s="160">
        <v>1.6</v>
      </c>
    </row>
    <row r="431" spans="1:11" x14ac:dyDescent="0.3">
      <c r="A431" s="156" t="s">
        <v>887</v>
      </c>
      <c r="B431" s="157" t="s">
        <v>888</v>
      </c>
      <c r="C431" s="157">
        <v>2024</v>
      </c>
      <c r="D431" s="158">
        <v>-92.178054799999998</v>
      </c>
      <c r="E431" s="158">
        <v>42.736389199999998</v>
      </c>
      <c r="F431" s="159">
        <v>5.2</v>
      </c>
      <c r="G431" s="160">
        <v>10.3</v>
      </c>
      <c r="H431" s="161">
        <v>49</v>
      </c>
      <c r="I431" s="161">
        <v>30.9</v>
      </c>
      <c r="J431" s="161">
        <v>20.100000000000001</v>
      </c>
      <c r="K431" s="160">
        <v>1.85</v>
      </c>
    </row>
    <row r="432" spans="1:11" x14ac:dyDescent="0.3">
      <c r="A432" s="156" t="s">
        <v>887</v>
      </c>
      <c r="B432" s="157" t="s">
        <v>888</v>
      </c>
      <c r="C432" s="157">
        <v>2024</v>
      </c>
      <c r="D432" s="158">
        <v>-92.1674632</v>
      </c>
      <c r="E432" s="158">
        <v>38.793945399999998</v>
      </c>
      <c r="F432" s="159">
        <v>5.9</v>
      </c>
      <c r="G432" s="160">
        <v>29</v>
      </c>
      <c r="H432" s="161">
        <v>12.9</v>
      </c>
      <c r="I432" s="161">
        <v>24.6</v>
      </c>
      <c r="J432" s="161">
        <v>62.5</v>
      </c>
      <c r="K432" s="160">
        <v>0.3</v>
      </c>
    </row>
    <row r="433" spans="1:11" x14ac:dyDescent="0.3">
      <c r="A433" s="156" t="s">
        <v>887</v>
      </c>
      <c r="B433" s="157" t="s">
        <v>888</v>
      </c>
      <c r="C433" s="157">
        <v>2024</v>
      </c>
      <c r="D433" s="158">
        <v>-92.165777800000001</v>
      </c>
      <c r="E433" s="158">
        <v>36.676313899999997</v>
      </c>
      <c r="F433" s="159">
        <v>4.9000000000000004</v>
      </c>
      <c r="G433" s="160">
        <v>3</v>
      </c>
      <c r="H433" s="161">
        <v>14.1</v>
      </c>
      <c r="I433" s="161">
        <v>73</v>
      </c>
      <c r="J433" s="161">
        <v>12.9</v>
      </c>
      <c r="K433" s="160">
        <v>1.3</v>
      </c>
    </row>
    <row r="434" spans="1:11" x14ac:dyDescent="0.3">
      <c r="A434" s="156" t="s">
        <v>887</v>
      </c>
      <c r="B434" s="157" t="s">
        <v>888</v>
      </c>
      <c r="C434" s="157">
        <v>2024</v>
      </c>
      <c r="D434" s="158">
        <v>-92.144533300000006</v>
      </c>
      <c r="E434" s="158">
        <v>36.568347199999998</v>
      </c>
      <c r="F434" s="159">
        <v>5.2</v>
      </c>
      <c r="G434" s="160">
        <v>4</v>
      </c>
      <c r="H434" s="161">
        <v>23.9</v>
      </c>
      <c r="I434" s="161">
        <v>62.6</v>
      </c>
      <c r="J434" s="161">
        <v>13.5</v>
      </c>
      <c r="K434" s="160">
        <v>0.3</v>
      </c>
    </row>
    <row r="435" spans="1:11" x14ac:dyDescent="0.3">
      <c r="A435" s="156" t="s">
        <v>887</v>
      </c>
      <c r="B435" s="157" t="s">
        <v>888</v>
      </c>
      <c r="C435" s="157">
        <v>2024</v>
      </c>
      <c r="D435" s="158">
        <v>-92.143269799999999</v>
      </c>
      <c r="E435" s="158">
        <v>36.929099999999998</v>
      </c>
      <c r="F435" s="159">
        <v>4.8</v>
      </c>
      <c r="G435" s="160">
        <v>8</v>
      </c>
      <c r="H435" s="161">
        <v>22.5</v>
      </c>
      <c r="I435" s="161">
        <v>48.4</v>
      </c>
      <c r="J435" s="161">
        <v>29.1</v>
      </c>
      <c r="K435" s="160">
        <v>0.3</v>
      </c>
    </row>
    <row r="436" spans="1:11" x14ac:dyDescent="0.3">
      <c r="A436" s="156" t="s">
        <v>887</v>
      </c>
      <c r="B436" s="157" t="s">
        <v>888</v>
      </c>
      <c r="C436" s="157">
        <v>2024</v>
      </c>
      <c r="D436" s="158">
        <v>-92.122939000000002</v>
      </c>
      <c r="E436" s="158">
        <v>39.219205700000003</v>
      </c>
      <c r="F436" s="159">
        <v>5.3</v>
      </c>
      <c r="G436" s="160">
        <v>23.95</v>
      </c>
      <c r="H436" s="161">
        <v>3.5</v>
      </c>
      <c r="I436" s="161">
        <v>62</v>
      </c>
      <c r="J436" s="161">
        <v>34.5</v>
      </c>
      <c r="K436" s="160">
        <v>0.1</v>
      </c>
    </row>
    <row r="437" spans="1:11" x14ac:dyDescent="0.3">
      <c r="A437" s="156" t="s">
        <v>887</v>
      </c>
      <c r="B437" s="157" t="s">
        <v>888</v>
      </c>
      <c r="C437" s="157">
        <v>2024</v>
      </c>
      <c r="D437" s="158">
        <v>-92.101619400000004</v>
      </c>
      <c r="E437" s="158">
        <v>36.890211100000002</v>
      </c>
      <c r="F437" s="159">
        <v>4.7</v>
      </c>
      <c r="G437" s="160">
        <v>4.0999999999999996</v>
      </c>
      <c r="H437" s="161">
        <v>3.9</v>
      </c>
      <c r="I437" s="161">
        <v>15.8</v>
      </c>
      <c r="J437" s="161">
        <v>80.400000000000006</v>
      </c>
      <c r="K437" s="160">
        <v>0.2</v>
      </c>
    </row>
    <row r="438" spans="1:11" x14ac:dyDescent="0.3">
      <c r="A438" s="156" t="s">
        <v>887</v>
      </c>
      <c r="B438" s="157" t="s">
        <v>888</v>
      </c>
      <c r="C438" s="157">
        <v>2024</v>
      </c>
      <c r="D438" s="158">
        <v>-92.070083299999993</v>
      </c>
      <c r="E438" s="158">
        <v>37.256749999999997</v>
      </c>
      <c r="F438" s="159">
        <v>6.6</v>
      </c>
      <c r="G438" s="160">
        <v>12.7</v>
      </c>
      <c r="H438" s="161">
        <v>21.1</v>
      </c>
      <c r="I438" s="161">
        <v>38.5</v>
      </c>
      <c r="J438" s="161">
        <v>40.299999999999997</v>
      </c>
      <c r="K438" s="160">
        <v>0.2</v>
      </c>
    </row>
    <row r="439" spans="1:11" x14ac:dyDescent="0.3">
      <c r="A439" s="156" t="s">
        <v>887</v>
      </c>
      <c r="B439" s="157" t="s">
        <v>888</v>
      </c>
      <c r="C439" s="157">
        <v>2024</v>
      </c>
      <c r="D439" s="158">
        <v>-92.057705600000006</v>
      </c>
      <c r="E439" s="158">
        <v>37.022494399999999</v>
      </c>
      <c r="F439" s="159">
        <v>5.5</v>
      </c>
      <c r="G439" s="160">
        <v>2.25</v>
      </c>
      <c r="H439" s="161">
        <v>24.9</v>
      </c>
      <c r="I439" s="161">
        <v>31.5</v>
      </c>
      <c r="J439" s="161">
        <v>63.5</v>
      </c>
      <c r="K439" s="160">
        <v>0.8</v>
      </c>
    </row>
    <row r="440" spans="1:11" x14ac:dyDescent="0.3">
      <c r="A440" s="156" t="s">
        <v>887</v>
      </c>
      <c r="B440" s="157" t="s">
        <v>888</v>
      </c>
      <c r="C440" s="157">
        <v>2024</v>
      </c>
      <c r="D440" s="158">
        <v>-92.0521861</v>
      </c>
      <c r="E440" s="158">
        <v>37.222858299999999</v>
      </c>
      <c r="F440" s="159">
        <v>5.7</v>
      </c>
      <c r="G440" s="160">
        <v>5</v>
      </c>
      <c r="H440" s="161">
        <v>11.1</v>
      </c>
      <c r="I440" s="161">
        <v>74.599999999999994</v>
      </c>
      <c r="J440" s="161">
        <v>14.3</v>
      </c>
      <c r="K440" s="160">
        <v>0.8</v>
      </c>
    </row>
    <row r="441" spans="1:11" x14ac:dyDescent="0.3">
      <c r="A441" s="156" t="s">
        <v>887</v>
      </c>
      <c r="B441" s="157" t="s">
        <v>888</v>
      </c>
      <c r="C441" s="157">
        <v>2024</v>
      </c>
      <c r="D441" s="158">
        <v>-92.051844399999993</v>
      </c>
      <c r="E441" s="158">
        <v>37.270836099999997</v>
      </c>
      <c r="F441" s="159">
        <v>5.8</v>
      </c>
      <c r="G441" s="160">
        <v>5</v>
      </c>
      <c r="H441" s="161">
        <v>4.3</v>
      </c>
      <c r="I441" s="161">
        <v>37.5</v>
      </c>
      <c r="J441" s="161">
        <v>58.2</v>
      </c>
      <c r="K441" s="160">
        <v>0.2</v>
      </c>
    </row>
    <row r="442" spans="1:11" x14ac:dyDescent="0.3">
      <c r="A442" s="156" t="s">
        <v>887</v>
      </c>
      <c r="B442" s="157" t="s">
        <v>888</v>
      </c>
      <c r="C442" s="157">
        <v>2024</v>
      </c>
      <c r="D442" s="158">
        <v>-92.017222200000006</v>
      </c>
      <c r="E442" s="158">
        <v>39.218888900000003</v>
      </c>
      <c r="F442" s="159">
        <v>5.6</v>
      </c>
      <c r="G442" s="160">
        <v>6.5</v>
      </c>
      <c r="H442" s="161">
        <v>41.8</v>
      </c>
      <c r="I442" s="161">
        <v>44.8</v>
      </c>
      <c r="J442" s="161">
        <v>13.4</v>
      </c>
      <c r="K442" s="160">
        <v>0.9</v>
      </c>
    </row>
    <row r="443" spans="1:11" x14ac:dyDescent="0.3">
      <c r="A443" s="156" t="s">
        <v>887</v>
      </c>
      <c r="B443" s="157" t="s">
        <v>888</v>
      </c>
      <c r="C443" s="157">
        <v>2024</v>
      </c>
      <c r="D443" s="158">
        <v>-92.017011100000005</v>
      </c>
      <c r="E443" s="158">
        <v>36.913986100000002</v>
      </c>
      <c r="F443" s="159">
        <v>4.7</v>
      </c>
      <c r="G443" s="160">
        <v>2</v>
      </c>
      <c r="H443" s="161">
        <v>15.1</v>
      </c>
      <c r="I443" s="161">
        <v>28</v>
      </c>
      <c r="J443" s="161">
        <v>56.9</v>
      </c>
      <c r="K443" s="160">
        <v>0.1</v>
      </c>
    </row>
    <row r="444" spans="1:11" x14ac:dyDescent="0.3">
      <c r="A444" s="156" t="s">
        <v>887</v>
      </c>
      <c r="B444" s="157" t="s">
        <v>888</v>
      </c>
      <c r="C444" s="157">
        <v>2024</v>
      </c>
      <c r="D444" s="158">
        <v>-92.015989500000003</v>
      </c>
      <c r="E444" s="158">
        <v>38.498938099999997</v>
      </c>
      <c r="F444" s="159">
        <v>6.1</v>
      </c>
      <c r="G444" s="160">
        <v>8.8000000000000007</v>
      </c>
      <c r="H444" s="161">
        <v>6.2</v>
      </c>
      <c r="I444" s="161">
        <v>81.099999999999994</v>
      </c>
      <c r="J444" s="161">
        <v>12.7</v>
      </c>
      <c r="K444" s="160">
        <v>0.9</v>
      </c>
    </row>
    <row r="445" spans="1:11" x14ac:dyDescent="0.3">
      <c r="A445" s="156" t="s">
        <v>887</v>
      </c>
      <c r="B445" s="157" t="s">
        <v>888</v>
      </c>
      <c r="C445" s="157">
        <v>2024</v>
      </c>
      <c r="D445" s="158">
        <v>-92.001119399999993</v>
      </c>
      <c r="E445" s="158">
        <v>36.862933300000002</v>
      </c>
      <c r="F445" s="159">
        <v>4.8</v>
      </c>
      <c r="G445" s="160">
        <v>9.15</v>
      </c>
      <c r="H445" s="161">
        <v>8.6</v>
      </c>
      <c r="I445" s="161">
        <v>29.6</v>
      </c>
      <c r="J445" s="161">
        <v>61.8</v>
      </c>
      <c r="K445" s="160">
        <v>0.1</v>
      </c>
    </row>
    <row r="446" spans="1:11" x14ac:dyDescent="0.3">
      <c r="A446" s="156" t="s">
        <v>887</v>
      </c>
      <c r="B446" s="157" t="s">
        <v>888</v>
      </c>
      <c r="C446" s="157">
        <v>2024</v>
      </c>
      <c r="D446" s="158">
        <v>-92</v>
      </c>
      <c r="E446" s="158">
        <v>36</v>
      </c>
      <c r="F446" s="159">
        <v>5.4</v>
      </c>
      <c r="G446" s="160">
        <v>22.85</v>
      </c>
      <c r="H446" s="161">
        <v>38.6</v>
      </c>
      <c r="I446" s="161">
        <v>47</v>
      </c>
      <c r="J446" s="161">
        <v>14.4</v>
      </c>
      <c r="K446" s="160">
        <v>0.1</v>
      </c>
    </row>
    <row r="447" spans="1:11" x14ac:dyDescent="0.3">
      <c r="A447" s="156" t="s">
        <v>887</v>
      </c>
      <c r="B447" s="157" t="s">
        <v>888</v>
      </c>
      <c r="C447" s="157">
        <v>2024</v>
      </c>
      <c r="D447" s="158">
        <v>-91.965975</v>
      </c>
      <c r="E447" s="158">
        <v>36.588855600000002</v>
      </c>
      <c r="F447" s="159">
        <v>4.5999999999999996</v>
      </c>
      <c r="G447" s="160">
        <v>10</v>
      </c>
      <c r="H447" s="161">
        <v>9</v>
      </c>
      <c r="I447" s="161">
        <v>56.5</v>
      </c>
      <c r="J447" s="161">
        <v>34.5</v>
      </c>
      <c r="K447" s="160">
        <v>0.2</v>
      </c>
    </row>
    <row r="448" spans="1:11" x14ac:dyDescent="0.3">
      <c r="A448" s="156" t="s">
        <v>887</v>
      </c>
      <c r="B448" s="157" t="s">
        <v>888</v>
      </c>
      <c r="C448" s="157">
        <v>2024</v>
      </c>
      <c r="D448" s="158">
        <v>-91.902779300000006</v>
      </c>
      <c r="E448" s="158">
        <v>38.1636381</v>
      </c>
      <c r="F448" s="159">
        <v>5.0999999999999996</v>
      </c>
      <c r="G448" s="160">
        <v>3</v>
      </c>
      <c r="H448" s="161">
        <v>50.4</v>
      </c>
      <c r="I448" s="161">
        <v>42.9</v>
      </c>
      <c r="J448" s="161">
        <v>6.7</v>
      </c>
      <c r="K448" s="160">
        <v>1</v>
      </c>
    </row>
    <row r="449" spans="1:11" x14ac:dyDescent="0.3">
      <c r="A449" s="156" t="s">
        <v>887</v>
      </c>
      <c r="B449" s="157" t="s">
        <v>888</v>
      </c>
      <c r="C449" s="157">
        <v>2024</v>
      </c>
      <c r="D449" s="158">
        <v>-91.878638899999999</v>
      </c>
      <c r="E449" s="158">
        <v>37.634416700000003</v>
      </c>
      <c r="F449" s="159">
        <v>4.9000000000000004</v>
      </c>
      <c r="G449" s="160">
        <v>8</v>
      </c>
      <c r="H449" s="161">
        <v>24.3</v>
      </c>
      <c r="I449" s="161">
        <v>42</v>
      </c>
      <c r="J449" s="161">
        <v>33.700000000000003</v>
      </c>
      <c r="K449" s="160">
        <v>0.1</v>
      </c>
    </row>
    <row r="450" spans="1:11" x14ac:dyDescent="0.3">
      <c r="A450" s="156" t="s">
        <v>887</v>
      </c>
      <c r="B450" s="157" t="s">
        <v>888</v>
      </c>
      <c r="C450" s="157">
        <v>2024</v>
      </c>
      <c r="D450" s="158">
        <v>-91.875816700000001</v>
      </c>
      <c r="E450" s="158">
        <v>40.264355600000002</v>
      </c>
      <c r="F450" s="159">
        <v>6.4</v>
      </c>
      <c r="G450" s="160">
        <v>14</v>
      </c>
      <c r="H450" s="161">
        <v>7.3</v>
      </c>
      <c r="I450" s="161">
        <v>75.8</v>
      </c>
      <c r="J450" s="161">
        <v>16.899999999999999</v>
      </c>
      <c r="K450" s="160">
        <v>1.5</v>
      </c>
    </row>
    <row r="451" spans="1:11" x14ac:dyDescent="0.3">
      <c r="A451" s="156" t="s">
        <v>887</v>
      </c>
      <c r="B451" s="157" t="s">
        <v>888</v>
      </c>
      <c r="C451" s="157">
        <v>2024</v>
      </c>
      <c r="D451" s="158">
        <v>-91.8695278</v>
      </c>
      <c r="E451" s="158">
        <v>37.337044400000003</v>
      </c>
      <c r="F451" s="159">
        <v>4.8</v>
      </c>
      <c r="G451" s="160">
        <v>13</v>
      </c>
      <c r="H451" s="161">
        <v>8.8000000000000007</v>
      </c>
      <c r="I451" s="161">
        <v>64.5</v>
      </c>
      <c r="J451" s="161">
        <v>26.7</v>
      </c>
      <c r="K451" s="160">
        <v>0.2</v>
      </c>
    </row>
    <row r="452" spans="1:11" x14ac:dyDescent="0.3">
      <c r="A452" s="156" t="s">
        <v>887</v>
      </c>
      <c r="B452" s="157" t="s">
        <v>888</v>
      </c>
      <c r="C452" s="157">
        <v>2024</v>
      </c>
      <c r="D452" s="158">
        <v>-91.847803900000002</v>
      </c>
      <c r="E452" s="158">
        <v>38.255035499999998</v>
      </c>
      <c r="F452" s="159">
        <v>6.8</v>
      </c>
      <c r="G452" s="160">
        <v>7</v>
      </c>
      <c r="H452" s="161">
        <v>21.5</v>
      </c>
      <c r="I452" s="161">
        <v>17.2</v>
      </c>
      <c r="J452" s="161">
        <v>72.900000000000006</v>
      </c>
      <c r="K452" s="160">
        <v>0.1</v>
      </c>
    </row>
    <row r="453" spans="1:11" x14ac:dyDescent="0.3">
      <c r="A453" s="156" t="s">
        <v>887</v>
      </c>
      <c r="B453" s="157" t="s">
        <v>888</v>
      </c>
      <c r="C453" s="157">
        <v>2024</v>
      </c>
      <c r="D453" s="158">
        <v>-91.817833300000004</v>
      </c>
      <c r="E453" s="158">
        <v>37.607166700000001</v>
      </c>
      <c r="F453" s="159">
        <v>4.9000000000000004</v>
      </c>
      <c r="G453" s="160">
        <v>19.850000000000001</v>
      </c>
      <c r="H453" s="161">
        <v>10.199999999999999</v>
      </c>
      <c r="I453" s="161">
        <v>74.8</v>
      </c>
      <c r="J453" s="161">
        <v>15</v>
      </c>
      <c r="K453" s="160">
        <v>0.5</v>
      </c>
    </row>
    <row r="454" spans="1:11" x14ac:dyDescent="0.3">
      <c r="A454" s="156" t="s">
        <v>887</v>
      </c>
      <c r="B454" s="157" t="s">
        <v>888</v>
      </c>
      <c r="C454" s="157">
        <v>2024</v>
      </c>
      <c r="D454" s="158">
        <v>-91.817305599999997</v>
      </c>
      <c r="E454" s="158">
        <v>38.830611099999999</v>
      </c>
      <c r="F454" s="159">
        <v>6</v>
      </c>
      <c r="G454" s="160">
        <v>22</v>
      </c>
      <c r="H454" s="161">
        <v>7.6</v>
      </c>
      <c r="I454" s="161">
        <v>55.4</v>
      </c>
      <c r="J454" s="161">
        <v>37</v>
      </c>
      <c r="K454" s="160">
        <v>0.4</v>
      </c>
    </row>
    <row r="455" spans="1:11" x14ac:dyDescent="0.3">
      <c r="A455" s="156" t="s">
        <v>887</v>
      </c>
      <c r="B455" s="157" t="s">
        <v>888</v>
      </c>
      <c r="C455" s="157">
        <v>2024</v>
      </c>
      <c r="D455" s="158">
        <v>-91.810722200000001</v>
      </c>
      <c r="E455" s="158">
        <v>37.037852800000003</v>
      </c>
      <c r="F455" s="159">
        <v>5.0999999999999996</v>
      </c>
      <c r="G455" s="160">
        <v>4</v>
      </c>
      <c r="H455" s="161">
        <v>28.6</v>
      </c>
      <c r="I455" s="161">
        <v>58.5</v>
      </c>
      <c r="J455" s="161">
        <v>12.9</v>
      </c>
      <c r="K455" s="160">
        <v>2.6</v>
      </c>
    </row>
    <row r="456" spans="1:11" x14ac:dyDescent="0.3">
      <c r="A456" s="156" t="s">
        <v>887</v>
      </c>
      <c r="B456" s="157" t="s">
        <v>888</v>
      </c>
      <c r="C456" s="157">
        <v>2024</v>
      </c>
      <c r="D456" s="158">
        <v>-91.801166699999996</v>
      </c>
      <c r="E456" s="158">
        <v>38.746638900000001</v>
      </c>
      <c r="F456" s="159">
        <v>4.9000000000000004</v>
      </c>
      <c r="G456" s="160">
        <v>10.3</v>
      </c>
      <c r="H456" s="161">
        <v>7.3</v>
      </c>
      <c r="I456" s="161">
        <v>64.5</v>
      </c>
      <c r="J456" s="161">
        <v>28.2</v>
      </c>
      <c r="K456" s="160">
        <v>0.3</v>
      </c>
    </row>
    <row r="457" spans="1:11" x14ac:dyDescent="0.3">
      <c r="A457" s="156" t="s">
        <v>887</v>
      </c>
      <c r="B457" s="157" t="s">
        <v>888</v>
      </c>
      <c r="C457" s="157">
        <v>2024</v>
      </c>
      <c r="D457" s="158">
        <v>-91.782277800000003</v>
      </c>
      <c r="E457" s="158">
        <v>38.711083299999999</v>
      </c>
      <c r="F457" s="159">
        <v>6.2</v>
      </c>
      <c r="G457" s="160">
        <v>16.8</v>
      </c>
      <c r="H457" s="161">
        <v>4.5999999999999996</v>
      </c>
      <c r="I457" s="161">
        <v>52.6</v>
      </c>
      <c r="J457" s="161">
        <v>42.7</v>
      </c>
      <c r="K457" s="160">
        <v>0.7</v>
      </c>
    </row>
    <row r="458" spans="1:11" x14ac:dyDescent="0.3">
      <c r="A458" s="156" t="s">
        <v>887</v>
      </c>
      <c r="B458" s="157" t="s">
        <v>888</v>
      </c>
      <c r="C458" s="157">
        <v>2024</v>
      </c>
      <c r="D458" s="158">
        <v>-91.7733889</v>
      </c>
      <c r="E458" s="158">
        <v>38.718888900000003</v>
      </c>
      <c r="F458" s="159">
        <v>5.9</v>
      </c>
      <c r="G458" s="160">
        <v>8.0500000000000007</v>
      </c>
      <c r="H458" s="161">
        <v>9.3000000000000007</v>
      </c>
      <c r="I458" s="161">
        <v>70.8</v>
      </c>
      <c r="J458" s="161">
        <v>19.899999999999999</v>
      </c>
      <c r="K458" s="160">
        <v>0.4</v>
      </c>
    </row>
    <row r="459" spans="1:11" x14ac:dyDescent="0.3">
      <c r="A459" s="156" t="s">
        <v>887</v>
      </c>
      <c r="B459" s="157" t="s">
        <v>888</v>
      </c>
      <c r="C459" s="157">
        <v>2024</v>
      </c>
      <c r="D459" s="158">
        <v>-91.757166699999999</v>
      </c>
      <c r="E459" s="158">
        <v>38.763527799999999</v>
      </c>
      <c r="F459" s="159">
        <v>6</v>
      </c>
      <c r="G459" s="160">
        <v>12.9</v>
      </c>
      <c r="H459" s="161">
        <v>10.4</v>
      </c>
      <c r="I459" s="161">
        <v>68.3</v>
      </c>
      <c r="J459" s="161">
        <v>21.3</v>
      </c>
      <c r="K459" s="160">
        <v>1.8</v>
      </c>
    </row>
    <row r="460" spans="1:11" x14ac:dyDescent="0.3">
      <c r="A460" s="156" t="s">
        <v>887</v>
      </c>
      <c r="B460" s="157" t="s">
        <v>888</v>
      </c>
      <c r="C460" s="157">
        <v>2024</v>
      </c>
      <c r="D460" s="158">
        <v>-91.7102814</v>
      </c>
      <c r="E460" s="158">
        <v>45.900001500000002</v>
      </c>
      <c r="F460" s="159">
        <v>5.4</v>
      </c>
      <c r="G460" s="160">
        <v>5.25</v>
      </c>
      <c r="H460" s="161">
        <v>92</v>
      </c>
      <c r="I460" s="161">
        <v>6.6</v>
      </c>
      <c r="J460" s="161">
        <v>1.4</v>
      </c>
      <c r="K460" s="160">
        <v>0.09</v>
      </c>
    </row>
    <row r="461" spans="1:11" x14ac:dyDescent="0.3">
      <c r="A461" s="156" t="s">
        <v>887</v>
      </c>
      <c r="B461" s="157" t="s">
        <v>888</v>
      </c>
      <c r="C461" s="157">
        <v>2024</v>
      </c>
      <c r="D461" s="158">
        <v>-91.707947200000007</v>
      </c>
      <c r="E461" s="158">
        <v>37.187786099999997</v>
      </c>
      <c r="F461" s="159">
        <v>5.9</v>
      </c>
      <c r="G461" s="160">
        <v>20</v>
      </c>
      <c r="H461" s="161">
        <v>29.3</v>
      </c>
      <c r="I461" s="161">
        <v>62.5</v>
      </c>
      <c r="J461" s="161">
        <v>8.1999999999999993</v>
      </c>
      <c r="K461" s="160">
        <v>3.9</v>
      </c>
    </row>
    <row r="462" spans="1:11" x14ac:dyDescent="0.3">
      <c r="A462" s="156" t="s">
        <v>887</v>
      </c>
      <c r="B462" s="157" t="s">
        <v>888</v>
      </c>
      <c r="C462" s="157">
        <v>2024</v>
      </c>
      <c r="D462" s="158">
        <v>-91.706812299999996</v>
      </c>
      <c r="E462" s="158">
        <v>38.169499000000002</v>
      </c>
      <c r="F462" s="159">
        <v>4.5999999999999996</v>
      </c>
      <c r="G462" s="160">
        <v>23</v>
      </c>
      <c r="H462" s="161">
        <v>16.5</v>
      </c>
      <c r="I462" s="161">
        <v>26.8</v>
      </c>
      <c r="J462" s="161">
        <v>56.7</v>
      </c>
      <c r="K462" s="160">
        <v>0.1</v>
      </c>
    </row>
    <row r="463" spans="1:11" x14ac:dyDescent="0.3">
      <c r="A463" s="156" t="s">
        <v>887</v>
      </c>
      <c r="B463" s="157" t="s">
        <v>888</v>
      </c>
      <c r="C463" s="157">
        <v>2024</v>
      </c>
      <c r="D463" s="158">
        <v>-91.698072199999999</v>
      </c>
      <c r="E463" s="158">
        <v>36.93815</v>
      </c>
      <c r="F463" s="159">
        <v>4.8</v>
      </c>
      <c r="G463" s="160">
        <v>5</v>
      </c>
      <c r="H463" s="161">
        <v>17.2</v>
      </c>
      <c r="I463" s="161">
        <v>70.400000000000006</v>
      </c>
      <c r="J463" s="161">
        <v>12.4</v>
      </c>
      <c r="K463" s="160">
        <v>0.8</v>
      </c>
    </row>
    <row r="464" spans="1:11" x14ac:dyDescent="0.3">
      <c r="A464" s="156" t="s">
        <v>887</v>
      </c>
      <c r="B464" s="157" t="s">
        <v>888</v>
      </c>
      <c r="C464" s="157">
        <v>2024</v>
      </c>
      <c r="D464" s="158">
        <v>-91.649169900000004</v>
      </c>
      <c r="E464" s="158">
        <v>37.150001500000002</v>
      </c>
      <c r="F464" s="159">
        <v>4.3</v>
      </c>
      <c r="G464" s="160">
        <v>20</v>
      </c>
      <c r="H464" s="161">
        <v>3.1</v>
      </c>
      <c r="I464" s="161">
        <v>54.4</v>
      </c>
      <c r="J464" s="161">
        <v>42.5</v>
      </c>
      <c r="K464" s="160">
        <v>0.3</v>
      </c>
    </row>
    <row r="465" spans="1:11" x14ac:dyDescent="0.3">
      <c r="A465" s="156" t="s">
        <v>887</v>
      </c>
      <c r="B465" s="157" t="s">
        <v>888</v>
      </c>
      <c r="C465" s="157">
        <v>2024</v>
      </c>
      <c r="D465" s="158">
        <v>-91.603057899999996</v>
      </c>
      <c r="E465" s="158">
        <v>45.706943500000001</v>
      </c>
      <c r="F465" s="159">
        <v>5.7</v>
      </c>
      <c r="G465" s="160">
        <v>2.15</v>
      </c>
      <c r="H465" s="161">
        <v>79.2</v>
      </c>
      <c r="I465" s="161">
        <v>15.1</v>
      </c>
      <c r="J465" s="161">
        <v>5.7</v>
      </c>
      <c r="K465" s="160">
        <v>0</v>
      </c>
    </row>
    <row r="466" spans="1:11" x14ac:dyDescent="0.3">
      <c r="A466" s="156" t="s">
        <v>887</v>
      </c>
      <c r="B466" s="157" t="s">
        <v>888</v>
      </c>
      <c r="C466" s="157">
        <v>2024</v>
      </c>
      <c r="D466" s="158">
        <v>-91.578249999999997</v>
      </c>
      <c r="E466" s="158">
        <v>38.902638899999999</v>
      </c>
      <c r="F466" s="159">
        <v>6.2</v>
      </c>
      <c r="G466" s="160">
        <v>5.2</v>
      </c>
      <c r="H466" s="161">
        <v>20.8</v>
      </c>
      <c r="I466" s="161">
        <v>65.8</v>
      </c>
      <c r="J466" s="161">
        <v>13.4</v>
      </c>
      <c r="K466" s="160">
        <v>1.8</v>
      </c>
    </row>
    <row r="467" spans="1:11" x14ac:dyDescent="0.3">
      <c r="A467" s="156" t="s">
        <v>887</v>
      </c>
      <c r="B467" s="157" t="s">
        <v>888</v>
      </c>
      <c r="C467" s="157">
        <v>2024</v>
      </c>
      <c r="D467" s="158">
        <v>-91.560444399999994</v>
      </c>
      <c r="E467" s="158">
        <v>39.7019722</v>
      </c>
      <c r="F467" s="159">
        <v>5.7</v>
      </c>
      <c r="G467" s="160">
        <v>11.9</v>
      </c>
      <c r="H467" s="161">
        <v>2.2000000000000002</v>
      </c>
      <c r="I467" s="161">
        <v>59.2</v>
      </c>
      <c r="J467" s="161">
        <v>38.6</v>
      </c>
      <c r="K467" s="160">
        <v>0.3</v>
      </c>
    </row>
    <row r="468" spans="1:11" x14ac:dyDescent="0.3">
      <c r="A468" s="156" t="s">
        <v>887</v>
      </c>
      <c r="B468" s="157" t="s">
        <v>888</v>
      </c>
      <c r="C468" s="157">
        <v>2024</v>
      </c>
      <c r="D468" s="158">
        <v>-91.544138899999993</v>
      </c>
      <c r="E468" s="158">
        <v>39.538916700000001</v>
      </c>
      <c r="F468" s="159">
        <v>5.3</v>
      </c>
      <c r="G468" s="160">
        <v>13.05</v>
      </c>
      <c r="H468" s="161">
        <v>9.9</v>
      </c>
      <c r="I468" s="161">
        <v>62.2</v>
      </c>
      <c r="J468" s="161">
        <v>27.9</v>
      </c>
      <c r="K468" s="160">
        <v>0.2</v>
      </c>
    </row>
    <row r="469" spans="1:11" x14ac:dyDescent="0.3">
      <c r="A469" s="156" t="s">
        <v>887</v>
      </c>
      <c r="B469" s="157" t="s">
        <v>888</v>
      </c>
      <c r="C469" s="157">
        <v>2024</v>
      </c>
      <c r="D469" s="158">
        <v>-91.530805599999994</v>
      </c>
      <c r="E469" s="158">
        <v>36.568083299999998</v>
      </c>
      <c r="F469" s="159">
        <v>4.3</v>
      </c>
      <c r="G469" s="160">
        <v>6</v>
      </c>
      <c r="H469" s="161">
        <v>23.9</v>
      </c>
      <c r="I469" s="161">
        <v>48</v>
      </c>
      <c r="J469" s="161">
        <v>28.1</v>
      </c>
      <c r="K469" s="160">
        <v>0.1</v>
      </c>
    </row>
    <row r="470" spans="1:11" x14ac:dyDescent="0.3">
      <c r="A470" s="156" t="s">
        <v>887</v>
      </c>
      <c r="B470" s="157" t="s">
        <v>888</v>
      </c>
      <c r="C470" s="157">
        <v>2024</v>
      </c>
      <c r="D470" s="158">
        <v>-91.520916700000001</v>
      </c>
      <c r="E470" s="158">
        <v>38.643083300000001</v>
      </c>
      <c r="F470" s="159">
        <v>6.7</v>
      </c>
      <c r="G470" s="160">
        <v>11</v>
      </c>
      <c r="H470" s="161">
        <v>4</v>
      </c>
      <c r="I470" s="161">
        <v>71.8</v>
      </c>
      <c r="J470" s="161">
        <v>24.2</v>
      </c>
      <c r="K470" s="160">
        <v>0.4</v>
      </c>
    </row>
    <row r="471" spans="1:11" x14ac:dyDescent="0.3">
      <c r="A471" s="156" t="s">
        <v>887</v>
      </c>
      <c r="B471" s="157" t="s">
        <v>888</v>
      </c>
      <c r="C471" s="157">
        <v>2024</v>
      </c>
      <c r="D471" s="158">
        <v>-91.519319400000001</v>
      </c>
      <c r="E471" s="158">
        <v>36.913644400000003</v>
      </c>
      <c r="F471" s="159">
        <v>5</v>
      </c>
      <c r="G471" s="160">
        <v>1.8</v>
      </c>
      <c r="H471" s="161">
        <v>37.200000000000003</v>
      </c>
      <c r="I471" s="161">
        <v>52.9</v>
      </c>
      <c r="J471" s="161">
        <v>10</v>
      </c>
      <c r="K471" s="160">
        <v>0.7</v>
      </c>
    </row>
    <row r="472" spans="1:11" x14ac:dyDescent="0.3">
      <c r="A472" s="156" t="s">
        <v>887</v>
      </c>
      <c r="B472" s="157" t="s">
        <v>888</v>
      </c>
      <c r="C472" s="157">
        <v>2024</v>
      </c>
      <c r="D472" s="158">
        <v>-91.508208300000007</v>
      </c>
      <c r="E472" s="158">
        <v>38.679930599999999</v>
      </c>
      <c r="F472" s="159">
        <v>4.8</v>
      </c>
      <c r="G472" s="160">
        <v>11</v>
      </c>
      <c r="H472" s="161">
        <v>4.9000000000000004</v>
      </c>
      <c r="I472" s="161">
        <v>76</v>
      </c>
      <c r="J472" s="161">
        <v>19.100000000000001</v>
      </c>
      <c r="K472" s="160">
        <v>2.4</v>
      </c>
    </row>
    <row r="473" spans="1:11" x14ac:dyDescent="0.3">
      <c r="A473" s="156" t="s">
        <v>887</v>
      </c>
      <c r="B473" s="157" t="s">
        <v>888</v>
      </c>
      <c r="C473" s="157">
        <v>2024</v>
      </c>
      <c r="D473" s="158">
        <v>-91.505694399999996</v>
      </c>
      <c r="E473" s="158">
        <v>36.746305599999999</v>
      </c>
      <c r="F473" s="159">
        <v>4.5</v>
      </c>
      <c r="G473" s="160">
        <v>14</v>
      </c>
      <c r="H473" s="161">
        <v>25.3</v>
      </c>
      <c r="I473" s="161">
        <v>34.700000000000003</v>
      </c>
      <c r="J473" s="161">
        <v>40</v>
      </c>
      <c r="K473" s="160">
        <v>0.1</v>
      </c>
    </row>
    <row r="474" spans="1:11" x14ac:dyDescent="0.3">
      <c r="A474" s="156" t="s">
        <v>887</v>
      </c>
      <c r="B474" s="157" t="s">
        <v>888</v>
      </c>
      <c r="C474" s="157">
        <v>2024</v>
      </c>
      <c r="D474" s="158">
        <v>-91.500191700000002</v>
      </c>
      <c r="E474" s="158">
        <v>36.935416699999998</v>
      </c>
      <c r="F474" s="159">
        <v>4.8</v>
      </c>
      <c r="G474" s="160">
        <v>6</v>
      </c>
      <c r="H474" s="161">
        <v>8.4</v>
      </c>
      <c r="I474" s="161">
        <v>65.400000000000006</v>
      </c>
      <c r="J474" s="161">
        <v>26.2</v>
      </c>
      <c r="K474" s="160">
        <v>0.2</v>
      </c>
    </row>
    <row r="475" spans="1:11" x14ac:dyDescent="0.3">
      <c r="A475" s="156" t="s">
        <v>887</v>
      </c>
      <c r="B475" s="157" t="s">
        <v>888</v>
      </c>
      <c r="C475" s="157">
        <v>2024</v>
      </c>
      <c r="D475" s="158">
        <v>-91.489166299999994</v>
      </c>
      <c r="E475" s="158">
        <v>31.8230553</v>
      </c>
      <c r="F475" s="159">
        <v>5.4</v>
      </c>
      <c r="G475" s="160">
        <v>20</v>
      </c>
      <c r="H475" s="161">
        <v>10.1</v>
      </c>
      <c r="I475" s="161">
        <v>55.7</v>
      </c>
      <c r="J475" s="161">
        <v>34.200000000000003</v>
      </c>
      <c r="K475" s="160">
        <v>0.25</v>
      </c>
    </row>
    <row r="476" spans="1:11" x14ac:dyDescent="0.3">
      <c r="A476" s="156" t="s">
        <v>887</v>
      </c>
      <c r="B476" s="157" t="s">
        <v>888</v>
      </c>
      <c r="C476" s="157">
        <v>2024</v>
      </c>
      <c r="D476" s="158">
        <v>-91.479944399999994</v>
      </c>
      <c r="E476" s="158">
        <v>38.983611099999997</v>
      </c>
      <c r="F476" s="159">
        <v>5.5</v>
      </c>
      <c r="G476" s="160">
        <v>11.25</v>
      </c>
      <c r="H476" s="161">
        <v>20.100000000000001</v>
      </c>
      <c r="I476" s="161">
        <v>56.6</v>
      </c>
      <c r="J476" s="161">
        <v>23.3</v>
      </c>
      <c r="K476" s="160">
        <v>0.4</v>
      </c>
    </row>
    <row r="477" spans="1:11" x14ac:dyDescent="0.3">
      <c r="A477" s="156" t="s">
        <v>887</v>
      </c>
      <c r="B477" s="157" t="s">
        <v>888</v>
      </c>
      <c r="C477" s="157">
        <v>2024</v>
      </c>
      <c r="D477" s="158">
        <v>-91.470832799999997</v>
      </c>
      <c r="E477" s="158">
        <v>32.122501399999997</v>
      </c>
      <c r="F477" s="159">
        <v>5.3</v>
      </c>
      <c r="G477" s="160">
        <v>43.4</v>
      </c>
      <c r="H477" s="161">
        <v>1.2</v>
      </c>
      <c r="I477" s="161">
        <v>17.399999999999999</v>
      </c>
      <c r="J477" s="161">
        <v>81.400000000000006</v>
      </c>
      <c r="K477" s="160">
        <v>1.1000000000000001</v>
      </c>
    </row>
    <row r="478" spans="1:11" x14ac:dyDescent="0.3">
      <c r="A478" s="156" t="s">
        <v>887</v>
      </c>
      <c r="B478" s="157" t="s">
        <v>888</v>
      </c>
      <c r="C478" s="157">
        <v>2024</v>
      </c>
      <c r="D478" s="158">
        <v>-91.415811099999999</v>
      </c>
      <c r="E478" s="158">
        <v>37.267722200000001</v>
      </c>
      <c r="F478" s="159">
        <v>5.9</v>
      </c>
      <c r="G478" s="160">
        <v>6.9</v>
      </c>
      <c r="H478" s="161">
        <v>2.6</v>
      </c>
      <c r="I478" s="161">
        <v>19.399999999999999</v>
      </c>
      <c r="J478" s="161">
        <v>78</v>
      </c>
      <c r="K478" s="160">
        <v>0.3</v>
      </c>
    </row>
    <row r="479" spans="1:11" x14ac:dyDescent="0.3">
      <c r="A479" s="156" t="s">
        <v>887</v>
      </c>
      <c r="B479" s="157" t="s">
        <v>888</v>
      </c>
      <c r="C479" s="157">
        <v>2024</v>
      </c>
      <c r="D479" s="158">
        <v>-91.410763900000006</v>
      </c>
      <c r="E479" s="158">
        <v>38.165933299999999</v>
      </c>
      <c r="F479" s="159">
        <v>4.5</v>
      </c>
      <c r="G479" s="160">
        <v>31</v>
      </c>
      <c r="H479" s="161">
        <v>3.9</v>
      </c>
      <c r="I479" s="161">
        <v>15.2</v>
      </c>
      <c r="J479" s="161">
        <v>80.900000000000006</v>
      </c>
      <c r="K479" s="160">
        <v>0.3</v>
      </c>
    </row>
    <row r="480" spans="1:11" x14ac:dyDescent="0.3">
      <c r="A480" s="156" t="s">
        <v>887</v>
      </c>
      <c r="B480" s="157" t="s">
        <v>888</v>
      </c>
      <c r="C480" s="157">
        <v>2024</v>
      </c>
      <c r="D480" s="158">
        <v>-91.394997200000006</v>
      </c>
      <c r="E480" s="158">
        <v>37.366225</v>
      </c>
      <c r="F480" s="159">
        <v>4.9000000000000004</v>
      </c>
      <c r="G480" s="160">
        <v>31</v>
      </c>
      <c r="H480" s="161">
        <v>28.1</v>
      </c>
      <c r="I480" s="161">
        <v>62.5</v>
      </c>
      <c r="J480" s="161">
        <v>9.4</v>
      </c>
      <c r="K480" s="160">
        <v>0.8</v>
      </c>
    </row>
    <row r="481" spans="1:11" x14ac:dyDescent="0.3">
      <c r="A481" s="156" t="s">
        <v>887</v>
      </c>
      <c r="B481" s="157" t="s">
        <v>888</v>
      </c>
      <c r="C481" s="157">
        <v>2024</v>
      </c>
      <c r="D481" s="158">
        <v>-91.388805599999998</v>
      </c>
      <c r="E481" s="158">
        <v>37.275469399999999</v>
      </c>
      <c r="F481" s="159">
        <v>5</v>
      </c>
      <c r="G481" s="160">
        <v>25</v>
      </c>
      <c r="H481" s="161">
        <v>17.100000000000001</v>
      </c>
      <c r="I481" s="161">
        <v>20.6</v>
      </c>
      <c r="J481" s="161">
        <v>62.3</v>
      </c>
      <c r="K481" s="160">
        <v>0.3</v>
      </c>
    </row>
    <row r="482" spans="1:11" x14ac:dyDescent="0.3">
      <c r="A482" s="156" t="s">
        <v>887</v>
      </c>
      <c r="B482" s="157" t="s">
        <v>888</v>
      </c>
      <c r="C482" s="157">
        <v>2024</v>
      </c>
      <c r="D482" s="158">
        <v>-91.354966700000006</v>
      </c>
      <c r="E482" s="158">
        <v>37.229469399999999</v>
      </c>
      <c r="F482" s="159">
        <v>5.2</v>
      </c>
      <c r="G482" s="160">
        <v>8</v>
      </c>
      <c r="H482" s="161">
        <v>8.5</v>
      </c>
      <c r="I482" s="161">
        <v>59.6</v>
      </c>
      <c r="J482" s="161">
        <v>31.9</v>
      </c>
      <c r="K482" s="160">
        <v>0.3</v>
      </c>
    </row>
    <row r="483" spans="1:11" x14ac:dyDescent="0.3">
      <c r="A483" s="156" t="s">
        <v>887</v>
      </c>
      <c r="B483" s="157" t="s">
        <v>888</v>
      </c>
      <c r="C483" s="157">
        <v>2024</v>
      </c>
      <c r="D483" s="158">
        <v>-91.353369400000005</v>
      </c>
      <c r="E483" s="158">
        <v>37.365938900000003</v>
      </c>
      <c r="F483" s="159">
        <v>5</v>
      </c>
      <c r="G483" s="160">
        <v>2</v>
      </c>
      <c r="H483" s="161">
        <v>37.5</v>
      </c>
      <c r="I483" s="161">
        <v>53.5</v>
      </c>
      <c r="J483" s="161">
        <v>9</v>
      </c>
      <c r="K483" s="160">
        <v>0.3</v>
      </c>
    </row>
    <row r="484" spans="1:11" x14ac:dyDescent="0.3">
      <c r="A484" s="156" t="s">
        <v>887</v>
      </c>
      <c r="B484" s="157" t="s">
        <v>888</v>
      </c>
      <c r="C484" s="157">
        <v>2024</v>
      </c>
      <c r="D484" s="158">
        <v>-91.292058900000001</v>
      </c>
      <c r="E484" s="158">
        <v>38.057934699999997</v>
      </c>
      <c r="F484" s="159">
        <v>4.7</v>
      </c>
      <c r="G484" s="160">
        <v>29</v>
      </c>
      <c r="H484" s="161">
        <v>6.1</v>
      </c>
      <c r="I484" s="161">
        <v>82.3</v>
      </c>
      <c r="J484" s="161">
        <v>11.6</v>
      </c>
      <c r="K484" s="160">
        <v>1.9</v>
      </c>
    </row>
    <row r="485" spans="1:11" x14ac:dyDescent="0.3">
      <c r="A485" s="156" t="s">
        <v>887</v>
      </c>
      <c r="B485" s="157" t="s">
        <v>888</v>
      </c>
      <c r="C485" s="157">
        <v>2024</v>
      </c>
      <c r="D485" s="158">
        <v>-91.278972199999998</v>
      </c>
      <c r="E485" s="158">
        <v>38.964138900000002</v>
      </c>
      <c r="F485" s="159">
        <v>5.7</v>
      </c>
      <c r="G485" s="160">
        <v>21</v>
      </c>
      <c r="H485" s="161">
        <v>3.9</v>
      </c>
      <c r="I485" s="161">
        <v>47.8</v>
      </c>
      <c r="J485" s="161">
        <v>48.3</v>
      </c>
      <c r="K485" s="160">
        <v>0.2</v>
      </c>
    </row>
    <row r="486" spans="1:11" x14ac:dyDescent="0.3">
      <c r="A486" s="156" t="s">
        <v>887</v>
      </c>
      <c r="B486" s="157" t="s">
        <v>888</v>
      </c>
      <c r="C486" s="157">
        <v>2024</v>
      </c>
      <c r="D486" s="158">
        <v>-91.267349199999998</v>
      </c>
      <c r="E486" s="158">
        <v>37.483955399999999</v>
      </c>
      <c r="F486" s="159">
        <v>5.0999999999999996</v>
      </c>
      <c r="G486" s="160">
        <v>2.2000000000000002</v>
      </c>
      <c r="H486" s="161">
        <v>12.7</v>
      </c>
      <c r="I486" s="161">
        <v>62.2</v>
      </c>
      <c r="J486" s="161">
        <v>25.1</v>
      </c>
      <c r="K486" s="160">
        <v>0.22999999999999998</v>
      </c>
    </row>
    <row r="487" spans="1:11" x14ac:dyDescent="0.3">
      <c r="A487" s="156" t="s">
        <v>887</v>
      </c>
      <c r="B487" s="157" t="s">
        <v>888</v>
      </c>
      <c r="C487" s="157">
        <v>2024</v>
      </c>
      <c r="D487" s="158">
        <v>-91.247649999999993</v>
      </c>
      <c r="E487" s="158">
        <v>38.684019399999997</v>
      </c>
      <c r="F487" s="159">
        <v>5</v>
      </c>
      <c r="G487" s="160">
        <v>13</v>
      </c>
      <c r="H487" s="161">
        <v>2.2000000000000002</v>
      </c>
      <c r="I487" s="161">
        <v>63.1</v>
      </c>
      <c r="J487" s="161">
        <v>34.700000000000003</v>
      </c>
      <c r="K487" s="160">
        <v>0.2</v>
      </c>
    </row>
    <row r="488" spans="1:11" x14ac:dyDescent="0.3">
      <c r="A488" s="156" t="s">
        <v>887</v>
      </c>
      <c r="B488" s="157" t="s">
        <v>888</v>
      </c>
      <c r="C488" s="157">
        <v>2024</v>
      </c>
      <c r="D488" s="158">
        <v>-91.237157600000003</v>
      </c>
      <c r="E488" s="158">
        <v>37.756213700000004</v>
      </c>
      <c r="F488" s="159">
        <v>4.5</v>
      </c>
      <c r="G488" s="160">
        <v>4</v>
      </c>
      <c r="H488" s="161">
        <v>22.3</v>
      </c>
      <c r="I488" s="161">
        <v>67.8</v>
      </c>
      <c r="J488" s="161">
        <v>9.9</v>
      </c>
      <c r="K488" s="160">
        <v>1.9</v>
      </c>
    </row>
    <row r="489" spans="1:11" x14ac:dyDescent="0.3">
      <c r="A489" s="156" t="s">
        <v>887</v>
      </c>
      <c r="B489" s="157" t="s">
        <v>888</v>
      </c>
      <c r="C489" s="157">
        <v>2024</v>
      </c>
      <c r="D489" s="158">
        <v>-91.234545600000004</v>
      </c>
      <c r="E489" s="158">
        <v>37.722829400000002</v>
      </c>
      <c r="F489" s="159">
        <v>4.7</v>
      </c>
      <c r="G489" s="160">
        <v>8</v>
      </c>
      <c r="H489" s="161">
        <v>30.5</v>
      </c>
      <c r="I489" s="161">
        <v>40</v>
      </c>
      <c r="J489" s="161">
        <v>29.5</v>
      </c>
      <c r="K489" s="160">
        <v>0.1</v>
      </c>
    </row>
    <row r="490" spans="1:11" x14ac:dyDescent="0.3">
      <c r="A490" s="156" t="s">
        <v>887</v>
      </c>
      <c r="B490" s="157" t="s">
        <v>888</v>
      </c>
      <c r="C490" s="157">
        <v>2024</v>
      </c>
      <c r="D490" s="158">
        <v>-91.228747200000001</v>
      </c>
      <c r="E490" s="158">
        <v>38.841397200000003</v>
      </c>
      <c r="F490" s="159">
        <v>4.9000000000000004</v>
      </c>
      <c r="G490" s="160">
        <v>24</v>
      </c>
      <c r="H490" s="161">
        <v>1.9</v>
      </c>
      <c r="I490" s="161">
        <v>43.3</v>
      </c>
      <c r="J490" s="161">
        <v>54.8</v>
      </c>
      <c r="K490" s="160">
        <v>0.9</v>
      </c>
    </row>
    <row r="491" spans="1:11" x14ac:dyDescent="0.3">
      <c r="A491" s="156" t="s">
        <v>887</v>
      </c>
      <c r="B491" s="157" t="s">
        <v>888</v>
      </c>
      <c r="C491" s="157">
        <v>2024</v>
      </c>
      <c r="D491" s="158">
        <v>-91.228425000000001</v>
      </c>
      <c r="E491" s="158">
        <v>37.109219400000001</v>
      </c>
      <c r="F491" s="159">
        <v>6.2</v>
      </c>
      <c r="G491" s="160">
        <v>12.2</v>
      </c>
      <c r="H491" s="161">
        <v>49.3</v>
      </c>
      <c r="I491" s="161">
        <v>40.5</v>
      </c>
      <c r="J491" s="161">
        <v>10.199999999999999</v>
      </c>
      <c r="K491" s="160">
        <v>2.5</v>
      </c>
    </row>
    <row r="492" spans="1:11" x14ac:dyDescent="0.3">
      <c r="A492" s="156" t="s">
        <v>887</v>
      </c>
      <c r="B492" s="157" t="s">
        <v>888</v>
      </c>
      <c r="C492" s="157">
        <v>2024</v>
      </c>
      <c r="D492" s="158">
        <v>-91.210101499999993</v>
      </c>
      <c r="E492" s="158">
        <v>38.034906499999998</v>
      </c>
      <c r="F492" s="159">
        <v>6</v>
      </c>
      <c r="G492" s="160">
        <v>16</v>
      </c>
      <c r="H492" s="161">
        <v>5.9</v>
      </c>
      <c r="I492" s="161">
        <v>26.6</v>
      </c>
      <c r="J492" s="161">
        <v>67.5</v>
      </c>
      <c r="K492" s="160">
        <v>0.2</v>
      </c>
    </row>
    <row r="493" spans="1:11" x14ac:dyDescent="0.3">
      <c r="A493" s="156" t="s">
        <v>887</v>
      </c>
      <c r="B493" s="157" t="s">
        <v>888</v>
      </c>
      <c r="C493" s="157">
        <v>2024</v>
      </c>
      <c r="D493" s="158">
        <v>-91.201385500000001</v>
      </c>
      <c r="E493" s="158">
        <v>46.814723999999998</v>
      </c>
      <c r="F493" s="159">
        <v>8.3000000000000007</v>
      </c>
      <c r="G493" s="160">
        <v>16.600000000000001</v>
      </c>
      <c r="H493" s="161">
        <v>12.7</v>
      </c>
      <c r="I493" s="161">
        <v>28.4</v>
      </c>
      <c r="J493" s="161">
        <v>58.9</v>
      </c>
      <c r="K493" s="160">
        <v>0.13</v>
      </c>
    </row>
    <row r="494" spans="1:11" x14ac:dyDescent="0.3">
      <c r="A494" s="156" t="s">
        <v>887</v>
      </c>
      <c r="B494" s="157" t="s">
        <v>888</v>
      </c>
      <c r="C494" s="157">
        <v>2024</v>
      </c>
      <c r="D494" s="158">
        <v>-91.198147199999994</v>
      </c>
      <c r="E494" s="158">
        <v>37.009094400000002</v>
      </c>
      <c r="F494" s="159">
        <v>4.9000000000000004</v>
      </c>
      <c r="G494" s="160">
        <v>1</v>
      </c>
      <c r="H494" s="161">
        <v>29.2</v>
      </c>
      <c r="I494" s="161">
        <v>23.3</v>
      </c>
      <c r="J494" s="161">
        <v>47.5</v>
      </c>
      <c r="K494" s="160">
        <v>0.1</v>
      </c>
    </row>
    <row r="495" spans="1:11" x14ac:dyDescent="0.3">
      <c r="A495" s="156" t="s">
        <v>887</v>
      </c>
      <c r="B495" s="157" t="s">
        <v>888</v>
      </c>
      <c r="C495" s="157">
        <v>2024</v>
      </c>
      <c r="D495" s="158">
        <v>-91.195788399999998</v>
      </c>
      <c r="E495" s="158">
        <v>37.930871400000001</v>
      </c>
      <c r="F495" s="159">
        <v>5</v>
      </c>
      <c r="G495" s="160">
        <v>14</v>
      </c>
      <c r="H495" s="161">
        <v>8.5</v>
      </c>
      <c r="I495" s="161">
        <v>26.7</v>
      </c>
      <c r="J495" s="161">
        <v>64.8</v>
      </c>
      <c r="K495" s="160">
        <v>0.2</v>
      </c>
    </row>
    <row r="496" spans="1:11" x14ac:dyDescent="0.3">
      <c r="A496" s="156" t="s">
        <v>887</v>
      </c>
      <c r="B496" s="157" t="s">
        <v>888</v>
      </c>
      <c r="C496" s="157">
        <v>2024</v>
      </c>
      <c r="D496" s="158">
        <v>-91.190496800000005</v>
      </c>
      <c r="E496" s="158">
        <v>37.8960942</v>
      </c>
      <c r="F496" s="159">
        <v>4.7</v>
      </c>
      <c r="G496" s="160">
        <v>4.5999999999999996</v>
      </c>
      <c r="H496" s="161">
        <v>46.9</v>
      </c>
      <c r="I496" s="161">
        <v>33.799999999999997</v>
      </c>
      <c r="J496" s="161">
        <v>19.3</v>
      </c>
      <c r="K496" s="160">
        <v>0.2</v>
      </c>
    </row>
    <row r="497" spans="1:11" x14ac:dyDescent="0.3">
      <c r="A497" s="156" t="s">
        <v>887</v>
      </c>
      <c r="B497" s="157" t="s">
        <v>888</v>
      </c>
      <c r="C497" s="157">
        <v>2024</v>
      </c>
      <c r="D497" s="158">
        <v>-91.187244399999997</v>
      </c>
      <c r="E497" s="158">
        <v>37.117788900000001</v>
      </c>
      <c r="F497" s="159">
        <v>5.2</v>
      </c>
      <c r="G497" s="160">
        <v>15.8</v>
      </c>
      <c r="H497" s="161">
        <v>31.6</v>
      </c>
      <c r="I497" s="161">
        <v>14.4</v>
      </c>
      <c r="J497" s="161">
        <v>53.9</v>
      </c>
      <c r="K497" s="160">
        <v>0.3</v>
      </c>
    </row>
    <row r="498" spans="1:11" x14ac:dyDescent="0.3">
      <c r="A498" s="156" t="s">
        <v>887</v>
      </c>
      <c r="B498" s="157" t="s">
        <v>888</v>
      </c>
      <c r="C498" s="157">
        <v>2024</v>
      </c>
      <c r="D498" s="158">
        <v>-91.185614900000004</v>
      </c>
      <c r="E498" s="158">
        <v>38.043723</v>
      </c>
      <c r="F498" s="159">
        <v>4.9000000000000004</v>
      </c>
      <c r="G498" s="160">
        <v>9</v>
      </c>
      <c r="H498" s="161">
        <v>6.5</v>
      </c>
      <c r="I498" s="161">
        <v>63.9</v>
      </c>
      <c r="J498" s="161">
        <v>29.6</v>
      </c>
      <c r="K498" s="160">
        <v>0.1</v>
      </c>
    </row>
    <row r="499" spans="1:11" x14ac:dyDescent="0.3">
      <c r="A499" s="156" t="s">
        <v>887</v>
      </c>
      <c r="B499" s="157" t="s">
        <v>888</v>
      </c>
      <c r="C499" s="157">
        <v>2024</v>
      </c>
      <c r="D499" s="158">
        <v>-91.183333300000001</v>
      </c>
      <c r="E499" s="158">
        <v>36.883333299999997</v>
      </c>
      <c r="F499" s="159">
        <v>5.0999999999999996</v>
      </c>
      <c r="G499" s="160">
        <v>2.95</v>
      </c>
      <c r="H499" s="161">
        <v>31.4</v>
      </c>
      <c r="I499" s="161">
        <v>58.7</v>
      </c>
      <c r="J499" s="161">
        <v>9.8000000000000007</v>
      </c>
      <c r="K499" s="160">
        <v>3</v>
      </c>
    </row>
    <row r="500" spans="1:11" x14ac:dyDescent="0.3">
      <c r="A500" s="156" t="s">
        <v>887</v>
      </c>
      <c r="B500" s="157" t="s">
        <v>888</v>
      </c>
      <c r="C500" s="157">
        <v>2024</v>
      </c>
      <c r="D500" s="158">
        <v>-91.183036099999995</v>
      </c>
      <c r="E500" s="158">
        <v>37.117283299999997</v>
      </c>
      <c r="F500" s="159">
        <v>5</v>
      </c>
      <c r="G500" s="160">
        <v>6.25</v>
      </c>
      <c r="H500" s="161">
        <v>17.2</v>
      </c>
      <c r="I500" s="161">
        <v>59.9</v>
      </c>
      <c r="J500" s="161">
        <v>22.9</v>
      </c>
      <c r="K500" s="160">
        <v>0.6</v>
      </c>
    </row>
    <row r="501" spans="1:11" x14ac:dyDescent="0.3">
      <c r="A501" s="156" t="s">
        <v>887</v>
      </c>
      <c r="B501" s="157" t="s">
        <v>888</v>
      </c>
      <c r="C501" s="157">
        <v>2024</v>
      </c>
      <c r="D501" s="158">
        <v>-91.181916700000002</v>
      </c>
      <c r="E501" s="158">
        <v>38.577277799999997</v>
      </c>
      <c r="F501" s="159">
        <v>5.9</v>
      </c>
      <c r="G501" s="160">
        <v>16</v>
      </c>
      <c r="H501" s="161">
        <v>10.6</v>
      </c>
      <c r="I501" s="161">
        <v>57</v>
      </c>
      <c r="J501" s="161">
        <v>32.4</v>
      </c>
      <c r="K501" s="160">
        <v>0.3</v>
      </c>
    </row>
    <row r="502" spans="1:11" x14ac:dyDescent="0.3">
      <c r="A502" s="156" t="s">
        <v>887</v>
      </c>
      <c r="B502" s="157" t="s">
        <v>888</v>
      </c>
      <c r="C502" s="157">
        <v>2024</v>
      </c>
      <c r="D502" s="158">
        <v>-91.178886399999996</v>
      </c>
      <c r="E502" s="158">
        <v>46.492778800000004</v>
      </c>
      <c r="F502" s="159">
        <v>6.9</v>
      </c>
      <c r="G502" s="160">
        <v>20.55</v>
      </c>
      <c r="H502" s="161">
        <v>0.7</v>
      </c>
      <c r="I502" s="161">
        <v>9.3000000000000007</v>
      </c>
      <c r="J502" s="161">
        <v>90</v>
      </c>
      <c r="K502" s="160">
        <v>0.27999999999999997</v>
      </c>
    </row>
    <row r="503" spans="1:11" x14ac:dyDescent="0.3">
      <c r="A503" s="156" t="s">
        <v>887</v>
      </c>
      <c r="B503" s="157" t="s">
        <v>888</v>
      </c>
      <c r="C503" s="157">
        <v>2024</v>
      </c>
      <c r="D503" s="158">
        <v>-91.171365499999993</v>
      </c>
      <c r="E503" s="158">
        <v>37.740611299999998</v>
      </c>
      <c r="F503" s="159">
        <v>4.9000000000000004</v>
      </c>
      <c r="G503" s="160">
        <v>29.7</v>
      </c>
      <c r="H503" s="161">
        <v>7.4</v>
      </c>
      <c r="I503" s="161">
        <v>15.1</v>
      </c>
      <c r="J503" s="161">
        <v>77.5</v>
      </c>
      <c r="K503" s="160">
        <v>0.3</v>
      </c>
    </row>
    <row r="504" spans="1:11" x14ac:dyDescent="0.3">
      <c r="A504" s="156" t="s">
        <v>887</v>
      </c>
      <c r="B504" s="157" t="s">
        <v>888</v>
      </c>
      <c r="C504" s="157">
        <v>2024</v>
      </c>
      <c r="D504" s="158">
        <v>-91.152069100000006</v>
      </c>
      <c r="E504" s="158">
        <v>34.763729099999999</v>
      </c>
      <c r="F504" s="159">
        <v>5.2</v>
      </c>
      <c r="G504" s="160">
        <v>9.5</v>
      </c>
      <c r="H504" s="161">
        <v>2.4</v>
      </c>
      <c r="I504" s="161">
        <v>68.599999999999994</v>
      </c>
      <c r="J504" s="161">
        <v>29</v>
      </c>
      <c r="K504" s="160">
        <v>0.08</v>
      </c>
    </row>
    <row r="505" spans="1:11" x14ac:dyDescent="0.3">
      <c r="A505" s="156" t="s">
        <v>887</v>
      </c>
      <c r="B505" s="157" t="s">
        <v>888</v>
      </c>
      <c r="C505" s="157">
        <v>2024</v>
      </c>
      <c r="D505" s="158">
        <v>-91.140961099999998</v>
      </c>
      <c r="E505" s="158">
        <v>37.173644400000001</v>
      </c>
      <c r="F505" s="159">
        <v>5.0999999999999996</v>
      </c>
      <c r="G505" s="160">
        <v>7</v>
      </c>
      <c r="H505" s="161">
        <v>23.2</v>
      </c>
      <c r="I505" s="161">
        <v>25.8</v>
      </c>
      <c r="J505" s="161">
        <v>51</v>
      </c>
      <c r="K505" s="160">
        <v>0.2</v>
      </c>
    </row>
    <row r="506" spans="1:11" x14ac:dyDescent="0.3">
      <c r="A506" s="156" t="s">
        <v>887</v>
      </c>
      <c r="B506" s="157" t="s">
        <v>888</v>
      </c>
      <c r="C506" s="157">
        <v>2024</v>
      </c>
      <c r="D506" s="158">
        <v>-91.139188899999994</v>
      </c>
      <c r="E506" s="158">
        <v>37.172813900000001</v>
      </c>
      <c r="F506" s="159">
        <v>4.8</v>
      </c>
      <c r="G506" s="160">
        <v>12.8</v>
      </c>
      <c r="H506" s="161">
        <v>26.2</v>
      </c>
      <c r="I506" s="161">
        <v>64</v>
      </c>
      <c r="J506" s="161">
        <v>9.8000000000000007</v>
      </c>
      <c r="K506" s="160">
        <v>0.6</v>
      </c>
    </row>
    <row r="507" spans="1:11" x14ac:dyDescent="0.3">
      <c r="A507" s="156" t="s">
        <v>887</v>
      </c>
      <c r="B507" s="157" t="s">
        <v>888</v>
      </c>
      <c r="C507" s="157">
        <v>2024</v>
      </c>
      <c r="D507" s="158">
        <v>-91.138919400000006</v>
      </c>
      <c r="E507" s="158">
        <v>37.174152800000002</v>
      </c>
      <c r="F507" s="159">
        <v>5.0999999999999996</v>
      </c>
      <c r="G507" s="160">
        <v>3.95</v>
      </c>
      <c r="H507" s="161">
        <v>22</v>
      </c>
      <c r="I507" s="161">
        <v>28.4</v>
      </c>
      <c r="J507" s="161">
        <v>49.6</v>
      </c>
      <c r="K507" s="160">
        <v>0.1</v>
      </c>
    </row>
    <row r="508" spans="1:11" x14ac:dyDescent="0.3">
      <c r="A508" s="156" t="s">
        <v>887</v>
      </c>
      <c r="B508" s="157" t="s">
        <v>888</v>
      </c>
      <c r="C508" s="157">
        <v>2024</v>
      </c>
      <c r="D508" s="158">
        <v>-91.123888899999997</v>
      </c>
      <c r="E508" s="158">
        <v>37.111388900000001</v>
      </c>
      <c r="F508" s="159">
        <v>5.0999999999999996</v>
      </c>
      <c r="G508" s="160">
        <v>6.2</v>
      </c>
      <c r="H508" s="161">
        <v>23.3</v>
      </c>
      <c r="I508" s="161">
        <v>53</v>
      </c>
      <c r="J508" s="161">
        <v>23.7</v>
      </c>
      <c r="K508" s="160">
        <v>0.2</v>
      </c>
    </row>
    <row r="509" spans="1:11" x14ac:dyDescent="0.3">
      <c r="A509" s="156" t="s">
        <v>887</v>
      </c>
      <c r="B509" s="157" t="s">
        <v>888</v>
      </c>
      <c r="C509" s="157">
        <v>2024</v>
      </c>
      <c r="D509" s="158">
        <v>-91.112805699999996</v>
      </c>
      <c r="E509" s="158">
        <v>37.930173199999999</v>
      </c>
      <c r="F509" s="159">
        <v>4.5</v>
      </c>
      <c r="G509" s="160">
        <v>20</v>
      </c>
      <c r="H509" s="161">
        <v>21.1</v>
      </c>
      <c r="I509" s="161">
        <v>67.599999999999994</v>
      </c>
      <c r="J509" s="161">
        <v>11.3</v>
      </c>
      <c r="K509" s="160">
        <v>1.4</v>
      </c>
    </row>
    <row r="510" spans="1:11" x14ac:dyDescent="0.3">
      <c r="A510" s="156" t="s">
        <v>887</v>
      </c>
      <c r="B510" s="157" t="s">
        <v>888</v>
      </c>
      <c r="C510" s="157">
        <v>2024</v>
      </c>
      <c r="D510" s="158">
        <v>-91.112068199999996</v>
      </c>
      <c r="E510" s="158">
        <v>34.735675800000003</v>
      </c>
      <c r="F510" s="159">
        <v>4.5999999999999996</v>
      </c>
      <c r="G510" s="160">
        <v>14</v>
      </c>
      <c r="H510" s="161">
        <v>3.6</v>
      </c>
      <c r="I510" s="161">
        <v>64.900000000000006</v>
      </c>
      <c r="J510" s="161">
        <v>31.5</v>
      </c>
      <c r="K510" s="160">
        <v>0.13</v>
      </c>
    </row>
    <row r="511" spans="1:11" x14ac:dyDescent="0.3">
      <c r="A511" s="156" t="s">
        <v>887</v>
      </c>
      <c r="B511" s="157" t="s">
        <v>888</v>
      </c>
      <c r="C511" s="157">
        <v>2024</v>
      </c>
      <c r="D511" s="158">
        <v>-91.098736099999996</v>
      </c>
      <c r="E511" s="158">
        <v>37.147538900000001</v>
      </c>
      <c r="F511" s="159">
        <v>4.5</v>
      </c>
      <c r="G511" s="160">
        <v>4</v>
      </c>
      <c r="H511" s="161">
        <v>25.8</v>
      </c>
      <c r="I511" s="161">
        <v>57.4</v>
      </c>
      <c r="J511" s="161">
        <v>16.8</v>
      </c>
      <c r="K511" s="160">
        <v>0.2</v>
      </c>
    </row>
    <row r="512" spans="1:11" x14ac:dyDescent="0.3">
      <c r="A512" s="156" t="s">
        <v>887</v>
      </c>
      <c r="B512" s="157" t="s">
        <v>888</v>
      </c>
      <c r="C512" s="157">
        <v>2024</v>
      </c>
      <c r="D512" s="158">
        <v>-91.0961444</v>
      </c>
      <c r="E512" s="158">
        <v>37.1458583</v>
      </c>
      <c r="F512" s="159">
        <v>4.9000000000000004</v>
      </c>
      <c r="G512" s="160">
        <v>4.3499999999999996</v>
      </c>
      <c r="H512" s="161">
        <v>40.4</v>
      </c>
      <c r="I512" s="161">
        <v>42.1</v>
      </c>
      <c r="J512" s="161">
        <v>17.5</v>
      </c>
      <c r="K512" s="160">
        <v>0.1</v>
      </c>
    </row>
    <row r="513" spans="1:11" x14ac:dyDescent="0.3">
      <c r="A513" s="156" t="s">
        <v>887</v>
      </c>
      <c r="B513" s="157" t="s">
        <v>888</v>
      </c>
      <c r="C513" s="157">
        <v>2024</v>
      </c>
      <c r="D513" s="158">
        <v>-91.095974999999996</v>
      </c>
      <c r="E513" s="158">
        <v>37.146358300000003</v>
      </c>
      <c r="F513" s="159">
        <v>5.7</v>
      </c>
      <c r="G513" s="160">
        <v>1.4</v>
      </c>
      <c r="H513" s="161">
        <v>32.9</v>
      </c>
      <c r="I513" s="161">
        <v>39.700000000000003</v>
      </c>
      <c r="J513" s="161">
        <v>27.3</v>
      </c>
      <c r="K513" s="160">
        <v>0.1</v>
      </c>
    </row>
    <row r="514" spans="1:11" x14ac:dyDescent="0.3">
      <c r="A514" s="156" t="s">
        <v>887</v>
      </c>
      <c r="B514" s="157" t="s">
        <v>888</v>
      </c>
      <c r="C514" s="157">
        <v>2024</v>
      </c>
      <c r="D514" s="158">
        <v>-91.095686099999995</v>
      </c>
      <c r="E514" s="158">
        <v>37.146588899999998</v>
      </c>
      <c r="F514" s="159">
        <v>5.3</v>
      </c>
      <c r="G514" s="160">
        <v>2.9</v>
      </c>
      <c r="H514" s="161">
        <v>31.8</v>
      </c>
      <c r="I514" s="161">
        <v>42.6</v>
      </c>
      <c r="J514" s="161">
        <v>25.5</v>
      </c>
      <c r="K514" s="160">
        <v>0.1</v>
      </c>
    </row>
    <row r="515" spans="1:11" x14ac:dyDescent="0.3">
      <c r="A515" s="156" t="s">
        <v>887</v>
      </c>
      <c r="B515" s="157" t="s">
        <v>888</v>
      </c>
      <c r="C515" s="157">
        <v>2024</v>
      </c>
      <c r="D515" s="158">
        <v>-91.095683300000005</v>
      </c>
      <c r="E515" s="158">
        <v>37.146705599999997</v>
      </c>
      <c r="F515" s="159">
        <v>5</v>
      </c>
      <c r="G515" s="160">
        <v>2</v>
      </c>
      <c r="H515" s="161">
        <v>3.7</v>
      </c>
      <c r="I515" s="161">
        <v>16</v>
      </c>
      <c r="J515" s="161">
        <v>80.3</v>
      </c>
      <c r="K515" s="160">
        <v>0.1</v>
      </c>
    </row>
    <row r="516" spans="1:11" x14ac:dyDescent="0.3">
      <c r="A516" s="156" t="s">
        <v>887</v>
      </c>
      <c r="B516" s="157" t="s">
        <v>888</v>
      </c>
      <c r="C516" s="157">
        <v>2024</v>
      </c>
      <c r="D516" s="158">
        <v>-91.095333299999993</v>
      </c>
      <c r="E516" s="158">
        <v>37.145872199999999</v>
      </c>
      <c r="F516" s="159">
        <v>5.0999999999999996</v>
      </c>
      <c r="G516" s="160">
        <v>8</v>
      </c>
      <c r="H516" s="161">
        <v>11</v>
      </c>
      <c r="I516" s="161">
        <v>30.4</v>
      </c>
      <c r="J516" s="161">
        <v>58.6</v>
      </c>
      <c r="K516" s="160">
        <v>0.1</v>
      </c>
    </row>
    <row r="517" spans="1:11" x14ac:dyDescent="0.3">
      <c r="A517" s="156" t="s">
        <v>887</v>
      </c>
      <c r="B517" s="157" t="s">
        <v>888</v>
      </c>
      <c r="C517" s="157">
        <v>2024</v>
      </c>
      <c r="D517" s="158">
        <v>-91.092480600000002</v>
      </c>
      <c r="E517" s="158">
        <v>37.146880600000003</v>
      </c>
      <c r="F517" s="159">
        <v>5</v>
      </c>
      <c r="G517" s="160">
        <v>5.3</v>
      </c>
      <c r="H517" s="161">
        <v>40.299999999999997</v>
      </c>
      <c r="I517" s="161">
        <v>35.5</v>
      </c>
      <c r="J517" s="161">
        <v>24.2</v>
      </c>
      <c r="K517" s="160">
        <v>0.1</v>
      </c>
    </row>
    <row r="518" spans="1:11" x14ac:dyDescent="0.3">
      <c r="A518" s="156" t="s">
        <v>887</v>
      </c>
      <c r="B518" s="157" t="s">
        <v>888</v>
      </c>
      <c r="C518" s="157">
        <v>2024</v>
      </c>
      <c r="D518" s="158">
        <v>-91.092427799999996</v>
      </c>
      <c r="E518" s="158">
        <v>37.147672200000002</v>
      </c>
      <c r="F518" s="159">
        <v>4.4000000000000004</v>
      </c>
      <c r="G518" s="160">
        <v>2.75</v>
      </c>
      <c r="H518" s="161">
        <v>42.2</v>
      </c>
      <c r="I518" s="161">
        <v>49.6</v>
      </c>
      <c r="J518" s="161">
        <v>8.1999999999999993</v>
      </c>
      <c r="K518" s="160">
        <v>1.6</v>
      </c>
    </row>
    <row r="519" spans="1:11" x14ac:dyDescent="0.3">
      <c r="A519" s="156" t="s">
        <v>887</v>
      </c>
      <c r="B519" s="157" t="s">
        <v>888</v>
      </c>
      <c r="C519" s="157">
        <v>2024</v>
      </c>
      <c r="D519" s="158">
        <v>-91.091392499999998</v>
      </c>
      <c r="E519" s="158">
        <v>30.378610599999998</v>
      </c>
      <c r="F519" s="159">
        <v>5.5</v>
      </c>
      <c r="G519" s="160">
        <v>12</v>
      </c>
      <c r="H519" s="161">
        <v>3.3</v>
      </c>
      <c r="I519" s="161">
        <v>73</v>
      </c>
      <c r="J519" s="161">
        <v>23.7</v>
      </c>
      <c r="K519" s="160">
        <v>0.09</v>
      </c>
    </row>
    <row r="520" spans="1:11" x14ac:dyDescent="0.3">
      <c r="A520" s="156" t="s">
        <v>887</v>
      </c>
      <c r="B520" s="157" t="s">
        <v>888</v>
      </c>
      <c r="C520" s="157">
        <v>2024</v>
      </c>
      <c r="D520" s="158">
        <v>-91.088772199999994</v>
      </c>
      <c r="E520" s="158">
        <v>37.147955600000003</v>
      </c>
      <c r="F520" s="159">
        <v>4.9000000000000004</v>
      </c>
      <c r="G520" s="160">
        <v>15.2</v>
      </c>
      <c r="H520" s="161">
        <v>25.4</v>
      </c>
      <c r="I520" s="161">
        <v>52.5</v>
      </c>
      <c r="J520" s="161">
        <v>22.1</v>
      </c>
      <c r="K520" s="160">
        <v>0.1</v>
      </c>
    </row>
    <row r="521" spans="1:11" x14ac:dyDescent="0.3">
      <c r="A521" s="156" t="s">
        <v>887</v>
      </c>
      <c r="B521" s="157" t="s">
        <v>888</v>
      </c>
      <c r="C521" s="157">
        <v>2024</v>
      </c>
      <c r="D521" s="158">
        <v>-91.088738899999996</v>
      </c>
      <c r="E521" s="158">
        <v>37.148425000000003</v>
      </c>
      <c r="F521" s="159">
        <v>4.9000000000000004</v>
      </c>
      <c r="G521" s="160">
        <v>5</v>
      </c>
      <c r="H521" s="161">
        <v>19.7</v>
      </c>
      <c r="I521" s="161">
        <v>29.6</v>
      </c>
      <c r="J521" s="161">
        <v>50.7</v>
      </c>
      <c r="K521" s="160">
        <v>0.1</v>
      </c>
    </row>
    <row r="522" spans="1:11" x14ac:dyDescent="0.3">
      <c r="A522" s="156" t="s">
        <v>887</v>
      </c>
      <c r="B522" s="157" t="s">
        <v>888</v>
      </c>
      <c r="C522" s="157">
        <v>2024</v>
      </c>
      <c r="D522" s="158">
        <v>-91.077772199999998</v>
      </c>
      <c r="E522" s="158">
        <v>37.150227800000003</v>
      </c>
      <c r="F522" s="159">
        <v>5.6</v>
      </c>
      <c r="G522" s="160">
        <v>6</v>
      </c>
      <c r="H522" s="161">
        <v>23.9</v>
      </c>
      <c r="I522" s="161">
        <v>55.9</v>
      </c>
      <c r="J522" s="161">
        <v>20.2</v>
      </c>
      <c r="K522" s="160">
        <v>0.1</v>
      </c>
    </row>
    <row r="523" spans="1:11" x14ac:dyDescent="0.3">
      <c r="A523" s="156" t="s">
        <v>887</v>
      </c>
      <c r="B523" s="157" t="s">
        <v>888</v>
      </c>
      <c r="C523" s="157">
        <v>2024</v>
      </c>
      <c r="D523" s="158">
        <v>-91.077594399999995</v>
      </c>
      <c r="E523" s="158">
        <v>37.3324639</v>
      </c>
      <c r="F523" s="159">
        <v>5</v>
      </c>
      <c r="G523" s="160">
        <v>1</v>
      </c>
      <c r="H523" s="161">
        <v>88.6</v>
      </c>
      <c r="I523" s="161">
        <v>4.5</v>
      </c>
      <c r="J523" s="161">
        <v>6.9</v>
      </c>
      <c r="K523" s="160">
        <v>0.2</v>
      </c>
    </row>
    <row r="524" spans="1:11" x14ac:dyDescent="0.3">
      <c r="A524" s="156" t="s">
        <v>887</v>
      </c>
      <c r="B524" s="157" t="s">
        <v>888</v>
      </c>
      <c r="C524" s="157">
        <v>2024</v>
      </c>
      <c r="D524" s="158">
        <v>-91.077386099999998</v>
      </c>
      <c r="E524" s="158">
        <v>37.1387778</v>
      </c>
      <c r="F524" s="159">
        <v>5.2</v>
      </c>
      <c r="G524" s="160">
        <v>7</v>
      </c>
      <c r="H524" s="161">
        <v>12.9</v>
      </c>
      <c r="I524" s="161">
        <v>75.599999999999994</v>
      </c>
      <c r="J524" s="161">
        <v>11.5</v>
      </c>
      <c r="K524" s="160">
        <v>3</v>
      </c>
    </row>
    <row r="525" spans="1:11" x14ac:dyDescent="0.3">
      <c r="A525" s="156" t="s">
        <v>887</v>
      </c>
      <c r="B525" s="157" t="s">
        <v>888</v>
      </c>
      <c r="C525" s="157">
        <v>2024</v>
      </c>
      <c r="D525" s="158">
        <v>-91.0747863</v>
      </c>
      <c r="E525" s="158">
        <v>38.076744400000003</v>
      </c>
      <c r="F525" s="159">
        <v>5.6</v>
      </c>
      <c r="G525" s="160">
        <v>16</v>
      </c>
      <c r="H525" s="161">
        <v>17.899999999999999</v>
      </c>
      <c r="I525" s="161">
        <v>38.5</v>
      </c>
      <c r="J525" s="161">
        <v>43.6</v>
      </c>
      <c r="K525" s="160">
        <v>0.4</v>
      </c>
    </row>
    <row r="526" spans="1:11" x14ac:dyDescent="0.3">
      <c r="A526" s="156" t="s">
        <v>887</v>
      </c>
      <c r="B526" s="157" t="s">
        <v>888</v>
      </c>
      <c r="C526" s="157">
        <v>2024</v>
      </c>
      <c r="D526" s="158">
        <v>-91.070499999999996</v>
      </c>
      <c r="E526" s="158">
        <v>37.143983300000002</v>
      </c>
      <c r="F526" s="159">
        <v>4.9000000000000004</v>
      </c>
      <c r="G526" s="160">
        <v>2.8</v>
      </c>
      <c r="H526" s="161">
        <v>11.9</v>
      </c>
      <c r="I526" s="161">
        <v>72.900000000000006</v>
      </c>
      <c r="J526" s="161">
        <v>15.2</v>
      </c>
      <c r="K526" s="160">
        <v>0.7</v>
      </c>
    </row>
    <row r="527" spans="1:11" x14ac:dyDescent="0.3">
      <c r="A527" s="156" t="s">
        <v>887</v>
      </c>
      <c r="B527" s="157" t="s">
        <v>888</v>
      </c>
      <c r="C527" s="157">
        <v>2024</v>
      </c>
      <c r="D527" s="158">
        <v>-91.070125899999994</v>
      </c>
      <c r="E527" s="158">
        <v>38.4633842</v>
      </c>
      <c r="F527" s="159">
        <v>6.7</v>
      </c>
      <c r="G527" s="160">
        <v>12.65</v>
      </c>
      <c r="H527" s="161">
        <v>7.9</v>
      </c>
      <c r="I527" s="161">
        <v>66.8</v>
      </c>
      <c r="J527" s="161">
        <v>25.3</v>
      </c>
      <c r="K527" s="160">
        <v>0.5</v>
      </c>
    </row>
    <row r="528" spans="1:11" x14ac:dyDescent="0.3">
      <c r="A528" s="156" t="s">
        <v>887</v>
      </c>
      <c r="B528" s="157" t="s">
        <v>888</v>
      </c>
      <c r="C528" s="157">
        <v>2024</v>
      </c>
      <c r="D528" s="158">
        <v>-91.053055599999993</v>
      </c>
      <c r="E528" s="158">
        <v>36.965277800000003</v>
      </c>
      <c r="F528" s="159">
        <v>5</v>
      </c>
      <c r="G528" s="160">
        <v>10.1</v>
      </c>
      <c r="H528" s="161">
        <v>12.9</v>
      </c>
      <c r="I528" s="161">
        <v>48.2</v>
      </c>
      <c r="J528" s="161">
        <v>38.9</v>
      </c>
      <c r="K528" s="160">
        <v>0.2</v>
      </c>
    </row>
    <row r="529" spans="1:11" x14ac:dyDescent="0.3">
      <c r="A529" s="156" t="s">
        <v>887</v>
      </c>
      <c r="B529" s="157" t="s">
        <v>888</v>
      </c>
      <c r="C529" s="157">
        <v>2024</v>
      </c>
      <c r="D529" s="158">
        <v>-91.049913900000007</v>
      </c>
      <c r="E529" s="158">
        <v>37.063422199999998</v>
      </c>
      <c r="F529" s="159">
        <v>6</v>
      </c>
      <c r="G529" s="160">
        <v>8.85</v>
      </c>
      <c r="H529" s="161">
        <v>10.7</v>
      </c>
      <c r="I529" s="161">
        <v>63.7</v>
      </c>
      <c r="J529" s="161">
        <v>25.6</v>
      </c>
      <c r="K529" s="160">
        <v>0.3</v>
      </c>
    </row>
    <row r="530" spans="1:11" x14ac:dyDescent="0.3">
      <c r="A530" s="156" t="s">
        <v>887</v>
      </c>
      <c r="B530" s="157" t="s">
        <v>888</v>
      </c>
      <c r="C530" s="157">
        <v>2024</v>
      </c>
      <c r="D530" s="158">
        <v>-91.043052700000004</v>
      </c>
      <c r="E530" s="158">
        <v>38.877498600000003</v>
      </c>
      <c r="F530" s="159">
        <v>5.6</v>
      </c>
      <c r="G530" s="160">
        <v>19</v>
      </c>
      <c r="H530" s="161">
        <v>2.8</v>
      </c>
      <c r="I530" s="161">
        <v>47.3</v>
      </c>
      <c r="J530" s="161">
        <v>49.9</v>
      </c>
      <c r="K530" s="160">
        <v>0.4</v>
      </c>
    </row>
    <row r="531" spans="1:11" x14ac:dyDescent="0.3">
      <c r="A531" s="156" t="s">
        <v>887</v>
      </c>
      <c r="B531" s="157" t="s">
        <v>888</v>
      </c>
      <c r="C531" s="157">
        <v>2024</v>
      </c>
      <c r="D531" s="158">
        <v>-91.041169400000001</v>
      </c>
      <c r="E531" s="158">
        <v>37.174538900000002</v>
      </c>
      <c r="F531" s="159">
        <v>4.5</v>
      </c>
      <c r="G531" s="160">
        <v>10.7</v>
      </c>
      <c r="H531" s="161">
        <v>3.6</v>
      </c>
      <c r="I531" s="161">
        <v>13.4</v>
      </c>
      <c r="J531" s="161">
        <v>83</v>
      </c>
      <c r="K531" s="160">
        <v>0.1</v>
      </c>
    </row>
    <row r="532" spans="1:11" x14ac:dyDescent="0.3">
      <c r="A532" s="156" t="s">
        <v>887</v>
      </c>
      <c r="B532" s="157" t="s">
        <v>888</v>
      </c>
      <c r="C532" s="157">
        <v>2024</v>
      </c>
      <c r="D532" s="158">
        <v>-91.000852800000004</v>
      </c>
      <c r="E532" s="158">
        <v>38.936391700000001</v>
      </c>
      <c r="F532" s="159">
        <v>5.7</v>
      </c>
      <c r="G532" s="160">
        <v>21</v>
      </c>
      <c r="H532" s="161">
        <v>20.100000000000001</v>
      </c>
      <c r="I532" s="161">
        <v>25.5</v>
      </c>
      <c r="J532" s="161">
        <v>54.4</v>
      </c>
      <c r="K532" s="160">
        <v>0.2</v>
      </c>
    </row>
    <row r="533" spans="1:11" x14ac:dyDescent="0.3">
      <c r="A533" s="156" t="s">
        <v>887</v>
      </c>
      <c r="B533" s="157" t="s">
        <v>888</v>
      </c>
      <c r="C533" s="157">
        <v>2024</v>
      </c>
      <c r="D533" s="158">
        <v>-90.998055600000001</v>
      </c>
      <c r="E533" s="158">
        <v>37.963611100000001</v>
      </c>
      <c r="F533" s="159">
        <v>4.9000000000000004</v>
      </c>
      <c r="G533" s="160">
        <v>4.95</v>
      </c>
      <c r="H533" s="161">
        <v>14.6</v>
      </c>
      <c r="I533" s="161">
        <v>68</v>
      </c>
      <c r="J533" s="161">
        <v>17.399999999999999</v>
      </c>
      <c r="K533" s="160">
        <v>0.7</v>
      </c>
    </row>
    <row r="534" spans="1:11" x14ac:dyDescent="0.3">
      <c r="A534" s="156" t="s">
        <v>887</v>
      </c>
      <c r="B534" s="157" t="s">
        <v>888</v>
      </c>
      <c r="C534" s="157">
        <v>2024</v>
      </c>
      <c r="D534" s="158">
        <v>-90.9889771</v>
      </c>
      <c r="E534" s="158">
        <v>37.937971099999999</v>
      </c>
      <c r="F534" s="159">
        <v>4.0999999999999996</v>
      </c>
      <c r="G534" s="160">
        <v>7.05</v>
      </c>
      <c r="H534" s="161">
        <v>37.1</v>
      </c>
      <c r="I534" s="161">
        <v>56.1</v>
      </c>
      <c r="J534" s="161">
        <v>6.8</v>
      </c>
      <c r="K534" s="160">
        <v>0.7</v>
      </c>
    </row>
    <row r="535" spans="1:11" x14ac:dyDescent="0.3">
      <c r="A535" s="156" t="s">
        <v>887</v>
      </c>
      <c r="B535" s="157" t="s">
        <v>888</v>
      </c>
      <c r="C535" s="157">
        <v>2024</v>
      </c>
      <c r="D535" s="158">
        <v>-90.967177800000002</v>
      </c>
      <c r="E535" s="158">
        <v>37.787266700000004</v>
      </c>
      <c r="F535" s="159">
        <v>4.4000000000000004</v>
      </c>
      <c r="G535" s="160">
        <v>16.149999999999999</v>
      </c>
      <c r="H535" s="161">
        <v>1.4</v>
      </c>
      <c r="I535" s="161">
        <v>13.1</v>
      </c>
      <c r="J535" s="161">
        <v>85.5</v>
      </c>
      <c r="K535" s="160">
        <v>0.2</v>
      </c>
    </row>
    <row r="536" spans="1:11" x14ac:dyDescent="0.3">
      <c r="A536" s="156" t="s">
        <v>887</v>
      </c>
      <c r="B536" s="157" t="s">
        <v>888</v>
      </c>
      <c r="C536" s="157">
        <v>2024</v>
      </c>
      <c r="D536" s="158">
        <v>-90.944536099999993</v>
      </c>
      <c r="E536" s="158">
        <v>37.473922199999997</v>
      </c>
      <c r="F536" s="159">
        <v>4.8</v>
      </c>
      <c r="G536" s="160">
        <v>2.65</v>
      </c>
      <c r="H536" s="161">
        <v>19.5</v>
      </c>
      <c r="I536" s="161">
        <v>42.4</v>
      </c>
      <c r="J536" s="161">
        <v>38.200000000000003</v>
      </c>
      <c r="K536" s="160">
        <v>0.1</v>
      </c>
    </row>
    <row r="537" spans="1:11" x14ac:dyDescent="0.3">
      <c r="A537" s="156" t="s">
        <v>887</v>
      </c>
      <c r="B537" s="157" t="s">
        <v>888</v>
      </c>
      <c r="C537" s="157">
        <v>2024</v>
      </c>
      <c r="D537" s="158">
        <v>-90.917944399999996</v>
      </c>
      <c r="E537" s="158">
        <v>39.014222199999999</v>
      </c>
      <c r="F537" s="159">
        <v>4.7</v>
      </c>
      <c r="G537" s="160">
        <v>27.75</v>
      </c>
      <c r="H537" s="161">
        <v>1.3</v>
      </c>
      <c r="I537" s="161">
        <v>50.9</v>
      </c>
      <c r="J537" s="161">
        <v>47.8</v>
      </c>
      <c r="K537" s="160">
        <v>0.3</v>
      </c>
    </row>
    <row r="538" spans="1:11" x14ac:dyDescent="0.3">
      <c r="A538" s="156" t="s">
        <v>887</v>
      </c>
      <c r="B538" s="157" t="s">
        <v>888</v>
      </c>
      <c r="C538" s="157">
        <v>2024</v>
      </c>
      <c r="D538" s="158">
        <v>-90.908208799999997</v>
      </c>
      <c r="E538" s="158">
        <v>37.744253999999998</v>
      </c>
      <c r="F538" s="159">
        <v>4.7</v>
      </c>
      <c r="G538" s="160">
        <v>8</v>
      </c>
      <c r="H538" s="161">
        <v>35.200000000000003</v>
      </c>
      <c r="I538" s="161">
        <v>46.8</v>
      </c>
      <c r="J538" s="161">
        <v>18</v>
      </c>
      <c r="K538" s="160">
        <v>0.1</v>
      </c>
    </row>
    <row r="539" spans="1:11" x14ac:dyDescent="0.3">
      <c r="A539" s="156" t="s">
        <v>887</v>
      </c>
      <c r="B539" s="157" t="s">
        <v>888</v>
      </c>
      <c r="C539" s="157">
        <v>2024</v>
      </c>
      <c r="D539" s="158">
        <v>-90.8977814</v>
      </c>
      <c r="E539" s="158">
        <v>44.190555600000003</v>
      </c>
      <c r="F539" s="159">
        <v>5.3</v>
      </c>
      <c r="G539" s="160">
        <v>2.85</v>
      </c>
      <c r="H539" s="161">
        <v>77.099999999999994</v>
      </c>
      <c r="I539" s="161">
        <v>15.5</v>
      </c>
      <c r="J539" s="161">
        <v>7.4</v>
      </c>
      <c r="K539" s="160">
        <v>1.27</v>
      </c>
    </row>
    <row r="540" spans="1:11" x14ac:dyDescent="0.3">
      <c r="A540" s="156" t="s">
        <v>887</v>
      </c>
      <c r="B540" s="157" t="s">
        <v>888</v>
      </c>
      <c r="C540" s="157">
        <v>2024</v>
      </c>
      <c r="D540" s="158">
        <v>-90.876547200000005</v>
      </c>
      <c r="E540" s="158">
        <v>37.779897200000001</v>
      </c>
      <c r="F540" s="159">
        <v>5.0999999999999996</v>
      </c>
      <c r="G540" s="160">
        <v>20.25</v>
      </c>
      <c r="H540" s="161">
        <v>24.3</v>
      </c>
      <c r="I540" s="161">
        <v>38</v>
      </c>
      <c r="J540" s="161">
        <v>37.6</v>
      </c>
      <c r="K540" s="160">
        <v>0.2</v>
      </c>
    </row>
    <row r="541" spans="1:11" x14ac:dyDescent="0.3">
      <c r="A541" s="156" t="s">
        <v>887</v>
      </c>
      <c r="B541" s="157" t="s">
        <v>888</v>
      </c>
      <c r="C541" s="157">
        <v>2024</v>
      </c>
      <c r="D541" s="158">
        <v>-90.870522199999996</v>
      </c>
      <c r="E541" s="158">
        <v>37.558925000000002</v>
      </c>
      <c r="F541" s="159">
        <v>5.7</v>
      </c>
      <c r="G541" s="160">
        <v>4.3</v>
      </c>
      <c r="H541" s="161">
        <v>9.8000000000000007</v>
      </c>
      <c r="I541" s="161">
        <v>68.3</v>
      </c>
      <c r="J541" s="161">
        <v>21.9</v>
      </c>
      <c r="K541" s="160">
        <v>0.3</v>
      </c>
    </row>
    <row r="542" spans="1:11" x14ac:dyDescent="0.3">
      <c r="A542" s="156" t="s">
        <v>887</v>
      </c>
      <c r="B542" s="157" t="s">
        <v>888</v>
      </c>
      <c r="C542" s="157">
        <v>2024</v>
      </c>
      <c r="D542" s="158">
        <v>-90.811305599999997</v>
      </c>
      <c r="E542" s="158">
        <v>36.904166699999998</v>
      </c>
      <c r="F542" s="159">
        <v>4.9000000000000004</v>
      </c>
      <c r="G542" s="160">
        <v>5.85</v>
      </c>
      <c r="H542" s="161">
        <v>26.4</v>
      </c>
      <c r="I542" s="161">
        <v>60.6</v>
      </c>
      <c r="J542" s="161">
        <v>13</v>
      </c>
      <c r="K542" s="160">
        <v>0.6</v>
      </c>
    </row>
    <row r="543" spans="1:11" x14ac:dyDescent="0.3">
      <c r="A543" s="156" t="s">
        <v>887</v>
      </c>
      <c r="B543" s="157" t="s">
        <v>888</v>
      </c>
      <c r="C543" s="157">
        <v>2024</v>
      </c>
      <c r="D543" s="158">
        <v>-90.804666699999999</v>
      </c>
      <c r="E543" s="158">
        <v>38.874138899999998</v>
      </c>
      <c r="F543" s="159">
        <v>5.6</v>
      </c>
      <c r="G543" s="160">
        <v>15.7</v>
      </c>
      <c r="H543" s="161">
        <v>12</v>
      </c>
      <c r="I543" s="161">
        <v>59.9</v>
      </c>
      <c r="J543" s="161">
        <v>28.1</v>
      </c>
      <c r="K543" s="160">
        <v>0.2</v>
      </c>
    </row>
    <row r="544" spans="1:11" x14ac:dyDescent="0.3">
      <c r="A544" s="156" t="s">
        <v>887</v>
      </c>
      <c r="B544" s="157" t="s">
        <v>888</v>
      </c>
      <c r="C544" s="157">
        <v>2024</v>
      </c>
      <c r="D544" s="158">
        <v>-90.784446700000004</v>
      </c>
      <c r="E544" s="158">
        <v>45.235553699999997</v>
      </c>
      <c r="F544" s="159">
        <v>4.7</v>
      </c>
      <c r="G544" s="160">
        <v>20</v>
      </c>
      <c r="H544" s="161">
        <v>20.9</v>
      </c>
      <c r="I544" s="161">
        <v>71.5</v>
      </c>
      <c r="J544" s="161">
        <v>7.6</v>
      </c>
      <c r="K544" s="160">
        <v>0.24</v>
      </c>
    </row>
    <row r="545" spans="1:11" x14ac:dyDescent="0.3">
      <c r="A545" s="156" t="s">
        <v>887</v>
      </c>
      <c r="B545" s="157" t="s">
        <v>888</v>
      </c>
      <c r="C545" s="157">
        <v>2024</v>
      </c>
      <c r="D545" s="158">
        <v>-90.778724699999998</v>
      </c>
      <c r="E545" s="158">
        <v>34.730117800000002</v>
      </c>
      <c r="F545" s="159">
        <v>7</v>
      </c>
      <c r="G545" s="160">
        <v>10</v>
      </c>
      <c r="H545" s="161">
        <v>2.5</v>
      </c>
      <c r="I545" s="161">
        <v>72.099999999999994</v>
      </c>
      <c r="J545" s="161">
        <v>25.4</v>
      </c>
      <c r="K545" s="160">
        <v>0.08</v>
      </c>
    </row>
    <row r="546" spans="1:11" x14ac:dyDescent="0.3">
      <c r="A546" s="156" t="s">
        <v>887</v>
      </c>
      <c r="B546" s="157" t="s">
        <v>888</v>
      </c>
      <c r="C546" s="157">
        <v>2024</v>
      </c>
      <c r="D546" s="158">
        <v>-90.767805600000003</v>
      </c>
      <c r="E546" s="158">
        <v>39.166388900000001</v>
      </c>
      <c r="F546" s="159">
        <v>6.6</v>
      </c>
      <c r="G546" s="160">
        <v>34.799999999999997</v>
      </c>
      <c r="H546" s="161">
        <v>2.2000000000000002</v>
      </c>
      <c r="I546" s="161">
        <v>83.7</v>
      </c>
      <c r="J546" s="161">
        <v>14.1</v>
      </c>
      <c r="K546" s="160">
        <v>0.5</v>
      </c>
    </row>
    <row r="547" spans="1:11" x14ac:dyDescent="0.3">
      <c r="A547" s="156" t="s">
        <v>887</v>
      </c>
      <c r="B547" s="157" t="s">
        <v>888</v>
      </c>
      <c r="C547" s="157">
        <v>2024</v>
      </c>
      <c r="D547" s="158">
        <v>-90.746611099999996</v>
      </c>
      <c r="E547" s="158">
        <v>36.910027800000002</v>
      </c>
      <c r="F547" s="159">
        <v>6.8</v>
      </c>
      <c r="G547" s="160">
        <v>9.4</v>
      </c>
      <c r="H547" s="161">
        <v>47.4</v>
      </c>
      <c r="I547" s="161">
        <v>35</v>
      </c>
      <c r="J547" s="161">
        <v>17.600000000000001</v>
      </c>
      <c r="K547" s="160">
        <v>0.3</v>
      </c>
    </row>
    <row r="548" spans="1:11" x14ac:dyDescent="0.3">
      <c r="A548" s="156" t="s">
        <v>887</v>
      </c>
      <c r="B548" s="157" t="s">
        <v>888</v>
      </c>
      <c r="C548" s="157">
        <v>2024</v>
      </c>
      <c r="D548" s="158">
        <v>-90.696722199999996</v>
      </c>
      <c r="E548" s="158">
        <v>37.919861099999999</v>
      </c>
      <c r="F548" s="159">
        <v>4.5</v>
      </c>
      <c r="G548" s="160">
        <v>16</v>
      </c>
      <c r="H548" s="161">
        <v>6.6</v>
      </c>
      <c r="I548" s="161">
        <v>54.2</v>
      </c>
      <c r="J548" s="161">
        <v>39.200000000000003</v>
      </c>
      <c r="K548" s="160">
        <v>0.4</v>
      </c>
    </row>
    <row r="549" spans="1:11" x14ac:dyDescent="0.3">
      <c r="A549" s="156" t="s">
        <v>887</v>
      </c>
      <c r="B549" s="157" t="s">
        <v>888</v>
      </c>
      <c r="C549" s="157">
        <v>2024</v>
      </c>
      <c r="D549" s="158">
        <v>-90.674659700000007</v>
      </c>
      <c r="E549" s="158">
        <v>37.155479399999997</v>
      </c>
      <c r="F549" s="159">
        <v>5.0999999999999996</v>
      </c>
      <c r="G549" s="160">
        <v>4</v>
      </c>
      <c r="H549" s="161">
        <v>18.899999999999999</v>
      </c>
      <c r="I549" s="161">
        <v>44.8</v>
      </c>
      <c r="J549" s="161">
        <v>36.299999999999997</v>
      </c>
      <c r="K549" s="160">
        <v>0.2</v>
      </c>
    </row>
    <row r="550" spans="1:11" x14ac:dyDescent="0.3">
      <c r="A550" s="156" t="s">
        <v>887</v>
      </c>
      <c r="B550" s="157" t="s">
        <v>888</v>
      </c>
      <c r="C550" s="157">
        <v>2024</v>
      </c>
      <c r="D550" s="158">
        <v>-90.672499999999999</v>
      </c>
      <c r="E550" s="158">
        <v>38.637472199999998</v>
      </c>
      <c r="F550" s="159">
        <v>5.2</v>
      </c>
      <c r="G550" s="160">
        <v>16.350000000000001</v>
      </c>
      <c r="H550" s="161">
        <v>2.6</v>
      </c>
      <c r="I550" s="161">
        <v>64</v>
      </c>
      <c r="J550" s="161">
        <v>33.4</v>
      </c>
      <c r="K550" s="160">
        <v>0.2</v>
      </c>
    </row>
    <row r="551" spans="1:11" x14ac:dyDescent="0.3">
      <c r="A551" s="156" t="s">
        <v>887</v>
      </c>
      <c r="B551" s="157" t="s">
        <v>888</v>
      </c>
      <c r="C551" s="157">
        <v>2024</v>
      </c>
      <c r="D551" s="158">
        <v>-90.598052999999993</v>
      </c>
      <c r="E551" s="158">
        <v>43.881111099999998</v>
      </c>
      <c r="F551" s="159">
        <v>6.1</v>
      </c>
      <c r="G551" s="160">
        <v>17.5</v>
      </c>
      <c r="H551" s="161">
        <v>6.3</v>
      </c>
      <c r="I551" s="161">
        <v>68.400000000000006</v>
      </c>
      <c r="J551" s="161">
        <v>25.3</v>
      </c>
      <c r="K551" s="160">
        <v>0.3</v>
      </c>
    </row>
    <row r="552" spans="1:11" x14ac:dyDescent="0.3">
      <c r="A552" s="156" t="s">
        <v>887</v>
      </c>
      <c r="B552" s="157" t="s">
        <v>888</v>
      </c>
      <c r="C552" s="157">
        <v>2024</v>
      </c>
      <c r="D552" s="158">
        <v>-90.554763800000003</v>
      </c>
      <c r="E552" s="158">
        <v>36.9617462</v>
      </c>
      <c r="F552" s="159">
        <v>5.7</v>
      </c>
      <c r="G552" s="160">
        <v>3</v>
      </c>
      <c r="H552" s="161">
        <v>85.4</v>
      </c>
      <c r="I552" s="161">
        <v>10.5</v>
      </c>
      <c r="J552" s="161">
        <v>4.0999999999999996</v>
      </c>
      <c r="K552" s="160">
        <v>0.1</v>
      </c>
    </row>
    <row r="553" spans="1:11" x14ac:dyDescent="0.3">
      <c r="A553" s="156" t="s">
        <v>887</v>
      </c>
      <c r="B553" s="157" t="s">
        <v>888</v>
      </c>
      <c r="C553" s="157">
        <v>2024</v>
      </c>
      <c r="D553" s="158">
        <v>-90.552331300000006</v>
      </c>
      <c r="E553" s="158">
        <v>38.270332099999997</v>
      </c>
      <c r="F553" s="159">
        <v>6.5</v>
      </c>
      <c r="G553" s="160">
        <v>12.1</v>
      </c>
      <c r="H553" s="161">
        <v>5.4</v>
      </c>
      <c r="I553" s="161">
        <v>65.900000000000006</v>
      </c>
      <c r="J553" s="161">
        <v>28.6</v>
      </c>
      <c r="K553" s="160">
        <v>0.3</v>
      </c>
    </row>
    <row r="554" spans="1:11" x14ac:dyDescent="0.3">
      <c r="A554" s="156" t="s">
        <v>887</v>
      </c>
      <c r="B554" s="157" t="s">
        <v>888</v>
      </c>
      <c r="C554" s="157">
        <v>2024</v>
      </c>
      <c r="D554" s="158">
        <v>-90.522694400000006</v>
      </c>
      <c r="E554" s="158">
        <v>37.813416699999998</v>
      </c>
      <c r="F554" s="159">
        <v>5.8</v>
      </c>
      <c r="G554" s="160">
        <v>10.65</v>
      </c>
      <c r="H554" s="161">
        <v>7.7</v>
      </c>
      <c r="I554" s="161">
        <v>77.8</v>
      </c>
      <c r="J554" s="161">
        <v>14.5</v>
      </c>
      <c r="K554" s="160">
        <v>2.9</v>
      </c>
    </row>
    <row r="555" spans="1:11" x14ac:dyDescent="0.3">
      <c r="A555" s="156" t="s">
        <v>887</v>
      </c>
      <c r="B555" s="157" t="s">
        <v>888</v>
      </c>
      <c r="C555" s="157">
        <v>2024</v>
      </c>
      <c r="D555" s="158">
        <v>-90.504363999999995</v>
      </c>
      <c r="E555" s="158">
        <v>37.546306600000001</v>
      </c>
      <c r="F555" s="159">
        <v>4.5</v>
      </c>
      <c r="G555" s="160">
        <v>8.5</v>
      </c>
      <c r="H555" s="161">
        <v>11.7</v>
      </c>
      <c r="I555" s="161">
        <v>75.5</v>
      </c>
      <c r="J555" s="161">
        <v>12.8</v>
      </c>
      <c r="K555" s="160">
        <v>1.2</v>
      </c>
    </row>
    <row r="556" spans="1:11" x14ac:dyDescent="0.3">
      <c r="A556" s="156" t="s">
        <v>887</v>
      </c>
      <c r="B556" s="157" t="s">
        <v>888</v>
      </c>
      <c r="C556" s="157">
        <v>2024</v>
      </c>
      <c r="D556" s="158">
        <v>-90.5</v>
      </c>
      <c r="E556" s="158">
        <v>36.766666700000002</v>
      </c>
      <c r="F556" s="159">
        <v>5.0999999999999996</v>
      </c>
      <c r="G556" s="160">
        <v>6.25</v>
      </c>
      <c r="H556" s="161">
        <v>21.4</v>
      </c>
      <c r="I556" s="161">
        <v>54.4</v>
      </c>
      <c r="J556" s="161">
        <v>24.2</v>
      </c>
      <c r="K556" s="160">
        <v>0.4</v>
      </c>
    </row>
    <row r="557" spans="1:11" x14ac:dyDescent="0.3">
      <c r="A557" s="156" t="s">
        <v>887</v>
      </c>
      <c r="B557" s="157" t="s">
        <v>888</v>
      </c>
      <c r="C557" s="157">
        <v>2024</v>
      </c>
      <c r="D557" s="158">
        <v>-90.491455099999996</v>
      </c>
      <c r="E557" s="158">
        <v>36.952312499999998</v>
      </c>
      <c r="F557" s="159">
        <v>5</v>
      </c>
      <c r="G557" s="160">
        <v>2</v>
      </c>
      <c r="H557" s="161">
        <v>16.399999999999999</v>
      </c>
      <c r="I557" s="161">
        <v>47.4</v>
      </c>
      <c r="J557" s="161">
        <v>36.200000000000003</v>
      </c>
      <c r="K557" s="160">
        <v>0.1</v>
      </c>
    </row>
    <row r="558" spans="1:11" x14ac:dyDescent="0.3">
      <c r="A558" s="156" t="s">
        <v>887</v>
      </c>
      <c r="B558" s="157" t="s">
        <v>888</v>
      </c>
      <c r="C558" s="157">
        <v>2024</v>
      </c>
      <c r="D558" s="158">
        <v>-90.484725999999995</v>
      </c>
      <c r="E558" s="158">
        <v>37.243610400000001</v>
      </c>
      <c r="F558" s="159">
        <v>4.8</v>
      </c>
      <c r="G558" s="160">
        <v>12</v>
      </c>
      <c r="H558" s="161">
        <v>5.9</v>
      </c>
      <c r="I558" s="161">
        <v>63.6</v>
      </c>
      <c r="J558" s="161">
        <v>30.5</v>
      </c>
      <c r="K558" s="160">
        <v>0.1</v>
      </c>
    </row>
    <row r="559" spans="1:11" x14ac:dyDescent="0.3">
      <c r="A559" s="156" t="s">
        <v>887</v>
      </c>
      <c r="B559" s="157" t="s">
        <v>888</v>
      </c>
      <c r="C559" s="157">
        <v>2024</v>
      </c>
      <c r="D559" s="158">
        <v>-90.475471499999998</v>
      </c>
      <c r="E559" s="158">
        <v>37.538249999999998</v>
      </c>
      <c r="F559" s="159">
        <v>4.8</v>
      </c>
      <c r="G559" s="160">
        <v>28</v>
      </c>
      <c r="H559" s="161">
        <v>17.3</v>
      </c>
      <c r="I559" s="161">
        <v>48.4</v>
      </c>
      <c r="J559" s="161">
        <v>34.299999999999997</v>
      </c>
      <c r="K559" s="160">
        <v>0.2</v>
      </c>
    </row>
    <row r="560" spans="1:11" x14ac:dyDescent="0.3">
      <c r="A560" s="156" t="s">
        <v>887</v>
      </c>
      <c r="B560" s="157" t="s">
        <v>888</v>
      </c>
      <c r="C560" s="157">
        <v>2024</v>
      </c>
      <c r="D560" s="158">
        <v>-90.415557899999996</v>
      </c>
      <c r="E560" s="158">
        <v>37.277221699999998</v>
      </c>
      <c r="F560" s="159">
        <v>5.0999999999999996</v>
      </c>
      <c r="G560" s="160">
        <v>8</v>
      </c>
      <c r="H560" s="161">
        <v>39.299999999999997</v>
      </c>
      <c r="I560" s="161">
        <v>33.4</v>
      </c>
      <c r="J560" s="161">
        <v>27.3</v>
      </c>
      <c r="K560" s="160">
        <v>0.1</v>
      </c>
    </row>
    <row r="561" spans="1:11" x14ac:dyDescent="0.3">
      <c r="A561" s="156" t="s">
        <v>887</v>
      </c>
      <c r="B561" s="157" t="s">
        <v>888</v>
      </c>
      <c r="C561" s="157">
        <v>2024</v>
      </c>
      <c r="D561" s="158">
        <v>-90.389638899999994</v>
      </c>
      <c r="E561" s="158">
        <v>36.785638900000002</v>
      </c>
      <c r="F561" s="159">
        <v>7.4</v>
      </c>
      <c r="G561" s="160">
        <v>12.4</v>
      </c>
      <c r="H561" s="161">
        <v>23.9</v>
      </c>
      <c r="I561" s="161">
        <v>43.8</v>
      </c>
      <c r="J561" s="161">
        <v>32.4</v>
      </c>
      <c r="K561" s="160">
        <v>0.1</v>
      </c>
    </row>
    <row r="562" spans="1:11" x14ac:dyDescent="0.3">
      <c r="A562" s="156" t="s">
        <v>887</v>
      </c>
      <c r="B562" s="157" t="s">
        <v>888</v>
      </c>
      <c r="C562" s="157">
        <v>2024</v>
      </c>
      <c r="D562" s="158">
        <v>-90.346496599999995</v>
      </c>
      <c r="E562" s="158">
        <v>37.019012500000002</v>
      </c>
      <c r="F562" s="159">
        <v>5.2</v>
      </c>
      <c r="G562" s="160">
        <v>4</v>
      </c>
      <c r="H562" s="161">
        <v>43</v>
      </c>
      <c r="I562" s="161">
        <v>46.4</v>
      </c>
      <c r="J562" s="161">
        <v>10.6</v>
      </c>
      <c r="K562" s="160">
        <v>1.3</v>
      </c>
    </row>
    <row r="563" spans="1:11" x14ac:dyDescent="0.3">
      <c r="A563" s="156" t="s">
        <v>887</v>
      </c>
      <c r="B563" s="157" t="s">
        <v>888</v>
      </c>
      <c r="C563" s="157">
        <v>2024</v>
      </c>
      <c r="D563" s="158">
        <v>-90.289001499999998</v>
      </c>
      <c r="E563" s="158">
        <v>37.330333699999997</v>
      </c>
      <c r="F563" s="159">
        <v>5.0999999999999996</v>
      </c>
      <c r="G563" s="160">
        <v>8.5</v>
      </c>
      <c r="H563" s="161">
        <v>60.3</v>
      </c>
      <c r="I563" s="161">
        <v>20.9</v>
      </c>
      <c r="J563" s="161">
        <v>18.8</v>
      </c>
      <c r="K563" s="160">
        <v>0.1</v>
      </c>
    </row>
    <row r="564" spans="1:11" x14ac:dyDescent="0.3">
      <c r="A564" s="156" t="s">
        <v>887</v>
      </c>
      <c r="B564" s="157" t="s">
        <v>888</v>
      </c>
      <c r="C564" s="157">
        <v>2024</v>
      </c>
      <c r="D564" s="158">
        <v>-90.271667500000007</v>
      </c>
      <c r="E564" s="158">
        <v>37.365001700000001</v>
      </c>
      <c r="F564" s="159">
        <v>6.9</v>
      </c>
      <c r="G564" s="160">
        <v>11</v>
      </c>
      <c r="H564" s="161">
        <v>7.7</v>
      </c>
      <c r="I564" s="161">
        <v>75.7</v>
      </c>
      <c r="J564" s="161">
        <v>16.600000000000001</v>
      </c>
      <c r="K564" s="160">
        <v>1.4</v>
      </c>
    </row>
    <row r="565" spans="1:11" x14ac:dyDescent="0.3">
      <c r="A565" s="156" t="s">
        <v>887</v>
      </c>
      <c r="B565" s="157" t="s">
        <v>888</v>
      </c>
      <c r="C565" s="157">
        <v>2024</v>
      </c>
      <c r="D565" s="158">
        <v>-90.1826401</v>
      </c>
      <c r="E565" s="158">
        <v>37.446414900000001</v>
      </c>
      <c r="F565" s="159">
        <v>6</v>
      </c>
      <c r="G565" s="160">
        <v>11.4</v>
      </c>
      <c r="H565" s="161">
        <v>3.2</v>
      </c>
      <c r="I565" s="161">
        <v>70.400000000000006</v>
      </c>
      <c r="J565" s="161">
        <v>26.4</v>
      </c>
      <c r="K565" s="160">
        <v>0.3</v>
      </c>
    </row>
    <row r="566" spans="1:11" x14ac:dyDescent="0.3">
      <c r="A566" s="156" t="s">
        <v>887</v>
      </c>
      <c r="B566" s="157" t="s">
        <v>888</v>
      </c>
      <c r="C566" s="157">
        <v>2024</v>
      </c>
      <c r="D566" s="158">
        <v>-90.165594400000003</v>
      </c>
      <c r="E566" s="158">
        <v>37.211750000000002</v>
      </c>
      <c r="F566" s="159">
        <v>4.0999999999999996</v>
      </c>
      <c r="G566" s="160">
        <v>14</v>
      </c>
      <c r="H566" s="161">
        <v>4.5</v>
      </c>
      <c r="I566" s="161">
        <v>32.200000000000003</v>
      </c>
      <c r="J566" s="161">
        <v>63.3</v>
      </c>
      <c r="K566" s="160">
        <v>0.1</v>
      </c>
    </row>
    <row r="567" spans="1:11" x14ac:dyDescent="0.3">
      <c r="A567" s="156" t="s">
        <v>887</v>
      </c>
      <c r="B567" s="157" t="s">
        <v>888</v>
      </c>
      <c r="C567" s="157">
        <v>2024</v>
      </c>
      <c r="D567" s="158">
        <v>-90.159332300000003</v>
      </c>
      <c r="E567" s="158">
        <v>37.564666699999997</v>
      </c>
      <c r="F567" s="159">
        <v>5.3</v>
      </c>
      <c r="G567" s="160">
        <v>7</v>
      </c>
      <c r="H567" s="161">
        <v>23.7</v>
      </c>
      <c r="I567" s="161">
        <v>45.6</v>
      </c>
      <c r="J567" s="161">
        <v>30.7</v>
      </c>
      <c r="K567" s="160">
        <v>0.1</v>
      </c>
    </row>
    <row r="568" spans="1:11" x14ac:dyDescent="0.3">
      <c r="A568" s="156" t="s">
        <v>887</v>
      </c>
      <c r="B568" s="157" t="s">
        <v>888</v>
      </c>
      <c r="C568" s="157">
        <v>2024</v>
      </c>
      <c r="D568" s="158">
        <v>-90.152916000000005</v>
      </c>
      <c r="E568" s="158">
        <v>37.4997215</v>
      </c>
      <c r="F568" s="159">
        <v>4.9000000000000004</v>
      </c>
      <c r="G568" s="160">
        <v>9.0500000000000007</v>
      </c>
      <c r="H568" s="161">
        <v>12.1</v>
      </c>
      <c r="I568" s="161">
        <v>20.399999999999999</v>
      </c>
      <c r="J568" s="161">
        <v>67.5</v>
      </c>
      <c r="K568" s="160">
        <v>0.1</v>
      </c>
    </row>
    <row r="569" spans="1:11" x14ac:dyDescent="0.3">
      <c r="A569" s="156" t="s">
        <v>887</v>
      </c>
      <c r="B569" s="157" t="s">
        <v>888</v>
      </c>
      <c r="C569" s="157">
        <v>2024</v>
      </c>
      <c r="D569" s="158">
        <v>-90.140694400000001</v>
      </c>
      <c r="E569" s="158">
        <v>38.029805600000003</v>
      </c>
      <c r="F569" s="159">
        <v>5</v>
      </c>
      <c r="G569" s="160">
        <v>14.55</v>
      </c>
      <c r="H569" s="161">
        <v>1.8</v>
      </c>
      <c r="I569" s="161">
        <v>72.7</v>
      </c>
      <c r="J569" s="161">
        <v>25.5</v>
      </c>
      <c r="K569" s="160">
        <v>0.1</v>
      </c>
    </row>
    <row r="570" spans="1:11" x14ac:dyDescent="0.3">
      <c r="A570" s="156" t="s">
        <v>887</v>
      </c>
      <c r="B570" s="157" t="s">
        <v>888</v>
      </c>
      <c r="C570" s="157">
        <v>2024</v>
      </c>
      <c r="D570" s="158">
        <v>-90.127357500000002</v>
      </c>
      <c r="E570" s="158">
        <v>37.420799299999999</v>
      </c>
      <c r="F570" s="159">
        <v>4.5999999999999996</v>
      </c>
      <c r="G570" s="160">
        <v>8.15</v>
      </c>
      <c r="H570" s="161">
        <v>19.8</v>
      </c>
      <c r="I570" s="161">
        <v>55</v>
      </c>
      <c r="J570" s="161">
        <v>25.2</v>
      </c>
      <c r="K570" s="160">
        <v>0.1</v>
      </c>
    </row>
    <row r="571" spans="1:11" x14ac:dyDescent="0.3">
      <c r="A571" s="156" t="s">
        <v>887</v>
      </c>
      <c r="B571" s="157" t="s">
        <v>888</v>
      </c>
      <c r="C571" s="157">
        <v>2024</v>
      </c>
      <c r="D571" s="158">
        <v>-90.111050000000006</v>
      </c>
      <c r="E571" s="158">
        <v>37.3330056</v>
      </c>
      <c r="F571" s="159">
        <v>4.5</v>
      </c>
      <c r="G571" s="160">
        <v>4</v>
      </c>
      <c r="H571" s="161">
        <v>10.7</v>
      </c>
      <c r="I571" s="161">
        <v>60.4</v>
      </c>
      <c r="J571" s="161">
        <v>28.9</v>
      </c>
      <c r="K571" s="160">
        <v>0.1</v>
      </c>
    </row>
    <row r="572" spans="1:11" x14ac:dyDescent="0.3">
      <c r="A572" s="156" t="s">
        <v>887</v>
      </c>
      <c r="B572" s="157" t="s">
        <v>888</v>
      </c>
      <c r="C572" s="157">
        <v>2024</v>
      </c>
      <c r="D572" s="158">
        <v>-90.099968000000004</v>
      </c>
      <c r="E572" s="158">
        <v>37.303646100000002</v>
      </c>
      <c r="F572" s="159">
        <v>4.8</v>
      </c>
      <c r="G572" s="160">
        <v>13</v>
      </c>
      <c r="H572" s="161">
        <v>2.8</v>
      </c>
      <c r="I572" s="161">
        <v>63.9</v>
      </c>
      <c r="J572" s="161">
        <v>33.299999999999997</v>
      </c>
      <c r="K572" s="160">
        <v>0.2</v>
      </c>
    </row>
    <row r="573" spans="1:11" x14ac:dyDescent="0.3">
      <c r="A573" s="156" t="s">
        <v>887</v>
      </c>
      <c r="B573" s="157" t="s">
        <v>888</v>
      </c>
      <c r="C573" s="157">
        <v>2024</v>
      </c>
      <c r="D573" s="158">
        <v>-90.072000000000003</v>
      </c>
      <c r="E573" s="158">
        <v>37.319494400000004</v>
      </c>
      <c r="F573" s="159">
        <v>5.7</v>
      </c>
      <c r="G573" s="160">
        <v>6.35</v>
      </c>
      <c r="H573" s="161">
        <v>3.5</v>
      </c>
      <c r="I573" s="161">
        <v>79</v>
      </c>
      <c r="J573" s="161">
        <v>17.600000000000001</v>
      </c>
      <c r="K573" s="160">
        <v>0.9</v>
      </c>
    </row>
    <row r="574" spans="1:11" x14ac:dyDescent="0.3">
      <c r="A574" s="156" t="s">
        <v>887</v>
      </c>
      <c r="B574" s="157" t="s">
        <v>888</v>
      </c>
      <c r="C574" s="157">
        <v>2024</v>
      </c>
      <c r="D574" s="158">
        <v>-90.069566699999996</v>
      </c>
      <c r="E574" s="158">
        <v>37.521336099999999</v>
      </c>
      <c r="F574" s="159">
        <v>4.5999999999999996</v>
      </c>
      <c r="G574" s="160">
        <v>16</v>
      </c>
      <c r="H574" s="161">
        <v>2.6</v>
      </c>
      <c r="I574" s="161">
        <v>19.100000000000001</v>
      </c>
      <c r="J574" s="161">
        <v>78.3</v>
      </c>
      <c r="K574" s="160">
        <v>0.1</v>
      </c>
    </row>
    <row r="575" spans="1:11" x14ac:dyDescent="0.3">
      <c r="A575" s="156" t="s">
        <v>887</v>
      </c>
      <c r="B575" s="157" t="s">
        <v>888</v>
      </c>
      <c r="C575" s="157">
        <v>2024</v>
      </c>
      <c r="D575" s="158">
        <v>-90.045694400000002</v>
      </c>
      <c r="E575" s="158">
        <v>37.9593889</v>
      </c>
      <c r="F575" s="159">
        <v>5.5</v>
      </c>
      <c r="G575" s="160">
        <v>11.45</v>
      </c>
      <c r="H575" s="161">
        <v>2.2999999999999998</v>
      </c>
      <c r="I575" s="161">
        <v>75.2</v>
      </c>
      <c r="J575" s="161">
        <v>22.5</v>
      </c>
      <c r="K575" s="160">
        <v>0.1</v>
      </c>
    </row>
    <row r="576" spans="1:11" x14ac:dyDescent="0.3">
      <c r="A576" s="156" t="s">
        <v>887</v>
      </c>
      <c r="B576" s="157" t="s">
        <v>888</v>
      </c>
      <c r="C576" s="157">
        <v>2024</v>
      </c>
      <c r="D576" s="158">
        <v>-90.034649999999999</v>
      </c>
      <c r="E576" s="158">
        <v>36.549613899999997</v>
      </c>
      <c r="F576" s="159">
        <v>4.7</v>
      </c>
      <c r="G576" s="160">
        <v>9</v>
      </c>
      <c r="H576" s="161">
        <v>11</v>
      </c>
      <c r="I576" s="161">
        <v>61.4</v>
      </c>
      <c r="J576" s="161">
        <v>27.6</v>
      </c>
      <c r="K576" s="160">
        <v>0.8</v>
      </c>
    </row>
    <row r="577" spans="1:11" x14ac:dyDescent="0.3">
      <c r="A577" s="156" t="s">
        <v>887</v>
      </c>
      <c r="B577" s="157" t="s">
        <v>888</v>
      </c>
      <c r="C577" s="157">
        <v>2024</v>
      </c>
      <c r="D577" s="158">
        <v>-89.989532499999996</v>
      </c>
      <c r="E577" s="158">
        <v>37.140674599999997</v>
      </c>
      <c r="F577" s="159">
        <v>7.7</v>
      </c>
      <c r="G577" s="160">
        <v>11</v>
      </c>
      <c r="H577" s="161">
        <v>5.2</v>
      </c>
      <c r="I577" s="161">
        <v>77.599999999999994</v>
      </c>
      <c r="J577" s="161">
        <v>17.2</v>
      </c>
      <c r="K577" s="160">
        <v>0.1</v>
      </c>
    </row>
    <row r="578" spans="1:11" x14ac:dyDescent="0.3">
      <c r="A578" s="156" t="s">
        <v>887</v>
      </c>
      <c r="B578" s="157" t="s">
        <v>888</v>
      </c>
      <c r="C578" s="157">
        <v>2024</v>
      </c>
      <c r="D578" s="158">
        <v>-89.915702800000005</v>
      </c>
      <c r="E578" s="158">
        <v>37.3388481</v>
      </c>
      <c r="F578" s="159">
        <v>5.2</v>
      </c>
      <c r="G578" s="160">
        <v>7.2</v>
      </c>
      <c r="H578" s="161">
        <v>20.3</v>
      </c>
      <c r="I578" s="161">
        <v>33.700000000000003</v>
      </c>
      <c r="J578" s="161">
        <v>46</v>
      </c>
      <c r="K578" s="160">
        <v>0</v>
      </c>
    </row>
    <row r="579" spans="1:11" x14ac:dyDescent="0.3">
      <c r="A579" s="156" t="s">
        <v>887</v>
      </c>
      <c r="B579" s="157" t="s">
        <v>888</v>
      </c>
      <c r="C579" s="157">
        <v>2024</v>
      </c>
      <c r="D579" s="158">
        <v>-89.905380199999996</v>
      </c>
      <c r="E579" s="158">
        <v>37.086738599999997</v>
      </c>
      <c r="F579" s="159">
        <v>6.4</v>
      </c>
      <c r="G579" s="160">
        <v>7</v>
      </c>
      <c r="H579" s="161">
        <v>77</v>
      </c>
      <c r="I579" s="161">
        <v>10.4</v>
      </c>
      <c r="J579" s="161">
        <v>12.6</v>
      </c>
      <c r="K579" s="160">
        <v>0.1</v>
      </c>
    </row>
    <row r="580" spans="1:11" x14ac:dyDescent="0.3">
      <c r="A580" s="156" t="s">
        <v>887</v>
      </c>
      <c r="B580" s="157" t="s">
        <v>888</v>
      </c>
      <c r="C580" s="157">
        <v>2024</v>
      </c>
      <c r="D580" s="158">
        <v>-89.904998800000001</v>
      </c>
      <c r="E580" s="158">
        <v>37.132556899999997</v>
      </c>
      <c r="F580" s="159">
        <v>6.2</v>
      </c>
      <c r="G580" s="160">
        <v>7.8</v>
      </c>
      <c r="H580" s="161">
        <v>4.4000000000000004</v>
      </c>
      <c r="I580" s="161">
        <v>72.3</v>
      </c>
      <c r="J580" s="161">
        <v>23.3</v>
      </c>
      <c r="K580" s="160">
        <v>0.1</v>
      </c>
    </row>
    <row r="581" spans="1:11" x14ac:dyDescent="0.3">
      <c r="A581" s="156" t="s">
        <v>887</v>
      </c>
      <c r="B581" s="157" t="s">
        <v>888</v>
      </c>
      <c r="C581" s="157">
        <v>2024</v>
      </c>
      <c r="D581" s="158">
        <v>-89.894722000000002</v>
      </c>
      <c r="E581" s="158">
        <v>45.491390199999998</v>
      </c>
      <c r="F581" s="159">
        <v>6.1</v>
      </c>
      <c r="G581" s="160">
        <v>3</v>
      </c>
      <c r="H581" s="161">
        <v>77.400000000000006</v>
      </c>
      <c r="I581" s="161">
        <v>18</v>
      </c>
      <c r="J581" s="161">
        <v>4.5999999999999996</v>
      </c>
      <c r="K581" s="160">
        <v>0.04</v>
      </c>
    </row>
    <row r="582" spans="1:11" x14ac:dyDescent="0.3">
      <c r="A582" s="156" t="s">
        <v>887</v>
      </c>
      <c r="B582" s="157" t="s">
        <v>888</v>
      </c>
      <c r="C582" s="157">
        <v>2024</v>
      </c>
      <c r="D582" s="158">
        <v>-89.851387000000003</v>
      </c>
      <c r="E582" s="158">
        <v>38.383335099999996</v>
      </c>
      <c r="F582" s="159">
        <v>4.5</v>
      </c>
      <c r="G582" s="160">
        <v>16.05</v>
      </c>
      <c r="H582" s="161">
        <v>12.6</v>
      </c>
      <c r="I582" s="161">
        <v>54.3</v>
      </c>
      <c r="J582" s="161">
        <v>33.1</v>
      </c>
      <c r="K582" s="160">
        <v>0.16999999999999998</v>
      </c>
    </row>
    <row r="583" spans="1:11" x14ac:dyDescent="0.3">
      <c r="A583" s="156" t="s">
        <v>887</v>
      </c>
      <c r="B583" s="157" t="s">
        <v>888</v>
      </c>
      <c r="C583" s="157">
        <v>2024</v>
      </c>
      <c r="D583" s="158">
        <v>-89.844444300000006</v>
      </c>
      <c r="E583" s="158">
        <v>34.2861099</v>
      </c>
      <c r="F583" s="159">
        <v>4.8</v>
      </c>
      <c r="G583" s="160">
        <v>4.75</v>
      </c>
      <c r="H583" s="161">
        <v>2.5</v>
      </c>
      <c r="I583" s="161">
        <v>87.1</v>
      </c>
      <c r="J583" s="161">
        <v>11.8</v>
      </c>
      <c r="K583" s="160">
        <v>0.4</v>
      </c>
    </row>
    <row r="584" spans="1:11" x14ac:dyDescent="0.3">
      <c r="A584" s="156" t="s">
        <v>887</v>
      </c>
      <c r="B584" s="157" t="s">
        <v>888</v>
      </c>
      <c r="C584" s="157">
        <v>2024</v>
      </c>
      <c r="D584" s="158">
        <v>-89.827774000000005</v>
      </c>
      <c r="E584" s="158">
        <v>34.270557400000001</v>
      </c>
      <c r="F584" s="159">
        <v>5.7</v>
      </c>
      <c r="G584" s="160">
        <v>4.3</v>
      </c>
      <c r="H584" s="161">
        <v>16.7</v>
      </c>
      <c r="I584" s="161">
        <v>75.2</v>
      </c>
      <c r="J584" s="161">
        <v>8.1</v>
      </c>
      <c r="K584" s="160">
        <v>0.19</v>
      </c>
    </row>
    <row r="585" spans="1:11" x14ac:dyDescent="0.3">
      <c r="A585" s="156" t="s">
        <v>887</v>
      </c>
      <c r="B585" s="157" t="s">
        <v>888</v>
      </c>
      <c r="C585" s="157">
        <v>2024</v>
      </c>
      <c r="D585" s="158">
        <v>-89.655194399999999</v>
      </c>
      <c r="E585" s="158">
        <v>37.293916699999997</v>
      </c>
      <c r="F585" s="159">
        <v>4.7</v>
      </c>
      <c r="G585" s="160">
        <v>4.3</v>
      </c>
      <c r="H585" s="161">
        <v>9</v>
      </c>
      <c r="I585" s="161">
        <v>80.599999999999994</v>
      </c>
      <c r="J585" s="161">
        <v>7.7</v>
      </c>
      <c r="K585" s="160">
        <v>0.1</v>
      </c>
    </row>
    <row r="586" spans="1:11" x14ac:dyDescent="0.3">
      <c r="A586" s="156" t="s">
        <v>887</v>
      </c>
      <c r="B586" s="157" t="s">
        <v>888</v>
      </c>
      <c r="C586" s="157">
        <v>2024</v>
      </c>
      <c r="D586" s="158">
        <v>-89.639137300000002</v>
      </c>
      <c r="E586" s="158">
        <v>36.817390400000001</v>
      </c>
      <c r="F586" s="159">
        <v>5.3</v>
      </c>
      <c r="G586" s="160">
        <v>8</v>
      </c>
      <c r="H586" s="161">
        <v>68.8</v>
      </c>
      <c r="I586" s="161">
        <v>22</v>
      </c>
      <c r="J586" s="161">
        <v>9.1999999999999993</v>
      </c>
      <c r="K586" s="160">
        <v>0.8</v>
      </c>
    </row>
    <row r="587" spans="1:11" x14ac:dyDescent="0.3">
      <c r="A587" s="156" t="s">
        <v>887</v>
      </c>
      <c r="B587" s="157" t="s">
        <v>888</v>
      </c>
      <c r="C587" s="157">
        <v>2024</v>
      </c>
      <c r="D587" s="158">
        <v>-89.636497500000004</v>
      </c>
      <c r="E587" s="158">
        <v>36.399051700000001</v>
      </c>
      <c r="F587" s="159">
        <v>5</v>
      </c>
      <c r="G587" s="160">
        <v>9.4</v>
      </c>
      <c r="H587" s="161">
        <v>42.3</v>
      </c>
      <c r="I587" s="161">
        <v>41.8</v>
      </c>
      <c r="J587" s="161">
        <v>15.9</v>
      </c>
      <c r="K587" s="160">
        <v>0.2</v>
      </c>
    </row>
    <row r="588" spans="1:11" x14ac:dyDescent="0.3">
      <c r="A588" s="156" t="s">
        <v>887</v>
      </c>
      <c r="B588" s="157" t="s">
        <v>888</v>
      </c>
      <c r="C588" s="157">
        <v>2024</v>
      </c>
      <c r="D588" s="158">
        <v>-89.575553900000003</v>
      </c>
      <c r="E588" s="158">
        <v>45.515277900000001</v>
      </c>
      <c r="F588" s="159">
        <v>4.5</v>
      </c>
      <c r="G588" s="160">
        <v>1.95</v>
      </c>
      <c r="H588" s="161">
        <v>73.2</v>
      </c>
      <c r="I588" s="161">
        <v>22.5</v>
      </c>
      <c r="J588" s="161">
        <v>4.3</v>
      </c>
      <c r="K588" s="160">
        <v>2.93</v>
      </c>
    </row>
    <row r="589" spans="1:11" x14ac:dyDescent="0.3">
      <c r="A589" s="156" t="s">
        <v>887</v>
      </c>
      <c r="B589" s="157" t="s">
        <v>888</v>
      </c>
      <c r="C589" s="157">
        <v>2024</v>
      </c>
      <c r="D589" s="158">
        <v>-89.564552300000003</v>
      </c>
      <c r="E589" s="158">
        <v>36.675972000000002</v>
      </c>
      <c r="F589" s="159">
        <v>5.9</v>
      </c>
      <c r="G589" s="160">
        <v>4</v>
      </c>
      <c r="H589" s="161">
        <v>77.5</v>
      </c>
      <c r="I589" s="161">
        <v>20.399999999999999</v>
      </c>
      <c r="J589" s="161">
        <v>2.1</v>
      </c>
      <c r="K589" s="160">
        <v>0.1</v>
      </c>
    </row>
    <row r="590" spans="1:11" x14ac:dyDescent="0.3">
      <c r="A590" s="156" t="s">
        <v>887</v>
      </c>
      <c r="B590" s="157" t="s">
        <v>888</v>
      </c>
      <c r="C590" s="157">
        <v>2024</v>
      </c>
      <c r="D590" s="158">
        <v>-89.5481944</v>
      </c>
      <c r="E590" s="158">
        <v>37.378111099999998</v>
      </c>
      <c r="F590" s="159">
        <v>6.8</v>
      </c>
      <c r="G590" s="160">
        <v>11.45</v>
      </c>
      <c r="H590" s="161">
        <v>2.7</v>
      </c>
      <c r="I590" s="161">
        <v>84.4</v>
      </c>
      <c r="J590" s="161">
        <v>12.9</v>
      </c>
      <c r="K590" s="160">
        <v>1.2</v>
      </c>
    </row>
    <row r="591" spans="1:11" x14ac:dyDescent="0.3">
      <c r="A591" s="156" t="s">
        <v>887</v>
      </c>
      <c r="B591" s="157" t="s">
        <v>888</v>
      </c>
      <c r="C591" s="157">
        <v>2024</v>
      </c>
      <c r="D591" s="158">
        <v>-89.509185799999997</v>
      </c>
      <c r="E591" s="158">
        <v>36.7046013</v>
      </c>
      <c r="F591" s="159">
        <v>5.8</v>
      </c>
      <c r="G591" s="160">
        <v>14</v>
      </c>
      <c r="H591" s="161">
        <v>10.7</v>
      </c>
      <c r="I591" s="161">
        <v>76</v>
      </c>
      <c r="J591" s="161">
        <v>13.3</v>
      </c>
      <c r="K591" s="160">
        <v>0.2</v>
      </c>
    </row>
    <row r="592" spans="1:11" x14ac:dyDescent="0.3">
      <c r="A592" s="156" t="s">
        <v>887</v>
      </c>
      <c r="B592" s="157" t="s">
        <v>888</v>
      </c>
      <c r="C592" s="157">
        <v>2024</v>
      </c>
      <c r="D592" s="158">
        <v>-89.506324800000002</v>
      </c>
      <c r="E592" s="158">
        <v>36.704677599999997</v>
      </c>
      <c r="F592" s="159">
        <v>5.3</v>
      </c>
      <c r="G592" s="160">
        <v>15</v>
      </c>
      <c r="H592" s="161">
        <v>5.8</v>
      </c>
      <c r="I592" s="161">
        <v>80.2</v>
      </c>
      <c r="J592" s="161">
        <v>14</v>
      </c>
      <c r="K592" s="160">
        <v>0.2</v>
      </c>
    </row>
    <row r="593" spans="1:11" x14ac:dyDescent="0.3">
      <c r="A593" s="156" t="s">
        <v>887</v>
      </c>
      <c r="B593" s="157" t="s">
        <v>888</v>
      </c>
      <c r="C593" s="157">
        <v>2024</v>
      </c>
      <c r="D593" s="158">
        <v>-89.485557600000007</v>
      </c>
      <c r="E593" s="158">
        <v>45.112220800000003</v>
      </c>
      <c r="F593" s="159">
        <v>5.5</v>
      </c>
      <c r="G593" s="160">
        <v>9.75</v>
      </c>
      <c r="H593" s="161">
        <v>24</v>
      </c>
      <c r="I593" s="161">
        <v>50.9</v>
      </c>
      <c r="J593" s="161">
        <v>25.1</v>
      </c>
      <c r="K593" s="160">
        <v>0.11000000000000001</v>
      </c>
    </row>
    <row r="594" spans="1:11" x14ac:dyDescent="0.3">
      <c r="A594" s="156" t="s">
        <v>887</v>
      </c>
      <c r="B594" s="157" t="s">
        <v>888</v>
      </c>
      <c r="C594" s="157">
        <v>2024</v>
      </c>
      <c r="D594" s="158">
        <v>-89.335624999999993</v>
      </c>
      <c r="E594" s="158">
        <v>37.412291000000003</v>
      </c>
      <c r="F594" s="159">
        <v>5.3</v>
      </c>
      <c r="G594" s="160">
        <v>13.45</v>
      </c>
      <c r="H594" s="161">
        <v>2.2000000000000002</v>
      </c>
      <c r="I594" s="161">
        <v>71.2</v>
      </c>
      <c r="J594" s="161">
        <v>26.6</v>
      </c>
      <c r="K594" s="160">
        <v>0.6</v>
      </c>
    </row>
    <row r="595" spans="1:11" x14ac:dyDescent="0.3">
      <c r="A595" s="156" t="s">
        <v>887</v>
      </c>
      <c r="B595" s="157" t="s">
        <v>888</v>
      </c>
      <c r="C595" s="157">
        <v>2024</v>
      </c>
      <c r="D595" s="158">
        <v>-89.210838317870994</v>
      </c>
      <c r="E595" s="158">
        <v>37.118896484375</v>
      </c>
      <c r="F595" s="159">
        <v>4.8</v>
      </c>
      <c r="G595" s="160">
        <v>8.1999999999999993</v>
      </c>
      <c r="H595" s="161">
        <v>1.5</v>
      </c>
      <c r="I595" s="161">
        <v>78.400000000000006</v>
      </c>
      <c r="J595" s="161">
        <v>20.100000000000001</v>
      </c>
      <c r="K595" s="160">
        <v>0.08</v>
      </c>
    </row>
    <row r="596" spans="1:11" x14ac:dyDescent="0.3">
      <c r="A596" s="156" t="s">
        <v>887</v>
      </c>
      <c r="B596" s="157" t="s">
        <v>888</v>
      </c>
      <c r="C596" s="157">
        <v>2024</v>
      </c>
      <c r="D596" s="158">
        <v>-89.1666666666667</v>
      </c>
      <c r="E596" s="158">
        <v>13.6666666666667</v>
      </c>
      <c r="F596" s="159">
        <v>5.3</v>
      </c>
      <c r="G596" s="160">
        <v>16</v>
      </c>
      <c r="H596" s="161">
        <v>15.9</v>
      </c>
      <c r="I596" s="161">
        <v>22.3</v>
      </c>
      <c r="J596" s="161">
        <v>61.8</v>
      </c>
      <c r="K596" s="160">
        <v>1.1499999999999999</v>
      </c>
    </row>
    <row r="597" spans="1:11" x14ac:dyDescent="0.3">
      <c r="A597" s="156" t="s">
        <v>887</v>
      </c>
      <c r="B597" s="157" t="s">
        <v>888</v>
      </c>
      <c r="C597" s="157">
        <v>2024</v>
      </c>
      <c r="D597" s="158">
        <v>-89.157501199999999</v>
      </c>
      <c r="E597" s="158">
        <v>38.358333600000002</v>
      </c>
      <c r="F597" s="159">
        <v>4.8</v>
      </c>
      <c r="G597" s="160">
        <v>4.05</v>
      </c>
      <c r="H597" s="161">
        <v>26.3</v>
      </c>
      <c r="I597" s="161">
        <v>43.9</v>
      </c>
      <c r="J597" s="161">
        <v>29.8</v>
      </c>
      <c r="K597" s="160">
        <v>0.22000000000000003</v>
      </c>
    </row>
    <row r="598" spans="1:11" x14ac:dyDescent="0.3">
      <c r="A598" s="156" t="s">
        <v>887</v>
      </c>
      <c r="B598" s="157" t="s">
        <v>888</v>
      </c>
      <c r="C598" s="157">
        <v>2024</v>
      </c>
      <c r="D598" s="158">
        <v>-89.075898199999997</v>
      </c>
      <c r="E598" s="158">
        <v>41.439739500000002</v>
      </c>
      <c r="F598" s="159">
        <v>4.8</v>
      </c>
      <c r="G598" s="160">
        <v>26.65</v>
      </c>
      <c r="H598" s="161">
        <v>2.9</v>
      </c>
      <c r="I598" s="161">
        <v>60.1</v>
      </c>
      <c r="J598" s="161">
        <v>37</v>
      </c>
      <c r="K598" s="160">
        <v>0.39</v>
      </c>
    </row>
    <row r="599" spans="1:11" x14ac:dyDescent="0.3">
      <c r="A599" s="156" t="s">
        <v>887</v>
      </c>
      <c r="B599" s="157" t="s">
        <v>888</v>
      </c>
      <c r="C599" s="157">
        <v>2024</v>
      </c>
      <c r="D599" s="158">
        <v>-88.805000300000003</v>
      </c>
      <c r="E599" s="158">
        <v>38.290000900000003</v>
      </c>
      <c r="F599" s="159">
        <v>5</v>
      </c>
      <c r="G599" s="160">
        <v>23.75</v>
      </c>
      <c r="H599" s="161">
        <v>9.1999999999999993</v>
      </c>
      <c r="I599" s="161">
        <v>76</v>
      </c>
      <c r="J599" s="161">
        <v>14.8</v>
      </c>
      <c r="K599" s="160">
        <v>1.6600000000000001</v>
      </c>
    </row>
    <row r="600" spans="1:11" x14ac:dyDescent="0.3">
      <c r="A600" s="156" t="s">
        <v>887</v>
      </c>
      <c r="B600" s="157" t="s">
        <v>888</v>
      </c>
      <c r="C600" s="157">
        <v>2024</v>
      </c>
      <c r="D600" s="158">
        <v>-88.764999399999994</v>
      </c>
      <c r="E600" s="158">
        <v>45.446109800000002</v>
      </c>
      <c r="F600" s="159">
        <v>5.3</v>
      </c>
      <c r="G600" s="160">
        <v>9.15</v>
      </c>
      <c r="H600" s="161">
        <v>9.6999999999999993</v>
      </c>
      <c r="I600" s="161">
        <v>73.5</v>
      </c>
      <c r="J600" s="161">
        <v>16.8</v>
      </c>
      <c r="K600" s="160">
        <v>0.08</v>
      </c>
    </row>
    <row r="601" spans="1:11" x14ac:dyDescent="0.3">
      <c r="A601" s="156" t="s">
        <v>887</v>
      </c>
      <c r="B601" s="157" t="s">
        <v>888</v>
      </c>
      <c r="C601" s="157">
        <v>2024</v>
      </c>
      <c r="D601" s="158">
        <v>-88.665557899999996</v>
      </c>
      <c r="E601" s="158">
        <v>33.248333000000002</v>
      </c>
      <c r="F601" s="159">
        <v>4.9000000000000004</v>
      </c>
      <c r="G601" s="160">
        <v>33.5</v>
      </c>
      <c r="H601" s="161">
        <v>25</v>
      </c>
      <c r="I601" s="161">
        <v>22.7</v>
      </c>
      <c r="J601" s="161">
        <v>52.3</v>
      </c>
      <c r="K601" s="160">
        <v>0.13</v>
      </c>
    </row>
    <row r="602" spans="1:11" x14ac:dyDescent="0.3">
      <c r="A602" s="156" t="s">
        <v>887</v>
      </c>
      <c r="B602" s="157" t="s">
        <v>888</v>
      </c>
      <c r="C602" s="157">
        <v>2024</v>
      </c>
      <c r="D602" s="158">
        <v>-88.654214600000003</v>
      </c>
      <c r="E602" s="158">
        <v>37.517289599999998</v>
      </c>
      <c r="F602" s="159">
        <v>4.8</v>
      </c>
      <c r="G602" s="160">
        <v>4.05</v>
      </c>
      <c r="H602" s="161">
        <v>17.7</v>
      </c>
      <c r="I602" s="161">
        <v>69.7</v>
      </c>
      <c r="J602" s="161">
        <v>12.6</v>
      </c>
      <c r="K602" s="160">
        <v>1.1099999999999999</v>
      </c>
    </row>
    <row r="603" spans="1:11" x14ac:dyDescent="0.3">
      <c r="A603" s="156" t="s">
        <v>887</v>
      </c>
      <c r="B603" s="157" t="s">
        <v>888</v>
      </c>
      <c r="C603" s="157">
        <v>2024</v>
      </c>
      <c r="D603" s="158">
        <v>-88.539764399999996</v>
      </c>
      <c r="E603" s="158">
        <v>34.380962400000001</v>
      </c>
      <c r="F603" s="159">
        <v>5.9</v>
      </c>
      <c r="G603" s="160">
        <v>5.8</v>
      </c>
      <c r="H603" s="161">
        <v>39.200000000000003</v>
      </c>
      <c r="I603" s="161">
        <v>44.2</v>
      </c>
      <c r="J603" s="161">
        <v>16.600000000000001</v>
      </c>
      <c r="K603" s="160">
        <v>0.77</v>
      </c>
    </row>
    <row r="604" spans="1:11" x14ac:dyDescent="0.3">
      <c r="A604" s="156" t="s">
        <v>887</v>
      </c>
      <c r="B604" s="157" t="s">
        <v>888</v>
      </c>
      <c r="C604" s="157">
        <v>2024</v>
      </c>
      <c r="D604" s="158">
        <v>-88.5366669</v>
      </c>
      <c r="E604" s="158">
        <v>37.491390199999998</v>
      </c>
      <c r="F604" s="159">
        <v>4.7</v>
      </c>
      <c r="G604" s="160">
        <v>2.25</v>
      </c>
      <c r="H604" s="161">
        <v>26.7</v>
      </c>
      <c r="I604" s="161">
        <v>63.2</v>
      </c>
      <c r="J604" s="161">
        <v>10.1</v>
      </c>
      <c r="K604" s="160">
        <v>0.36</v>
      </c>
    </row>
    <row r="605" spans="1:11" x14ac:dyDescent="0.3">
      <c r="A605" s="156" t="s">
        <v>887</v>
      </c>
      <c r="B605" s="157" t="s">
        <v>888</v>
      </c>
      <c r="C605" s="157">
        <v>2024</v>
      </c>
      <c r="D605" s="158">
        <v>-88.529167200000003</v>
      </c>
      <c r="E605" s="158">
        <v>38.8083344</v>
      </c>
      <c r="F605" s="159">
        <v>4.7</v>
      </c>
      <c r="G605" s="160">
        <v>17.149999999999999</v>
      </c>
      <c r="H605" s="161">
        <v>14.6</v>
      </c>
      <c r="I605" s="161">
        <v>52.2</v>
      </c>
      <c r="J605" s="161">
        <v>33.200000000000003</v>
      </c>
      <c r="K605" s="160">
        <v>0.1</v>
      </c>
    </row>
    <row r="606" spans="1:11" x14ac:dyDescent="0.3">
      <c r="A606" s="156" t="s">
        <v>887</v>
      </c>
      <c r="B606" s="157" t="s">
        <v>888</v>
      </c>
      <c r="C606" s="157">
        <v>2024</v>
      </c>
      <c r="D606" s="158">
        <v>-88.268333400000003</v>
      </c>
      <c r="E606" s="158">
        <v>39.309444399999997</v>
      </c>
      <c r="F606" s="159">
        <v>5.7</v>
      </c>
      <c r="G606" s="160">
        <v>5.3</v>
      </c>
      <c r="H606" s="161">
        <v>14.1</v>
      </c>
      <c r="I606" s="161">
        <v>59.1</v>
      </c>
      <c r="J606" s="161">
        <v>26.8</v>
      </c>
      <c r="K606" s="160">
        <v>0.12</v>
      </c>
    </row>
    <row r="607" spans="1:11" x14ac:dyDescent="0.3">
      <c r="A607" s="156" t="s">
        <v>887</v>
      </c>
      <c r="B607" s="157" t="s">
        <v>888</v>
      </c>
      <c r="C607" s="157">
        <v>2024</v>
      </c>
      <c r="D607" s="158">
        <v>-88.242820699999996</v>
      </c>
      <c r="E607" s="158">
        <v>46.846664400000002</v>
      </c>
      <c r="F607" s="159">
        <v>5</v>
      </c>
      <c r="G607" s="160">
        <v>7.3</v>
      </c>
      <c r="H607" s="161">
        <v>72.2</v>
      </c>
      <c r="I607" s="161">
        <v>15.4</v>
      </c>
      <c r="J607" s="161">
        <v>12.4</v>
      </c>
      <c r="K607" s="160">
        <v>0.03</v>
      </c>
    </row>
    <row r="608" spans="1:11" x14ac:dyDescent="0.3">
      <c r="A608" s="156" t="s">
        <v>887</v>
      </c>
      <c r="B608" s="157" t="s">
        <v>888</v>
      </c>
      <c r="C608" s="157">
        <v>2024</v>
      </c>
      <c r="D608" s="158">
        <v>-88.240280200000001</v>
      </c>
      <c r="E608" s="158">
        <v>39.305557299999997</v>
      </c>
      <c r="F608" s="159">
        <v>5.7</v>
      </c>
      <c r="G608" s="160">
        <v>6.9</v>
      </c>
      <c r="H608" s="161">
        <v>5.8</v>
      </c>
      <c r="I608" s="161">
        <v>59.1</v>
      </c>
      <c r="J608" s="161">
        <v>35.1</v>
      </c>
      <c r="K608" s="160">
        <v>0.2</v>
      </c>
    </row>
    <row r="609" spans="1:11" x14ac:dyDescent="0.3">
      <c r="A609" s="156" t="s">
        <v>887</v>
      </c>
      <c r="B609" s="157" t="s">
        <v>888</v>
      </c>
      <c r="C609" s="157">
        <v>2024</v>
      </c>
      <c r="D609" s="158">
        <v>-88.172255000000007</v>
      </c>
      <c r="E609" s="158">
        <v>37.651454299999997</v>
      </c>
      <c r="F609" s="159">
        <v>5.3</v>
      </c>
      <c r="G609" s="160">
        <v>21</v>
      </c>
      <c r="H609" s="161">
        <v>7.9</v>
      </c>
      <c r="I609" s="161">
        <v>46.2</v>
      </c>
      <c r="J609" s="161">
        <v>45.9</v>
      </c>
      <c r="K609" s="160">
        <v>2.4</v>
      </c>
    </row>
    <row r="610" spans="1:11" x14ac:dyDescent="0.3">
      <c r="A610" s="156" t="s">
        <v>887</v>
      </c>
      <c r="B610" s="157" t="s">
        <v>888</v>
      </c>
      <c r="C610" s="157">
        <v>2024</v>
      </c>
      <c r="D610" s="158">
        <v>-88.060308199999994</v>
      </c>
      <c r="E610" s="158">
        <v>40.508915799999997</v>
      </c>
      <c r="F610" s="159">
        <v>8.1999999999999993</v>
      </c>
      <c r="G610" s="160">
        <v>17</v>
      </c>
      <c r="H610" s="161">
        <v>11.1</v>
      </c>
      <c r="I610" s="161">
        <v>52.9</v>
      </c>
      <c r="J610" s="161">
        <v>36</v>
      </c>
      <c r="K610" s="160">
        <v>0.39</v>
      </c>
    </row>
    <row r="611" spans="1:11" x14ac:dyDescent="0.3">
      <c r="A611" s="156" t="s">
        <v>887</v>
      </c>
      <c r="B611" s="157" t="s">
        <v>888</v>
      </c>
      <c r="C611" s="157">
        <v>2024</v>
      </c>
      <c r="D611" s="158">
        <v>-87.851497199999997</v>
      </c>
      <c r="E611" s="158">
        <v>37.404980600000002</v>
      </c>
      <c r="F611" s="159">
        <v>4.5</v>
      </c>
      <c r="G611" s="160">
        <v>18.399999999999999</v>
      </c>
      <c r="H611" s="161">
        <v>6.6</v>
      </c>
      <c r="I611" s="161">
        <v>50.8</v>
      </c>
      <c r="J611" s="161">
        <v>42.6</v>
      </c>
      <c r="K611" s="160">
        <v>0.37</v>
      </c>
    </row>
    <row r="612" spans="1:11" x14ac:dyDescent="0.3">
      <c r="A612" s="156" t="s">
        <v>887</v>
      </c>
      <c r="B612" s="157" t="s">
        <v>888</v>
      </c>
      <c r="C612" s="157">
        <v>2024</v>
      </c>
      <c r="D612" s="158">
        <v>-87.663330099999996</v>
      </c>
      <c r="E612" s="158">
        <v>31.269166899999998</v>
      </c>
      <c r="F612" s="159">
        <v>5</v>
      </c>
      <c r="G612" s="160">
        <v>2.2000000000000002</v>
      </c>
      <c r="H612" s="161">
        <v>52.6</v>
      </c>
      <c r="I612" s="161">
        <v>21.2</v>
      </c>
      <c r="J612" s="161">
        <v>26.2</v>
      </c>
      <c r="K612" s="160">
        <v>0.04</v>
      </c>
    </row>
    <row r="613" spans="1:11" x14ac:dyDescent="0.3">
      <c r="A613" s="156" t="s">
        <v>887</v>
      </c>
      <c r="B613" s="157" t="s">
        <v>888</v>
      </c>
      <c r="C613" s="157">
        <v>2024</v>
      </c>
      <c r="D613" s="158">
        <v>-87.616386399999996</v>
      </c>
      <c r="E613" s="158">
        <v>31.2866669</v>
      </c>
      <c r="F613" s="159">
        <v>4.8</v>
      </c>
      <c r="G613" s="160">
        <v>9.9499999999999993</v>
      </c>
      <c r="H613" s="161">
        <v>27</v>
      </c>
      <c r="I613" s="161">
        <v>17.7</v>
      </c>
      <c r="J613" s="161">
        <v>55.3</v>
      </c>
      <c r="K613" s="160">
        <v>0.05</v>
      </c>
    </row>
    <row r="614" spans="1:11" x14ac:dyDescent="0.3">
      <c r="A614" s="156" t="s">
        <v>887</v>
      </c>
      <c r="B614" s="157" t="s">
        <v>888</v>
      </c>
      <c r="C614" s="157">
        <v>2024</v>
      </c>
      <c r="D614" s="158">
        <v>-87.355834999999999</v>
      </c>
      <c r="E614" s="158">
        <v>35.797222099999999</v>
      </c>
      <c r="F614" s="159">
        <v>5.0999999999999996</v>
      </c>
      <c r="G614" s="160">
        <v>5.7</v>
      </c>
      <c r="H614" s="161">
        <v>17.600000000000001</v>
      </c>
      <c r="I614" s="161">
        <v>34.200000000000003</v>
      </c>
      <c r="J614" s="161">
        <v>48.2</v>
      </c>
      <c r="K614" s="160">
        <v>0.1</v>
      </c>
    </row>
    <row r="615" spans="1:11" x14ac:dyDescent="0.3">
      <c r="A615" s="156" t="s">
        <v>887</v>
      </c>
      <c r="B615" s="157" t="s">
        <v>888</v>
      </c>
      <c r="C615" s="157">
        <v>2024</v>
      </c>
      <c r="D615" s="158">
        <v>-87.048000000000002</v>
      </c>
      <c r="E615" s="158">
        <v>37.189055600000003</v>
      </c>
      <c r="F615" s="159">
        <v>5.5</v>
      </c>
      <c r="G615" s="160">
        <v>4</v>
      </c>
      <c r="H615" s="161">
        <v>18.8</v>
      </c>
      <c r="I615" s="161">
        <v>62.4</v>
      </c>
      <c r="J615" s="161">
        <v>18.8</v>
      </c>
      <c r="K615" s="160">
        <v>0.55000000000000004</v>
      </c>
    </row>
    <row r="616" spans="1:11" x14ac:dyDescent="0.3">
      <c r="A616" s="156" t="s">
        <v>887</v>
      </c>
      <c r="B616" s="157" t="s">
        <v>888</v>
      </c>
      <c r="C616" s="157">
        <v>2024</v>
      </c>
      <c r="D616" s="158">
        <v>-86.986389200000005</v>
      </c>
      <c r="E616" s="158">
        <v>41.155277300000002</v>
      </c>
      <c r="F616" s="159">
        <v>5.4</v>
      </c>
      <c r="G616" s="160">
        <v>7.75</v>
      </c>
      <c r="H616" s="161">
        <v>92.8</v>
      </c>
      <c r="I616" s="161">
        <v>3.4</v>
      </c>
      <c r="J616" s="161">
        <v>3.8</v>
      </c>
      <c r="K616" s="160">
        <v>0.22999999999999998</v>
      </c>
    </row>
    <row r="617" spans="1:11" x14ac:dyDescent="0.3">
      <c r="A617" s="156" t="s">
        <v>887</v>
      </c>
      <c r="B617" s="157" t="s">
        <v>888</v>
      </c>
      <c r="C617" s="157">
        <v>2024</v>
      </c>
      <c r="D617" s="158">
        <v>-86.830619812011705</v>
      </c>
      <c r="E617" s="158">
        <v>40.247756958007798</v>
      </c>
      <c r="F617" s="159">
        <v>5.3</v>
      </c>
      <c r="G617" s="160">
        <v>12.7</v>
      </c>
      <c r="H617" s="161">
        <v>10.6</v>
      </c>
      <c r="I617" s="161">
        <v>73.900000000000006</v>
      </c>
      <c r="J617" s="161">
        <v>15.5</v>
      </c>
      <c r="K617" s="160">
        <v>0.67</v>
      </c>
    </row>
    <row r="618" spans="1:11" x14ac:dyDescent="0.3">
      <c r="A618" s="156" t="s">
        <v>887</v>
      </c>
      <c r="B618" s="157" t="s">
        <v>888</v>
      </c>
      <c r="C618" s="157">
        <v>2024</v>
      </c>
      <c r="D618" s="158">
        <v>-86.829170199999993</v>
      </c>
      <c r="E618" s="158">
        <v>32.177501700000001</v>
      </c>
      <c r="F618" s="159">
        <v>4.7</v>
      </c>
      <c r="G618" s="160">
        <v>2.15</v>
      </c>
      <c r="H618" s="161">
        <v>61.6</v>
      </c>
      <c r="I618" s="161">
        <v>5.6</v>
      </c>
      <c r="J618" s="161">
        <v>32.799999999999997</v>
      </c>
      <c r="K618" s="160">
        <v>0.25</v>
      </c>
    </row>
    <row r="619" spans="1:11" x14ac:dyDescent="0.3">
      <c r="A619" s="156" t="s">
        <v>887</v>
      </c>
      <c r="B619" s="157" t="s">
        <v>888</v>
      </c>
      <c r="C619" s="157">
        <v>2024</v>
      </c>
      <c r="D619" s="158">
        <v>-86.783599899999999</v>
      </c>
      <c r="E619" s="158">
        <v>31.086044300000001</v>
      </c>
      <c r="F619" s="159">
        <v>5.4</v>
      </c>
      <c r="G619" s="160">
        <v>0.85</v>
      </c>
      <c r="H619" s="161">
        <v>73.099999999999994</v>
      </c>
      <c r="I619" s="161">
        <v>1.1000000000000001</v>
      </c>
      <c r="J619" s="161">
        <v>25.8</v>
      </c>
      <c r="K619" s="160">
        <v>6.9999999999999993E-2</v>
      </c>
    </row>
    <row r="620" spans="1:11" x14ac:dyDescent="0.3">
      <c r="A620" s="156" t="s">
        <v>887</v>
      </c>
      <c r="B620" s="157" t="s">
        <v>888</v>
      </c>
      <c r="C620" s="157">
        <v>2024</v>
      </c>
      <c r="D620" s="158">
        <v>-86.769165000000001</v>
      </c>
      <c r="E620" s="158">
        <v>38.034168200000003</v>
      </c>
      <c r="F620" s="159">
        <v>4.8</v>
      </c>
      <c r="G620" s="160">
        <v>12.8</v>
      </c>
      <c r="H620" s="161">
        <v>10.5</v>
      </c>
      <c r="I620" s="161">
        <v>64.2</v>
      </c>
      <c r="J620" s="161">
        <v>25.3</v>
      </c>
      <c r="K620" s="160">
        <v>6.9999999999999993E-2</v>
      </c>
    </row>
    <row r="621" spans="1:11" x14ac:dyDescent="0.3">
      <c r="A621" s="156" t="s">
        <v>887</v>
      </c>
      <c r="B621" s="157" t="s">
        <v>888</v>
      </c>
      <c r="C621" s="157">
        <v>2024</v>
      </c>
      <c r="D621" s="158">
        <v>-86.7236099</v>
      </c>
      <c r="E621" s="158">
        <v>39.352779400000003</v>
      </c>
      <c r="F621" s="159">
        <v>4.7</v>
      </c>
      <c r="G621" s="160">
        <v>10.050000000000001</v>
      </c>
      <c r="H621" s="161">
        <v>3.2</v>
      </c>
      <c r="I621" s="161">
        <v>70.8</v>
      </c>
      <c r="J621" s="161">
        <v>26</v>
      </c>
      <c r="K621" s="160">
        <v>0.25</v>
      </c>
    </row>
    <row r="622" spans="1:11" x14ac:dyDescent="0.3">
      <c r="A622" s="156" t="s">
        <v>887</v>
      </c>
      <c r="B622" s="157" t="s">
        <v>888</v>
      </c>
      <c r="C622" s="157">
        <v>2024</v>
      </c>
      <c r="D622" s="158">
        <v>-86.638610799999995</v>
      </c>
      <c r="E622" s="158">
        <v>38.222778300000002</v>
      </c>
      <c r="F622" s="159">
        <v>4.5</v>
      </c>
      <c r="G622" s="160">
        <v>5.75</v>
      </c>
      <c r="H622" s="161">
        <v>9.3000000000000007</v>
      </c>
      <c r="I622" s="161">
        <v>63.9</v>
      </c>
      <c r="J622" s="161">
        <v>26.8</v>
      </c>
      <c r="K622" s="160">
        <v>0.62</v>
      </c>
    </row>
    <row r="623" spans="1:11" x14ac:dyDescent="0.3">
      <c r="A623" s="156" t="s">
        <v>887</v>
      </c>
      <c r="B623" s="157" t="s">
        <v>888</v>
      </c>
      <c r="C623" s="157">
        <v>2024</v>
      </c>
      <c r="D623" s="158">
        <v>-86.362503099999998</v>
      </c>
      <c r="E623" s="158">
        <v>38.215278599999998</v>
      </c>
      <c r="F623" s="159">
        <v>4.55</v>
      </c>
      <c r="G623" s="160">
        <v>8.9250000000000007</v>
      </c>
      <c r="H623" s="161">
        <v>9.4499999999999993</v>
      </c>
      <c r="I623" s="161">
        <v>70.400000000000006</v>
      </c>
      <c r="J623" s="161">
        <v>20.149999999999999</v>
      </c>
      <c r="K623" s="160">
        <v>0.23500000000000001</v>
      </c>
    </row>
    <row r="624" spans="1:11" x14ac:dyDescent="0.3">
      <c r="A624" s="156" t="s">
        <v>887</v>
      </c>
      <c r="B624" s="157" t="s">
        <v>888</v>
      </c>
      <c r="C624" s="157">
        <v>2024</v>
      </c>
      <c r="D624" s="158">
        <v>-86.3072205</v>
      </c>
      <c r="E624" s="158">
        <v>36.805831900000001</v>
      </c>
      <c r="F624" s="159">
        <v>4.4000000000000004</v>
      </c>
      <c r="G624" s="160">
        <v>13.55</v>
      </c>
      <c r="H624" s="161">
        <v>4.9000000000000004</v>
      </c>
      <c r="I624" s="161">
        <v>48.5</v>
      </c>
      <c r="J624" s="161">
        <v>46.6</v>
      </c>
      <c r="K624" s="160">
        <v>6.9999999999999993E-2</v>
      </c>
    </row>
    <row r="625" spans="1:11" x14ac:dyDescent="0.3">
      <c r="A625" s="156" t="s">
        <v>887</v>
      </c>
      <c r="B625" s="157" t="s">
        <v>888</v>
      </c>
      <c r="C625" s="157">
        <v>2024</v>
      </c>
      <c r="D625" s="158">
        <v>-85.966392499999998</v>
      </c>
      <c r="E625" s="158">
        <v>44.450832400000003</v>
      </c>
      <c r="F625" s="159">
        <v>4.2</v>
      </c>
      <c r="G625" s="160">
        <v>2.9</v>
      </c>
      <c r="H625" s="161">
        <v>92.1</v>
      </c>
      <c r="I625" s="161">
        <v>7.3</v>
      </c>
      <c r="J625" s="161">
        <v>0.6</v>
      </c>
      <c r="K625" s="160">
        <v>0.52</v>
      </c>
    </row>
    <row r="626" spans="1:11" x14ac:dyDescent="0.3">
      <c r="A626" s="156" t="s">
        <v>887</v>
      </c>
      <c r="B626" s="157" t="s">
        <v>888</v>
      </c>
      <c r="C626" s="157">
        <v>2024</v>
      </c>
      <c r="D626" s="158">
        <v>-85.957055600000004</v>
      </c>
      <c r="E626" s="158">
        <v>44.584444400000002</v>
      </c>
      <c r="F626" s="159">
        <v>6.3</v>
      </c>
      <c r="G626" s="160">
        <v>1</v>
      </c>
      <c r="H626" s="161">
        <v>97.8</v>
      </c>
      <c r="I626" s="161">
        <v>1.9</v>
      </c>
      <c r="J626" s="161">
        <v>0.3</v>
      </c>
      <c r="K626" s="160">
        <v>0.04</v>
      </c>
    </row>
    <row r="627" spans="1:11" x14ac:dyDescent="0.3">
      <c r="A627" s="156" t="s">
        <v>887</v>
      </c>
      <c r="B627" s="157" t="s">
        <v>888</v>
      </c>
      <c r="C627" s="157">
        <v>2024</v>
      </c>
      <c r="D627" s="158">
        <v>-85.934997600000003</v>
      </c>
      <c r="E627" s="158">
        <v>41.755554199999999</v>
      </c>
      <c r="F627" s="159">
        <v>4.8</v>
      </c>
      <c r="G627" s="160">
        <v>1.8</v>
      </c>
      <c r="H627" s="161">
        <v>91.7</v>
      </c>
      <c r="I627" s="161">
        <v>2.8</v>
      </c>
      <c r="J627" s="161">
        <v>5.5</v>
      </c>
      <c r="K627" s="160">
        <v>0.06</v>
      </c>
    </row>
    <row r="628" spans="1:11" x14ac:dyDescent="0.3">
      <c r="A628" s="156" t="s">
        <v>887</v>
      </c>
      <c r="B628" s="157" t="s">
        <v>888</v>
      </c>
      <c r="C628" s="157">
        <v>2024</v>
      </c>
      <c r="D628" s="158">
        <v>-85.858329800000007</v>
      </c>
      <c r="E628" s="158">
        <v>44.601665500000003</v>
      </c>
      <c r="F628" s="159">
        <v>4.4000000000000004</v>
      </c>
      <c r="G628" s="160">
        <v>0.7</v>
      </c>
      <c r="H628" s="161">
        <v>96.2</v>
      </c>
      <c r="I628" s="161">
        <v>2.5</v>
      </c>
      <c r="J628" s="161">
        <v>1.3</v>
      </c>
      <c r="K628" s="160">
        <v>1.27</v>
      </c>
    </row>
    <row r="629" spans="1:11" x14ac:dyDescent="0.3">
      <c r="A629" s="156" t="s">
        <v>887</v>
      </c>
      <c r="B629" s="157" t="s">
        <v>888</v>
      </c>
      <c r="C629" s="157">
        <v>2024</v>
      </c>
      <c r="D629" s="158">
        <v>-85.585555999999997</v>
      </c>
      <c r="E629" s="158">
        <v>38.677501700000001</v>
      </c>
      <c r="F629" s="159">
        <v>4.4000000000000004</v>
      </c>
      <c r="G629" s="160">
        <v>5.95</v>
      </c>
      <c r="H629" s="161">
        <v>13.1</v>
      </c>
      <c r="I629" s="161">
        <v>52.9</v>
      </c>
      <c r="J629" s="161">
        <v>34</v>
      </c>
      <c r="K629" s="160">
        <v>0.35</v>
      </c>
    </row>
    <row r="630" spans="1:11" x14ac:dyDescent="0.3">
      <c r="A630" s="156" t="s">
        <v>887</v>
      </c>
      <c r="B630" s="157" t="s">
        <v>888</v>
      </c>
      <c r="C630" s="157">
        <v>2024</v>
      </c>
      <c r="D630" s="158">
        <v>-85.353889499999994</v>
      </c>
      <c r="E630" s="158">
        <v>39.277778599999998</v>
      </c>
      <c r="F630" s="159">
        <v>5.3</v>
      </c>
      <c r="G630" s="160">
        <v>11.75</v>
      </c>
      <c r="H630" s="161">
        <v>17.2</v>
      </c>
      <c r="I630" s="161">
        <v>31.6</v>
      </c>
      <c r="J630" s="161">
        <v>51.2</v>
      </c>
      <c r="K630" s="160">
        <v>0.08</v>
      </c>
    </row>
    <row r="631" spans="1:11" x14ac:dyDescent="0.3">
      <c r="A631" s="156" t="s">
        <v>887</v>
      </c>
      <c r="B631" s="157" t="s">
        <v>888</v>
      </c>
      <c r="C631" s="157">
        <v>2024</v>
      </c>
      <c r="D631" s="158">
        <v>-85.092498800000001</v>
      </c>
      <c r="E631" s="158">
        <v>35.689998600000003</v>
      </c>
      <c r="F631" s="159">
        <v>4.7</v>
      </c>
      <c r="G631" s="160">
        <v>4.3</v>
      </c>
      <c r="H631" s="161">
        <v>45.1</v>
      </c>
      <c r="I631" s="161">
        <v>32.6</v>
      </c>
      <c r="J631" s="161">
        <v>22.3</v>
      </c>
      <c r="K631" s="160">
        <v>0.27</v>
      </c>
    </row>
    <row r="632" spans="1:11" x14ac:dyDescent="0.3">
      <c r="A632" s="156" t="s">
        <v>887</v>
      </c>
      <c r="B632" s="157" t="s">
        <v>888</v>
      </c>
      <c r="C632" s="157">
        <v>2024</v>
      </c>
      <c r="D632" s="158">
        <v>-84.842224099999996</v>
      </c>
      <c r="E632" s="158">
        <v>34.856666599999997</v>
      </c>
      <c r="F632" s="159">
        <v>4.8</v>
      </c>
      <c r="G632" s="160">
        <v>3.9</v>
      </c>
      <c r="H632" s="161">
        <v>27.3</v>
      </c>
      <c r="I632" s="161">
        <v>50.4</v>
      </c>
      <c r="J632" s="161">
        <v>22.3</v>
      </c>
      <c r="K632" s="160">
        <v>0.12</v>
      </c>
    </row>
    <row r="633" spans="1:11" x14ac:dyDescent="0.3">
      <c r="A633" s="156" t="s">
        <v>887</v>
      </c>
      <c r="B633" s="157" t="s">
        <v>888</v>
      </c>
      <c r="C633" s="157">
        <v>2024</v>
      </c>
      <c r="D633" s="158">
        <v>-84.420364399999997</v>
      </c>
      <c r="E633" s="158">
        <v>35.360862699999998</v>
      </c>
      <c r="F633" s="159">
        <v>5</v>
      </c>
      <c r="G633" s="160">
        <v>2.25</v>
      </c>
      <c r="H633" s="161">
        <v>45.8</v>
      </c>
      <c r="I633" s="161">
        <v>15.5</v>
      </c>
      <c r="J633" s="161">
        <v>38.700000000000003</v>
      </c>
      <c r="K633" s="160">
        <v>6.9999999999999993E-2</v>
      </c>
    </row>
    <row r="634" spans="1:11" x14ac:dyDescent="0.3">
      <c r="A634" s="156" t="s">
        <v>887</v>
      </c>
      <c r="B634" s="157" t="s">
        <v>888</v>
      </c>
      <c r="C634" s="157">
        <v>2024</v>
      </c>
      <c r="D634" s="158">
        <v>-84.397224399999999</v>
      </c>
      <c r="E634" s="158">
        <v>32.001110099999998</v>
      </c>
      <c r="F634" s="159">
        <v>5.2</v>
      </c>
      <c r="G634" s="160">
        <v>0.4</v>
      </c>
      <c r="H634" s="161">
        <v>87.2</v>
      </c>
      <c r="I634" s="161">
        <v>2</v>
      </c>
      <c r="J634" s="161">
        <v>10.8</v>
      </c>
      <c r="K634" s="160">
        <v>0.09</v>
      </c>
    </row>
    <row r="635" spans="1:11" x14ac:dyDescent="0.3">
      <c r="A635" s="156" t="s">
        <v>887</v>
      </c>
      <c r="B635" s="157" t="s">
        <v>888</v>
      </c>
      <c r="C635" s="157">
        <v>2024</v>
      </c>
      <c r="D635" s="158">
        <v>-84.323333700000006</v>
      </c>
      <c r="E635" s="158">
        <v>32.999443100000001</v>
      </c>
      <c r="F635" s="159">
        <v>4.9000000000000004</v>
      </c>
      <c r="G635" s="160">
        <v>4.0999999999999996</v>
      </c>
      <c r="H635" s="161">
        <v>75</v>
      </c>
      <c r="I635" s="161">
        <v>18.3</v>
      </c>
      <c r="J635" s="161">
        <v>6.7</v>
      </c>
      <c r="K635" s="160">
        <v>3.91</v>
      </c>
    </row>
    <row r="636" spans="1:11" x14ac:dyDescent="0.3">
      <c r="A636" s="156" t="s">
        <v>887</v>
      </c>
      <c r="B636" s="157" t="s">
        <v>888</v>
      </c>
      <c r="C636" s="157">
        <v>2024</v>
      </c>
      <c r="D636" s="158">
        <v>-84.256027200000005</v>
      </c>
      <c r="E636" s="158">
        <v>32.936550099999998</v>
      </c>
      <c r="F636" s="159">
        <v>5.2</v>
      </c>
      <c r="G636" s="160">
        <v>2</v>
      </c>
      <c r="H636" s="161">
        <v>34.799999999999997</v>
      </c>
      <c r="I636" s="161">
        <v>27.9</v>
      </c>
      <c r="J636" s="161">
        <v>37.299999999999997</v>
      </c>
      <c r="K636" s="160">
        <v>0.05</v>
      </c>
    </row>
    <row r="637" spans="1:11" x14ac:dyDescent="0.3">
      <c r="A637" s="156" t="s">
        <v>887</v>
      </c>
      <c r="B637" s="157" t="s">
        <v>888</v>
      </c>
      <c r="C637" s="157">
        <v>2024</v>
      </c>
      <c r="D637" s="158">
        <v>-83.861015300000005</v>
      </c>
      <c r="E637" s="158">
        <v>32.529060399999999</v>
      </c>
      <c r="F637" s="159">
        <v>4.8</v>
      </c>
      <c r="G637" s="160">
        <v>1.1499999999999999</v>
      </c>
      <c r="H637" s="161">
        <v>76.400000000000006</v>
      </c>
      <c r="I637" s="161">
        <v>17.600000000000001</v>
      </c>
      <c r="J637" s="161">
        <v>6</v>
      </c>
      <c r="K637" s="160">
        <v>0.64</v>
      </c>
    </row>
    <row r="638" spans="1:11" x14ac:dyDescent="0.3">
      <c r="A638" s="156" t="s">
        <v>887</v>
      </c>
      <c r="B638" s="157" t="s">
        <v>888</v>
      </c>
      <c r="C638" s="157">
        <v>2024</v>
      </c>
      <c r="D638" s="158">
        <v>-83.7083333333333</v>
      </c>
      <c r="E638" s="158">
        <v>10.5666666666667</v>
      </c>
      <c r="F638" s="159">
        <v>6.3</v>
      </c>
      <c r="G638" s="160">
        <v>14</v>
      </c>
      <c r="H638" s="161">
        <v>9</v>
      </c>
      <c r="I638" s="161">
        <v>70</v>
      </c>
      <c r="J638" s="161">
        <v>29</v>
      </c>
      <c r="K638" s="160">
        <v>0.2</v>
      </c>
    </row>
    <row r="639" spans="1:11" x14ac:dyDescent="0.3">
      <c r="A639" s="156" t="s">
        <v>887</v>
      </c>
      <c r="B639" s="157" t="s">
        <v>888</v>
      </c>
      <c r="C639" s="157">
        <v>2024</v>
      </c>
      <c r="D639" s="158">
        <v>-83.513610799999995</v>
      </c>
      <c r="E639" s="158">
        <v>38.6291656</v>
      </c>
      <c r="F639" s="159">
        <v>4.4000000000000004</v>
      </c>
      <c r="G639" s="160">
        <v>6</v>
      </c>
      <c r="H639" s="161">
        <v>4.5999999999999996</v>
      </c>
      <c r="I639" s="161">
        <v>44.8</v>
      </c>
      <c r="J639" s="161">
        <v>50.6</v>
      </c>
      <c r="K639" s="160">
        <v>0.45</v>
      </c>
    </row>
    <row r="640" spans="1:11" x14ac:dyDescent="0.3">
      <c r="A640" s="156" t="s">
        <v>887</v>
      </c>
      <c r="B640" s="157" t="s">
        <v>888</v>
      </c>
      <c r="C640" s="157">
        <v>2024</v>
      </c>
      <c r="D640" s="158">
        <v>-82.962379499999997</v>
      </c>
      <c r="E640" s="158">
        <v>30.160234500000001</v>
      </c>
      <c r="F640" s="159">
        <v>5.3</v>
      </c>
      <c r="G640" s="160">
        <v>18.5</v>
      </c>
      <c r="H640" s="161">
        <v>95.1</v>
      </c>
      <c r="I640" s="161">
        <v>3.1</v>
      </c>
      <c r="J640" s="161">
        <v>1.8</v>
      </c>
      <c r="K640" s="160">
        <v>0.47000000000000003</v>
      </c>
    </row>
    <row r="641" spans="1:11" x14ac:dyDescent="0.3">
      <c r="A641" s="156" t="s">
        <v>887</v>
      </c>
      <c r="B641" s="157" t="s">
        <v>888</v>
      </c>
      <c r="C641" s="157">
        <v>2024</v>
      </c>
      <c r="D641" s="158">
        <v>-82.462341300000006</v>
      </c>
      <c r="E641" s="158">
        <v>43.061668400000002</v>
      </c>
      <c r="F641" s="159">
        <v>6</v>
      </c>
      <c r="G641" s="160">
        <v>0.3</v>
      </c>
      <c r="H641" s="161">
        <v>97.9</v>
      </c>
      <c r="I641" s="161">
        <v>0.8</v>
      </c>
      <c r="J641" s="161">
        <v>1.3</v>
      </c>
      <c r="K641" s="160">
        <v>0.04</v>
      </c>
    </row>
    <row r="642" spans="1:11" x14ac:dyDescent="0.3">
      <c r="A642" s="156" t="s">
        <v>887</v>
      </c>
      <c r="B642" s="157" t="s">
        <v>888</v>
      </c>
      <c r="C642" s="157">
        <v>2024</v>
      </c>
      <c r="D642" s="158">
        <v>-82.3665314</v>
      </c>
      <c r="E642" s="158">
        <v>29.633583099999999</v>
      </c>
      <c r="F642" s="159">
        <v>5.0999999999999996</v>
      </c>
      <c r="G642" s="160">
        <v>1.1499999999999999</v>
      </c>
      <c r="H642" s="161">
        <v>95.4</v>
      </c>
      <c r="I642" s="161">
        <v>1.8</v>
      </c>
      <c r="J642" s="161">
        <v>2.8</v>
      </c>
      <c r="K642" s="160">
        <v>0.16</v>
      </c>
    </row>
    <row r="643" spans="1:11" x14ac:dyDescent="0.3">
      <c r="A643" s="156" t="s">
        <v>887</v>
      </c>
      <c r="B643" s="157" t="s">
        <v>888</v>
      </c>
      <c r="C643" s="157">
        <v>2024</v>
      </c>
      <c r="D643" s="158">
        <v>-82.3280563</v>
      </c>
      <c r="E643" s="158">
        <v>38.303611799999999</v>
      </c>
      <c r="F643" s="159">
        <v>4.8</v>
      </c>
      <c r="G643" s="160">
        <v>5.3</v>
      </c>
      <c r="H643" s="161">
        <v>40.9</v>
      </c>
      <c r="I643" s="161">
        <v>36.4</v>
      </c>
      <c r="J643" s="161">
        <v>22.7</v>
      </c>
      <c r="K643" s="160">
        <v>0.13</v>
      </c>
    </row>
    <row r="644" spans="1:11" x14ac:dyDescent="0.3">
      <c r="A644" s="156" t="s">
        <v>887</v>
      </c>
      <c r="B644" s="157" t="s">
        <v>888</v>
      </c>
      <c r="C644" s="157">
        <v>2024</v>
      </c>
      <c r="D644" s="158">
        <v>-82.268890400000004</v>
      </c>
      <c r="E644" s="158">
        <v>35.967777300000002</v>
      </c>
      <c r="F644" s="159">
        <v>5.4</v>
      </c>
      <c r="G644" s="160">
        <v>3.65</v>
      </c>
      <c r="H644" s="161">
        <v>62.7</v>
      </c>
      <c r="I644" s="161">
        <v>16.3</v>
      </c>
      <c r="J644" s="161">
        <v>21</v>
      </c>
      <c r="K644" s="160">
        <v>0.3</v>
      </c>
    </row>
    <row r="645" spans="1:11" x14ac:dyDescent="0.3">
      <c r="A645" s="156" t="s">
        <v>887</v>
      </c>
      <c r="B645" s="157" t="s">
        <v>888</v>
      </c>
      <c r="C645" s="157">
        <v>2024</v>
      </c>
      <c r="D645" s="158">
        <v>-82.2569444444444</v>
      </c>
      <c r="E645" s="158">
        <v>29.7083333333333</v>
      </c>
      <c r="F645" s="159">
        <v>4</v>
      </c>
      <c r="G645" s="160">
        <v>2.75</v>
      </c>
      <c r="H645" s="161">
        <v>95.9</v>
      </c>
      <c r="I645" s="161">
        <v>4.0999999999999996</v>
      </c>
      <c r="J645" s="161">
        <v>0</v>
      </c>
      <c r="K645" s="160">
        <v>0.09</v>
      </c>
    </row>
    <row r="646" spans="1:11" x14ac:dyDescent="0.3">
      <c r="A646" s="156" t="s">
        <v>887</v>
      </c>
      <c r="B646" s="157" t="s">
        <v>888</v>
      </c>
      <c r="C646" s="157">
        <v>2024</v>
      </c>
      <c r="D646" s="158">
        <v>-82.181388900000002</v>
      </c>
      <c r="E646" s="158">
        <v>37.429721800000003</v>
      </c>
      <c r="F646" s="159">
        <v>5.0999999999999996</v>
      </c>
      <c r="G646" s="160">
        <v>3.15</v>
      </c>
      <c r="H646" s="161">
        <v>58.1</v>
      </c>
      <c r="I646" s="161">
        <v>38.5</v>
      </c>
      <c r="J646" s="161">
        <v>10.3</v>
      </c>
      <c r="K646" s="160">
        <v>0.11000000000000001</v>
      </c>
    </row>
    <row r="647" spans="1:11" x14ac:dyDescent="0.3">
      <c r="A647" s="156" t="s">
        <v>887</v>
      </c>
      <c r="B647" s="157" t="s">
        <v>888</v>
      </c>
      <c r="C647" s="157">
        <v>2024</v>
      </c>
      <c r="D647" s="158">
        <v>-82.120834400000007</v>
      </c>
      <c r="E647" s="158">
        <v>36.0519447</v>
      </c>
      <c r="F647" s="159">
        <v>5.3</v>
      </c>
      <c r="G647" s="160">
        <v>4.9000000000000004</v>
      </c>
      <c r="H647" s="161">
        <v>78.8</v>
      </c>
      <c r="I647" s="161">
        <v>14.4</v>
      </c>
      <c r="J647" s="161">
        <v>6.8</v>
      </c>
      <c r="K647" s="160">
        <v>2.2000000000000002</v>
      </c>
    </row>
    <row r="648" spans="1:11" x14ac:dyDescent="0.3">
      <c r="A648" s="156" t="s">
        <v>887</v>
      </c>
      <c r="B648" s="157" t="s">
        <v>888</v>
      </c>
      <c r="C648" s="157">
        <v>2024</v>
      </c>
      <c r="D648" s="158">
        <v>-81.894447299999996</v>
      </c>
      <c r="E648" s="158">
        <v>37.803333299999998</v>
      </c>
      <c r="F648" s="159">
        <v>4.7</v>
      </c>
      <c r="G648" s="160">
        <v>1.45</v>
      </c>
      <c r="H648" s="161">
        <v>57.8</v>
      </c>
      <c r="I648" s="161">
        <v>32.6</v>
      </c>
      <c r="J648" s="161">
        <v>9.6</v>
      </c>
      <c r="K648" s="160">
        <v>0.32999999999999996</v>
      </c>
    </row>
    <row r="649" spans="1:11" x14ac:dyDescent="0.3">
      <c r="A649" s="156" t="s">
        <v>887</v>
      </c>
      <c r="B649" s="157" t="s">
        <v>888</v>
      </c>
      <c r="C649" s="157">
        <v>2024</v>
      </c>
      <c r="D649" s="158">
        <v>-81.772613500000006</v>
      </c>
      <c r="E649" s="158">
        <v>33.179042799999998</v>
      </c>
      <c r="F649" s="159">
        <v>5.2</v>
      </c>
      <c r="G649" s="160">
        <v>7.85</v>
      </c>
      <c r="H649" s="161">
        <v>10.1</v>
      </c>
      <c r="I649" s="161">
        <v>38.6</v>
      </c>
      <c r="J649" s="161">
        <v>51.3</v>
      </c>
      <c r="K649" s="160">
        <v>0.79</v>
      </c>
    </row>
    <row r="650" spans="1:11" x14ac:dyDescent="0.3">
      <c r="A650" s="156" t="s">
        <v>887</v>
      </c>
      <c r="B650" s="157" t="s">
        <v>888</v>
      </c>
      <c r="C650" s="157">
        <v>2024</v>
      </c>
      <c r="D650" s="158">
        <v>-81.7272186</v>
      </c>
      <c r="E650" s="158">
        <v>31.094999300000001</v>
      </c>
      <c r="F650" s="159">
        <v>4.5999999999999996</v>
      </c>
      <c r="G650" s="160">
        <v>16.5</v>
      </c>
      <c r="H650" s="161">
        <v>51.2</v>
      </c>
      <c r="I650" s="161">
        <v>14.4</v>
      </c>
      <c r="J650" s="161">
        <v>34.4</v>
      </c>
      <c r="K650" s="160">
        <v>0.13</v>
      </c>
    </row>
    <row r="651" spans="1:11" x14ac:dyDescent="0.3">
      <c r="A651" s="156" t="s">
        <v>887</v>
      </c>
      <c r="B651" s="157" t="s">
        <v>888</v>
      </c>
      <c r="C651" s="157">
        <v>2024</v>
      </c>
      <c r="D651" s="158">
        <v>-80.868331900000001</v>
      </c>
      <c r="E651" s="158">
        <v>36.483890500000001</v>
      </c>
      <c r="F651" s="159">
        <v>4.4000000000000004</v>
      </c>
      <c r="G651" s="160">
        <v>2.2000000000000002</v>
      </c>
      <c r="H651" s="161">
        <v>69.8</v>
      </c>
      <c r="I651" s="161">
        <v>15.8</v>
      </c>
      <c r="J651" s="161">
        <v>14.4</v>
      </c>
      <c r="K651" s="160">
        <v>1.7100000000000002</v>
      </c>
    </row>
    <row r="652" spans="1:11" x14ac:dyDescent="0.3">
      <c r="A652" s="156" t="s">
        <v>887</v>
      </c>
      <c r="B652" s="157" t="s">
        <v>888</v>
      </c>
      <c r="C652" s="157">
        <v>2024</v>
      </c>
      <c r="D652" s="158">
        <v>-80.473960876464801</v>
      </c>
      <c r="E652" s="158">
        <v>36.346469879150298</v>
      </c>
      <c r="F652" s="159">
        <v>5</v>
      </c>
      <c r="G652" s="160">
        <v>1.1499999999999999</v>
      </c>
      <c r="H652" s="161">
        <v>67.2</v>
      </c>
      <c r="I652" s="161">
        <v>17.399999999999999</v>
      </c>
      <c r="J652" s="161">
        <v>15.4</v>
      </c>
      <c r="K652" s="160">
        <v>0.19</v>
      </c>
    </row>
    <row r="653" spans="1:11" x14ac:dyDescent="0.3">
      <c r="A653" s="156" t="s">
        <v>887</v>
      </c>
      <c r="B653" s="157" t="s">
        <v>888</v>
      </c>
      <c r="C653" s="157">
        <v>2024</v>
      </c>
      <c r="D653" s="158">
        <v>-80.385555600000004</v>
      </c>
      <c r="E653" s="158">
        <v>40.203611100000003</v>
      </c>
      <c r="F653" s="159">
        <v>5.9</v>
      </c>
      <c r="G653" s="160">
        <v>9</v>
      </c>
      <c r="H653" s="161">
        <v>39.9</v>
      </c>
      <c r="I653" s="161">
        <v>36.1</v>
      </c>
      <c r="J653" s="161">
        <v>24</v>
      </c>
      <c r="K653" s="160">
        <v>0.59000000000000008</v>
      </c>
    </row>
    <row r="654" spans="1:11" x14ac:dyDescent="0.3">
      <c r="A654" s="156" t="s">
        <v>887</v>
      </c>
      <c r="B654" s="157" t="s">
        <v>888</v>
      </c>
      <c r="C654" s="157">
        <v>2024</v>
      </c>
      <c r="D654" s="158">
        <v>-80.178611099999998</v>
      </c>
      <c r="E654" s="158">
        <v>40.434722200000003</v>
      </c>
      <c r="F654" s="159">
        <v>6.8</v>
      </c>
      <c r="G654" s="160">
        <v>14</v>
      </c>
      <c r="H654" s="161">
        <v>42.7</v>
      </c>
      <c r="I654" s="161">
        <v>32.299999999999997</v>
      </c>
      <c r="J654" s="161">
        <v>25</v>
      </c>
      <c r="K654" s="160">
        <v>0.22999999999999998</v>
      </c>
    </row>
    <row r="655" spans="1:11" x14ac:dyDescent="0.3">
      <c r="A655" s="156" t="s">
        <v>887</v>
      </c>
      <c r="B655" s="157" t="s">
        <v>888</v>
      </c>
      <c r="C655" s="157">
        <v>2024</v>
      </c>
      <c r="D655" s="158">
        <v>-80.095277800000005</v>
      </c>
      <c r="E655" s="158">
        <v>40.9619444</v>
      </c>
      <c r="F655" s="159">
        <v>5</v>
      </c>
      <c r="G655" s="160">
        <v>4</v>
      </c>
      <c r="H655" s="161">
        <v>21.8</v>
      </c>
      <c r="I655" s="161">
        <v>57.7</v>
      </c>
      <c r="J655" s="161">
        <v>20.5</v>
      </c>
      <c r="K655" s="160">
        <v>1.52</v>
      </c>
    </row>
    <row r="656" spans="1:11" x14ac:dyDescent="0.3">
      <c r="A656" s="156" t="s">
        <v>887</v>
      </c>
      <c r="B656" s="157" t="s">
        <v>888</v>
      </c>
      <c r="C656" s="157">
        <v>2024</v>
      </c>
      <c r="D656" s="158">
        <v>-79.936111100000005</v>
      </c>
      <c r="E656" s="158">
        <v>41.8352778</v>
      </c>
      <c r="F656" s="159">
        <v>4.9000000000000004</v>
      </c>
      <c r="G656" s="160">
        <v>4</v>
      </c>
      <c r="H656" s="161">
        <v>68.099999999999994</v>
      </c>
      <c r="I656" s="161">
        <v>17.7</v>
      </c>
      <c r="J656" s="161">
        <v>14.2</v>
      </c>
      <c r="K656" s="160">
        <v>0.15</v>
      </c>
    </row>
    <row r="657" spans="1:11" x14ac:dyDescent="0.3">
      <c r="A657" s="156" t="s">
        <v>887</v>
      </c>
      <c r="B657" s="157" t="s">
        <v>888</v>
      </c>
      <c r="C657" s="157">
        <v>2024</v>
      </c>
      <c r="D657" s="158">
        <v>-79.749771100000004</v>
      </c>
      <c r="E657" s="158">
        <v>36.333416</v>
      </c>
      <c r="F657" s="159">
        <v>4.8499999999999996</v>
      </c>
      <c r="G657" s="160">
        <v>3</v>
      </c>
      <c r="H657" s="161">
        <v>39.1</v>
      </c>
      <c r="I657" s="161">
        <v>34.4</v>
      </c>
      <c r="J657" s="161">
        <v>26.5</v>
      </c>
      <c r="K657" s="160">
        <v>0.12</v>
      </c>
    </row>
    <row r="658" spans="1:11" x14ac:dyDescent="0.3">
      <c r="A658" s="156" t="s">
        <v>887</v>
      </c>
      <c r="B658" s="157" t="s">
        <v>888</v>
      </c>
      <c r="C658" s="157">
        <v>2024</v>
      </c>
      <c r="D658" s="158">
        <v>-79.322219799999999</v>
      </c>
      <c r="E658" s="158">
        <v>38.5583344</v>
      </c>
      <c r="F658" s="159">
        <v>4.9000000000000004</v>
      </c>
      <c r="G658" s="160">
        <v>2.0499999999999998</v>
      </c>
      <c r="H658" s="161">
        <v>61.2</v>
      </c>
      <c r="I658" s="161">
        <v>34.200000000000003</v>
      </c>
      <c r="J658" s="161">
        <v>4.5999999999999996</v>
      </c>
      <c r="K658" s="160">
        <v>2.44</v>
      </c>
    </row>
    <row r="659" spans="1:11" x14ac:dyDescent="0.3">
      <c r="A659" s="156" t="s">
        <v>887</v>
      </c>
      <c r="B659" s="157" t="s">
        <v>888</v>
      </c>
      <c r="C659" s="157">
        <v>2024</v>
      </c>
      <c r="D659" s="158">
        <v>-79.249755899999997</v>
      </c>
      <c r="E659" s="158">
        <v>35.500095399999999</v>
      </c>
      <c r="F659" s="159">
        <v>5</v>
      </c>
      <c r="G659" s="160">
        <v>3.3</v>
      </c>
      <c r="H659" s="161">
        <v>30.1</v>
      </c>
      <c r="I659" s="161">
        <v>65.400000000000006</v>
      </c>
      <c r="J659" s="161">
        <v>4.5</v>
      </c>
      <c r="K659" s="160">
        <v>1.53</v>
      </c>
    </row>
    <row r="660" spans="1:11" x14ac:dyDescent="0.3">
      <c r="A660" s="156" t="s">
        <v>887</v>
      </c>
      <c r="B660" s="157" t="s">
        <v>888</v>
      </c>
      <c r="C660" s="157">
        <v>2024</v>
      </c>
      <c r="D660" s="158">
        <v>-79.144999999999996</v>
      </c>
      <c r="E660" s="158">
        <v>41.996666699999999</v>
      </c>
      <c r="F660" s="159">
        <v>6.2</v>
      </c>
      <c r="G660" s="160">
        <v>7</v>
      </c>
      <c r="H660" s="161">
        <v>11.2</v>
      </c>
      <c r="I660" s="161">
        <v>65.900000000000006</v>
      </c>
      <c r="J660" s="161">
        <v>22.9</v>
      </c>
      <c r="K660" s="160">
        <v>1.22</v>
      </c>
    </row>
    <row r="661" spans="1:11" x14ac:dyDescent="0.3">
      <c r="A661" s="156" t="s">
        <v>887</v>
      </c>
      <c r="B661" s="157" t="s">
        <v>888</v>
      </c>
      <c r="C661" s="157">
        <v>2024</v>
      </c>
      <c r="D661" s="158">
        <v>-78.644444444444403</v>
      </c>
      <c r="E661" s="158">
        <v>-0.53333333333333299</v>
      </c>
      <c r="F661" s="159">
        <v>6.7</v>
      </c>
      <c r="G661" s="160">
        <v>4.0999999999999996</v>
      </c>
      <c r="H661" s="161">
        <v>44.3</v>
      </c>
      <c r="I661" s="161">
        <v>45</v>
      </c>
      <c r="J661" s="161">
        <v>10.8</v>
      </c>
      <c r="K661" s="160">
        <v>2.8</v>
      </c>
    </row>
    <row r="662" spans="1:11" x14ac:dyDescent="0.3">
      <c r="A662" s="156" t="s">
        <v>887</v>
      </c>
      <c r="B662" s="157" t="s">
        <v>888</v>
      </c>
      <c r="C662" s="157">
        <v>2024</v>
      </c>
      <c r="D662" s="158">
        <v>-78.591666700000005</v>
      </c>
      <c r="E662" s="158">
        <v>40.013888899999998</v>
      </c>
      <c r="F662" s="159">
        <v>4.9000000000000004</v>
      </c>
      <c r="G662" s="160">
        <v>4</v>
      </c>
      <c r="H662" s="161">
        <v>50.2</v>
      </c>
      <c r="I662" s="161">
        <v>32.1</v>
      </c>
      <c r="J662" s="161">
        <v>17.7</v>
      </c>
      <c r="K662" s="160">
        <v>0.13</v>
      </c>
    </row>
    <row r="663" spans="1:11" x14ac:dyDescent="0.3">
      <c r="A663" s="156" t="s">
        <v>887</v>
      </c>
      <c r="B663" s="157" t="s">
        <v>888</v>
      </c>
      <c r="C663" s="157">
        <v>2024</v>
      </c>
      <c r="D663" s="158">
        <v>-78.565559387207003</v>
      </c>
      <c r="E663" s="158">
        <v>35.442783355712798</v>
      </c>
      <c r="F663" s="159">
        <v>4.8</v>
      </c>
      <c r="G663" s="160">
        <v>0.9</v>
      </c>
      <c r="H663" s="161">
        <v>52.8</v>
      </c>
      <c r="I663" s="161">
        <v>8.9</v>
      </c>
      <c r="J663" s="161">
        <v>38.299999999999997</v>
      </c>
      <c r="K663" s="160">
        <v>0.08</v>
      </c>
    </row>
    <row r="664" spans="1:11" x14ac:dyDescent="0.3">
      <c r="A664" s="156" t="s">
        <v>887</v>
      </c>
      <c r="B664" s="157" t="s">
        <v>888</v>
      </c>
      <c r="C664" s="157">
        <v>2024</v>
      </c>
      <c r="D664" s="158">
        <v>-78.477500899999995</v>
      </c>
      <c r="E664" s="158">
        <v>42.2291679</v>
      </c>
      <c r="F664" s="159">
        <v>4.5999999999999996</v>
      </c>
      <c r="G664" s="160">
        <v>8.3000000000000007</v>
      </c>
      <c r="H664" s="161">
        <v>15.6</v>
      </c>
      <c r="I664" s="161">
        <v>63.3</v>
      </c>
      <c r="J664" s="161">
        <v>21.1</v>
      </c>
      <c r="K664" s="160">
        <v>0.85</v>
      </c>
    </row>
    <row r="665" spans="1:11" x14ac:dyDescent="0.3">
      <c r="A665" s="156" t="s">
        <v>887</v>
      </c>
      <c r="B665" s="157" t="s">
        <v>888</v>
      </c>
      <c r="C665" s="157">
        <v>2024</v>
      </c>
      <c r="D665" s="158">
        <v>-78.161944399999996</v>
      </c>
      <c r="E665" s="158">
        <v>40.960555599999999</v>
      </c>
      <c r="F665" s="159">
        <v>5.0999999999999996</v>
      </c>
      <c r="G665" s="160">
        <v>2</v>
      </c>
      <c r="H665" s="161">
        <v>90.5</v>
      </c>
      <c r="I665" s="161">
        <v>6.3</v>
      </c>
      <c r="J665" s="161">
        <v>3.2</v>
      </c>
      <c r="K665" s="160">
        <v>0.21000000000000002</v>
      </c>
    </row>
    <row r="666" spans="1:11" x14ac:dyDescent="0.3">
      <c r="A666" s="156" t="s">
        <v>887</v>
      </c>
      <c r="B666" s="157" t="s">
        <v>888</v>
      </c>
      <c r="C666" s="157">
        <v>2024</v>
      </c>
      <c r="D666" s="158">
        <v>-78.149711600000003</v>
      </c>
      <c r="E666" s="158">
        <v>37.975048100000002</v>
      </c>
      <c r="F666" s="159">
        <v>6.3</v>
      </c>
      <c r="G666" s="160">
        <v>5.65</v>
      </c>
      <c r="H666" s="161">
        <v>9.3000000000000007</v>
      </c>
      <c r="I666" s="161">
        <v>21.2</v>
      </c>
      <c r="J666" s="161">
        <v>69.5</v>
      </c>
      <c r="K666" s="160">
        <v>0.01</v>
      </c>
    </row>
    <row r="667" spans="1:11" x14ac:dyDescent="0.3">
      <c r="A667" s="156" t="s">
        <v>887</v>
      </c>
      <c r="B667" s="157" t="s">
        <v>888</v>
      </c>
      <c r="C667" s="157">
        <v>2024</v>
      </c>
      <c r="D667" s="158">
        <v>-78.008049</v>
      </c>
      <c r="E667" s="158">
        <v>37.544502299999998</v>
      </c>
      <c r="F667" s="159">
        <v>4.9000000000000004</v>
      </c>
      <c r="G667" s="160">
        <v>3.95</v>
      </c>
      <c r="H667" s="161">
        <v>70.099999999999994</v>
      </c>
      <c r="I667" s="161">
        <v>23.4</v>
      </c>
      <c r="J667" s="161">
        <v>6.5</v>
      </c>
      <c r="K667" s="160">
        <v>0.04</v>
      </c>
    </row>
    <row r="668" spans="1:11" x14ac:dyDescent="0.3">
      <c r="A668" s="156" t="s">
        <v>887</v>
      </c>
      <c r="B668" s="157" t="s">
        <v>888</v>
      </c>
      <c r="C668" s="157">
        <v>2024</v>
      </c>
      <c r="D668" s="158">
        <v>-77.799705500000002</v>
      </c>
      <c r="E668" s="158">
        <v>38.325042699999997</v>
      </c>
      <c r="F668" s="159">
        <v>4.4000000000000004</v>
      </c>
      <c r="G668" s="160">
        <v>7.3</v>
      </c>
      <c r="H668" s="161">
        <v>33.4</v>
      </c>
      <c r="I668" s="161">
        <v>56.5</v>
      </c>
      <c r="J668" s="161">
        <v>10.1</v>
      </c>
      <c r="K668" s="160">
        <v>3.5799999999999996</v>
      </c>
    </row>
    <row r="669" spans="1:11" x14ac:dyDescent="0.3">
      <c r="A669" s="156" t="s">
        <v>887</v>
      </c>
      <c r="B669" s="157" t="s">
        <v>888</v>
      </c>
      <c r="C669" s="157">
        <v>2024</v>
      </c>
      <c r="D669" s="158">
        <v>-77.615036000000003</v>
      </c>
      <c r="E669" s="158">
        <v>36.545509299999999</v>
      </c>
      <c r="F669" s="159">
        <v>5.3</v>
      </c>
      <c r="G669" s="160">
        <v>4</v>
      </c>
      <c r="H669" s="161">
        <v>52.6</v>
      </c>
      <c r="I669" s="161">
        <v>16.3</v>
      </c>
      <c r="J669" s="161">
        <v>31.1</v>
      </c>
      <c r="K669" s="160">
        <v>0.04</v>
      </c>
    </row>
    <row r="670" spans="1:11" x14ac:dyDescent="0.3">
      <c r="A670" s="156" t="s">
        <v>887</v>
      </c>
      <c r="B670" s="157" t="s">
        <v>888</v>
      </c>
      <c r="C670" s="157">
        <v>2024</v>
      </c>
      <c r="D670" s="158">
        <v>-77.482777799999994</v>
      </c>
      <c r="E670" s="158">
        <v>41.5266667</v>
      </c>
      <c r="F670" s="159">
        <v>4.4000000000000004</v>
      </c>
      <c r="G670" s="160">
        <v>2</v>
      </c>
      <c r="H670" s="161">
        <v>61.4</v>
      </c>
      <c r="I670" s="161">
        <v>25.3</v>
      </c>
      <c r="J670" s="161">
        <v>13.3</v>
      </c>
      <c r="K670" s="160">
        <v>1</v>
      </c>
    </row>
    <row r="671" spans="1:11" x14ac:dyDescent="0.3">
      <c r="A671" s="156" t="s">
        <v>887</v>
      </c>
      <c r="B671" s="157" t="s">
        <v>888</v>
      </c>
      <c r="C671" s="157">
        <v>2024</v>
      </c>
      <c r="D671" s="158">
        <v>-77.268888899999993</v>
      </c>
      <c r="E671" s="158">
        <v>41.190277799999997</v>
      </c>
      <c r="F671" s="159">
        <v>4.7</v>
      </c>
      <c r="G671" s="160">
        <v>5</v>
      </c>
      <c r="H671" s="161">
        <v>19.399999999999999</v>
      </c>
      <c r="I671" s="161">
        <v>59.3</v>
      </c>
      <c r="J671" s="161">
        <v>21.3</v>
      </c>
      <c r="K671" s="160">
        <v>0.1</v>
      </c>
    </row>
    <row r="672" spans="1:11" x14ac:dyDescent="0.3">
      <c r="A672" s="156" t="s">
        <v>887</v>
      </c>
      <c r="B672" s="157" t="s">
        <v>888</v>
      </c>
      <c r="C672" s="157">
        <v>2024</v>
      </c>
      <c r="D672" s="158">
        <v>-77.191666699999999</v>
      </c>
      <c r="E672" s="158">
        <v>40.809722200000003</v>
      </c>
      <c r="F672" s="159">
        <v>6.3</v>
      </c>
      <c r="G672" s="160">
        <v>4</v>
      </c>
      <c r="H672" s="161">
        <v>19.600000000000001</v>
      </c>
      <c r="I672" s="161">
        <v>36</v>
      </c>
      <c r="J672" s="161">
        <v>44.4</v>
      </c>
      <c r="K672" s="160">
        <v>0.41</v>
      </c>
    </row>
    <row r="673" spans="1:11" x14ac:dyDescent="0.3">
      <c r="A673" s="156" t="s">
        <v>887</v>
      </c>
      <c r="B673" s="157" t="s">
        <v>888</v>
      </c>
      <c r="C673" s="157">
        <v>2024</v>
      </c>
      <c r="D673" s="158">
        <v>-77.100833300000005</v>
      </c>
      <c r="E673" s="158">
        <v>40.585000000000001</v>
      </c>
      <c r="F673" s="159">
        <v>6.4</v>
      </c>
      <c r="G673" s="160">
        <v>13</v>
      </c>
      <c r="H673" s="161">
        <v>29.4</v>
      </c>
      <c r="I673" s="161">
        <v>28</v>
      </c>
      <c r="J673" s="161">
        <v>42.6</v>
      </c>
      <c r="K673" s="160">
        <v>0.11000000000000001</v>
      </c>
    </row>
    <row r="674" spans="1:11" x14ac:dyDescent="0.3">
      <c r="A674" s="156" t="s">
        <v>887</v>
      </c>
      <c r="B674" s="157" t="s">
        <v>888</v>
      </c>
      <c r="C674" s="157">
        <v>2024</v>
      </c>
      <c r="D674" s="158">
        <v>-77.052499999999995</v>
      </c>
      <c r="E674" s="158">
        <v>40.591111099999999</v>
      </c>
      <c r="F674" s="159">
        <v>5.4</v>
      </c>
      <c r="G674" s="160">
        <v>8</v>
      </c>
      <c r="H674" s="161">
        <v>16.8</v>
      </c>
      <c r="I674" s="161">
        <v>47.9</v>
      </c>
      <c r="J674" s="161">
        <v>35.299999999999997</v>
      </c>
      <c r="K674" s="160">
        <v>0.25</v>
      </c>
    </row>
    <row r="675" spans="1:11" x14ac:dyDescent="0.3">
      <c r="A675" s="156" t="s">
        <v>887</v>
      </c>
      <c r="B675" s="157" t="s">
        <v>888</v>
      </c>
      <c r="C675" s="157">
        <v>2024</v>
      </c>
      <c r="D675" s="158">
        <v>-77.050788900000001</v>
      </c>
      <c r="E675" s="158">
        <v>38.969200100000002</v>
      </c>
      <c r="F675" s="159">
        <v>4.7</v>
      </c>
      <c r="G675" s="160">
        <v>4.7</v>
      </c>
      <c r="H675" s="161">
        <v>43.2</v>
      </c>
      <c r="I675" s="161">
        <v>35.299999999999997</v>
      </c>
      <c r="J675" s="161">
        <v>21.5</v>
      </c>
      <c r="K675" s="160">
        <v>0.21000000000000002</v>
      </c>
    </row>
    <row r="676" spans="1:11" x14ac:dyDescent="0.3">
      <c r="A676" s="156" t="s">
        <v>887</v>
      </c>
      <c r="B676" s="157" t="s">
        <v>888</v>
      </c>
      <c r="C676" s="157">
        <v>2024</v>
      </c>
      <c r="D676" s="158">
        <v>-76.966944400000003</v>
      </c>
      <c r="E676" s="158">
        <v>40.927222200000003</v>
      </c>
      <c r="F676" s="159">
        <v>6.5</v>
      </c>
      <c r="G676" s="160">
        <v>7</v>
      </c>
      <c r="H676" s="161">
        <v>11.7</v>
      </c>
      <c r="I676" s="161">
        <v>52.7</v>
      </c>
      <c r="J676" s="161">
        <v>35.6</v>
      </c>
      <c r="K676" s="160">
        <v>0.27999999999999997</v>
      </c>
    </row>
    <row r="677" spans="1:11" x14ac:dyDescent="0.3">
      <c r="A677" s="156" t="s">
        <v>887</v>
      </c>
      <c r="B677" s="157" t="s">
        <v>888</v>
      </c>
      <c r="C677" s="157">
        <v>2024</v>
      </c>
      <c r="D677" s="158">
        <v>-76.929166699999996</v>
      </c>
      <c r="E677" s="158">
        <v>40.943888899999997</v>
      </c>
      <c r="F677" s="159">
        <v>5.6</v>
      </c>
      <c r="G677" s="160">
        <v>5</v>
      </c>
      <c r="H677" s="161">
        <v>55.6</v>
      </c>
      <c r="I677" s="161">
        <v>20</v>
      </c>
      <c r="J677" s="161">
        <v>24.4</v>
      </c>
      <c r="K677" s="160">
        <v>0.13999999999999999</v>
      </c>
    </row>
    <row r="678" spans="1:11" x14ac:dyDescent="0.3">
      <c r="A678" s="156" t="s">
        <v>887</v>
      </c>
      <c r="B678" s="157" t="s">
        <v>888</v>
      </c>
      <c r="C678" s="157">
        <v>2024</v>
      </c>
      <c r="D678" s="158">
        <v>-76.832499999999996</v>
      </c>
      <c r="E678" s="158">
        <v>41.178888899999997</v>
      </c>
      <c r="F678" s="159">
        <v>4.7</v>
      </c>
      <c r="G678" s="160">
        <v>2</v>
      </c>
      <c r="H678" s="161">
        <v>92.8</v>
      </c>
      <c r="I678" s="161">
        <v>5</v>
      </c>
      <c r="J678" s="161">
        <v>2.2000000000000002</v>
      </c>
      <c r="K678" s="160">
        <v>0.09</v>
      </c>
    </row>
    <row r="679" spans="1:11" x14ac:dyDescent="0.3">
      <c r="A679" s="156" t="s">
        <v>887</v>
      </c>
      <c r="B679" s="157" t="s">
        <v>888</v>
      </c>
      <c r="C679" s="157">
        <v>2024</v>
      </c>
      <c r="D679" s="158">
        <v>-76.545000000000002</v>
      </c>
      <c r="E679" s="158">
        <v>40.628611100000001</v>
      </c>
      <c r="F679" s="159">
        <v>4.8</v>
      </c>
      <c r="G679" s="160">
        <v>4</v>
      </c>
      <c r="H679" s="161">
        <v>38.9</v>
      </c>
      <c r="I679" s="161">
        <v>39.299999999999997</v>
      </c>
      <c r="J679" s="161">
        <v>21.8</v>
      </c>
      <c r="K679" s="160">
        <v>0.04</v>
      </c>
    </row>
    <row r="680" spans="1:11" x14ac:dyDescent="0.3">
      <c r="A680" s="156" t="s">
        <v>887</v>
      </c>
      <c r="B680" s="157" t="s">
        <v>888</v>
      </c>
      <c r="C680" s="157">
        <v>2024</v>
      </c>
      <c r="D680" s="158">
        <v>-76.308333300000001</v>
      </c>
      <c r="E680" s="158">
        <v>40.2972222</v>
      </c>
      <c r="F680" s="159">
        <v>4.4000000000000004</v>
      </c>
      <c r="G680" s="160">
        <v>4</v>
      </c>
      <c r="H680" s="161">
        <v>24.9</v>
      </c>
      <c r="I680" s="161">
        <v>59.1</v>
      </c>
      <c r="J680" s="161">
        <v>23.6</v>
      </c>
      <c r="K680" s="160">
        <v>0.01</v>
      </c>
    </row>
    <row r="681" spans="1:11" x14ac:dyDescent="0.3">
      <c r="A681" s="156" t="s">
        <v>887</v>
      </c>
      <c r="B681" s="157" t="s">
        <v>888</v>
      </c>
      <c r="C681" s="157">
        <v>2024</v>
      </c>
      <c r="D681" s="158">
        <v>-76.291111099999995</v>
      </c>
      <c r="E681" s="158">
        <v>39.913333299999998</v>
      </c>
      <c r="F681" s="159">
        <v>5.4</v>
      </c>
      <c r="G681" s="160">
        <v>1</v>
      </c>
      <c r="H681" s="161">
        <v>79.2</v>
      </c>
      <c r="I681" s="161">
        <v>18.399999999999999</v>
      </c>
      <c r="J681" s="161">
        <v>2.4</v>
      </c>
      <c r="K681" s="160">
        <v>0.04</v>
      </c>
    </row>
    <row r="682" spans="1:11" x14ac:dyDescent="0.3">
      <c r="A682" s="156" t="s">
        <v>887</v>
      </c>
      <c r="B682" s="157" t="s">
        <v>888</v>
      </c>
      <c r="C682" s="157">
        <v>2024</v>
      </c>
      <c r="D682" s="158">
        <v>-75.744735700000007</v>
      </c>
      <c r="E682" s="158">
        <v>37.747829400000001</v>
      </c>
      <c r="F682" s="159">
        <v>4.7</v>
      </c>
      <c r="G682" s="160">
        <v>5</v>
      </c>
      <c r="H682" s="161">
        <v>81</v>
      </c>
      <c r="I682" s="161">
        <v>7.7</v>
      </c>
      <c r="J682" s="161">
        <v>11.3</v>
      </c>
      <c r="K682" s="160">
        <v>0.7</v>
      </c>
    </row>
    <row r="683" spans="1:11" x14ac:dyDescent="0.3">
      <c r="A683" s="156" t="s">
        <v>887</v>
      </c>
      <c r="B683" s="157" t="s">
        <v>888</v>
      </c>
      <c r="C683" s="157">
        <v>2024</v>
      </c>
      <c r="D683" s="158">
        <v>-75.7102778</v>
      </c>
      <c r="E683" s="158">
        <v>41.599166699999998</v>
      </c>
      <c r="F683" s="159">
        <v>5.6</v>
      </c>
      <c r="G683" s="160">
        <v>11</v>
      </c>
      <c r="H683" s="161">
        <v>37.200000000000003</v>
      </c>
      <c r="I683" s="161">
        <v>34.9</v>
      </c>
      <c r="J683" s="161">
        <v>27.9</v>
      </c>
      <c r="K683" s="160">
        <v>0.21000000000000002</v>
      </c>
    </row>
    <row r="684" spans="1:11" x14ac:dyDescent="0.3">
      <c r="A684" s="156" t="s">
        <v>887</v>
      </c>
      <c r="B684" s="157" t="s">
        <v>888</v>
      </c>
      <c r="C684" s="157">
        <v>2024</v>
      </c>
      <c r="D684" s="158">
        <v>-75.684166700000006</v>
      </c>
      <c r="E684" s="158">
        <v>41.540555599999998</v>
      </c>
      <c r="F684" s="159">
        <v>5.6</v>
      </c>
      <c r="G684" s="160">
        <v>5</v>
      </c>
      <c r="H684" s="161">
        <v>40.299999999999997</v>
      </c>
      <c r="I684" s="161">
        <v>43.7</v>
      </c>
      <c r="J684" s="161">
        <v>16</v>
      </c>
      <c r="K684" s="160">
        <v>2.0300000000000002</v>
      </c>
    </row>
    <row r="685" spans="1:11" x14ac:dyDescent="0.3">
      <c r="A685" s="156" t="s">
        <v>887</v>
      </c>
      <c r="B685" s="157" t="s">
        <v>888</v>
      </c>
      <c r="C685" s="157">
        <v>2024</v>
      </c>
      <c r="D685" s="158">
        <v>-75.649627699999996</v>
      </c>
      <c r="E685" s="158">
        <v>39.540019999999998</v>
      </c>
      <c r="F685" s="159">
        <v>5.3</v>
      </c>
      <c r="G685" s="160">
        <v>4</v>
      </c>
      <c r="H685" s="161">
        <v>6.9</v>
      </c>
      <c r="I685" s="161">
        <v>78</v>
      </c>
      <c r="J685" s="161">
        <v>15.1</v>
      </c>
      <c r="K685" s="160">
        <v>0.04</v>
      </c>
    </row>
    <row r="686" spans="1:11" x14ac:dyDescent="0.3">
      <c r="A686" s="156" t="s">
        <v>887</v>
      </c>
      <c r="B686" s="157" t="s">
        <v>888</v>
      </c>
      <c r="C686" s="157">
        <v>2024</v>
      </c>
      <c r="D686" s="158">
        <v>-75.644401599999995</v>
      </c>
      <c r="E686" s="158">
        <v>37.814891799999998</v>
      </c>
      <c r="F686" s="159">
        <v>4.5999999999999996</v>
      </c>
      <c r="G686" s="160">
        <v>1</v>
      </c>
      <c r="H686" s="161">
        <v>55.5</v>
      </c>
      <c r="I686" s="161">
        <v>24</v>
      </c>
      <c r="J686" s="161">
        <v>20.5</v>
      </c>
      <c r="K686" s="160">
        <v>0</v>
      </c>
    </row>
    <row r="687" spans="1:11" x14ac:dyDescent="0.3">
      <c r="A687" s="156" t="s">
        <v>887</v>
      </c>
      <c r="B687" s="157" t="s">
        <v>888</v>
      </c>
      <c r="C687" s="157">
        <v>2024</v>
      </c>
      <c r="D687" s="158">
        <v>-75.626388500000004</v>
      </c>
      <c r="E687" s="158">
        <v>39.657222699999998</v>
      </c>
      <c r="F687" s="159">
        <v>4.9000000000000004</v>
      </c>
      <c r="G687" s="160">
        <v>7.15</v>
      </c>
      <c r="H687" s="161">
        <v>20.2</v>
      </c>
      <c r="I687" s="161">
        <v>63.4</v>
      </c>
      <c r="J687" s="161">
        <v>16.399999999999999</v>
      </c>
      <c r="K687" s="160">
        <v>1.1499999999999999</v>
      </c>
    </row>
    <row r="688" spans="1:11" x14ac:dyDescent="0.3">
      <c r="A688" s="156" t="s">
        <v>887</v>
      </c>
      <c r="B688" s="157" t="s">
        <v>888</v>
      </c>
      <c r="C688" s="157">
        <v>2024</v>
      </c>
      <c r="D688" s="158">
        <v>-75.531883199999996</v>
      </c>
      <c r="E688" s="158">
        <v>37.846012100000003</v>
      </c>
      <c r="F688" s="159">
        <v>5.6</v>
      </c>
      <c r="G688" s="160">
        <v>2</v>
      </c>
      <c r="H688" s="161">
        <v>78</v>
      </c>
      <c r="I688" s="161">
        <v>11.6</v>
      </c>
      <c r="J688" s="161">
        <v>10.4</v>
      </c>
      <c r="K688" s="160">
        <v>0</v>
      </c>
    </row>
    <row r="689" spans="1:11" x14ac:dyDescent="0.3">
      <c r="A689" s="156" t="s">
        <v>887</v>
      </c>
      <c r="B689" s="157" t="s">
        <v>888</v>
      </c>
      <c r="C689" s="157">
        <v>2024</v>
      </c>
      <c r="D689" s="158">
        <v>-75.507222200000001</v>
      </c>
      <c r="E689" s="158">
        <v>41.393611100000001</v>
      </c>
      <c r="F689" s="159">
        <v>4</v>
      </c>
      <c r="G689" s="160">
        <v>6</v>
      </c>
      <c r="H689" s="161">
        <v>38.4</v>
      </c>
      <c r="I689" s="161">
        <v>51.5</v>
      </c>
      <c r="J689" s="161">
        <v>10.1</v>
      </c>
      <c r="K689" s="160">
        <v>2.41</v>
      </c>
    </row>
    <row r="690" spans="1:11" x14ac:dyDescent="0.3">
      <c r="A690" s="156" t="s">
        <v>887</v>
      </c>
      <c r="B690" s="157" t="s">
        <v>888</v>
      </c>
      <c r="C690" s="157">
        <v>2024</v>
      </c>
      <c r="D690" s="158">
        <v>-75.494499200000007</v>
      </c>
      <c r="E690" s="158">
        <v>37.975223499999998</v>
      </c>
      <c r="F690" s="159">
        <v>5.6</v>
      </c>
      <c r="G690" s="160">
        <v>3</v>
      </c>
      <c r="H690" s="161">
        <v>55.7</v>
      </c>
      <c r="I690" s="161">
        <v>32.1</v>
      </c>
      <c r="J690" s="161">
        <v>12.2</v>
      </c>
      <c r="K690" s="160">
        <v>0</v>
      </c>
    </row>
    <row r="691" spans="1:11" x14ac:dyDescent="0.3">
      <c r="A691" s="156" t="s">
        <v>887</v>
      </c>
      <c r="B691" s="157" t="s">
        <v>888</v>
      </c>
      <c r="C691" s="157">
        <v>2024</v>
      </c>
      <c r="D691" s="158">
        <v>-75.262222199999997</v>
      </c>
      <c r="E691" s="158">
        <v>40.923055599999998</v>
      </c>
      <c r="F691" s="159">
        <v>5.5</v>
      </c>
      <c r="G691" s="160">
        <v>4</v>
      </c>
      <c r="H691" s="161">
        <v>15.9</v>
      </c>
      <c r="I691" s="161">
        <v>65.400000000000006</v>
      </c>
      <c r="J691" s="161">
        <v>18.7</v>
      </c>
      <c r="K691" s="160">
        <v>0.16</v>
      </c>
    </row>
    <row r="692" spans="1:11" x14ac:dyDescent="0.3">
      <c r="A692" s="156" t="s">
        <v>887</v>
      </c>
      <c r="B692" s="157" t="s">
        <v>888</v>
      </c>
      <c r="C692" s="157">
        <v>2024</v>
      </c>
      <c r="D692" s="158">
        <v>-74.913333300000005</v>
      </c>
      <c r="E692" s="158">
        <v>40.2577778</v>
      </c>
      <c r="F692" s="159">
        <v>5.5</v>
      </c>
      <c r="G692" s="160">
        <v>8</v>
      </c>
      <c r="H692" s="161">
        <v>4.5</v>
      </c>
      <c r="I692" s="161">
        <v>73.7</v>
      </c>
      <c r="J692" s="161">
        <v>21.8</v>
      </c>
      <c r="K692" s="160">
        <v>1.2</v>
      </c>
    </row>
    <row r="693" spans="1:11" x14ac:dyDescent="0.3">
      <c r="A693" s="156" t="s">
        <v>887</v>
      </c>
      <c r="B693" s="157" t="s">
        <v>888</v>
      </c>
      <c r="C693" s="157">
        <v>2024</v>
      </c>
      <c r="D693" s="158">
        <v>-74.752220199999996</v>
      </c>
      <c r="E693" s="158">
        <v>42.935554500000002</v>
      </c>
      <c r="F693" s="159">
        <v>7.5</v>
      </c>
      <c r="G693" s="160">
        <v>7.05</v>
      </c>
      <c r="H693" s="161">
        <v>20.6</v>
      </c>
      <c r="I693" s="161">
        <v>57.3</v>
      </c>
      <c r="J693" s="161">
        <v>22.1</v>
      </c>
      <c r="K693" s="160">
        <v>0.21000000000000002</v>
      </c>
    </row>
    <row r="694" spans="1:11" x14ac:dyDescent="0.3">
      <c r="A694" s="156" t="s">
        <v>887</v>
      </c>
      <c r="B694" s="157" t="s">
        <v>888</v>
      </c>
      <c r="C694" s="157">
        <v>2024</v>
      </c>
      <c r="D694" s="158">
        <v>-74.612777699999995</v>
      </c>
      <c r="E694" s="158">
        <v>40.094444299999999</v>
      </c>
      <c r="F694" s="159">
        <v>4.7</v>
      </c>
      <c r="G694" s="160">
        <v>6.95</v>
      </c>
      <c r="H694" s="161">
        <v>78</v>
      </c>
      <c r="I694" s="161">
        <v>3.1</v>
      </c>
      <c r="J694" s="161">
        <v>18.899999999999999</v>
      </c>
      <c r="K694" s="160">
        <v>0.09</v>
      </c>
    </row>
    <row r="695" spans="1:11" x14ac:dyDescent="0.3">
      <c r="A695" s="156" t="s">
        <v>887</v>
      </c>
      <c r="B695" s="157" t="s">
        <v>888</v>
      </c>
      <c r="C695" s="157">
        <v>2024</v>
      </c>
      <c r="D695" s="158">
        <v>-74.316666666666706</v>
      </c>
      <c r="E695" s="158">
        <v>-7.65</v>
      </c>
      <c r="F695" s="159">
        <v>4.8</v>
      </c>
      <c r="G695" s="160">
        <v>6.6</v>
      </c>
      <c r="H695" s="161">
        <v>40</v>
      </c>
      <c r="I695" s="161">
        <v>20</v>
      </c>
      <c r="J695" s="161">
        <v>40</v>
      </c>
      <c r="K695" s="160">
        <v>0.2</v>
      </c>
    </row>
    <row r="696" spans="1:11" x14ac:dyDescent="0.3">
      <c r="A696" s="156" t="s">
        <v>887</v>
      </c>
      <c r="B696" s="157" t="s">
        <v>888</v>
      </c>
      <c r="C696" s="157">
        <v>2024</v>
      </c>
      <c r="D696" s="158">
        <v>-74.157363899999993</v>
      </c>
      <c r="E696" s="158">
        <v>40.573387099999998</v>
      </c>
      <c r="F696" s="159">
        <v>4.8</v>
      </c>
      <c r="G696" s="160">
        <v>2.4</v>
      </c>
      <c r="H696" s="161">
        <v>63.7</v>
      </c>
      <c r="I696" s="161">
        <v>27.3</v>
      </c>
      <c r="J696" s="161">
        <v>9</v>
      </c>
      <c r="K696" s="160">
        <v>0.03</v>
      </c>
    </row>
    <row r="697" spans="1:11" x14ac:dyDescent="0.3">
      <c r="A697" s="156" t="s">
        <v>887</v>
      </c>
      <c r="B697" s="157" t="s">
        <v>888</v>
      </c>
      <c r="C697" s="157">
        <v>2024</v>
      </c>
      <c r="D697" s="158">
        <v>-73.379447900000002</v>
      </c>
      <c r="E697" s="158">
        <v>43.701389300000002</v>
      </c>
      <c r="F697" s="159">
        <v>4.9000000000000004</v>
      </c>
      <c r="G697" s="160">
        <v>14</v>
      </c>
      <c r="H697" s="161">
        <v>4.4000000000000004</v>
      </c>
      <c r="I697" s="161">
        <v>56.2</v>
      </c>
      <c r="J697" s="161">
        <v>39.4</v>
      </c>
      <c r="K697" s="160">
        <v>3.02</v>
      </c>
    </row>
    <row r="698" spans="1:11" x14ac:dyDescent="0.3">
      <c r="A698" s="156" t="s">
        <v>887</v>
      </c>
      <c r="B698" s="157" t="s">
        <v>888</v>
      </c>
      <c r="C698" s="157">
        <v>2024</v>
      </c>
      <c r="D698" s="158">
        <v>-73.283333333333303</v>
      </c>
      <c r="E698" s="158">
        <v>-3.85</v>
      </c>
      <c r="F698" s="159">
        <v>4.4000000000000004</v>
      </c>
      <c r="G698" s="160">
        <v>0.6</v>
      </c>
      <c r="H698" s="161">
        <v>90</v>
      </c>
      <c r="I698" s="161">
        <v>9</v>
      </c>
      <c r="J698" s="161">
        <v>1</v>
      </c>
      <c r="K698" s="160">
        <v>0.43</v>
      </c>
    </row>
    <row r="699" spans="1:11" x14ac:dyDescent="0.3">
      <c r="A699" s="156" t="s">
        <v>887</v>
      </c>
      <c r="B699" s="157" t="s">
        <v>888</v>
      </c>
      <c r="C699" s="157">
        <v>2024</v>
      </c>
      <c r="D699" s="158">
        <v>-73.083299999999994</v>
      </c>
      <c r="E699" s="158">
        <v>-8.6166999999999998</v>
      </c>
      <c r="F699" s="159">
        <v>5.3</v>
      </c>
      <c r="G699" s="160">
        <v>33.6</v>
      </c>
      <c r="H699" s="161">
        <v>15</v>
      </c>
      <c r="I699" s="161">
        <v>30</v>
      </c>
      <c r="J699" s="161">
        <v>55</v>
      </c>
      <c r="K699" s="160">
        <v>0.62</v>
      </c>
    </row>
    <row r="700" spans="1:11" x14ac:dyDescent="0.3">
      <c r="A700" s="156" t="s">
        <v>887</v>
      </c>
      <c r="B700" s="157" t="s">
        <v>888</v>
      </c>
      <c r="C700" s="157">
        <v>2024</v>
      </c>
      <c r="D700" s="158">
        <v>-73.029403700000003</v>
      </c>
      <c r="E700" s="158">
        <v>-41.4937325</v>
      </c>
      <c r="F700" s="159">
        <v>5.9</v>
      </c>
      <c r="G700" s="160">
        <v>1.9</v>
      </c>
      <c r="H700" s="161">
        <v>80.099999999999994</v>
      </c>
      <c r="I700" s="161">
        <v>19.899999999999999</v>
      </c>
      <c r="J700" s="161">
        <v>0</v>
      </c>
      <c r="K700" s="160">
        <v>4.59</v>
      </c>
    </row>
    <row r="701" spans="1:11" x14ac:dyDescent="0.3">
      <c r="A701" s="156" t="s">
        <v>887</v>
      </c>
      <c r="B701" s="157" t="s">
        <v>888</v>
      </c>
      <c r="C701" s="157">
        <v>2024</v>
      </c>
      <c r="D701" s="158">
        <v>-72.893119812011705</v>
      </c>
      <c r="E701" s="158">
        <v>-41.391666412353501</v>
      </c>
      <c r="F701" s="159">
        <v>5.4</v>
      </c>
      <c r="G701" s="160">
        <v>2.35</v>
      </c>
      <c r="H701" s="161">
        <v>79</v>
      </c>
      <c r="I701" s="161">
        <v>19</v>
      </c>
      <c r="J701" s="161">
        <v>2</v>
      </c>
      <c r="K701" s="160">
        <v>3.6700000000000004</v>
      </c>
    </row>
    <row r="702" spans="1:11" x14ac:dyDescent="0.3">
      <c r="A702" s="156" t="s">
        <v>887</v>
      </c>
      <c r="B702" s="157" t="s">
        <v>888</v>
      </c>
      <c r="C702" s="157">
        <v>2024</v>
      </c>
      <c r="D702" s="158">
        <v>-72.866943399999997</v>
      </c>
      <c r="E702" s="158">
        <v>44.4947205</v>
      </c>
      <c r="F702" s="159">
        <v>5.6</v>
      </c>
      <c r="G702" s="160">
        <v>1.5</v>
      </c>
      <c r="H702" s="161">
        <v>64.900000000000006</v>
      </c>
      <c r="I702" s="161">
        <v>32.6</v>
      </c>
      <c r="J702" s="161">
        <v>2.5</v>
      </c>
      <c r="K702" s="160">
        <v>0.37</v>
      </c>
    </row>
    <row r="703" spans="1:11" x14ac:dyDescent="0.3">
      <c r="A703" s="156" t="s">
        <v>887</v>
      </c>
      <c r="B703" s="157" t="s">
        <v>888</v>
      </c>
      <c r="C703" s="157">
        <v>2024</v>
      </c>
      <c r="D703" s="158">
        <v>-72.75</v>
      </c>
      <c r="E703" s="158">
        <v>-7.5833000000000004</v>
      </c>
      <c r="F703" s="159">
        <v>3.8</v>
      </c>
      <c r="G703" s="160">
        <v>0.8</v>
      </c>
      <c r="H703" s="161">
        <v>81</v>
      </c>
      <c r="I703" s="161">
        <v>16</v>
      </c>
      <c r="J703" s="161">
        <v>3</v>
      </c>
      <c r="K703" s="160">
        <v>0.72</v>
      </c>
    </row>
    <row r="704" spans="1:11" x14ac:dyDescent="0.3">
      <c r="A704" s="156" t="s">
        <v>887</v>
      </c>
      <c r="B704" s="157" t="s">
        <v>888</v>
      </c>
      <c r="C704" s="157">
        <v>2024</v>
      </c>
      <c r="D704" s="158">
        <v>-72.742019653320298</v>
      </c>
      <c r="E704" s="158">
        <v>41.488876342773402</v>
      </c>
      <c r="F704" s="159">
        <v>6.2</v>
      </c>
      <c r="G704" s="160">
        <v>4.8499999999999996</v>
      </c>
      <c r="H704" s="161">
        <v>33.4</v>
      </c>
      <c r="I704" s="161">
        <v>53</v>
      </c>
      <c r="J704" s="161">
        <v>13.6</v>
      </c>
      <c r="K704" s="160">
        <v>0.95</v>
      </c>
    </row>
    <row r="705" spans="1:11" x14ac:dyDescent="0.3">
      <c r="A705" s="156" t="s">
        <v>887</v>
      </c>
      <c r="B705" s="157" t="s">
        <v>888</v>
      </c>
      <c r="C705" s="157">
        <v>2024</v>
      </c>
      <c r="D705" s="158">
        <v>-72.711944599999995</v>
      </c>
      <c r="E705" s="158">
        <v>40.959446</v>
      </c>
      <c r="F705" s="159">
        <v>5.0999999999999996</v>
      </c>
      <c r="G705" s="160">
        <v>0.3</v>
      </c>
      <c r="H705" s="161">
        <v>83.6</v>
      </c>
      <c r="I705" s="161">
        <v>15.3</v>
      </c>
      <c r="J705" s="161">
        <v>1.1000000000000001</v>
      </c>
      <c r="K705" s="160">
        <v>0.04</v>
      </c>
    </row>
    <row r="706" spans="1:11" x14ac:dyDescent="0.3">
      <c r="A706" s="156" t="s">
        <v>887</v>
      </c>
      <c r="B706" s="157" t="s">
        <v>888</v>
      </c>
      <c r="C706" s="157">
        <v>2024</v>
      </c>
      <c r="D706" s="158">
        <v>-72.599999999999994</v>
      </c>
      <c r="E706" s="158">
        <v>-7.55</v>
      </c>
      <c r="F706" s="159">
        <v>4.3</v>
      </c>
      <c r="G706" s="160">
        <v>3</v>
      </c>
      <c r="H706" s="161">
        <v>55</v>
      </c>
      <c r="I706" s="161">
        <v>21</v>
      </c>
      <c r="J706" s="161">
        <v>24</v>
      </c>
      <c r="K706" s="160">
        <v>0.11000000000000001</v>
      </c>
    </row>
    <row r="707" spans="1:11" x14ac:dyDescent="0.3">
      <c r="A707" s="156" t="s">
        <v>887</v>
      </c>
      <c r="B707" s="157" t="s">
        <v>888</v>
      </c>
      <c r="C707" s="157">
        <v>2024</v>
      </c>
      <c r="D707" s="158">
        <v>-72.294441199999994</v>
      </c>
      <c r="E707" s="158">
        <v>44.2858315</v>
      </c>
      <c r="F707" s="159">
        <v>4.9000000000000004</v>
      </c>
      <c r="G707" s="160">
        <v>32</v>
      </c>
      <c r="H707" s="161">
        <v>64.5</v>
      </c>
      <c r="I707" s="161">
        <v>32.9</v>
      </c>
      <c r="J707" s="161">
        <v>2.6</v>
      </c>
      <c r="K707" s="160">
        <v>1.22</v>
      </c>
    </row>
    <row r="708" spans="1:11" x14ac:dyDescent="0.3">
      <c r="A708" s="156" t="s">
        <v>887</v>
      </c>
      <c r="B708" s="157" t="s">
        <v>888</v>
      </c>
      <c r="C708" s="157">
        <v>2024</v>
      </c>
      <c r="D708" s="158">
        <v>-72.2866669</v>
      </c>
      <c r="E708" s="158">
        <v>43.368610400000001</v>
      </c>
      <c r="F708" s="159">
        <v>5.0999999999999996</v>
      </c>
      <c r="G708" s="160">
        <v>0.95</v>
      </c>
      <c r="H708" s="161">
        <v>56.7</v>
      </c>
      <c r="I708" s="161">
        <v>36.4</v>
      </c>
      <c r="J708" s="161">
        <v>6.9</v>
      </c>
      <c r="K708" s="160">
        <v>0.44000000000000006</v>
      </c>
    </row>
    <row r="709" spans="1:11" x14ac:dyDescent="0.3">
      <c r="A709" s="156" t="s">
        <v>887</v>
      </c>
      <c r="B709" s="157" t="s">
        <v>888</v>
      </c>
      <c r="C709" s="157">
        <v>2024</v>
      </c>
      <c r="D709" s="158">
        <v>-71.748611499999996</v>
      </c>
      <c r="E709" s="158">
        <v>44.197498299999999</v>
      </c>
      <c r="F709" s="159">
        <v>4.2</v>
      </c>
      <c r="G709" s="160">
        <v>36</v>
      </c>
      <c r="H709" s="161">
        <v>78.099999999999994</v>
      </c>
      <c r="I709" s="161">
        <v>20.5</v>
      </c>
      <c r="J709" s="161">
        <v>1.4</v>
      </c>
      <c r="K709" s="160">
        <v>0.27999999999999997</v>
      </c>
    </row>
    <row r="710" spans="1:11" x14ac:dyDescent="0.3">
      <c r="A710" s="156" t="s">
        <v>887</v>
      </c>
      <c r="B710" s="157" t="s">
        <v>888</v>
      </c>
      <c r="C710" s="157">
        <v>2024</v>
      </c>
      <c r="D710" s="158">
        <v>-71.699996900000002</v>
      </c>
      <c r="E710" s="158">
        <v>42.949443799999997</v>
      </c>
      <c r="F710" s="159">
        <v>5.3</v>
      </c>
      <c r="G710" s="160">
        <v>17</v>
      </c>
      <c r="H710" s="161">
        <v>97.6</v>
      </c>
      <c r="I710" s="161">
        <v>2.4</v>
      </c>
      <c r="J710" s="161">
        <v>0</v>
      </c>
      <c r="K710" s="160">
        <v>0.11000000000000001</v>
      </c>
    </row>
    <row r="711" spans="1:11" x14ac:dyDescent="0.3">
      <c r="A711" s="156" t="s">
        <v>887</v>
      </c>
      <c r="B711" s="157" t="s">
        <v>888</v>
      </c>
      <c r="C711" s="157">
        <v>2024</v>
      </c>
      <c r="D711" s="158">
        <v>-71.698333700000006</v>
      </c>
      <c r="E711" s="158">
        <v>42.943611099999998</v>
      </c>
      <c r="F711" s="159">
        <v>5.2</v>
      </c>
      <c r="G711" s="160">
        <v>0.5</v>
      </c>
      <c r="H711" s="161">
        <v>95.7</v>
      </c>
      <c r="I711" s="161">
        <v>3.7</v>
      </c>
      <c r="J711" s="161">
        <v>0.6</v>
      </c>
      <c r="K711" s="160">
        <v>0.25</v>
      </c>
    </row>
    <row r="712" spans="1:11" x14ac:dyDescent="0.3">
      <c r="A712" s="156" t="s">
        <v>887</v>
      </c>
      <c r="B712" s="157" t="s">
        <v>888</v>
      </c>
      <c r="C712" s="157">
        <v>2024</v>
      </c>
      <c r="D712" s="158">
        <v>-71.5</v>
      </c>
      <c r="E712" s="158">
        <v>4.5</v>
      </c>
      <c r="F712" s="159">
        <v>5.4</v>
      </c>
      <c r="G712" s="160">
        <v>4.3</v>
      </c>
      <c r="H712" s="161">
        <v>5</v>
      </c>
      <c r="I712" s="161">
        <v>55</v>
      </c>
      <c r="J712" s="161">
        <v>40</v>
      </c>
      <c r="K712" s="160">
        <v>0.57000000000000006</v>
      </c>
    </row>
    <row r="713" spans="1:11" x14ac:dyDescent="0.3">
      <c r="A713" s="156" t="s">
        <v>887</v>
      </c>
      <c r="B713" s="157" t="s">
        <v>888</v>
      </c>
      <c r="C713" s="157">
        <v>2024</v>
      </c>
      <c r="D713" s="158">
        <v>-71.336112999999997</v>
      </c>
      <c r="E713" s="158">
        <v>4.5738887999999998</v>
      </c>
      <c r="F713" s="159">
        <v>5.5</v>
      </c>
      <c r="G713" s="160">
        <v>0.95</v>
      </c>
      <c r="H713" s="161">
        <v>12</v>
      </c>
      <c r="I713" s="161">
        <v>44</v>
      </c>
      <c r="J713" s="161">
        <v>44</v>
      </c>
      <c r="K713" s="160">
        <v>0.08</v>
      </c>
    </row>
    <row r="714" spans="1:11" x14ac:dyDescent="0.3">
      <c r="A714" s="156" t="s">
        <v>887</v>
      </c>
      <c r="B714" s="157" t="s">
        <v>888</v>
      </c>
      <c r="C714" s="157">
        <v>2024</v>
      </c>
      <c r="D714" s="158">
        <v>-70.809997600000003</v>
      </c>
      <c r="E714" s="158">
        <v>41.6727791</v>
      </c>
      <c r="F714" s="159">
        <v>5</v>
      </c>
      <c r="G714" s="160">
        <v>0.2</v>
      </c>
      <c r="H714" s="161">
        <v>92.9</v>
      </c>
      <c r="I714" s="161">
        <v>6.7</v>
      </c>
      <c r="J714" s="161">
        <v>0.4</v>
      </c>
      <c r="K714" s="160">
        <v>0.37</v>
      </c>
    </row>
    <row r="715" spans="1:11" x14ac:dyDescent="0.3">
      <c r="A715" s="156" t="s">
        <v>887</v>
      </c>
      <c r="B715" s="157" t="s">
        <v>888</v>
      </c>
      <c r="C715" s="157">
        <v>2024</v>
      </c>
      <c r="D715" s="158">
        <v>-70.766670199999993</v>
      </c>
      <c r="E715" s="158">
        <v>41.767776499999997</v>
      </c>
      <c r="F715" s="159">
        <v>4.8</v>
      </c>
      <c r="G715" s="160">
        <v>0.1</v>
      </c>
      <c r="H715" s="161">
        <v>68.5</v>
      </c>
      <c r="I715" s="161">
        <v>31.3</v>
      </c>
      <c r="J715" s="161">
        <v>0.2</v>
      </c>
      <c r="K715" s="160">
        <v>0.05</v>
      </c>
    </row>
    <row r="716" spans="1:11" x14ac:dyDescent="0.3">
      <c r="A716" s="156" t="s">
        <v>887</v>
      </c>
      <c r="B716" s="157" t="s">
        <v>888</v>
      </c>
      <c r="C716" s="157">
        <v>2024</v>
      </c>
      <c r="D716" s="158">
        <v>-70.710555999999997</v>
      </c>
      <c r="E716" s="158">
        <v>41.792221099999999</v>
      </c>
      <c r="F716" s="159">
        <v>4.9000000000000004</v>
      </c>
      <c r="G716" s="160">
        <v>0.2</v>
      </c>
      <c r="H716" s="161">
        <v>67.7</v>
      </c>
      <c r="I716" s="161">
        <v>31.6</v>
      </c>
      <c r="J716" s="161">
        <v>0.7</v>
      </c>
      <c r="K716" s="160">
        <v>0.06</v>
      </c>
    </row>
    <row r="717" spans="1:11" x14ac:dyDescent="0.3">
      <c r="A717" s="156" t="s">
        <v>887</v>
      </c>
      <c r="B717" s="157" t="s">
        <v>888</v>
      </c>
      <c r="C717" s="157">
        <v>2024</v>
      </c>
      <c r="D717" s="158">
        <v>-70.349999999999994</v>
      </c>
      <c r="E717" s="158">
        <v>-7.15</v>
      </c>
      <c r="F717" s="159">
        <v>4.4000000000000004</v>
      </c>
      <c r="G717" s="160">
        <v>9.8000000000000007</v>
      </c>
      <c r="H717" s="161">
        <v>21</v>
      </c>
      <c r="I717" s="161">
        <v>28</v>
      </c>
      <c r="J717" s="161">
        <v>51</v>
      </c>
      <c r="K717" s="160">
        <v>0.45</v>
      </c>
    </row>
    <row r="718" spans="1:11" x14ac:dyDescent="0.3">
      <c r="A718" s="156" t="s">
        <v>887</v>
      </c>
      <c r="B718" s="157" t="s">
        <v>888</v>
      </c>
      <c r="C718" s="157">
        <v>2024</v>
      </c>
      <c r="D718" s="158">
        <v>-69.833299999999994</v>
      </c>
      <c r="E718" s="158">
        <v>-7.55</v>
      </c>
      <c r="F718" s="159">
        <v>4.9000000000000004</v>
      </c>
      <c r="G718" s="160">
        <v>22.9</v>
      </c>
      <c r="H718" s="161">
        <v>12</v>
      </c>
      <c r="I718" s="161">
        <v>50</v>
      </c>
      <c r="J718" s="161">
        <v>38</v>
      </c>
      <c r="K718" s="160">
        <v>0.47000000000000003</v>
      </c>
    </row>
    <row r="719" spans="1:11" x14ac:dyDescent="0.3">
      <c r="A719" s="156" t="s">
        <v>887</v>
      </c>
      <c r="B719" s="157" t="s">
        <v>888</v>
      </c>
      <c r="C719" s="157">
        <v>2024</v>
      </c>
      <c r="D719" s="158">
        <v>-69.696334800000002</v>
      </c>
      <c r="E719" s="158">
        <v>45.406894700000002</v>
      </c>
      <c r="F719" s="159">
        <v>3.6</v>
      </c>
      <c r="G719" s="160">
        <v>16.55</v>
      </c>
      <c r="H719" s="161">
        <v>37.299999999999997</v>
      </c>
      <c r="I719" s="161">
        <v>53.6</v>
      </c>
      <c r="J719" s="161">
        <v>9.1</v>
      </c>
      <c r="K719" s="160">
        <v>0.86</v>
      </c>
    </row>
    <row r="720" spans="1:11" x14ac:dyDescent="0.3">
      <c r="A720" s="156" t="s">
        <v>887</v>
      </c>
      <c r="B720" s="157" t="s">
        <v>888</v>
      </c>
      <c r="C720" s="157">
        <v>2024</v>
      </c>
      <c r="D720" s="158">
        <v>-69.616699999999994</v>
      </c>
      <c r="E720" s="158">
        <v>-8.0667000000000009</v>
      </c>
      <c r="F720" s="159">
        <v>4.7</v>
      </c>
      <c r="G720" s="160">
        <v>20.7</v>
      </c>
      <c r="H720" s="161">
        <v>23</v>
      </c>
      <c r="I720" s="161">
        <v>22</v>
      </c>
      <c r="J720" s="161">
        <v>55</v>
      </c>
      <c r="K720" s="160">
        <v>0.37</v>
      </c>
    </row>
    <row r="721" spans="1:11" x14ac:dyDescent="0.3">
      <c r="A721" s="156" t="s">
        <v>887</v>
      </c>
      <c r="B721" s="157" t="s">
        <v>888</v>
      </c>
      <c r="C721" s="157">
        <v>2024</v>
      </c>
      <c r="D721" s="158">
        <v>-68.700180099999997</v>
      </c>
      <c r="E721" s="158">
        <v>45.688835099999999</v>
      </c>
      <c r="F721" s="159">
        <v>3.7</v>
      </c>
      <c r="G721" s="160">
        <v>4.8499999999999996</v>
      </c>
      <c r="H721" s="161">
        <v>50.2</v>
      </c>
      <c r="I721" s="161">
        <v>47.3</v>
      </c>
      <c r="J721" s="161">
        <v>2.5</v>
      </c>
      <c r="K721" s="160">
        <v>2.4899999999999998</v>
      </c>
    </row>
    <row r="722" spans="1:11" x14ac:dyDescent="0.3">
      <c r="A722" s="156" t="s">
        <v>887</v>
      </c>
      <c r="B722" s="157" t="s">
        <v>888</v>
      </c>
      <c r="C722" s="157">
        <v>2024</v>
      </c>
      <c r="D722" s="158">
        <v>-67.7294464</v>
      </c>
      <c r="E722" s="158">
        <v>47.101112399999998</v>
      </c>
      <c r="F722" s="159">
        <v>5.5</v>
      </c>
      <c r="G722" s="160">
        <v>1.9</v>
      </c>
      <c r="H722" s="161">
        <v>45.8</v>
      </c>
      <c r="I722" s="161">
        <v>43</v>
      </c>
      <c r="J722" s="161">
        <v>11.2</v>
      </c>
      <c r="K722" s="160">
        <v>1.8</v>
      </c>
    </row>
    <row r="723" spans="1:11" x14ac:dyDescent="0.3">
      <c r="A723" s="156" t="s">
        <v>887</v>
      </c>
      <c r="B723" s="157" t="s">
        <v>888</v>
      </c>
      <c r="C723" s="157">
        <v>2024</v>
      </c>
      <c r="D723" s="158">
        <v>-67.683333333333294</v>
      </c>
      <c r="E723" s="158">
        <v>10.352777777777799</v>
      </c>
      <c r="F723" s="159">
        <v>6.1</v>
      </c>
      <c r="G723" s="160">
        <v>3.5</v>
      </c>
      <c r="H723" s="161">
        <v>44</v>
      </c>
      <c r="I723" s="161">
        <v>23</v>
      </c>
      <c r="J723" s="161">
        <v>33</v>
      </c>
      <c r="K723" s="160">
        <v>0.2</v>
      </c>
    </row>
    <row r="724" spans="1:11" x14ac:dyDescent="0.3">
      <c r="A724" s="156" t="s">
        <v>887</v>
      </c>
      <c r="B724" s="157" t="s">
        <v>888</v>
      </c>
      <c r="C724" s="157">
        <v>2024</v>
      </c>
      <c r="D724" s="158">
        <v>-67.670277777777798</v>
      </c>
      <c r="E724" s="158">
        <v>10.3638888888889</v>
      </c>
      <c r="F724" s="159">
        <v>4.7</v>
      </c>
      <c r="G724" s="160">
        <v>0.9</v>
      </c>
      <c r="H724" s="161">
        <v>64</v>
      </c>
      <c r="I724" s="161">
        <v>16</v>
      </c>
      <c r="J724" s="161">
        <v>20</v>
      </c>
      <c r="K724" s="160">
        <v>1.35</v>
      </c>
    </row>
    <row r="725" spans="1:11" x14ac:dyDescent="0.3">
      <c r="A725" s="156" t="s">
        <v>887</v>
      </c>
      <c r="B725" s="157" t="s">
        <v>888</v>
      </c>
      <c r="C725" s="157">
        <v>2024</v>
      </c>
      <c r="D725" s="158">
        <v>-67.183300000000003</v>
      </c>
      <c r="E725" s="158">
        <v>-7.7</v>
      </c>
      <c r="F725" s="159">
        <v>4.2</v>
      </c>
      <c r="G725" s="160">
        <v>7.1</v>
      </c>
      <c r="H725" s="161">
        <v>34</v>
      </c>
      <c r="I725" s="161">
        <v>35</v>
      </c>
      <c r="J725" s="161">
        <v>31</v>
      </c>
      <c r="K725" s="160">
        <v>0.8</v>
      </c>
    </row>
    <row r="726" spans="1:11" x14ac:dyDescent="0.3">
      <c r="A726" s="156" t="s">
        <v>887</v>
      </c>
      <c r="B726" s="157" t="s">
        <v>888</v>
      </c>
      <c r="C726" s="157">
        <v>2024</v>
      </c>
      <c r="D726" s="158">
        <v>-67.137496900000002</v>
      </c>
      <c r="E726" s="158">
        <v>18.327499400000001</v>
      </c>
      <c r="F726" s="159">
        <v>4.5</v>
      </c>
      <c r="G726" s="160">
        <v>7</v>
      </c>
      <c r="H726" s="161">
        <v>6.7</v>
      </c>
      <c r="I726" s="161">
        <v>27.2</v>
      </c>
      <c r="J726" s="161">
        <v>66.099999999999994</v>
      </c>
      <c r="K726" s="160">
        <v>2.1800000000000002</v>
      </c>
    </row>
    <row r="727" spans="1:11" x14ac:dyDescent="0.3">
      <c r="A727" s="156" t="s">
        <v>887</v>
      </c>
      <c r="B727" s="157" t="s">
        <v>888</v>
      </c>
      <c r="C727" s="157">
        <v>2024</v>
      </c>
      <c r="D727" s="158">
        <v>-66.7</v>
      </c>
      <c r="E727" s="158">
        <v>-9.0167000000000002</v>
      </c>
      <c r="F727" s="159">
        <v>3.6</v>
      </c>
      <c r="G727" s="160">
        <v>23.6</v>
      </c>
      <c r="H727" s="161">
        <v>55</v>
      </c>
      <c r="I727" s="161">
        <v>25</v>
      </c>
      <c r="J727" s="161">
        <v>20</v>
      </c>
      <c r="K727" s="160">
        <v>0.75</v>
      </c>
    </row>
    <row r="728" spans="1:11" x14ac:dyDescent="0.3">
      <c r="A728" s="156" t="s">
        <v>887</v>
      </c>
      <c r="B728" s="157" t="s">
        <v>888</v>
      </c>
      <c r="C728" s="157">
        <v>2024</v>
      </c>
      <c r="D728" s="158">
        <v>-66.283889799999997</v>
      </c>
      <c r="E728" s="158">
        <v>18.238611200000001</v>
      </c>
      <c r="F728" s="159">
        <v>4.7</v>
      </c>
      <c r="G728" s="160">
        <v>6</v>
      </c>
      <c r="H728" s="161">
        <v>8.4</v>
      </c>
      <c r="I728" s="161">
        <v>42.5</v>
      </c>
      <c r="J728" s="161">
        <v>49.1</v>
      </c>
      <c r="K728" s="160">
        <v>0.1</v>
      </c>
    </row>
    <row r="729" spans="1:11" x14ac:dyDescent="0.3">
      <c r="A729" s="156" t="s">
        <v>887</v>
      </c>
      <c r="B729" s="157" t="s">
        <v>888</v>
      </c>
      <c r="C729" s="157">
        <v>2024</v>
      </c>
      <c r="D729" s="158">
        <v>-66.281669600000001</v>
      </c>
      <c r="E729" s="158">
        <v>18.241666800000001</v>
      </c>
      <c r="F729" s="159">
        <v>4.8</v>
      </c>
      <c r="G729" s="160">
        <v>3.45</v>
      </c>
      <c r="H729" s="161">
        <v>4.9000000000000004</v>
      </c>
      <c r="I729" s="161">
        <v>13</v>
      </c>
      <c r="J729" s="161">
        <v>82.1</v>
      </c>
      <c r="K729" s="160">
        <v>1.25</v>
      </c>
    </row>
    <row r="730" spans="1:11" x14ac:dyDescent="0.3">
      <c r="A730" s="156" t="s">
        <v>887</v>
      </c>
      <c r="B730" s="157" t="s">
        <v>888</v>
      </c>
      <c r="C730" s="157">
        <v>2024</v>
      </c>
      <c r="D730" s="158">
        <v>-66.267776499999997</v>
      </c>
      <c r="E730" s="158">
        <v>18.236667600000001</v>
      </c>
      <c r="F730" s="159">
        <v>5.5</v>
      </c>
      <c r="G730" s="160">
        <v>4.2</v>
      </c>
      <c r="H730" s="161">
        <v>6.9</v>
      </c>
      <c r="I730" s="161">
        <v>12</v>
      </c>
      <c r="J730" s="161">
        <v>81.099999999999994</v>
      </c>
      <c r="K730" s="160">
        <v>0.31</v>
      </c>
    </row>
    <row r="731" spans="1:11" x14ac:dyDescent="0.3">
      <c r="A731" s="156" t="s">
        <v>887</v>
      </c>
      <c r="B731" s="157" t="s">
        <v>888</v>
      </c>
      <c r="C731" s="157">
        <v>2024</v>
      </c>
      <c r="D731" s="158">
        <v>-65.820556600000003</v>
      </c>
      <c r="E731" s="158">
        <v>18.211666099999999</v>
      </c>
      <c r="F731" s="159">
        <v>4.8</v>
      </c>
      <c r="G731" s="160">
        <v>7.95</v>
      </c>
      <c r="H731" s="161">
        <v>6</v>
      </c>
      <c r="I731" s="161">
        <v>34.799999999999997</v>
      </c>
      <c r="J731" s="161">
        <v>59.2</v>
      </c>
      <c r="K731" s="160">
        <v>0.09</v>
      </c>
    </row>
    <row r="732" spans="1:11" x14ac:dyDescent="0.3">
      <c r="A732" s="156" t="s">
        <v>887</v>
      </c>
      <c r="B732" s="157" t="s">
        <v>888</v>
      </c>
      <c r="C732" s="157">
        <v>2024</v>
      </c>
      <c r="D732" s="158">
        <v>-65.816108700000001</v>
      </c>
      <c r="E732" s="158">
        <v>18.327028299999998</v>
      </c>
      <c r="F732" s="159">
        <v>5</v>
      </c>
      <c r="G732" s="160">
        <v>18</v>
      </c>
      <c r="H732" s="161">
        <v>20.7</v>
      </c>
      <c r="I732" s="161">
        <v>39.1</v>
      </c>
      <c r="J732" s="161">
        <v>40.200000000000003</v>
      </c>
      <c r="K732" s="160">
        <v>1.98</v>
      </c>
    </row>
    <row r="733" spans="1:11" x14ac:dyDescent="0.3">
      <c r="A733" s="156" t="s">
        <v>887</v>
      </c>
      <c r="B733" s="157" t="s">
        <v>888</v>
      </c>
      <c r="C733" s="157">
        <v>2024</v>
      </c>
      <c r="D733" s="158">
        <v>-65.796999999999997</v>
      </c>
      <c r="E733" s="158">
        <v>18.303999999999998</v>
      </c>
      <c r="F733" s="159">
        <v>4.8</v>
      </c>
      <c r="G733" s="160">
        <v>22.1</v>
      </c>
      <c r="H733" s="161">
        <v>21.6</v>
      </c>
      <c r="I733" s="161">
        <v>40.9</v>
      </c>
      <c r="J733" s="161">
        <v>35.9</v>
      </c>
      <c r="K733" s="160">
        <v>10.43</v>
      </c>
    </row>
    <row r="734" spans="1:11" x14ac:dyDescent="0.3">
      <c r="A734" s="156" t="s">
        <v>887</v>
      </c>
      <c r="B734" s="157" t="s">
        <v>888</v>
      </c>
      <c r="C734" s="157">
        <v>2024</v>
      </c>
      <c r="D734" s="158">
        <v>-62.883299999999998</v>
      </c>
      <c r="E734" s="158">
        <v>-6.45</v>
      </c>
      <c r="F734" s="159">
        <v>3.7</v>
      </c>
      <c r="G734" s="160">
        <v>3.7</v>
      </c>
      <c r="H734" s="161">
        <v>44</v>
      </c>
      <c r="I734" s="161">
        <v>34.700000000000003</v>
      </c>
      <c r="J734" s="161">
        <v>21.3</v>
      </c>
      <c r="K734" s="160">
        <v>0.48</v>
      </c>
    </row>
    <row r="735" spans="1:11" x14ac:dyDescent="0.3">
      <c r="A735" s="156" t="s">
        <v>887</v>
      </c>
      <c r="B735" s="157" t="s">
        <v>888</v>
      </c>
      <c r="C735" s="157">
        <v>2024</v>
      </c>
      <c r="D735" s="158">
        <v>-62.616700000000002</v>
      </c>
      <c r="E735" s="158">
        <v>-10.55</v>
      </c>
      <c r="F735" s="159">
        <v>4.8</v>
      </c>
      <c r="G735" s="160">
        <v>1.2</v>
      </c>
      <c r="H735" s="161">
        <v>42</v>
      </c>
      <c r="I735" s="161">
        <v>28</v>
      </c>
      <c r="J735" s="161">
        <v>30</v>
      </c>
      <c r="K735" s="160">
        <v>0.44000000000000006</v>
      </c>
    </row>
    <row r="736" spans="1:11" x14ac:dyDescent="0.3">
      <c r="A736" s="156" t="s">
        <v>887</v>
      </c>
      <c r="B736" s="157" t="s">
        <v>888</v>
      </c>
      <c r="C736" s="157">
        <v>2024</v>
      </c>
      <c r="D736" s="158">
        <v>-62.6</v>
      </c>
      <c r="E736" s="158">
        <v>-5.7</v>
      </c>
      <c r="F736" s="159">
        <v>4.4000000000000004</v>
      </c>
      <c r="G736" s="160">
        <v>13.9</v>
      </c>
      <c r="H736" s="161">
        <v>7.6</v>
      </c>
      <c r="I736" s="161">
        <v>55.4</v>
      </c>
      <c r="J736" s="161">
        <v>37</v>
      </c>
      <c r="K736" s="160">
        <v>0.2</v>
      </c>
    </row>
    <row r="737" spans="1:11" x14ac:dyDescent="0.3">
      <c r="A737" s="156" t="s">
        <v>887</v>
      </c>
      <c r="B737" s="157" t="s">
        <v>888</v>
      </c>
      <c r="C737" s="157">
        <v>2024</v>
      </c>
      <c r="D737" s="158">
        <v>-62.2</v>
      </c>
      <c r="E737" s="158">
        <v>-9.1</v>
      </c>
      <c r="F737" s="159">
        <v>4.9000000000000004</v>
      </c>
      <c r="G737" s="160">
        <v>0.5</v>
      </c>
      <c r="H737" s="161">
        <v>82</v>
      </c>
      <c r="I737" s="161">
        <v>4</v>
      </c>
      <c r="J737" s="161">
        <v>14</v>
      </c>
      <c r="K737" s="160">
        <v>0.24</v>
      </c>
    </row>
    <row r="738" spans="1:11" x14ac:dyDescent="0.3">
      <c r="A738" s="156" t="s">
        <v>887</v>
      </c>
      <c r="B738" s="157" t="s">
        <v>888</v>
      </c>
      <c r="C738" s="157">
        <v>2024</v>
      </c>
      <c r="D738" s="158">
        <v>-62.066699999999997</v>
      </c>
      <c r="E738" s="158">
        <v>-10.7667</v>
      </c>
      <c r="F738" s="159">
        <v>4.8</v>
      </c>
      <c r="G738" s="160">
        <v>4.7</v>
      </c>
      <c r="H738" s="161">
        <v>74</v>
      </c>
      <c r="I738" s="161">
        <v>21</v>
      </c>
      <c r="J738" s="161">
        <v>5</v>
      </c>
      <c r="K738" s="160">
        <v>0.51</v>
      </c>
    </row>
    <row r="739" spans="1:11" x14ac:dyDescent="0.3">
      <c r="A739" s="156" t="s">
        <v>887</v>
      </c>
      <c r="B739" s="157" t="s">
        <v>888</v>
      </c>
      <c r="C739" s="157">
        <v>2024</v>
      </c>
      <c r="D739" s="158">
        <v>-61.7</v>
      </c>
      <c r="E739" s="158">
        <v>-2.5</v>
      </c>
      <c r="F739" s="159">
        <v>4.5999999999999996</v>
      </c>
      <c r="G739" s="160">
        <v>6.9</v>
      </c>
      <c r="H739" s="161">
        <v>80</v>
      </c>
      <c r="I739" s="161">
        <v>12</v>
      </c>
      <c r="J739" s="161">
        <v>8</v>
      </c>
      <c r="K739" s="160">
        <v>1.02</v>
      </c>
    </row>
    <row r="740" spans="1:11" x14ac:dyDescent="0.3">
      <c r="A740" s="156" t="s">
        <v>887</v>
      </c>
      <c r="B740" s="157" t="s">
        <v>888</v>
      </c>
      <c r="C740" s="157">
        <v>2024</v>
      </c>
      <c r="D740" s="158">
        <v>-61.5</v>
      </c>
      <c r="E740" s="158">
        <v>-2.2332999999999998</v>
      </c>
      <c r="F740" s="159">
        <v>4.8</v>
      </c>
      <c r="G740" s="160">
        <v>8.9</v>
      </c>
      <c r="H740" s="161">
        <v>10</v>
      </c>
      <c r="I740" s="161">
        <v>52</v>
      </c>
      <c r="J740" s="161">
        <v>38</v>
      </c>
      <c r="K740" s="160">
        <v>1.1000000000000001</v>
      </c>
    </row>
    <row r="741" spans="1:11" x14ac:dyDescent="0.3">
      <c r="A741" s="156" t="s">
        <v>887</v>
      </c>
      <c r="B741" s="157" t="s">
        <v>888</v>
      </c>
      <c r="C741" s="157">
        <v>2024</v>
      </c>
      <c r="D741" s="158">
        <v>-61.4833</v>
      </c>
      <c r="E741" s="158">
        <v>-11.8667</v>
      </c>
      <c r="F741" s="159">
        <v>5.6</v>
      </c>
      <c r="G741" s="160">
        <v>1.7</v>
      </c>
      <c r="H741" s="161">
        <v>54</v>
      </c>
      <c r="I741" s="161">
        <v>16</v>
      </c>
      <c r="J741" s="161">
        <v>30</v>
      </c>
      <c r="K741" s="160">
        <v>0.37</v>
      </c>
    </row>
    <row r="742" spans="1:11" x14ac:dyDescent="0.3">
      <c r="A742" s="156" t="s">
        <v>887</v>
      </c>
      <c r="B742" s="157" t="s">
        <v>888</v>
      </c>
      <c r="C742" s="157">
        <v>2024</v>
      </c>
      <c r="D742" s="158">
        <v>-61.383299999999998</v>
      </c>
      <c r="E742" s="158">
        <v>-3.55</v>
      </c>
      <c r="F742" s="159">
        <v>4.2</v>
      </c>
      <c r="G742" s="160">
        <v>29.4</v>
      </c>
      <c r="H742" s="161">
        <v>11.2</v>
      </c>
      <c r="I742" s="161">
        <v>70.900000000000006</v>
      </c>
      <c r="J742" s="161">
        <v>17.899999999999999</v>
      </c>
      <c r="K742" s="160">
        <v>1.6</v>
      </c>
    </row>
    <row r="743" spans="1:11" x14ac:dyDescent="0.3">
      <c r="A743" s="156" t="s">
        <v>887</v>
      </c>
      <c r="B743" s="157" t="s">
        <v>888</v>
      </c>
      <c r="C743" s="157">
        <v>2024</v>
      </c>
      <c r="D743" s="158">
        <v>-61.316699999999997</v>
      </c>
      <c r="E743" s="158">
        <v>-6.9166999999999996</v>
      </c>
      <c r="F743" s="159">
        <v>3.8</v>
      </c>
      <c r="G743" s="160">
        <v>5.2</v>
      </c>
      <c r="H743" s="161">
        <v>67.2</v>
      </c>
      <c r="I743" s="161">
        <v>20.2</v>
      </c>
      <c r="J743" s="161">
        <v>12.6</v>
      </c>
      <c r="K743" s="160">
        <v>1.5</v>
      </c>
    </row>
    <row r="744" spans="1:11" x14ac:dyDescent="0.3">
      <c r="A744" s="156" t="s">
        <v>887</v>
      </c>
      <c r="B744" s="157" t="s">
        <v>888</v>
      </c>
      <c r="C744" s="157">
        <v>2024</v>
      </c>
      <c r="D744" s="158">
        <v>-61</v>
      </c>
      <c r="E744" s="158">
        <v>0.93330000000000002</v>
      </c>
      <c r="F744" s="159">
        <v>4.4000000000000004</v>
      </c>
      <c r="G744" s="160">
        <v>12.9</v>
      </c>
      <c r="H744" s="161">
        <v>71</v>
      </c>
      <c r="I744" s="161">
        <v>8</v>
      </c>
      <c r="J744" s="161">
        <v>21</v>
      </c>
      <c r="K744" s="160">
        <v>1.6800000000000002</v>
      </c>
    </row>
    <row r="745" spans="1:11" x14ac:dyDescent="0.3">
      <c r="A745" s="156" t="s">
        <v>887</v>
      </c>
      <c r="B745" s="157" t="s">
        <v>888</v>
      </c>
      <c r="C745" s="157">
        <v>2024</v>
      </c>
      <c r="D745" s="158">
        <v>-60.966700000000003</v>
      </c>
      <c r="E745" s="158">
        <v>-1.9666999999999999</v>
      </c>
      <c r="F745" s="159">
        <v>4.0999999999999996</v>
      </c>
      <c r="G745" s="160">
        <v>1.8</v>
      </c>
      <c r="H745" s="161">
        <v>87.1</v>
      </c>
      <c r="I745" s="161">
        <v>5.9</v>
      </c>
      <c r="J745" s="161">
        <v>7</v>
      </c>
      <c r="K745" s="160">
        <v>0.5</v>
      </c>
    </row>
    <row r="746" spans="1:11" x14ac:dyDescent="0.3">
      <c r="A746" s="156" t="s">
        <v>887</v>
      </c>
      <c r="B746" s="157" t="s">
        <v>888</v>
      </c>
      <c r="C746" s="157">
        <v>2024</v>
      </c>
      <c r="D746" s="158">
        <v>-60.133299999999998</v>
      </c>
      <c r="E746" s="158">
        <v>-6.4</v>
      </c>
      <c r="F746" s="159">
        <v>3.8</v>
      </c>
      <c r="G746" s="160">
        <v>4.5</v>
      </c>
      <c r="H746" s="161">
        <v>10.199999999999999</v>
      </c>
      <c r="I746" s="161">
        <v>34.1</v>
      </c>
      <c r="J746" s="161">
        <v>55.7</v>
      </c>
      <c r="K746" s="160">
        <v>1.3</v>
      </c>
    </row>
    <row r="747" spans="1:11" x14ac:dyDescent="0.3">
      <c r="A747" s="156" t="s">
        <v>887</v>
      </c>
      <c r="B747" s="157" t="s">
        <v>888</v>
      </c>
      <c r="C747" s="157">
        <v>2024</v>
      </c>
      <c r="D747" s="158">
        <v>-59.966700000000003</v>
      </c>
      <c r="E747" s="158">
        <v>-3.4167000000000001</v>
      </c>
      <c r="F747" s="159">
        <v>4.0999999999999996</v>
      </c>
      <c r="G747" s="160">
        <v>14.8</v>
      </c>
      <c r="H747" s="161">
        <v>13.6</v>
      </c>
      <c r="I747" s="161">
        <v>68.599999999999994</v>
      </c>
      <c r="J747" s="161">
        <v>17.8</v>
      </c>
      <c r="K747" s="160">
        <v>4</v>
      </c>
    </row>
    <row r="748" spans="1:11" x14ac:dyDescent="0.3">
      <c r="A748" s="156" t="s">
        <v>887</v>
      </c>
      <c r="B748" s="157" t="s">
        <v>888</v>
      </c>
      <c r="C748" s="157">
        <v>2024</v>
      </c>
      <c r="D748" s="158">
        <v>-59.7333</v>
      </c>
      <c r="E748" s="158">
        <v>-11.216699999999999</v>
      </c>
      <c r="F748" s="159">
        <v>4</v>
      </c>
      <c r="G748" s="160">
        <v>3</v>
      </c>
      <c r="H748" s="161">
        <v>38.799999999999997</v>
      </c>
      <c r="I748" s="161">
        <v>23.2</v>
      </c>
      <c r="J748" s="161">
        <v>34.4</v>
      </c>
      <c r="K748" s="160">
        <v>0.4</v>
      </c>
    </row>
    <row r="749" spans="1:11" x14ac:dyDescent="0.3">
      <c r="A749" s="156" t="s">
        <v>887</v>
      </c>
      <c r="B749" s="157" t="s">
        <v>888</v>
      </c>
      <c r="C749" s="157">
        <v>2024</v>
      </c>
      <c r="D749" s="158">
        <v>-59.483333333333299</v>
      </c>
      <c r="E749" s="158">
        <v>-15.15</v>
      </c>
      <c r="F749" s="159">
        <v>6.2</v>
      </c>
      <c r="G749" s="160">
        <v>8.6</v>
      </c>
      <c r="H749" s="161">
        <v>55.6</v>
      </c>
      <c r="I749" s="161">
        <v>21.3</v>
      </c>
      <c r="J749" s="161">
        <v>23.1</v>
      </c>
      <c r="K749" s="160">
        <v>1.2</v>
      </c>
    </row>
    <row r="750" spans="1:11" x14ac:dyDescent="0.3">
      <c r="A750" s="156" t="s">
        <v>887</v>
      </c>
      <c r="B750" s="157" t="s">
        <v>888</v>
      </c>
      <c r="C750" s="157">
        <v>2024</v>
      </c>
      <c r="D750" s="158">
        <v>-59.333300000000001</v>
      </c>
      <c r="E750" s="158">
        <v>-15.05</v>
      </c>
      <c r="F750" s="159">
        <v>5.4</v>
      </c>
      <c r="G750" s="160">
        <v>15.3</v>
      </c>
      <c r="H750" s="161">
        <v>42.3</v>
      </c>
      <c r="I750" s="161">
        <v>27</v>
      </c>
      <c r="J750" s="161">
        <v>30.7</v>
      </c>
      <c r="K750" s="160">
        <v>0.8</v>
      </c>
    </row>
    <row r="751" spans="1:11" x14ac:dyDescent="0.3">
      <c r="A751" s="156" t="s">
        <v>887</v>
      </c>
      <c r="B751" s="157" t="s">
        <v>888</v>
      </c>
      <c r="C751" s="157">
        <v>2024</v>
      </c>
      <c r="D751" s="158">
        <v>-58.933300000000003</v>
      </c>
      <c r="E751" s="158">
        <v>-11.433299999999999</v>
      </c>
      <c r="F751" s="159">
        <v>4.7</v>
      </c>
      <c r="G751" s="160">
        <v>0.5</v>
      </c>
      <c r="H751" s="161">
        <v>26.4</v>
      </c>
      <c r="I751" s="161">
        <v>14.8</v>
      </c>
      <c r="J751" s="161">
        <v>58.5</v>
      </c>
      <c r="K751" s="160">
        <v>0.8</v>
      </c>
    </row>
    <row r="752" spans="1:11" x14ac:dyDescent="0.3">
      <c r="A752" s="156" t="s">
        <v>887</v>
      </c>
      <c r="B752" s="157" t="s">
        <v>888</v>
      </c>
      <c r="C752" s="157">
        <v>2024</v>
      </c>
      <c r="D752" s="158">
        <v>-58.816666666666698</v>
      </c>
      <c r="E752" s="158">
        <v>-12.216666666666701</v>
      </c>
      <c r="F752" s="159">
        <v>4.5</v>
      </c>
      <c r="G752" s="160">
        <v>1.7</v>
      </c>
      <c r="H752" s="161">
        <v>88</v>
      </c>
      <c r="I752" s="161">
        <v>6</v>
      </c>
      <c r="J752" s="161">
        <v>7</v>
      </c>
      <c r="K752" s="160">
        <v>0.3</v>
      </c>
    </row>
    <row r="753" spans="1:11" x14ac:dyDescent="0.3">
      <c r="A753" s="156" t="s">
        <v>887</v>
      </c>
      <c r="B753" s="157" t="s">
        <v>888</v>
      </c>
      <c r="C753" s="157">
        <v>2024</v>
      </c>
      <c r="D753" s="158">
        <v>-57.8333333333333</v>
      </c>
      <c r="E753" s="158">
        <v>-32.6666666666667</v>
      </c>
      <c r="F753" s="159">
        <v>6.1</v>
      </c>
      <c r="G753" s="160">
        <v>11</v>
      </c>
      <c r="H753" s="161">
        <v>86</v>
      </c>
      <c r="I753" s="161">
        <v>9</v>
      </c>
      <c r="J753" s="161">
        <v>5</v>
      </c>
      <c r="K753" s="160">
        <v>0.18</v>
      </c>
    </row>
    <row r="754" spans="1:11" x14ac:dyDescent="0.3">
      <c r="A754" s="156" t="s">
        <v>887</v>
      </c>
      <c r="B754" s="157" t="s">
        <v>888</v>
      </c>
      <c r="C754" s="157">
        <v>2024</v>
      </c>
      <c r="D754" s="158">
        <v>-57.766666666666701</v>
      </c>
      <c r="E754" s="158">
        <v>-15.3</v>
      </c>
      <c r="F754" s="159">
        <v>4.4000000000000004</v>
      </c>
      <c r="G754" s="160">
        <v>1.1000000000000001</v>
      </c>
      <c r="H754" s="161">
        <v>78</v>
      </c>
      <c r="I754" s="161">
        <v>5</v>
      </c>
      <c r="J754" s="161">
        <v>16.899999999999999</v>
      </c>
      <c r="K754" s="160">
        <v>0.3</v>
      </c>
    </row>
    <row r="755" spans="1:11" x14ac:dyDescent="0.3">
      <c r="A755" s="156" t="s">
        <v>887</v>
      </c>
      <c r="B755" s="157" t="s">
        <v>888</v>
      </c>
      <c r="C755" s="157">
        <v>2024</v>
      </c>
      <c r="D755" s="158">
        <v>-57.7333</v>
      </c>
      <c r="E755" s="158">
        <v>-1.5333000000000001</v>
      </c>
      <c r="F755" s="159">
        <v>3.8</v>
      </c>
      <c r="G755" s="160">
        <v>4</v>
      </c>
      <c r="H755" s="161">
        <v>58.7</v>
      </c>
      <c r="I755" s="161">
        <v>17.100000000000001</v>
      </c>
      <c r="J755" s="161">
        <v>24.2</v>
      </c>
      <c r="K755" s="160">
        <v>0.27999999999999997</v>
      </c>
    </row>
    <row r="756" spans="1:11" x14ac:dyDescent="0.3">
      <c r="A756" s="156" t="s">
        <v>887</v>
      </c>
      <c r="B756" s="157" t="s">
        <v>888</v>
      </c>
      <c r="C756" s="157">
        <v>2024</v>
      </c>
      <c r="D756" s="158">
        <v>-57.716700000000003</v>
      </c>
      <c r="E756" s="158">
        <v>-9.0167000000000002</v>
      </c>
      <c r="F756" s="159">
        <v>3.9</v>
      </c>
      <c r="G756" s="160">
        <v>2.2000000000000002</v>
      </c>
      <c r="H756" s="161">
        <v>8.1999999999999993</v>
      </c>
      <c r="I756" s="161">
        <v>60.5</v>
      </c>
      <c r="J756" s="161">
        <v>31.3</v>
      </c>
      <c r="K756" s="160">
        <v>0.5</v>
      </c>
    </row>
    <row r="757" spans="1:11" x14ac:dyDescent="0.3">
      <c r="A757" s="156" t="s">
        <v>887</v>
      </c>
      <c r="B757" s="157" t="s">
        <v>888</v>
      </c>
      <c r="C757" s="157">
        <v>2024</v>
      </c>
      <c r="D757" s="158">
        <v>-57.65</v>
      </c>
      <c r="E757" s="158">
        <v>-12.283300000000001</v>
      </c>
      <c r="F757" s="159">
        <v>3.9</v>
      </c>
      <c r="G757" s="160">
        <v>1.6</v>
      </c>
      <c r="H757" s="161">
        <v>74.599999999999994</v>
      </c>
      <c r="I757" s="161">
        <v>4.5999999999999996</v>
      </c>
      <c r="J757" s="161">
        <v>20.8</v>
      </c>
      <c r="K757" s="160">
        <v>0.6</v>
      </c>
    </row>
    <row r="758" spans="1:11" x14ac:dyDescent="0.3">
      <c r="A758" s="156" t="s">
        <v>887</v>
      </c>
      <c r="B758" s="157" t="s">
        <v>888</v>
      </c>
      <c r="C758" s="157">
        <v>2024</v>
      </c>
      <c r="D758" s="158">
        <v>-56.933300000000003</v>
      </c>
      <c r="E758" s="158">
        <v>-6.7</v>
      </c>
      <c r="F758" s="159">
        <v>4.5999999999999996</v>
      </c>
      <c r="G758" s="160">
        <v>8.9</v>
      </c>
      <c r="H758" s="161">
        <v>34</v>
      </c>
      <c r="I758" s="161">
        <v>15</v>
      </c>
      <c r="J758" s="161">
        <v>51</v>
      </c>
      <c r="K758" s="160">
        <v>0.39</v>
      </c>
    </row>
    <row r="759" spans="1:11" x14ac:dyDescent="0.3">
      <c r="A759" s="156" t="s">
        <v>887</v>
      </c>
      <c r="B759" s="157" t="s">
        <v>888</v>
      </c>
      <c r="C759" s="157">
        <v>2024</v>
      </c>
      <c r="D759" s="158">
        <v>-56.7</v>
      </c>
      <c r="E759" s="158">
        <v>-16.5</v>
      </c>
      <c r="F759" s="159">
        <v>8.4</v>
      </c>
      <c r="G759" s="160">
        <v>6.6</v>
      </c>
      <c r="H759" s="161">
        <v>77</v>
      </c>
      <c r="I759" s="161">
        <v>18</v>
      </c>
      <c r="J759" s="161">
        <v>5</v>
      </c>
      <c r="K759" s="160">
        <v>0.1</v>
      </c>
    </row>
    <row r="760" spans="1:11" x14ac:dyDescent="0.3">
      <c r="A760" s="156" t="s">
        <v>887</v>
      </c>
      <c r="B760" s="157" t="s">
        <v>888</v>
      </c>
      <c r="C760" s="157">
        <v>2024</v>
      </c>
      <c r="D760" s="158">
        <v>-56.433300000000003</v>
      </c>
      <c r="E760" s="158">
        <v>-19.9833</v>
      </c>
      <c r="F760" s="159">
        <v>6</v>
      </c>
      <c r="G760" s="160">
        <v>4.5</v>
      </c>
      <c r="H760" s="161">
        <v>67</v>
      </c>
      <c r="I760" s="161">
        <v>17</v>
      </c>
      <c r="J760" s="161">
        <v>16</v>
      </c>
      <c r="K760" s="160">
        <v>0.73</v>
      </c>
    </row>
    <row r="761" spans="1:11" x14ac:dyDescent="0.3">
      <c r="A761" s="156" t="s">
        <v>887</v>
      </c>
      <c r="B761" s="157" t="s">
        <v>888</v>
      </c>
      <c r="C761" s="157">
        <v>2024</v>
      </c>
      <c r="D761" s="158">
        <v>-56.4166666666667</v>
      </c>
      <c r="E761" s="158">
        <v>-31.0833333333333</v>
      </c>
      <c r="F761" s="159">
        <v>4.7</v>
      </c>
      <c r="G761" s="160">
        <v>5.2</v>
      </c>
      <c r="H761" s="161">
        <v>61.9</v>
      </c>
      <c r="I761" s="161">
        <v>11.6</v>
      </c>
      <c r="J761" s="161">
        <v>26.7</v>
      </c>
      <c r="K761" s="160">
        <v>0.52</v>
      </c>
    </row>
    <row r="762" spans="1:11" x14ac:dyDescent="0.3">
      <c r="A762" s="156" t="s">
        <v>887</v>
      </c>
      <c r="B762" s="157" t="s">
        <v>888</v>
      </c>
      <c r="C762" s="157">
        <v>2024</v>
      </c>
      <c r="D762" s="158">
        <v>-54.316699999999997</v>
      </c>
      <c r="E762" s="158">
        <v>-0.9667</v>
      </c>
      <c r="F762" s="159">
        <v>5.2</v>
      </c>
      <c r="G762" s="160">
        <v>3.7</v>
      </c>
      <c r="H762" s="161">
        <v>37.799999999999997</v>
      </c>
      <c r="I762" s="161">
        <v>12</v>
      </c>
      <c r="J762" s="161">
        <v>50.2</v>
      </c>
      <c r="K762" s="160">
        <v>0.3</v>
      </c>
    </row>
    <row r="763" spans="1:11" x14ac:dyDescent="0.3">
      <c r="A763" s="156" t="s">
        <v>887</v>
      </c>
      <c r="B763" s="157" t="s">
        <v>888</v>
      </c>
      <c r="C763" s="157">
        <v>2024</v>
      </c>
      <c r="D763" s="158">
        <v>-54.283299999999997</v>
      </c>
      <c r="E763" s="158">
        <v>-16.716699999999999</v>
      </c>
      <c r="F763" s="159">
        <v>5.5</v>
      </c>
      <c r="G763" s="160">
        <v>3.9</v>
      </c>
      <c r="H763" s="161">
        <v>31</v>
      </c>
      <c r="I763" s="161">
        <v>24</v>
      </c>
      <c r="J763" s="161">
        <v>45</v>
      </c>
      <c r="K763" s="160">
        <v>0.26</v>
      </c>
    </row>
    <row r="764" spans="1:11" x14ac:dyDescent="0.3">
      <c r="A764" s="156" t="s">
        <v>887</v>
      </c>
      <c r="B764" s="157" t="s">
        <v>888</v>
      </c>
      <c r="C764" s="157">
        <v>2024</v>
      </c>
      <c r="D764" s="158">
        <v>-52.066699999999997</v>
      </c>
      <c r="E764" s="158">
        <v>-9.75</v>
      </c>
      <c r="F764" s="159">
        <v>4.5999999999999996</v>
      </c>
      <c r="G764" s="160">
        <v>1.7</v>
      </c>
      <c r="H764" s="161">
        <v>54.4</v>
      </c>
      <c r="I764" s="161">
        <v>14.7</v>
      </c>
      <c r="J764" s="161">
        <v>30.9</v>
      </c>
      <c r="K764" s="160">
        <v>0.6</v>
      </c>
    </row>
    <row r="765" spans="1:11" x14ac:dyDescent="0.3">
      <c r="A765" s="156" t="s">
        <v>887</v>
      </c>
      <c r="B765" s="157" t="s">
        <v>888</v>
      </c>
      <c r="C765" s="157">
        <v>2024</v>
      </c>
      <c r="D765" s="158">
        <v>-52</v>
      </c>
      <c r="E765" s="158">
        <v>-26.3</v>
      </c>
      <c r="F765" s="159">
        <v>4.8</v>
      </c>
      <c r="G765" s="160">
        <v>12.3</v>
      </c>
      <c r="H765" s="161">
        <v>8</v>
      </c>
      <c r="I765" s="161">
        <v>19</v>
      </c>
      <c r="J765" s="161">
        <v>73</v>
      </c>
      <c r="K765" s="160">
        <v>4.18</v>
      </c>
    </row>
    <row r="766" spans="1:11" x14ac:dyDescent="0.3">
      <c r="A766" s="156" t="s">
        <v>887</v>
      </c>
      <c r="B766" s="157" t="s">
        <v>888</v>
      </c>
      <c r="C766" s="157">
        <v>2024</v>
      </c>
      <c r="D766" s="158">
        <v>-51.783299999999997</v>
      </c>
      <c r="E766" s="158">
        <v>-8.6333000000000002</v>
      </c>
      <c r="F766" s="159">
        <v>4.3</v>
      </c>
      <c r="G766" s="160">
        <v>3.4</v>
      </c>
      <c r="H766" s="161">
        <v>21.3</v>
      </c>
      <c r="I766" s="161">
        <v>42.4</v>
      </c>
      <c r="J766" s="161">
        <v>36.299999999999997</v>
      </c>
      <c r="K766" s="160">
        <v>0.3</v>
      </c>
    </row>
    <row r="767" spans="1:11" x14ac:dyDescent="0.3">
      <c r="A767" s="156" t="s">
        <v>887</v>
      </c>
      <c r="B767" s="157" t="s">
        <v>888</v>
      </c>
      <c r="C767" s="157">
        <v>2024</v>
      </c>
      <c r="D767" s="158">
        <v>-51.183300000000003</v>
      </c>
      <c r="E767" s="158">
        <v>-10.4</v>
      </c>
      <c r="F767" s="159">
        <v>4.2</v>
      </c>
      <c r="G767" s="160">
        <v>5.6</v>
      </c>
      <c r="H767" s="161">
        <v>69.2</v>
      </c>
      <c r="I767" s="161">
        <v>20.5</v>
      </c>
      <c r="J767" s="161">
        <v>10.3</v>
      </c>
      <c r="K767" s="160">
        <v>3</v>
      </c>
    </row>
    <row r="768" spans="1:11" x14ac:dyDescent="0.3">
      <c r="A768" s="156" t="s">
        <v>887</v>
      </c>
      <c r="B768" s="157" t="s">
        <v>888</v>
      </c>
      <c r="C768" s="157">
        <v>2024</v>
      </c>
      <c r="D768" s="158">
        <v>-48.566699999999997</v>
      </c>
      <c r="E768" s="158">
        <v>-18.383299999999998</v>
      </c>
      <c r="F768" s="159">
        <v>5.8</v>
      </c>
      <c r="G768" s="160">
        <v>11.5</v>
      </c>
      <c r="H768" s="161">
        <v>57</v>
      </c>
      <c r="I768" s="161">
        <v>17</v>
      </c>
      <c r="J768" s="161">
        <v>26</v>
      </c>
      <c r="K768" s="160">
        <v>2.21</v>
      </c>
    </row>
    <row r="769" spans="1:11" x14ac:dyDescent="0.3">
      <c r="A769" s="156" t="s">
        <v>887</v>
      </c>
      <c r="B769" s="157" t="s">
        <v>888</v>
      </c>
      <c r="C769" s="157">
        <v>2024</v>
      </c>
      <c r="D769" s="158">
        <v>-47.5833321</v>
      </c>
      <c r="E769" s="158">
        <v>-22.566667599999999</v>
      </c>
      <c r="F769" s="159">
        <v>6.1</v>
      </c>
      <c r="G769" s="160">
        <v>1</v>
      </c>
      <c r="H769" s="161">
        <v>17.600000000000001</v>
      </c>
      <c r="I769" s="161">
        <v>21.4</v>
      </c>
      <c r="J769" s="161">
        <v>61</v>
      </c>
      <c r="K769" s="160">
        <v>4.54</v>
      </c>
    </row>
    <row r="770" spans="1:11" x14ac:dyDescent="0.3">
      <c r="A770" s="156" t="s">
        <v>887</v>
      </c>
      <c r="B770" s="157" t="s">
        <v>888</v>
      </c>
      <c r="C770" s="157">
        <v>2024</v>
      </c>
      <c r="D770" s="158">
        <v>-47.4833</v>
      </c>
      <c r="E770" s="158">
        <v>-4.6333000000000002</v>
      </c>
      <c r="F770" s="159">
        <v>4.8</v>
      </c>
      <c r="G770" s="160">
        <v>3.5</v>
      </c>
      <c r="H770" s="161">
        <v>2</v>
      </c>
      <c r="I770" s="161">
        <v>11</v>
      </c>
      <c r="J770" s="161">
        <v>87</v>
      </c>
      <c r="K770" s="160">
        <v>0.27</v>
      </c>
    </row>
    <row r="771" spans="1:11" x14ac:dyDescent="0.3">
      <c r="A771" s="156" t="s">
        <v>887</v>
      </c>
      <c r="B771" s="157" t="s">
        <v>888</v>
      </c>
      <c r="C771" s="157">
        <v>2024</v>
      </c>
      <c r="D771" s="158">
        <v>-46.466667200000003</v>
      </c>
      <c r="E771" s="158">
        <v>-22.933332400000001</v>
      </c>
      <c r="F771" s="159">
        <v>4.5999999999999996</v>
      </c>
      <c r="G771" s="160">
        <v>2</v>
      </c>
      <c r="H771" s="161">
        <v>29.1</v>
      </c>
      <c r="I771" s="161">
        <v>10</v>
      </c>
      <c r="J771" s="161">
        <v>60.9</v>
      </c>
      <c r="K771" s="160">
        <v>2.0100000000000002</v>
      </c>
    </row>
    <row r="772" spans="1:11" x14ac:dyDescent="0.3">
      <c r="A772" s="156" t="s">
        <v>887</v>
      </c>
      <c r="B772" s="157" t="s">
        <v>888</v>
      </c>
      <c r="C772" s="157">
        <v>2024</v>
      </c>
      <c r="D772" s="158">
        <v>-46.383299999999998</v>
      </c>
      <c r="E772" s="158">
        <v>-14.8</v>
      </c>
      <c r="F772" s="159">
        <v>5.0999999999999996</v>
      </c>
      <c r="G772" s="160">
        <v>8.3000000000000007</v>
      </c>
      <c r="H772" s="161">
        <v>7</v>
      </c>
      <c r="I772" s="161">
        <v>50</v>
      </c>
      <c r="J772" s="161">
        <v>43</v>
      </c>
      <c r="K772" s="160">
        <v>0.26</v>
      </c>
    </row>
    <row r="773" spans="1:11" x14ac:dyDescent="0.3">
      <c r="A773" s="156" t="s">
        <v>887</v>
      </c>
      <c r="B773" s="157" t="s">
        <v>888</v>
      </c>
      <c r="C773" s="157">
        <v>2024</v>
      </c>
      <c r="D773" s="158">
        <v>-43.133299999999998</v>
      </c>
      <c r="E773" s="158">
        <v>-4.6833</v>
      </c>
      <c r="F773" s="159">
        <v>5.0999999999999996</v>
      </c>
      <c r="G773" s="160">
        <v>4.7</v>
      </c>
      <c r="H773" s="161">
        <v>65</v>
      </c>
      <c r="I773" s="161">
        <v>14</v>
      </c>
      <c r="J773" s="161">
        <v>21</v>
      </c>
      <c r="K773" s="160">
        <v>0.11000000000000001</v>
      </c>
    </row>
    <row r="774" spans="1:11" x14ac:dyDescent="0.3">
      <c r="A774" s="156" t="s">
        <v>887</v>
      </c>
      <c r="B774" s="157" t="s">
        <v>888</v>
      </c>
      <c r="C774" s="157">
        <v>2024</v>
      </c>
      <c r="D774" s="158">
        <v>-40.583300000000001</v>
      </c>
      <c r="E774" s="158">
        <v>-9.65</v>
      </c>
      <c r="F774" s="159">
        <v>5.8</v>
      </c>
      <c r="G774" s="160">
        <v>8.5</v>
      </c>
      <c r="H774" s="161">
        <v>46</v>
      </c>
      <c r="I774" s="161">
        <v>18</v>
      </c>
      <c r="J774" s="161">
        <v>36</v>
      </c>
      <c r="K774" s="160">
        <v>0.22999999999999998</v>
      </c>
    </row>
    <row r="775" spans="1:11" x14ac:dyDescent="0.3">
      <c r="A775" s="156" t="s">
        <v>887</v>
      </c>
      <c r="B775" s="157" t="s">
        <v>888</v>
      </c>
      <c r="C775" s="157">
        <v>2024</v>
      </c>
      <c r="D775" s="158">
        <v>-40.530799999999999</v>
      </c>
      <c r="E775" s="158">
        <v>-18.956499999999998</v>
      </c>
      <c r="F775" s="159">
        <v>6.6</v>
      </c>
      <c r="G775" s="160">
        <v>3.5</v>
      </c>
      <c r="H775" s="161">
        <v>49</v>
      </c>
      <c r="I775" s="161">
        <v>26</v>
      </c>
      <c r="J775" s="161">
        <v>25</v>
      </c>
      <c r="K775" s="160">
        <v>4.54</v>
      </c>
    </row>
    <row r="776" spans="1:11" x14ac:dyDescent="0.3">
      <c r="A776" s="156" t="s">
        <v>887</v>
      </c>
      <c r="B776" s="157" t="s">
        <v>888</v>
      </c>
      <c r="C776" s="157">
        <v>2024</v>
      </c>
      <c r="D776" s="158">
        <v>-38.916699999999999</v>
      </c>
      <c r="E776" s="158">
        <v>-4.2332999999999998</v>
      </c>
      <c r="F776" s="159">
        <v>4.9000000000000004</v>
      </c>
      <c r="G776" s="160">
        <v>16.5</v>
      </c>
      <c r="H776" s="161">
        <v>22</v>
      </c>
      <c r="I776" s="161">
        <v>14</v>
      </c>
      <c r="J776" s="161">
        <v>64</v>
      </c>
      <c r="K776" s="160">
        <v>0.7</v>
      </c>
    </row>
    <row r="777" spans="1:11" x14ac:dyDescent="0.3">
      <c r="A777" s="156" t="s">
        <v>887</v>
      </c>
      <c r="B777" s="157" t="s">
        <v>888</v>
      </c>
      <c r="C777" s="157">
        <v>2024</v>
      </c>
      <c r="D777" s="158">
        <v>-12.083333</v>
      </c>
      <c r="E777" s="158">
        <v>8.9</v>
      </c>
      <c r="F777" s="159">
        <v>4.8</v>
      </c>
      <c r="G777" s="160">
        <v>2.1</v>
      </c>
      <c r="H777" s="161">
        <v>62</v>
      </c>
      <c r="I777" s="161">
        <v>7</v>
      </c>
      <c r="J777" s="161">
        <v>18</v>
      </c>
      <c r="K777" s="160">
        <v>1.64</v>
      </c>
    </row>
    <row r="778" spans="1:11" x14ac:dyDescent="0.3">
      <c r="A778" s="156" t="s">
        <v>887</v>
      </c>
      <c r="B778" s="157" t="s">
        <v>888</v>
      </c>
      <c r="C778" s="157">
        <v>2024</v>
      </c>
      <c r="D778" s="158">
        <v>-7.983333</v>
      </c>
      <c r="E778" s="158">
        <v>12.666667</v>
      </c>
      <c r="F778" s="159">
        <v>5.3</v>
      </c>
      <c r="G778" s="160">
        <v>2.2999999999999998</v>
      </c>
      <c r="H778" s="161">
        <v>23</v>
      </c>
      <c r="I778" s="161">
        <v>43</v>
      </c>
      <c r="J778" s="161">
        <v>34</v>
      </c>
      <c r="K778" s="160">
        <v>0.12</v>
      </c>
    </row>
    <row r="779" spans="1:11" x14ac:dyDescent="0.3">
      <c r="A779" s="156" t="s">
        <v>887</v>
      </c>
      <c r="B779" s="157" t="s">
        <v>888</v>
      </c>
      <c r="C779" s="157">
        <v>2024</v>
      </c>
      <c r="D779" s="158">
        <v>-7.3333329999999997</v>
      </c>
      <c r="E779" s="158">
        <v>5.8833330000000004</v>
      </c>
      <c r="F779" s="159">
        <v>4.3</v>
      </c>
      <c r="G779" s="160">
        <v>3</v>
      </c>
      <c r="H779" s="161">
        <v>73.400000000000006</v>
      </c>
      <c r="I779" s="161">
        <v>13</v>
      </c>
      <c r="J779" s="161">
        <v>14.8</v>
      </c>
      <c r="K779" s="160">
        <v>0.93</v>
      </c>
    </row>
    <row r="780" spans="1:11" x14ac:dyDescent="0.3">
      <c r="A780" s="156" t="s">
        <v>887</v>
      </c>
      <c r="B780" s="157" t="s">
        <v>888</v>
      </c>
      <c r="C780" s="157">
        <v>2024</v>
      </c>
      <c r="D780" s="158">
        <v>-6.0799998999999998</v>
      </c>
      <c r="E780" s="158">
        <v>14.233611099999999</v>
      </c>
      <c r="F780" s="159">
        <v>6.1</v>
      </c>
      <c r="G780" s="160">
        <v>2.1</v>
      </c>
      <c r="H780" s="161">
        <v>84</v>
      </c>
      <c r="I780" s="161">
        <v>10</v>
      </c>
      <c r="J780" s="161">
        <v>6</v>
      </c>
      <c r="K780" s="160">
        <v>0.35</v>
      </c>
    </row>
    <row r="781" spans="1:11" x14ac:dyDescent="0.3">
      <c r="A781" s="156" t="s">
        <v>887</v>
      </c>
      <c r="B781" s="157" t="s">
        <v>888</v>
      </c>
      <c r="C781" s="157">
        <v>2024</v>
      </c>
      <c r="D781" s="158">
        <v>-5.665</v>
      </c>
      <c r="E781" s="158">
        <v>11.608000000000001</v>
      </c>
      <c r="F781" s="159">
        <v>4.9000000000000004</v>
      </c>
      <c r="G781" s="160">
        <v>7</v>
      </c>
      <c r="H781" s="161">
        <v>47.8</v>
      </c>
      <c r="I781" s="161">
        <v>25.8</v>
      </c>
      <c r="J781" s="161">
        <v>52.5</v>
      </c>
      <c r="K781" s="160">
        <v>1.4</v>
      </c>
    </row>
    <row r="782" spans="1:11" x14ac:dyDescent="0.3">
      <c r="A782" s="156" t="s">
        <v>887</v>
      </c>
      <c r="B782" s="157" t="s">
        <v>888</v>
      </c>
      <c r="C782" s="157">
        <v>2024</v>
      </c>
      <c r="D782" s="158">
        <v>-1.6666700000000001</v>
      </c>
      <c r="E782" s="158">
        <v>6.6666699999999999</v>
      </c>
      <c r="F782" s="159">
        <v>4.8</v>
      </c>
      <c r="G782" s="160">
        <v>3</v>
      </c>
      <c r="H782" s="161">
        <v>50.3</v>
      </c>
      <c r="I782" s="161">
        <v>10.1</v>
      </c>
      <c r="J782" s="161">
        <v>39.6</v>
      </c>
      <c r="K782" s="160">
        <v>0.4</v>
      </c>
    </row>
    <row r="783" spans="1:11" x14ac:dyDescent="0.3">
      <c r="A783" s="156" t="s">
        <v>887</v>
      </c>
      <c r="B783" s="157" t="s">
        <v>888</v>
      </c>
      <c r="C783" s="157">
        <v>2024</v>
      </c>
      <c r="D783" s="158">
        <v>-1.5310189999999999</v>
      </c>
      <c r="E783" s="158">
        <v>6.7185259999999998</v>
      </c>
      <c r="F783" s="159">
        <v>8.3000000000000007</v>
      </c>
      <c r="G783" s="160">
        <v>5.8</v>
      </c>
      <c r="H783" s="161">
        <v>70.7</v>
      </c>
      <c r="I783" s="161">
        <v>5.0999999999999996</v>
      </c>
      <c r="J783" s="161">
        <v>24.2</v>
      </c>
      <c r="K783" s="160">
        <v>0.44000000000000006</v>
      </c>
    </row>
    <row r="784" spans="1:11" x14ac:dyDescent="0.3">
      <c r="A784" s="156" t="s">
        <v>887</v>
      </c>
      <c r="B784" s="157" t="s">
        <v>888</v>
      </c>
      <c r="C784" s="157">
        <v>2024</v>
      </c>
      <c r="D784" s="158">
        <v>2.0833330000000001</v>
      </c>
      <c r="E784" s="158">
        <v>13.533333000000001</v>
      </c>
      <c r="F784" s="159">
        <v>4.9000000000000004</v>
      </c>
      <c r="G784" s="160">
        <v>2.8</v>
      </c>
      <c r="H784" s="161">
        <v>86.9</v>
      </c>
      <c r="I784" s="161">
        <v>5.9</v>
      </c>
      <c r="J784" s="161">
        <v>53</v>
      </c>
      <c r="K784" s="160">
        <v>0.09</v>
      </c>
    </row>
    <row r="785" spans="1:11" x14ac:dyDescent="0.3">
      <c r="A785" s="156" t="s">
        <v>887</v>
      </c>
      <c r="B785" s="157" t="s">
        <v>888</v>
      </c>
      <c r="C785" s="157">
        <v>2024</v>
      </c>
      <c r="D785" s="158">
        <v>2.2437999999999998</v>
      </c>
      <c r="E785" s="158">
        <v>7.2663000000000002</v>
      </c>
      <c r="F785" s="159">
        <v>6.7</v>
      </c>
      <c r="G785" s="160">
        <v>2.6</v>
      </c>
      <c r="H785" s="161">
        <v>68</v>
      </c>
      <c r="I785" s="161">
        <v>21</v>
      </c>
      <c r="J785" s="161">
        <v>11</v>
      </c>
      <c r="K785" s="160">
        <v>0.9</v>
      </c>
    </row>
    <row r="786" spans="1:11" x14ac:dyDescent="0.3">
      <c r="A786" s="156" t="s">
        <v>887</v>
      </c>
      <c r="B786" s="157" t="s">
        <v>888</v>
      </c>
      <c r="C786" s="157">
        <v>2024</v>
      </c>
      <c r="D786" s="158">
        <v>2.2944399999999998</v>
      </c>
      <c r="E786" s="158">
        <v>13.3222</v>
      </c>
      <c r="F786" s="159">
        <v>4.5</v>
      </c>
      <c r="G786" s="160">
        <v>1</v>
      </c>
      <c r="H786" s="161">
        <v>88.5</v>
      </c>
      <c r="I786" s="161">
        <v>2.2000000000000002</v>
      </c>
      <c r="J786" s="161">
        <v>9.1999999999999993</v>
      </c>
      <c r="K786" s="160">
        <v>6.9999999999999993E-2</v>
      </c>
    </row>
    <row r="787" spans="1:11" x14ac:dyDescent="0.3">
      <c r="A787" s="156" t="s">
        <v>887</v>
      </c>
      <c r="B787" s="157" t="s">
        <v>888</v>
      </c>
      <c r="C787" s="157">
        <v>2024</v>
      </c>
      <c r="D787" s="158">
        <v>2.4068000000000001</v>
      </c>
      <c r="E787" s="158">
        <v>7.1521999999999997</v>
      </c>
      <c r="F787" s="159">
        <v>7.8</v>
      </c>
      <c r="G787" s="160">
        <v>4.3</v>
      </c>
      <c r="H787" s="161">
        <v>81</v>
      </c>
      <c r="I787" s="161">
        <v>12</v>
      </c>
      <c r="J787" s="161">
        <v>7</v>
      </c>
      <c r="K787" s="160">
        <v>0.8</v>
      </c>
    </row>
    <row r="788" spans="1:11" x14ac:dyDescent="0.3">
      <c r="A788" s="156" t="s">
        <v>887</v>
      </c>
      <c r="B788" s="157" t="s">
        <v>888</v>
      </c>
      <c r="C788" s="157">
        <v>2024</v>
      </c>
      <c r="D788" s="158">
        <v>2.4371</v>
      </c>
      <c r="E788" s="158">
        <v>7.0792999999999999</v>
      </c>
      <c r="F788" s="159">
        <v>6.9</v>
      </c>
      <c r="G788" s="160">
        <v>1.7</v>
      </c>
      <c r="H788" s="161">
        <v>90</v>
      </c>
      <c r="I788" s="161">
        <v>7</v>
      </c>
      <c r="J788" s="161">
        <v>3</v>
      </c>
      <c r="K788" s="160">
        <v>0.2</v>
      </c>
    </row>
    <row r="789" spans="1:11" x14ac:dyDescent="0.3">
      <c r="A789" s="156" t="s">
        <v>887</v>
      </c>
      <c r="B789" s="157" t="s">
        <v>888</v>
      </c>
      <c r="C789" s="157">
        <v>2024</v>
      </c>
      <c r="D789" s="158">
        <v>3.5</v>
      </c>
      <c r="E789" s="158">
        <v>6.6166669999999996</v>
      </c>
      <c r="F789" s="159">
        <v>4.9000000000000004</v>
      </c>
      <c r="G789" s="160">
        <v>3.3</v>
      </c>
      <c r="H789" s="161">
        <v>41</v>
      </c>
      <c r="I789" s="161">
        <v>11</v>
      </c>
      <c r="J789" s="161">
        <v>48</v>
      </c>
      <c r="K789" s="160">
        <v>0.08</v>
      </c>
    </row>
    <row r="790" spans="1:11" x14ac:dyDescent="0.3">
      <c r="A790" s="156" t="s">
        <v>887</v>
      </c>
      <c r="B790" s="157" t="s">
        <v>888</v>
      </c>
      <c r="C790" s="157">
        <v>2024</v>
      </c>
      <c r="D790" s="158">
        <v>6.6619440000000001</v>
      </c>
      <c r="E790" s="158">
        <v>5.3238890000000003</v>
      </c>
      <c r="F790" s="159">
        <v>5.2</v>
      </c>
      <c r="G790" s="160">
        <v>3.8</v>
      </c>
      <c r="H790" s="161">
        <v>64.099999999999994</v>
      </c>
      <c r="I790" s="161">
        <v>11.3</v>
      </c>
      <c r="J790" s="161">
        <v>24.6</v>
      </c>
      <c r="K790" s="160">
        <v>0.09</v>
      </c>
    </row>
    <row r="791" spans="1:11" x14ac:dyDescent="0.3">
      <c r="A791" s="156" t="s">
        <v>887</v>
      </c>
      <c r="B791" s="157" t="s">
        <v>888</v>
      </c>
      <c r="C791" s="157">
        <v>2024</v>
      </c>
      <c r="D791" s="158">
        <v>6.95</v>
      </c>
      <c r="E791" s="158">
        <v>50.616666666666703</v>
      </c>
      <c r="F791" s="159">
        <v>4.7</v>
      </c>
      <c r="G791" s="160">
        <v>4.7</v>
      </c>
      <c r="H791" s="161">
        <v>8</v>
      </c>
      <c r="I791" s="161">
        <v>75</v>
      </c>
      <c r="J791" s="161">
        <v>17</v>
      </c>
      <c r="K791" s="160">
        <v>0.18</v>
      </c>
    </row>
    <row r="792" spans="1:11" x14ac:dyDescent="0.3">
      <c r="A792" s="156" t="s">
        <v>887</v>
      </c>
      <c r="B792" s="157" t="s">
        <v>888</v>
      </c>
      <c r="C792" s="157">
        <v>2024</v>
      </c>
      <c r="D792" s="158">
        <v>7.1666670000000003</v>
      </c>
      <c r="E792" s="158">
        <v>13.483333</v>
      </c>
      <c r="F792" s="159">
        <v>6.4</v>
      </c>
      <c r="G792" s="160">
        <v>0.7</v>
      </c>
      <c r="H792" s="161">
        <v>92.5</v>
      </c>
      <c r="I792" s="161">
        <v>3</v>
      </c>
      <c r="J792" s="161">
        <v>4.5</v>
      </c>
      <c r="K792" s="160">
        <v>0.08</v>
      </c>
    </row>
    <row r="793" spans="1:11" x14ac:dyDescent="0.3">
      <c r="A793" s="156" t="s">
        <v>887</v>
      </c>
      <c r="B793" s="157" t="s">
        <v>888</v>
      </c>
      <c r="C793" s="157">
        <v>2024</v>
      </c>
      <c r="D793" s="158">
        <v>10.657500000000001</v>
      </c>
      <c r="E793" s="158">
        <v>3.080667</v>
      </c>
      <c r="F793" s="159">
        <v>4.9000000000000004</v>
      </c>
      <c r="G793" s="160">
        <v>1</v>
      </c>
      <c r="H793" s="161">
        <v>39</v>
      </c>
      <c r="I793" s="161">
        <v>13</v>
      </c>
      <c r="J793" s="161">
        <v>47</v>
      </c>
      <c r="K793" s="160">
        <v>0.3</v>
      </c>
    </row>
    <row r="794" spans="1:11" x14ac:dyDescent="0.3">
      <c r="A794" s="156" t="s">
        <v>887</v>
      </c>
      <c r="B794" s="157" t="s">
        <v>888</v>
      </c>
      <c r="C794" s="157">
        <v>2024</v>
      </c>
      <c r="D794" s="158">
        <v>12.76</v>
      </c>
      <c r="E794" s="158">
        <v>-5.82</v>
      </c>
      <c r="F794" s="159">
        <v>4.9000000000000004</v>
      </c>
      <c r="G794" s="160">
        <v>2</v>
      </c>
      <c r="H794" s="161">
        <v>69</v>
      </c>
      <c r="I794" s="161">
        <v>9</v>
      </c>
      <c r="J794" s="161">
        <v>22</v>
      </c>
      <c r="K794" s="160">
        <v>0.32</v>
      </c>
    </row>
    <row r="795" spans="1:11" x14ac:dyDescent="0.3">
      <c r="A795" s="156" t="s">
        <v>887</v>
      </c>
      <c r="B795" s="157" t="s">
        <v>888</v>
      </c>
      <c r="C795" s="157">
        <v>2024</v>
      </c>
      <c r="D795" s="158">
        <v>14.27</v>
      </c>
      <c r="E795" s="158">
        <v>-5.63</v>
      </c>
      <c r="F795" s="159">
        <v>4.5999999999999996</v>
      </c>
      <c r="G795" s="160">
        <v>4.5999999999999996</v>
      </c>
      <c r="H795" s="161">
        <v>6</v>
      </c>
      <c r="I795" s="161">
        <v>33</v>
      </c>
      <c r="J795" s="161">
        <v>61</v>
      </c>
      <c r="K795" s="160">
        <v>0.98000000000000009</v>
      </c>
    </row>
    <row r="796" spans="1:11" x14ac:dyDescent="0.3">
      <c r="A796" s="156" t="s">
        <v>887</v>
      </c>
      <c r="B796" s="157" t="s">
        <v>888</v>
      </c>
      <c r="C796" s="157">
        <v>2024</v>
      </c>
      <c r="D796" s="158">
        <v>14.97</v>
      </c>
      <c r="E796" s="158">
        <v>-5.52</v>
      </c>
      <c r="F796" s="159">
        <v>5.0999999999999996</v>
      </c>
      <c r="G796" s="160">
        <v>4.8</v>
      </c>
      <c r="H796" s="161">
        <v>28</v>
      </c>
      <c r="I796" s="161">
        <v>40</v>
      </c>
      <c r="J796" s="161">
        <v>32</v>
      </c>
      <c r="K796" s="160">
        <v>2.1</v>
      </c>
    </row>
    <row r="797" spans="1:11" x14ac:dyDescent="0.3">
      <c r="A797" s="156" t="s">
        <v>887</v>
      </c>
      <c r="B797" s="157" t="s">
        <v>888</v>
      </c>
      <c r="C797" s="157">
        <v>2024</v>
      </c>
      <c r="D797" s="158">
        <v>22.830555</v>
      </c>
      <c r="E797" s="158">
        <v>-20.419445</v>
      </c>
      <c r="F797" s="159">
        <v>3.7</v>
      </c>
      <c r="G797" s="160">
        <v>13</v>
      </c>
      <c r="H797" s="161">
        <v>2</v>
      </c>
      <c r="I797" s="161">
        <v>24</v>
      </c>
      <c r="J797" s="161">
        <v>74</v>
      </c>
      <c r="K797" s="160">
        <v>6.4</v>
      </c>
    </row>
    <row r="798" spans="1:11" x14ac:dyDescent="0.3">
      <c r="A798" s="156" t="s">
        <v>887</v>
      </c>
      <c r="B798" s="157" t="s">
        <v>888</v>
      </c>
      <c r="C798" s="157">
        <v>2024</v>
      </c>
      <c r="D798" s="158">
        <v>22.883889</v>
      </c>
      <c r="E798" s="158">
        <v>-20.388888999999999</v>
      </c>
      <c r="F798" s="159">
        <v>6.7</v>
      </c>
      <c r="G798" s="160">
        <v>12.4</v>
      </c>
      <c r="H798" s="161">
        <v>24</v>
      </c>
      <c r="I798" s="161">
        <v>46</v>
      </c>
      <c r="J798" s="161">
        <v>30</v>
      </c>
      <c r="K798" s="160">
        <v>0.1</v>
      </c>
    </row>
    <row r="799" spans="1:11" x14ac:dyDescent="0.3">
      <c r="A799" s="156" t="s">
        <v>887</v>
      </c>
      <c r="B799" s="157" t="s">
        <v>888</v>
      </c>
      <c r="C799" s="157">
        <v>2024</v>
      </c>
      <c r="D799" s="158">
        <v>23.580556000000001</v>
      </c>
      <c r="E799" s="158">
        <v>-19.861111000000001</v>
      </c>
      <c r="F799" s="159">
        <v>8</v>
      </c>
      <c r="G799" s="160">
        <v>2.8</v>
      </c>
      <c r="H799" s="161">
        <v>92</v>
      </c>
      <c r="I799" s="161">
        <v>1</v>
      </c>
      <c r="J799" s="161">
        <v>14</v>
      </c>
      <c r="K799" s="160">
        <v>0.1</v>
      </c>
    </row>
    <row r="800" spans="1:11" x14ac:dyDescent="0.3">
      <c r="A800" s="156" t="s">
        <v>887</v>
      </c>
      <c r="B800" s="157" t="s">
        <v>888</v>
      </c>
      <c r="C800" s="157">
        <v>2024</v>
      </c>
      <c r="D800" s="158">
        <v>23.655556000000001</v>
      </c>
      <c r="E800" s="158">
        <v>-21.402778000000001</v>
      </c>
      <c r="F800" s="159">
        <v>6.5</v>
      </c>
      <c r="G800" s="160">
        <v>5.7</v>
      </c>
      <c r="H800" s="161">
        <v>85</v>
      </c>
      <c r="I800" s="161">
        <v>4</v>
      </c>
      <c r="J800" s="161">
        <v>11</v>
      </c>
      <c r="K800" s="160">
        <v>0.4</v>
      </c>
    </row>
    <row r="801" spans="1:11" x14ac:dyDescent="0.3">
      <c r="A801" s="156" t="s">
        <v>887</v>
      </c>
      <c r="B801" s="157" t="s">
        <v>888</v>
      </c>
      <c r="C801" s="157">
        <v>2024</v>
      </c>
      <c r="D801" s="158">
        <v>24.397221999999999</v>
      </c>
      <c r="E801" s="158">
        <v>-18.125</v>
      </c>
      <c r="F801" s="159">
        <v>7.5</v>
      </c>
      <c r="G801" s="160">
        <v>64.8</v>
      </c>
      <c r="H801" s="161">
        <v>20</v>
      </c>
      <c r="I801" s="161">
        <v>67</v>
      </c>
      <c r="J801" s="161">
        <v>13</v>
      </c>
      <c r="K801" s="160">
        <v>2.2000000000000002</v>
      </c>
    </row>
    <row r="802" spans="1:11" x14ac:dyDescent="0.3">
      <c r="A802" s="156" t="s">
        <v>887</v>
      </c>
      <c r="B802" s="157" t="s">
        <v>888</v>
      </c>
      <c r="C802" s="157">
        <v>2024</v>
      </c>
      <c r="D802" s="158">
        <v>24.483333600000002</v>
      </c>
      <c r="E802" s="158">
        <v>-14.6</v>
      </c>
      <c r="F802" s="159">
        <v>5.9</v>
      </c>
      <c r="G802" s="160">
        <v>1.35</v>
      </c>
      <c r="H802" s="161">
        <v>64.900000000000006</v>
      </c>
      <c r="I802" s="161">
        <v>14.1</v>
      </c>
      <c r="J802" s="161">
        <v>21</v>
      </c>
      <c r="K802" s="160">
        <v>1.23</v>
      </c>
    </row>
    <row r="803" spans="1:11" x14ac:dyDescent="0.3">
      <c r="A803" s="156" t="s">
        <v>887</v>
      </c>
      <c r="B803" s="157" t="s">
        <v>888</v>
      </c>
      <c r="C803" s="157">
        <v>2024</v>
      </c>
      <c r="D803" s="158">
        <v>24.600000399999999</v>
      </c>
      <c r="E803" s="158">
        <v>57.099998499999998</v>
      </c>
      <c r="F803" s="159">
        <v>4</v>
      </c>
      <c r="G803" s="160">
        <v>3.3</v>
      </c>
      <c r="H803" s="161">
        <v>96.1</v>
      </c>
      <c r="I803" s="161">
        <v>3.9</v>
      </c>
      <c r="J803" s="161">
        <v>0</v>
      </c>
      <c r="K803" s="160">
        <v>2.4</v>
      </c>
    </row>
    <row r="804" spans="1:11" x14ac:dyDescent="0.3">
      <c r="A804" s="156" t="s">
        <v>887</v>
      </c>
      <c r="B804" s="157" t="s">
        <v>888</v>
      </c>
      <c r="C804" s="157">
        <v>2024</v>
      </c>
      <c r="D804" s="158">
        <v>24.919443999999999</v>
      </c>
      <c r="E804" s="158">
        <v>-18.536110999999998</v>
      </c>
      <c r="F804" s="159">
        <v>8</v>
      </c>
      <c r="G804" s="160">
        <v>62.7</v>
      </c>
      <c r="H804" s="161">
        <v>47</v>
      </c>
      <c r="I804" s="161">
        <v>16</v>
      </c>
      <c r="J804" s="161">
        <v>37</v>
      </c>
      <c r="K804" s="160">
        <v>0.5</v>
      </c>
    </row>
    <row r="805" spans="1:11" x14ac:dyDescent="0.3">
      <c r="A805" s="156" t="s">
        <v>887</v>
      </c>
      <c r="B805" s="157" t="s">
        <v>888</v>
      </c>
      <c r="C805" s="157">
        <v>2024</v>
      </c>
      <c r="D805" s="158">
        <v>25.15</v>
      </c>
      <c r="E805" s="158">
        <v>-18.834721999999999</v>
      </c>
      <c r="F805" s="159">
        <v>6.9</v>
      </c>
      <c r="G805" s="160">
        <v>11.8</v>
      </c>
      <c r="H805" s="161">
        <v>87</v>
      </c>
      <c r="I805" s="161">
        <v>3</v>
      </c>
      <c r="J805" s="161">
        <v>10</v>
      </c>
      <c r="K805" s="160">
        <v>0.7</v>
      </c>
    </row>
    <row r="806" spans="1:11" x14ac:dyDescent="0.3">
      <c r="A806" s="156" t="s">
        <v>887</v>
      </c>
      <c r="B806" s="157" t="s">
        <v>888</v>
      </c>
      <c r="C806" s="157">
        <v>2024</v>
      </c>
      <c r="D806" s="158">
        <v>25.628056000000001</v>
      </c>
      <c r="E806" s="158">
        <v>-18.619721999999999</v>
      </c>
      <c r="F806" s="159">
        <v>5.2</v>
      </c>
      <c r="G806" s="160">
        <v>1.25</v>
      </c>
      <c r="H806" s="161">
        <v>92</v>
      </c>
      <c r="I806" s="161">
        <v>2</v>
      </c>
      <c r="J806" s="161">
        <v>9</v>
      </c>
      <c r="K806" s="160">
        <v>0.5</v>
      </c>
    </row>
    <row r="807" spans="1:11" x14ac:dyDescent="0.3">
      <c r="A807" s="156" t="s">
        <v>887</v>
      </c>
      <c r="B807" s="157" t="s">
        <v>888</v>
      </c>
      <c r="C807" s="157">
        <v>2024</v>
      </c>
      <c r="D807" s="158">
        <v>25.629722222222199</v>
      </c>
      <c r="E807" s="158">
        <v>58.279722222222198</v>
      </c>
      <c r="F807" s="159">
        <v>5.7</v>
      </c>
      <c r="G807" s="160">
        <v>5.3</v>
      </c>
      <c r="H807" s="161">
        <v>66</v>
      </c>
      <c r="I807" s="161">
        <v>26</v>
      </c>
      <c r="J807" s="161">
        <v>8</v>
      </c>
      <c r="K807" s="160">
        <v>0.1</v>
      </c>
    </row>
    <row r="808" spans="1:11" x14ac:dyDescent="0.3">
      <c r="A808" s="156" t="s">
        <v>887</v>
      </c>
      <c r="B808" s="157" t="s">
        <v>888</v>
      </c>
      <c r="C808" s="157">
        <v>2024</v>
      </c>
      <c r="D808" s="158">
        <v>25.739170000000001</v>
      </c>
      <c r="E808" s="158">
        <v>-33.283050000000003</v>
      </c>
      <c r="F808" s="159">
        <v>5.3</v>
      </c>
      <c r="G808" s="160">
        <v>2.5</v>
      </c>
      <c r="H808" s="161">
        <v>67</v>
      </c>
      <c r="I808" s="161">
        <v>15</v>
      </c>
      <c r="J808" s="161">
        <v>15</v>
      </c>
      <c r="K808" s="160">
        <v>1.5</v>
      </c>
    </row>
    <row r="809" spans="1:11" x14ac:dyDescent="0.3">
      <c r="A809" s="156" t="s">
        <v>887</v>
      </c>
      <c r="B809" s="157" t="s">
        <v>888</v>
      </c>
      <c r="C809" s="157">
        <v>2024</v>
      </c>
      <c r="D809" s="158">
        <v>27.026667</v>
      </c>
      <c r="E809" s="158">
        <v>-20.911110999999998</v>
      </c>
      <c r="F809" s="159">
        <v>6</v>
      </c>
      <c r="G809" s="160">
        <v>1.95</v>
      </c>
      <c r="H809" s="161">
        <v>85.1</v>
      </c>
      <c r="I809" s="161">
        <v>9.8000000000000007</v>
      </c>
      <c r="J809" s="161">
        <v>6</v>
      </c>
      <c r="K809" s="160">
        <v>0.43</v>
      </c>
    </row>
    <row r="810" spans="1:11" x14ac:dyDescent="0.3">
      <c r="A810" s="156" t="s">
        <v>887</v>
      </c>
      <c r="B810" s="157" t="s">
        <v>888</v>
      </c>
      <c r="C810" s="157">
        <v>2024</v>
      </c>
      <c r="D810" s="158">
        <v>27.682780000000001</v>
      </c>
      <c r="E810" s="158">
        <v>-31.3</v>
      </c>
      <c r="F810" s="159">
        <v>6.4</v>
      </c>
      <c r="G810" s="160">
        <v>3.5</v>
      </c>
      <c r="H810" s="161">
        <v>60</v>
      </c>
      <c r="I810" s="161">
        <v>25</v>
      </c>
      <c r="J810" s="161">
        <v>13</v>
      </c>
      <c r="K810" s="160">
        <v>0.88000000000000012</v>
      </c>
    </row>
    <row r="811" spans="1:11" x14ac:dyDescent="0.3">
      <c r="A811" s="156" t="s">
        <v>887</v>
      </c>
      <c r="B811" s="157" t="s">
        <v>888</v>
      </c>
      <c r="C811" s="157">
        <v>2024</v>
      </c>
      <c r="D811" s="158">
        <v>27.734999999999999</v>
      </c>
      <c r="E811" s="158">
        <v>-21.848610999999998</v>
      </c>
      <c r="F811" s="159">
        <v>6.8</v>
      </c>
      <c r="G811" s="160">
        <v>5.5</v>
      </c>
      <c r="H811" s="161">
        <v>86</v>
      </c>
      <c r="I811" s="161">
        <v>7</v>
      </c>
      <c r="J811" s="161">
        <v>7</v>
      </c>
      <c r="K811" s="160">
        <v>0.2</v>
      </c>
    </row>
    <row r="812" spans="1:11" x14ac:dyDescent="0.3">
      <c r="A812" s="156" t="s">
        <v>887</v>
      </c>
      <c r="B812" s="157" t="s">
        <v>888</v>
      </c>
      <c r="C812" s="157">
        <v>2024</v>
      </c>
      <c r="D812" s="158">
        <v>27.75</v>
      </c>
      <c r="E812" s="158">
        <v>-29.15</v>
      </c>
      <c r="F812" s="159">
        <v>6.9</v>
      </c>
      <c r="G812" s="160">
        <v>2.25</v>
      </c>
      <c r="H812" s="161">
        <v>44</v>
      </c>
      <c r="I812" s="161">
        <v>16</v>
      </c>
      <c r="J812" s="161">
        <v>40</v>
      </c>
      <c r="K812" s="160">
        <v>0.48</v>
      </c>
    </row>
    <row r="813" spans="1:11" x14ac:dyDescent="0.3">
      <c r="A813" s="156" t="s">
        <v>887</v>
      </c>
      <c r="B813" s="157" t="s">
        <v>888</v>
      </c>
      <c r="C813" s="157">
        <v>2024</v>
      </c>
      <c r="D813" s="158">
        <v>27.75</v>
      </c>
      <c r="E813" s="158">
        <v>-15.8166666</v>
      </c>
      <c r="F813" s="159">
        <v>5.4</v>
      </c>
      <c r="G813" s="160">
        <v>5.2</v>
      </c>
      <c r="H813" s="161">
        <v>47</v>
      </c>
      <c r="I813" s="161">
        <v>10</v>
      </c>
      <c r="J813" s="161">
        <v>43</v>
      </c>
      <c r="K813" s="160">
        <v>0.52</v>
      </c>
    </row>
    <row r="814" spans="1:11" x14ac:dyDescent="0.3">
      <c r="A814" s="156" t="s">
        <v>887</v>
      </c>
      <c r="B814" s="157" t="s">
        <v>888</v>
      </c>
      <c r="C814" s="157">
        <v>2024</v>
      </c>
      <c r="D814" s="158">
        <v>27.916665999999999</v>
      </c>
      <c r="E814" s="158">
        <v>-15.7666664</v>
      </c>
      <c r="F814" s="159">
        <v>8.1999999999999993</v>
      </c>
      <c r="G814" s="160">
        <v>34</v>
      </c>
      <c r="H814" s="161">
        <v>26.9</v>
      </c>
      <c r="I814" s="161">
        <v>20.7</v>
      </c>
      <c r="J814" s="161">
        <v>52.4</v>
      </c>
      <c r="K814" s="160">
        <v>0.57000000000000006</v>
      </c>
    </row>
    <row r="815" spans="1:11" x14ac:dyDescent="0.3">
      <c r="A815" s="156" t="s">
        <v>887</v>
      </c>
      <c r="B815" s="157" t="s">
        <v>888</v>
      </c>
      <c r="C815" s="157">
        <v>2024</v>
      </c>
      <c r="D815" s="158">
        <v>28.293330000000001</v>
      </c>
      <c r="E815" s="158">
        <v>-24.1</v>
      </c>
      <c r="F815" s="159">
        <v>5.0999999999999996</v>
      </c>
      <c r="G815" s="160">
        <v>0.9</v>
      </c>
      <c r="H815" s="161">
        <v>84</v>
      </c>
      <c r="I815" s="161">
        <v>6</v>
      </c>
      <c r="J815" s="161">
        <v>8</v>
      </c>
      <c r="K815" s="160">
        <v>0.2</v>
      </c>
    </row>
    <row r="816" spans="1:11" x14ac:dyDescent="0.3">
      <c r="A816" s="156" t="s">
        <v>887</v>
      </c>
      <c r="B816" s="157" t="s">
        <v>888</v>
      </c>
      <c r="C816" s="157">
        <v>2024</v>
      </c>
      <c r="D816" s="158">
        <v>28.386109999999999</v>
      </c>
      <c r="E816" s="158">
        <v>-26.08333</v>
      </c>
      <c r="F816" s="159">
        <v>5.0999999999999996</v>
      </c>
      <c r="G816" s="160">
        <v>2.1</v>
      </c>
      <c r="H816" s="161">
        <v>74</v>
      </c>
      <c r="I816" s="161">
        <v>8</v>
      </c>
      <c r="J816" s="161">
        <v>15</v>
      </c>
      <c r="K816" s="160">
        <v>0.5</v>
      </c>
    </row>
    <row r="817" spans="1:11" x14ac:dyDescent="0.3">
      <c r="A817" s="156" t="s">
        <v>887</v>
      </c>
      <c r="B817" s="157" t="s">
        <v>888</v>
      </c>
      <c r="C817" s="157">
        <v>2024</v>
      </c>
      <c r="D817" s="158">
        <v>29.033059999999999</v>
      </c>
      <c r="E817" s="158">
        <v>-30.593610000000002</v>
      </c>
      <c r="F817" s="159">
        <v>4.7</v>
      </c>
      <c r="G817" s="160">
        <v>5.7</v>
      </c>
      <c r="H817" s="161">
        <v>22</v>
      </c>
      <c r="I817" s="161">
        <v>34</v>
      </c>
      <c r="J817" s="161">
        <v>42</v>
      </c>
      <c r="K817" s="160">
        <v>1.1800000000000002</v>
      </c>
    </row>
    <row r="818" spans="1:11" x14ac:dyDescent="0.3">
      <c r="A818" s="156" t="s">
        <v>887</v>
      </c>
      <c r="B818" s="157" t="s">
        <v>888</v>
      </c>
      <c r="C818" s="157">
        <v>2024</v>
      </c>
      <c r="D818" s="158">
        <v>29.316666999999999</v>
      </c>
      <c r="E818" s="158">
        <v>-3.3666670000000001</v>
      </c>
      <c r="F818" s="159">
        <v>5.3</v>
      </c>
      <c r="G818" s="160">
        <v>1</v>
      </c>
      <c r="H818" s="161">
        <v>54.8</v>
      </c>
      <c r="I818" s="161">
        <v>17.899999999999999</v>
      </c>
      <c r="J818" s="161">
        <v>27.3</v>
      </c>
      <c r="K818" s="160">
        <v>1.8399999999999999</v>
      </c>
    </row>
    <row r="819" spans="1:11" x14ac:dyDescent="0.3">
      <c r="A819" s="156" t="s">
        <v>887</v>
      </c>
      <c r="B819" s="157" t="s">
        <v>888</v>
      </c>
      <c r="C819" s="157">
        <v>2024</v>
      </c>
      <c r="D819" s="158">
        <v>29.57</v>
      </c>
      <c r="E819" s="158">
        <v>-2.57</v>
      </c>
      <c r="F819" s="159">
        <v>4.7</v>
      </c>
      <c r="G819" s="160">
        <v>3.5</v>
      </c>
      <c r="H819" s="161">
        <v>53</v>
      </c>
      <c r="I819" s="161">
        <v>8</v>
      </c>
      <c r="J819" s="161">
        <v>40</v>
      </c>
      <c r="K819" s="160">
        <v>1.08</v>
      </c>
    </row>
    <row r="820" spans="1:11" x14ac:dyDescent="0.3">
      <c r="A820" s="156" t="s">
        <v>887</v>
      </c>
      <c r="B820" s="157" t="s">
        <v>888</v>
      </c>
      <c r="C820" s="157">
        <v>2024</v>
      </c>
      <c r="D820" s="158">
        <v>29.6</v>
      </c>
      <c r="E820" s="158">
        <v>-2.54</v>
      </c>
      <c r="F820" s="159">
        <v>4.4000000000000004</v>
      </c>
      <c r="G820" s="160">
        <v>3.1</v>
      </c>
      <c r="H820" s="161">
        <v>35</v>
      </c>
      <c r="I820" s="161">
        <v>11</v>
      </c>
      <c r="J820" s="161">
        <v>54</v>
      </c>
      <c r="K820" s="160">
        <v>0.53</v>
      </c>
    </row>
    <row r="821" spans="1:11" x14ac:dyDescent="0.3">
      <c r="A821" s="156" t="s">
        <v>887</v>
      </c>
      <c r="B821" s="157" t="s">
        <v>888</v>
      </c>
      <c r="C821" s="157">
        <v>2024</v>
      </c>
      <c r="D821" s="158">
        <v>29.62</v>
      </c>
      <c r="E821" s="158">
        <v>-1.75</v>
      </c>
      <c r="F821" s="159">
        <v>5.2</v>
      </c>
      <c r="G821" s="160">
        <v>6.9</v>
      </c>
      <c r="H821" s="161">
        <v>41</v>
      </c>
      <c r="I821" s="161">
        <v>21</v>
      </c>
      <c r="J821" s="161">
        <v>38</v>
      </c>
      <c r="K821" s="160">
        <v>1.1099999999999999</v>
      </c>
    </row>
    <row r="822" spans="1:11" x14ac:dyDescent="0.3">
      <c r="A822" s="156" t="s">
        <v>887</v>
      </c>
      <c r="B822" s="157" t="s">
        <v>888</v>
      </c>
      <c r="C822" s="157">
        <v>2024</v>
      </c>
      <c r="D822" s="158">
        <v>29.67</v>
      </c>
      <c r="E822" s="158">
        <v>-2.35</v>
      </c>
      <c r="F822" s="159">
        <v>5</v>
      </c>
      <c r="G822" s="160">
        <v>1.9</v>
      </c>
      <c r="H822" s="161">
        <v>84</v>
      </c>
      <c r="I822" s="161">
        <v>14</v>
      </c>
      <c r="J822" s="161">
        <v>2</v>
      </c>
      <c r="K822" s="160">
        <v>0.06</v>
      </c>
    </row>
    <row r="823" spans="1:11" x14ac:dyDescent="0.3">
      <c r="A823" s="156" t="s">
        <v>887</v>
      </c>
      <c r="B823" s="157" t="s">
        <v>888</v>
      </c>
      <c r="C823" s="157">
        <v>2024</v>
      </c>
      <c r="D823" s="158">
        <v>29.741669999999999</v>
      </c>
      <c r="E823" s="158">
        <v>-25.24333</v>
      </c>
      <c r="F823" s="159">
        <v>5.3</v>
      </c>
      <c r="G823" s="160">
        <v>1.4</v>
      </c>
      <c r="H823" s="161">
        <v>51</v>
      </c>
      <c r="I823" s="161">
        <v>11</v>
      </c>
      <c r="J823" s="161">
        <v>39</v>
      </c>
      <c r="K823" s="160">
        <v>0.4</v>
      </c>
    </row>
    <row r="824" spans="1:11" x14ac:dyDescent="0.3">
      <c r="A824" s="156" t="s">
        <v>887</v>
      </c>
      <c r="B824" s="157" t="s">
        <v>888</v>
      </c>
      <c r="C824" s="157">
        <v>2024</v>
      </c>
      <c r="D824" s="158">
        <v>29.75</v>
      </c>
      <c r="E824" s="158">
        <v>-2.5166667</v>
      </c>
      <c r="F824" s="159">
        <v>5.0999999999999996</v>
      </c>
      <c r="G824" s="160">
        <v>5.5</v>
      </c>
      <c r="H824" s="161">
        <v>34.5</v>
      </c>
      <c r="I824" s="161">
        <v>9</v>
      </c>
      <c r="J824" s="161">
        <v>56.5</v>
      </c>
      <c r="K824" s="160">
        <v>1.17</v>
      </c>
    </row>
    <row r="825" spans="1:11" x14ac:dyDescent="0.3">
      <c r="A825" s="156" t="s">
        <v>887</v>
      </c>
      <c r="B825" s="157" t="s">
        <v>888</v>
      </c>
      <c r="C825" s="157">
        <v>2024</v>
      </c>
      <c r="D825" s="158">
        <v>29.774999600000001</v>
      </c>
      <c r="E825" s="158">
        <v>-2.3655555000000001</v>
      </c>
      <c r="F825" s="159">
        <v>4.5</v>
      </c>
      <c r="G825" s="160">
        <v>4.05</v>
      </c>
      <c r="H825" s="161">
        <v>54</v>
      </c>
      <c r="I825" s="161">
        <v>9</v>
      </c>
      <c r="J825" s="161">
        <v>37</v>
      </c>
      <c r="K825" s="160">
        <v>1.03</v>
      </c>
    </row>
    <row r="826" spans="1:11" x14ac:dyDescent="0.3">
      <c r="A826" s="156" t="s">
        <v>887</v>
      </c>
      <c r="B826" s="157" t="s">
        <v>888</v>
      </c>
      <c r="C826" s="157">
        <v>2024</v>
      </c>
      <c r="D826" s="158">
        <v>30</v>
      </c>
      <c r="E826" s="158">
        <v>-1.44</v>
      </c>
      <c r="F826" s="159">
        <v>4</v>
      </c>
      <c r="G826" s="160">
        <v>70.7</v>
      </c>
      <c r="H826" s="161">
        <v>1</v>
      </c>
      <c r="I826" s="161">
        <v>35</v>
      </c>
      <c r="J826" s="161">
        <v>64</v>
      </c>
      <c r="K826" s="160">
        <v>29.07</v>
      </c>
    </row>
    <row r="827" spans="1:11" x14ac:dyDescent="0.3">
      <c r="A827" s="156" t="s">
        <v>887</v>
      </c>
      <c r="B827" s="157" t="s">
        <v>888</v>
      </c>
      <c r="C827" s="157">
        <v>2024</v>
      </c>
      <c r="D827" s="158">
        <v>30.216699600219702</v>
      </c>
      <c r="E827" s="158">
        <v>-2.3499999046325701</v>
      </c>
      <c r="F827" s="159">
        <v>4.9000000000000004</v>
      </c>
      <c r="G827" s="160">
        <v>4.55</v>
      </c>
      <c r="H827" s="161">
        <v>42</v>
      </c>
      <c r="I827" s="161">
        <v>9</v>
      </c>
      <c r="J827" s="161">
        <v>49</v>
      </c>
      <c r="K827" s="160">
        <v>0.52</v>
      </c>
    </row>
    <row r="828" spans="1:11" x14ac:dyDescent="0.3">
      <c r="A828" s="156" t="s">
        <v>887</v>
      </c>
      <c r="B828" s="157" t="s">
        <v>888</v>
      </c>
      <c r="C828" s="157">
        <v>2024</v>
      </c>
      <c r="D828" s="158">
        <v>30.308332400000001</v>
      </c>
      <c r="E828" s="158">
        <v>-29.4138889</v>
      </c>
      <c r="F828" s="159">
        <v>5.2</v>
      </c>
      <c r="G828" s="160">
        <v>4.9000000000000004</v>
      </c>
      <c r="H828" s="161">
        <v>26</v>
      </c>
      <c r="I828" s="161">
        <v>55</v>
      </c>
      <c r="J828" s="161">
        <v>19</v>
      </c>
      <c r="K828" s="160">
        <v>11.73</v>
      </c>
    </row>
    <row r="829" spans="1:11" x14ac:dyDescent="0.3">
      <c r="A829" s="156" t="s">
        <v>887</v>
      </c>
      <c r="B829" s="157" t="s">
        <v>888</v>
      </c>
      <c r="C829" s="157">
        <v>2024</v>
      </c>
      <c r="D829" s="158">
        <v>30.37</v>
      </c>
      <c r="E829" s="158">
        <v>-1.88</v>
      </c>
      <c r="F829" s="159">
        <v>5</v>
      </c>
      <c r="G829" s="160">
        <v>8.0500000000000007</v>
      </c>
      <c r="H829" s="161">
        <v>21</v>
      </c>
      <c r="I829" s="161">
        <v>5</v>
      </c>
      <c r="J829" s="161">
        <v>74</v>
      </c>
      <c r="K829" s="160">
        <v>6.9999999999999993E-2</v>
      </c>
    </row>
    <row r="830" spans="1:11" x14ac:dyDescent="0.3">
      <c r="A830" s="156" t="s">
        <v>887</v>
      </c>
      <c r="B830" s="157" t="s">
        <v>888</v>
      </c>
      <c r="C830" s="157">
        <v>2024</v>
      </c>
      <c r="D830" s="158">
        <v>31.113330000000001</v>
      </c>
      <c r="E830" s="158">
        <v>-27.886669999999999</v>
      </c>
      <c r="F830" s="159">
        <v>4.7</v>
      </c>
      <c r="G830" s="160">
        <v>3.3</v>
      </c>
      <c r="H830" s="161">
        <v>69</v>
      </c>
      <c r="I830" s="161">
        <v>5</v>
      </c>
      <c r="J830" s="161">
        <v>23</v>
      </c>
      <c r="K830" s="160">
        <v>0.8</v>
      </c>
    </row>
    <row r="831" spans="1:11" x14ac:dyDescent="0.3">
      <c r="A831" s="156" t="s">
        <v>887</v>
      </c>
      <c r="B831" s="157" t="s">
        <v>888</v>
      </c>
      <c r="C831" s="157">
        <v>2024</v>
      </c>
      <c r="D831" s="158">
        <v>31.166665999999999</v>
      </c>
      <c r="E831" s="158">
        <v>-10.166667</v>
      </c>
      <c r="F831" s="159">
        <v>5.3</v>
      </c>
      <c r="G831" s="160">
        <v>2.8</v>
      </c>
      <c r="H831" s="161">
        <v>78</v>
      </c>
      <c r="I831" s="161">
        <v>2</v>
      </c>
      <c r="J831" s="161">
        <v>20</v>
      </c>
      <c r="K831" s="160">
        <v>6.9999999999999993E-2</v>
      </c>
    </row>
    <row r="832" spans="1:11" x14ac:dyDescent="0.3">
      <c r="A832" s="156" t="s">
        <v>887</v>
      </c>
      <c r="B832" s="157" t="s">
        <v>888</v>
      </c>
      <c r="C832" s="157">
        <v>2024</v>
      </c>
      <c r="D832" s="158">
        <v>31.2655563</v>
      </c>
      <c r="E832" s="158">
        <v>-17.889165899999998</v>
      </c>
      <c r="F832" s="159">
        <v>4.5999999999999996</v>
      </c>
      <c r="G832" s="160">
        <v>1</v>
      </c>
      <c r="H832" s="161">
        <v>67.7</v>
      </c>
      <c r="I832" s="161">
        <v>9.6</v>
      </c>
      <c r="J832" s="161">
        <v>22.7</v>
      </c>
      <c r="K832" s="160">
        <v>6.9999999999999993E-2</v>
      </c>
    </row>
    <row r="833" spans="1:11" x14ac:dyDescent="0.3">
      <c r="A833" s="156" t="s">
        <v>887</v>
      </c>
      <c r="B833" s="157" t="s">
        <v>888</v>
      </c>
      <c r="C833" s="157">
        <v>2024</v>
      </c>
      <c r="D833" s="158">
        <v>31.553329999999999</v>
      </c>
      <c r="E833" s="158">
        <v>-25.627220000000001</v>
      </c>
      <c r="F833" s="159">
        <v>6.1</v>
      </c>
      <c r="G833" s="160">
        <v>8.1999999999999993</v>
      </c>
      <c r="H833" s="161">
        <v>36</v>
      </c>
      <c r="I833" s="161">
        <v>18</v>
      </c>
      <c r="J833" s="161">
        <v>44</v>
      </c>
      <c r="K833" s="160">
        <v>0.5</v>
      </c>
    </row>
    <row r="834" spans="1:11" x14ac:dyDescent="0.3">
      <c r="A834" s="156" t="s">
        <v>887</v>
      </c>
      <c r="B834" s="157" t="s">
        <v>888</v>
      </c>
      <c r="C834" s="157">
        <v>2024</v>
      </c>
      <c r="D834" s="158">
        <v>32.533332999999999</v>
      </c>
      <c r="E834" s="158">
        <v>15.55</v>
      </c>
      <c r="F834" s="159">
        <v>7.9</v>
      </c>
      <c r="G834" s="160">
        <v>36.4</v>
      </c>
      <c r="H834" s="161">
        <v>60.5</v>
      </c>
      <c r="I834" s="161">
        <v>11.5</v>
      </c>
      <c r="J834" s="161">
        <v>28</v>
      </c>
      <c r="K834" s="160">
        <v>0.22000000000000003</v>
      </c>
    </row>
    <row r="835" spans="1:11" x14ac:dyDescent="0.3">
      <c r="A835" s="156" t="s">
        <v>887</v>
      </c>
      <c r="B835" s="157" t="s">
        <v>888</v>
      </c>
      <c r="C835" s="157">
        <v>2024</v>
      </c>
      <c r="D835" s="158">
        <v>32.533889799999997</v>
      </c>
      <c r="E835" s="158">
        <v>0.41333330000000001</v>
      </c>
      <c r="F835" s="159">
        <v>5.4</v>
      </c>
      <c r="G835" s="160">
        <v>4.2</v>
      </c>
      <c r="H835" s="161">
        <v>26.6</v>
      </c>
      <c r="I835" s="161">
        <v>8.1</v>
      </c>
      <c r="J835" s="161">
        <v>65.3</v>
      </c>
      <c r="K835" s="160">
        <v>0.73</v>
      </c>
    </row>
    <row r="836" spans="1:11" x14ac:dyDescent="0.3">
      <c r="A836" s="156" t="s">
        <v>887</v>
      </c>
      <c r="B836" s="157" t="s">
        <v>888</v>
      </c>
      <c r="C836" s="157">
        <v>2024</v>
      </c>
      <c r="D836" s="158">
        <v>37.366667</v>
      </c>
      <c r="E836" s="158">
        <v>-1.8727780000000001</v>
      </c>
      <c r="F836" s="159">
        <v>4.8</v>
      </c>
      <c r="G836" s="160">
        <v>5.2</v>
      </c>
      <c r="H836" s="161">
        <v>34.299999999999997</v>
      </c>
      <c r="I836" s="161">
        <v>5</v>
      </c>
      <c r="J836" s="161">
        <v>57.1</v>
      </c>
      <c r="K836" s="160">
        <v>0.55000000000000004</v>
      </c>
    </row>
    <row r="837" spans="1:11" x14ac:dyDescent="0.3">
      <c r="A837" s="156" t="s">
        <v>887</v>
      </c>
      <c r="B837" s="157" t="s">
        <v>888</v>
      </c>
      <c r="C837" s="157">
        <v>2024</v>
      </c>
      <c r="D837" s="158">
        <v>38.116667</v>
      </c>
      <c r="E837" s="158">
        <v>-1.631111</v>
      </c>
      <c r="F837" s="159">
        <v>6</v>
      </c>
      <c r="G837" s="160">
        <v>8.6999999999999993</v>
      </c>
      <c r="H837" s="161">
        <v>55</v>
      </c>
      <c r="I837" s="161">
        <v>7</v>
      </c>
      <c r="J837" s="161">
        <v>38</v>
      </c>
      <c r="K837" s="160">
        <v>0.67999999999999994</v>
      </c>
    </row>
    <row r="838" spans="1:11" x14ac:dyDescent="0.3">
      <c r="A838" s="156" t="s">
        <v>887</v>
      </c>
      <c r="B838" s="157" t="s">
        <v>888</v>
      </c>
      <c r="C838" s="157">
        <v>2024</v>
      </c>
      <c r="D838" s="158">
        <v>39.833333000000003</v>
      </c>
      <c r="E838" s="158">
        <v>-3.45</v>
      </c>
      <c r="F838" s="159">
        <v>5.3</v>
      </c>
      <c r="G838" s="160">
        <v>1</v>
      </c>
      <c r="H838" s="161">
        <v>73.3</v>
      </c>
      <c r="I838" s="161">
        <v>0.8</v>
      </c>
      <c r="J838" s="161">
        <v>25.9</v>
      </c>
      <c r="K838" s="160">
        <v>0.24</v>
      </c>
    </row>
    <row r="839" spans="1:11" x14ac:dyDescent="0.3">
      <c r="A839" s="156" t="s">
        <v>887</v>
      </c>
      <c r="B839" s="157" t="s">
        <v>888</v>
      </c>
      <c r="C839" s="157">
        <v>2024</v>
      </c>
      <c r="D839" s="158">
        <v>42.820656</v>
      </c>
      <c r="E839" s="158">
        <v>0.45440799999999998</v>
      </c>
      <c r="F839" s="159">
        <v>8.1</v>
      </c>
      <c r="G839" s="160">
        <v>25.7</v>
      </c>
      <c r="H839" s="161">
        <v>49</v>
      </c>
      <c r="I839" s="161">
        <v>14</v>
      </c>
      <c r="J839" s="161">
        <v>37</v>
      </c>
      <c r="K839" s="160">
        <v>0.54</v>
      </c>
    </row>
    <row r="840" spans="1:11" x14ac:dyDescent="0.3">
      <c r="A840" s="156" t="s">
        <v>887</v>
      </c>
      <c r="B840" s="157" t="s">
        <v>888</v>
      </c>
      <c r="C840" s="157">
        <v>2024</v>
      </c>
      <c r="D840" s="158">
        <v>44</v>
      </c>
      <c r="E840" s="158">
        <v>60.9</v>
      </c>
      <c r="F840" s="159">
        <v>5</v>
      </c>
      <c r="G840" s="160">
        <v>1.5</v>
      </c>
      <c r="H840" s="161">
        <v>65</v>
      </c>
      <c r="I840" s="161">
        <v>31</v>
      </c>
      <c r="J840" s="161">
        <v>4</v>
      </c>
      <c r="K840" s="160">
        <v>0.4</v>
      </c>
    </row>
    <row r="841" spans="1:11" x14ac:dyDescent="0.3">
      <c r="A841" s="156" t="s">
        <v>887</v>
      </c>
      <c r="B841" s="157" t="s">
        <v>888</v>
      </c>
      <c r="C841" s="157">
        <v>2024</v>
      </c>
      <c r="D841" s="158">
        <v>59</v>
      </c>
      <c r="E841" s="158">
        <v>58</v>
      </c>
      <c r="F841" s="159">
        <v>5.2</v>
      </c>
      <c r="G841" s="160">
        <v>15.8</v>
      </c>
      <c r="H841" s="161">
        <v>27</v>
      </c>
      <c r="I841" s="161">
        <v>49</v>
      </c>
      <c r="J841" s="161">
        <v>24</v>
      </c>
      <c r="K841" s="160">
        <v>0.98000000000000009</v>
      </c>
    </row>
    <row r="842" spans="1:11" x14ac:dyDescent="0.3">
      <c r="A842" s="156" t="s">
        <v>887</v>
      </c>
      <c r="B842" s="157" t="s">
        <v>888</v>
      </c>
      <c r="C842" s="157">
        <v>2024</v>
      </c>
      <c r="D842" s="158">
        <v>89.411388888900007</v>
      </c>
      <c r="E842" s="158">
        <v>26.853055555600001</v>
      </c>
      <c r="F842" s="159">
        <v>5.5</v>
      </c>
      <c r="G842" s="160">
        <v>2.7</v>
      </c>
      <c r="H842" s="161">
        <v>55.4</v>
      </c>
      <c r="I842" s="161">
        <v>27.5</v>
      </c>
      <c r="J842" s="161">
        <v>17.100000000000001</v>
      </c>
      <c r="K842" s="160">
        <v>0.24666667000000003</v>
      </c>
    </row>
    <row r="843" spans="1:11" x14ac:dyDescent="0.3">
      <c r="A843" s="156" t="s">
        <v>887</v>
      </c>
      <c r="B843" s="157" t="s">
        <v>888</v>
      </c>
      <c r="C843" s="157">
        <v>2024</v>
      </c>
      <c r="D843" s="158">
        <v>90.248611111100004</v>
      </c>
      <c r="E843" s="158">
        <v>27.428333333299999</v>
      </c>
      <c r="F843" s="159">
        <v>5.4</v>
      </c>
      <c r="G843" s="160">
        <v>1.05</v>
      </c>
      <c r="H843" s="161">
        <v>15</v>
      </c>
      <c r="I843" s="161">
        <v>61.8</v>
      </c>
      <c r="J843" s="161">
        <v>23.2</v>
      </c>
      <c r="K843" s="160">
        <v>0.4766667</v>
      </c>
    </row>
    <row r="844" spans="1:11" x14ac:dyDescent="0.3">
      <c r="A844" s="156" t="s">
        <v>887</v>
      </c>
      <c r="B844" s="157" t="s">
        <v>888</v>
      </c>
      <c r="C844" s="157">
        <v>2024</v>
      </c>
      <c r="D844" s="158">
        <v>91.5100086552428</v>
      </c>
      <c r="E844" s="158">
        <v>27.1191096201131</v>
      </c>
      <c r="F844" s="159">
        <v>5.6</v>
      </c>
      <c r="G844" s="160">
        <v>11</v>
      </c>
      <c r="H844" s="161">
        <v>20.6</v>
      </c>
      <c r="I844" s="161">
        <v>45.6</v>
      </c>
      <c r="J844" s="161">
        <v>33.799999999999997</v>
      </c>
      <c r="K844" s="160">
        <v>0.13</v>
      </c>
    </row>
    <row r="845" spans="1:11" x14ac:dyDescent="0.3">
      <c r="A845" s="156" t="s">
        <v>887</v>
      </c>
      <c r="B845" s="157" t="s">
        <v>888</v>
      </c>
      <c r="C845" s="157">
        <v>2024</v>
      </c>
      <c r="D845" s="158">
        <v>98.616666666666703</v>
      </c>
      <c r="E845" s="158">
        <v>2.56666666666667</v>
      </c>
      <c r="F845" s="159">
        <v>5.4</v>
      </c>
      <c r="G845" s="160">
        <v>0.2</v>
      </c>
      <c r="H845" s="161">
        <v>10.199999999999999</v>
      </c>
      <c r="I845" s="161">
        <v>53.5</v>
      </c>
      <c r="J845" s="161">
        <v>36.299999999999997</v>
      </c>
      <c r="K845" s="160">
        <v>10.5</v>
      </c>
    </row>
    <row r="846" spans="1:11" x14ac:dyDescent="0.3">
      <c r="A846" s="156" t="s">
        <v>887</v>
      </c>
      <c r="B846" s="157" t="s">
        <v>888</v>
      </c>
      <c r="C846" s="157">
        <v>2024</v>
      </c>
      <c r="D846" s="158">
        <v>99.366668700000005</v>
      </c>
      <c r="E846" s="158">
        <v>10.9788885</v>
      </c>
      <c r="F846" s="159">
        <v>5.6</v>
      </c>
      <c r="G846" s="160">
        <v>1.05</v>
      </c>
      <c r="H846" s="161">
        <v>98</v>
      </c>
      <c r="I846" s="161">
        <v>1</v>
      </c>
      <c r="J846" s="161">
        <v>1</v>
      </c>
      <c r="K846" s="160">
        <v>0.65</v>
      </c>
    </row>
    <row r="847" spans="1:11" x14ac:dyDescent="0.3">
      <c r="A847" s="156" t="s">
        <v>887</v>
      </c>
      <c r="B847" s="157" t="s">
        <v>888</v>
      </c>
      <c r="C847" s="157">
        <v>2024</v>
      </c>
      <c r="D847" s="158">
        <v>102.1500015</v>
      </c>
      <c r="E847" s="158">
        <v>15.300000199999999</v>
      </c>
      <c r="F847" s="159">
        <v>5.6</v>
      </c>
      <c r="G847" s="160">
        <v>1.95</v>
      </c>
      <c r="H847" s="161">
        <v>77.599999999999994</v>
      </c>
      <c r="I847" s="161">
        <v>19.2</v>
      </c>
      <c r="J847" s="161">
        <v>3.2</v>
      </c>
      <c r="K847" s="160">
        <v>0.42000000000000004</v>
      </c>
    </row>
    <row r="848" spans="1:11" x14ac:dyDescent="0.3">
      <c r="A848" s="156" t="s">
        <v>887</v>
      </c>
      <c r="B848" s="157" t="s">
        <v>888</v>
      </c>
      <c r="C848" s="157">
        <v>2024</v>
      </c>
      <c r="D848" s="158">
        <v>102.30416870000001</v>
      </c>
      <c r="E848" s="158">
        <v>-1.6069443999999999</v>
      </c>
      <c r="F848" s="159">
        <v>4.4000000000000004</v>
      </c>
      <c r="G848" s="160">
        <v>2.15</v>
      </c>
      <c r="H848" s="161">
        <v>51.7</v>
      </c>
      <c r="I848" s="161">
        <v>12</v>
      </c>
      <c r="J848" s="161">
        <v>36.299999999999997</v>
      </c>
      <c r="K848" s="160">
        <v>1.17</v>
      </c>
    </row>
    <row r="849" spans="1:11" x14ac:dyDescent="0.3">
      <c r="A849" s="156" t="s">
        <v>887</v>
      </c>
      <c r="B849" s="157" t="s">
        <v>888</v>
      </c>
      <c r="C849" s="157">
        <v>2024</v>
      </c>
      <c r="D849" s="158">
        <v>107.616666666667</v>
      </c>
      <c r="E849" s="158">
        <v>-6.8333333333333304</v>
      </c>
      <c r="F849" s="159">
        <v>5.5</v>
      </c>
      <c r="G849" s="160">
        <v>5</v>
      </c>
      <c r="H849" s="161">
        <v>5.9</v>
      </c>
      <c r="I849" s="161">
        <v>70.900000000000006</v>
      </c>
      <c r="J849" s="161">
        <v>23.2</v>
      </c>
      <c r="K849" s="160">
        <v>3.28</v>
      </c>
    </row>
    <row r="850" spans="1:11" x14ac:dyDescent="0.3">
      <c r="A850" s="156" t="s">
        <v>887</v>
      </c>
      <c r="B850" s="157" t="s">
        <v>888</v>
      </c>
      <c r="C850" s="157">
        <v>2024</v>
      </c>
      <c r="D850" s="158">
        <v>108.251960754395</v>
      </c>
      <c r="E850" s="158">
        <v>23.163467407226602</v>
      </c>
      <c r="F850" s="159">
        <v>4.5999999999999996</v>
      </c>
      <c r="G850" s="160">
        <v>6.2</v>
      </c>
      <c r="H850" s="161">
        <v>49</v>
      </c>
      <c r="I850" s="161">
        <v>10</v>
      </c>
      <c r="J850" s="161">
        <v>41</v>
      </c>
      <c r="K850" s="160">
        <v>1.21</v>
      </c>
    </row>
    <row r="851" spans="1:11" x14ac:dyDescent="0.3">
      <c r="A851" s="156" t="s">
        <v>887</v>
      </c>
      <c r="B851" s="157" t="s">
        <v>888</v>
      </c>
      <c r="C851" s="157">
        <v>2024</v>
      </c>
      <c r="D851" s="158">
        <v>114.183333333333</v>
      </c>
      <c r="E851" s="158">
        <v>24.283333333333299</v>
      </c>
      <c r="F851" s="159">
        <v>4.2</v>
      </c>
      <c r="G851" s="160">
        <v>8.8000000000000007</v>
      </c>
      <c r="H851" s="161">
        <v>21</v>
      </c>
      <c r="I851" s="161">
        <v>41</v>
      </c>
      <c r="J851" s="161">
        <v>38</v>
      </c>
      <c r="K851" s="160">
        <v>0.36</v>
      </c>
    </row>
    <row r="852" spans="1:11" x14ac:dyDescent="0.3">
      <c r="A852" s="156" t="s">
        <v>887</v>
      </c>
      <c r="B852" s="157" t="s">
        <v>888</v>
      </c>
      <c r="C852" s="157">
        <v>2024</v>
      </c>
      <c r="D852" s="158">
        <v>114.283333333333</v>
      </c>
      <c r="E852" s="158">
        <v>24.383333333333301</v>
      </c>
      <c r="F852" s="159">
        <v>5.2</v>
      </c>
      <c r="G852" s="160">
        <v>11</v>
      </c>
      <c r="H852" s="161">
        <v>13</v>
      </c>
      <c r="I852" s="161">
        <v>31</v>
      </c>
      <c r="J852" s="161">
        <v>56</v>
      </c>
      <c r="K852" s="160">
        <v>0.8</v>
      </c>
    </row>
    <row r="853" spans="1:11" x14ac:dyDescent="0.3">
      <c r="A853" s="156" t="s">
        <v>887</v>
      </c>
      <c r="B853" s="157" t="s">
        <v>888</v>
      </c>
      <c r="C853" s="157">
        <v>2024</v>
      </c>
      <c r="D853" s="158">
        <v>115.876304626465</v>
      </c>
      <c r="E853" s="158">
        <v>26.455694198608398</v>
      </c>
      <c r="F853" s="159">
        <v>6</v>
      </c>
      <c r="G853" s="160">
        <v>2.8</v>
      </c>
      <c r="H853" s="161">
        <v>44</v>
      </c>
      <c r="I853" s="161">
        <v>22</v>
      </c>
      <c r="J853" s="161">
        <v>34</v>
      </c>
      <c r="K853" s="160">
        <v>0.22000000000000003</v>
      </c>
    </row>
    <row r="854" spans="1:11" x14ac:dyDescent="0.3">
      <c r="A854" s="156" t="s">
        <v>887</v>
      </c>
      <c r="B854" s="157" t="s">
        <v>888</v>
      </c>
      <c r="C854" s="157">
        <v>2024</v>
      </c>
      <c r="D854" s="158">
        <v>116.916666666667</v>
      </c>
      <c r="E854" s="158">
        <v>28.216666666666701</v>
      </c>
      <c r="F854" s="159">
        <v>4.5</v>
      </c>
      <c r="G854" s="160">
        <v>3.7</v>
      </c>
      <c r="H854" s="161">
        <v>74.7</v>
      </c>
      <c r="I854" s="161">
        <v>10.6</v>
      </c>
      <c r="J854" s="161">
        <v>14.7</v>
      </c>
      <c r="K854" s="160">
        <v>0.57999999999999996</v>
      </c>
    </row>
    <row r="855" spans="1:11" x14ac:dyDescent="0.3">
      <c r="A855" s="156" t="s">
        <v>887</v>
      </c>
      <c r="B855" s="157" t="s">
        <v>888</v>
      </c>
      <c r="C855" s="157">
        <v>2024</v>
      </c>
      <c r="D855" s="158">
        <v>121.01750180000001</v>
      </c>
      <c r="E855" s="158">
        <v>24.953889799999999</v>
      </c>
      <c r="F855" s="159">
        <v>5.2</v>
      </c>
      <c r="G855" s="160">
        <v>4.3</v>
      </c>
      <c r="H855" s="161">
        <v>15.1</v>
      </c>
      <c r="I855" s="161">
        <v>41.7</v>
      </c>
      <c r="J855" s="161">
        <v>43.2</v>
      </c>
      <c r="K855" s="160">
        <v>0.28999999999999998</v>
      </c>
    </row>
    <row r="856" spans="1:11" x14ac:dyDescent="0.3">
      <c r="A856" s="156" t="s">
        <v>887</v>
      </c>
      <c r="B856" s="157" t="s">
        <v>888</v>
      </c>
      <c r="C856" s="157">
        <v>2024</v>
      </c>
      <c r="D856" s="158">
        <v>121.5088882</v>
      </c>
      <c r="E856" s="158">
        <v>25.279443700000002</v>
      </c>
      <c r="F856" s="159">
        <v>5.3</v>
      </c>
      <c r="G856" s="160">
        <v>4.25</v>
      </c>
      <c r="H856" s="161">
        <v>5.0999999999999996</v>
      </c>
      <c r="I856" s="161">
        <v>38.9</v>
      </c>
      <c r="J856" s="161">
        <v>56</v>
      </c>
      <c r="K856" s="160">
        <v>0.21000000000000002</v>
      </c>
    </row>
    <row r="857" spans="1:11" x14ac:dyDescent="0.3">
      <c r="A857" s="156" t="s">
        <v>887</v>
      </c>
      <c r="B857" s="157" t="s">
        <v>888</v>
      </c>
      <c r="C857" s="157">
        <v>2024</v>
      </c>
      <c r="D857" s="158">
        <v>121.5749969</v>
      </c>
      <c r="E857" s="158">
        <v>24.9111118</v>
      </c>
      <c r="F857" s="159">
        <v>4.5999999999999996</v>
      </c>
      <c r="G857" s="160">
        <v>4.3</v>
      </c>
      <c r="H857" s="161">
        <v>28.9</v>
      </c>
      <c r="I857" s="161">
        <v>44.6</v>
      </c>
      <c r="J857" s="161">
        <v>26.5</v>
      </c>
      <c r="K857" s="160">
        <v>0.41</v>
      </c>
    </row>
    <row r="858" spans="1:11" x14ac:dyDescent="0.3">
      <c r="A858" s="156" t="s">
        <v>887</v>
      </c>
      <c r="B858" s="157" t="s">
        <v>888</v>
      </c>
      <c r="C858" s="157">
        <v>2024</v>
      </c>
      <c r="D858" s="158">
        <v>124.01666666666701</v>
      </c>
      <c r="E858" s="158">
        <v>12.983333333333301</v>
      </c>
      <c r="F858" s="159">
        <v>6.3</v>
      </c>
      <c r="G858" s="160">
        <v>3</v>
      </c>
      <c r="H858" s="161">
        <v>4.2</v>
      </c>
      <c r="I858" s="161">
        <v>32.1</v>
      </c>
      <c r="J858" s="161">
        <v>63.7</v>
      </c>
      <c r="K858" s="160">
        <v>0.64</v>
      </c>
    </row>
    <row r="859" spans="1:11" x14ac:dyDescent="0.3">
      <c r="A859" s="156" t="s">
        <v>887</v>
      </c>
      <c r="B859" s="157" t="s">
        <v>888</v>
      </c>
      <c r="C859" s="157">
        <v>2024</v>
      </c>
      <c r="D859" s="158">
        <v>128.1</v>
      </c>
      <c r="E859" s="158">
        <v>42.4</v>
      </c>
      <c r="F859" s="159">
        <v>5.3</v>
      </c>
      <c r="G859" s="160">
        <v>7.3</v>
      </c>
      <c r="H859" s="161">
        <v>10</v>
      </c>
      <c r="I859" s="161">
        <v>67.900000000000006</v>
      </c>
      <c r="J859" s="161">
        <v>22</v>
      </c>
      <c r="K859" s="160">
        <v>0.42000000000000004</v>
      </c>
    </row>
    <row r="860" spans="1:11" x14ac:dyDescent="0.3">
      <c r="A860" s="156" t="s">
        <v>887</v>
      </c>
      <c r="B860" s="157" t="s">
        <v>888</v>
      </c>
      <c r="C860" s="157">
        <v>2024</v>
      </c>
      <c r="D860" s="158">
        <v>129.526123046875</v>
      </c>
      <c r="E860" s="158">
        <v>42.5117378234863</v>
      </c>
      <c r="F860" s="159">
        <v>6</v>
      </c>
      <c r="G860" s="160">
        <v>13.3</v>
      </c>
      <c r="H860" s="161">
        <v>54</v>
      </c>
      <c r="I860" s="161">
        <v>31</v>
      </c>
      <c r="J860" s="161">
        <v>15</v>
      </c>
      <c r="K860" s="160">
        <v>1.75</v>
      </c>
    </row>
    <row r="861" spans="1:11" x14ac:dyDescent="0.3">
      <c r="A861" s="156" t="s">
        <v>887</v>
      </c>
      <c r="B861" s="157" t="s">
        <v>888</v>
      </c>
      <c r="C861" s="157">
        <v>2024</v>
      </c>
      <c r="D861" s="158">
        <v>143.1222229</v>
      </c>
      <c r="E861" s="158">
        <v>42.837501500000002</v>
      </c>
      <c r="F861" s="159">
        <v>6</v>
      </c>
      <c r="G861" s="160">
        <v>11.9</v>
      </c>
      <c r="H861" s="161">
        <v>14.4</v>
      </c>
      <c r="I861" s="161">
        <v>51.9</v>
      </c>
      <c r="J861" s="161">
        <v>33.700000000000003</v>
      </c>
      <c r="K861" s="160">
        <v>2.15</v>
      </c>
    </row>
    <row r="862" spans="1:11" x14ac:dyDescent="0.3">
      <c r="A862" s="156" t="s">
        <v>887</v>
      </c>
      <c r="B862" s="157" t="s">
        <v>888</v>
      </c>
      <c r="C862" s="157">
        <v>2024</v>
      </c>
      <c r="D862" s="158">
        <v>145.36666666666699</v>
      </c>
      <c r="E862" s="158">
        <v>-6.0333333333333297</v>
      </c>
      <c r="F862" s="159">
        <v>6</v>
      </c>
      <c r="G862" s="160">
        <v>15.1</v>
      </c>
      <c r="H862" s="161">
        <v>1</v>
      </c>
      <c r="I862" s="161">
        <v>7</v>
      </c>
      <c r="J862" s="161">
        <v>92</v>
      </c>
      <c r="K862" s="160">
        <v>0.13</v>
      </c>
    </row>
    <row r="863" spans="1:11" x14ac:dyDescent="0.3">
      <c r="A863" s="156" t="s">
        <v>887</v>
      </c>
      <c r="B863" s="157" t="s">
        <v>888</v>
      </c>
      <c r="C863" s="157">
        <v>2024</v>
      </c>
      <c r="D863" s="158">
        <v>161.41638180000001</v>
      </c>
      <c r="E863" s="158">
        <v>68.639724700000002</v>
      </c>
      <c r="F863" s="159">
        <v>5.6</v>
      </c>
      <c r="G863" s="160">
        <v>12.3</v>
      </c>
      <c r="H863" s="161">
        <v>3.4</v>
      </c>
      <c r="I863" s="161">
        <v>73.5</v>
      </c>
      <c r="J863" s="161">
        <v>23.1</v>
      </c>
      <c r="K863" s="160">
        <v>3.18</v>
      </c>
    </row>
    <row r="864" spans="1:11" x14ac:dyDescent="0.3">
      <c r="A864" s="156" t="s">
        <v>887</v>
      </c>
      <c r="B864" s="157" t="s">
        <v>888</v>
      </c>
      <c r="C864" s="157">
        <v>2024</v>
      </c>
      <c r="D864" s="158">
        <v>-156.89724731445301</v>
      </c>
      <c r="E864" s="158">
        <v>21.110742568969702</v>
      </c>
      <c r="F864" s="159">
        <v>5.0999999999999996</v>
      </c>
      <c r="G864" s="160">
        <v>3.75</v>
      </c>
      <c r="H864" s="161">
        <v>42.4</v>
      </c>
      <c r="I864" s="161">
        <v>44.6</v>
      </c>
      <c r="J864" s="161">
        <v>13</v>
      </c>
      <c r="K864" s="160">
        <v>1.54</v>
      </c>
    </row>
    <row r="865" spans="1:11" x14ac:dyDescent="0.3">
      <c r="A865" s="156" t="s">
        <v>887</v>
      </c>
      <c r="B865" s="157" t="s">
        <v>888</v>
      </c>
      <c r="C865" s="157">
        <v>2024</v>
      </c>
      <c r="D865" s="158">
        <v>-151.58332820000001</v>
      </c>
      <c r="E865" s="158">
        <v>61.1666679</v>
      </c>
      <c r="F865" s="159">
        <v>4.2</v>
      </c>
      <c r="G865" s="160">
        <v>1.05</v>
      </c>
      <c r="H865" s="161">
        <v>64.599999999999994</v>
      </c>
      <c r="I865" s="161">
        <v>32.6</v>
      </c>
      <c r="J865" s="161">
        <v>2.8</v>
      </c>
      <c r="K865" s="160">
        <v>13.01</v>
      </c>
    </row>
    <row r="866" spans="1:11" x14ac:dyDescent="0.3">
      <c r="A866" s="156" t="s">
        <v>887</v>
      </c>
      <c r="B866" s="157" t="s">
        <v>888</v>
      </c>
      <c r="C866" s="157">
        <v>2024</v>
      </c>
      <c r="D866" s="158">
        <v>-150.03334050000001</v>
      </c>
      <c r="E866" s="158">
        <v>62.25</v>
      </c>
      <c r="F866" s="159">
        <v>5.2</v>
      </c>
      <c r="G866" s="160">
        <v>30.5</v>
      </c>
      <c r="H866" s="161">
        <v>76.599999999999994</v>
      </c>
      <c r="I866" s="161">
        <v>20.9</v>
      </c>
      <c r="J866" s="161">
        <v>2.4</v>
      </c>
      <c r="K866" s="160">
        <v>0.53</v>
      </c>
    </row>
    <row r="867" spans="1:11" x14ac:dyDescent="0.3">
      <c r="A867" s="156" t="s">
        <v>887</v>
      </c>
      <c r="B867" s="157" t="s">
        <v>888</v>
      </c>
      <c r="C867" s="157">
        <v>2024</v>
      </c>
      <c r="D867" s="158">
        <v>-132.49583440000001</v>
      </c>
      <c r="E867" s="158">
        <v>55.4416656</v>
      </c>
      <c r="F867" s="159">
        <v>5.2</v>
      </c>
      <c r="G867" s="160">
        <v>11.1</v>
      </c>
      <c r="H867" s="161">
        <v>58.6</v>
      </c>
      <c r="I867" s="161">
        <v>38</v>
      </c>
      <c r="J867" s="161">
        <v>3.4</v>
      </c>
      <c r="K867" s="160">
        <v>1.45</v>
      </c>
    </row>
    <row r="868" spans="1:11" x14ac:dyDescent="0.3">
      <c r="A868" s="156" t="s">
        <v>887</v>
      </c>
      <c r="B868" s="157" t="s">
        <v>888</v>
      </c>
      <c r="C868" s="157">
        <v>2024</v>
      </c>
      <c r="D868" s="158">
        <v>-131.691665599999</v>
      </c>
      <c r="E868" s="158">
        <v>55.720832799999997</v>
      </c>
      <c r="F868" s="159">
        <v>4.7</v>
      </c>
      <c r="G868" s="160">
        <v>12</v>
      </c>
      <c r="H868" s="161">
        <v>72.900000000000006</v>
      </c>
      <c r="I868" s="161">
        <v>18.100000000000001</v>
      </c>
      <c r="J868" s="161">
        <v>1.4</v>
      </c>
      <c r="K868" s="160">
        <v>9.57</v>
      </c>
    </row>
    <row r="869" spans="1:11" x14ac:dyDescent="0.3">
      <c r="A869" s="156" t="s">
        <v>887</v>
      </c>
      <c r="B869" s="157" t="s">
        <v>888</v>
      </c>
      <c r="C869" s="157">
        <v>2024</v>
      </c>
      <c r="D869" s="158">
        <v>-123.6102753</v>
      </c>
      <c r="E869" s="158">
        <v>47.440555600000003</v>
      </c>
      <c r="F869" s="159">
        <v>5.0999999999999996</v>
      </c>
      <c r="G869" s="160">
        <v>2.95</v>
      </c>
      <c r="H869" s="161">
        <v>64.400000000000006</v>
      </c>
      <c r="I869" s="161">
        <v>30.2</v>
      </c>
      <c r="J869" s="161">
        <v>5.4</v>
      </c>
      <c r="K869" s="160">
        <v>5.79</v>
      </c>
    </row>
    <row r="870" spans="1:11" x14ac:dyDescent="0.3">
      <c r="A870" s="156" t="s">
        <v>887</v>
      </c>
      <c r="B870" s="157" t="s">
        <v>888</v>
      </c>
      <c r="C870" s="157">
        <v>2024</v>
      </c>
      <c r="D870" s="158">
        <v>-122.4402771</v>
      </c>
      <c r="E870" s="158">
        <v>48.971389799999997</v>
      </c>
      <c r="F870" s="159">
        <v>5</v>
      </c>
      <c r="G870" s="160">
        <v>1.7</v>
      </c>
      <c r="H870" s="161">
        <v>90</v>
      </c>
      <c r="I870" s="161">
        <v>8.8000000000000007</v>
      </c>
      <c r="J870" s="161">
        <v>1.2</v>
      </c>
      <c r="K870" s="160">
        <v>0.22000000000000003</v>
      </c>
    </row>
    <row r="871" spans="1:11" x14ac:dyDescent="0.3">
      <c r="A871" s="156" t="s">
        <v>887</v>
      </c>
      <c r="B871" s="157" t="s">
        <v>888</v>
      </c>
      <c r="C871" s="157">
        <v>2024</v>
      </c>
      <c r="D871" s="158">
        <v>-121.9269257</v>
      </c>
      <c r="E871" s="158">
        <v>41.526790599999998</v>
      </c>
      <c r="F871" s="159">
        <v>5.6</v>
      </c>
      <c r="G871" s="160">
        <v>1.2</v>
      </c>
      <c r="H871" s="161">
        <v>68.400000000000006</v>
      </c>
      <c r="I871" s="161">
        <v>31.6</v>
      </c>
      <c r="J871" s="161">
        <v>0</v>
      </c>
      <c r="K871" s="160">
        <v>3.6700000000000004</v>
      </c>
    </row>
    <row r="872" spans="1:11" x14ac:dyDescent="0.3">
      <c r="A872" s="156" t="s">
        <v>887</v>
      </c>
      <c r="B872" s="157" t="s">
        <v>888</v>
      </c>
      <c r="C872" s="157">
        <v>2024</v>
      </c>
      <c r="D872" s="158">
        <v>-121.1966281</v>
      </c>
      <c r="E872" s="158">
        <v>39.613990700000002</v>
      </c>
      <c r="F872" s="159">
        <v>5.7</v>
      </c>
      <c r="G872" s="160">
        <v>3.6</v>
      </c>
      <c r="H872" s="161">
        <v>9</v>
      </c>
      <c r="I872" s="161">
        <v>62</v>
      </c>
      <c r="J872" s="161">
        <v>29</v>
      </c>
      <c r="K872" s="160">
        <v>0.25</v>
      </c>
    </row>
    <row r="873" spans="1:11" x14ac:dyDescent="0.3">
      <c r="A873" s="156" t="s">
        <v>887</v>
      </c>
      <c r="B873" s="157" t="s">
        <v>888</v>
      </c>
      <c r="C873" s="157">
        <v>2024</v>
      </c>
      <c r="D873" s="158">
        <v>-120.757133499999</v>
      </c>
      <c r="E873" s="158">
        <v>38.931560500000003</v>
      </c>
      <c r="F873" s="159">
        <v>4.8</v>
      </c>
      <c r="G873" s="160">
        <v>3.6</v>
      </c>
      <c r="H873" s="161">
        <v>11</v>
      </c>
      <c r="I873" s="161">
        <v>62.9</v>
      </c>
      <c r="J873" s="161">
        <v>26.1</v>
      </c>
      <c r="K873" s="160">
        <v>0.37</v>
      </c>
    </row>
    <row r="874" spans="1:11" x14ac:dyDescent="0.3">
      <c r="A874" s="156" t="s">
        <v>887</v>
      </c>
      <c r="B874" s="157" t="s">
        <v>888</v>
      </c>
      <c r="C874" s="157">
        <v>2024</v>
      </c>
      <c r="D874" s="158">
        <v>-118.9000015</v>
      </c>
      <c r="E874" s="158">
        <v>37.134998299999999</v>
      </c>
      <c r="F874" s="159">
        <v>5.5</v>
      </c>
      <c r="G874" s="160">
        <v>1.2</v>
      </c>
      <c r="H874" s="161">
        <v>83.4</v>
      </c>
      <c r="I874" s="161">
        <v>15.9</v>
      </c>
      <c r="J874" s="161">
        <v>0.7</v>
      </c>
      <c r="K874" s="160">
        <v>0.7</v>
      </c>
    </row>
    <row r="875" spans="1:11" x14ac:dyDescent="0.3">
      <c r="A875" s="156" t="s">
        <v>887</v>
      </c>
      <c r="B875" s="157" t="s">
        <v>888</v>
      </c>
      <c r="C875" s="157">
        <v>2024</v>
      </c>
      <c r="D875" s="158">
        <v>-117.1344452</v>
      </c>
      <c r="E875" s="158">
        <v>32.846668200000003</v>
      </c>
      <c r="F875" s="159">
        <v>4.5999999999999996</v>
      </c>
      <c r="G875" s="160">
        <v>23.2</v>
      </c>
      <c r="H875" s="161">
        <v>46.6</v>
      </c>
      <c r="I875" s="161">
        <v>35.6</v>
      </c>
      <c r="J875" s="161">
        <v>17.8</v>
      </c>
      <c r="K875" s="160">
        <v>0.28999999999999998</v>
      </c>
    </row>
    <row r="876" spans="1:11" x14ac:dyDescent="0.3">
      <c r="A876" s="156" t="s">
        <v>887</v>
      </c>
      <c r="B876" s="157" t="s">
        <v>888</v>
      </c>
      <c r="C876" s="157">
        <v>2024</v>
      </c>
      <c r="D876" s="158">
        <v>-113.8526001</v>
      </c>
      <c r="E876" s="158">
        <v>46.059608500000003</v>
      </c>
      <c r="F876" s="159">
        <v>5</v>
      </c>
      <c r="G876" s="160">
        <v>1.2</v>
      </c>
      <c r="H876" s="161">
        <v>82</v>
      </c>
      <c r="I876" s="161">
        <v>15.9</v>
      </c>
      <c r="J876" s="161">
        <v>2.1</v>
      </c>
      <c r="K876" s="160">
        <v>0.3</v>
      </c>
    </row>
    <row r="877" spans="1:11" x14ac:dyDescent="0.3">
      <c r="A877" s="156" t="s">
        <v>887</v>
      </c>
      <c r="B877" s="157" t="s">
        <v>888</v>
      </c>
      <c r="C877" s="157">
        <v>2024</v>
      </c>
      <c r="D877" s="158">
        <v>-112.3499985</v>
      </c>
      <c r="E877" s="158">
        <v>38.299999200000002</v>
      </c>
      <c r="F877" s="159">
        <v>6</v>
      </c>
      <c r="G877" s="160">
        <v>24</v>
      </c>
      <c r="H877" s="161">
        <v>54.7</v>
      </c>
      <c r="I877" s="161">
        <v>36.4</v>
      </c>
      <c r="J877" s="161">
        <v>8.9</v>
      </c>
      <c r="K877" s="160">
        <v>0.45999999999999996</v>
      </c>
    </row>
    <row r="878" spans="1:11" x14ac:dyDescent="0.3">
      <c r="A878" s="156" t="s">
        <v>887</v>
      </c>
      <c r="B878" s="157" t="s">
        <v>888</v>
      </c>
      <c r="C878" s="157">
        <v>2024</v>
      </c>
      <c r="D878" s="158">
        <v>-110.5094452</v>
      </c>
      <c r="E878" s="158">
        <v>31.4974995</v>
      </c>
      <c r="F878" s="159">
        <v>5.2</v>
      </c>
      <c r="G878" s="160">
        <v>15.95</v>
      </c>
      <c r="H878" s="161">
        <v>46.3</v>
      </c>
      <c r="I878" s="161">
        <v>14.4</v>
      </c>
      <c r="J878" s="161">
        <v>39.299999999999997</v>
      </c>
      <c r="K878" s="160">
        <v>0.55000000000000004</v>
      </c>
    </row>
    <row r="879" spans="1:11" x14ac:dyDescent="0.3">
      <c r="A879" s="156" t="s">
        <v>887</v>
      </c>
      <c r="B879" s="157" t="s">
        <v>888</v>
      </c>
      <c r="C879" s="157">
        <v>2024</v>
      </c>
      <c r="D879" s="158">
        <v>-108.2133331</v>
      </c>
      <c r="E879" s="158">
        <v>37.694442700000003</v>
      </c>
      <c r="F879" s="159">
        <v>5.7</v>
      </c>
      <c r="G879" s="160">
        <v>6.45</v>
      </c>
      <c r="H879" s="161">
        <v>61.3</v>
      </c>
      <c r="I879" s="161">
        <v>33.299999999999997</v>
      </c>
      <c r="J879" s="161">
        <v>5.4</v>
      </c>
      <c r="K879" s="160">
        <v>0.21000000000000002</v>
      </c>
    </row>
    <row r="880" spans="1:11" x14ac:dyDescent="0.3">
      <c r="A880" s="156" t="s">
        <v>887</v>
      </c>
      <c r="B880" s="157" t="s">
        <v>888</v>
      </c>
      <c r="C880" s="157">
        <v>2024</v>
      </c>
      <c r="D880" s="158">
        <v>-108.206665</v>
      </c>
      <c r="E880" s="158">
        <v>37.696388200000001</v>
      </c>
      <c r="F880" s="159">
        <v>5</v>
      </c>
      <c r="G880" s="160">
        <v>15.7</v>
      </c>
      <c r="H880" s="161">
        <v>23</v>
      </c>
      <c r="I880" s="161">
        <v>38.5</v>
      </c>
      <c r="J880" s="161">
        <v>38.5</v>
      </c>
      <c r="K880" s="160">
        <v>0.21000000000000002</v>
      </c>
    </row>
    <row r="881" spans="1:11" x14ac:dyDescent="0.3">
      <c r="A881" s="156" t="s">
        <v>887</v>
      </c>
      <c r="B881" s="157" t="s">
        <v>888</v>
      </c>
      <c r="C881" s="157">
        <v>2024</v>
      </c>
      <c r="D881" s="158">
        <v>-106.4197235</v>
      </c>
      <c r="E881" s="158">
        <v>39.528331799999997</v>
      </c>
      <c r="F881" s="159">
        <v>5.8</v>
      </c>
      <c r="G881" s="160">
        <v>7</v>
      </c>
      <c r="H881" s="161">
        <v>39.799999999999997</v>
      </c>
      <c r="I881" s="161">
        <v>53.4</v>
      </c>
      <c r="J881" s="161">
        <v>6.8</v>
      </c>
      <c r="K881" s="160">
        <v>0.2</v>
      </c>
    </row>
    <row r="882" spans="1:11" x14ac:dyDescent="0.3">
      <c r="A882" s="156" t="s">
        <v>887</v>
      </c>
      <c r="B882" s="157" t="s">
        <v>888</v>
      </c>
      <c r="C882" s="157">
        <v>2024</v>
      </c>
      <c r="D882" s="158">
        <v>-96.814720199999996</v>
      </c>
      <c r="E882" s="158">
        <v>38.9011116</v>
      </c>
      <c r="F882" s="159">
        <v>8.0500000000000007</v>
      </c>
      <c r="G882" s="160">
        <v>18.55</v>
      </c>
      <c r="H882" s="161">
        <v>5.2</v>
      </c>
      <c r="I882" s="161">
        <v>54.3</v>
      </c>
      <c r="J882" s="161">
        <v>40.5</v>
      </c>
      <c r="K882" s="160">
        <v>0.42000000000000004</v>
      </c>
    </row>
    <row r="883" spans="1:11" x14ac:dyDescent="0.3">
      <c r="A883" s="156" t="s">
        <v>887</v>
      </c>
      <c r="B883" s="157" t="s">
        <v>888</v>
      </c>
      <c r="C883" s="157">
        <v>2024</v>
      </c>
      <c r="D883" s="158">
        <v>-96.620002700000001</v>
      </c>
      <c r="E883" s="158">
        <v>32.703212700000002</v>
      </c>
      <c r="F883" s="159">
        <v>5.0999999999999996</v>
      </c>
      <c r="G883" s="160">
        <v>12.85</v>
      </c>
      <c r="H883" s="161">
        <v>53.2</v>
      </c>
      <c r="I883" s="161">
        <v>19.600000000000001</v>
      </c>
      <c r="J883" s="161">
        <v>27.2</v>
      </c>
      <c r="K883" s="160">
        <v>0.09</v>
      </c>
    </row>
    <row r="884" spans="1:11" x14ac:dyDescent="0.3">
      <c r="A884" s="156" t="s">
        <v>887</v>
      </c>
      <c r="B884" s="157" t="s">
        <v>888</v>
      </c>
      <c r="C884" s="157">
        <v>2024</v>
      </c>
      <c r="D884" s="158">
        <v>-96.616668700000005</v>
      </c>
      <c r="E884" s="158">
        <v>31.032777800000002</v>
      </c>
      <c r="F884" s="159">
        <v>5.2</v>
      </c>
      <c r="G884" s="160">
        <v>18.649999999999999</v>
      </c>
      <c r="H884" s="161">
        <v>56.5</v>
      </c>
      <c r="I884" s="161">
        <v>17.3</v>
      </c>
      <c r="J884" s="161">
        <v>26.2</v>
      </c>
      <c r="K884" s="160">
        <v>0.13999999999999999</v>
      </c>
    </row>
    <row r="885" spans="1:11" x14ac:dyDescent="0.3">
      <c r="A885" s="156" t="s">
        <v>887</v>
      </c>
      <c r="B885" s="157" t="s">
        <v>888</v>
      </c>
      <c r="C885" s="157">
        <v>2024</v>
      </c>
      <c r="D885" s="158">
        <v>-96.349998499999998</v>
      </c>
      <c r="E885" s="158">
        <v>33.450000799999998</v>
      </c>
      <c r="F885" s="159">
        <v>7.4333334000000004</v>
      </c>
      <c r="G885" s="160">
        <v>20.3</v>
      </c>
      <c r="H885" s="161">
        <v>11.1</v>
      </c>
      <c r="I885" s="161">
        <v>54.5</v>
      </c>
      <c r="J885" s="161">
        <v>34.4</v>
      </c>
      <c r="K885" s="160">
        <v>0.04</v>
      </c>
    </row>
    <row r="886" spans="1:11" x14ac:dyDescent="0.3">
      <c r="A886" s="156" t="s">
        <v>887</v>
      </c>
      <c r="B886" s="157" t="s">
        <v>888</v>
      </c>
      <c r="C886" s="157">
        <v>2024</v>
      </c>
      <c r="D886" s="158">
        <v>-95.668373099999997</v>
      </c>
      <c r="E886" s="158">
        <v>42.065807300000003</v>
      </c>
      <c r="F886" s="159">
        <v>6.4</v>
      </c>
      <c r="G886" s="160">
        <v>48</v>
      </c>
      <c r="H886" s="161">
        <v>3.3</v>
      </c>
      <c r="I886" s="161">
        <v>70.3</v>
      </c>
      <c r="J886" s="161">
        <v>26.4</v>
      </c>
      <c r="K886" s="160">
        <v>0.57000000000000006</v>
      </c>
    </row>
    <row r="887" spans="1:11" x14ac:dyDescent="0.3">
      <c r="A887" s="156" t="s">
        <v>887</v>
      </c>
      <c r="B887" s="157" t="s">
        <v>888</v>
      </c>
      <c r="C887" s="157">
        <v>2024</v>
      </c>
      <c r="D887" s="158">
        <v>-95.430274999999995</v>
      </c>
      <c r="E887" s="158">
        <v>31.517221500000002</v>
      </c>
      <c r="F887" s="159">
        <v>4.7</v>
      </c>
      <c r="G887" s="160">
        <v>3</v>
      </c>
      <c r="H887" s="161">
        <v>76</v>
      </c>
      <c r="I887" s="161">
        <v>20.2</v>
      </c>
      <c r="J887" s="161">
        <v>3.8</v>
      </c>
      <c r="K887" s="160">
        <v>1.1300000000000001</v>
      </c>
    </row>
    <row r="888" spans="1:11" x14ac:dyDescent="0.3">
      <c r="A888" s="156" t="s">
        <v>887</v>
      </c>
      <c r="B888" s="157" t="s">
        <v>888</v>
      </c>
      <c r="C888" s="157">
        <v>2024</v>
      </c>
      <c r="D888" s="158">
        <v>-95.131660499999995</v>
      </c>
      <c r="E888" s="158">
        <v>42.944717400000002</v>
      </c>
      <c r="F888" s="159">
        <v>6</v>
      </c>
      <c r="G888" s="160">
        <v>20.65</v>
      </c>
      <c r="H888" s="161">
        <v>20.2</v>
      </c>
      <c r="I888" s="161">
        <v>53.9</v>
      </c>
      <c r="J888" s="161">
        <v>25.9</v>
      </c>
      <c r="K888" s="160">
        <v>2.59</v>
      </c>
    </row>
    <row r="889" spans="1:11" x14ac:dyDescent="0.3">
      <c r="A889" s="156" t="s">
        <v>887</v>
      </c>
      <c r="B889" s="157" t="s">
        <v>888</v>
      </c>
      <c r="C889" s="157">
        <v>2024</v>
      </c>
      <c r="D889" s="158">
        <v>-94.662498499999998</v>
      </c>
      <c r="E889" s="158">
        <v>31.184722900000001</v>
      </c>
      <c r="F889" s="159">
        <v>4.7</v>
      </c>
      <c r="G889" s="160">
        <v>1.05</v>
      </c>
      <c r="H889" s="161">
        <v>35.200000000000003</v>
      </c>
      <c r="I889" s="161">
        <v>28.3</v>
      </c>
      <c r="J889" s="161">
        <v>36.5</v>
      </c>
      <c r="K889" s="160">
        <v>0.06</v>
      </c>
    </row>
    <row r="890" spans="1:11" x14ac:dyDescent="0.3">
      <c r="A890" s="156" t="s">
        <v>887</v>
      </c>
      <c r="B890" s="157" t="s">
        <v>888</v>
      </c>
      <c r="C890" s="157">
        <v>2024</v>
      </c>
      <c r="D890" s="158">
        <v>-94.603822199999996</v>
      </c>
      <c r="E890" s="158">
        <v>37.363275000000002</v>
      </c>
      <c r="F890" s="159">
        <v>6</v>
      </c>
      <c r="G890" s="160">
        <v>5</v>
      </c>
      <c r="H890" s="161">
        <v>16.100000000000001</v>
      </c>
      <c r="I890" s="161">
        <v>47.7</v>
      </c>
      <c r="J890" s="161">
        <v>36.200000000000003</v>
      </c>
      <c r="K890" s="160">
        <v>0.2</v>
      </c>
    </row>
    <row r="891" spans="1:11" x14ac:dyDescent="0.3">
      <c r="A891" s="156" t="s">
        <v>887</v>
      </c>
      <c r="B891" s="157" t="s">
        <v>888</v>
      </c>
      <c r="C891" s="157">
        <v>2024</v>
      </c>
      <c r="D891" s="158">
        <v>-94.5989778</v>
      </c>
      <c r="E891" s="158">
        <v>37.2353278</v>
      </c>
      <c r="F891" s="159">
        <v>5.5</v>
      </c>
      <c r="G891" s="160">
        <v>17</v>
      </c>
      <c r="H891" s="161">
        <v>29.6</v>
      </c>
      <c r="I891" s="161">
        <v>52.8</v>
      </c>
      <c r="J891" s="161">
        <v>17.600000000000001</v>
      </c>
      <c r="K891" s="160">
        <v>0.7</v>
      </c>
    </row>
    <row r="892" spans="1:11" x14ac:dyDescent="0.3">
      <c r="A892" s="156" t="s">
        <v>887</v>
      </c>
      <c r="B892" s="157" t="s">
        <v>888</v>
      </c>
      <c r="C892" s="157">
        <v>2024</v>
      </c>
      <c r="D892" s="158">
        <v>-94.5799789</v>
      </c>
      <c r="E892" s="158">
        <v>36.614696500000001</v>
      </c>
      <c r="F892" s="159">
        <v>6.9</v>
      </c>
      <c r="G892" s="160">
        <v>10.6</v>
      </c>
      <c r="H892" s="161">
        <v>4.5</v>
      </c>
      <c r="I892" s="161">
        <v>76.2</v>
      </c>
      <c r="J892" s="161">
        <v>19.3</v>
      </c>
      <c r="K892" s="160">
        <v>1.1000000000000001</v>
      </c>
    </row>
    <row r="893" spans="1:11" x14ac:dyDescent="0.3">
      <c r="A893" s="156" t="s">
        <v>887</v>
      </c>
      <c r="B893" s="157" t="s">
        <v>888</v>
      </c>
      <c r="C893" s="157">
        <v>2024</v>
      </c>
      <c r="D893" s="158">
        <v>-94.578430600000004</v>
      </c>
      <c r="E893" s="158">
        <v>37.311647200000003</v>
      </c>
      <c r="F893" s="159">
        <v>5.7</v>
      </c>
      <c r="G893" s="160">
        <v>12.15</v>
      </c>
      <c r="H893" s="161">
        <v>17.399999999999999</v>
      </c>
      <c r="I893" s="161">
        <v>70.400000000000006</v>
      </c>
      <c r="J893" s="161">
        <v>12.2</v>
      </c>
      <c r="K893" s="160">
        <v>1.2</v>
      </c>
    </row>
    <row r="894" spans="1:11" x14ac:dyDescent="0.3">
      <c r="A894" s="156" t="s">
        <v>887</v>
      </c>
      <c r="B894" s="157" t="s">
        <v>888</v>
      </c>
      <c r="C894" s="157">
        <v>2024</v>
      </c>
      <c r="D894" s="158">
        <v>-94.5659639</v>
      </c>
      <c r="E894" s="158">
        <v>36.740136100000001</v>
      </c>
      <c r="F894" s="159">
        <v>4.9000000000000004</v>
      </c>
      <c r="G894" s="160">
        <v>3</v>
      </c>
      <c r="H894" s="161">
        <v>16.3</v>
      </c>
      <c r="I894" s="161">
        <v>69.5</v>
      </c>
      <c r="J894" s="161">
        <v>14.2</v>
      </c>
      <c r="K894" s="160">
        <v>0.1</v>
      </c>
    </row>
    <row r="895" spans="1:11" x14ac:dyDescent="0.3">
      <c r="A895" s="156" t="s">
        <v>887</v>
      </c>
      <c r="B895" s="157" t="s">
        <v>888</v>
      </c>
      <c r="C895" s="157">
        <v>2024</v>
      </c>
      <c r="D895" s="158">
        <v>-94.538055400000005</v>
      </c>
      <c r="E895" s="158">
        <v>37.236946099999997</v>
      </c>
      <c r="F895" s="159">
        <v>4.5999999999999996</v>
      </c>
      <c r="G895" s="160">
        <v>14</v>
      </c>
      <c r="H895" s="161">
        <v>19</v>
      </c>
      <c r="I895" s="161">
        <v>46.8</v>
      </c>
      <c r="J895" s="161">
        <v>34.200000000000003</v>
      </c>
      <c r="K895" s="160">
        <v>0.75</v>
      </c>
    </row>
    <row r="896" spans="1:11" x14ac:dyDescent="0.3">
      <c r="A896" s="156" t="s">
        <v>887</v>
      </c>
      <c r="B896" s="157" t="s">
        <v>888</v>
      </c>
      <c r="C896" s="157">
        <v>2024</v>
      </c>
      <c r="D896" s="158">
        <v>-94.516387899999998</v>
      </c>
      <c r="E896" s="158">
        <v>31.538333900000001</v>
      </c>
      <c r="F896" s="159">
        <v>5.6</v>
      </c>
      <c r="G896" s="160">
        <v>27.05</v>
      </c>
      <c r="H896" s="161">
        <v>51.5</v>
      </c>
      <c r="I896" s="161">
        <v>14.3</v>
      </c>
      <c r="J896" s="161">
        <v>34.200000000000003</v>
      </c>
      <c r="K896" s="160">
        <v>0.55000000000000004</v>
      </c>
    </row>
    <row r="897" spans="1:11" x14ac:dyDescent="0.3">
      <c r="A897" s="156" t="s">
        <v>887</v>
      </c>
      <c r="B897" s="157" t="s">
        <v>888</v>
      </c>
      <c r="C897" s="157">
        <v>2024</v>
      </c>
      <c r="D897" s="158">
        <v>-94.496033299999993</v>
      </c>
      <c r="E897" s="158">
        <v>36.657611099999997</v>
      </c>
      <c r="F897" s="159">
        <v>4.7</v>
      </c>
      <c r="G897" s="160">
        <v>3</v>
      </c>
      <c r="H897" s="161">
        <v>16.100000000000001</v>
      </c>
      <c r="I897" s="161">
        <v>52.7</v>
      </c>
      <c r="J897" s="161">
        <v>31.2</v>
      </c>
      <c r="K897" s="160">
        <v>0.1</v>
      </c>
    </row>
    <row r="898" spans="1:11" x14ac:dyDescent="0.3">
      <c r="A898" s="156" t="s">
        <v>887</v>
      </c>
      <c r="B898" s="157" t="s">
        <v>888</v>
      </c>
      <c r="C898" s="157">
        <v>2024</v>
      </c>
      <c r="D898" s="158">
        <v>-94.493497199999993</v>
      </c>
      <c r="E898" s="158">
        <v>36.654263899999997</v>
      </c>
      <c r="F898" s="159">
        <v>4.7</v>
      </c>
      <c r="G898" s="160">
        <v>12.85</v>
      </c>
      <c r="H898" s="161">
        <v>8</v>
      </c>
      <c r="I898" s="161">
        <v>55.6</v>
      </c>
      <c r="J898" s="161">
        <v>36.4</v>
      </c>
      <c r="K898" s="160">
        <v>0.3</v>
      </c>
    </row>
    <row r="899" spans="1:11" x14ac:dyDescent="0.3">
      <c r="A899" s="156" t="s">
        <v>887</v>
      </c>
      <c r="B899" s="157" t="s">
        <v>888</v>
      </c>
      <c r="C899" s="157">
        <v>2024</v>
      </c>
      <c r="D899" s="158">
        <v>-94.434633300000002</v>
      </c>
      <c r="E899" s="158">
        <v>37.342413899999997</v>
      </c>
      <c r="F899" s="159">
        <v>5.3</v>
      </c>
      <c r="G899" s="160">
        <v>8</v>
      </c>
      <c r="H899" s="161">
        <v>24.4</v>
      </c>
      <c r="I899" s="161">
        <v>37.6</v>
      </c>
      <c r="J899" s="161">
        <v>38</v>
      </c>
      <c r="K899" s="160">
        <v>0.1</v>
      </c>
    </row>
    <row r="900" spans="1:11" x14ac:dyDescent="0.3">
      <c r="A900" s="156" t="s">
        <v>887</v>
      </c>
      <c r="B900" s="157" t="s">
        <v>888</v>
      </c>
      <c r="C900" s="157">
        <v>2024</v>
      </c>
      <c r="D900" s="158">
        <v>-94.416389499999994</v>
      </c>
      <c r="E900" s="158">
        <v>29.9950008</v>
      </c>
      <c r="F900" s="159">
        <v>5.5</v>
      </c>
      <c r="G900" s="160">
        <v>23.65</v>
      </c>
      <c r="H900" s="161">
        <v>6.3</v>
      </c>
      <c r="I900" s="161">
        <v>39.9</v>
      </c>
      <c r="J900" s="161">
        <v>53.8</v>
      </c>
      <c r="K900" s="160">
        <v>0.98000000000000009</v>
      </c>
    </row>
    <row r="901" spans="1:11" x14ac:dyDescent="0.3">
      <c r="A901" s="156" t="s">
        <v>887</v>
      </c>
      <c r="B901" s="157" t="s">
        <v>888</v>
      </c>
      <c r="C901" s="157">
        <v>2024</v>
      </c>
      <c r="D901" s="158">
        <v>-94.392555200000004</v>
      </c>
      <c r="E901" s="158">
        <v>39.809612299999998</v>
      </c>
      <c r="F901" s="159">
        <v>5.2</v>
      </c>
      <c r="G901" s="160">
        <v>24</v>
      </c>
      <c r="H901" s="161">
        <v>2.5</v>
      </c>
      <c r="I901" s="161">
        <v>57</v>
      </c>
      <c r="J901" s="161">
        <v>40.5</v>
      </c>
      <c r="K901" s="160">
        <v>1.4</v>
      </c>
    </row>
    <row r="902" spans="1:11" x14ac:dyDescent="0.3">
      <c r="A902" s="156" t="s">
        <v>887</v>
      </c>
      <c r="B902" s="157" t="s">
        <v>888</v>
      </c>
      <c r="C902" s="157">
        <v>2024</v>
      </c>
      <c r="D902" s="158">
        <v>-94.305783300000002</v>
      </c>
      <c r="E902" s="158">
        <v>36.813099999999999</v>
      </c>
      <c r="F902" s="159">
        <v>4.3</v>
      </c>
      <c r="G902" s="160">
        <v>4.7</v>
      </c>
      <c r="H902" s="161">
        <v>10.199999999999999</v>
      </c>
      <c r="I902" s="161">
        <v>73.099999999999994</v>
      </c>
      <c r="J902" s="161">
        <v>16.7</v>
      </c>
      <c r="K902" s="160">
        <v>0.3</v>
      </c>
    </row>
    <row r="903" spans="1:11" x14ac:dyDescent="0.3">
      <c r="A903" s="156" t="s">
        <v>887</v>
      </c>
      <c r="B903" s="157" t="s">
        <v>888</v>
      </c>
      <c r="C903" s="157">
        <v>2024</v>
      </c>
      <c r="D903" s="158">
        <v>-94.285833299999993</v>
      </c>
      <c r="E903" s="158">
        <v>36.636666699999999</v>
      </c>
      <c r="F903" s="159">
        <v>5.3</v>
      </c>
      <c r="G903" s="160">
        <v>3.4</v>
      </c>
      <c r="H903" s="161">
        <v>6</v>
      </c>
      <c r="I903" s="161">
        <v>52.8</v>
      </c>
      <c r="J903" s="161">
        <v>41.2</v>
      </c>
      <c r="K903" s="160">
        <v>0.4</v>
      </c>
    </row>
    <row r="904" spans="1:11" x14ac:dyDescent="0.3">
      <c r="A904" s="156" t="s">
        <v>887</v>
      </c>
      <c r="B904" s="157" t="s">
        <v>888</v>
      </c>
      <c r="C904" s="157">
        <v>2024</v>
      </c>
      <c r="D904" s="158">
        <v>-94.227558299999998</v>
      </c>
      <c r="E904" s="158">
        <v>37.201999999999998</v>
      </c>
      <c r="F904" s="159">
        <v>5.9</v>
      </c>
      <c r="G904" s="160">
        <v>8</v>
      </c>
      <c r="H904" s="161">
        <v>9.3000000000000007</v>
      </c>
      <c r="I904" s="161">
        <v>66.8</v>
      </c>
      <c r="J904" s="161">
        <v>23.9</v>
      </c>
      <c r="K904" s="160">
        <v>1</v>
      </c>
    </row>
    <row r="905" spans="1:11" x14ac:dyDescent="0.3">
      <c r="A905" s="156" t="s">
        <v>887</v>
      </c>
      <c r="B905" s="157" t="s">
        <v>888</v>
      </c>
      <c r="C905" s="157">
        <v>2024</v>
      </c>
      <c r="D905" s="158">
        <v>-94.186152800000002</v>
      </c>
      <c r="E905" s="158">
        <v>37.1749917</v>
      </c>
      <c r="F905" s="159">
        <v>5.8</v>
      </c>
      <c r="G905" s="160">
        <v>10.7</v>
      </c>
      <c r="H905" s="161">
        <v>9.1999999999999993</v>
      </c>
      <c r="I905" s="161">
        <v>74.8</v>
      </c>
      <c r="J905" s="161">
        <v>16.100000000000001</v>
      </c>
      <c r="K905" s="160">
        <v>1</v>
      </c>
    </row>
    <row r="906" spans="1:11" x14ac:dyDescent="0.3">
      <c r="A906" s="156" t="s">
        <v>887</v>
      </c>
      <c r="B906" s="157" t="s">
        <v>888</v>
      </c>
      <c r="C906" s="157">
        <v>2024</v>
      </c>
      <c r="D906" s="158">
        <v>-94.184438900000004</v>
      </c>
      <c r="E906" s="158">
        <v>37.091099999999997</v>
      </c>
      <c r="F906" s="159">
        <v>7</v>
      </c>
      <c r="G906" s="160">
        <v>13</v>
      </c>
      <c r="H906" s="161">
        <v>13.9</v>
      </c>
      <c r="I906" s="161">
        <v>79.900000000000006</v>
      </c>
      <c r="J906" s="161">
        <v>6.2</v>
      </c>
      <c r="K906" s="160">
        <v>0.1</v>
      </c>
    </row>
    <row r="907" spans="1:11" x14ac:dyDescent="0.3">
      <c r="A907" s="156" t="s">
        <v>887</v>
      </c>
      <c r="B907" s="157" t="s">
        <v>888</v>
      </c>
      <c r="C907" s="157">
        <v>2024</v>
      </c>
      <c r="D907" s="158">
        <v>-94.1802694</v>
      </c>
      <c r="E907" s="158">
        <v>37.090555600000002</v>
      </c>
      <c r="F907" s="159">
        <v>6.1</v>
      </c>
      <c r="G907" s="160">
        <v>5</v>
      </c>
      <c r="H907" s="161">
        <v>9.1999999999999993</v>
      </c>
      <c r="I907" s="161">
        <v>76.5</v>
      </c>
      <c r="J907" s="161">
        <v>14.3</v>
      </c>
      <c r="K907" s="160">
        <v>2.7</v>
      </c>
    </row>
    <row r="908" spans="1:11" x14ac:dyDescent="0.3">
      <c r="A908" s="156" t="s">
        <v>887</v>
      </c>
      <c r="B908" s="157" t="s">
        <v>888</v>
      </c>
      <c r="C908" s="157">
        <v>2024</v>
      </c>
      <c r="D908" s="158">
        <v>-94.127327800000003</v>
      </c>
      <c r="E908" s="158">
        <v>36.7335639</v>
      </c>
      <c r="F908" s="159">
        <v>4.9000000000000004</v>
      </c>
      <c r="G908" s="160">
        <v>4</v>
      </c>
      <c r="H908" s="161">
        <v>12.4</v>
      </c>
      <c r="I908" s="161">
        <v>33.700000000000003</v>
      </c>
      <c r="J908" s="161">
        <v>53.9</v>
      </c>
      <c r="K908" s="160">
        <v>0.1</v>
      </c>
    </row>
    <row r="909" spans="1:11" x14ac:dyDescent="0.3">
      <c r="A909" s="156" t="s">
        <v>887</v>
      </c>
      <c r="B909" s="157" t="s">
        <v>888</v>
      </c>
      <c r="C909" s="157">
        <v>2024</v>
      </c>
      <c r="D909" s="158">
        <v>-94.0668869</v>
      </c>
      <c r="E909" s="158">
        <v>36.816738100000002</v>
      </c>
      <c r="F909" s="159">
        <v>4.8</v>
      </c>
      <c r="G909" s="160">
        <v>8.5</v>
      </c>
      <c r="H909" s="161">
        <v>10.95</v>
      </c>
      <c r="I909" s="161">
        <v>59.4</v>
      </c>
      <c r="J909" s="161">
        <v>34.700000000000003</v>
      </c>
      <c r="K909" s="160">
        <v>1.3050000000000002</v>
      </c>
    </row>
    <row r="910" spans="1:11" x14ac:dyDescent="0.3">
      <c r="A910" s="156" t="s">
        <v>887</v>
      </c>
      <c r="B910" s="157" t="s">
        <v>888</v>
      </c>
      <c r="C910" s="157">
        <v>2024</v>
      </c>
      <c r="D910" s="158">
        <v>-93.982922200000004</v>
      </c>
      <c r="E910" s="158">
        <v>39.916247200000001</v>
      </c>
      <c r="F910" s="159">
        <v>5.3</v>
      </c>
      <c r="G910" s="160">
        <v>10</v>
      </c>
      <c r="H910" s="161">
        <v>97.4</v>
      </c>
      <c r="I910" s="161">
        <v>58.9</v>
      </c>
      <c r="J910" s="161">
        <v>38.9</v>
      </c>
      <c r="K910" s="160">
        <v>0.04</v>
      </c>
    </row>
    <row r="911" spans="1:11" x14ac:dyDescent="0.3">
      <c r="A911" s="156" t="s">
        <v>887</v>
      </c>
      <c r="B911" s="157" t="s">
        <v>888</v>
      </c>
      <c r="C911" s="157">
        <v>2024</v>
      </c>
      <c r="D911" s="158">
        <v>-93.907891000000006</v>
      </c>
      <c r="E911" s="158">
        <v>37.429340000000003</v>
      </c>
      <c r="F911" s="159">
        <v>6.4</v>
      </c>
      <c r="G911" s="160">
        <v>32</v>
      </c>
      <c r="H911" s="161">
        <v>18.600000000000001</v>
      </c>
      <c r="I911" s="161">
        <v>47.1</v>
      </c>
      <c r="J911" s="161">
        <v>34.299999999999997</v>
      </c>
      <c r="K911" s="160">
        <v>0.5</v>
      </c>
    </row>
    <row r="912" spans="1:11" x14ac:dyDescent="0.3">
      <c r="A912" s="156" t="s">
        <v>887</v>
      </c>
      <c r="B912" s="157" t="s">
        <v>888</v>
      </c>
      <c r="C912" s="157">
        <v>2024</v>
      </c>
      <c r="D912" s="158">
        <v>-93.827499399999994</v>
      </c>
      <c r="E912" s="158">
        <v>40.092498800000001</v>
      </c>
      <c r="F912" s="159">
        <v>6.4</v>
      </c>
      <c r="G912" s="160">
        <v>26</v>
      </c>
      <c r="H912" s="161">
        <v>2.2999999999999998</v>
      </c>
      <c r="I912" s="161">
        <v>59.7</v>
      </c>
      <c r="J912" s="161">
        <v>38</v>
      </c>
      <c r="K912" s="160">
        <v>0.2</v>
      </c>
    </row>
    <row r="913" spans="1:11" x14ac:dyDescent="0.3">
      <c r="A913" s="156" t="s">
        <v>887</v>
      </c>
      <c r="B913" s="157" t="s">
        <v>888</v>
      </c>
      <c r="C913" s="157">
        <v>2024</v>
      </c>
      <c r="D913" s="158">
        <v>-93.7915955</v>
      </c>
      <c r="E913" s="158">
        <v>35.630927999999997</v>
      </c>
      <c r="F913" s="159">
        <v>4.4000000000000004</v>
      </c>
      <c r="G913" s="160">
        <v>4.05</v>
      </c>
      <c r="H913" s="161">
        <v>6.3</v>
      </c>
      <c r="I913" s="161">
        <v>37.200000000000003</v>
      </c>
      <c r="J913" s="161">
        <v>56.5</v>
      </c>
      <c r="K913" s="160">
        <v>0.24</v>
      </c>
    </row>
    <row r="914" spans="1:11" x14ac:dyDescent="0.3">
      <c r="A914" s="156" t="s">
        <v>887</v>
      </c>
      <c r="B914" s="157" t="s">
        <v>888</v>
      </c>
      <c r="C914" s="157">
        <v>2024</v>
      </c>
      <c r="D914" s="158">
        <v>-93.689910900000001</v>
      </c>
      <c r="E914" s="158">
        <v>30.402446699999999</v>
      </c>
      <c r="F914" s="159">
        <v>5</v>
      </c>
      <c r="G914" s="160">
        <v>4.1500000000000004</v>
      </c>
      <c r="H914" s="161">
        <v>22.9</v>
      </c>
      <c r="I914" s="161">
        <v>51.1</v>
      </c>
      <c r="J914" s="161">
        <v>26</v>
      </c>
      <c r="K914" s="160">
        <v>0.08</v>
      </c>
    </row>
    <row r="915" spans="1:11" x14ac:dyDescent="0.3">
      <c r="A915" s="156" t="s">
        <v>887</v>
      </c>
      <c r="B915" s="157" t="s">
        <v>888</v>
      </c>
      <c r="C915" s="157">
        <v>2024</v>
      </c>
      <c r="D915" s="158">
        <v>-93.686142000000004</v>
      </c>
      <c r="E915" s="158">
        <v>32.786998699999998</v>
      </c>
      <c r="F915" s="159">
        <v>4.7</v>
      </c>
      <c r="G915" s="160">
        <v>28.4</v>
      </c>
      <c r="H915" s="161">
        <v>12.4</v>
      </c>
      <c r="I915" s="161">
        <v>35.9</v>
      </c>
      <c r="J915" s="161">
        <v>51.7</v>
      </c>
      <c r="K915" s="160">
        <v>0.22000000000000003</v>
      </c>
    </row>
    <row r="916" spans="1:11" x14ac:dyDescent="0.3">
      <c r="A916" s="156" t="s">
        <v>887</v>
      </c>
      <c r="B916" s="157" t="s">
        <v>888</v>
      </c>
      <c r="C916" s="157">
        <v>2024</v>
      </c>
      <c r="D916" s="158">
        <v>-93.625831599999998</v>
      </c>
      <c r="E916" s="158">
        <v>37.283889799999997</v>
      </c>
      <c r="F916" s="159">
        <v>5.4</v>
      </c>
      <c r="G916" s="160">
        <v>4.1500000000000004</v>
      </c>
      <c r="H916" s="161">
        <v>71.900000000000006</v>
      </c>
      <c r="I916" s="161">
        <v>12.6</v>
      </c>
      <c r="J916" s="161">
        <v>15.5</v>
      </c>
      <c r="K916" s="160">
        <v>0.02</v>
      </c>
    </row>
    <row r="917" spans="1:11" x14ac:dyDescent="0.3">
      <c r="A917" s="156" t="s">
        <v>887</v>
      </c>
      <c r="B917" s="157" t="s">
        <v>888</v>
      </c>
      <c r="C917" s="157">
        <v>2024</v>
      </c>
      <c r="D917" s="158">
        <v>-93.512222300000005</v>
      </c>
      <c r="E917" s="158">
        <v>30.700832399999999</v>
      </c>
      <c r="F917" s="159">
        <v>5.5</v>
      </c>
      <c r="G917" s="160">
        <v>2</v>
      </c>
      <c r="H917" s="161">
        <v>17.600000000000001</v>
      </c>
      <c r="I917" s="161">
        <v>37.1</v>
      </c>
      <c r="J917" s="161">
        <v>45.3</v>
      </c>
      <c r="K917" s="160">
        <v>0.04</v>
      </c>
    </row>
    <row r="918" spans="1:11" x14ac:dyDescent="0.3">
      <c r="A918" s="156" t="s">
        <v>887</v>
      </c>
      <c r="B918" s="157" t="s">
        <v>888</v>
      </c>
      <c r="C918" s="157">
        <v>2024</v>
      </c>
      <c r="D918" s="158">
        <v>-93.491332999999997</v>
      </c>
      <c r="E918" s="158">
        <v>44.336936999999999</v>
      </c>
      <c r="F918" s="159">
        <v>5.0999999999999996</v>
      </c>
      <c r="G918" s="160">
        <v>31</v>
      </c>
      <c r="H918" s="161">
        <v>32.5</v>
      </c>
      <c r="I918" s="161">
        <v>32.1</v>
      </c>
      <c r="J918" s="161">
        <v>35.4</v>
      </c>
      <c r="K918" s="160">
        <v>0.42000000000000004</v>
      </c>
    </row>
    <row r="919" spans="1:11" x14ac:dyDescent="0.3">
      <c r="A919" s="156" t="s">
        <v>887</v>
      </c>
      <c r="B919" s="157" t="s">
        <v>888</v>
      </c>
      <c r="C919" s="157">
        <v>2024</v>
      </c>
      <c r="D919" s="158">
        <v>-93.476577758789006</v>
      </c>
      <c r="E919" s="158">
        <v>30.773826599121001</v>
      </c>
      <c r="F919" s="159">
        <v>4.5</v>
      </c>
      <c r="G919" s="160">
        <v>4.25</v>
      </c>
      <c r="H919" s="161">
        <v>26.7</v>
      </c>
      <c r="I919" s="161">
        <v>55.8</v>
      </c>
      <c r="J919" s="161">
        <v>17.5</v>
      </c>
      <c r="K919" s="160">
        <v>0.16999999999999998</v>
      </c>
    </row>
    <row r="920" spans="1:11" x14ac:dyDescent="0.3">
      <c r="A920" s="156" t="s">
        <v>887</v>
      </c>
      <c r="B920" s="157" t="s">
        <v>888</v>
      </c>
      <c r="C920" s="157">
        <v>2024</v>
      </c>
      <c r="D920" s="158">
        <v>-93.421305599999997</v>
      </c>
      <c r="E920" s="158">
        <v>37.203791699999996</v>
      </c>
      <c r="F920" s="159">
        <v>5.0999999999999996</v>
      </c>
      <c r="G920" s="160">
        <v>2</v>
      </c>
      <c r="H920" s="161">
        <v>8.3000000000000007</v>
      </c>
      <c r="I920" s="161">
        <v>42.5</v>
      </c>
      <c r="J920" s="161">
        <v>37.299999999999997</v>
      </c>
      <c r="K920" s="160">
        <v>0.8</v>
      </c>
    </row>
    <row r="921" spans="1:11" x14ac:dyDescent="0.3">
      <c r="A921" s="156" t="s">
        <v>887</v>
      </c>
      <c r="B921" s="157" t="s">
        <v>888</v>
      </c>
      <c r="C921" s="157">
        <v>2024</v>
      </c>
      <c r="D921" s="158">
        <v>-93.4008331</v>
      </c>
      <c r="E921" s="158">
        <v>37.561668400000002</v>
      </c>
      <c r="F921" s="159">
        <v>6.7</v>
      </c>
      <c r="G921" s="160">
        <v>11.2</v>
      </c>
      <c r="H921" s="161">
        <v>16.100000000000001</v>
      </c>
      <c r="I921" s="161">
        <v>23.6</v>
      </c>
      <c r="J921" s="161">
        <v>60.3</v>
      </c>
      <c r="K921" s="160">
        <v>0.06</v>
      </c>
    </row>
    <row r="922" spans="1:11" x14ac:dyDescent="0.3">
      <c r="A922" s="156" t="s">
        <v>887</v>
      </c>
      <c r="B922" s="157" t="s">
        <v>888</v>
      </c>
      <c r="C922" s="157">
        <v>2024</v>
      </c>
      <c r="D922" s="158">
        <v>-93.376963900000007</v>
      </c>
      <c r="E922" s="158">
        <v>37.686300000000003</v>
      </c>
      <c r="F922" s="159">
        <v>4.8</v>
      </c>
      <c r="G922" s="160">
        <v>5.85</v>
      </c>
      <c r="H922" s="161">
        <v>2.4</v>
      </c>
      <c r="I922" s="161">
        <v>39.200000000000003</v>
      </c>
      <c r="J922" s="161">
        <v>58.3</v>
      </c>
      <c r="K922" s="160">
        <v>0.3</v>
      </c>
    </row>
    <row r="923" spans="1:11" x14ac:dyDescent="0.3">
      <c r="A923" s="156" t="s">
        <v>887</v>
      </c>
      <c r="B923" s="157" t="s">
        <v>888</v>
      </c>
      <c r="C923" s="157">
        <v>2024</v>
      </c>
      <c r="D923" s="158">
        <v>-93.375908300000006</v>
      </c>
      <c r="E923" s="158">
        <v>36.644269399999999</v>
      </c>
      <c r="F923" s="159">
        <v>6.3</v>
      </c>
      <c r="G923" s="160">
        <v>14</v>
      </c>
      <c r="H923" s="161">
        <v>26.2</v>
      </c>
      <c r="I923" s="161">
        <v>61.1</v>
      </c>
      <c r="J923" s="161">
        <v>12.7</v>
      </c>
      <c r="K923" s="160">
        <v>6.4</v>
      </c>
    </row>
    <row r="924" spans="1:11" x14ac:dyDescent="0.3">
      <c r="A924" s="156" t="s">
        <v>887</v>
      </c>
      <c r="B924" s="157" t="s">
        <v>888</v>
      </c>
      <c r="C924" s="157">
        <v>2024</v>
      </c>
      <c r="D924" s="158">
        <v>-93.340555600000002</v>
      </c>
      <c r="E924" s="158">
        <v>39.712499999999999</v>
      </c>
      <c r="F924" s="159">
        <v>5</v>
      </c>
      <c r="G924" s="160">
        <v>18</v>
      </c>
      <c r="H924" s="161">
        <v>6.3</v>
      </c>
      <c r="I924" s="161">
        <v>44.1</v>
      </c>
      <c r="J924" s="161">
        <v>49.6</v>
      </c>
      <c r="K924" s="160">
        <v>0.6</v>
      </c>
    </row>
    <row r="925" spans="1:11" x14ac:dyDescent="0.3">
      <c r="A925" s="156" t="s">
        <v>887</v>
      </c>
      <c r="B925" s="157" t="s">
        <v>888</v>
      </c>
      <c r="C925" s="157">
        <v>2024</v>
      </c>
      <c r="D925" s="158">
        <v>-93.274169900000004</v>
      </c>
      <c r="E925" s="158">
        <v>43.558612799999999</v>
      </c>
      <c r="F925" s="159">
        <v>5.6</v>
      </c>
      <c r="G925" s="160">
        <v>10.95</v>
      </c>
      <c r="H925" s="161">
        <v>27.5</v>
      </c>
      <c r="I925" s="161">
        <v>50</v>
      </c>
      <c r="J925" s="161">
        <v>22.5</v>
      </c>
      <c r="K925" s="160">
        <v>0.91999999999999993</v>
      </c>
    </row>
    <row r="926" spans="1:11" x14ac:dyDescent="0.3">
      <c r="A926" s="156" t="s">
        <v>887</v>
      </c>
      <c r="B926" s="157" t="s">
        <v>888</v>
      </c>
      <c r="C926" s="157">
        <v>2024</v>
      </c>
      <c r="D926" s="158">
        <v>-93.222805600000001</v>
      </c>
      <c r="E926" s="158">
        <v>37.017499999999998</v>
      </c>
      <c r="F926" s="159">
        <v>7.1</v>
      </c>
      <c r="G926" s="160">
        <v>7</v>
      </c>
      <c r="H926" s="161">
        <v>8.8000000000000007</v>
      </c>
      <c r="I926" s="161">
        <v>75.900000000000006</v>
      </c>
      <c r="J926" s="161">
        <v>16.8</v>
      </c>
      <c r="K926" s="160">
        <v>0.9</v>
      </c>
    </row>
    <row r="927" spans="1:11" x14ac:dyDescent="0.3">
      <c r="A927" s="156" t="s">
        <v>887</v>
      </c>
      <c r="B927" s="157" t="s">
        <v>888</v>
      </c>
      <c r="C927" s="157">
        <v>2024</v>
      </c>
      <c r="D927" s="158">
        <v>-93.183611099999993</v>
      </c>
      <c r="E927" s="158">
        <v>39.586111099999997</v>
      </c>
      <c r="F927" s="159">
        <v>5.3</v>
      </c>
      <c r="G927" s="160">
        <v>24.9</v>
      </c>
      <c r="H927" s="161">
        <v>5.3</v>
      </c>
      <c r="I927" s="161">
        <v>69.099999999999994</v>
      </c>
      <c r="J927" s="161">
        <v>25.6</v>
      </c>
      <c r="K927" s="160">
        <v>0.3</v>
      </c>
    </row>
    <row r="928" spans="1:11" x14ac:dyDescent="0.3">
      <c r="A928" s="156" t="s">
        <v>887</v>
      </c>
      <c r="B928" s="157" t="s">
        <v>888</v>
      </c>
      <c r="C928" s="157">
        <v>2024</v>
      </c>
      <c r="D928" s="158">
        <v>-93.118194599999995</v>
      </c>
      <c r="E928" s="158">
        <v>39.6301956</v>
      </c>
      <c r="F928" s="159">
        <v>6.3</v>
      </c>
      <c r="G928" s="160">
        <v>18</v>
      </c>
      <c r="H928" s="161">
        <v>5.4</v>
      </c>
      <c r="I928" s="161">
        <v>74.099999999999994</v>
      </c>
      <c r="J928" s="161">
        <v>20.5</v>
      </c>
      <c r="K928" s="160">
        <v>1.7</v>
      </c>
    </row>
    <row r="929" spans="1:11" x14ac:dyDescent="0.3">
      <c r="A929" s="156" t="s">
        <v>887</v>
      </c>
      <c r="B929" s="157" t="s">
        <v>888</v>
      </c>
      <c r="C929" s="157">
        <v>2024</v>
      </c>
      <c r="D929" s="158">
        <v>-93.075721700000003</v>
      </c>
      <c r="E929" s="158">
        <v>45.389362300000002</v>
      </c>
      <c r="F929" s="159">
        <v>4.5999999999999996</v>
      </c>
      <c r="G929" s="160">
        <v>2.5</v>
      </c>
      <c r="H929" s="161">
        <v>89.2</v>
      </c>
      <c r="I929" s="161">
        <v>7.5</v>
      </c>
      <c r="J929" s="161">
        <v>3.3</v>
      </c>
      <c r="K929" s="160">
        <v>0.95</v>
      </c>
    </row>
    <row r="930" spans="1:11" x14ac:dyDescent="0.3">
      <c r="A930" s="156" t="s">
        <v>887</v>
      </c>
      <c r="B930" s="157" t="s">
        <v>888</v>
      </c>
      <c r="C930" s="157">
        <v>2024</v>
      </c>
      <c r="D930" s="158">
        <v>-92.888885500000001</v>
      </c>
      <c r="E930" s="158">
        <v>41.827777900000001</v>
      </c>
      <c r="F930" s="159">
        <v>7.9</v>
      </c>
      <c r="G930" s="160">
        <v>19</v>
      </c>
      <c r="H930" s="161">
        <v>3.3</v>
      </c>
      <c r="I930" s="161">
        <v>73.7</v>
      </c>
      <c r="J930" s="161">
        <v>23</v>
      </c>
      <c r="K930" s="160">
        <v>0.48</v>
      </c>
    </row>
    <row r="931" spans="1:11" x14ac:dyDescent="0.3">
      <c r="A931" s="156" t="s">
        <v>887</v>
      </c>
      <c r="B931" s="157" t="s">
        <v>888</v>
      </c>
      <c r="C931" s="157">
        <v>2024</v>
      </c>
      <c r="D931" s="158">
        <v>-92.866668700000005</v>
      </c>
      <c r="E931" s="158">
        <v>46.6833344</v>
      </c>
      <c r="F931" s="159">
        <v>6.4</v>
      </c>
      <c r="G931" s="160">
        <v>3.05</v>
      </c>
      <c r="H931" s="161">
        <v>54.6</v>
      </c>
      <c r="I931" s="161">
        <v>39</v>
      </c>
      <c r="J931" s="161">
        <v>6.4</v>
      </c>
      <c r="K931" s="160">
        <v>0.05</v>
      </c>
    </row>
    <row r="932" spans="1:11" x14ac:dyDescent="0.3">
      <c r="A932" s="156" t="s">
        <v>887</v>
      </c>
      <c r="B932" s="157" t="s">
        <v>888</v>
      </c>
      <c r="C932" s="157">
        <v>2024</v>
      </c>
      <c r="D932" s="158">
        <v>-92.803128999999998</v>
      </c>
      <c r="E932" s="158">
        <v>36.811321</v>
      </c>
      <c r="F932" s="159">
        <v>4.5999999999999996</v>
      </c>
      <c r="G932" s="160">
        <v>11</v>
      </c>
      <c r="H932" s="161">
        <v>19.5</v>
      </c>
      <c r="I932" s="161">
        <v>72.3</v>
      </c>
      <c r="J932" s="161">
        <v>8.1999999999999993</v>
      </c>
      <c r="K932" s="160">
        <v>0.6</v>
      </c>
    </row>
    <row r="933" spans="1:11" x14ac:dyDescent="0.3">
      <c r="A933" s="156" t="s">
        <v>887</v>
      </c>
      <c r="B933" s="157" t="s">
        <v>888</v>
      </c>
      <c r="C933" s="157">
        <v>2024</v>
      </c>
      <c r="D933" s="158">
        <v>-92.766666700000002</v>
      </c>
      <c r="E933" s="158">
        <v>39</v>
      </c>
      <c r="F933" s="159">
        <v>6.3</v>
      </c>
      <c r="G933" s="160">
        <v>32</v>
      </c>
      <c r="H933" s="161">
        <v>7</v>
      </c>
      <c r="I933" s="161">
        <v>72.7</v>
      </c>
      <c r="J933" s="161">
        <v>22.3</v>
      </c>
      <c r="K933" s="160">
        <v>1.1000000000000001</v>
      </c>
    </row>
    <row r="934" spans="1:11" x14ac:dyDescent="0.3">
      <c r="A934" s="156" t="s">
        <v>887</v>
      </c>
      <c r="B934" s="157" t="s">
        <v>888</v>
      </c>
      <c r="C934" s="157">
        <v>2024</v>
      </c>
      <c r="D934" s="158">
        <v>-92.757686100000001</v>
      </c>
      <c r="E934" s="158">
        <v>40.085724999999996</v>
      </c>
      <c r="F934" s="159">
        <v>7.7</v>
      </c>
      <c r="G934" s="160">
        <v>11</v>
      </c>
      <c r="H934" s="161">
        <v>32.5</v>
      </c>
      <c r="I934" s="161">
        <v>35.1</v>
      </c>
      <c r="J934" s="161">
        <v>32.4</v>
      </c>
      <c r="K934" s="160">
        <v>0.1</v>
      </c>
    </row>
    <row r="935" spans="1:11" x14ac:dyDescent="0.3">
      <c r="A935" s="156" t="s">
        <v>887</v>
      </c>
      <c r="B935" s="157" t="s">
        <v>888</v>
      </c>
      <c r="C935" s="157">
        <v>2024</v>
      </c>
      <c r="D935" s="158">
        <v>-92.750502800000007</v>
      </c>
      <c r="E935" s="158">
        <v>36.773811100000003</v>
      </c>
      <c r="F935" s="159">
        <v>6.8</v>
      </c>
      <c r="G935" s="160">
        <v>4</v>
      </c>
      <c r="H935" s="161">
        <v>3.8</v>
      </c>
      <c r="I935" s="161">
        <v>23.1</v>
      </c>
      <c r="J935" s="161">
        <v>73.099999999999994</v>
      </c>
      <c r="K935" s="160">
        <v>0.2</v>
      </c>
    </row>
    <row r="936" spans="1:11" x14ac:dyDescent="0.3">
      <c r="A936" s="156" t="s">
        <v>887</v>
      </c>
      <c r="B936" s="157" t="s">
        <v>888</v>
      </c>
      <c r="C936" s="157">
        <v>2024</v>
      </c>
      <c r="D936" s="158">
        <v>-92.729555599999998</v>
      </c>
      <c r="E936" s="158">
        <v>38.588305599999998</v>
      </c>
      <c r="F936" s="159">
        <v>6.8</v>
      </c>
      <c r="G936" s="160">
        <v>18.95</v>
      </c>
      <c r="H936" s="161">
        <v>57.5</v>
      </c>
      <c r="I936" s="161">
        <v>19.8</v>
      </c>
      <c r="J936" s="161">
        <v>22.7</v>
      </c>
      <c r="K936" s="160">
        <v>0.1</v>
      </c>
    </row>
    <row r="937" spans="1:11" x14ac:dyDescent="0.3">
      <c r="A937" s="156" t="s">
        <v>887</v>
      </c>
      <c r="B937" s="157" t="s">
        <v>888</v>
      </c>
      <c r="C937" s="157">
        <v>2024</v>
      </c>
      <c r="D937" s="158">
        <v>-92.715730500000006</v>
      </c>
      <c r="E937" s="158">
        <v>36.993405799999998</v>
      </c>
      <c r="F937" s="159">
        <v>7</v>
      </c>
      <c r="G937" s="160">
        <v>7</v>
      </c>
      <c r="H937" s="161">
        <v>17.3</v>
      </c>
      <c r="I937" s="161">
        <v>71.099999999999994</v>
      </c>
      <c r="J937" s="161">
        <v>11.6</v>
      </c>
      <c r="K937" s="160">
        <v>0.6</v>
      </c>
    </row>
    <row r="938" spans="1:11" x14ac:dyDescent="0.3">
      <c r="A938" s="156" t="s">
        <v>887</v>
      </c>
      <c r="B938" s="157" t="s">
        <v>888</v>
      </c>
      <c r="C938" s="157">
        <v>2024</v>
      </c>
      <c r="D938" s="158">
        <v>-92.709758300000004</v>
      </c>
      <c r="E938" s="158">
        <v>40.588266699999998</v>
      </c>
      <c r="F938" s="159">
        <v>5.2</v>
      </c>
      <c r="G938" s="160">
        <v>9</v>
      </c>
      <c r="H938" s="161">
        <v>54.9</v>
      </c>
      <c r="I938" s="161">
        <v>15</v>
      </c>
      <c r="J938" s="161">
        <v>30.1</v>
      </c>
      <c r="K938" s="160">
        <v>0.3</v>
      </c>
    </row>
    <row r="939" spans="1:11" x14ac:dyDescent="0.3">
      <c r="A939" s="156" t="s">
        <v>887</v>
      </c>
      <c r="B939" s="157" t="s">
        <v>888</v>
      </c>
      <c r="C939" s="157">
        <v>2024</v>
      </c>
      <c r="D939" s="158">
        <v>-92.622430600000001</v>
      </c>
      <c r="E939" s="158">
        <v>40.060036099999998</v>
      </c>
      <c r="F939" s="159">
        <v>5.2</v>
      </c>
      <c r="G939" s="160">
        <v>15</v>
      </c>
      <c r="H939" s="161">
        <v>4.5</v>
      </c>
      <c r="I939" s="161">
        <v>62.6</v>
      </c>
      <c r="J939" s="161">
        <v>32.9</v>
      </c>
      <c r="K939" s="160">
        <v>2</v>
      </c>
    </row>
    <row r="940" spans="1:11" x14ac:dyDescent="0.3">
      <c r="A940" s="156" t="s">
        <v>887</v>
      </c>
      <c r="B940" s="157" t="s">
        <v>888</v>
      </c>
      <c r="C940" s="157">
        <v>2024</v>
      </c>
      <c r="D940" s="158">
        <v>-92.611666700000001</v>
      </c>
      <c r="E940" s="158">
        <v>36.567222200000003</v>
      </c>
      <c r="F940" s="159">
        <v>5.0999999999999996</v>
      </c>
      <c r="G940" s="160">
        <v>3.25</v>
      </c>
      <c r="H940" s="161">
        <v>34.700000000000003</v>
      </c>
      <c r="I940" s="161">
        <v>52.1</v>
      </c>
      <c r="J940" s="161">
        <v>13.3</v>
      </c>
      <c r="K940" s="160">
        <v>0.2</v>
      </c>
    </row>
    <row r="941" spans="1:11" x14ac:dyDescent="0.3">
      <c r="A941" s="156" t="s">
        <v>887</v>
      </c>
      <c r="B941" s="157" t="s">
        <v>888</v>
      </c>
      <c r="C941" s="157">
        <v>2024</v>
      </c>
      <c r="D941" s="158">
        <v>-92.609168999999994</v>
      </c>
      <c r="E941" s="158">
        <v>30.471944799999999</v>
      </c>
      <c r="F941" s="159">
        <v>5.3</v>
      </c>
      <c r="G941" s="160">
        <v>4.75</v>
      </c>
      <c r="H941" s="161">
        <v>15.9</v>
      </c>
      <c r="I941" s="161">
        <v>27.5</v>
      </c>
      <c r="J941" s="161">
        <v>56.6</v>
      </c>
      <c r="K941" s="160">
        <v>0.27</v>
      </c>
    </row>
    <row r="942" spans="1:11" x14ac:dyDescent="0.3">
      <c r="A942" s="156" t="s">
        <v>887</v>
      </c>
      <c r="B942" s="157" t="s">
        <v>888</v>
      </c>
      <c r="C942" s="157">
        <v>2024</v>
      </c>
      <c r="D942" s="158">
        <v>-92.5960556</v>
      </c>
      <c r="E942" s="158">
        <v>38.7734722</v>
      </c>
      <c r="F942" s="159">
        <v>7.2</v>
      </c>
      <c r="G942" s="160">
        <v>14.4</v>
      </c>
      <c r="H942" s="161">
        <v>11.5</v>
      </c>
      <c r="I942" s="161">
        <v>70.8</v>
      </c>
      <c r="J942" s="161">
        <v>17.8</v>
      </c>
      <c r="K942" s="160">
        <v>1.1000000000000001</v>
      </c>
    </row>
    <row r="943" spans="1:11" x14ac:dyDescent="0.3">
      <c r="A943" s="156" t="s">
        <v>887</v>
      </c>
      <c r="B943" s="157" t="s">
        <v>888</v>
      </c>
      <c r="C943" s="157">
        <v>2024</v>
      </c>
      <c r="D943" s="158">
        <v>-92.581613899999994</v>
      </c>
      <c r="E943" s="158">
        <v>36.694366700000003</v>
      </c>
      <c r="F943" s="159">
        <v>5.3</v>
      </c>
      <c r="G943" s="160">
        <v>10</v>
      </c>
      <c r="H943" s="161">
        <v>38.9</v>
      </c>
      <c r="I943" s="161">
        <v>54.5</v>
      </c>
      <c r="J943" s="161">
        <v>6.6</v>
      </c>
      <c r="K943" s="160">
        <v>2.5</v>
      </c>
    </row>
    <row r="944" spans="1:11" x14ac:dyDescent="0.3">
      <c r="A944" s="156" t="s">
        <v>887</v>
      </c>
      <c r="B944" s="157" t="s">
        <v>888</v>
      </c>
      <c r="C944" s="157">
        <v>2024</v>
      </c>
      <c r="D944" s="158">
        <v>-92.556991699999998</v>
      </c>
      <c r="E944" s="158">
        <v>38.104300000000002</v>
      </c>
      <c r="F944" s="159">
        <v>5.0999999999999996</v>
      </c>
      <c r="G944" s="160">
        <v>12</v>
      </c>
      <c r="H944" s="161">
        <v>4.9000000000000004</v>
      </c>
      <c r="I944" s="161">
        <v>75.7</v>
      </c>
      <c r="J944" s="161">
        <v>19.399999999999999</v>
      </c>
      <c r="K944" s="160">
        <v>0.3</v>
      </c>
    </row>
    <row r="945" spans="1:11" x14ac:dyDescent="0.3">
      <c r="A945" s="156" t="s">
        <v>887</v>
      </c>
      <c r="B945" s="157" t="s">
        <v>888</v>
      </c>
      <c r="C945" s="157">
        <v>2024</v>
      </c>
      <c r="D945" s="158">
        <v>-92.472778300000002</v>
      </c>
      <c r="E945" s="158">
        <v>39.6458321</v>
      </c>
      <c r="F945" s="159">
        <v>6.6</v>
      </c>
      <c r="G945" s="160">
        <v>27.3</v>
      </c>
      <c r="H945" s="161">
        <v>2.2999999999999998</v>
      </c>
      <c r="I945" s="161">
        <v>49.2</v>
      </c>
      <c r="J945" s="161">
        <v>48.5</v>
      </c>
      <c r="K945" s="160">
        <v>0.89</v>
      </c>
    </row>
    <row r="946" spans="1:11" x14ac:dyDescent="0.3">
      <c r="A946" s="156" t="s">
        <v>887</v>
      </c>
      <c r="B946" s="157" t="s">
        <v>888</v>
      </c>
      <c r="C946" s="157">
        <v>2024</v>
      </c>
      <c r="D946" s="158">
        <v>-92.361388899999994</v>
      </c>
      <c r="E946" s="158">
        <v>37.586388900000003</v>
      </c>
      <c r="F946" s="159">
        <v>7.7</v>
      </c>
      <c r="G946" s="160">
        <v>19</v>
      </c>
      <c r="H946" s="161">
        <v>12.6</v>
      </c>
      <c r="I946" s="161">
        <v>75.400000000000006</v>
      </c>
      <c r="J946" s="161">
        <v>12</v>
      </c>
      <c r="K946" s="160">
        <v>0.9</v>
      </c>
    </row>
    <row r="947" spans="1:11" x14ac:dyDescent="0.3">
      <c r="A947" s="156" t="s">
        <v>887</v>
      </c>
      <c r="B947" s="157" t="s">
        <v>888</v>
      </c>
      <c r="C947" s="157">
        <v>2024</v>
      </c>
      <c r="D947" s="158">
        <v>-92.345169067382798</v>
      </c>
      <c r="E947" s="158">
        <v>38.967266082763601</v>
      </c>
      <c r="F947" s="159">
        <v>5.5</v>
      </c>
      <c r="G947" s="160">
        <v>19</v>
      </c>
      <c r="H947" s="161">
        <v>30.8</v>
      </c>
      <c r="I947" s="161">
        <v>10.6</v>
      </c>
      <c r="J947" s="161">
        <v>77.2</v>
      </c>
      <c r="K947" s="160">
        <v>0.2</v>
      </c>
    </row>
    <row r="948" spans="1:11" x14ac:dyDescent="0.3">
      <c r="A948" s="156" t="s">
        <v>887</v>
      </c>
      <c r="B948" s="157" t="s">
        <v>888</v>
      </c>
      <c r="C948" s="157">
        <v>2024</v>
      </c>
      <c r="D948" s="158">
        <v>-92.344999999999999</v>
      </c>
      <c r="E948" s="158">
        <v>38.967222200000002</v>
      </c>
      <c r="F948" s="159">
        <v>8.1</v>
      </c>
      <c r="G948" s="160">
        <v>19</v>
      </c>
      <c r="H948" s="161">
        <v>28.1</v>
      </c>
      <c r="I948" s="161">
        <v>45.3</v>
      </c>
      <c r="J948" s="161">
        <v>12.8</v>
      </c>
      <c r="K948" s="160">
        <v>0.8</v>
      </c>
    </row>
    <row r="949" spans="1:11" x14ac:dyDescent="0.3">
      <c r="A949" s="156" t="s">
        <v>887</v>
      </c>
      <c r="B949" s="157" t="s">
        <v>888</v>
      </c>
      <c r="C949" s="157">
        <v>2024</v>
      </c>
      <c r="D949" s="158">
        <v>-92.301666699999998</v>
      </c>
      <c r="E949" s="158">
        <v>37.613055600000003</v>
      </c>
      <c r="F949" s="159">
        <v>5.3</v>
      </c>
      <c r="G949" s="160">
        <v>3</v>
      </c>
      <c r="H949" s="161">
        <v>22.5</v>
      </c>
      <c r="I949" s="161">
        <v>64.7</v>
      </c>
      <c r="J949" s="161">
        <v>12.8</v>
      </c>
      <c r="K949" s="160">
        <v>1.1000000000000001</v>
      </c>
    </row>
    <row r="950" spans="1:11" x14ac:dyDescent="0.3">
      <c r="A950" s="156" t="s">
        <v>887</v>
      </c>
      <c r="B950" s="157" t="s">
        <v>888</v>
      </c>
      <c r="C950" s="157">
        <v>2024</v>
      </c>
      <c r="D950" s="158">
        <v>-92.289886899999999</v>
      </c>
      <c r="E950" s="158">
        <v>38.374217399999999</v>
      </c>
      <c r="F950" s="159">
        <v>5.2</v>
      </c>
      <c r="G950" s="160">
        <v>8.85</v>
      </c>
      <c r="H950" s="161">
        <v>3.8</v>
      </c>
      <c r="I950" s="161">
        <v>65.7</v>
      </c>
      <c r="J950" s="161">
        <v>30.5</v>
      </c>
      <c r="K950" s="160">
        <v>0.3</v>
      </c>
    </row>
    <row r="951" spans="1:11" x14ac:dyDescent="0.3">
      <c r="A951" s="156" t="s">
        <v>887</v>
      </c>
      <c r="B951" s="157" t="s">
        <v>888</v>
      </c>
      <c r="C951" s="157">
        <v>2024</v>
      </c>
      <c r="D951" s="158">
        <v>-92.261510900000005</v>
      </c>
      <c r="E951" s="158">
        <v>38.382016299999997</v>
      </c>
      <c r="F951" s="159">
        <v>7.4</v>
      </c>
      <c r="G951" s="160">
        <v>4</v>
      </c>
      <c r="H951" s="161">
        <v>77.400000000000006</v>
      </c>
      <c r="I951" s="161">
        <v>7.1</v>
      </c>
      <c r="J951" s="161">
        <v>15.5</v>
      </c>
      <c r="K951" s="160">
        <v>0.3</v>
      </c>
    </row>
    <row r="952" spans="1:11" x14ac:dyDescent="0.3">
      <c r="A952" s="156" t="s">
        <v>887</v>
      </c>
      <c r="B952" s="157" t="s">
        <v>888</v>
      </c>
      <c r="C952" s="157">
        <v>2024</v>
      </c>
      <c r="D952" s="158">
        <v>-92.200330600000001</v>
      </c>
      <c r="E952" s="158">
        <v>36.877611100000003</v>
      </c>
      <c r="F952" s="159">
        <v>4.7</v>
      </c>
      <c r="G952" s="160">
        <v>2.4500000000000002</v>
      </c>
      <c r="H952" s="161">
        <v>19.7</v>
      </c>
      <c r="I952" s="161">
        <v>71.7</v>
      </c>
      <c r="J952" s="161">
        <v>8.6999999999999993</v>
      </c>
      <c r="K952" s="160">
        <v>0.9</v>
      </c>
    </row>
    <row r="953" spans="1:11" x14ac:dyDescent="0.3">
      <c r="A953" s="156" t="s">
        <v>887</v>
      </c>
      <c r="B953" s="157" t="s">
        <v>888</v>
      </c>
      <c r="C953" s="157">
        <v>2024</v>
      </c>
      <c r="D953" s="158">
        <v>-92.197316700000002</v>
      </c>
      <c r="E953" s="158">
        <v>36.807513899999996</v>
      </c>
      <c r="F953" s="159">
        <v>4.5999999999999996</v>
      </c>
      <c r="G953" s="160">
        <v>11</v>
      </c>
      <c r="H953" s="161">
        <v>16.5</v>
      </c>
      <c r="I953" s="161">
        <v>42.2</v>
      </c>
      <c r="J953" s="161">
        <v>41.3</v>
      </c>
      <c r="K953" s="160">
        <v>0.1</v>
      </c>
    </row>
    <row r="954" spans="1:11" x14ac:dyDescent="0.3">
      <c r="A954" s="156" t="s">
        <v>887</v>
      </c>
      <c r="B954" s="157" t="s">
        <v>888</v>
      </c>
      <c r="C954" s="157">
        <v>2024</v>
      </c>
      <c r="D954" s="158">
        <v>-92.168562600000001</v>
      </c>
      <c r="E954" s="158">
        <v>38.0389245</v>
      </c>
      <c r="F954" s="159">
        <v>5.0999999999999996</v>
      </c>
      <c r="G954" s="160">
        <v>19</v>
      </c>
      <c r="H954" s="161">
        <v>21.2</v>
      </c>
      <c r="I954" s="161">
        <v>68.400000000000006</v>
      </c>
      <c r="J954" s="161">
        <v>10.4</v>
      </c>
      <c r="K954" s="160">
        <v>1.1000000000000001</v>
      </c>
    </row>
    <row r="955" spans="1:11" x14ac:dyDescent="0.3">
      <c r="A955" s="156" t="s">
        <v>887</v>
      </c>
      <c r="B955" s="157" t="s">
        <v>888</v>
      </c>
      <c r="C955" s="157">
        <v>2024</v>
      </c>
      <c r="D955" s="158">
        <v>-92.160636100000005</v>
      </c>
      <c r="E955" s="158">
        <v>37.004041700000002</v>
      </c>
      <c r="F955" s="159">
        <v>4.5</v>
      </c>
      <c r="G955" s="160">
        <v>7.7</v>
      </c>
      <c r="H955" s="161">
        <v>8.4</v>
      </c>
      <c r="I955" s="161">
        <v>16.8</v>
      </c>
      <c r="J955" s="161">
        <v>74.8</v>
      </c>
      <c r="K955" s="160">
        <v>0.2</v>
      </c>
    </row>
    <row r="956" spans="1:11" x14ac:dyDescent="0.3">
      <c r="A956" s="156" t="s">
        <v>887</v>
      </c>
      <c r="B956" s="157" t="s">
        <v>888</v>
      </c>
      <c r="C956" s="157">
        <v>2024</v>
      </c>
      <c r="D956" s="158">
        <v>-92.154144400000007</v>
      </c>
      <c r="E956" s="158">
        <v>36.675736100000002</v>
      </c>
      <c r="F956" s="159">
        <v>5</v>
      </c>
      <c r="G956" s="160">
        <v>8</v>
      </c>
      <c r="H956" s="161">
        <v>10.9</v>
      </c>
      <c r="I956" s="161">
        <v>26.7</v>
      </c>
      <c r="J956" s="161">
        <v>62.4</v>
      </c>
      <c r="K956" s="160">
        <v>0.1</v>
      </c>
    </row>
    <row r="957" spans="1:11" x14ac:dyDescent="0.3">
      <c r="A957" s="156" t="s">
        <v>887</v>
      </c>
      <c r="B957" s="157" t="s">
        <v>888</v>
      </c>
      <c r="C957" s="157">
        <v>2024</v>
      </c>
      <c r="D957" s="158">
        <v>-92.120613899999995</v>
      </c>
      <c r="E957" s="158">
        <v>36.504483299999997</v>
      </c>
      <c r="F957" s="159">
        <v>5.4</v>
      </c>
      <c r="G957" s="160">
        <v>5</v>
      </c>
      <c r="H957" s="161">
        <v>38.6</v>
      </c>
      <c r="I957" s="161">
        <v>52.8</v>
      </c>
      <c r="J957" s="161">
        <v>8.6</v>
      </c>
      <c r="K957" s="160">
        <v>0.2</v>
      </c>
    </row>
    <row r="958" spans="1:11" x14ac:dyDescent="0.3">
      <c r="A958" s="156" t="s">
        <v>887</v>
      </c>
      <c r="B958" s="157" t="s">
        <v>888</v>
      </c>
      <c r="C958" s="157">
        <v>2024</v>
      </c>
      <c r="D958" s="158">
        <v>-92.118324000000001</v>
      </c>
      <c r="E958" s="158">
        <v>36.501646000000001</v>
      </c>
      <c r="F958" s="159">
        <v>5.5</v>
      </c>
      <c r="G958" s="160">
        <v>15</v>
      </c>
      <c r="H958" s="161">
        <v>38.200000000000003</v>
      </c>
      <c r="I958" s="161">
        <v>36</v>
      </c>
      <c r="J958" s="161">
        <v>25.8</v>
      </c>
      <c r="K958" s="160">
        <v>0.1</v>
      </c>
    </row>
    <row r="959" spans="1:11" x14ac:dyDescent="0.3">
      <c r="A959" s="156" t="s">
        <v>887</v>
      </c>
      <c r="B959" s="157" t="s">
        <v>888</v>
      </c>
      <c r="C959" s="157">
        <v>2024</v>
      </c>
      <c r="D959" s="158">
        <v>-92.108492400000003</v>
      </c>
      <c r="E959" s="158">
        <v>38.465605199999999</v>
      </c>
      <c r="F959" s="159">
        <v>5.2</v>
      </c>
      <c r="G959" s="160">
        <v>14.1</v>
      </c>
      <c r="H959" s="161">
        <v>6.4</v>
      </c>
      <c r="I959" s="161">
        <v>76.7</v>
      </c>
      <c r="J959" s="161">
        <v>16.899999999999999</v>
      </c>
      <c r="K959" s="160">
        <v>1.3</v>
      </c>
    </row>
    <row r="960" spans="1:11" x14ac:dyDescent="0.3">
      <c r="A960" s="156" t="s">
        <v>887</v>
      </c>
      <c r="B960" s="157" t="s">
        <v>888</v>
      </c>
      <c r="C960" s="157">
        <v>2024</v>
      </c>
      <c r="D960" s="158">
        <v>-92.095695500000005</v>
      </c>
      <c r="E960" s="158">
        <v>38.957668300000002</v>
      </c>
      <c r="F960" s="159">
        <v>6.4</v>
      </c>
      <c r="G960" s="160">
        <v>29.15</v>
      </c>
      <c r="H960" s="161">
        <v>7.1</v>
      </c>
      <c r="I960" s="161">
        <v>69</v>
      </c>
      <c r="J960" s="161">
        <v>23.9</v>
      </c>
      <c r="K960" s="160">
        <v>1.35</v>
      </c>
    </row>
    <row r="961" spans="1:11" x14ac:dyDescent="0.3">
      <c r="A961" s="156" t="s">
        <v>887</v>
      </c>
      <c r="B961" s="157" t="s">
        <v>888</v>
      </c>
      <c r="C961" s="157">
        <v>2024</v>
      </c>
      <c r="D961" s="158">
        <v>-92.086855600000007</v>
      </c>
      <c r="E961" s="158">
        <v>36.5949806</v>
      </c>
      <c r="F961" s="159">
        <v>5</v>
      </c>
      <c r="G961" s="160">
        <v>5.85</v>
      </c>
      <c r="H961" s="161">
        <v>10.8</v>
      </c>
      <c r="I961" s="161">
        <v>69.3</v>
      </c>
      <c r="J961" s="161">
        <v>19.899999999999999</v>
      </c>
      <c r="K961" s="160">
        <v>0.3</v>
      </c>
    </row>
    <row r="962" spans="1:11" x14ac:dyDescent="0.3">
      <c r="A962" s="156" t="s">
        <v>887</v>
      </c>
      <c r="B962" s="157" t="s">
        <v>888</v>
      </c>
      <c r="C962" s="157">
        <v>2024</v>
      </c>
      <c r="D962" s="158">
        <v>-92.080276499999997</v>
      </c>
      <c r="E962" s="158">
        <v>45.6877785</v>
      </c>
      <c r="F962" s="159">
        <v>5.9</v>
      </c>
      <c r="G962" s="160">
        <v>9.15</v>
      </c>
      <c r="H962" s="161">
        <v>25.2</v>
      </c>
      <c r="I962" s="161">
        <v>68.599999999999994</v>
      </c>
      <c r="J962" s="161">
        <v>6.2</v>
      </c>
      <c r="K962" s="160">
        <v>0.32</v>
      </c>
    </row>
    <row r="963" spans="1:11" x14ac:dyDescent="0.3">
      <c r="A963" s="156" t="s">
        <v>887</v>
      </c>
      <c r="B963" s="157" t="s">
        <v>888</v>
      </c>
      <c r="C963" s="157">
        <v>2024</v>
      </c>
      <c r="D963" s="158">
        <v>-92.067030599999995</v>
      </c>
      <c r="E963" s="158">
        <v>36.847875000000002</v>
      </c>
      <c r="F963" s="159">
        <v>5.0999999999999996</v>
      </c>
      <c r="G963" s="160">
        <v>4.05</v>
      </c>
      <c r="H963" s="161">
        <v>30.8</v>
      </c>
      <c r="I963" s="161">
        <v>53.4</v>
      </c>
      <c r="J963" s="161">
        <v>12.8</v>
      </c>
      <c r="K963" s="160">
        <v>0.1</v>
      </c>
    </row>
    <row r="964" spans="1:11" x14ac:dyDescent="0.3">
      <c r="A964" s="156" t="s">
        <v>887</v>
      </c>
      <c r="B964" s="157" t="s">
        <v>888</v>
      </c>
      <c r="C964" s="157">
        <v>2024</v>
      </c>
      <c r="D964" s="158">
        <v>-92.008331299999995</v>
      </c>
      <c r="E964" s="158">
        <v>41.477222400000002</v>
      </c>
      <c r="F964" s="159">
        <v>5.2</v>
      </c>
      <c r="G964" s="160">
        <v>14.05</v>
      </c>
      <c r="H964" s="161">
        <v>33.799999999999997</v>
      </c>
      <c r="I964" s="161">
        <v>46.4</v>
      </c>
      <c r="J964" s="161">
        <v>19.8</v>
      </c>
      <c r="K964" s="160">
        <v>0.15</v>
      </c>
    </row>
    <row r="965" spans="1:11" x14ac:dyDescent="0.3">
      <c r="A965" s="156" t="s">
        <v>887</v>
      </c>
      <c r="B965" s="157" t="s">
        <v>888</v>
      </c>
      <c r="C965" s="157">
        <v>2024</v>
      </c>
      <c r="D965" s="158">
        <v>-92</v>
      </c>
      <c r="E965" s="158">
        <v>36</v>
      </c>
      <c r="F965" s="159">
        <v>5.6</v>
      </c>
      <c r="G965" s="160">
        <v>2.7</v>
      </c>
      <c r="H965" s="161">
        <v>45.8</v>
      </c>
      <c r="I965" s="161">
        <v>43.7</v>
      </c>
      <c r="J965" s="161">
        <v>14.6</v>
      </c>
      <c r="K965" s="160">
        <v>0.1</v>
      </c>
    </row>
    <row r="966" spans="1:11" x14ac:dyDescent="0.3">
      <c r="A966" s="156" t="s">
        <v>887</v>
      </c>
      <c r="B966" s="157" t="s">
        <v>888</v>
      </c>
      <c r="C966" s="157">
        <v>2024</v>
      </c>
      <c r="D966" s="158">
        <v>-91.993888900000002</v>
      </c>
      <c r="E966" s="158">
        <v>41.433887499999997</v>
      </c>
      <c r="F966" s="159">
        <v>6.3</v>
      </c>
      <c r="G966" s="160">
        <v>21.9</v>
      </c>
      <c r="H966" s="161">
        <v>0.7</v>
      </c>
      <c r="I966" s="161">
        <v>69.7</v>
      </c>
      <c r="J966" s="161">
        <v>29.6</v>
      </c>
      <c r="K966" s="160">
        <v>0.12</v>
      </c>
    </row>
    <row r="967" spans="1:11" x14ac:dyDescent="0.3">
      <c r="A967" s="156" t="s">
        <v>887</v>
      </c>
      <c r="B967" s="157" t="s">
        <v>888</v>
      </c>
      <c r="C967" s="157">
        <v>2024</v>
      </c>
      <c r="D967" s="158">
        <v>-91.984281600000003</v>
      </c>
      <c r="E967" s="158">
        <v>38.221148700000001</v>
      </c>
      <c r="F967" s="159">
        <v>5</v>
      </c>
      <c r="G967" s="160">
        <v>9.8000000000000007</v>
      </c>
      <c r="H967" s="161">
        <v>2.9</v>
      </c>
      <c r="I967" s="161">
        <v>46.8</v>
      </c>
      <c r="J967" s="161">
        <v>50.3</v>
      </c>
      <c r="K967" s="160">
        <v>0.4</v>
      </c>
    </row>
    <row r="968" spans="1:11" x14ac:dyDescent="0.3">
      <c r="A968" s="156" t="s">
        <v>887</v>
      </c>
      <c r="B968" s="157" t="s">
        <v>888</v>
      </c>
      <c r="C968" s="157">
        <v>2024</v>
      </c>
      <c r="D968" s="158">
        <v>-91.959688900000003</v>
      </c>
      <c r="E968" s="158">
        <v>37.353400000000001</v>
      </c>
      <c r="F968" s="159">
        <v>4.8</v>
      </c>
      <c r="G968" s="160">
        <v>1</v>
      </c>
      <c r="H968" s="161">
        <v>2.2999999999999998</v>
      </c>
      <c r="I968" s="161">
        <v>27</v>
      </c>
      <c r="J968" s="161">
        <v>70.7</v>
      </c>
      <c r="K968" s="160">
        <v>0.1</v>
      </c>
    </row>
    <row r="969" spans="1:11" x14ac:dyDescent="0.3">
      <c r="A969" s="156" t="s">
        <v>887</v>
      </c>
      <c r="B969" s="157" t="s">
        <v>888</v>
      </c>
      <c r="C969" s="157">
        <v>2024</v>
      </c>
      <c r="D969" s="158">
        <v>-91.8802795</v>
      </c>
      <c r="E969" s="158">
        <v>44.895557400000001</v>
      </c>
      <c r="F969" s="159">
        <v>6.3</v>
      </c>
      <c r="G969" s="160">
        <v>6.9</v>
      </c>
      <c r="H969" s="161">
        <v>50.1</v>
      </c>
      <c r="I969" s="161">
        <v>37.700000000000003</v>
      </c>
      <c r="J969" s="161">
        <v>12.2</v>
      </c>
      <c r="K969" s="160">
        <v>1.35</v>
      </c>
    </row>
    <row r="970" spans="1:11" x14ac:dyDescent="0.3">
      <c r="A970" s="156" t="s">
        <v>887</v>
      </c>
      <c r="B970" s="157" t="s">
        <v>888</v>
      </c>
      <c r="C970" s="157">
        <v>2024</v>
      </c>
      <c r="D970" s="158">
        <v>-91.878638899999999</v>
      </c>
      <c r="E970" s="158">
        <v>37.634416700000003</v>
      </c>
      <c r="F970" s="159">
        <v>4.9000000000000004</v>
      </c>
      <c r="G970" s="160">
        <v>8</v>
      </c>
      <c r="H970" s="161">
        <v>25.7</v>
      </c>
      <c r="I970" s="161">
        <v>41.1</v>
      </c>
      <c r="J970" s="161">
        <v>33.200000000000003</v>
      </c>
      <c r="K970" s="160">
        <v>0.1</v>
      </c>
    </row>
    <row r="971" spans="1:11" x14ac:dyDescent="0.3">
      <c r="A971" s="156" t="s">
        <v>887</v>
      </c>
      <c r="B971" s="157" t="s">
        <v>888</v>
      </c>
      <c r="C971" s="157">
        <v>2024</v>
      </c>
      <c r="D971" s="158">
        <v>-91.765981699999998</v>
      </c>
      <c r="E971" s="158">
        <v>38.5969926</v>
      </c>
      <c r="F971" s="159">
        <v>4.5</v>
      </c>
      <c r="G971" s="160">
        <v>6</v>
      </c>
      <c r="H971" s="161">
        <v>2</v>
      </c>
      <c r="I971" s="161">
        <v>44.4</v>
      </c>
      <c r="J971" s="161">
        <v>53.6</v>
      </c>
      <c r="K971" s="160">
        <v>0.4</v>
      </c>
    </row>
    <row r="972" spans="1:11" x14ac:dyDescent="0.3">
      <c r="A972" s="156" t="s">
        <v>887</v>
      </c>
      <c r="B972" s="157" t="s">
        <v>888</v>
      </c>
      <c r="C972" s="157">
        <v>2024</v>
      </c>
      <c r="D972" s="158">
        <v>-91.741555599999998</v>
      </c>
      <c r="E972" s="158">
        <v>38.001444399999997</v>
      </c>
      <c r="F972" s="159">
        <v>4.4000000000000004</v>
      </c>
      <c r="G972" s="160">
        <v>18</v>
      </c>
      <c r="H972" s="161">
        <v>8.6999999999999993</v>
      </c>
      <c r="I972" s="161">
        <v>53.9</v>
      </c>
      <c r="J972" s="161">
        <v>37.4</v>
      </c>
      <c r="K972" s="160">
        <v>0.1</v>
      </c>
    </row>
    <row r="973" spans="1:11" x14ac:dyDescent="0.3">
      <c r="A973" s="156" t="s">
        <v>887</v>
      </c>
      <c r="B973" s="157" t="s">
        <v>888</v>
      </c>
      <c r="C973" s="157">
        <v>2024</v>
      </c>
      <c r="D973" s="158">
        <v>-91.707067100000003</v>
      </c>
      <c r="E973" s="158">
        <v>38.068316299999999</v>
      </c>
      <c r="F973" s="159">
        <v>6.7</v>
      </c>
      <c r="G973" s="160">
        <v>19</v>
      </c>
      <c r="H973" s="161">
        <v>2.6</v>
      </c>
      <c r="I973" s="161">
        <v>18.3</v>
      </c>
      <c r="J973" s="161">
        <v>79.099999999999994</v>
      </c>
      <c r="K973" s="160">
        <v>0.3</v>
      </c>
    </row>
    <row r="974" spans="1:11" x14ac:dyDescent="0.3">
      <c r="A974" s="156" t="s">
        <v>887</v>
      </c>
      <c r="B974" s="157" t="s">
        <v>888</v>
      </c>
      <c r="C974" s="157">
        <v>2024</v>
      </c>
      <c r="D974" s="158">
        <v>-91.692599599999994</v>
      </c>
      <c r="E974" s="158">
        <v>38.210331500000002</v>
      </c>
      <c r="F974" s="159">
        <v>5.4</v>
      </c>
      <c r="G974" s="160">
        <v>6</v>
      </c>
      <c r="H974" s="161">
        <v>15.8</v>
      </c>
      <c r="I974" s="161">
        <v>63.4</v>
      </c>
      <c r="J974" s="161">
        <v>20.8</v>
      </c>
      <c r="K974" s="160">
        <v>0.2</v>
      </c>
    </row>
    <row r="975" spans="1:11" x14ac:dyDescent="0.3">
      <c r="A975" s="156" t="s">
        <v>887</v>
      </c>
      <c r="B975" s="157" t="s">
        <v>888</v>
      </c>
      <c r="C975" s="157">
        <v>2024</v>
      </c>
      <c r="D975" s="158">
        <v>-91.658164999999997</v>
      </c>
      <c r="E975" s="158">
        <v>36.758083300000003</v>
      </c>
      <c r="F975" s="159">
        <v>6.2</v>
      </c>
      <c r="G975" s="160">
        <v>5</v>
      </c>
      <c r="H975" s="161">
        <v>23</v>
      </c>
      <c r="I975" s="161">
        <v>61</v>
      </c>
      <c r="J975" s="161">
        <v>16</v>
      </c>
      <c r="K975" s="160">
        <v>0.4</v>
      </c>
    </row>
    <row r="976" spans="1:11" x14ac:dyDescent="0.3">
      <c r="A976" s="156" t="s">
        <v>887</v>
      </c>
      <c r="B976" s="157" t="s">
        <v>888</v>
      </c>
      <c r="C976" s="157">
        <v>2024</v>
      </c>
      <c r="D976" s="158">
        <v>-91.642611099999996</v>
      </c>
      <c r="E976" s="158">
        <v>38.465888900000003</v>
      </c>
      <c r="F976" s="159">
        <v>7.2</v>
      </c>
      <c r="G976" s="160">
        <v>8.1999999999999993</v>
      </c>
      <c r="H976" s="161">
        <v>24.7</v>
      </c>
      <c r="I976" s="161">
        <v>35.799999999999997</v>
      </c>
      <c r="J976" s="161">
        <v>39.5</v>
      </c>
      <c r="K976" s="160">
        <v>0.5</v>
      </c>
    </row>
    <row r="977" spans="1:11" x14ac:dyDescent="0.3">
      <c r="A977" s="156" t="s">
        <v>887</v>
      </c>
      <c r="B977" s="157" t="s">
        <v>888</v>
      </c>
      <c r="C977" s="157">
        <v>2024</v>
      </c>
      <c r="D977" s="158">
        <v>-91.615186100000003</v>
      </c>
      <c r="E977" s="158">
        <v>37.391363900000002</v>
      </c>
      <c r="F977" s="159">
        <v>5.6</v>
      </c>
      <c r="G977" s="160">
        <v>3</v>
      </c>
      <c r="H977" s="161">
        <v>19.899999999999999</v>
      </c>
      <c r="I977" s="161">
        <v>64.8</v>
      </c>
      <c r="J977" s="161">
        <v>15.3</v>
      </c>
      <c r="K977" s="160">
        <v>0.3</v>
      </c>
    </row>
    <row r="978" spans="1:11" x14ac:dyDescent="0.3">
      <c r="A978" s="156" t="s">
        <v>887</v>
      </c>
      <c r="B978" s="157" t="s">
        <v>888</v>
      </c>
      <c r="C978" s="157">
        <v>2024</v>
      </c>
      <c r="D978" s="158">
        <v>-91.577986100000004</v>
      </c>
      <c r="E978" s="158">
        <v>37.382483299999997</v>
      </c>
      <c r="F978" s="159">
        <v>5.7</v>
      </c>
      <c r="G978" s="160">
        <v>5</v>
      </c>
      <c r="H978" s="161">
        <v>19.3</v>
      </c>
      <c r="I978" s="161">
        <v>67.400000000000006</v>
      </c>
      <c r="J978" s="161">
        <v>13.3</v>
      </c>
      <c r="K978" s="160">
        <v>1.1000000000000001</v>
      </c>
    </row>
    <row r="979" spans="1:11" x14ac:dyDescent="0.3">
      <c r="A979" s="156" t="s">
        <v>887</v>
      </c>
      <c r="B979" s="157" t="s">
        <v>888</v>
      </c>
      <c r="C979" s="157">
        <v>2024</v>
      </c>
      <c r="D979" s="158">
        <v>-91.521697200000006</v>
      </c>
      <c r="E979" s="158">
        <v>36.914955599999999</v>
      </c>
      <c r="F979" s="159">
        <v>5.3</v>
      </c>
      <c r="G979" s="160">
        <v>3.35</v>
      </c>
      <c r="H979" s="161">
        <v>37.6</v>
      </c>
      <c r="I979" s="161">
        <v>52.5</v>
      </c>
      <c r="J979" s="161">
        <v>9.9</v>
      </c>
      <c r="K979" s="160">
        <v>2.4</v>
      </c>
    </row>
    <row r="980" spans="1:11" x14ac:dyDescent="0.3">
      <c r="A980" s="156" t="s">
        <v>887</v>
      </c>
      <c r="B980" s="157" t="s">
        <v>888</v>
      </c>
      <c r="C980" s="157">
        <v>2024</v>
      </c>
      <c r="D980" s="158">
        <v>-91.5109444</v>
      </c>
      <c r="E980" s="158">
        <v>38.873361099999997</v>
      </c>
      <c r="F980" s="159">
        <v>6</v>
      </c>
      <c r="G980" s="160">
        <v>32.549999999999997</v>
      </c>
      <c r="H980" s="161">
        <v>15.8</v>
      </c>
      <c r="I980" s="161">
        <v>51.9</v>
      </c>
      <c r="J980" s="161">
        <v>32.299999999999997</v>
      </c>
      <c r="K980" s="160">
        <v>0.2</v>
      </c>
    </row>
    <row r="981" spans="1:11" x14ac:dyDescent="0.3">
      <c r="A981" s="156" t="s">
        <v>887</v>
      </c>
      <c r="B981" s="157" t="s">
        <v>888</v>
      </c>
      <c r="C981" s="157">
        <v>2024</v>
      </c>
      <c r="D981" s="158">
        <v>-91.496863899999994</v>
      </c>
      <c r="E981" s="158">
        <v>36.930027799999998</v>
      </c>
      <c r="F981" s="159">
        <v>5</v>
      </c>
      <c r="G981" s="160">
        <v>2</v>
      </c>
      <c r="H981" s="161">
        <v>35.799999999999997</v>
      </c>
      <c r="I981" s="161">
        <v>46.4</v>
      </c>
      <c r="J981" s="161">
        <v>17.8</v>
      </c>
      <c r="K981" s="160">
        <v>0.2</v>
      </c>
    </row>
    <row r="982" spans="1:11" x14ac:dyDescent="0.3">
      <c r="A982" s="156" t="s">
        <v>887</v>
      </c>
      <c r="B982" s="157" t="s">
        <v>888</v>
      </c>
      <c r="C982" s="157">
        <v>2024</v>
      </c>
      <c r="D982" s="158">
        <v>-91.487077799999994</v>
      </c>
      <c r="E982" s="158">
        <v>37.053380599999997</v>
      </c>
      <c r="F982" s="159">
        <v>4.7</v>
      </c>
      <c r="G982" s="160">
        <v>3</v>
      </c>
      <c r="H982" s="161">
        <v>11.4</v>
      </c>
      <c r="I982" s="161">
        <v>68.2</v>
      </c>
      <c r="J982" s="161">
        <v>20.399999999999999</v>
      </c>
      <c r="K982" s="160">
        <v>0.1</v>
      </c>
    </row>
    <row r="983" spans="1:11" x14ac:dyDescent="0.3">
      <c r="A983" s="156" t="s">
        <v>887</v>
      </c>
      <c r="B983" s="157" t="s">
        <v>888</v>
      </c>
      <c r="C983" s="157">
        <v>2024</v>
      </c>
      <c r="D983" s="158">
        <v>-91.4814705</v>
      </c>
      <c r="E983" s="158">
        <v>37.948424199999998</v>
      </c>
      <c r="F983" s="159">
        <v>4.5999999999999996</v>
      </c>
      <c r="G983" s="160">
        <v>3</v>
      </c>
      <c r="H983" s="161">
        <v>32.200000000000003</v>
      </c>
      <c r="I983" s="161">
        <v>43.9</v>
      </c>
      <c r="J983" s="161">
        <v>23.9</v>
      </c>
      <c r="K983" s="160">
        <v>0.4</v>
      </c>
    </row>
    <row r="984" spans="1:11" x14ac:dyDescent="0.3">
      <c r="A984" s="156" t="s">
        <v>887</v>
      </c>
      <c r="B984" s="157" t="s">
        <v>888</v>
      </c>
      <c r="C984" s="157">
        <v>2024</v>
      </c>
      <c r="D984" s="158">
        <v>-91.46875</v>
      </c>
      <c r="E984" s="158">
        <v>37.034216700000002</v>
      </c>
      <c r="F984" s="159">
        <v>4.7</v>
      </c>
      <c r="G984" s="160">
        <v>7.4</v>
      </c>
      <c r="H984" s="161">
        <v>12.7</v>
      </c>
      <c r="I984" s="161">
        <v>51.8</v>
      </c>
      <c r="J984" s="161">
        <v>35.5</v>
      </c>
      <c r="K984" s="160">
        <v>0.1</v>
      </c>
    </row>
    <row r="985" spans="1:11" x14ac:dyDescent="0.3">
      <c r="A985" s="156" t="s">
        <v>887</v>
      </c>
      <c r="B985" s="157" t="s">
        <v>888</v>
      </c>
      <c r="C985" s="157">
        <v>2024</v>
      </c>
      <c r="D985" s="158">
        <v>-91.395444400000002</v>
      </c>
      <c r="E985" s="158">
        <v>37.366411100000001</v>
      </c>
      <c r="F985" s="159">
        <v>5</v>
      </c>
      <c r="G985" s="160">
        <v>29.3</v>
      </c>
      <c r="H985" s="161">
        <v>0.7</v>
      </c>
      <c r="I985" s="161">
        <v>9.9</v>
      </c>
      <c r="J985" s="161">
        <v>89.4</v>
      </c>
      <c r="K985" s="160">
        <v>0.3</v>
      </c>
    </row>
    <row r="986" spans="1:11" x14ac:dyDescent="0.3">
      <c r="A986" s="156" t="s">
        <v>887</v>
      </c>
      <c r="B986" s="157" t="s">
        <v>888</v>
      </c>
      <c r="C986" s="157">
        <v>2024</v>
      </c>
      <c r="D986" s="158">
        <v>-91.392777800000005</v>
      </c>
      <c r="E986" s="158">
        <v>38.7783333</v>
      </c>
      <c r="F986" s="159">
        <v>4.4000000000000004</v>
      </c>
      <c r="G986" s="160">
        <v>12</v>
      </c>
      <c r="H986" s="161">
        <v>2.4</v>
      </c>
      <c r="I986" s="161">
        <v>56.2</v>
      </c>
      <c r="J986" s="161">
        <v>41.4</v>
      </c>
      <c r="K986" s="160">
        <v>0.2</v>
      </c>
    </row>
    <row r="987" spans="1:11" x14ac:dyDescent="0.3">
      <c r="A987" s="156" t="s">
        <v>887</v>
      </c>
      <c r="B987" s="157" t="s">
        <v>888</v>
      </c>
      <c r="C987" s="157">
        <v>2024</v>
      </c>
      <c r="D987" s="158">
        <v>-91.391811099999998</v>
      </c>
      <c r="E987" s="158">
        <v>37.306477800000003</v>
      </c>
      <c r="F987" s="159">
        <v>4.7</v>
      </c>
      <c r="G987" s="160">
        <v>1</v>
      </c>
      <c r="H987" s="161">
        <v>66.3</v>
      </c>
      <c r="I987" s="161">
        <v>27.1</v>
      </c>
      <c r="J987" s="161">
        <v>6.6</v>
      </c>
      <c r="K987" s="160">
        <v>1.3</v>
      </c>
    </row>
    <row r="988" spans="1:11" x14ac:dyDescent="0.3">
      <c r="A988" s="156" t="s">
        <v>887</v>
      </c>
      <c r="B988" s="157" t="s">
        <v>888</v>
      </c>
      <c r="C988" s="157">
        <v>2024</v>
      </c>
      <c r="D988" s="158">
        <v>-91.389541699999995</v>
      </c>
      <c r="E988" s="158">
        <v>37.376297200000003</v>
      </c>
      <c r="F988" s="159">
        <v>5.0999999999999996</v>
      </c>
      <c r="G988" s="160">
        <v>6</v>
      </c>
      <c r="H988" s="161">
        <v>19.100000000000001</v>
      </c>
      <c r="I988" s="161">
        <v>35.299999999999997</v>
      </c>
      <c r="J988" s="161">
        <v>45.6</v>
      </c>
      <c r="K988" s="160">
        <v>0.2</v>
      </c>
    </row>
    <row r="989" spans="1:11" x14ac:dyDescent="0.3">
      <c r="A989" s="156" t="s">
        <v>887</v>
      </c>
      <c r="B989" s="157" t="s">
        <v>888</v>
      </c>
      <c r="C989" s="157">
        <v>2024</v>
      </c>
      <c r="D989" s="158">
        <v>-91.350830099999996</v>
      </c>
      <c r="E989" s="158">
        <v>43.489166300000001</v>
      </c>
      <c r="F989" s="159">
        <v>5.3</v>
      </c>
      <c r="G989" s="160">
        <v>33.799999999999997</v>
      </c>
      <c r="H989" s="161">
        <v>5.5</v>
      </c>
      <c r="I989" s="161">
        <v>76.5</v>
      </c>
      <c r="J989" s="161">
        <v>18</v>
      </c>
      <c r="K989" s="160">
        <v>1.56</v>
      </c>
    </row>
    <row r="990" spans="1:11" x14ac:dyDescent="0.3">
      <c r="A990" s="156" t="s">
        <v>887</v>
      </c>
      <c r="B990" s="157" t="s">
        <v>888</v>
      </c>
      <c r="C990" s="157">
        <v>2024</v>
      </c>
      <c r="D990" s="158">
        <v>-91.318163900000002</v>
      </c>
      <c r="E990" s="158">
        <v>38.007972199999998</v>
      </c>
      <c r="F990" s="159">
        <v>7</v>
      </c>
      <c r="G990" s="160">
        <v>7</v>
      </c>
      <c r="H990" s="161">
        <v>8.8000000000000007</v>
      </c>
      <c r="I990" s="161">
        <v>75.7</v>
      </c>
      <c r="J990" s="161">
        <v>15.5</v>
      </c>
      <c r="K990" s="160">
        <v>1</v>
      </c>
    </row>
    <row r="991" spans="1:11" x14ac:dyDescent="0.3">
      <c r="A991" s="156" t="s">
        <v>887</v>
      </c>
      <c r="B991" s="157" t="s">
        <v>888</v>
      </c>
      <c r="C991" s="157">
        <v>2024</v>
      </c>
      <c r="D991" s="158">
        <v>-91.287391700000001</v>
      </c>
      <c r="E991" s="158">
        <v>33.055332200000002</v>
      </c>
      <c r="F991" s="159">
        <v>8.1</v>
      </c>
      <c r="G991" s="160">
        <v>14.05</v>
      </c>
      <c r="H991" s="161">
        <v>11.5</v>
      </c>
      <c r="I991" s="161">
        <v>76.900000000000006</v>
      </c>
      <c r="J991" s="161">
        <v>11.6</v>
      </c>
      <c r="K991" s="160">
        <v>0.05</v>
      </c>
    </row>
    <row r="992" spans="1:11" x14ac:dyDescent="0.3">
      <c r="A992" s="156" t="s">
        <v>887</v>
      </c>
      <c r="B992" s="157" t="s">
        <v>888</v>
      </c>
      <c r="C992" s="157">
        <v>2024</v>
      </c>
      <c r="D992" s="158">
        <v>-91.268861099999995</v>
      </c>
      <c r="E992" s="158">
        <v>36.957916699999998</v>
      </c>
      <c r="F992" s="159">
        <v>5</v>
      </c>
      <c r="G992" s="160">
        <v>12.2</v>
      </c>
      <c r="H992" s="161">
        <v>20.8</v>
      </c>
      <c r="I992" s="161">
        <v>45.8</v>
      </c>
      <c r="J992" s="161">
        <v>33.4</v>
      </c>
      <c r="K992" s="160">
        <v>0.2</v>
      </c>
    </row>
    <row r="993" spans="1:11" x14ac:dyDescent="0.3">
      <c r="A993" s="156" t="s">
        <v>887</v>
      </c>
      <c r="B993" s="157" t="s">
        <v>888</v>
      </c>
      <c r="C993" s="157">
        <v>2024</v>
      </c>
      <c r="D993" s="158">
        <v>-91.259177800000003</v>
      </c>
      <c r="E993" s="158">
        <v>37.174127800000001</v>
      </c>
      <c r="F993" s="159">
        <v>5</v>
      </c>
      <c r="G993" s="160">
        <v>4</v>
      </c>
      <c r="H993" s="161">
        <v>6.4</v>
      </c>
      <c r="I993" s="161">
        <v>58.4</v>
      </c>
      <c r="J993" s="161">
        <v>35.200000000000003</v>
      </c>
      <c r="K993" s="160">
        <v>0.4</v>
      </c>
    </row>
    <row r="994" spans="1:11" x14ac:dyDescent="0.3">
      <c r="A994" s="156" t="s">
        <v>887</v>
      </c>
      <c r="B994" s="157" t="s">
        <v>888</v>
      </c>
      <c r="C994" s="157">
        <v>2024</v>
      </c>
      <c r="D994" s="158">
        <v>-91.237099999999998</v>
      </c>
      <c r="E994" s="158">
        <v>37.106383299999997</v>
      </c>
      <c r="F994" s="159">
        <v>5.0999999999999996</v>
      </c>
      <c r="G994" s="160">
        <v>7.85</v>
      </c>
      <c r="H994" s="161">
        <v>21.5</v>
      </c>
      <c r="I994" s="161">
        <v>33.200000000000003</v>
      </c>
      <c r="J994" s="161">
        <v>45.3</v>
      </c>
      <c r="K994" s="160">
        <v>0.1</v>
      </c>
    </row>
    <row r="995" spans="1:11" x14ac:dyDescent="0.3">
      <c r="A995" s="156" t="s">
        <v>887</v>
      </c>
      <c r="B995" s="157" t="s">
        <v>888</v>
      </c>
      <c r="C995" s="157">
        <v>2024</v>
      </c>
      <c r="D995" s="158">
        <v>-91.236487499999996</v>
      </c>
      <c r="E995" s="158">
        <v>37.7557531</v>
      </c>
      <c r="F995" s="159">
        <v>4.8</v>
      </c>
      <c r="G995" s="160">
        <v>17.75</v>
      </c>
      <c r="H995" s="161">
        <v>17.5</v>
      </c>
      <c r="I995" s="161">
        <v>28.8</v>
      </c>
      <c r="J995" s="161">
        <v>53.6</v>
      </c>
      <c r="K995" s="160">
        <v>0.2</v>
      </c>
    </row>
    <row r="996" spans="1:11" x14ac:dyDescent="0.3">
      <c r="A996" s="156" t="s">
        <v>887</v>
      </c>
      <c r="B996" s="157" t="s">
        <v>888</v>
      </c>
      <c r="C996" s="157">
        <v>2024</v>
      </c>
      <c r="D996" s="158">
        <v>-91.235313899999994</v>
      </c>
      <c r="E996" s="158">
        <v>37.112008299999999</v>
      </c>
      <c r="F996" s="159">
        <v>5</v>
      </c>
      <c r="G996" s="160">
        <v>9</v>
      </c>
      <c r="H996" s="161">
        <v>37.6</v>
      </c>
      <c r="I996" s="161">
        <v>54.5</v>
      </c>
      <c r="J996" s="161">
        <v>7.9</v>
      </c>
      <c r="K996" s="160">
        <v>3.1</v>
      </c>
    </row>
    <row r="997" spans="1:11" x14ac:dyDescent="0.3">
      <c r="A997" s="156" t="s">
        <v>887</v>
      </c>
      <c r="B997" s="157" t="s">
        <v>888</v>
      </c>
      <c r="C997" s="157">
        <v>2024</v>
      </c>
      <c r="D997" s="158">
        <v>-91.187837400000006</v>
      </c>
      <c r="E997" s="158">
        <v>37.916420199999997</v>
      </c>
      <c r="F997" s="159">
        <v>5</v>
      </c>
      <c r="G997" s="160">
        <v>2.2000000000000002</v>
      </c>
      <c r="H997" s="161">
        <v>43.2</v>
      </c>
      <c r="I997" s="161">
        <v>48</v>
      </c>
      <c r="J997" s="161">
        <v>8.6999999999999993</v>
      </c>
      <c r="K997" s="160">
        <v>0.2</v>
      </c>
    </row>
    <row r="998" spans="1:11" x14ac:dyDescent="0.3">
      <c r="A998" s="156" t="s">
        <v>887</v>
      </c>
      <c r="B998" s="157" t="s">
        <v>888</v>
      </c>
      <c r="C998" s="157">
        <v>2024</v>
      </c>
      <c r="D998" s="158">
        <v>-91.183344399999996</v>
      </c>
      <c r="E998" s="158">
        <v>37.1270472</v>
      </c>
      <c r="F998" s="159">
        <v>4.7</v>
      </c>
      <c r="G998" s="160">
        <v>3.95</v>
      </c>
      <c r="H998" s="161">
        <v>15.2</v>
      </c>
      <c r="I998" s="161">
        <v>57.2</v>
      </c>
      <c r="J998" s="161">
        <v>27.6</v>
      </c>
      <c r="K998" s="160">
        <v>0.1</v>
      </c>
    </row>
    <row r="999" spans="1:11" x14ac:dyDescent="0.3">
      <c r="A999" s="156" t="s">
        <v>887</v>
      </c>
      <c r="B999" s="157" t="s">
        <v>888</v>
      </c>
      <c r="C999" s="157">
        <v>2024</v>
      </c>
      <c r="D999" s="158">
        <v>-91.183333300000001</v>
      </c>
      <c r="E999" s="158">
        <v>36.883333299999997</v>
      </c>
      <c r="F999" s="159">
        <v>4.8</v>
      </c>
      <c r="G999" s="160">
        <v>15.1</v>
      </c>
      <c r="H999" s="161">
        <v>41.1</v>
      </c>
      <c r="I999" s="161">
        <v>51.2</v>
      </c>
      <c r="J999" s="161">
        <v>7.7</v>
      </c>
      <c r="K999" s="160">
        <v>1.6</v>
      </c>
    </row>
    <row r="1000" spans="1:11" x14ac:dyDescent="0.3">
      <c r="A1000" s="156" t="s">
        <v>887</v>
      </c>
      <c r="B1000" s="157" t="s">
        <v>888</v>
      </c>
      <c r="C1000" s="157">
        <v>2024</v>
      </c>
      <c r="D1000" s="158">
        <v>-91.140961099999998</v>
      </c>
      <c r="E1000" s="158">
        <v>37.173644400000001</v>
      </c>
      <c r="F1000" s="159">
        <v>4.8</v>
      </c>
      <c r="G1000" s="160">
        <v>4</v>
      </c>
      <c r="H1000" s="161">
        <v>25.9</v>
      </c>
      <c r="I1000" s="161">
        <v>24.3</v>
      </c>
      <c r="J1000" s="161">
        <v>27.8</v>
      </c>
      <c r="K1000" s="160">
        <v>0.9</v>
      </c>
    </row>
    <row r="1001" spans="1:11" x14ac:dyDescent="0.3">
      <c r="A1001" s="156" t="s">
        <v>887</v>
      </c>
      <c r="B1001" s="157" t="s">
        <v>888</v>
      </c>
      <c r="C1001" s="157">
        <v>2024</v>
      </c>
      <c r="D1001" s="158">
        <v>-91.138741699999997</v>
      </c>
      <c r="E1001" s="158">
        <v>37.175033300000003</v>
      </c>
      <c r="F1001" s="159">
        <v>5.2</v>
      </c>
      <c r="G1001" s="160">
        <v>4</v>
      </c>
      <c r="H1001" s="161">
        <v>14.1</v>
      </c>
      <c r="I1001" s="161">
        <v>68.3</v>
      </c>
      <c r="J1001" s="161">
        <v>17.600000000000001</v>
      </c>
      <c r="K1001" s="160">
        <v>0.2</v>
      </c>
    </row>
    <row r="1002" spans="1:11" x14ac:dyDescent="0.3">
      <c r="A1002" s="156" t="s">
        <v>887</v>
      </c>
      <c r="B1002" s="157" t="s">
        <v>888</v>
      </c>
      <c r="C1002" s="157">
        <v>2024</v>
      </c>
      <c r="D1002" s="158">
        <v>-91.116457999999994</v>
      </c>
      <c r="E1002" s="158">
        <v>38.176456700000003</v>
      </c>
      <c r="F1002" s="159">
        <v>7.5</v>
      </c>
      <c r="G1002" s="160">
        <v>21</v>
      </c>
      <c r="H1002" s="161">
        <v>65.8</v>
      </c>
      <c r="I1002" s="161">
        <v>7.3</v>
      </c>
      <c r="J1002" s="161">
        <v>26.9</v>
      </c>
      <c r="K1002" s="160">
        <v>0.4</v>
      </c>
    </row>
    <row r="1003" spans="1:11" x14ac:dyDescent="0.3">
      <c r="A1003" s="156" t="s">
        <v>887</v>
      </c>
      <c r="B1003" s="157" t="s">
        <v>888</v>
      </c>
      <c r="C1003" s="157">
        <v>2024</v>
      </c>
      <c r="D1003" s="158">
        <v>-91.112068199999996</v>
      </c>
      <c r="E1003" s="158">
        <v>34.735675800000003</v>
      </c>
      <c r="F1003" s="159">
        <v>8.6</v>
      </c>
      <c r="G1003" s="160">
        <v>5.35</v>
      </c>
      <c r="H1003" s="161">
        <v>10.9</v>
      </c>
      <c r="I1003" s="161">
        <v>66.599999999999994</v>
      </c>
      <c r="J1003" s="161">
        <v>22.5</v>
      </c>
      <c r="K1003" s="160">
        <v>0.1</v>
      </c>
    </row>
    <row r="1004" spans="1:11" x14ac:dyDescent="0.3">
      <c r="A1004" s="156" t="s">
        <v>887</v>
      </c>
      <c r="B1004" s="157" t="s">
        <v>888</v>
      </c>
      <c r="C1004" s="157">
        <v>2024</v>
      </c>
      <c r="D1004" s="158">
        <v>-91.110524999999996</v>
      </c>
      <c r="E1004" s="158">
        <v>38.163102799999997</v>
      </c>
      <c r="F1004" s="159">
        <v>5</v>
      </c>
      <c r="G1004" s="160">
        <v>14.9</v>
      </c>
      <c r="H1004" s="161">
        <v>10.8</v>
      </c>
      <c r="I1004" s="161">
        <v>65.8</v>
      </c>
      <c r="J1004" s="161">
        <v>23.4</v>
      </c>
      <c r="K1004" s="160">
        <v>0.3</v>
      </c>
    </row>
    <row r="1005" spans="1:11" x14ac:dyDescent="0.3">
      <c r="A1005" s="156" t="s">
        <v>887</v>
      </c>
      <c r="B1005" s="157" t="s">
        <v>888</v>
      </c>
      <c r="C1005" s="157">
        <v>2024</v>
      </c>
      <c r="D1005" s="158">
        <v>-91.100399999999993</v>
      </c>
      <c r="E1005" s="158">
        <v>37.133650000000003</v>
      </c>
      <c r="F1005" s="159">
        <v>5.0999999999999996</v>
      </c>
      <c r="G1005" s="160">
        <v>7</v>
      </c>
      <c r="H1005" s="161">
        <v>49.4</v>
      </c>
      <c r="I1005" s="161">
        <v>43.3</v>
      </c>
      <c r="J1005" s="161">
        <v>18.100000000000001</v>
      </c>
      <c r="K1005" s="160">
        <v>0.1</v>
      </c>
    </row>
    <row r="1006" spans="1:11" x14ac:dyDescent="0.3">
      <c r="A1006" s="156" t="s">
        <v>887</v>
      </c>
      <c r="B1006" s="157" t="s">
        <v>888</v>
      </c>
      <c r="C1006" s="157">
        <v>2024</v>
      </c>
      <c r="D1006" s="158">
        <v>-91.1003513</v>
      </c>
      <c r="E1006" s="158">
        <v>38.163671200000003</v>
      </c>
      <c r="F1006" s="159">
        <v>5.3</v>
      </c>
      <c r="G1006" s="160">
        <v>4</v>
      </c>
      <c r="H1006" s="161">
        <v>7.6</v>
      </c>
      <c r="I1006" s="161">
        <v>27.7</v>
      </c>
      <c r="J1006" s="161">
        <v>64.7</v>
      </c>
      <c r="K1006" s="160">
        <v>1.5</v>
      </c>
    </row>
    <row r="1007" spans="1:11" x14ac:dyDescent="0.3">
      <c r="A1007" s="156" t="s">
        <v>887</v>
      </c>
      <c r="B1007" s="157" t="s">
        <v>888</v>
      </c>
      <c r="C1007" s="157">
        <v>2024</v>
      </c>
      <c r="D1007" s="158">
        <v>-91.077630600000006</v>
      </c>
      <c r="E1007" s="158">
        <v>37.137969400000003</v>
      </c>
      <c r="F1007" s="159">
        <v>5.3</v>
      </c>
      <c r="G1007" s="160">
        <v>28</v>
      </c>
      <c r="H1007" s="161">
        <v>13.5</v>
      </c>
      <c r="I1007" s="161">
        <v>52.6</v>
      </c>
      <c r="J1007" s="161">
        <v>33.9</v>
      </c>
      <c r="K1007" s="160">
        <v>0.2</v>
      </c>
    </row>
    <row r="1008" spans="1:11" x14ac:dyDescent="0.3">
      <c r="A1008" s="156" t="s">
        <v>887</v>
      </c>
      <c r="B1008" s="157" t="s">
        <v>888</v>
      </c>
      <c r="C1008" s="157">
        <v>2024</v>
      </c>
      <c r="D1008" s="158">
        <v>-91.0772111</v>
      </c>
      <c r="E1008" s="158">
        <v>37.332430600000002</v>
      </c>
      <c r="F1008" s="159">
        <v>5</v>
      </c>
      <c r="G1008" s="160">
        <v>3</v>
      </c>
      <c r="H1008" s="161">
        <v>49.1</v>
      </c>
      <c r="I1008" s="161">
        <v>38.200000000000003</v>
      </c>
      <c r="J1008" s="161">
        <v>12.7</v>
      </c>
      <c r="K1008" s="160">
        <v>1.1000000000000001</v>
      </c>
    </row>
    <row r="1009" spans="1:11" x14ac:dyDescent="0.3">
      <c r="A1009" s="156" t="s">
        <v>887</v>
      </c>
      <c r="B1009" s="157" t="s">
        <v>888</v>
      </c>
      <c r="C1009" s="157">
        <v>2024</v>
      </c>
      <c r="D1009" s="158">
        <v>-91.076452799999998</v>
      </c>
      <c r="E1009" s="158">
        <v>37.145341700000003</v>
      </c>
      <c r="F1009" s="159">
        <v>5</v>
      </c>
      <c r="G1009" s="160">
        <v>22</v>
      </c>
      <c r="H1009" s="161">
        <v>3.6</v>
      </c>
      <c r="I1009" s="161">
        <v>13.2</v>
      </c>
      <c r="J1009" s="161">
        <v>83.2</v>
      </c>
      <c r="K1009" s="160">
        <v>0.4</v>
      </c>
    </row>
    <row r="1010" spans="1:11" x14ac:dyDescent="0.3">
      <c r="A1010" s="156" t="s">
        <v>887</v>
      </c>
      <c r="B1010" s="157" t="s">
        <v>888</v>
      </c>
      <c r="C1010" s="157">
        <v>2024</v>
      </c>
      <c r="D1010" s="158">
        <v>-91.071588899999995</v>
      </c>
      <c r="E1010" s="158">
        <v>37.145352799999998</v>
      </c>
      <c r="F1010" s="159">
        <v>4.8</v>
      </c>
      <c r="G1010" s="160">
        <v>4.9000000000000004</v>
      </c>
      <c r="H1010" s="161">
        <v>9</v>
      </c>
      <c r="I1010" s="161">
        <v>63.7</v>
      </c>
      <c r="J1010" s="161">
        <v>23.6</v>
      </c>
      <c r="K1010" s="160">
        <v>1.7</v>
      </c>
    </row>
    <row r="1011" spans="1:11" x14ac:dyDescent="0.3">
      <c r="A1011" s="156" t="s">
        <v>887</v>
      </c>
      <c r="B1011" s="157" t="s">
        <v>888</v>
      </c>
      <c r="C1011" s="157">
        <v>2024</v>
      </c>
      <c r="D1011" s="158">
        <v>-91.053735700000004</v>
      </c>
      <c r="E1011" s="158">
        <v>37.994224699999997</v>
      </c>
      <c r="F1011" s="159">
        <v>4.7</v>
      </c>
      <c r="G1011" s="160">
        <v>9</v>
      </c>
      <c r="H1011" s="161">
        <v>28.4</v>
      </c>
      <c r="I1011" s="161">
        <v>21.8</v>
      </c>
      <c r="J1011" s="161">
        <v>49.8</v>
      </c>
      <c r="K1011" s="160">
        <v>0.1</v>
      </c>
    </row>
    <row r="1012" spans="1:11" x14ac:dyDescent="0.3">
      <c r="A1012" s="156" t="s">
        <v>887</v>
      </c>
      <c r="B1012" s="157" t="s">
        <v>888</v>
      </c>
      <c r="C1012" s="157">
        <v>2024</v>
      </c>
      <c r="D1012" s="158">
        <v>-91.001308300000005</v>
      </c>
      <c r="E1012" s="158">
        <v>38.456261099999999</v>
      </c>
      <c r="F1012" s="159">
        <v>8</v>
      </c>
      <c r="G1012" s="160">
        <v>12</v>
      </c>
      <c r="H1012" s="161">
        <v>16.600000000000001</v>
      </c>
      <c r="I1012" s="161">
        <v>73.5</v>
      </c>
      <c r="J1012" s="161">
        <v>31.3</v>
      </c>
      <c r="K1012" s="160">
        <v>0.2</v>
      </c>
    </row>
    <row r="1013" spans="1:11" x14ac:dyDescent="0.3">
      <c r="A1013" s="156" t="s">
        <v>887</v>
      </c>
      <c r="B1013" s="157" t="s">
        <v>888</v>
      </c>
      <c r="C1013" s="157">
        <v>2024</v>
      </c>
      <c r="D1013" s="158">
        <v>-90.9889771</v>
      </c>
      <c r="E1013" s="158">
        <v>37.937971099999999</v>
      </c>
      <c r="F1013" s="159">
        <v>4</v>
      </c>
      <c r="G1013" s="160">
        <v>2.9</v>
      </c>
      <c r="H1013" s="161">
        <v>28.7</v>
      </c>
      <c r="I1013" s="161">
        <v>53.8</v>
      </c>
      <c r="J1013" s="161">
        <v>17.5</v>
      </c>
      <c r="K1013" s="160">
        <v>0.4</v>
      </c>
    </row>
    <row r="1014" spans="1:11" x14ac:dyDescent="0.3">
      <c r="A1014" s="156" t="s">
        <v>887</v>
      </c>
      <c r="B1014" s="157" t="s">
        <v>888</v>
      </c>
      <c r="C1014" s="157">
        <v>2024</v>
      </c>
      <c r="D1014" s="158">
        <v>-90.986075</v>
      </c>
      <c r="E1014" s="158">
        <v>37.1989667</v>
      </c>
      <c r="F1014" s="159">
        <v>4.5</v>
      </c>
      <c r="G1014" s="160">
        <v>5</v>
      </c>
      <c r="H1014" s="161">
        <v>16.7</v>
      </c>
      <c r="I1014" s="161">
        <v>40.6</v>
      </c>
      <c r="J1014" s="161">
        <v>42.7</v>
      </c>
      <c r="K1014" s="160">
        <v>0.4</v>
      </c>
    </row>
    <row r="1015" spans="1:11" x14ac:dyDescent="0.3">
      <c r="A1015" s="156" t="s">
        <v>887</v>
      </c>
      <c r="B1015" s="157" t="s">
        <v>888</v>
      </c>
      <c r="C1015" s="157">
        <v>2024</v>
      </c>
      <c r="D1015" s="158">
        <v>-90.969833374023395</v>
      </c>
      <c r="E1015" s="158">
        <v>30.6596660614013</v>
      </c>
      <c r="F1015" s="159">
        <v>5.6</v>
      </c>
      <c r="G1015" s="160">
        <v>13.15</v>
      </c>
      <c r="H1015" s="161">
        <v>5.2</v>
      </c>
      <c r="I1015" s="161">
        <v>70.599999999999994</v>
      </c>
      <c r="J1015" s="161">
        <v>24.2</v>
      </c>
      <c r="K1015" s="160">
        <v>0.15</v>
      </c>
    </row>
    <row r="1016" spans="1:11" x14ac:dyDescent="0.3">
      <c r="A1016" s="156" t="s">
        <v>887</v>
      </c>
      <c r="B1016" s="157" t="s">
        <v>888</v>
      </c>
      <c r="C1016" s="157">
        <v>2024</v>
      </c>
      <c r="D1016" s="158">
        <v>-90.961776733398395</v>
      </c>
      <c r="E1016" s="158">
        <v>30.8141059875488</v>
      </c>
      <c r="F1016" s="159">
        <v>4.5999999999999996</v>
      </c>
      <c r="G1016" s="160">
        <v>1</v>
      </c>
      <c r="H1016" s="161">
        <v>30.5</v>
      </c>
      <c r="I1016" s="161">
        <v>8.6999999999999993</v>
      </c>
      <c r="J1016" s="161">
        <v>17.5</v>
      </c>
      <c r="K1016" s="160">
        <v>0.1</v>
      </c>
    </row>
    <row r="1017" spans="1:11" x14ac:dyDescent="0.3">
      <c r="A1017" s="156" t="s">
        <v>887</v>
      </c>
      <c r="B1017" s="157" t="s">
        <v>888</v>
      </c>
      <c r="C1017" s="157">
        <v>2024</v>
      </c>
      <c r="D1017" s="158">
        <v>-90.911857600000005</v>
      </c>
      <c r="E1017" s="158">
        <v>37.848494000000002</v>
      </c>
      <c r="F1017" s="159">
        <v>4.7</v>
      </c>
      <c r="G1017" s="160">
        <v>21</v>
      </c>
      <c r="H1017" s="161">
        <v>10</v>
      </c>
      <c r="I1017" s="161">
        <v>59.5</v>
      </c>
      <c r="J1017" s="161">
        <v>30.5</v>
      </c>
      <c r="K1017" s="160">
        <v>0.3</v>
      </c>
    </row>
    <row r="1018" spans="1:11" x14ac:dyDescent="0.3">
      <c r="A1018" s="156" t="s">
        <v>887</v>
      </c>
      <c r="B1018" s="157" t="s">
        <v>888</v>
      </c>
      <c r="C1018" s="157">
        <v>2024</v>
      </c>
      <c r="D1018" s="158">
        <v>-90.903785400000004</v>
      </c>
      <c r="E1018" s="158">
        <v>37.8124842</v>
      </c>
      <c r="F1018" s="159">
        <v>4.7</v>
      </c>
      <c r="G1018" s="160">
        <v>17</v>
      </c>
      <c r="H1018" s="161">
        <v>19.2</v>
      </c>
      <c r="I1018" s="161">
        <v>70.2</v>
      </c>
      <c r="J1018" s="161">
        <v>10.6</v>
      </c>
      <c r="K1018" s="160">
        <v>3.1</v>
      </c>
    </row>
    <row r="1019" spans="1:11" x14ac:dyDescent="0.3">
      <c r="A1019" s="156" t="s">
        <v>887</v>
      </c>
      <c r="B1019" s="157" t="s">
        <v>888</v>
      </c>
      <c r="C1019" s="157">
        <v>2024</v>
      </c>
      <c r="D1019" s="158">
        <v>-90.870187700000002</v>
      </c>
      <c r="E1019" s="158">
        <v>38.1306151</v>
      </c>
      <c r="F1019" s="159">
        <v>4.3</v>
      </c>
      <c r="G1019" s="160">
        <v>6</v>
      </c>
      <c r="H1019" s="161">
        <v>49.9</v>
      </c>
      <c r="I1019" s="161">
        <v>32.299999999999997</v>
      </c>
      <c r="J1019" s="161">
        <v>17.8</v>
      </c>
      <c r="K1019" s="160">
        <v>0.1</v>
      </c>
    </row>
    <row r="1020" spans="1:11" x14ac:dyDescent="0.3">
      <c r="A1020" s="156" t="s">
        <v>887</v>
      </c>
      <c r="B1020" s="157" t="s">
        <v>888</v>
      </c>
      <c r="C1020" s="157">
        <v>2024</v>
      </c>
      <c r="D1020" s="158">
        <v>-90.852758300000005</v>
      </c>
      <c r="E1020" s="158">
        <v>37.1441667</v>
      </c>
      <c r="F1020" s="159">
        <v>5.3</v>
      </c>
      <c r="G1020" s="160">
        <v>3</v>
      </c>
      <c r="H1020" s="161">
        <v>15.6</v>
      </c>
      <c r="I1020" s="161">
        <v>19.7</v>
      </c>
      <c r="J1020" s="161">
        <v>64.7</v>
      </c>
      <c r="K1020" s="160">
        <v>0.4</v>
      </c>
    </row>
    <row r="1021" spans="1:11" x14ac:dyDescent="0.3">
      <c r="A1021" s="156" t="s">
        <v>887</v>
      </c>
      <c r="B1021" s="157" t="s">
        <v>888</v>
      </c>
      <c r="C1021" s="157">
        <v>2024</v>
      </c>
      <c r="D1021" s="158">
        <v>-90.840835600000005</v>
      </c>
      <c r="E1021" s="158">
        <v>44.969165799999999</v>
      </c>
      <c r="F1021" s="159">
        <v>5.6</v>
      </c>
      <c r="G1021" s="160">
        <v>8.6</v>
      </c>
      <c r="H1021" s="161">
        <v>5.9</v>
      </c>
      <c r="I1021" s="161">
        <v>80.599999999999994</v>
      </c>
      <c r="J1021" s="161">
        <v>13.5</v>
      </c>
      <c r="K1021" s="160">
        <v>1.7399999999999998</v>
      </c>
    </row>
    <row r="1022" spans="1:11" x14ac:dyDescent="0.3">
      <c r="A1022" s="156" t="s">
        <v>887</v>
      </c>
      <c r="B1022" s="157" t="s">
        <v>888</v>
      </c>
      <c r="C1022" s="157">
        <v>2024</v>
      </c>
      <c r="D1022" s="158">
        <v>-90.771194399999999</v>
      </c>
      <c r="E1022" s="158">
        <v>39.164805600000001</v>
      </c>
      <c r="F1022" s="159">
        <v>6.7</v>
      </c>
      <c r="G1022" s="160">
        <v>16</v>
      </c>
      <c r="H1022" s="161">
        <v>3</v>
      </c>
      <c r="I1022" s="161">
        <v>68.7</v>
      </c>
      <c r="J1022" s="161">
        <v>28.3</v>
      </c>
      <c r="K1022" s="160">
        <v>0.7</v>
      </c>
    </row>
    <row r="1023" spans="1:11" x14ac:dyDescent="0.3">
      <c r="A1023" s="156" t="s">
        <v>887</v>
      </c>
      <c r="B1023" s="157" t="s">
        <v>888</v>
      </c>
      <c r="C1023" s="157">
        <v>2024</v>
      </c>
      <c r="D1023" s="158">
        <v>-90.743995699999999</v>
      </c>
      <c r="E1023" s="158">
        <v>34.729286199999997</v>
      </c>
      <c r="F1023" s="159">
        <v>7.6</v>
      </c>
      <c r="G1023" s="160">
        <v>16.8</v>
      </c>
      <c r="H1023" s="161">
        <v>1</v>
      </c>
      <c r="I1023" s="161">
        <v>91.7</v>
      </c>
      <c r="J1023" s="161">
        <v>7.3</v>
      </c>
      <c r="K1023" s="160">
        <v>1.7</v>
      </c>
    </row>
    <row r="1024" spans="1:11" x14ac:dyDescent="0.3">
      <c r="A1024" s="156" t="s">
        <v>887</v>
      </c>
      <c r="B1024" s="157" t="s">
        <v>888</v>
      </c>
      <c r="C1024" s="157">
        <v>2024</v>
      </c>
      <c r="D1024" s="158">
        <v>-90.714798000000002</v>
      </c>
      <c r="E1024" s="158">
        <v>37.808067299999998</v>
      </c>
      <c r="F1024" s="159">
        <v>4.9000000000000004</v>
      </c>
      <c r="G1024" s="160">
        <v>5.55</v>
      </c>
      <c r="H1024" s="161">
        <v>27.7</v>
      </c>
      <c r="I1024" s="161">
        <v>52.3</v>
      </c>
      <c r="J1024" s="161">
        <v>20</v>
      </c>
      <c r="K1024" s="160">
        <v>0</v>
      </c>
    </row>
    <row r="1025" spans="1:11" x14ac:dyDescent="0.3">
      <c r="A1025" s="156" t="s">
        <v>887</v>
      </c>
      <c r="B1025" s="157" t="s">
        <v>888</v>
      </c>
      <c r="C1025" s="157">
        <v>2024</v>
      </c>
      <c r="D1025" s="158">
        <v>-90.699166700000006</v>
      </c>
      <c r="E1025" s="158">
        <v>38.2330556</v>
      </c>
      <c r="F1025" s="159">
        <v>5</v>
      </c>
      <c r="G1025" s="160">
        <v>12.35</v>
      </c>
      <c r="H1025" s="161">
        <v>3.8</v>
      </c>
      <c r="I1025" s="161">
        <v>75.599999999999994</v>
      </c>
      <c r="J1025" s="161">
        <v>20.6</v>
      </c>
      <c r="K1025" s="160">
        <v>0.2</v>
      </c>
    </row>
    <row r="1026" spans="1:11" x14ac:dyDescent="0.3">
      <c r="A1026" s="156" t="s">
        <v>887</v>
      </c>
      <c r="B1026" s="157" t="s">
        <v>888</v>
      </c>
      <c r="C1026" s="157">
        <v>2024</v>
      </c>
      <c r="D1026" s="158">
        <v>-90.697277799999995</v>
      </c>
      <c r="E1026" s="158">
        <v>37.919861099999999</v>
      </c>
      <c r="F1026" s="159">
        <v>4.4000000000000004</v>
      </c>
      <c r="G1026" s="160">
        <v>12</v>
      </c>
      <c r="H1026" s="161">
        <v>23.9</v>
      </c>
      <c r="I1026" s="161">
        <v>50.2</v>
      </c>
      <c r="J1026" s="161">
        <v>25.9</v>
      </c>
      <c r="K1026" s="160">
        <v>0.3</v>
      </c>
    </row>
    <row r="1027" spans="1:11" x14ac:dyDescent="0.3">
      <c r="A1027" s="156" t="s">
        <v>887</v>
      </c>
      <c r="B1027" s="157" t="s">
        <v>888</v>
      </c>
      <c r="C1027" s="157">
        <v>2024</v>
      </c>
      <c r="D1027" s="158">
        <v>-90.692335900000003</v>
      </c>
      <c r="E1027" s="158">
        <v>38.413107599999996</v>
      </c>
      <c r="F1027" s="159">
        <v>4.9000000000000004</v>
      </c>
      <c r="G1027" s="160">
        <v>7</v>
      </c>
      <c r="H1027" s="161">
        <v>91.1</v>
      </c>
      <c r="I1027" s="161">
        <v>4.3</v>
      </c>
      <c r="J1027" s="161">
        <v>4.5999999999999996</v>
      </c>
      <c r="K1027" s="160">
        <v>0.1</v>
      </c>
    </row>
    <row r="1028" spans="1:11" x14ac:dyDescent="0.3">
      <c r="A1028" s="156" t="s">
        <v>887</v>
      </c>
      <c r="B1028" s="157" t="s">
        <v>888</v>
      </c>
      <c r="C1028" s="157">
        <v>2024</v>
      </c>
      <c r="D1028" s="158">
        <v>-90.683753999999993</v>
      </c>
      <c r="E1028" s="158">
        <v>37.0340919</v>
      </c>
      <c r="F1028" s="159">
        <v>5</v>
      </c>
      <c r="G1028" s="160">
        <v>1.75</v>
      </c>
      <c r="H1028" s="161">
        <v>84.9</v>
      </c>
      <c r="I1028" s="161">
        <v>7.5</v>
      </c>
      <c r="J1028" s="161">
        <v>7.6</v>
      </c>
      <c r="K1028" s="160">
        <v>0.1</v>
      </c>
    </row>
    <row r="1029" spans="1:11" x14ac:dyDescent="0.3">
      <c r="A1029" s="156" t="s">
        <v>887</v>
      </c>
      <c r="B1029" s="157" t="s">
        <v>888</v>
      </c>
      <c r="C1029" s="157">
        <v>2024</v>
      </c>
      <c r="D1029" s="158">
        <v>-90.597778300000002</v>
      </c>
      <c r="E1029" s="158">
        <v>37.206111900000003</v>
      </c>
      <c r="F1029" s="159">
        <v>4.9000000000000004</v>
      </c>
      <c r="G1029" s="160">
        <v>8.15</v>
      </c>
      <c r="H1029" s="161">
        <v>9</v>
      </c>
      <c r="I1029" s="161">
        <v>69.3</v>
      </c>
      <c r="J1029" s="161">
        <v>21.7</v>
      </c>
      <c r="K1029" s="160">
        <v>0.1</v>
      </c>
    </row>
    <row r="1030" spans="1:11" x14ac:dyDescent="0.3">
      <c r="A1030" s="156" t="s">
        <v>887</v>
      </c>
      <c r="B1030" s="157" t="s">
        <v>888</v>
      </c>
      <c r="C1030" s="157">
        <v>2024</v>
      </c>
      <c r="D1030" s="158">
        <v>-90.522694400000006</v>
      </c>
      <c r="E1030" s="158">
        <v>37.813416699999998</v>
      </c>
      <c r="F1030" s="159">
        <v>5.0999999999999996</v>
      </c>
      <c r="G1030" s="160">
        <v>18.25</v>
      </c>
      <c r="H1030" s="161">
        <v>2.9</v>
      </c>
      <c r="I1030" s="161">
        <v>69.599999999999994</v>
      </c>
      <c r="J1030" s="161">
        <v>27.5</v>
      </c>
      <c r="K1030" s="160">
        <v>0.3</v>
      </c>
    </row>
    <row r="1031" spans="1:11" x14ac:dyDescent="0.3">
      <c r="A1031" s="156" t="s">
        <v>887</v>
      </c>
      <c r="B1031" s="157" t="s">
        <v>888</v>
      </c>
      <c r="C1031" s="157">
        <v>2024</v>
      </c>
      <c r="D1031" s="158">
        <v>-90.518058800000006</v>
      </c>
      <c r="E1031" s="158">
        <v>32.205554999999997</v>
      </c>
      <c r="F1031" s="159">
        <v>4.8</v>
      </c>
      <c r="G1031" s="160">
        <v>10.7</v>
      </c>
      <c r="H1031" s="161">
        <v>0.8</v>
      </c>
      <c r="I1031" s="161">
        <v>81.599999999999994</v>
      </c>
      <c r="J1031" s="161">
        <v>17.600000000000001</v>
      </c>
      <c r="K1031" s="160">
        <v>6.9999999999999993E-2</v>
      </c>
    </row>
    <row r="1032" spans="1:11" x14ac:dyDescent="0.3">
      <c r="A1032" s="156" t="s">
        <v>887</v>
      </c>
      <c r="B1032" s="157" t="s">
        <v>888</v>
      </c>
      <c r="C1032" s="157">
        <v>2024</v>
      </c>
      <c r="D1032" s="158">
        <v>-90.481361399999997</v>
      </c>
      <c r="E1032" s="158">
        <v>37.562694499999999</v>
      </c>
      <c r="F1032" s="159">
        <v>4.8</v>
      </c>
      <c r="G1032" s="160">
        <v>8</v>
      </c>
      <c r="H1032" s="161">
        <v>39.9</v>
      </c>
      <c r="I1032" s="161">
        <v>46</v>
      </c>
      <c r="J1032" s="161">
        <v>14.1</v>
      </c>
      <c r="K1032" s="160">
        <v>0.2</v>
      </c>
    </row>
    <row r="1033" spans="1:11" x14ac:dyDescent="0.3">
      <c r="A1033" s="156" t="s">
        <v>887</v>
      </c>
      <c r="B1033" s="157" t="s">
        <v>888</v>
      </c>
      <c r="C1033" s="157">
        <v>2024</v>
      </c>
      <c r="D1033" s="158">
        <v>-90.386111099999994</v>
      </c>
      <c r="E1033" s="158">
        <v>37.270000000000003</v>
      </c>
      <c r="F1033" s="159">
        <v>4.5999999999999996</v>
      </c>
      <c r="G1033" s="160">
        <v>5</v>
      </c>
      <c r="H1033" s="161">
        <v>25</v>
      </c>
      <c r="I1033" s="161">
        <v>15.4</v>
      </c>
      <c r="J1033" s="161">
        <v>59.6</v>
      </c>
      <c r="K1033" s="160">
        <v>0.1</v>
      </c>
    </row>
    <row r="1034" spans="1:11" x14ac:dyDescent="0.3">
      <c r="A1034" s="156" t="s">
        <v>887</v>
      </c>
      <c r="B1034" s="157" t="s">
        <v>888</v>
      </c>
      <c r="C1034" s="157">
        <v>2024</v>
      </c>
      <c r="D1034" s="158">
        <v>-90.378669700000003</v>
      </c>
      <c r="E1034" s="158">
        <v>37.443164799999998</v>
      </c>
      <c r="F1034" s="159">
        <v>4.8</v>
      </c>
      <c r="G1034" s="160">
        <v>19</v>
      </c>
      <c r="H1034" s="161">
        <v>4.3</v>
      </c>
      <c r="I1034" s="161">
        <v>61.2</v>
      </c>
      <c r="J1034" s="161">
        <v>34.5</v>
      </c>
      <c r="K1034" s="160">
        <v>0.3</v>
      </c>
    </row>
    <row r="1035" spans="1:11" x14ac:dyDescent="0.3">
      <c r="A1035" s="156" t="s">
        <v>887</v>
      </c>
      <c r="B1035" s="157" t="s">
        <v>888</v>
      </c>
      <c r="C1035" s="157">
        <v>2024</v>
      </c>
      <c r="D1035" s="158">
        <v>-90.303054799999998</v>
      </c>
      <c r="E1035" s="158">
        <v>37.215278599999998</v>
      </c>
      <c r="F1035" s="159">
        <v>4.8</v>
      </c>
      <c r="G1035" s="160">
        <v>11</v>
      </c>
      <c r="H1035" s="161">
        <v>16.100000000000001</v>
      </c>
      <c r="I1035" s="161">
        <v>54</v>
      </c>
      <c r="J1035" s="161">
        <v>29.9</v>
      </c>
      <c r="K1035" s="160">
        <v>0.3</v>
      </c>
    </row>
    <row r="1036" spans="1:11" x14ac:dyDescent="0.3">
      <c r="A1036" s="156" t="s">
        <v>887</v>
      </c>
      <c r="B1036" s="157" t="s">
        <v>888</v>
      </c>
      <c r="C1036" s="157">
        <v>2024</v>
      </c>
      <c r="D1036" s="158">
        <v>-90.300003099999998</v>
      </c>
      <c r="E1036" s="158">
        <v>14.199999800000001</v>
      </c>
      <c r="F1036" s="159">
        <v>6.1</v>
      </c>
      <c r="G1036" s="160">
        <v>24.6</v>
      </c>
      <c r="H1036" s="161">
        <v>33</v>
      </c>
      <c r="I1036" s="161">
        <v>33</v>
      </c>
      <c r="J1036" s="161">
        <v>34</v>
      </c>
      <c r="K1036" s="160">
        <v>3.3200000000000003</v>
      </c>
    </row>
    <row r="1037" spans="1:11" x14ac:dyDescent="0.3">
      <c r="A1037" s="156" t="s">
        <v>887</v>
      </c>
      <c r="B1037" s="157" t="s">
        <v>888</v>
      </c>
      <c r="C1037" s="157">
        <v>2024</v>
      </c>
      <c r="D1037" s="158">
        <v>-90.284164399999995</v>
      </c>
      <c r="E1037" s="158">
        <v>37.196388200000001</v>
      </c>
      <c r="F1037" s="159">
        <v>5.6</v>
      </c>
      <c r="G1037" s="160">
        <v>5</v>
      </c>
      <c r="H1037" s="161">
        <v>57.4</v>
      </c>
      <c r="I1037" s="161">
        <v>17.3</v>
      </c>
      <c r="J1037" s="161">
        <v>25.3</v>
      </c>
      <c r="K1037" s="160">
        <v>0.2</v>
      </c>
    </row>
    <row r="1038" spans="1:11" x14ac:dyDescent="0.3">
      <c r="A1038" s="156" t="s">
        <v>887</v>
      </c>
      <c r="B1038" s="157" t="s">
        <v>888</v>
      </c>
      <c r="C1038" s="157">
        <v>2024</v>
      </c>
      <c r="D1038" s="158">
        <v>-90.261329700000005</v>
      </c>
      <c r="E1038" s="158">
        <v>37.479362500000001</v>
      </c>
      <c r="F1038" s="159">
        <v>4.7</v>
      </c>
      <c r="G1038" s="160">
        <v>12</v>
      </c>
      <c r="H1038" s="161">
        <v>4.3</v>
      </c>
      <c r="I1038" s="161">
        <v>79.599999999999994</v>
      </c>
      <c r="J1038" s="161">
        <v>16.100000000000001</v>
      </c>
      <c r="K1038" s="160">
        <v>0.6</v>
      </c>
    </row>
    <row r="1039" spans="1:11" x14ac:dyDescent="0.3">
      <c r="A1039" s="156" t="s">
        <v>887</v>
      </c>
      <c r="B1039" s="157" t="s">
        <v>888</v>
      </c>
      <c r="C1039" s="157">
        <v>2024</v>
      </c>
      <c r="D1039" s="158">
        <v>-90.233253500000004</v>
      </c>
      <c r="E1039" s="158">
        <v>37.212242099999997</v>
      </c>
      <c r="F1039" s="159">
        <v>4.7</v>
      </c>
      <c r="G1039" s="160">
        <v>14.8</v>
      </c>
      <c r="H1039" s="161">
        <v>4</v>
      </c>
      <c r="I1039" s="161">
        <v>69.3</v>
      </c>
      <c r="J1039" s="161">
        <v>26.7</v>
      </c>
      <c r="K1039" s="160">
        <v>0.1</v>
      </c>
    </row>
    <row r="1040" spans="1:11" x14ac:dyDescent="0.3">
      <c r="A1040" s="156" t="s">
        <v>887</v>
      </c>
      <c r="B1040" s="157" t="s">
        <v>888</v>
      </c>
      <c r="C1040" s="157">
        <v>2024</v>
      </c>
      <c r="D1040" s="158">
        <v>-90.223731999999998</v>
      </c>
      <c r="E1040" s="158">
        <v>36.734329199999998</v>
      </c>
      <c r="F1040" s="159">
        <v>5.4</v>
      </c>
      <c r="G1040" s="160">
        <v>1.2</v>
      </c>
      <c r="H1040" s="161">
        <v>48.8</v>
      </c>
      <c r="I1040" s="161">
        <v>12.5</v>
      </c>
      <c r="J1040" s="161">
        <v>14.5</v>
      </c>
      <c r="K1040" s="160">
        <v>0.2</v>
      </c>
    </row>
    <row r="1041" spans="1:11" x14ac:dyDescent="0.3">
      <c r="A1041" s="156" t="s">
        <v>887</v>
      </c>
      <c r="B1041" s="157" t="s">
        <v>888</v>
      </c>
      <c r="C1041" s="157">
        <v>2024</v>
      </c>
      <c r="D1041" s="158">
        <v>-90.216155999999998</v>
      </c>
      <c r="E1041" s="158">
        <v>36.706989299999996</v>
      </c>
      <c r="F1041" s="159">
        <v>6.3</v>
      </c>
      <c r="G1041" s="160">
        <v>5</v>
      </c>
      <c r="H1041" s="161">
        <v>62.7</v>
      </c>
      <c r="I1041" s="161">
        <v>30.5</v>
      </c>
      <c r="J1041" s="161">
        <v>6.8</v>
      </c>
      <c r="K1041" s="160">
        <v>0.04</v>
      </c>
    </row>
    <row r="1042" spans="1:11" x14ac:dyDescent="0.3">
      <c r="A1042" s="156" t="s">
        <v>887</v>
      </c>
      <c r="B1042" s="157" t="s">
        <v>888</v>
      </c>
      <c r="C1042" s="157">
        <v>2024</v>
      </c>
      <c r="D1042" s="158">
        <v>-90.179361099999994</v>
      </c>
      <c r="E1042" s="158">
        <v>37.697138899999999</v>
      </c>
      <c r="F1042" s="159">
        <v>5.2</v>
      </c>
      <c r="G1042" s="160">
        <v>11</v>
      </c>
      <c r="H1042" s="161">
        <v>11.1</v>
      </c>
      <c r="I1042" s="161">
        <v>24.1</v>
      </c>
      <c r="J1042" s="161">
        <v>64.8</v>
      </c>
      <c r="K1042" s="160">
        <v>0.2</v>
      </c>
    </row>
    <row r="1043" spans="1:11" x14ac:dyDescent="0.3">
      <c r="A1043" s="156" t="s">
        <v>887</v>
      </c>
      <c r="B1043" s="157" t="s">
        <v>888</v>
      </c>
      <c r="C1043" s="157">
        <v>2024</v>
      </c>
      <c r="D1043" s="158">
        <v>-90.1703033</v>
      </c>
      <c r="E1043" s="158">
        <v>37.585666699999997</v>
      </c>
      <c r="F1043" s="159">
        <v>5</v>
      </c>
      <c r="G1043" s="160">
        <v>7.8</v>
      </c>
      <c r="H1043" s="161">
        <v>12.2</v>
      </c>
      <c r="I1043" s="161">
        <v>68.400000000000006</v>
      </c>
      <c r="J1043" s="161">
        <v>19.399999999999999</v>
      </c>
      <c r="K1043" s="160">
        <v>0.1</v>
      </c>
    </row>
    <row r="1044" spans="1:11" x14ac:dyDescent="0.3">
      <c r="A1044" s="156" t="s">
        <v>887</v>
      </c>
      <c r="B1044" s="157" t="s">
        <v>888</v>
      </c>
      <c r="C1044" s="157">
        <v>2024</v>
      </c>
      <c r="D1044" s="158">
        <v>-90.167777999999998</v>
      </c>
      <c r="E1044" s="158">
        <v>37.572498299999999</v>
      </c>
      <c r="F1044" s="159">
        <v>4.7</v>
      </c>
      <c r="G1044" s="160">
        <v>15</v>
      </c>
      <c r="H1044" s="161">
        <v>31.9</v>
      </c>
      <c r="I1044" s="161">
        <v>53.1</v>
      </c>
      <c r="J1044" s="161">
        <v>15</v>
      </c>
      <c r="K1044" s="160">
        <v>0.4</v>
      </c>
    </row>
    <row r="1045" spans="1:11" x14ac:dyDescent="0.3">
      <c r="A1045" s="156" t="s">
        <v>887</v>
      </c>
      <c r="B1045" s="157" t="s">
        <v>888</v>
      </c>
      <c r="C1045" s="157">
        <v>2024</v>
      </c>
      <c r="D1045" s="158">
        <v>-90.064930599999997</v>
      </c>
      <c r="E1045" s="158">
        <v>37.410047200000001</v>
      </c>
      <c r="F1045" s="159">
        <v>4.8</v>
      </c>
      <c r="G1045" s="160">
        <v>8.5</v>
      </c>
      <c r="H1045" s="161">
        <v>29.3</v>
      </c>
      <c r="I1045" s="161">
        <v>51.5</v>
      </c>
      <c r="J1045" s="161">
        <v>19.2</v>
      </c>
      <c r="K1045" s="160">
        <v>0.1</v>
      </c>
    </row>
    <row r="1046" spans="1:11" x14ac:dyDescent="0.3">
      <c r="A1046" s="156" t="s">
        <v>887</v>
      </c>
      <c r="B1046" s="157" t="s">
        <v>888</v>
      </c>
      <c r="C1046" s="157">
        <v>2024</v>
      </c>
      <c r="D1046" s="158">
        <v>-90.045694400000002</v>
      </c>
      <c r="E1046" s="158">
        <v>37.9593889</v>
      </c>
      <c r="F1046" s="159">
        <v>5.9</v>
      </c>
      <c r="G1046" s="160">
        <v>13.65</v>
      </c>
      <c r="H1046" s="161">
        <v>2.5</v>
      </c>
      <c r="I1046" s="161">
        <v>77.599999999999994</v>
      </c>
      <c r="J1046" s="161">
        <v>19.899999999999999</v>
      </c>
      <c r="K1046" s="160">
        <v>0.1</v>
      </c>
    </row>
    <row r="1047" spans="1:11" x14ac:dyDescent="0.3">
      <c r="A1047" s="156" t="s">
        <v>887</v>
      </c>
      <c r="B1047" s="157" t="s">
        <v>888</v>
      </c>
      <c r="C1047" s="157">
        <v>2024</v>
      </c>
      <c r="D1047" s="158">
        <v>-90.033332799999997</v>
      </c>
      <c r="E1047" s="158">
        <v>43.209446</v>
      </c>
      <c r="F1047" s="159">
        <v>5</v>
      </c>
      <c r="G1047" s="160">
        <v>4.25</v>
      </c>
      <c r="H1047" s="161">
        <v>58.1</v>
      </c>
      <c r="I1047" s="161">
        <v>25.8</v>
      </c>
      <c r="J1047" s="161">
        <v>16.100000000000001</v>
      </c>
      <c r="K1047" s="160">
        <v>0.19</v>
      </c>
    </row>
    <row r="1048" spans="1:11" x14ac:dyDescent="0.3">
      <c r="A1048" s="156" t="s">
        <v>887</v>
      </c>
      <c r="B1048" s="157" t="s">
        <v>888</v>
      </c>
      <c r="C1048" s="157">
        <v>2024</v>
      </c>
      <c r="D1048" s="158">
        <v>-89.916755699999996</v>
      </c>
      <c r="E1048" s="158">
        <v>37.338828999999997</v>
      </c>
      <c r="F1048" s="159">
        <v>5.0999999999999996</v>
      </c>
      <c r="G1048" s="160">
        <v>4</v>
      </c>
      <c r="H1048" s="161">
        <v>53.2</v>
      </c>
      <c r="I1048" s="161">
        <v>31.1</v>
      </c>
      <c r="J1048" s="161">
        <v>15.7</v>
      </c>
      <c r="K1048" s="160">
        <v>0.3</v>
      </c>
    </row>
    <row r="1049" spans="1:11" x14ac:dyDescent="0.3">
      <c r="A1049" s="156" t="s">
        <v>887</v>
      </c>
      <c r="B1049" s="157" t="s">
        <v>888</v>
      </c>
      <c r="C1049" s="157">
        <v>2024</v>
      </c>
      <c r="D1049" s="158">
        <v>-89.866668700000005</v>
      </c>
      <c r="E1049" s="158">
        <v>14.2666664</v>
      </c>
      <c r="F1049" s="159">
        <v>5.3</v>
      </c>
      <c r="G1049" s="160">
        <v>15.95</v>
      </c>
      <c r="H1049" s="161">
        <v>11.8</v>
      </c>
      <c r="I1049" s="161">
        <v>15.8</v>
      </c>
      <c r="J1049" s="161">
        <v>72.400000000000006</v>
      </c>
      <c r="K1049" s="160">
        <v>0.91999999999999993</v>
      </c>
    </row>
    <row r="1050" spans="1:11" x14ac:dyDescent="0.3">
      <c r="A1050" s="156" t="s">
        <v>887</v>
      </c>
      <c r="B1050" s="157" t="s">
        <v>888</v>
      </c>
      <c r="C1050" s="157">
        <v>2024</v>
      </c>
      <c r="D1050" s="158">
        <v>-89.858612100000002</v>
      </c>
      <c r="E1050" s="158">
        <v>39.426387800000001</v>
      </c>
      <c r="F1050" s="159">
        <v>4.5999999999999996</v>
      </c>
      <c r="G1050" s="160">
        <v>9</v>
      </c>
      <c r="H1050" s="161">
        <v>1.3</v>
      </c>
      <c r="I1050" s="161">
        <v>71.900000000000006</v>
      </c>
      <c r="J1050" s="161">
        <v>26.8</v>
      </c>
      <c r="K1050" s="160">
        <v>0.32999999999999996</v>
      </c>
    </row>
    <row r="1051" spans="1:11" x14ac:dyDescent="0.3">
      <c r="A1051" s="156" t="s">
        <v>887</v>
      </c>
      <c r="B1051" s="157" t="s">
        <v>888</v>
      </c>
      <c r="C1051" s="157">
        <v>2024</v>
      </c>
      <c r="D1051" s="158">
        <v>-89.769081099999994</v>
      </c>
      <c r="E1051" s="158">
        <v>37.1764984</v>
      </c>
      <c r="F1051" s="159">
        <v>5.3</v>
      </c>
      <c r="G1051" s="160">
        <v>7</v>
      </c>
      <c r="H1051" s="161">
        <v>4.2</v>
      </c>
      <c r="I1051" s="161">
        <v>83.3</v>
      </c>
      <c r="J1051" s="161">
        <v>12.5</v>
      </c>
      <c r="K1051" s="160">
        <v>0.8</v>
      </c>
    </row>
    <row r="1052" spans="1:11" x14ac:dyDescent="0.3">
      <c r="A1052" s="156" t="s">
        <v>887</v>
      </c>
      <c r="B1052" s="157" t="s">
        <v>888</v>
      </c>
      <c r="C1052" s="157">
        <v>2024</v>
      </c>
      <c r="D1052" s="158">
        <v>-89.607864399999997</v>
      </c>
      <c r="E1052" s="158">
        <v>36.395443</v>
      </c>
      <c r="F1052" s="159">
        <v>6.1</v>
      </c>
      <c r="G1052" s="160">
        <v>38</v>
      </c>
      <c r="H1052" s="161">
        <v>5.4</v>
      </c>
      <c r="I1052" s="161">
        <v>29.9</v>
      </c>
      <c r="J1052" s="161">
        <v>64.7</v>
      </c>
      <c r="K1052" s="160">
        <v>1.9</v>
      </c>
    </row>
    <row r="1053" spans="1:11" x14ac:dyDescent="0.3">
      <c r="A1053" s="156" t="s">
        <v>887</v>
      </c>
      <c r="B1053" s="157" t="s">
        <v>888</v>
      </c>
      <c r="C1053" s="157">
        <v>2024</v>
      </c>
      <c r="D1053" s="158">
        <v>-89.553611799999999</v>
      </c>
      <c r="E1053" s="158">
        <v>45.502777100000003</v>
      </c>
      <c r="F1053" s="159">
        <v>5.7</v>
      </c>
      <c r="G1053" s="160">
        <v>9.3000000000000007</v>
      </c>
      <c r="H1053" s="161">
        <v>95.9</v>
      </c>
      <c r="I1053" s="161">
        <v>3.8</v>
      </c>
      <c r="J1053" s="161">
        <v>0.3</v>
      </c>
      <c r="K1053" s="160">
        <v>0.08</v>
      </c>
    </row>
    <row r="1054" spans="1:11" x14ac:dyDescent="0.3">
      <c r="A1054" s="156" t="s">
        <v>887</v>
      </c>
      <c r="B1054" s="157" t="s">
        <v>888</v>
      </c>
      <c r="C1054" s="157">
        <v>2024</v>
      </c>
      <c r="D1054" s="158">
        <v>-89.542572000000007</v>
      </c>
      <c r="E1054" s="158">
        <v>31.033544500000001</v>
      </c>
      <c r="F1054" s="159">
        <v>4.5</v>
      </c>
      <c r="G1054" s="160">
        <v>3.75</v>
      </c>
      <c r="H1054" s="161">
        <v>46.8</v>
      </c>
      <c r="I1054" s="161">
        <v>45.6</v>
      </c>
      <c r="J1054" s="161">
        <v>7.6</v>
      </c>
      <c r="K1054" s="160">
        <v>0.52</v>
      </c>
    </row>
    <row r="1055" spans="1:11" x14ac:dyDescent="0.3">
      <c r="A1055" s="156" t="s">
        <v>887</v>
      </c>
      <c r="B1055" s="157" t="s">
        <v>888</v>
      </c>
      <c r="C1055" s="157">
        <v>2024</v>
      </c>
      <c r="D1055" s="158">
        <v>-89.447219799999999</v>
      </c>
      <c r="E1055" s="158">
        <v>38.716667200000003</v>
      </c>
      <c r="F1055" s="159">
        <v>6.7</v>
      </c>
      <c r="G1055" s="160">
        <v>22.1</v>
      </c>
      <c r="H1055" s="161">
        <v>40.4</v>
      </c>
      <c r="I1055" s="161">
        <v>45.8</v>
      </c>
      <c r="J1055" s="161">
        <v>13.8</v>
      </c>
      <c r="K1055" s="160">
        <v>0.09</v>
      </c>
    </row>
    <row r="1056" spans="1:11" x14ac:dyDescent="0.3">
      <c r="A1056" s="156" t="s">
        <v>887</v>
      </c>
      <c r="B1056" s="157" t="s">
        <v>888</v>
      </c>
      <c r="C1056" s="157">
        <v>2024</v>
      </c>
      <c r="D1056" s="158">
        <v>-89.210838317870994</v>
      </c>
      <c r="E1056" s="158">
        <v>37.118896484375</v>
      </c>
      <c r="F1056" s="159">
        <v>5.6</v>
      </c>
      <c r="G1056" s="160">
        <v>8.35</v>
      </c>
      <c r="H1056" s="161">
        <v>1.4</v>
      </c>
      <c r="I1056" s="161">
        <v>85.4</v>
      </c>
      <c r="J1056" s="161">
        <v>12.75</v>
      </c>
      <c r="K1056" s="160">
        <v>0.09</v>
      </c>
    </row>
    <row r="1057" spans="1:11" x14ac:dyDescent="0.3">
      <c r="A1057" s="156" t="s">
        <v>887</v>
      </c>
      <c r="B1057" s="157" t="s">
        <v>888</v>
      </c>
      <c r="C1057" s="157">
        <v>2024</v>
      </c>
      <c r="D1057" s="158">
        <v>-89.084724399999999</v>
      </c>
      <c r="E1057" s="158">
        <v>46.106945000000003</v>
      </c>
      <c r="F1057" s="159">
        <v>4.9000000000000004</v>
      </c>
      <c r="G1057" s="160">
        <v>5.2</v>
      </c>
      <c r="H1057" s="161">
        <v>78.2</v>
      </c>
      <c r="I1057" s="161">
        <v>19.7</v>
      </c>
      <c r="J1057" s="161">
        <v>2.1</v>
      </c>
      <c r="K1057" s="160">
        <v>0.52</v>
      </c>
    </row>
    <row r="1058" spans="1:11" x14ac:dyDescent="0.3">
      <c r="A1058" s="156" t="s">
        <v>887</v>
      </c>
      <c r="B1058" s="157" t="s">
        <v>888</v>
      </c>
      <c r="C1058" s="157">
        <v>2024</v>
      </c>
      <c r="D1058" s="158">
        <v>-88.887222300000005</v>
      </c>
      <c r="E1058" s="158">
        <v>37.973056800000002</v>
      </c>
      <c r="F1058" s="159">
        <v>7.6</v>
      </c>
      <c r="G1058" s="160">
        <v>7.75</v>
      </c>
      <c r="H1058" s="161">
        <v>56</v>
      </c>
      <c r="I1058" s="161">
        <v>25.7</v>
      </c>
      <c r="J1058" s="161">
        <v>18.3</v>
      </c>
      <c r="K1058" s="160">
        <v>0.08</v>
      </c>
    </row>
    <row r="1059" spans="1:11" x14ac:dyDescent="0.3">
      <c r="A1059" s="156" t="s">
        <v>887</v>
      </c>
      <c r="B1059" s="157" t="s">
        <v>888</v>
      </c>
      <c r="C1059" s="157">
        <v>2024</v>
      </c>
      <c r="D1059" s="158">
        <v>-88.570274400000002</v>
      </c>
      <c r="E1059" s="158">
        <v>44.9638901</v>
      </c>
      <c r="F1059" s="159">
        <v>5.6</v>
      </c>
      <c r="G1059" s="160">
        <v>2.2000000000000002</v>
      </c>
      <c r="H1059" s="161">
        <v>96.1</v>
      </c>
      <c r="I1059" s="161">
        <v>2.6</v>
      </c>
      <c r="J1059" s="161">
        <v>1.3</v>
      </c>
      <c r="K1059" s="160">
        <v>0.06</v>
      </c>
    </row>
    <row r="1060" spans="1:11" x14ac:dyDescent="0.3">
      <c r="A1060" s="156" t="s">
        <v>887</v>
      </c>
      <c r="B1060" s="157" t="s">
        <v>888</v>
      </c>
      <c r="C1060" s="157">
        <v>2024</v>
      </c>
      <c r="D1060" s="158">
        <v>-88.543052700000004</v>
      </c>
      <c r="E1060" s="158">
        <v>37.496387499999997</v>
      </c>
      <c r="F1060" s="159">
        <v>4.5</v>
      </c>
      <c r="G1060" s="160">
        <v>7.2</v>
      </c>
      <c r="H1060" s="161">
        <v>1</v>
      </c>
      <c r="I1060" s="161">
        <v>83</v>
      </c>
      <c r="J1060" s="161">
        <v>16</v>
      </c>
      <c r="K1060" s="160">
        <v>0.3</v>
      </c>
    </row>
    <row r="1061" spans="1:11" x14ac:dyDescent="0.3">
      <c r="A1061" s="156" t="s">
        <v>887</v>
      </c>
      <c r="B1061" s="157" t="s">
        <v>888</v>
      </c>
      <c r="C1061" s="157">
        <v>2024</v>
      </c>
      <c r="D1061" s="158">
        <v>-88.438613899999993</v>
      </c>
      <c r="E1061" s="158">
        <v>38.574165299999997</v>
      </c>
      <c r="F1061" s="159">
        <v>4.5</v>
      </c>
      <c r="G1061" s="160">
        <v>24.95</v>
      </c>
      <c r="H1061" s="161">
        <v>11.4</v>
      </c>
      <c r="I1061" s="161">
        <v>67.900000000000006</v>
      </c>
      <c r="J1061" s="161">
        <v>20.7</v>
      </c>
      <c r="K1061" s="160">
        <v>1.31</v>
      </c>
    </row>
    <row r="1062" spans="1:11" x14ac:dyDescent="0.3">
      <c r="A1062" s="156" t="s">
        <v>887</v>
      </c>
      <c r="B1062" s="157" t="s">
        <v>888</v>
      </c>
      <c r="C1062" s="157">
        <v>2024</v>
      </c>
      <c r="D1062" s="158">
        <v>-88.396705600000004</v>
      </c>
      <c r="E1062" s="158">
        <v>34.034023300000001</v>
      </c>
      <c r="F1062" s="159">
        <v>4.9000000000000004</v>
      </c>
      <c r="G1062" s="160">
        <v>5.2</v>
      </c>
      <c r="H1062" s="161">
        <v>44.5</v>
      </c>
      <c r="I1062" s="161">
        <v>27.6</v>
      </c>
      <c r="J1062" s="161">
        <v>27.9</v>
      </c>
      <c r="K1062" s="160">
        <v>0.02</v>
      </c>
    </row>
    <row r="1063" spans="1:11" x14ac:dyDescent="0.3">
      <c r="A1063" s="156" t="s">
        <v>887</v>
      </c>
      <c r="B1063" s="157" t="s">
        <v>888</v>
      </c>
      <c r="C1063" s="157">
        <v>2024</v>
      </c>
      <c r="D1063" s="158">
        <v>-87.075859100000002</v>
      </c>
      <c r="E1063" s="158">
        <v>39.284736600000002</v>
      </c>
      <c r="F1063" s="159">
        <v>7.1</v>
      </c>
      <c r="G1063" s="160">
        <v>8.35</v>
      </c>
      <c r="H1063" s="161">
        <v>11</v>
      </c>
      <c r="I1063" s="161">
        <v>74.599999999999994</v>
      </c>
      <c r="J1063" s="161">
        <v>14.4</v>
      </c>
      <c r="K1063" s="160">
        <v>0.90999999999999992</v>
      </c>
    </row>
    <row r="1064" spans="1:11" x14ac:dyDescent="0.3">
      <c r="A1064" s="156" t="s">
        <v>887</v>
      </c>
      <c r="B1064" s="157" t="s">
        <v>888</v>
      </c>
      <c r="C1064" s="157">
        <v>2024</v>
      </c>
      <c r="D1064" s="158">
        <v>-87.044441199999994</v>
      </c>
      <c r="E1064" s="158">
        <v>39.269443500000001</v>
      </c>
      <c r="F1064" s="159">
        <v>5.8</v>
      </c>
      <c r="G1064" s="160">
        <v>7.8</v>
      </c>
      <c r="H1064" s="161">
        <v>24</v>
      </c>
      <c r="I1064" s="161">
        <v>53.4</v>
      </c>
      <c r="J1064" s="161">
        <v>22.6</v>
      </c>
      <c r="K1064" s="160">
        <v>0.1</v>
      </c>
    </row>
    <row r="1065" spans="1:11" x14ac:dyDescent="0.3">
      <c r="A1065" s="156" t="s">
        <v>887</v>
      </c>
      <c r="B1065" s="157" t="s">
        <v>888</v>
      </c>
      <c r="C1065" s="157">
        <v>2024</v>
      </c>
      <c r="D1065" s="158">
        <v>-86.986106899999996</v>
      </c>
      <c r="E1065" s="158">
        <v>41.155574799999997</v>
      </c>
      <c r="F1065" s="159">
        <v>4.2</v>
      </c>
      <c r="G1065" s="160">
        <v>1.25</v>
      </c>
      <c r="H1065" s="161">
        <v>97.3</v>
      </c>
      <c r="I1065" s="161">
        <v>3.9</v>
      </c>
      <c r="J1065" s="161">
        <v>1.5</v>
      </c>
      <c r="K1065" s="160">
        <v>0.02</v>
      </c>
    </row>
    <row r="1066" spans="1:11" x14ac:dyDescent="0.3">
      <c r="A1066" s="156" t="s">
        <v>887</v>
      </c>
      <c r="B1066" s="157" t="s">
        <v>888</v>
      </c>
      <c r="C1066" s="157">
        <v>2024</v>
      </c>
      <c r="D1066" s="158">
        <v>-86.919441199999994</v>
      </c>
      <c r="E1066" s="158">
        <v>39.343055700000001</v>
      </c>
      <c r="F1066" s="159">
        <v>5.8</v>
      </c>
      <c r="G1066" s="160">
        <v>13.6</v>
      </c>
      <c r="H1066" s="161">
        <v>3</v>
      </c>
      <c r="I1066" s="161">
        <v>78</v>
      </c>
      <c r="J1066" s="161">
        <v>19</v>
      </c>
      <c r="K1066" s="160">
        <v>0.7</v>
      </c>
    </row>
    <row r="1067" spans="1:11" x14ac:dyDescent="0.3">
      <c r="A1067" s="156" t="s">
        <v>887</v>
      </c>
      <c r="B1067" s="157" t="s">
        <v>888</v>
      </c>
      <c r="C1067" s="157">
        <v>2024</v>
      </c>
      <c r="D1067" s="158">
        <v>-86.908607500000002</v>
      </c>
      <c r="E1067" s="158">
        <v>39.3391685</v>
      </c>
      <c r="F1067" s="159">
        <v>5.0999999999999996</v>
      </c>
      <c r="G1067" s="160">
        <v>9.3000000000000007</v>
      </c>
      <c r="H1067" s="161">
        <v>3.2</v>
      </c>
      <c r="I1067" s="161">
        <v>44.4</v>
      </c>
      <c r="J1067" s="161">
        <v>16.2</v>
      </c>
      <c r="K1067" s="160">
        <v>0.15</v>
      </c>
    </row>
    <row r="1068" spans="1:11" x14ac:dyDescent="0.3">
      <c r="A1068" s="156" t="s">
        <v>887</v>
      </c>
      <c r="B1068" s="157" t="s">
        <v>888</v>
      </c>
      <c r="C1068" s="157">
        <v>2024</v>
      </c>
      <c r="D1068" s="158">
        <v>-86.849723800000007</v>
      </c>
      <c r="E1068" s="158">
        <v>39.310276000000002</v>
      </c>
      <c r="F1068" s="159">
        <v>5.3</v>
      </c>
      <c r="G1068" s="160">
        <v>6.25</v>
      </c>
      <c r="H1068" s="161">
        <v>41.2</v>
      </c>
      <c r="I1068" s="161">
        <v>28</v>
      </c>
      <c r="J1068" s="161">
        <v>30.8</v>
      </c>
      <c r="K1068" s="160">
        <v>0.08</v>
      </c>
    </row>
    <row r="1069" spans="1:11" x14ac:dyDescent="0.3">
      <c r="A1069" s="156" t="s">
        <v>887</v>
      </c>
      <c r="B1069" s="157" t="s">
        <v>888</v>
      </c>
      <c r="C1069" s="157">
        <v>2024</v>
      </c>
      <c r="D1069" s="158">
        <v>-86.829170199999993</v>
      </c>
      <c r="E1069" s="158">
        <v>32.177501700000001</v>
      </c>
      <c r="F1069" s="159">
        <v>4.8</v>
      </c>
      <c r="G1069" s="160">
        <v>3.45</v>
      </c>
      <c r="H1069" s="161">
        <v>59.4</v>
      </c>
      <c r="I1069" s="161">
        <v>5.8</v>
      </c>
      <c r="J1069" s="161">
        <v>34.799999999999997</v>
      </c>
      <c r="K1069" s="160">
        <v>0.21000000000000002</v>
      </c>
    </row>
    <row r="1070" spans="1:11" x14ac:dyDescent="0.3">
      <c r="A1070" s="156" t="s">
        <v>887</v>
      </c>
      <c r="B1070" s="157" t="s">
        <v>888</v>
      </c>
      <c r="C1070" s="157">
        <v>2024</v>
      </c>
      <c r="D1070" s="158">
        <v>-86.781097399999993</v>
      </c>
      <c r="E1070" s="158">
        <v>31.085765800000001</v>
      </c>
      <c r="F1070" s="159">
        <v>5.9</v>
      </c>
      <c r="G1070" s="160">
        <v>0.5</v>
      </c>
      <c r="H1070" s="161">
        <v>74.2</v>
      </c>
      <c r="I1070" s="161">
        <v>7.3</v>
      </c>
      <c r="J1070" s="161">
        <v>18.5</v>
      </c>
      <c r="K1070" s="160">
        <v>0.11000000000000001</v>
      </c>
    </row>
    <row r="1071" spans="1:11" x14ac:dyDescent="0.3">
      <c r="A1071" s="156" t="s">
        <v>887</v>
      </c>
      <c r="B1071" s="157" t="s">
        <v>888</v>
      </c>
      <c r="C1071" s="157">
        <v>2024</v>
      </c>
      <c r="D1071" s="158">
        <v>-86.695274400000002</v>
      </c>
      <c r="E1071" s="158">
        <v>39.443611099999998</v>
      </c>
      <c r="F1071" s="159">
        <v>5.0999999999999996</v>
      </c>
      <c r="G1071" s="160">
        <v>13.75</v>
      </c>
      <c r="H1071" s="161">
        <v>8.4</v>
      </c>
      <c r="I1071" s="161">
        <v>68.8</v>
      </c>
      <c r="J1071" s="161">
        <v>22.8</v>
      </c>
      <c r="K1071" s="160">
        <v>0.11000000000000001</v>
      </c>
    </row>
    <row r="1072" spans="1:11" x14ac:dyDescent="0.3">
      <c r="A1072" s="156" t="s">
        <v>887</v>
      </c>
      <c r="B1072" s="157" t="s">
        <v>888</v>
      </c>
      <c r="C1072" s="157">
        <v>2024</v>
      </c>
      <c r="D1072" s="158">
        <v>-86.675003099999998</v>
      </c>
      <c r="E1072" s="158">
        <v>39.368057299999997</v>
      </c>
      <c r="F1072" s="159">
        <v>7.8</v>
      </c>
      <c r="G1072" s="160">
        <v>13.1</v>
      </c>
      <c r="H1072" s="161">
        <v>4.3</v>
      </c>
      <c r="I1072" s="161">
        <v>47.4</v>
      </c>
      <c r="J1072" s="161">
        <v>48.3</v>
      </c>
      <c r="K1072" s="160">
        <v>0.55000000000000004</v>
      </c>
    </row>
    <row r="1073" spans="1:11" x14ac:dyDescent="0.3">
      <c r="A1073" s="156" t="s">
        <v>887</v>
      </c>
      <c r="B1073" s="157" t="s">
        <v>888</v>
      </c>
      <c r="C1073" s="157">
        <v>2024</v>
      </c>
      <c r="D1073" s="158">
        <v>-86.300003051757798</v>
      </c>
      <c r="E1073" s="158">
        <v>12.1000003814697</v>
      </c>
      <c r="F1073" s="159">
        <v>7</v>
      </c>
      <c r="G1073" s="160">
        <v>24.2</v>
      </c>
      <c r="H1073" s="161">
        <v>38</v>
      </c>
      <c r="I1073" s="161">
        <v>44</v>
      </c>
      <c r="J1073" s="161">
        <v>18</v>
      </c>
      <c r="K1073" s="160">
        <v>3.3600000000000003</v>
      </c>
    </row>
    <row r="1074" spans="1:11" x14ac:dyDescent="0.3">
      <c r="A1074" s="156" t="s">
        <v>887</v>
      </c>
      <c r="B1074" s="157" t="s">
        <v>888</v>
      </c>
      <c r="C1074" s="157">
        <v>2024</v>
      </c>
      <c r="D1074" s="158">
        <v>-85.8280563</v>
      </c>
      <c r="E1074" s="158">
        <v>38.6252785</v>
      </c>
      <c r="F1074" s="159">
        <v>4.5</v>
      </c>
      <c r="G1074" s="160">
        <v>9.35</v>
      </c>
      <c r="H1074" s="161">
        <v>0.9</v>
      </c>
      <c r="I1074" s="161">
        <v>62.5</v>
      </c>
      <c r="J1074" s="161">
        <v>36.6</v>
      </c>
      <c r="K1074" s="160">
        <v>0.27</v>
      </c>
    </row>
    <row r="1075" spans="1:11" x14ac:dyDescent="0.3">
      <c r="A1075" s="156" t="s">
        <v>887</v>
      </c>
      <c r="B1075" s="157" t="s">
        <v>888</v>
      </c>
      <c r="C1075" s="157">
        <v>2024</v>
      </c>
      <c r="D1075" s="158">
        <v>-85.790786699999998</v>
      </c>
      <c r="E1075" s="158">
        <v>38.947544100000002</v>
      </c>
      <c r="F1075" s="159">
        <v>5</v>
      </c>
      <c r="G1075" s="160">
        <v>11.05</v>
      </c>
      <c r="H1075" s="161">
        <v>71.3</v>
      </c>
      <c r="I1075" s="161">
        <v>8.5</v>
      </c>
      <c r="J1075" s="161">
        <v>20.2</v>
      </c>
      <c r="K1075" s="160">
        <v>6.9999999999999993E-2</v>
      </c>
    </row>
    <row r="1076" spans="1:11" x14ac:dyDescent="0.3">
      <c r="A1076" s="156" t="s">
        <v>887</v>
      </c>
      <c r="B1076" s="157" t="s">
        <v>888</v>
      </c>
      <c r="C1076" s="157">
        <v>2024</v>
      </c>
      <c r="D1076" s="158">
        <v>-85.591056800000004</v>
      </c>
      <c r="E1076" s="158">
        <v>44.109169000000001</v>
      </c>
      <c r="F1076" s="159">
        <v>4.4000000000000004</v>
      </c>
      <c r="G1076" s="160">
        <v>1.55</v>
      </c>
      <c r="H1076" s="161">
        <v>82</v>
      </c>
      <c r="I1076" s="161">
        <v>14.6</v>
      </c>
      <c r="J1076" s="161">
        <v>3.4</v>
      </c>
      <c r="K1076" s="160">
        <v>0.28999999999999998</v>
      </c>
    </row>
    <row r="1077" spans="1:11" x14ac:dyDescent="0.3">
      <c r="A1077" s="156" t="s">
        <v>887</v>
      </c>
      <c r="B1077" s="157" t="s">
        <v>888</v>
      </c>
      <c r="C1077" s="157">
        <v>2024</v>
      </c>
      <c r="D1077" s="158">
        <v>-85.520111099999994</v>
      </c>
      <c r="E1077" s="158">
        <v>42.937805599999997</v>
      </c>
      <c r="F1077" s="159">
        <v>6.7</v>
      </c>
      <c r="G1077" s="160">
        <v>8</v>
      </c>
      <c r="H1077" s="161">
        <v>13.8</v>
      </c>
      <c r="I1077" s="161">
        <v>33.5</v>
      </c>
      <c r="J1077" s="161">
        <v>52.7</v>
      </c>
      <c r="K1077" s="160">
        <v>0.53</v>
      </c>
    </row>
    <row r="1078" spans="1:11" x14ac:dyDescent="0.3">
      <c r="A1078" s="156" t="s">
        <v>887</v>
      </c>
      <c r="B1078" s="157" t="s">
        <v>888</v>
      </c>
      <c r="C1078" s="157">
        <v>2024</v>
      </c>
      <c r="D1078" s="158">
        <v>-85.303397200000006</v>
      </c>
      <c r="E1078" s="158">
        <v>35.499219400000001</v>
      </c>
      <c r="F1078" s="159">
        <v>4.8</v>
      </c>
      <c r="G1078" s="160">
        <v>4.6500000000000004</v>
      </c>
      <c r="H1078" s="161">
        <v>63.1</v>
      </c>
      <c r="I1078" s="161">
        <v>20.100000000000001</v>
      </c>
      <c r="J1078" s="161">
        <v>16.8</v>
      </c>
      <c r="K1078" s="160">
        <v>0.55000000000000004</v>
      </c>
    </row>
    <row r="1079" spans="1:11" x14ac:dyDescent="0.3">
      <c r="A1079" s="156" t="s">
        <v>887</v>
      </c>
      <c r="B1079" s="157" t="s">
        <v>888</v>
      </c>
      <c r="C1079" s="157">
        <v>2024</v>
      </c>
      <c r="D1079" s="158">
        <v>-85.0673599</v>
      </c>
      <c r="E1079" s="158">
        <v>35.841804500000002</v>
      </c>
      <c r="F1079" s="159">
        <v>4.9000000000000004</v>
      </c>
      <c r="G1079" s="160">
        <v>7.35</v>
      </c>
      <c r="H1079" s="161">
        <v>47.4</v>
      </c>
      <c r="I1079" s="161">
        <v>27.7</v>
      </c>
      <c r="J1079" s="161">
        <v>24.9</v>
      </c>
      <c r="K1079" s="160">
        <v>0.05</v>
      </c>
    </row>
    <row r="1080" spans="1:11" x14ac:dyDescent="0.3">
      <c r="A1080" s="156" t="s">
        <v>887</v>
      </c>
      <c r="B1080" s="157" t="s">
        <v>888</v>
      </c>
      <c r="C1080" s="157">
        <v>2024</v>
      </c>
      <c r="D1080" s="158">
        <v>-84.667976400000001</v>
      </c>
      <c r="E1080" s="158">
        <v>37.484790799999999</v>
      </c>
      <c r="F1080" s="159">
        <v>4.8</v>
      </c>
      <c r="G1080" s="160">
        <v>6.1</v>
      </c>
      <c r="H1080" s="161">
        <v>3.1</v>
      </c>
      <c r="I1080" s="161">
        <v>57.5</v>
      </c>
      <c r="J1080" s="161">
        <v>39.4</v>
      </c>
      <c r="K1080" s="160">
        <v>0.22000000000000003</v>
      </c>
    </row>
    <row r="1081" spans="1:11" x14ac:dyDescent="0.3">
      <c r="A1081" s="156" t="s">
        <v>887</v>
      </c>
      <c r="B1081" s="157" t="s">
        <v>888</v>
      </c>
      <c r="C1081" s="157">
        <v>2024</v>
      </c>
      <c r="D1081" s="158">
        <v>-84.535822199999998</v>
      </c>
      <c r="E1081" s="158">
        <v>45.389997200000003</v>
      </c>
      <c r="F1081" s="159">
        <v>6.2</v>
      </c>
      <c r="G1081" s="160">
        <v>0.9</v>
      </c>
      <c r="H1081" s="161">
        <v>92.2</v>
      </c>
      <c r="I1081" s="161">
        <v>5.7</v>
      </c>
      <c r="J1081" s="161">
        <v>2.1</v>
      </c>
      <c r="K1081" s="160">
        <v>3.16</v>
      </c>
    </row>
    <row r="1082" spans="1:11" x14ac:dyDescent="0.3">
      <c r="A1082" s="156" t="s">
        <v>887</v>
      </c>
      <c r="B1082" s="157" t="s">
        <v>888</v>
      </c>
      <c r="C1082" s="157">
        <v>2024</v>
      </c>
      <c r="D1082" s="158">
        <v>-84.458610500000006</v>
      </c>
      <c r="E1082" s="158">
        <v>35.381942700000003</v>
      </c>
      <c r="F1082" s="159">
        <v>5.7</v>
      </c>
      <c r="G1082" s="160">
        <v>3.4</v>
      </c>
      <c r="H1082" s="161">
        <v>54.6</v>
      </c>
      <c r="I1082" s="161">
        <v>21.2</v>
      </c>
      <c r="J1082" s="161">
        <v>23.8</v>
      </c>
      <c r="K1082" s="160">
        <v>0.4</v>
      </c>
    </row>
    <row r="1083" spans="1:11" x14ac:dyDescent="0.3">
      <c r="A1083" s="156" t="s">
        <v>887</v>
      </c>
      <c r="B1083" s="157" t="s">
        <v>888</v>
      </c>
      <c r="C1083" s="157">
        <v>2024</v>
      </c>
      <c r="D1083" s="158">
        <v>-84.403892499999998</v>
      </c>
      <c r="E1083" s="158">
        <v>31.994722400000001</v>
      </c>
      <c r="F1083" s="159">
        <v>5.25</v>
      </c>
      <c r="G1083" s="160">
        <v>0.3</v>
      </c>
      <c r="H1083" s="161">
        <v>71</v>
      </c>
      <c r="I1083" s="161">
        <v>3.6</v>
      </c>
      <c r="J1083" s="161">
        <v>25.4</v>
      </c>
      <c r="K1083" s="160">
        <v>0.55999999999999994</v>
      </c>
    </row>
    <row r="1084" spans="1:11" x14ac:dyDescent="0.3">
      <c r="A1084" s="156" t="s">
        <v>887</v>
      </c>
      <c r="B1084" s="157" t="s">
        <v>888</v>
      </c>
      <c r="C1084" s="157">
        <v>2024</v>
      </c>
      <c r="D1084" s="158">
        <v>-84.3491669</v>
      </c>
      <c r="E1084" s="158">
        <v>33.002498600000003</v>
      </c>
      <c r="F1084" s="159">
        <v>4.9000000000000004</v>
      </c>
      <c r="G1084" s="160">
        <v>2.2000000000000002</v>
      </c>
      <c r="H1084" s="161">
        <v>63</v>
      </c>
      <c r="I1084" s="161">
        <v>14.5</v>
      </c>
      <c r="J1084" s="161">
        <v>22.5</v>
      </c>
      <c r="K1084" s="160">
        <v>0.25</v>
      </c>
    </row>
    <row r="1085" spans="1:11" x14ac:dyDescent="0.3">
      <c r="A1085" s="156" t="s">
        <v>887</v>
      </c>
      <c r="B1085" s="157" t="s">
        <v>888</v>
      </c>
      <c r="C1085" s="157">
        <v>2024</v>
      </c>
      <c r="D1085" s="158">
        <v>-84.043052700000004</v>
      </c>
      <c r="E1085" s="158">
        <v>32.9886093</v>
      </c>
      <c r="F1085" s="159">
        <v>4.7</v>
      </c>
      <c r="G1085" s="160">
        <v>1.1000000000000001</v>
      </c>
      <c r="H1085" s="161">
        <v>31.9</v>
      </c>
      <c r="I1085" s="161">
        <v>22.2</v>
      </c>
      <c r="J1085" s="161">
        <v>45.8</v>
      </c>
      <c r="K1085" s="160">
        <v>0.09</v>
      </c>
    </row>
    <row r="1086" spans="1:11" x14ac:dyDescent="0.3">
      <c r="A1086" s="156" t="s">
        <v>887</v>
      </c>
      <c r="B1086" s="157" t="s">
        <v>888</v>
      </c>
      <c r="C1086" s="157">
        <v>2024</v>
      </c>
      <c r="D1086" s="158">
        <v>-83.778793300000004</v>
      </c>
      <c r="E1086" s="158">
        <v>31.752136199999999</v>
      </c>
      <c r="F1086" s="159">
        <v>5.2</v>
      </c>
      <c r="G1086" s="160">
        <v>1.05</v>
      </c>
      <c r="H1086" s="161">
        <v>65.599999999999994</v>
      </c>
      <c r="I1086" s="161">
        <v>7.3</v>
      </c>
      <c r="J1086" s="161">
        <v>27.1</v>
      </c>
      <c r="K1086" s="160">
        <v>0.86999999999999988</v>
      </c>
    </row>
    <row r="1087" spans="1:11" x14ac:dyDescent="0.3">
      <c r="A1087" s="156" t="s">
        <v>887</v>
      </c>
      <c r="B1087" s="157" t="s">
        <v>888</v>
      </c>
      <c r="C1087" s="157">
        <v>2024</v>
      </c>
      <c r="D1087" s="158">
        <v>-83.706108099999994</v>
      </c>
      <c r="E1087" s="158">
        <v>35.147499099999997</v>
      </c>
      <c r="F1087" s="159">
        <v>4.3</v>
      </c>
      <c r="G1087" s="160">
        <v>2.0499999999999998</v>
      </c>
      <c r="H1087" s="161">
        <v>41.9</v>
      </c>
      <c r="I1087" s="161">
        <v>45.5</v>
      </c>
      <c r="J1087" s="161">
        <v>12.6</v>
      </c>
      <c r="K1087" s="160">
        <v>5.85</v>
      </c>
    </row>
    <row r="1088" spans="1:11" x14ac:dyDescent="0.3">
      <c r="A1088" s="156" t="s">
        <v>887</v>
      </c>
      <c r="B1088" s="157" t="s">
        <v>888</v>
      </c>
      <c r="C1088" s="157">
        <v>2024</v>
      </c>
      <c r="D1088" s="158">
        <v>-83.542777999999998</v>
      </c>
      <c r="E1088" s="158">
        <v>31.491666800000001</v>
      </c>
      <c r="F1088" s="159">
        <v>4.5</v>
      </c>
      <c r="G1088" s="160">
        <v>1.1000000000000001</v>
      </c>
      <c r="H1088" s="161">
        <v>74.599999999999994</v>
      </c>
      <c r="I1088" s="161">
        <v>4.9000000000000004</v>
      </c>
      <c r="J1088" s="161">
        <v>27.5</v>
      </c>
      <c r="K1088" s="160">
        <v>0.08</v>
      </c>
    </row>
    <row r="1089" spans="1:11" x14ac:dyDescent="0.3">
      <c r="A1089" s="156" t="s">
        <v>887</v>
      </c>
      <c r="B1089" s="157" t="s">
        <v>888</v>
      </c>
      <c r="C1089" s="157">
        <v>2024</v>
      </c>
      <c r="D1089" s="158">
        <v>-83.5416666666667</v>
      </c>
      <c r="E1089" s="158">
        <v>10.1833333333333</v>
      </c>
      <c r="F1089" s="159">
        <v>4.3</v>
      </c>
      <c r="G1089" s="160">
        <v>2.5</v>
      </c>
      <c r="H1089" s="161">
        <v>7</v>
      </c>
      <c r="I1089" s="161">
        <v>29</v>
      </c>
      <c r="J1089" s="161">
        <v>64</v>
      </c>
      <c r="K1089" s="160">
        <v>0.94000000000000006</v>
      </c>
    </row>
    <row r="1090" spans="1:11" x14ac:dyDescent="0.3">
      <c r="A1090" s="156" t="s">
        <v>887</v>
      </c>
      <c r="B1090" s="157" t="s">
        <v>888</v>
      </c>
      <c r="C1090" s="157">
        <v>2024</v>
      </c>
      <c r="D1090" s="158">
        <v>-83.503501900000003</v>
      </c>
      <c r="E1090" s="158">
        <v>31.007711400000002</v>
      </c>
      <c r="F1090" s="159">
        <v>5.2</v>
      </c>
      <c r="G1090" s="160">
        <v>1.35</v>
      </c>
      <c r="H1090" s="161">
        <v>48.3</v>
      </c>
      <c r="I1090" s="161">
        <v>6.9</v>
      </c>
      <c r="J1090" s="161">
        <v>44.8</v>
      </c>
      <c r="K1090" s="160">
        <v>0.33999999999999997</v>
      </c>
    </row>
    <row r="1091" spans="1:11" x14ac:dyDescent="0.3">
      <c r="A1091" s="156" t="s">
        <v>887</v>
      </c>
      <c r="B1091" s="157" t="s">
        <v>888</v>
      </c>
      <c r="C1091" s="157">
        <v>2024</v>
      </c>
      <c r="D1091" s="158">
        <v>-80.032222200000007</v>
      </c>
      <c r="E1091" s="158">
        <v>41.067777800000002</v>
      </c>
      <c r="F1091" s="159">
        <v>4.8</v>
      </c>
      <c r="G1091" s="160">
        <v>7</v>
      </c>
      <c r="H1091" s="161">
        <v>5</v>
      </c>
      <c r="I1091" s="161">
        <v>37.4</v>
      </c>
      <c r="J1091" s="161">
        <v>57.6</v>
      </c>
      <c r="K1091" s="160">
        <v>0.57999999999999996</v>
      </c>
    </row>
    <row r="1092" spans="1:11" x14ac:dyDescent="0.3">
      <c r="A1092" s="156" t="s">
        <v>887</v>
      </c>
      <c r="B1092" s="157" t="s">
        <v>888</v>
      </c>
      <c r="C1092" s="157">
        <v>2024</v>
      </c>
      <c r="D1092" s="158">
        <v>-79.993055600000005</v>
      </c>
      <c r="E1092" s="158">
        <v>40.559166699999999</v>
      </c>
      <c r="F1092" s="159">
        <v>4.8</v>
      </c>
      <c r="G1092" s="160">
        <v>11</v>
      </c>
      <c r="H1092" s="161">
        <v>9.9</v>
      </c>
      <c r="I1092" s="161">
        <v>61.3</v>
      </c>
      <c r="J1092" s="161">
        <v>28.8</v>
      </c>
      <c r="K1092" s="160">
        <v>0.19</v>
      </c>
    </row>
    <row r="1093" spans="1:11" x14ac:dyDescent="0.3">
      <c r="A1093" s="156" t="s">
        <v>887</v>
      </c>
      <c r="B1093" s="157" t="s">
        <v>888</v>
      </c>
      <c r="C1093" s="157">
        <v>2024</v>
      </c>
      <c r="D1093" s="158">
        <v>-79.868888900000002</v>
      </c>
      <c r="E1093" s="158">
        <v>35.1363907</v>
      </c>
      <c r="F1093" s="159">
        <v>5.4</v>
      </c>
      <c r="G1093" s="160">
        <v>16.45</v>
      </c>
      <c r="H1093" s="161">
        <v>19.2</v>
      </c>
      <c r="I1093" s="161">
        <v>40.4</v>
      </c>
      <c r="J1093" s="161">
        <v>40.4</v>
      </c>
      <c r="K1093" s="160">
        <v>0.45</v>
      </c>
    </row>
    <row r="1094" spans="1:11" x14ac:dyDescent="0.3">
      <c r="A1094" s="156" t="s">
        <v>887</v>
      </c>
      <c r="B1094" s="157" t="s">
        <v>888</v>
      </c>
      <c r="C1094" s="157">
        <v>2024</v>
      </c>
      <c r="D1094" s="158">
        <v>-79.749771100000004</v>
      </c>
      <c r="E1094" s="158">
        <v>36.333416</v>
      </c>
      <c r="F1094" s="159">
        <v>4.6500000000000004</v>
      </c>
      <c r="G1094" s="160">
        <v>3.8</v>
      </c>
      <c r="H1094" s="161">
        <v>71.5</v>
      </c>
      <c r="I1094" s="161">
        <v>20.8</v>
      </c>
      <c r="J1094" s="161">
        <v>7.7</v>
      </c>
      <c r="K1094" s="160">
        <v>0.11000000000000001</v>
      </c>
    </row>
    <row r="1095" spans="1:11" x14ac:dyDescent="0.3">
      <c r="A1095" s="156" t="s">
        <v>887</v>
      </c>
      <c r="B1095" s="157" t="s">
        <v>888</v>
      </c>
      <c r="C1095" s="157">
        <v>2024</v>
      </c>
      <c r="D1095" s="158">
        <v>-79.394996599999999</v>
      </c>
      <c r="E1095" s="158">
        <v>35.360832199999997</v>
      </c>
      <c r="F1095" s="159">
        <v>5.4</v>
      </c>
      <c r="G1095" s="160">
        <v>12.15</v>
      </c>
      <c r="H1095" s="161">
        <v>31.4</v>
      </c>
      <c r="I1095" s="161">
        <v>49</v>
      </c>
      <c r="J1095" s="161">
        <v>19.600000000000001</v>
      </c>
      <c r="K1095" s="160">
        <v>0.96</v>
      </c>
    </row>
    <row r="1096" spans="1:11" x14ac:dyDescent="0.3">
      <c r="A1096" s="156" t="s">
        <v>887</v>
      </c>
      <c r="B1096" s="157" t="s">
        <v>888</v>
      </c>
      <c r="C1096" s="157">
        <v>2024</v>
      </c>
      <c r="D1096" s="158">
        <v>-79.245555600000003</v>
      </c>
      <c r="E1096" s="158">
        <v>40.850833299999998</v>
      </c>
      <c r="F1096" s="159">
        <v>4.4000000000000004</v>
      </c>
      <c r="G1096" s="160">
        <v>10</v>
      </c>
      <c r="H1096" s="161">
        <v>2.2999999999999998</v>
      </c>
      <c r="I1096" s="161">
        <v>37.700000000000003</v>
      </c>
      <c r="J1096" s="161">
        <v>64.900000000000006</v>
      </c>
      <c r="K1096" s="160">
        <v>0.42000000000000004</v>
      </c>
    </row>
    <row r="1097" spans="1:11" x14ac:dyDescent="0.3">
      <c r="A1097" s="156" t="s">
        <v>887</v>
      </c>
      <c r="B1097" s="157" t="s">
        <v>888</v>
      </c>
      <c r="C1097" s="157">
        <v>2024</v>
      </c>
      <c r="D1097" s="158">
        <v>-79.145555599999994</v>
      </c>
      <c r="E1097" s="158">
        <v>41.9186111</v>
      </c>
      <c r="F1097" s="159">
        <v>4.8</v>
      </c>
      <c r="G1097" s="160">
        <v>12</v>
      </c>
      <c r="H1097" s="161">
        <v>11</v>
      </c>
      <c r="I1097" s="161">
        <v>64.3</v>
      </c>
      <c r="J1097" s="161">
        <v>24.7</v>
      </c>
      <c r="K1097" s="160">
        <v>0.19</v>
      </c>
    </row>
    <row r="1098" spans="1:11" x14ac:dyDescent="0.3">
      <c r="A1098" s="156" t="s">
        <v>887</v>
      </c>
      <c r="B1098" s="157" t="s">
        <v>888</v>
      </c>
      <c r="C1098" s="157">
        <v>2024</v>
      </c>
      <c r="D1098" s="158">
        <v>-78.779747</v>
      </c>
      <c r="E1098" s="158">
        <v>35.304542499999997</v>
      </c>
      <c r="F1098" s="159">
        <v>4.5</v>
      </c>
      <c r="G1098" s="160">
        <v>3.1</v>
      </c>
      <c r="H1098" s="161">
        <v>41.3</v>
      </c>
      <c r="I1098" s="161">
        <v>24</v>
      </c>
      <c r="J1098" s="161">
        <v>34.700000000000003</v>
      </c>
      <c r="K1098" s="160">
        <v>0.04</v>
      </c>
    </row>
    <row r="1099" spans="1:11" x14ac:dyDescent="0.3">
      <c r="A1099" s="156" t="s">
        <v>887</v>
      </c>
      <c r="B1099" s="157" t="s">
        <v>888</v>
      </c>
      <c r="C1099" s="157">
        <v>2024</v>
      </c>
      <c r="D1099" s="158">
        <v>-78.729164100000006</v>
      </c>
      <c r="E1099" s="158">
        <v>42.045833600000002</v>
      </c>
      <c r="F1099" s="159">
        <v>5.5</v>
      </c>
      <c r="G1099" s="160">
        <v>11.75</v>
      </c>
      <c r="H1099" s="161">
        <v>40</v>
      </c>
      <c r="I1099" s="161">
        <v>46.4</v>
      </c>
      <c r="J1099" s="161">
        <v>13.6</v>
      </c>
      <c r="K1099" s="160">
        <v>0.13999999999999999</v>
      </c>
    </row>
    <row r="1100" spans="1:11" x14ac:dyDescent="0.3">
      <c r="A1100" s="156" t="s">
        <v>887</v>
      </c>
      <c r="B1100" s="157" t="s">
        <v>888</v>
      </c>
      <c r="C1100" s="157">
        <v>2024</v>
      </c>
      <c r="D1100" s="158">
        <v>-78.721107500000002</v>
      </c>
      <c r="E1100" s="158">
        <v>42.002498600000003</v>
      </c>
      <c r="F1100" s="159">
        <v>4.8</v>
      </c>
      <c r="G1100" s="160">
        <v>1</v>
      </c>
      <c r="H1100" s="161">
        <v>77.7</v>
      </c>
      <c r="I1100" s="161">
        <v>18.5</v>
      </c>
      <c r="J1100" s="161">
        <v>3.8</v>
      </c>
      <c r="K1100" s="160">
        <v>0.13999999999999999</v>
      </c>
    </row>
    <row r="1101" spans="1:11" x14ac:dyDescent="0.3">
      <c r="A1101" s="156" t="s">
        <v>887</v>
      </c>
      <c r="B1101" s="157" t="s">
        <v>888</v>
      </c>
      <c r="C1101" s="157">
        <v>2024</v>
      </c>
      <c r="D1101" s="158">
        <v>-78.367782592773395</v>
      </c>
      <c r="E1101" s="158">
        <v>35.235286712646399</v>
      </c>
      <c r="F1101" s="159">
        <v>4.3</v>
      </c>
      <c r="G1101" s="160">
        <v>3.05</v>
      </c>
      <c r="H1101" s="161">
        <v>59.3</v>
      </c>
      <c r="I1101" s="161">
        <v>26.7</v>
      </c>
      <c r="J1101" s="161">
        <v>14</v>
      </c>
      <c r="K1101" s="160">
        <v>0.22999999999999998</v>
      </c>
    </row>
    <row r="1102" spans="1:11" x14ac:dyDescent="0.3">
      <c r="A1102" s="156" t="s">
        <v>887</v>
      </c>
      <c r="B1102" s="157" t="s">
        <v>888</v>
      </c>
      <c r="C1102" s="157">
        <v>2024</v>
      </c>
      <c r="D1102" s="158">
        <v>-78.161944399999996</v>
      </c>
      <c r="E1102" s="158">
        <v>40.960555599999999</v>
      </c>
      <c r="F1102" s="159">
        <v>4.5</v>
      </c>
      <c r="G1102" s="160">
        <v>6</v>
      </c>
      <c r="H1102" s="161">
        <v>55.6</v>
      </c>
      <c r="I1102" s="161">
        <v>35.1</v>
      </c>
      <c r="J1102" s="161">
        <v>9.3000000000000007</v>
      </c>
      <c r="K1102" s="160">
        <v>3</v>
      </c>
    </row>
    <row r="1103" spans="1:11" x14ac:dyDescent="0.3">
      <c r="A1103" s="156" t="s">
        <v>887</v>
      </c>
      <c r="B1103" s="157" t="s">
        <v>888</v>
      </c>
      <c r="C1103" s="157">
        <v>2024</v>
      </c>
      <c r="D1103" s="158">
        <v>-78.149711600000003</v>
      </c>
      <c r="E1103" s="158">
        <v>37.975048100000002</v>
      </c>
      <c r="F1103" s="159">
        <v>7.9</v>
      </c>
      <c r="G1103" s="160">
        <v>1.8</v>
      </c>
      <c r="H1103" s="161">
        <v>32.5</v>
      </c>
      <c r="I1103" s="161">
        <v>66.400000000000006</v>
      </c>
      <c r="J1103" s="161">
        <v>9.6999999999999993</v>
      </c>
      <c r="K1103" s="160">
        <v>0.21000000000000002</v>
      </c>
    </row>
    <row r="1104" spans="1:11" x14ac:dyDescent="0.3">
      <c r="A1104" s="156" t="s">
        <v>887</v>
      </c>
      <c r="B1104" s="157" t="s">
        <v>888</v>
      </c>
      <c r="C1104" s="157">
        <v>2024</v>
      </c>
      <c r="D1104" s="158">
        <v>-78.120834400000007</v>
      </c>
      <c r="E1104" s="158">
        <v>43.256942700000003</v>
      </c>
      <c r="F1104" s="159">
        <v>6.1</v>
      </c>
      <c r="G1104" s="160">
        <v>4.05</v>
      </c>
      <c r="H1104" s="161">
        <v>50.8</v>
      </c>
      <c r="I1104" s="161">
        <v>41.1</v>
      </c>
      <c r="J1104" s="161">
        <v>8.1</v>
      </c>
      <c r="K1104" s="160">
        <v>0.02</v>
      </c>
    </row>
    <row r="1105" spans="1:11" x14ac:dyDescent="0.3">
      <c r="A1105" s="156" t="s">
        <v>887</v>
      </c>
      <c r="B1105" s="157" t="s">
        <v>888</v>
      </c>
      <c r="C1105" s="157">
        <v>2024</v>
      </c>
      <c r="D1105" s="158">
        <v>-77.799705500000002</v>
      </c>
      <c r="E1105" s="158">
        <v>38.325042699999997</v>
      </c>
      <c r="F1105" s="159">
        <v>4.7</v>
      </c>
      <c r="G1105" s="160">
        <v>4.0999999999999996</v>
      </c>
      <c r="H1105" s="161">
        <v>31.8</v>
      </c>
      <c r="I1105" s="161">
        <v>37</v>
      </c>
      <c r="J1105" s="161">
        <v>31.2</v>
      </c>
      <c r="K1105" s="160">
        <v>0.12</v>
      </c>
    </row>
    <row r="1106" spans="1:11" x14ac:dyDescent="0.3">
      <c r="A1106" s="156" t="s">
        <v>887</v>
      </c>
      <c r="B1106" s="157" t="s">
        <v>888</v>
      </c>
      <c r="C1106" s="157">
        <v>2024</v>
      </c>
      <c r="D1106" s="158">
        <v>-77.5605774</v>
      </c>
      <c r="E1106" s="158">
        <v>36.575164800000003</v>
      </c>
      <c r="F1106" s="159">
        <v>6.9</v>
      </c>
      <c r="G1106" s="160">
        <v>5</v>
      </c>
      <c r="H1106" s="161">
        <v>72.8</v>
      </c>
      <c r="I1106" s="161">
        <v>21.5</v>
      </c>
      <c r="J1106" s="161">
        <v>5.7</v>
      </c>
      <c r="K1106" s="160">
        <v>0.3</v>
      </c>
    </row>
    <row r="1107" spans="1:11" x14ac:dyDescent="0.3">
      <c r="A1107" s="156" t="s">
        <v>887</v>
      </c>
      <c r="B1107" s="157" t="s">
        <v>888</v>
      </c>
      <c r="C1107" s="157">
        <v>2024</v>
      </c>
      <c r="D1107" s="158">
        <v>-77.172222199999993</v>
      </c>
      <c r="E1107" s="158">
        <v>40.9016667</v>
      </c>
      <c r="F1107" s="159">
        <v>7.4</v>
      </c>
      <c r="G1107" s="160">
        <v>7</v>
      </c>
      <c r="H1107" s="161">
        <v>19.399999999999999</v>
      </c>
      <c r="I1107" s="161">
        <v>44.2</v>
      </c>
      <c r="J1107" s="161">
        <v>36.4</v>
      </c>
      <c r="K1107" s="160">
        <v>0.08</v>
      </c>
    </row>
    <row r="1108" spans="1:11" x14ac:dyDescent="0.3">
      <c r="A1108" s="156" t="s">
        <v>887</v>
      </c>
      <c r="B1108" s="157" t="s">
        <v>888</v>
      </c>
      <c r="C1108" s="157">
        <v>2024</v>
      </c>
      <c r="D1108" s="158">
        <v>-76.984444400000001</v>
      </c>
      <c r="E1108" s="158">
        <v>41.136111100000001</v>
      </c>
      <c r="F1108" s="159">
        <v>5.3</v>
      </c>
      <c r="G1108" s="160">
        <v>4</v>
      </c>
      <c r="H1108" s="161">
        <v>33</v>
      </c>
      <c r="I1108" s="161">
        <v>32.4</v>
      </c>
      <c r="J1108" s="161">
        <v>34.6</v>
      </c>
      <c r="K1108" s="160">
        <v>0.13</v>
      </c>
    </row>
    <row r="1109" spans="1:11" x14ac:dyDescent="0.3">
      <c r="A1109" s="156" t="s">
        <v>887</v>
      </c>
      <c r="B1109" s="157" t="s">
        <v>888</v>
      </c>
      <c r="C1109" s="157">
        <v>2024</v>
      </c>
      <c r="D1109" s="158">
        <v>-76.8227768</v>
      </c>
      <c r="E1109" s="158">
        <v>39.027221699999998</v>
      </c>
      <c r="F1109" s="159">
        <v>5.0999999999999996</v>
      </c>
      <c r="G1109" s="160">
        <v>0.8</v>
      </c>
      <c r="H1109" s="161">
        <v>86.1</v>
      </c>
      <c r="I1109" s="161">
        <v>9.6999999999999993</v>
      </c>
      <c r="J1109" s="161">
        <v>4.2</v>
      </c>
      <c r="K1109" s="160">
        <v>0.22000000000000003</v>
      </c>
    </row>
    <row r="1110" spans="1:11" x14ac:dyDescent="0.3">
      <c r="A1110" s="156" t="s">
        <v>887</v>
      </c>
      <c r="B1110" s="157" t="s">
        <v>888</v>
      </c>
      <c r="C1110" s="157">
        <v>2024</v>
      </c>
      <c r="D1110" s="158">
        <v>-75.915557899999996</v>
      </c>
      <c r="E1110" s="158">
        <v>38.5988884</v>
      </c>
      <c r="F1110" s="159">
        <v>5.7</v>
      </c>
      <c r="G1110" s="160">
        <v>0.95</v>
      </c>
      <c r="H1110" s="161">
        <v>57.9</v>
      </c>
      <c r="I1110" s="161">
        <v>30.4</v>
      </c>
      <c r="J1110" s="161">
        <v>11.7</v>
      </c>
      <c r="K1110" s="160">
        <v>1.02</v>
      </c>
    </row>
    <row r="1111" spans="1:11" x14ac:dyDescent="0.3">
      <c r="A1111" s="156" t="s">
        <v>887</v>
      </c>
      <c r="B1111" s="157" t="s">
        <v>888</v>
      </c>
      <c r="C1111" s="157">
        <v>2024</v>
      </c>
      <c r="D1111" s="158">
        <v>-75.473333299999993</v>
      </c>
      <c r="E1111" s="158">
        <v>40.9488889</v>
      </c>
      <c r="F1111" s="159">
        <v>5</v>
      </c>
      <c r="G1111" s="160">
        <v>3</v>
      </c>
      <c r="H1111" s="161">
        <v>46.3</v>
      </c>
      <c r="I1111" s="161">
        <v>32.700000000000003</v>
      </c>
      <c r="J1111" s="161">
        <v>21</v>
      </c>
      <c r="K1111" s="160">
        <v>0.06</v>
      </c>
    </row>
    <row r="1112" spans="1:11" x14ac:dyDescent="0.3">
      <c r="A1112" s="156" t="s">
        <v>887</v>
      </c>
      <c r="B1112" s="157" t="s">
        <v>888</v>
      </c>
      <c r="C1112" s="157">
        <v>2024</v>
      </c>
      <c r="D1112" s="158">
        <v>-75.279167200000003</v>
      </c>
      <c r="E1112" s="158">
        <v>40.797500599999999</v>
      </c>
      <c r="F1112" s="159">
        <v>5.0999999999999996</v>
      </c>
      <c r="G1112" s="160">
        <v>6.9</v>
      </c>
      <c r="H1112" s="161">
        <v>46.05</v>
      </c>
      <c r="I1112" s="161">
        <v>32.35</v>
      </c>
      <c r="J1112" s="161">
        <v>21.6</v>
      </c>
      <c r="K1112" s="160">
        <v>0.05</v>
      </c>
    </row>
    <row r="1113" spans="1:11" x14ac:dyDescent="0.3">
      <c r="A1113" s="156" t="s">
        <v>887</v>
      </c>
      <c r="B1113" s="157" t="s">
        <v>888</v>
      </c>
      <c r="C1113" s="157">
        <v>2024</v>
      </c>
      <c r="D1113" s="158">
        <v>-75.14</v>
      </c>
      <c r="E1113" s="158">
        <v>40.269722199999997</v>
      </c>
      <c r="F1113" s="159">
        <v>5.2</v>
      </c>
      <c r="G1113" s="160">
        <v>5</v>
      </c>
      <c r="H1113" s="161">
        <v>6.3</v>
      </c>
      <c r="I1113" s="161">
        <v>78.400000000000006</v>
      </c>
      <c r="J1113" s="161">
        <v>15.3</v>
      </c>
      <c r="K1113" s="160">
        <v>0.08</v>
      </c>
    </row>
    <row r="1114" spans="1:11" x14ac:dyDescent="0.3">
      <c r="A1114" s="156" t="s">
        <v>887</v>
      </c>
      <c r="B1114" s="157" t="s">
        <v>888</v>
      </c>
      <c r="C1114" s="157">
        <v>2024</v>
      </c>
      <c r="D1114" s="158">
        <v>-74.911666699999998</v>
      </c>
      <c r="E1114" s="158">
        <v>40.207777800000002</v>
      </c>
      <c r="F1114" s="159">
        <v>6.3</v>
      </c>
      <c r="G1114" s="160">
        <v>5</v>
      </c>
      <c r="H1114" s="161">
        <v>11.6</v>
      </c>
      <c r="I1114" s="161">
        <v>73</v>
      </c>
      <c r="J1114" s="161">
        <v>15.4</v>
      </c>
      <c r="K1114" s="160">
        <v>1.3</v>
      </c>
    </row>
    <row r="1115" spans="1:11" x14ac:dyDescent="0.3">
      <c r="A1115" s="156" t="s">
        <v>887</v>
      </c>
      <c r="B1115" s="157" t="s">
        <v>888</v>
      </c>
      <c r="C1115" s="157">
        <v>2024</v>
      </c>
      <c r="D1115" s="158">
        <v>-74.829719499999996</v>
      </c>
      <c r="E1115" s="158">
        <v>39.944999699999997</v>
      </c>
      <c r="F1115" s="159">
        <v>6.3</v>
      </c>
      <c r="G1115" s="160">
        <v>1.8</v>
      </c>
      <c r="H1115" s="161">
        <v>70</v>
      </c>
      <c r="I1115" s="161">
        <v>20.5</v>
      </c>
      <c r="J1115" s="161">
        <v>9.5</v>
      </c>
      <c r="K1115" s="160">
        <v>0.28999999999999998</v>
      </c>
    </row>
    <row r="1116" spans="1:11" x14ac:dyDescent="0.3">
      <c r="A1116" s="156" t="s">
        <v>887</v>
      </c>
      <c r="B1116" s="157" t="s">
        <v>888</v>
      </c>
      <c r="C1116" s="157">
        <v>2024</v>
      </c>
      <c r="D1116" s="158">
        <v>-74.250556900000007</v>
      </c>
      <c r="E1116" s="158">
        <v>43.011112199999999</v>
      </c>
      <c r="F1116" s="159">
        <v>5.9</v>
      </c>
      <c r="G1116" s="160">
        <v>4</v>
      </c>
      <c r="H1116" s="161">
        <v>63.8</v>
      </c>
      <c r="I1116" s="161">
        <v>27.9</v>
      </c>
      <c r="J1116" s="161">
        <v>8.3000000000000007</v>
      </c>
      <c r="K1116" s="160">
        <v>0.32</v>
      </c>
    </row>
    <row r="1117" spans="1:11" x14ac:dyDescent="0.3">
      <c r="A1117" s="156" t="s">
        <v>887</v>
      </c>
      <c r="B1117" s="157" t="s">
        <v>888</v>
      </c>
      <c r="C1117" s="157">
        <v>2024</v>
      </c>
      <c r="D1117" s="158">
        <v>-73.419722222222205</v>
      </c>
      <c r="E1117" s="158">
        <v>-3.7880555555555602</v>
      </c>
      <c r="F1117" s="159">
        <v>4.5999999999999996</v>
      </c>
      <c r="G1117" s="160">
        <v>9.6999999999999993</v>
      </c>
      <c r="H1117" s="161">
        <v>19</v>
      </c>
      <c r="I1117" s="161">
        <v>32</v>
      </c>
      <c r="J1117" s="161">
        <v>49</v>
      </c>
      <c r="K1117" s="160">
        <v>0.4</v>
      </c>
    </row>
    <row r="1118" spans="1:11" x14ac:dyDescent="0.3">
      <c r="A1118" s="156" t="s">
        <v>887</v>
      </c>
      <c r="B1118" s="157" t="s">
        <v>888</v>
      </c>
      <c r="C1118" s="157">
        <v>2024</v>
      </c>
      <c r="D1118" s="158">
        <v>-72.639724700000002</v>
      </c>
      <c r="E1118" s="158">
        <v>43.163887000000003</v>
      </c>
      <c r="F1118" s="159">
        <v>5.4</v>
      </c>
      <c r="G1118" s="160">
        <v>0.95</v>
      </c>
      <c r="H1118" s="161">
        <v>68.7</v>
      </c>
      <c r="I1118" s="161">
        <v>28</v>
      </c>
      <c r="J1118" s="161">
        <v>3.3</v>
      </c>
      <c r="K1118" s="160">
        <v>1.1800000000000002</v>
      </c>
    </row>
    <row r="1119" spans="1:11" x14ac:dyDescent="0.3">
      <c r="A1119" s="156" t="s">
        <v>887</v>
      </c>
      <c r="B1119" s="157" t="s">
        <v>888</v>
      </c>
      <c r="C1119" s="157">
        <v>2024</v>
      </c>
      <c r="D1119" s="158">
        <v>-72.2</v>
      </c>
      <c r="E1119" s="158">
        <v>-8.6999999999999993</v>
      </c>
      <c r="F1119" s="159">
        <v>4.7</v>
      </c>
      <c r="G1119" s="160">
        <v>24</v>
      </c>
      <c r="H1119" s="161">
        <v>9</v>
      </c>
      <c r="I1119" s="161">
        <v>40.1</v>
      </c>
      <c r="J1119" s="161">
        <v>62.2</v>
      </c>
      <c r="K1119" s="160">
        <v>0.6</v>
      </c>
    </row>
    <row r="1120" spans="1:11" x14ac:dyDescent="0.3">
      <c r="A1120" s="156" t="s">
        <v>887</v>
      </c>
      <c r="B1120" s="157" t="s">
        <v>888</v>
      </c>
      <c r="C1120" s="157">
        <v>2024</v>
      </c>
      <c r="D1120" s="158">
        <v>-72.113891600000002</v>
      </c>
      <c r="E1120" s="158">
        <v>43.031944299999999</v>
      </c>
      <c r="F1120" s="159">
        <v>4.7</v>
      </c>
      <c r="G1120" s="160">
        <v>3.05</v>
      </c>
      <c r="H1120" s="161">
        <v>54.7</v>
      </c>
      <c r="I1120" s="161">
        <v>33.5</v>
      </c>
      <c r="J1120" s="161">
        <v>11.8</v>
      </c>
      <c r="K1120" s="160">
        <v>3</v>
      </c>
    </row>
    <row r="1121" spans="1:11" x14ac:dyDescent="0.3">
      <c r="A1121" s="156" t="s">
        <v>887</v>
      </c>
      <c r="B1121" s="157" t="s">
        <v>888</v>
      </c>
      <c r="C1121" s="157">
        <v>2024</v>
      </c>
      <c r="D1121" s="158">
        <v>-71.5</v>
      </c>
      <c r="E1121" s="158">
        <v>4.5</v>
      </c>
      <c r="F1121" s="159">
        <v>4.7</v>
      </c>
      <c r="G1121" s="160">
        <v>0.8</v>
      </c>
      <c r="H1121" s="161">
        <v>4</v>
      </c>
      <c r="I1121" s="161">
        <v>53</v>
      </c>
      <c r="J1121" s="161">
        <v>41</v>
      </c>
      <c r="K1121" s="160">
        <v>2.82</v>
      </c>
    </row>
    <row r="1122" spans="1:11" x14ac:dyDescent="0.3">
      <c r="A1122" s="156" t="s">
        <v>887</v>
      </c>
      <c r="B1122" s="157" t="s">
        <v>888</v>
      </c>
      <c r="C1122" s="157">
        <v>2024</v>
      </c>
      <c r="D1122" s="158">
        <v>-71.336112999999997</v>
      </c>
      <c r="E1122" s="158">
        <v>4.5738887999999998</v>
      </c>
      <c r="F1122" s="159">
        <v>5.0999999999999996</v>
      </c>
      <c r="G1122" s="160">
        <v>0.75</v>
      </c>
      <c r="H1122" s="161">
        <v>18</v>
      </c>
      <c r="I1122" s="161">
        <v>51</v>
      </c>
      <c r="J1122" s="161">
        <v>31</v>
      </c>
      <c r="K1122" s="160">
        <v>0.90999999999999992</v>
      </c>
    </row>
    <row r="1123" spans="1:11" x14ac:dyDescent="0.3">
      <c r="A1123" s="156" t="s">
        <v>887</v>
      </c>
      <c r="B1123" s="157" t="s">
        <v>888</v>
      </c>
      <c r="C1123" s="157">
        <v>2024</v>
      </c>
      <c r="D1123" s="158">
        <v>-71.243896500000005</v>
      </c>
      <c r="E1123" s="158">
        <v>44.496070899999999</v>
      </c>
      <c r="F1123" s="159">
        <v>5.3</v>
      </c>
      <c r="G1123" s="160">
        <v>0.85</v>
      </c>
      <c r="H1123" s="161">
        <v>85.5</v>
      </c>
      <c r="I1123" s="161">
        <v>13.2</v>
      </c>
      <c r="J1123" s="161">
        <v>1.3</v>
      </c>
      <c r="K1123" s="160">
        <v>2.0100000000000002</v>
      </c>
    </row>
    <row r="1124" spans="1:11" x14ac:dyDescent="0.3">
      <c r="A1124" s="156" t="s">
        <v>887</v>
      </c>
      <c r="B1124" s="157" t="s">
        <v>888</v>
      </c>
      <c r="C1124" s="157">
        <v>2024</v>
      </c>
      <c r="D1124" s="158">
        <v>-70.933333333333294</v>
      </c>
      <c r="E1124" s="158">
        <v>4.56666666666667</v>
      </c>
      <c r="F1124" s="159">
        <v>5</v>
      </c>
      <c r="G1124" s="160">
        <v>4.5</v>
      </c>
      <c r="H1124" s="161">
        <v>74</v>
      </c>
      <c r="I1124" s="161">
        <v>17</v>
      </c>
      <c r="J1124" s="161">
        <v>9</v>
      </c>
      <c r="K1124" s="160">
        <v>0.22000000000000003</v>
      </c>
    </row>
    <row r="1125" spans="1:11" x14ac:dyDescent="0.3">
      <c r="A1125" s="156" t="s">
        <v>887</v>
      </c>
      <c r="B1125" s="157" t="s">
        <v>888</v>
      </c>
      <c r="C1125" s="157">
        <v>2024</v>
      </c>
      <c r="D1125" s="158">
        <v>-70.656944300000006</v>
      </c>
      <c r="E1125" s="158">
        <v>43.213020299999997</v>
      </c>
      <c r="F1125" s="159">
        <v>4.9000000000000004</v>
      </c>
      <c r="G1125" s="160">
        <v>4.05</v>
      </c>
      <c r="H1125" s="161">
        <v>50.7</v>
      </c>
      <c r="I1125" s="161">
        <v>41.3</v>
      </c>
      <c r="J1125" s="161">
        <v>8</v>
      </c>
      <c r="K1125" s="160">
        <v>2.27</v>
      </c>
    </row>
    <row r="1126" spans="1:11" x14ac:dyDescent="0.3">
      <c r="A1126" s="156" t="s">
        <v>887</v>
      </c>
      <c r="B1126" s="157" t="s">
        <v>888</v>
      </c>
      <c r="C1126" s="157">
        <v>2024</v>
      </c>
      <c r="D1126" s="158">
        <v>-69.37</v>
      </c>
      <c r="E1126" s="158">
        <v>-12.67</v>
      </c>
      <c r="F1126" s="159">
        <v>4.2</v>
      </c>
      <c r="G1126" s="160">
        <v>4.4000000000000004</v>
      </c>
      <c r="H1126" s="161">
        <v>30</v>
      </c>
      <c r="I1126" s="161">
        <v>29</v>
      </c>
      <c r="J1126" s="161">
        <v>41</v>
      </c>
      <c r="K1126" s="160">
        <v>0.2</v>
      </c>
    </row>
    <row r="1127" spans="1:11" x14ac:dyDescent="0.3">
      <c r="A1127" s="156" t="s">
        <v>887</v>
      </c>
      <c r="B1127" s="157" t="s">
        <v>888</v>
      </c>
      <c r="C1127" s="157">
        <v>2024</v>
      </c>
      <c r="D1127" s="158">
        <v>-68.849999999999994</v>
      </c>
      <c r="E1127" s="158">
        <v>-4.7667000000000002</v>
      </c>
      <c r="F1127" s="159">
        <v>4.8</v>
      </c>
      <c r="G1127" s="160">
        <v>14.5</v>
      </c>
      <c r="H1127" s="161">
        <v>34</v>
      </c>
      <c r="I1127" s="161">
        <v>19</v>
      </c>
      <c r="J1127" s="161">
        <v>47</v>
      </c>
      <c r="K1127" s="160">
        <v>0.55000000000000004</v>
      </c>
    </row>
    <row r="1128" spans="1:11" x14ac:dyDescent="0.3">
      <c r="A1128" s="156" t="s">
        <v>887</v>
      </c>
      <c r="B1128" s="157" t="s">
        <v>888</v>
      </c>
      <c r="C1128" s="157">
        <v>2024</v>
      </c>
      <c r="D1128" s="158">
        <v>-68.3</v>
      </c>
      <c r="E1128" s="158">
        <v>-8.3333333333333304</v>
      </c>
      <c r="F1128" s="159">
        <v>3.8</v>
      </c>
      <c r="G1128" s="160">
        <v>12.9</v>
      </c>
      <c r="H1128" s="161">
        <v>37</v>
      </c>
      <c r="I1128" s="161">
        <v>20</v>
      </c>
      <c r="J1128" s="161">
        <v>43</v>
      </c>
      <c r="K1128" s="160">
        <v>0.59000000000000008</v>
      </c>
    </row>
    <row r="1129" spans="1:11" x14ac:dyDescent="0.3">
      <c r="A1129" s="156" t="s">
        <v>887</v>
      </c>
      <c r="B1129" s="157" t="s">
        <v>888</v>
      </c>
      <c r="C1129" s="157">
        <v>2024</v>
      </c>
      <c r="D1129" s="158">
        <v>-67.137496900000002</v>
      </c>
      <c r="E1129" s="158">
        <v>18.327499400000001</v>
      </c>
      <c r="F1129" s="159">
        <v>5.0999999999999996</v>
      </c>
      <c r="G1129" s="160">
        <v>5.6</v>
      </c>
      <c r="H1129" s="161">
        <v>3</v>
      </c>
      <c r="I1129" s="161">
        <v>31.6</v>
      </c>
      <c r="J1129" s="161">
        <v>65.400000000000006</v>
      </c>
      <c r="K1129" s="160">
        <v>0.13999999999999999</v>
      </c>
    </row>
    <row r="1130" spans="1:11" x14ac:dyDescent="0.3">
      <c r="A1130" s="156" t="s">
        <v>887</v>
      </c>
      <c r="B1130" s="157" t="s">
        <v>888</v>
      </c>
      <c r="C1130" s="157">
        <v>2024</v>
      </c>
      <c r="D1130" s="158">
        <v>-66.287223800000007</v>
      </c>
      <c r="E1130" s="158">
        <v>18.1355553</v>
      </c>
      <c r="F1130" s="159">
        <v>4.2</v>
      </c>
      <c r="G1130" s="160">
        <v>10</v>
      </c>
      <c r="H1130" s="161">
        <v>7.9</v>
      </c>
      <c r="I1130" s="161">
        <v>43</v>
      </c>
      <c r="J1130" s="161">
        <v>49.1</v>
      </c>
      <c r="K1130" s="160">
        <v>0.18</v>
      </c>
    </row>
    <row r="1131" spans="1:11" x14ac:dyDescent="0.3">
      <c r="A1131" s="156" t="s">
        <v>887</v>
      </c>
      <c r="B1131" s="157" t="s">
        <v>888</v>
      </c>
      <c r="C1131" s="157">
        <v>2024</v>
      </c>
      <c r="D1131" s="158">
        <v>-66.285797119140597</v>
      </c>
      <c r="E1131" s="158">
        <v>18.3171997070312</v>
      </c>
      <c r="F1131" s="159">
        <v>4.4000000000000004</v>
      </c>
      <c r="G1131" s="160">
        <v>9.0500000000000007</v>
      </c>
      <c r="H1131" s="161">
        <v>25</v>
      </c>
      <c r="I1131" s="161">
        <v>36</v>
      </c>
      <c r="J1131" s="161">
        <v>39</v>
      </c>
      <c r="K1131" s="160">
        <v>0.25</v>
      </c>
    </row>
    <row r="1132" spans="1:11" x14ac:dyDescent="0.3">
      <c r="A1132" s="156" t="s">
        <v>887</v>
      </c>
      <c r="B1132" s="157" t="s">
        <v>888</v>
      </c>
      <c r="C1132" s="157">
        <v>2024</v>
      </c>
      <c r="D1132" s="158">
        <v>-66.283889799999997</v>
      </c>
      <c r="E1132" s="158">
        <v>18.238611200000001</v>
      </c>
      <c r="F1132" s="159">
        <v>4.4000000000000004</v>
      </c>
      <c r="G1132" s="160">
        <v>1.9</v>
      </c>
      <c r="H1132" s="161">
        <v>10.8</v>
      </c>
      <c r="I1132" s="161">
        <v>50.2</v>
      </c>
      <c r="J1132" s="161">
        <v>39</v>
      </c>
      <c r="K1132" s="160">
        <v>0.13</v>
      </c>
    </row>
    <row r="1133" spans="1:11" x14ac:dyDescent="0.3">
      <c r="A1133" s="156" t="s">
        <v>887</v>
      </c>
      <c r="B1133" s="157" t="s">
        <v>888</v>
      </c>
      <c r="C1133" s="157">
        <v>2024</v>
      </c>
      <c r="D1133" s="158">
        <v>-66.283889799999997</v>
      </c>
      <c r="E1133" s="158">
        <v>18.239166300000001</v>
      </c>
      <c r="F1133" s="159">
        <v>5</v>
      </c>
      <c r="G1133" s="160">
        <v>2.9</v>
      </c>
      <c r="H1133" s="161">
        <v>1.9</v>
      </c>
      <c r="I1133" s="161">
        <v>14.9</v>
      </c>
      <c r="J1133" s="161">
        <v>83.2</v>
      </c>
      <c r="K1133" s="160">
        <v>0.5</v>
      </c>
    </row>
    <row r="1134" spans="1:11" x14ac:dyDescent="0.3">
      <c r="A1134" s="156" t="s">
        <v>887</v>
      </c>
      <c r="B1134" s="157" t="s">
        <v>888</v>
      </c>
      <c r="C1134" s="157">
        <v>2024</v>
      </c>
      <c r="D1134" s="158">
        <v>-65.815002399999997</v>
      </c>
      <c r="E1134" s="158">
        <v>18.324388500000001</v>
      </c>
      <c r="F1134" s="159">
        <v>4.8</v>
      </c>
      <c r="G1134" s="160">
        <v>11.1</v>
      </c>
      <c r="H1134" s="161">
        <v>11.6</v>
      </c>
      <c r="I1134" s="161">
        <v>29</v>
      </c>
      <c r="J1134" s="161">
        <v>59.4</v>
      </c>
      <c r="K1134" s="160">
        <v>6.51</v>
      </c>
    </row>
    <row r="1135" spans="1:11" x14ac:dyDescent="0.3">
      <c r="A1135" s="156" t="s">
        <v>887</v>
      </c>
      <c r="B1135" s="157" t="s">
        <v>888</v>
      </c>
      <c r="C1135" s="157">
        <v>2024</v>
      </c>
      <c r="D1135" s="158">
        <v>-65.799163800000002</v>
      </c>
      <c r="E1135" s="158">
        <v>18.1872215</v>
      </c>
      <c r="F1135" s="159">
        <v>4.2</v>
      </c>
      <c r="G1135" s="160">
        <v>4.9000000000000004</v>
      </c>
      <c r="H1135" s="161">
        <v>2.2999999999999998</v>
      </c>
      <c r="I1135" s="161">
        <v>52.8</v>
      </c>
      <c r="J1135" s="161">
        <v>45.1</v>
      </c>
      <c r="K1135" s="160">
        <v>0.33999999999999997</v>
      </c>
    </row>
    <row r="1136" spans="1:11" x14ac:dyDescent="0.3">
      <c r="A1136" s="156" t="s">
        <v>887</v>
      </c>
      <c r="B1136" s="157" t="s">
        <v>888</v>
      </c>
      <c r="C1136" s="157">
        <v>2024</v>
      </c>
      <c r="D1136" s="158">
        <v>-65.7333</v>
      </c>
      <c r="E1136" s="158">
        <v>-8.9</v>
      </c>
      <c r="F1136" s="159">
        <v>4.5</v>
      </c>
      <c r="G1136" s="160">
        <v>1.8</v>
      </c>
      <c r="H1136" s="161">
        <v>51</v>
      </c>
      <c r="I1136" s="161">
        <v>29</v>
      </c>
      <c r="J1136" s="161">
        <v>20</v>
      </c>
      <c r="K1136" s="160">
        <v>0.26</v>
      </c>
    </row>
    <row r="1137" spans="1:11" x14ac:dyDescent="0.3">
      <c r="A1137" s="156" t="s">
        <v>887</v>
      </c>
      <c r="B1137" s="157" t="s">
        <v>888</v>
      </c>
      <c r="C1137" s="157">
        <v>2024</v>
      </c>
      <c r="D1137" s="158">
        <v>-63.816699999999997</v>
      </c>
      <c r="E1137" s="158">
        <v>-9.6</v>
      </c>
      <c r="F1137" s="159">
        <v>5.5</v>
      </c>
      <c r="G1137" s="160">
        <v>2.5</v>
      </c>
      <c r="H1137" s="161">
        <v>22</v>
      </c>
      <c r="I1137" s="161">
        <v>25</v>
      </c>
      <c r="J1137" s="161">
        <v>53</v>
      </c>
      <c r="K1137" s="160">
        <v>0.22000000000000003</v>
      </c>
    </row>
    <row r="1138" spans="1:11" x14ac:dyDescent="0.3">
      <c r="A1138" s="156" t="s">
        <v>887</v>
      </c>
      <c r="B1138" s="157" t="s">
        <v>888</v>
      </c>
      <c r="C1138" s="157">
        <v>2024</v>
      </c>
      <c r="D1138" s="158">
        <v>-63.333300000000001</v>
      </c>
      <c r="E1138" s="158">
        <v>-10.050000000000001</v>
      </c>
      <c r="F1138" s="159">
        <v>4.4000000000000004</v>
      </c>
      <c r="G1138" s="160">
        <v>2.6</v>
      </c>
      <c r="H1138" s="161">
        <v>88</v>
      </c>
      <c r="I1138" s="161">
        <v>8</v>
      </c>
      <c r="J1138" s="161">
        <v>4</v>
      </c>
      <c r="K1138" s="160">
        <v>1.01</v>
      </c>
    </row>
    <row r="1139" spans="1:11" x14ac:dyDescent="0.3">
      <c r="A1139" s="156" t="s">
        <v>887</v>
      </c>
      <c r="B1139" s="157" t="s">
        <v>888</v>
      </c>
      <c r="C1139" s="157">
        <v>2024</v>
      </c>
      <c r="D1139" s="158">
        <v>-62.1666666666667</v>
      </c>
      <c r="E1139" s="158">
        <v>-9.1333333333333293</v>
      </c>
      <c r="F1139" s="159">
        <v>5.3</v>
      </c>
      <c r="G1139" s="160">
        <v>1.05</v>
      </c>
      <c r="H1139" s="161">
        <v>47</v>
      </c>
      <c r="I1139" s="161">
        <v>16</v>
      </c>
      <c r="J1139" s="161">
        <v>37.1</v>
      </c>
      <c r="K1139" s="160">
        <v>0.26500000000000001</v>
      </c>
    </row>
    <row r="1140" spans="1:11" x14ac:dyDescent="0.3">
      <c r="A1140" s="156" t="s">
        <v>887</v>
      </c>
      <c r="B1140" s="157" t="s">
        <v>888</v>
      </c>
      <c r="C1140" s="157">
        <v>2024</v>
      </c>
      <c r="D1140" s="158">
        <v>-60.65</v>
      </c>
      <c r="E1140" s="158">
        <v>-7.95</v>
      </c>
      <c r="F1140" s="159">
        <v>4.5999999999999996</v>
      </c>
      <c r="G1140" s="160">
        <v>2.9</v>
      </c>
      <c r="H1140" s="161">
        <v>76</v>
      </c>
      <c r="I1140" s="161">
        <v>5</v>
      </c>
      <c r="J1140" s="161">
        <v>19</v>
      </c>
      <c r="K1140" s="160">
        <v>0.8</v>
      </c>
    </row>
    <row r="1141" spans="1:11" x14ac:dyDescent="0.3">
      <c r="A1141" s="156" t="s">
        <v>887</v>
      </c>
      <c r="B1141" s="157" t="s">
        <v>888</v>
      </c>
      <c r="C1141" s="157">
        <v>2024</v>
      </c>
      <c r="D1141" s="158">
        <v>-59.7333</v>
      </c>
      <c r="E1141" s="158">
        <v>-11.216699999999999</v>
      </c>
      <c r="F1141" s="159">
        <v>4</v>
      </c>
      <c r="G1141" s="160">
        <v>2.8</v>
      </c>
      <c r="H1141" s="161">
        <v>39.1</v>
      </c>
      <c r="I1141" s="161">
        <v>23.9</v>
      </c>
      <c r="J1141" s="161">
        <v>33.6</v>
      </c>
      <c r="K1141" s="160">
        <v>0.2</v>
      </c>
    </row>
    <row r="1142" spans="1:11" x14ac:dyDescent="0.3">
      <c r="A1142" s="156" t="s">
        <v>887</v>
      </c>
      <c r="B1142" s="157" t="s">
        <v>888</v>
      </c>
      <c r="C1142" s="157">
        <v>2024</v>
      </c>
      <c r="D1142" s="158">
        <v>-57.05</v>
      </c>
      <c r="E1142" s="158">
        <v>-9.4832999999999998</v>
      </c>
      <c r="F1142" s="159">
        <v>4.0999999999999996</v>
      </c>
      <c r="G1142" s="160">
        <v>2.6</v>
      </c>
      <c r="H1142" s="161">
        <v>11.3</v>
      </c>
      <c r="I1142" s="161">
        <v>17.600000000000001</v>
      </c>
      <c r="J1142" s="161">
        <v>70.8</v>
      </c>
      <c r="K1142" s="160">
        <v>0.9</v>
      </c>
    </row>
    <row r="1143" spans="1:11" x14ac:dyDescent="0.3">
      <c r="A1143" s="156" t="s">
        <v>887</v>
      </c>
      <c r="B1143" s="157" t="s">
        <v>888</v>
      </c>
      <c r="C1143" s="157">
        <v>2024</v>
      </c>
      <c r="D1143" s="158">
        <v>-56.7</v>
      </c>
      <c r="E1143" s="158">
        <v>-6.1</v>
      </c>
      <c r="F1143" s="159">
        <v>4.4000000000000004</v>
      </c>
      <c r="G1143" s="160">
        <v>3.9</v>
      </c>
      <c r="H1143" s="161">
        <v>49</v>
      </c>
      <c r="I1143" s="161">
        <v>22</v>
      </c>
      <c r="J1143" s="161">
        <v>29</v>
      </c>
      <c r="K1143" s="160">
        <v>0.4</v>
      </c>
    </row>
    <row r="1144" spans="1:11" x14ac:dyDescent="0.3">
      <c r="A1144" s="156" t="s">
        <v>887</v>
      </c>
      <c r="B1144" s="157" t="s">
        <v>888</v>
      </c>
      <c r="C1144" s="157">
        <v>2024</v>
      </c>
      <c r="D1144" s="158">
        <v>-55.2</v>
      </c>
      <c r="E1144" s="158">
        <v>-30.866700000000002</v>
      </c>
      <c r="F1144" s="159">
        <v>4.9000000000000004</v>
      </c>
      <c r="G1144" s="160">
        <v>12.6</v>
      </c>
      <c r="H1144" s="161">
        <v>81</v>
      </c>
      <c r="I1144" s="161">
        <v>11</v>
      </c>
      <c r="J1144" s="161">
        <v>8</v>
      </c>
      <c r="K1144" s="160">
        <v>0.80999999999999994</v>
      </c>
    </row>
    <row r="1145" spans="1:11" x14ac:dyDescent="0.3">
      <c r="A1145" s="156" t="s">
        <v>887</v>
      </c>
      <c r="B1145" s="157" t="s">
        <v>888</v>
      </c>
      <c r="C1145" s="157">
        <v>2024</v>
      </c>
      <c r="D1145" s="158">
        <v>-54.316699999999997</v>
      </c>
      <c r="E1145" s="158">
        <v>-0.9667</v>
      </c>
      <c r="F1145" s="159">
        <v>5.0999999999999996</v>
      </c>
      <c r="G1145" s="160">
        <v>6.9</v>
      </c>
      <c r="H1145" s="161">
        <v>46.9</v>
      </c>
      <c r="I1145" s="161">
        <v>10.3</v>
      </c>
      <c r="J1145" s="161">
        <v>42.8</v>
      </c>
      <c r="K1145" s="160">
        <v>0.21000000000000002</v>
      </c>
    </row>
    <row r="1146" spans="1:11" x14ac:dyDescent="0.3">
      <c r="A1146" s="156" t="s">
        <v>887</v>
      </c>
      <c r="B1146" s="157" t="s">
        <v>888</v>
      </c>
      <c r="C1146" s="157">
        <v>2024</v>
      </c>
      <c r="D1146" s="158">
        <v>-54.15</v>
      </c>
      <c r="E1146" s="158">
        <v>-6.65</v>
      </c>
      <c r="F1146" s="159">
        <v>5.5</v>
      </c>
      <c r="G1146" s="160">
        <v>9</v>
      </c>
      <c r="H1146" s="161">
        <v>66</v>
      </c>
      <c r="I1146" s="161">
        <v>23</v>
      </c>
      <c r="J1146" s="161">
        <v>11</v>
      </c>
      <c r="K1146" s="160">
        <v>1.59</v>
      </c>
    </row>
    <row r="1147" spans="1:11" x14ac:dyDescent="0.3">
      <c r="A1147" s="156" t="s">
        <v>887</v>
      </c>
      <c r="B1147" s="157" t="s">
        <v>888</v>
      </c>
      <c r="C1147" s="157">
        <v>2024</v>
      </c>
      <c r="D1147" s="158">
        <v>-51.133299999999998</v>
      </c>
      <c r="E1147" s="158">
        <v>-29.133299999999998</v>
      </c>
      <c r="F1147" s="159">
        <v>4.5999999999999996</v>
      </c>
      <c r="G1147" s="160">
        <v>19</v>
      </c>
      <c r="H1147" s="161">
        <v>7</v>
      </c>
      <c r="I1147" s="161">
        <v>24</v>
      </c>
      <c r="J1147" s="161">
        <v>69</v>
      </c>
      <c r="K1147" s="160">
        <v>1.61</v>
      </c>
    </row>
    <row r="1148" spans="1:11" x14ac:dyDescent="0.3">
      <c r="A1148" s="156" t="s">
        <v>887</v>
      </c>
      <c r="B1148" s="157" t="s">
        <v>888</v>
      </c>
      <c r="C1148" s="157">
        <v>2024</v>
      </c>
      <c r="D1148" s="158">
        <v>-48.083300000000001</v>
      </c>
      <c r="E1148" s="158">
        <v>-5.65</v>
      </c>
      <c r="F1148" s="159">
        <v>5.8</v>
      </c>
      <c r="G1148" s="160">
        <v>23.5</v>
      </c>
      <c r="H1148" s="161">
        <v>2</v>
      </c>
      <c r="I1148" s="161">
        <v>31</v>
      </c>
      <c r="J1148" s="161">
        <v>67</v>
      </c>
      <c r="K1148" s="160">
        <v>0.53</v>
      </c>
    </row>
    <row r="1149" spans="1:11" x14ac:dyDescent="0.3">
      <c r="A1149" s="156" t="s">
        <v>887</v>
      </c>
      <c r="B1149" s="157" t="s">
        <v>888</v>
      </c>
      <c r="C1149" s="157">
        <v>2024</v>
      </c>
      <c r="D1149" s="158">
        <v>-47.716667200000003</v>
      </c>
      <c r="E1149" s="158">
        <v>-15.5972223</v>
      </c>
      <c r="F1149" s="159">
        <v>4.5999999999999996</v>
      </c>
      <c r="G1149" s="160">
        <v>1.9</v>
      </c>
      <c r="H1149" s="161">
        <v>36.9</v>
      </c>
      <c r="I1149" s="161">
        <v>19.2</v>
      </c>
      <c r="J1149" s="161">
        <v>43.9</v>
      </c>
      <c r="K1149" s="160">
        <v>1.3699999999999999</v>
      </c>
    </row>
    <row r="1150" spans="1:11" x14ac:dyDescent="0.3">
      <c r="A1150" s="156" t="s">
        <v>887</v>
      </c>
      <c r="B1150" s="157" t="s">
        <v>888</v>
      </c>
      <c r="C1150" s="157">
        <v>2024</v>
      </c>
      <c r="D1150" s="158">
        <v>-47.5833321</v>
      </c>
      <c r="E1150" s="158">
        <v>-22.566667599999999</v>
      </c>
      <c r="F1150" s="159">
        <v>5.3</v>
      </c>
      <c r="G1150" s="160">
        <v>21.5</v>
      </c>
      <c r="H1150" s="161">
        <v>15</v>
      </c>
      <c r="I1150" s="161">
        <v>23</v>
      </c>
      <c r="J1150" s="161">
        <v>62</v>
      </c>
      <c r="K1150" s="160">
        <v>0.25</v>
      </c>
    </row>
    <row r="1151" spans="1:11" x14ac:dyDescent="0.3">
      <c r="A1151" s="156" t="s">
        <v>887</v>
      </c>
      <c r="B1151" s="157" t="s">
        <v>888</v>
      </c>
      <c r="C1151" s="157">
        <v>2024</v>
      </c>
      <c r="D1151" s="158">
        <v>-43.666699999999999</v>
      </c>
      <c r="E1151" s="158">
        <v>-5.7</v>
      </c>
      <c r="F1151" s="159">
        <v>4.7</v>
      </c>
      <c r="G1151" s="160">
        <v>1.4</v>
      </c>
      <c r="H1151" s="161">
        <v>68</v>
      </c>
      <c r="I1151" s="161">
        <v>13</v>
      </c>
      <c r="J1151" s="161">
        <v>19</v>
      </c>
      <c r="K1151" s="160">
        <v>0.18</v>
      </c>
    </row>
    <row r="1152" spans="1:11" x14ac:dyDescent="0.3">
      <c r="A1152" s="156" t="s">
        <v>887</v>
      </c>
      <c r="B1152" s="157" t="s">
        <v>888</v>
      </c>
      <c r="C1152" s="157">
        <v>2024</v>
      </c>
      <c r="D1152" s="158">
        <v>-41.916699999999999</v>
      </c>
      <c r="E1152" s="158">
        <v>-3.7</v>
      </c>
      <c r="F1152" s="159">
        <v>4.9000000000000004</v>
      </c>
      <c r="G1152" s="160">
        <v>8.6999999999999993</v>
      </c>
      <c r="H1152" s="161">
        <v>68</v>
      </c>
      <c r="I1152" s="161">
        <v>12</v>
      </c>
      <c r="J1152" s="161">
        <v>20</v>
      </c>
      <c r="K1152" s="160">
        <v>0.33999999999999997</v>
      </c>
    </row>
    <row r="1153" spans="1:11" x14ac:dyDescent="0.3">
      <c r="A1153" s="156" t="s">
        <v>887</v>
      </c>
      <c r="B1153" s="157" t="s">
        <v>888</v>
      </c>
      <c r="C1153" s="157">
        <v>2024</v>
      </c>
      <c r="D1153" s="158">
        <v>-5.9141668999999997</v>
      </c>
      <c r="E1153" s="158">
        <v>13.519444500000001</v>
      </c>
      <c r="F1153" s="159">
        <v>5.4</v>
      </c>
      <c r="G1153" s="160">
        <v>3</v>
      </c>
      <c r="H1153" s="161">
        <v>75</v>
      </c>
      <c r="I1153" s="161">
        <v>8.8000000000000007</v>
      </c>
      <c r="J1153" s="161">
        <v>11.3</v>
      </c>
      <c r="K1153" s="160">
        <v>0.12</v>
      </c>
    </row>
    <row r="1154" spans="1:11" x14ac:dyDescent="0.3">
      <c r="A1154" s="156" t="s">
        <v>887</v>
      </c>
      <c r="B1154" s="157" t="s">
        <v>888</v>
      </c>
      <c r="C1154" s="157">
        <v>2024</v>
      </c>
      <c r="D1154" s="158">
        <v>-1.6666700000000001</v>
      </c>
      <c r="E1154" s="158">
        <v>6.6666699999999999</v>
      </c>
      <c r="F1154" s="159">
        <v>4.8</v>
      </c>
      <c r="G1154" s="160">
        <v>3.1</v>
      </c>
      <c r="H1154" s="161">
        <v>43</v>
      </c>
      <c r="I1154" s="161">
        <v>7</v>
      </c>
      <c r="J1154" s="161">
        <v>50</v>
      </c>
      <c r="K1154" s="160">
        <v>0.24</v>
      </c>
    </row>
    <row r="1155" spans="1:11" x14ac:dyDescent="0.3">
      <c r="A1155" s="156" t="s">
        <v>887</v>
      </c>
      <c r="B1155" s="157" t="s">
        <v>888</v>
      </c>
      <c r="C1155" s="157">
        <v>2024</v>
      </c>
      <c r="D1155" s="158">
        <v>0.31138900000000003</v>
      </c>
      <c r="E1155" s="158">
        <v>11.970833000000001</v>
      </c>
      <c r="F1155" s="159">
        <v>5</v>
      </c>
      <c r="G1155" s="160">
        <v>4</v>
      </c>
      <c r="H1155" s="161">
        <v>79</v>
      </c>
      <c r="I1155" s="161">
        <v>16</v>
      </c>
      <c r="J1155" s="161">
        <v>30</v>
      </c>
      <c r="K1155" s="160">
        <v>0.21000000000000002</v>
      </c>
    </row>
    <row r="1156" spans="1:11" x14ac:dyDescent="0.3">
      <c r="A1156" s="156" t="s">
        <v>887</v>
      </c>
      <c r="B1156" s="157" t="s">
        <v>888</v>
      </c>
      <c r="C1156" s="157">
        <v>2024</v>
      </c>
      <c r="D1156" s="158">
        <v>2.0833330000000001</v>
      </c>
      <c r="E1156" s="158">
        <v>13.533333000000001</v>
      </c>
      <c r="F1156" s="159">
        <v>5.4</v>
      </c>
      <c r="G1156" s="160">
        <v>0.6</v>
      </c>
      <c r="H1156" s="161">
        <v>84.7</v>
      </c>
      <c r="I1156" s="161">
        <v>6.1</v>
      </c>
      <c r="J1156" s="161">
        <v>9.1999999999999993</v>
      </c>
      <c r="K1156" s="160">
        <v>0.08</v>
      </c>
    </row>
    <row r="1157" spans="1:11" x14ac:dyDescent="0.3">
      <c r="A1157" s="156" t="s">
        <v>887</v>
      </c>
      <c r="B1157" s="157" t="s">
        <v>888</v>
      </c>
      <c r="C1157" s="157">
        <v>2024</v>
      </c>
      <c r="D1157" s="158">
        <v>2.4045999999999998</v>
      </c>
      <c r="E1157" s="158">
        <v>7.1538000000000004</v>
      </c>
      <c r="F1157" s="159">
        <v>7.2</v>
      </c>
      <c r="G1157" s="160">
        <v>5.9</v>
      </c>
      <c r="H1157" s="161">
        <v>71</v>
      </c>
      <c r="I1157" s="161">
        <v>17</v>
      </c>
      <c r="J1157" s="161">
        <v>12</v>
      </c>
      <c r="K1157" s="160">
        <v>0.4</v>
      </c>
    </row>
    <row r="1158" spans="1:11" x14ac:dyDescent="0.3">
      <c r="A1158" s="156" t="s">
        <v>887</v>
      </c>
      <c r="B1158" s="157" t="s">
        <v>888</v>
      </c>
      <c r="C1158" s="157">
        <v>2024</v>
      </c>
      <c r="D1158" s="158">
        <v>3.5</v>
      </c>
      <c r="E1158" s="158">
        <v>6.6166669999999996</v>
      </c>
      <c r="F1158" s="159">
        <v>5.4</v>
      </c>
      <c r="G1158" s="160">
        <v>2.4</v>
      </c>
      <c r="H1158" s="161">
        <v>76</v>
      </c>
      <c r="I1158" s="161">
        <v>7</v>
      </c>
      <c r="J1158" s="161">
        <v>17</v>
      </c>
      <c r="K1158" s="160">
        <v>1.0699999999999998</v>
      </c>
    </row>
    <row r="1159" spans="1:11" x14ac:dyDescent="0.3">
      <c r="A1159" s="156" t="s">
        <v>887</v>
      </c>
      <c r="B1159" s="157" t="s">
        <v>888</v>
      </c>
      <c r="C1159" s="157">
        <v>2024</v>
      </c>
      <c r="D1159" s="158">
        <v>3.5</v>
      </c>
      <c r="E1159" s="158">
        <v>8.5833329999999997</v>
      </c>
      <c r="F1159" s="159">
        <v>5.2</v>
      </c>
      <c r="G1159" s="160">
        <v>3.5</v>
      </c>
      <c r="H1159" s="161">
        <v>58</v>
      </c>
      <c r="I1159" s="161">
        <v>11.2</v>
      </c>
      <c r="J1159" s="161">
        <v>31.1</v>
      </c>
      <c r="K1159" s="160">
        <v>0.19</v>
      </c>
    </row>
    <row r="1160" spans="1:11" x14ac:dyDescent="0.3">
      <c r="A1160" s="156" t="s">
        <v>887</v>
      </c>
      <c r="B1160" s="157" t="s">
        <v>888</v>
      </c>
      <c r="C1160" s="157">
        <v>2024</v>
      </c>
      <c r="D1160" s="158">
        <v>3.6833330000000002</v>
      </c>
      <c r="E1160" s="158">
        <v>6.8333329999999997</v>
      </c>
      <c r="F1160" s="159">
        <v>4.5999999999999996</v>
      </c>
      <c r="G1160" s="160">
        <v>1.4</v>
      </c>
      <c r="H1160" s="161">
        <v>52</v>
      </c>
      <c r="I1160" s="161">
        <v>19</v>
      </c>
      <c r="J1160" s="161">
        <v>29</v>
      </c>
      <c r="K1160" s="160">
        <v>0.15</v>
      </c>
    </row>
    <row r="1161" spans="1:11" x14ac:dyDescent="0.3">
      <c r="A1161" s="156" t="s">
        <v>887</v>
      </c>
      <c r="B1161" s="157" t="s">
        <v>888</v>
      </c>
      <c r="C1161" s="157">
        <v>2024</v>
      </c>
      <c r="D1161" s="158">
        <v>4.8666669999999996</v>
      </c>
      <c r="E1161" s="158">
        <v>6.7833329999999998</v>
      </c>
      <c r="F1161" s="159">
        <v>5.2</v>
      </c>
      <c r="G1161" s="160">
        <v>1.7</v>
      </c>
      <c r="H1161" s="161">
        <v>27</v>
      </c>
      <c r="I1161" s="161">
        <v>36</v>
      </c>
      <c r="J1161" s="161">
        <v>37</v>
      </c>
      <c r="K1161" s="160">
        <v>0.18</v>
      </c>
    </row>
    <row r="1162" spans="1:11" x14ac:dyDescent="0.3">
      <c r="A1162" s="156" t="s">
        <v>887</v>
      </c>
      <c r="B1162" s="157" t="s">
        <v>888</v>
      </c>
      <c r="C1162" s="157">
        <v>2024</v>
      </c>
      <c r="D1162" s="158">
        <v>7.6666666666666696</v>
      </c>
      <c r="E1162" s="158">
        <v>50</v>
      </c>
      <c r="F1162" s="159">
        <v>4.0999999999999996</v>
      </c>
      <c r="G1162" s="160">
        <v>12.5</v>
      </c>
      <c r="H1162" s="161">
        <v>17</v>
      </c>
      <c r="I1162" s="161">
        <v>56</v>
      </c>
      <c r="J1162" s="161">
        <v>27</v>
      </c>
      <c r="K1162" s="160">
        <v>1</v>
      </c>
    </row>
    <row r="1163" spans="1:11" x14ac:dyDescent="0.3">
      <c r="A1163" s="156" t="s">
        <v>887</v>
      </c>
      <c r="B1163" s="157" t="s">
        <v>888</v>
      </c>
      <c r="C1163" s="157">
        <v>2024</v>
      </c>
      <c r="D1163" s="158">
        <v>10.1000003814697</v>
      </c>
      <c r="E1163" s="158">
        <v>54.333328247070298</v>
      </c>
      <c r="F1163" s="159">
        <v>4.8</v>
      </c>
      <c r="G1163" s="160">
        <v>1.1000000000000001</v>
      </c>
      <c r="H1163" s="161">
        <v>52.1</v>
      </c>
      <c r="I1163" s="161">
        <v>31.9</v>
      </c>
      <c r="J1163" s="161">
        <v>16</v>
      </c>
      <c r="K1163" s="160">
        <v>0.09</v>
      </c>
    </row>
    <row r="1164" spans="1:11" x14ac:dyDescent="0.3">
      <c r="A1164" s="156" t="s">
        <v>887</v>
      </c>
      <c r="B1164" s="157" t="s">
        <v>888</v>
      </c>
      <c r="C1164" s="157">
        <v>2024</v>
      </c>
      <c r="D1164" s="158">
        <v>11.333333</v>
      </c>
      <c r="E1164" s="158">
        <v>4.1666670000000003</v>
      </c>
      <c r="F1164" s="159">
        <v>7.9</v>
      </c>
      <c r="G1164" s="160">
        <v>21.5</v>
      </c>
      <c r="H1164" s="161">
        <v>77</v>
      </c>
      <c r="I1164" s="161">
        <v>22</v>
      </c>
      <c r="J1164" s="161">
        <v>25</v>
      </c>
      <c r="K1164" s="160">
        <v>0.25</v>
      </c>
    </row>
    <row r="1165" spans="1:11" x14ac:dyDescent="0.3">
      <c r="A1165" s="156" t="s">
        <v>887</v>
      </c>
      <c r="B1165" s="157" t="s">
        <v>888</v>
      </c>
      <c r="C1165" s="157">
        <v>2024</v>
      </c>
      <c r="D1165" s="158">
        <v>13.5313888888889</v>
      </c>
      <c r="E1165" s="158">
        <v>41.488611111111098</v>
      </c>
      <c r="F1165" s="159">
        <v>5.4</v>
      </c>
      <c r="G1165" s="160">
        <v>10.1</v>
      </c>
      <c r="H1165" s="161">
        <v>10</v>
      </c>
      <c r="I1165" s="161">
        <v>37</v>
      </c>
      <c r="J1165" s="161">
        <v>53</v>
      </c>
      <c r="K1165" s="160">
        <v>0.11000000000000001</v>
      </c>
    </row>
    <row r="1166" spans="1:11" x14ac:dyDescent="0.3">
      <c r="A1166" s="156" t="s">
        <v>887</v>
      </c>
      <c r="B1166" s="157" t="s">
        <v>888</v>
      </c>
      <c r="C1166" s="157">
        <v>2024</v>
      </c>
      <c r="D1166" s="158">
        <v>14.116667</v>
      </c>
      <c r="E1166" s="158">
        <v>-1.516667</v>
      </c>
      <c r="F1166" s="159">
        <v>5.4</v>
      </c>
      <c r="G1166" s="160">
        <v>0.1</v>
      </c>
      <c r="H1166" s="161">
        <v>98</v>
      </c>
      <c r="I1166" s="161">
        <v>1</v>
      </c>
      <c r="J1166" s="161">
        <v>1</v>
      </c>
      <c r="K1166" s="160">
        <v>0.47000000000000003</v>
      </c>
    </row>
    <row r="1167" spans="1:11" x14ac:dyDescent="0.3">
      <c r="A1167" s="156" t="s">
        <v>887</v>
      </c>
      <c r="B1167" s="157" t="s">
        <v>888</v>
      </c>
      <c r="C1167" s="157">
        <v>2024</v>
      </c>
      <c r="D1167" s="158">
        <v>14.608333</v>
      </c>
      <c r="E1167" s="158">
        <v>-5.579167</v>
      </c>
      <c r="F1167" s="159">
        <v>4.9000000000000004</v>
      </c>
      <c r="G1167" s="160">
        <v>2.1</v>
      </c>
      <c r="H1167" s="161">
        <v>3</v>
      </c>
      <c r="I1167" s="161">
        <v>36</v>
      </c>
      <c r="J1167" s="161">
        <v>61</v>
      </c>
      <c r="K1167" s="160">
        <v>7.55</v>
      </c>
    </row>
    <row r="1168" spans="1:11" x14ac:dyDescent="0.3">
      <c r="A1168" s="156" t="s">
        <v>887</v>
      </c>
      <c r="B1168" s="157" t="s">
        <v>888</v>
      </c>
      <c r="C1168" s="157">
        <v>2024</v>
      </c>
      <c r="D1168" s="158">
        <v>14.899999599999999</v>
      </c>
      <c r="E1168" s="158">
        <v>-5.4499997999999996</v>
      </c>
      <c r="F1168" s="159">
        <v>4.5</v>
      </c>
      <c r="G1168" s="160">
        <v>4.75</v>
      </c>
      <c r="H1168" s="161">
        <v>51.8</v>
      </c>
      <c r="I1168" s="161">
        <v>32.299999999999997</v>
      </c>
      <c r="J1168" s="161">
        <v>15.9</v>
      </c>
      <c r="K1168" s="160">
        <v>0.57000000000000006</v>
      </c>
    </row>
    <row r="1169" spans="1:11" x14ac:dyDescent="0.3">
      <c r="A1169" s="156" t="s">
        <v>887</v>
      </c>
      <c r="B1169" s="157" t="s">
        <v>888</v>
      </c>
      <c r="C1169" s="157">
        <v>2024</v>
      </c>
      <c r="D1169" s="158">
        <v>15.14</v>
      </c>
      <c r="E1169" s="158">
        <v>-4.62</v>
      </c>
      <c r="F1169" s="159">
        <v>5.4</v>
      </c>
      <c r="G1169" s="160">
        <v>4.3</v>
      </c>
      <c r="H1169" s="161">
        <v>63</v>
      </c>
      <c r="I1169" s="161">
        <v>10</v>
      </c>
      <c r="J1169" s="161">
        <v>27</v>
      </c>
      <c r="K1169" s="160">
        <v>0.43</v>
      </c>
    </row>
    <row r="1170" spans="1:11" x14ac:dyDescent="0.3">
      <c r="A1170" s="156" t="s">
        <v>887</v>
      </c>
      <c r="B1170" s="157" t="s">
        <v>888</v>
      </c>
      <c r="C1170" s="157">
        <v>2024</v>
      </c>
      <c r="D1170" s="158">
        <v>18.62</v>
      </c>
      <c r="E1170" s="158">
        <v>49.569722222222197</v>
      </c>
      <c r="F1170" s="159">
        <v>3.5</v>
      </c>
      <c r="G1170" s="160">
        <v>4</v>
      </c>
      <c r="H1170" s="161">
        <v>65</v>
      </c>
      <c r="I1170" s="161">
        <v>30</v>
      </c>
      <c r="J1170" s="161">
        <v>5</v>
      </c>
      <c r="K1170" s="160">
        <v>1.5</v>
      </c>
    </row>
    <row r="1171" spans="1:11" x14ac:dyDescent="0.3">
      <c r="A1171" s="156" t="s">
        <v>887</v>
      </c>
      <c r="B1171" s="157" t="s">
        <v>888</v>
      </c>
      <c r="C1171" s="157">
        <v>2024</v>
      </c>
      <c r="D1171" s="158">
        <v>22.734999999999999</v>
      </c>
      <c r="E1171" s="158">
        <v>-18.754166999999999</v>
      </c>
      <c r="F1171" s="159">
        <v>7.7</v>
      </c>
      <c r="G1171" s="160">
        <v>9.1</v>
      </c>
      <c r="H1171" s="161">
        <v>86</v>
      </c>
      <c r="I1171" s="161">
        <v>4</v>
      </c>
      <c r="J1171" s="161">
        <v>10</v>
      </c>
      <c r="K1171" s="160">
        <v>0.6</v>
      </c>
    </row>
    <row r="1172" spans="1:11" x14ac:dyDescent="0.3">
      <c r="A1172" s="156" t="s">
        <v>887</v>
      </c>
      <c r="B1172" s="157" t="s">
        <v>888</v>
      </c>
      <c r="C1172" s="157">
        <v>2024</v>
      </c>
      <c r="D1172" s="158">
        <v>22.957778000000001</v>
      </c>
      <c r="E1172" s="158">
        <v>-20.343889000000001</v>
      </c>
      <c r="F1172" s="159">
        <v>8.6</v>
      </c>
      <c r="G1172" s="160">
        <v>16.899999999999999</v>
      </c>
      <c r="H1172" s="161">
        <v>56</v>
      </c>
      <c r="I1172" s="161">
        <v>27</v>
      </c>
      <c r="J1172" s="161">
        <v>17</v>
      </c>
      <c r="K1172" s="160">
        <v>0.2</v>
      </c>
    </row>
    <row r="1173" spans="1:11" x14ac:dyDescent="0.3">
      <c r="A1173" s="156" t="s">
        <v>887</v>
      </c>
      <c r="B1173" s="157" t="s">
        <v>888</v>
      </c>
      <c r="C1173" s="157">
        <v>2024</v>
      </c>
      <c r="D1173" s="158">
        <v>23.293388400000001</v>
      </c>
      <c r="E1173" s="158">
        <v>42.589611099999999</v>
      </c>
      <c r="F1173" s="159">
        <v>5.0999999999999996</v>
      </c>
      <c r="G1173" s="160">
        <v>2</v>
      </c>
      <c r="H1173" s="161">
        <v>54</v>
      </c>
      <c r="I1173" s="161">
        <v>27</v>
      </c>
      <c r="J1173" s="161">
        <v>19</v>
      </c>
      <c r="K1173" s="160">
        <v>9.84</v>
      </c>
    </row>
    <row r="1174" spans="1:11" x14ac:dyDescent="0.3">
      <c r="A1174" s="156" t="s">
        <v>887</v>
      </c>
      <c r="B1174" s="157" t="s">
        <v>888</v>
      </c>
      <c r="C1174" s="157">
        <v>2024</v>
      </c>
      <c r="D1174" s="158">
        <v>24.083888999999999</v>
      </c>
      <c r="E1174" s="158">
        <v>-18.870833000000001</v>
      </c>
      <c r="F1174" s="159">
        <v>7.6</v>
      </c>
      <c r="G1174" s="160">
        <v>63.3</v>
      </c>
      <c r="H1174" s="161">
        <v>11</v>
      </c>
      <c r="I1174" s="161">
        <v>24</v>
      </c>
      <c r="J1174" s="161">
        <v>65</v>
      </c>
      <c r="K1174" s="160">
        <v>0.9</v>
      </c>
    </row>
    <row r="1175" spans="1:11" x14ac:dyDescent="0.3">
      <c r="A1175" s="156" t="s">
        <v>887</v>
      </c>
      <c r="B1175" s="157" t="s">
        <v>888</v>
      </c>
      <c r="C1175" s="157">
        <v>2024</v>
      </c>
      <c r="D1175" s="158">
        <v>25.55</v>
      </c>
      <c r="E1175" s="158">
        <v>-18.447500000000002</v>
      </c>
      <c r="F1175" s="159">
        <v>7.4</v>
      </c>
      <c r="G1175" s="160">
        <v>54.3</v>
      </c>
      <c r="H1175" s="161">
        <v>49</v>
      </c>
      <c r="I1175" s="161">
        <v>5</v>
      </c>
      <c r="J1175" s="161">
        <v>46</v>
      </c>
      <c r="K1175" s="160">
        <v>0.2</v>
      </c>
    </row>
    <row r="1176" spans="1:11" x14ac:dyDescent="0.3">
      <c r="A1176" s="156" t="s">
        <v>887</v>
      </c>
      <c r="B1176" s="157" t="s">
        <v>888</v>
      </c>
      <c r="C1176" s="157">
        <v>2024</v>
      </c>
      <c r="D1176" s="158">
        <v>25.628056000000001</v>
      </c>
      <c r="E1176" s="158">
        <v>-18.619721999999999</v>
      </c>
      <c r="F1176" s="159">
        <v>5.0999999999999996</v>
      </c>
      <c r="G1176" s="160">
        <v>2</v>
      </c>
      <c r="H1176" s="161">
        <v>82.8</v>
      </c>
      <c r="I1176" s="161">
        <v>2.8</v>
      </c>
      <c r="J1176" s="161">
        <v>14.4</v>
      </c>
      <c r="K1176" s="160">
        <v>0.1</v>
      </c>
    </row>
    <row r="1177" spans="1:11" x14ac:dyDescent="0.3">
      <c r="A1177" s="156" t="s">
        <v>887</v>
      </c>
      <c r="B1177" s="157" t="s">
        <v>888</v>
      </c>
      <c r="C1177" s="157">
        <v>2024</v>
      </c>
      <c r="D1177" s="158">
        <v>25.719166999999999</v>
      </c>
      <c r="E1177" s="158">
        <v>-18.797222000000001</v>
      </c>
      <c r="F1177" s="159">
        <v>6.5</v>
      </c>
      <c r="G1177" s="160">
        <v>23.9</v>
      </c>
      <c r="H1177" s="161">
        <v>40</v>
      </c>
      <c r="I1177" s="161">
        <v>12</v>
      </c>
      <c r="J1177" s="161">
        <v>48</v>
      </c>
      <c r="K1177" s="160">
        <v>0.3</v>
      </c>
    </row>
    <row r="1178" spans="1:11" x14ac:dyDescent="0.3">
      <c r="A1178" s="156" t="s">
        <v>887</v>
      </c>
      <c r="B1178" s="157" t="s">
        <v>888</v>
      </c>
      <c r="C1178" s="157">
        <v>2024</v>
      </c>
      <c r="D1178" s="158">
        <v>26.893611</v>
      </c>
      <c r="E1178" s="158">
        <v>-23.080556000000001</v>
      </c>
      <c r="F1178" s="159">
        <v>7</v>
      </c>
      <c r="G1178" s="160">
        <v>2.95</v>
      </c>
      <c r="H1178" s="161">
        <v>81</v>
      </c>
      <c r="I1178" s="161">
        <v>9</v>
      </c>
      <c r="J1178" s="161">
        <v>10</v>
      </c>
      <c r="K1178" s="160">
        <v>0.32</v>
      </c>
    </row>
    <row r="1179" spans="1:11" x14ac:dyDescent="0.3">
      <c r="A1179" s="156" t="s">
        <v>887</v>
      </c>
      <c r="B1179" s="157" t="s">
        <v>888</v>
      </c>
      <c r="C1179" s="157">
        <v>2024</v>
      </c>
      <c r="D1179" s="158">
        <v>28.431110400000001</v>
      </c>
      <c r="E1179" s="158">
        <v>-20.0333328</v>
      </c>
      <c r="F1179" s="159">
        <v>4.7</v>
      </c>
      <c r="G1179" s="160">
        <v>1.05</v>
      </c>
      <c r="H1179" s="161">
        <v>90</v>
      </c>
      <c r="I1179" s="161">
        <v>3</v>
      </c>
      <c r="J1179" s="161">
        <v>7</v>
      </c>
      <c r="K1179" s="160">
        <v>0.2</v>
      </c>
    </row>
    <row r="1180" spans="1:11" x14ac:dyDescent="0.3">
      <c r="A1180" s="156" t="s">
        <v>887</v>
      </c>
      <c r="B1180" s="157" t="s">
        <v>888</v>
      </c>
      <c r="C1180" s="157">
        <v>2024</v>
      </c>
      <c r="D1180" s="158">
        <v>29.334444000000001</v>
      </c>
      <c r="E1180" s="158">
        <v>-2.0733332999999998</v>
      </c>
      <c r="F1180" s="159">
        <v>4.5999999999999996</v>
      </c>
      <c r="G1180" s="160">
        <v>3.95</v>
      </c>
      <c r="H1180" s="161">
        <v>44.4</v>
      </c>
      <c r="I1180" s="161">
        <v>15.5</v>
      </c>
      <c r="J1180" s="161">
        <v>40.1</v>
      </c>
      <c r="K1180" s="160">
        <v>0.35</v>
      </c>
    </row>
    <row r="1181" spans="1:11" x14ac:dyDescent="0.3">
      <c r="A1181" s="156" t="s">
        <v>887</v>
      </c>
      <c r="B1181" s="157" t="s">
        <v>888</v>
      </c>
      <c r="C1181" s="157">
        <v>2024</v>
      </c>
      <c r="D1181" s="158">
        <v>29.51</v>
      </c>
      <c r="E1181" s="158">
        <v>-1.65</v>
      </c>
      <c r="F1181" s="159">
        <v>5</v>
      </c>
      <c r="G1181" s="160">
        <v>11.2</v>
      </c>
      <c r="H1181" s="161">
        <v>27</v>
      </c>
      <c r="I1181" s="161">
        <v>28</v>
      </c>
      <c r="J1181" s="161">
        <v>49</v>
      </c>
      <c r="K1181" s="160">
        <v>1.56</v>
      </c>
    </row>
    <row r="1182" spans="1:11" x14ac:dyDescent="0.3">
      <c r="A1182" s="156" t="s">
        <v>887</v>
      </c>
      <c r="B1182" s="157" t="s">
        <v>888</v>
      </c>
      <c r="C1182" s="157">
        <v>2024</v>
      </c>
      <c r="D1182" s="158">
        <v>29.62</v>
      </c>
      <c r="E1182" s="158">
        <v>-1.75</v>
      </c>
      <c r="F1182" s="159">
        <v>4.8</v>
      </c>
      <c r="G1182" s="160">
        <v>5.2</v>
      </c>
      <c r="H1182" s="161">
        <v>20</v>
      </c>
      <c r="I1182" s="161">
        <v>13</v>
      </c>
      <c r="J1182" s="161">
        <v>67</v>
      </c>
      <c r="K1182" s="160">
        <v>0.27</v>
      </c>
    </row>
    <row r="1183" spans="1:11" x14ac:dyDescent="0.3">
      <c r="A1183" s="156" t="s">
        <v>887</v>
      </c>
      <c r="B1183" s="157" t="s">
        <v>888</v>
      </c>
      <c r="C1183" s="157">
        <v>2024</v>
      </c>
      <c r="D1183" s="158">
        <v>29.74</v>
      </c>
      <c r="E1183" s="158">
        <v>-1.75</v>
      </c>
      <c r="F1183" s="159">
        <v>4.9000000000000004</v>
      </c>
      <c r="G1183" s="160">
        <v>2.7</v>
      </c>
      <c r="H1183" s="161">
        <v>52</v>
      </c>
      <c r="I1183" s="161">
        <v>34</v>
      </c>
      <c r="J1183" s="161">
        <v>14</v>
      </c>
      <c r="K1183" s="160">
        <v>1.34</v>
      </c>
    </row>
    <row r="1184" spans="1:11" x14ac:dyDescent="0.3">
      <c r="A1184" s="156" t="s">
        <v>887</v>
      </c>
      <c r="B1184" s="157" t="s">
        <v>888</v>
      </c>
      <c r="C1184" s="157">
        <v>2024</v>
      </c>
      <c r="D1184" s="158">
        <v>29.774999600000001</v>
      </c>
      <c r="E1184" s="158">
        <v>-2.3655555000000001</v>
      </c>
      <c r="F1184" s="159">
        <v>5</v>
      </c>
      <c r="G1184" s="160">
        <v>8.5500000000000007</v>
      </c>
      <c r="H1184" s="161">
        <v>58.2</v>
      </c>
      <c r="I1184" s="161">
        <v>10.199999999999999</v>
      </c>
      <c r="J1184" s="161">
        <v>31.6</v>
      </c>
      <c r="K1184" s="160">
        <v>1.65</v>
      </c>
    </row>
    <row r="1185" spans="1:11" x14ac:dyDescent="0.3">
      <c r="A1185" s="156" t="s">
        <v>887</v>
      </c>
      <c r="B1185" s="157" t="s">
        <v>888</v>
      </c>
      <c r="C1185" s="157">
        <v>2024</v>
      </c>
      <c r="D1185" s="158">
        <v>29.88</v>
      </c>
      <c r="E1185" s="158">
        <v>-2.13</v>
      </c>
      <c r="F1185" s="159">
        <v>4.8</v>
      </c>
      <c r="G1185" s="160">
        <v>6.1</v>
      </c>
      <c r="H1185" s="161">
        <v>40</v>
      </c>
      <c r="I1185" s="161">
        <v>45</v>
      </c>
      <c r="J1185" s="161">
        <v>15</v>
      </c>
      <c r="K1185" s="160">
        <v>0.52</v>
      </c>
    </row>
    <row r="1186" spans="1:11" x14ac:dyDescent="0.3">
      <c r="A1186" s="156" t="s">
        <v>887</v>
      </c>
      <c r="B1186" s="157" t="s">
        <v>888</v>
      </c>
      <c r="C1186" s="157">
        <v>2024</v>
      </c>
      <c r="D1186" s="158">
        <v>30.1</v>
      </c>
      <c r="E1186" s="158">
        <v>-23.716670000000001</v>
      </c>
      <c r="F1186" s="159">
        <v>5</v>
      </c>
      <c r="G1186" s="160">
        <v>1.3</v>
      </c>
      <c r="H1186" s="161">
        <v>35</v>
      </c>
      <c r="I1186" s="161">
        <v>13</v>
      </c>
      <c r="J1186" s="161">
        <v>53</v>
      </c>
      <c r="K1186" s="160">
        <v>0.4</v>
      </c>
    </row>
    <row r="1187" spans="1:11" x14ac:dyDescent="0.3">
      <c r="A1187" s="156" t="s">
        <v>887</v>
      </c>
      <c r="B1187" s="157" t="s">
        <v>888</v>
      </c>
      <c r="C1187" s="157">
        <v>2024</v>
      </c>
      <c r="D1187" s="158">
        <v>31.133333</v>
      </c>
      <c r="E1187" s="158">
        <v>-10.166667</v>
      </c>
      <c r="F1187" s="159">
        <v>5.0999999999999996</v>
      </c>
      <c r="G1187" s="160">
        <v>1.5</v>
      </c>
      <c r="H1187" s="161">
        <v>48</v>
      </c>
      <c r="I1187" s="161">
        <v>7</v>
      </c>
      <c r="J1187" s="161">
        <v>45</v>
      </c>
      <c r="K1187" s="160">
        <v>0.13</v>
      </c>
    </row>
    <row r="1188" spans="1:11" x14ac:dyDescent="0.3">
      <c r="A1188" s="156" t="s">
        <v>887</v>
      </c>
      <c r="B1188" s="157" t="s">
        <v>888</v>
      </c>
      <c r="C1188" s="157">
        <v>2024</v>
      </c>
      <c r="D1188" s="158">
        <v>32.096668200000003</v>
      </c>
      <c r="E1188" s="158">
        <v>-18.541665999999999</v>
      </c>
      <c r="F1188" s="159">
        <v>5.3</v>
      </c>
      <c r="G1188" s="160">
        <v>0.6</v>
      </c>
      <c r="H1188" s="161">
        <v>79</v>
      </c>
      <c r="I1188" s="161">
        <v>7</v>
      </c>
      <c r="J1188" s="161">
        <v>17.100000000000001</v>
      </c>
      <c r="K1188" s="160">
        <v>0.15</v>
      </c>
    </row>
    <row r="1189" spans="1:11" x14ac:dyDescent="0.3">
      <c r="A1189" s="156" t="s">
        <v>887</v>
      </c>
      <c r="B1189" s="157" t="s">
        <v>888</v>
      </c>
      <c r="C1189" s="157">
        <v>2024</v>
      </c>
      <c r="D1189" s="158">
        <v>32.231945000000003</v>
      </c>
      <c r="E1189" s="158">
        <v>-17.279722199999998</v>
      </c>
      <c r="F1189" s="159">
        <v>5.9</v>
      </c>
      <c r="G1189" s="160">
        <v>1.3</v>
      </c>
      <c r="H1189" s="161">
        <v>92.2</v>
      </c>
      <c r="I1189" s="161">
        <v>7.1</v>
      </c>
      <c r="J1189" s="161">
        <v>0.7</v>
      </c>
      <c r="K1189" s="160">
        <v>0.03</v>
      </c>
    </row>
    <row r="1190" spans="1:11" x14ac:dyDescent="0.3">
      <c r="A1190" s="156" t="s">
        <v>887</v>
      </c>
      <c r="B1190" s="157" t="s">
        <v>888</v>
      </c>
      <c r="C1190" s="157">
        <v>2024</v>
      </c>
      <c r="D1190" s="158">
        <v>32.447000000000003</v>
      </c>
      <c r="E1190" s="158">
        <v>-26.088999999999999</v>
      </c>
      <c r="F1190" s="159">
        <v>6.5</v>
      </c>
      <c r="G1190" s="160">
        <v>5.9</v>
      </c>
      <c r="H1190" s="161">
        <v>86</v>
      </c>
      <c r="I1190" s="161">
        <v>1</v>
      </c>
      <c r="J1190" s="161">
        <v>13</v>
      </c>
      <c r="K1190" s="160">
        <v>0.05</v>
      </c>
    </row>
    <row r="1191" spans="1:11" x14ac:dyDescent="0.3">
      <c r="A1191" s="156" t="s">
        <v>887</v>
      </c>
      <c r="B1191" s="157" t="s">
        <v>888</v>
      </c>
      <c r="C1191" s="157">
        <v>2024</v>
      </c>
      <c r="D1191" s="158">
        <v>32.613334700000003</v>
      </c>
      <c r="E1191" s="158">
        <v>0.46944439999999998</v>
      </c>
      <c r="F1191" s="159">
        <v>4.7</v>
      </c>
      <c r="G1191" s="160">
        <v>5.4</v>
      </c>
      <c r="H1191" s="161">
        <v>50.5</v>
      </c>
      <c r="I1191" s="161">
        <v>17.100000000000001</v>
      </c>
      <c r="J1191" s="161">
        <v>32.4</v>
      </c>
      <c r="K1191" s="160">
        <v>1.86</v>
      </c>
    </row>
    <row r="1192" spans="1:11" x14ac:dyDescent="0.3">
      <c r="A1192" s="156" t="s">
        <v>887</v>
      </c>
      <c r="B1192" s="157" t="s">
        <v>888</v>
      </c>
      <c r="C1192" s="157">
        <v>2024</v>
      </c>
      <c r="D1192" s="158">
        <v>33.4</v>
      </c>
      <c r="E1192" s="158">
        <v>-9.8699999999999992</v>
      </c>
      <c r="F1192" s="159">
        <v>6.4</v>
      </c>
      <c r="G1192" s="160">
        <v>6.1</v>
      </c>
      <c r="H1192" s="161">
        <v>86</v>
      </c>
      <c r="I1192" s="161">
        <v>4</v>
      </c>
      <c r="J1192" s="161">
        <v>10</v>
      </c>
      <c r="K1192" s="160">
        <v>0.41</v>
      </c>
    </row>
    <row r="1193" spans="1:11" x14ac:dyDescent="0.3">
      <c r="A1193" s="156" t="s">
        <v>887</v>
      </c>
      <c r="B1193" s="157" t="s">
        <v>888</v>
      </c>
      <c r="C1193" s="157">
        <v>2024</v>
      </c>
      <c r="D1193" s="158">
        <v>34.358333000000002</v>
      </c>
      <c r="E1193" s="158">
        <v>-14.5</v>
      </c>
      <c r="F1193" s="159">
        <v>5.4</v>
      </c>
      <c r="G1193" s="160">
        <v>4.5999999999999996</v>
      </c>
      <c r="H1193" s="161">
        <v>26.8</v>
      </c>
      <c r="I1193" s="161">
        <v>24.7</v>
      </c>
      <c r="J1193" s="161">
        <v>48.5</v>
      </c>
      <c r="K1193" s="160">
        <v>0.08</v>
      </c>
    </row>
    <row r="1194" spans="1:11" x14ac:dyDescent="0.3">
      <c r="A1194" s="156" t="s">
        <v>887</v>
      </c>
      <c r="B1194" s="157" t="s">
        <v>888</v>
      </c>
      <c r="C1194" s="157">
        <v>2024</v>
      </c>
      <c r="D1194" s="158">
        <v>37.461111000000002</v>
      </c>
      <c r="E1194" s="158">
        <v>-0.17222199999999999</v>
      </c>
      <c r="F1194" s="159">
        <v>5.7</v>
      </c>
      <c r="G1194" s="160">
        <v>0.5</v>
      </c>
      <c r="H1194" s="161">
        <v>28.9</v>
      </c>
      <c r="I1194" s="161">
        <v>66.2</v>
      </c>
      <c r="J1194" s="161">
        <v>4.8</v>
      </c>
      <c r="K1194" s="160">
        <v>0.55999999999999994</v>
      </c>
    </row>
    <row r="1195" spans="1:11" x14ac:dyDescent="0.3">
      <c r="A1195" s="156" t="s">
        <v>887</v>
      </c>
      <c r="B1195" s="157" t="s">
        <v>888</v>
      </c>
      <c r="C1195" s="157">
        <v>2024</v>
      </c>
      <c r="D1195" s="158">
        <v>37.576388999999999</v>
      </c>
      <c r="E1195" s="158">
        <v>-0.38055600000000001</v>
      </c>
      <c r="F1195" s="159">
        <v>4.8</v>
      </c>
      <c r="G1195" s="160">
        <v>4.4000000000000004</v>
      </c>
      <c r="H1195" s="161">
        <v>12</v>
      </c>
      <c r="I1195" s="161">
        <v>17</v>
      </c>
      <c r="J1195" s="161">
        <v>71</v>
      </c>
      <c r="K1195" s="160">
        <v>0.84000000000000008</v>
      </c>
    </row>
    <row r="1196" spans="1:11" x14ac:dyDescent="0.3">
      <c r="A1196" s="156" t="s">
        <v>887</v>
      </c>
      <c r="B1196" s="157" t="s">
        <v>888</v>
      </c>
      <c r="C1196" s="157">
        <v>2024</v>
      </c>
      <c r="D1196" s="158">
        <v>38.116667</v>
      </c>
      <c r="E1196" s="158">
        <v>-1.631111</v>
      </c>
      <c r="F1196" s="159">
        <v>5.9</v>
      </c>
      <c r="G1196" s="160">
        <v>6</v>
      </c>
      <c r="H1196" s="161">
        <v>44</v>
      </c>
      <c r="I1196" s="161">
        <v>7</v>
      </c>
      <c r="J1196" s="161">
        <v>49</v>
      </c>
      <c r="K1196" s="160">
        <v>0.43</v>
      </c>
    </row>
    <row r="1197" spans="1:11" x14ac:dyDescent="0.3">
      <c r="A1197" s="156" t="s">
        <v>887</v>
      </c>
      <c r="B1197" s="157" t="s">
        <v>888</v>
      </c>
      <c r="C1197" s="157">
        <v>2024</v>
      </c>
      <c r="D1197" s="158">
        <v>83.466598510742202</v>
      </c>
      <c r="E1197" s="158">
        <v>27.700000762939499</v>
      </c>
      <c r="F1197" s="159">
        <v>5.3</v>
      </c>
      <c r="G1197" s="160">
        <v>2.35</v>
      </c>
      <c r="H1197" s="161">
        <v>54</v>
      </c>
      <c r="I1197" s="161">
        <v>55</v>
      </c>
      <c r="J1197" s="161">
        <v>14</v>
      </c>
      <c r="K1197" s="160">
        <v>0.13</v>
      </c>
    </row>
    <row r="1198" spans="1:11" x14ac:dyDescent="0.3">
      <c r="A1198" s="156" t="s">
        <v>887</v>
      </c>
      <c r="B1198" s="157" t="s">
        <v>888</v>
      </c>
      <c r="C1198" s="157">
        <v>2024</v>
      </c>
      <c r="D1198" s="158">
        <v>90.200277777799997</v>
      </c>
      <c r="E1198" s="158">
        <v>27.393333333299999</v>
      </c>
      <c r="F1198" s="159">
        <v>5.4</v>
      </c>
      <c r="G1198" s="160">
        <v>5.2</v>
      </c>
      <c r="H1198" s="161">
        <v>8</v>
      </c>
      <c r="I1198" s="161">
        <v>51.5</v>
      </c>
      <c r="J1198" s="161">
        <v>40.5</v>
      </c>
      <c r="K1198" s="160">
        <v>0.55333332999999996</v>
      </c>
    </row>
    <row r="1199" spans="1:11" x14ac:dyDescent="0.3">
      <c r="A1199" s="156" t="s">
        <v>887</v>
      </c>
      <c r="B1199" s="157" t="s">
        <v>888</v>
      </c>
      <c r="C1199" s="157">
        <v>2024</v>
      </c>
      <c r="D1199" s="158">
        <v>101.01805880000001</v>
      </c>
      <c r="E1199" s="158">
        <v>-1.0861111000000001</v>
      </c>
      <c r="F1199" s="159">
        <v>5</v>
      </c>
      <c r="G1199" s="160">
        <v>1.1499999999999999</v>
      </c>
      <c r="H1199" s="161">
        <v>29</v>
      </c>
      <c r="I1199" s="161">
        <v>13</v>
      </c>
      <c r="J1199" s="161">
        <v>58</v>
      </c>
      <c r="K1199" s="160">
        <v>0.25</v>
      </c>
    </row>
    <row r="1200" spans="1:11" x14ac:dyDescent="0.3">
      <c r="A1200" s="156" t="s">
        <v>887</v>
      </c>
      <c r="B1200" s="157" t="s">
        <v>888</v>
      </c>
      <c r="C1200" s="157">
        <v>2024</v>
      </c>
      <c r="D1200" s="158">
        <v>101.2249985</v>
      </c>
      <c r="E1200" s="158">
        <v>-1.2305557</v>
      </c>
      <c r="F1200" s="159">
        <v>4.5</v>
      </c>
      <c r="G1200" s="160">
        <v>5.2</v>
      </c>
      <c r="H1200" s="161">
        <v>10.1</v>
      </c>
      <c r="I1200" s="161">
        <v>9</v>
      </c>
      <c r="J1200" s="161">
        <v>81</v>
      </c>
      <c r="K1200" s="160">
        <v>0.49000000000000005</v>
      </c>
    </row>
    <row r="1201" spans="1:11" x14ac:dyDescent="0.3">
      <c r="A1201" s="156" t="s">
        <v>887</v>
      </c>
      <c r="B1201" s="157" t="s">
        <v>888</v>
      </c>
      <c r="C1201" s="157">
        <v>2024</v>
      </c>
      <c r="D1201" s="158">
        <v>101.53722380000001</v>
      </c>
      <c r="E1201" s="158">
        <v>13.5041666</v>
      </c>
      <c r="F1201" s="159">
        <v>4.5999999999999996</v>
      </c>
      <c r="G1201" s="160">
        <v>2.15</v>
      </c>
      <c r="H1201" s="161">
        <v>31</v>
      </c>
      <c r="I1201" s="161">
        <v>17</v>
      </c>
      <c r="J1201" s="161">
        <v>52</v>
      </c>
      <c r="K1201" s="160">
        <v>0.53</v>
      </c>
    </row>
    <row r="1202" spans="1:11" x14ac:dyDescent="0.3">
      <c r="A1202" s="156" t="s">
        <v>887</v>
      </c>
      <c r="B1202" s="157" t="s">
        <v>888</v>
      </c>
      <c r="C1202" s="157">
        <v>2024</v>
      </c>
      <c r="D1202" s="158">
        <v>101.7638855</v>
      </c>
      <c r="E1202" s="158">
        <v>-0.91666669999999995</v>
      </c>
      <c r="F1202" s="159">
        <v>4.3</v>
      </c>
      <c r="G1202" s="160">
        <v>2.2000000000000002</v>
      </c>
      <c r="H1202" s="161">
        <v>4</v>
      </c>
      <c r="I1202" s="161">
        <v>5</v>
      </c>
      <c r="J1202" s="161">
        <v>91</v>
      </c>
      <c r="K1202" s="160">
        <v>0.89</v>
      </c>
    </row>
    <row r="1203" spans="1:11" x14ac:dyDescent="0.3">
      <c r="A1203" s="156" t="s">
        <v>887</v>
      </c>
      <c r="B1203" s="157" t="s">
        <v>888</v>
      </c>
      <c r="C1203" s="157">
        <v>2024</v>
      </c>
      <c r="D1203" s="158">
        <v>106.3527756</v>
      </c>
      <c r="E1203" s="158">
        <v>-6.5222220000000002</v>
      </c>
      <c r="F1203" s="159">
        <v>4.8</v>
      </c>
      <c r="G1203" s="160">
        <v>9.1</v>
      </c>
      <c r="H1203" s="161">
        <v>7</v>
      </c>
      <c r="I1203" s="161">
        <v>30</v>
      </c>
      <c r="J1203" s="161">
        <v>63</v>
      </c>
      <c r="K1203" s="160">
        <v>1.23</v>
      </c>
    </row>
    <row r="1204" spans="1:11" x14ac:dyDescent="0.3">
      <c r="A1204" s="156" t="s">
        <v>887</v>
      </c>
      <c r="B1204" s="157" t="s">
        <v>888</v>
      </c>
      <c r="C1204" s="157">
        <v>2024</v>
      </c>
      <c r="D1204" s="158">
        <v>113.597282409668</v>
      </c>
      <c r="E1204" s="158">
        <v>26.1155109405518</v>
      </c>
      <c r="F1204" s="159">
        <v>4.8</v>
      </c>
      <c r="G1204" s="160">
        <v>5.8</v>
      </c>
      <c r="H1204" s="161">
        <v>76</v>
      </c>
      <c r="I1204" s="161">
        <v>10</v>
      </c>
      <c r="J1204" s="161">
        <v>14</v>
      </c>
      <c r="K1204" s="160">
        <v>1.9300000000000002</v>
      </c>
    </row>
    <row r="1205" spans="1:11" x14ac:dyDescent="0.3">
      <c r="A1205" s="156" t="s">
        <v>887</v>
      </c>
      <c r="B1205" s="157" t="s">
        <v>888</v>
      </c>
      <c r="C1205" s="157">
        <v>2024</v>
      </c>
      <c r="D1205" s="158">
        <v>116.916666666667</v>
      </c>
      <c r="E1205" s="158">
        <v>28.216666666666701</v>
      </c>
      <c r="F1205" s="159">
        <v>4.8</v>
      </c>
      <c r="G1205" s="160">
        <v>9.9</v>
      </c>
      <c r="H1205" s="161">
        <v>63</v>
      </c>
      <c r="I1205" s="161">
        <v>14</v>
      </c>
      <c r="J1205" s="161">
        <v>23</v>
      </c>
      <c r="K1205" s="160">
        <v>0.02</v>
      </c>
    </row>
    <row r="1206" spans="1:11" x14ac:dyDescent="0.3">
      <c r="A1206" s="156" t="s">
        <v>887</v>
      </c>
      <c r="B1206" s="157" t="s">
        <v>888</v>
      </c>
      <c r="C1206" s="157">
        <v>2024</v>
      </c>
      <c r="D1206" s="158">
        <v>118.221964</v>
      </c>
      <c r="E1206" s="158">
        <v>-31.49708</v>
      </c>
      <c r="F1206" s="159">
        <v>9.1</v>
      </c>
      <c r="G1206" s="160">
        <v>26.4</v>
      </c>
      <c r="H1206" s="161">
        <v>22</v>
      </c>
      <c r="I1206" s="161">
        <v>9</v>
      </c>
      <c r="J1206" s="161">
        <v>50</v>
      </c>
      <c r="K1206" s="160">
        <v>8.3000000000000007</v>
      </c>
    </row>
    <row r="1207" spans="1:11" x14ac:dyDescent="0.3">
      <c r="A1207" s="156" t="s">
        <v>887</v>
      </c>
      <c r="B1207" s="157" t="s">
        <v>888</v>
      </c>
      <c r="C1207" s="157">
        <v>2024</v>
      </c>
      <c r="D1207" s="158">
        <v>120.8050003</v>
      </c>
      <c r="E1207" s="158">
        <v>23.509166700000002</v>
      </c>
      <c r="F1207" s="159">
        <v>4.3</v>
      </c>
      <c r="G1207" s="160">
        <v>8.1</v>
      </c>
      <c r="H1207" s="161">
        <v>45</v>
      </c>
      <c r="I1207" s="161">
        <v>31.5</v>
      </c>
      <c r="J1207" s="161">
        <v>23.5</v>
      </c>
      <c r="K1207" s="160">
        <v>0.55000000000000004</v>
      </c>
    </row>
    <row r="1208" spans="1:11" x14ac:dyDescent="0.3">
      <c r="A1208" s="156" t="s">
        <v>887</v>
      </c>
      <c r="B1208" s="157" t="s">
        <v>888</v>
      </c>
      <c r="C1208" s="157">
        <v>2024</v>
      </c>
      <c r="D1208" s="158">
        <v>122.8874969</v>
      </c>
      <c r="E1208" s="158">
        <v>11.0569448</v>
      </c>
      <c r="F1208" s="159">
        <v>4.9000000000000004</v>
      </c>
      <c r="G1208" s="160">
        <v>5.65</v>
      </c>
      <c r="H1208" s="161">
        <v>25</v>
      </c>
      <c r="I1208" s="161">
        <v>22</v>
      </c>
      <c r="J1208" s="161">
        <v>53</v>
      </c>
      <c r="K1208" s="160">
        <v>0.32</v>
      </c>
    </row>
    <row r="1209" spans="1:11" x14ac:dyDescent="0.3">
      <c r="A1209" s="156" t="s">
        <v>887</v>
      </c>
      <c r="B1209" s="157" t="s">
        <v>888</v>
      </c>
      <c r="C1209" s="157">
        <v>2024</v>
      </c>
      <c r="D1209" s="158">
        <v>130.80000000000001</v>
      </c>
      <c r="E1209" s="158">
        <v>33.6666666666667</v>
      </c>
      <c r="F1209" s="159">
        <v>5.7</v>
      </c>
      <c r="G1209" s="160">
        <v>17.350000000000001</v>
      </c>
      <c r="H1209" s="161">
        <v>7</v>
      </c>
      <c r="I1209" s="161">
        <v>51</v>
      </c>
      <c r="J1209" s="161">
        <v>42</v>
      </c>
      <c r="K1209" s="160">
        <v>2.85</v>
      </c>
    </row>
    <row r="1210" spans="1:11" x14ac:dyDescent="0.3">
      <c r="A1210" s="156" t="s">
        <v>887</v>
      </c>
      <c r="B1210" s="157" t="s">
        <v>888</v>
      </c>
      <c r="C1210" s="157">
        <v>2024</v>
      </c>
      <c r="D1210" s="158">
        <v>145.36666666666699</v>
      </c>
      <c r="E1210" s="158">
        <v>-6.0333333333333297</v>
      </c>
      <c r="F1210" s="159">
        <v>4.5</v>
      </c>
      <c r="G1210" s="160">
        <v>8.1</v>
      </c>
      <c r="H1210" s="161">
        <v>31.9</v>
      </c>
      <c r="I1210" s="161">
        <v>57.4</v>
      </c>
      <c r="J1210" s="161">
        <v>68</v>
      </c>
      <c r="K1210" s="160">
        <v>10.620000000000001</v>
      </c>
    </row>
    <row r="1211" spans="1:11" x14ac:dyDescent="0.3">
      <c r="A1211" s="156" t="s">
        <v>887</v>
      </c>
      <c r="B1211" s="157" t="s">
        <v>888</v>
      </c>
      <c r="C1211" s="157">
        <v>2024</v>
      </c>
      <c r="D1211" s="158">
        <v>-172.363333333333</v>
      </c>
      <c r="E1211" s="158">
        <v>-13.4583333333333</v>
      </c>
      <c r="F1211" s="159">
        <v>3.9</v>
      </c>
      <c r="G1211" s="160">
        <v>0.2</v>
      </c>
      <c r="H1211" s="161">
        <v>3</v>
      </c>
      <c r="I1211" s="161">
        <v>72.2</v>
      </c>
      <c r="J1211" s="161">
        <v>24.7</v>
      </c>
      <c r="K1211" s="160">
        <v>0.41</v>
      </c>
    </row>
    <row r="1212" spans="1:11" x14ac:dyDescent="0.3">
      <c r="A1212" s="156" t="s">
        <v>887</v>
      </c>
      <c r="B1212" s="157" t="s">
        <v>888</v>
      </c>
      <c r="C1212" s="157">
        <v>2024</v>
      </c>
      <c r="D1212" s="158">
        <v>-151.75340270000001</v>
      </c>
      <c r="E1212" s="158">
        <v>59.730854000000001</v>
      </c>
      <c r="F1212" s="159">
        <v>5.4</v>
      </c>
      <c r="G1212" s="160">
        <v>1.2</v>
      </c>
      <c r="H1212" s="161">
        <v>44</v>
      </c>
      <c r="I1212" s="161">
        <v>47.8</v>
      </c>
      <c r="J1212" s="161">
        <v>8.1999999999999993</v>
      </c>
      <c r="K1212" s="160">
        <v>5.21</v>
      </c>
    </row>
    <row r="1213" spans="1:11" x14ac:dyDescent="0.3">
      <c r="A1213" s="156" t="s">
        <v>887</v>
      </c>
      <c r="B1213" s="157" t="s">
        <v>888</v>
      </c>
      <c r="C1213" s="157">
        <v>2024</v>
      </c>
      <c r="D1213" s="158">
        <v>-151.68083189999899</v>
      </c>
      <c r="E1213" s="158">
        <v>59.461112999999997</v>
      </c>
      <c r="F1213" s="159">
        <v>4.0999999999999996</v>
      </c>
      <c r="G1213" s="160">
        <v>1.35</v>
      </c>
      <c r="H1213" s="161">
        <v>29.1</v>
      </c>
      <c r="I1213" s="161">
        <v>68.7</v>
      </c>
      <c r="J1213" s="161">
        <v>2.2000000000000002</v>
      </c>
      <c r="K1213" s="160">
        <v>5.37</v>
      </c>
    </row>
    <row r="1214" spans="1:11" x14ac:dyDescent="0.3">
      <c r="A1214" s="156" t="s">
        <v>887</v>
      </c>
      <c r="B1214" s="157" t="s">
        <v>888</v>
      </c>
      <c r="C1214" s="157">
        <v>2024</v>
      </c>
      <c r="D1214" s="158">
        <v>-151.057067899999</v>
      </c>
      <c r="E1214" s="158">
        <v>60.515884399999997</v>
      </c>
      <c r="F1214" s="159">
        <v>4.2</v>
      </c>
      <c r="G1214" s="160">
        <v>10</v>
      </c>
      <c r="H1214" s="161">
        <v>35.4</v>
      </c>
      <c r="I1214" s="161">
        <v>56</v>
      </c>
      <c r="J1214" s="161">
        <v>6</v>
      </c>
      <c r="K1214" s="160">
        <v>1.3800000000000001</v>
      </c>
    </row>
    <row r="1215" spans="1:11" x14ac:dyDescent="0.3">
      <c r="A1215" s="156" t="s">
        <v>887</v>
      </c>
      <c r="B1215" s="157" t="s">
        <v>888</v>
      </c>
      <c r="C1215" s="157">
        <v>2024</v>
      </c>
      <c r="D1215" s="158">
        <v>-133.58332820000001</v>
      </c>
      <c r="E1215" s="158">
        <v>56.008335099999996</v>
      </c>
      <c r="F1215" s="159">
        <v>3.8</v>
      </c>
      <c r="G1215" s="160">
        <v>23</v>
      </c>
      <c r="H1215" s="161">
        <v>73.3</v>
      </c>
      <c r="I1215" s="161">
        <v>14.7</v>
      </c>
      <c r="J1215" s="161">
        <v>12</v>
      </c>
      <c r="K1215" s="160">
        <v>42.510000000000005</v>
      </c>
    </row>
    <row r="1216" spans="1:11" x14ac:dyDescent="0.3">
      <c r="A1216" s="156" t="s">
        <v>887</v>
      </c>
      <c r="B1216" s="157" t="s">
        <v>888</v>
      </c>
      <c r="C1216" s="157">
        <v>2024</v>
      </c>
      <c r="D1216" s="158">
        <v>-132.64582820000001</v>
      </c>
      <c r="E1216" s="158">
        <v>55.487499200000002</v>
      </c>
      <c r="F1216" s="159">
        <v>4.9000000000000004</v>
      </c>
      <c r="G1216" s="160">
        <v>10.55</v>
      </c>
      <c r="H1216" s="161">
        <v>49.1</v>
      </c>
      <c r="I1216" s="161">
        <v>46.1</v>
      </c>
      <c r="J1216" s="161">
        <v>4.8</v>
      </c>
      <c r="K1216" s="160">
        <v>4.82</v>
      </c>
    </row>
    <row r="1217" spans="1:11" x14ac:dyDescent="0.3">
      <c r="A1217" s="156" t="s">
        <v>887</v>
      </c>
      <c r="B1217" s="157" t="s">
        <v>888</v>
      </c>
      <c r="C1217" s="157">
        <v>2024</v>
      </c>
      <c r="D1217" s="158">
        <v>-123.6933365</v>
      </c>
      <c r="E1217" s="158">
        <v>39.369445800000001</v>
      </c>
      <c r="F1217" s="159">
        <v>4.9000000000000004</v>
      </c>
      <c r="G1217" s="160">
        <v>8.1999999999999993</v>
      </c>
      <c r="H1217" s="161">
        <v>34.700000000000003</v>
      </c>
      <c r="I1217" s="161">
        <v>26.8</v>
      </c>
      <c r="J1217" s="161">
        <v>38.5</v>
      </c>
      <c r="K1217" s="160">
        <v>0.47000000000000003</v>
      </c>
    </row>
    <row r="1218" spans="1:11" x14ac:dyDescent="0.3">
      <c r="A1218" s="156" t="s">
        <v>887</v>
      </c>
      <c r="B1218" s="157" t="s">
        <v>888</v>
      </c>
      <c r="C1218" s="157">
        <v>2024</v>
      </c>
      <c r="D1218" s="158">
        <v>-123.5809708</v>
      </c>
      <c r="E1218" s="158">
        <v>46.947570800000001</v>
      </c>
      <c r="F1218" s="159">
        <v>5.4</v>
      </c>
      <c r="G1218" s="160">
        <v>5.2</v>
      </c>
      <c r="H1218" s="161">
        <v>27.2</v>
      </c>
      <c r="I1218" s="161">
        <v>69.099999999999994</v>
      </c>
      <c r="J1218" s="161">
        <v>3.7</v>
      </c>
      <c r="K1218" s="160">
        <v>3.18</v>
      </c>
    </row>
    <row r="1219" spans="1:11" x14ac:dyDescent="0.3">
      <c r="A1219" s="156" t="s">
        <v>887</v>
      </c>
      <c r="B1219" s="157" t="s">
        <v>888</v>
      </c>
      <c r="C1219" s="157">
        <v>2024</v>
      </c>
      <c r="D1219" s="158">
        <v>-123.55833440000001</v>
      </c>
      <c r="E1219" s="158">
        <v>45.8166656</v>
      </c>
      <c r="F1219" s="159">
        <v>5.2</v>
      </c>
      <c r="G1219" s="160">
        <v>59.05</v>
      </c>
      <c r="H1219" s="161">
        <v>65.2</v>
      </c>
      <c r="I1219" s="161">
        <v>29.2</v>
      </c>
      <c r="J1219" s="161">
        <v>5.6</v>
      </c>
      <c r="K1219" s="160">
        <v>4.3600000000000003</v>
      </c>
    </row>
    <row r="1220" spans="1:11" x14ac:dyDescent="0.3">
      <c r="A1220" s="156" t="s">
        <v>887</v>
      </c>
      <c r="B1220" s="157" t="s">
        <v>888</v>
      </c>
      <c r="C1220" s="157">
        <v>2024</v>
      </c>
      <c r="D1220" s="158">
        <v>-123.3046112</v>
      </c>
      <c r="E1220" s="158">
        <v>44.576946300000003</v>
      </c>
      <c r="F1220" s="159">
        <v>6</v>
      </c>
      <c r="G1220" s="160">
        <v>32.450000000000003</v>
      </c>
      <c r="H1220" s="161">
        <v>19.2</v>
      </c>
      <c r="I1220" s="161">
        <v>47.9</v>
      </c>
      <c r="J1220" s="161">
        <v>32.9</v>
      </c>
      <c r="K1220" s="160">
        <v>0.61</v>
      </c>
    </row>
    <row r="1221" spans="1:11" x14ac:dyDescent="0.3">
      <c r="A1221" s="156" t="s">
        <v>887</v>
      </c>
      <c r="B1221" s="157" t="s">
        <v>888</v>
      </c>
      <c r="C1221" s="157">
        <v>2024</v>
      </c>
      <c r="D1221" s="158">
        <v>-123.1583328</v>
      </c>
      <c r="E1221" s="158">
        <v>47.5416679</v>
      </c>
      <c r="F1221" s="159">
        <v>4.5</v>
      </c>
      <c r="G1221" s="160">
        <v>5.0999999999999996</v>
      </c>
      <c r="H1221" s="161">
        <v>53.6</v>
      </c>
      <c r="I1221" s="161">
        <v>34.6</v>
      </c>
      <c r="J1221" s="161">
        <v>11.8</v>
      </c>
      <c r="K1221" s="160">
        <v>10.73</v>
      </c>
    </row>
    <row r="1222" spans="1:11" x14ac:dyDescent="0.3">
      <c r="A1222" s="156" t="s">
        <v>887</v>
      </c>
      <c r="B1222" s="157" t="s">
        <v>888</v>
      </c>
      <c r="C1222" s="157">
        <v>2024</v>
      </c>
      <c r="D1222" s="158">
        <v>-123.0942841</v>
      </c>
      <c r="E1222" s="158">
        <v>46.6061859</v>
      </c>
      <c r="F1222" s="159">
        <v>5</v>
      </c>
      <c r="G1222" s="160">
        <v>21</v>
      </c>
      <c r="H1222" s="161">
        <v>17.2</v>
      </c>
      <c r="I1222" s="161">
        <v>27.1</v>
      </c>
      <c r="J1222" s="161">
        <v>55.7</v>
      </c>
      <c r="K1222" s="160">
        <v>0.15</v>
      </c>
    </row>
    <row r="1223" spans="1:11" x14ac:dyDescent="0.3">
      <c r="A1223" s="156" t="s">
        <v>887</v>
      </c>
      <c r="B1223" s="157" t="s">
        <v>888</v>
      </c>
      <c r="C1223" s="157">
        <v>2024</v>
      </c>
      <c r="D1223" s="158">
        <v>-122.8499985</v>
      </c>
      <c r="E1223" s="158">
        <v>46.108333600000002</v>
      </c>
      <c r="F1223" s="159">
        <v>4.9000000000000004</v>
      </c>
      <c r="G1223" s="160">
        <v>27.25</v>
      </c>
      <c r="H1223" s="161">
        <v>14.1</v>
      </c>
      <c r="I1223" s="161">
        <v>66.8</v>
      </c>
      <c r="J1223" s="161">
        <v>19.100000000000001</v>
      </c>
      <c r="K1223" s="160">
        <v>4.92</v>
      </c>
    </row>
    <row r="1224" spans="1:11" x14ac:dyDescent="0.3">
      <c r="A1224" s="156" t="s">
        <v>887</v>
      </c>
      <c r="B1224" s="157" t="s">
        <v>888</v>
      </c>
      <c r="C1224" s="157">
        <v>2024</v>
      </c>
      <c r="D1224" s="158">
        <v>-119.67097870000001</v>
      </c>
      <c r="E1224" s="158">
        <v>37.839923599999999</v>
      </c>
      <c r="F1224" s="159">
        <v>5.3</v>
      </c>
      <c r="G1224" s="160">
        <v>0.85</v>
      </c>
      <c r="H1224" s="161">
        <v>78.7</v>
      </c>
      <c r="I1224" s="161">
        <v>19.3</v>
      </c>
      <c r="J1224" s="161">
        <v>1.6</v>
      </c>
      <c r="K1224" s="160">
        <v>1.3900000000000001</v>
      </c>
    </row>
    <row r="1225" spans="1:11" x14ac:dyDescent="0.3">
      <c r="A1225" s="156" t="s">
        <v>887</v>
      </c>
      <c r="B1225" s="157" t="s">
        <v>888</v>
      </c>
      <c r="C1225" s="157">
        <v>2024</v>
      </c>
      <c r="D1225" s="158">
        <v>-115.6391678</v>
      </c>
      <c r="E1225" s="158">
        <v>46.751388499999997</v>
      </c>
      <c r="F1225" s="159">
        <v>5.8</v>
      </c>
      <c r="G1225" s="160">
        <v>6</v>
      </c>
      <c r="H1225" s="161">
        <v>57.9</v>
      </c>
      <c r="I1225" s="161">
        <v>35</v>
      </c>
      <c r="J1225" s="161">
        <v>7.1</v>
      </c>
      <c r="K1225" s="160">
        <v>0.45999999999999996</v>
      </c>
    </row>
    <row r="1226" spans="1:11" x14ac:dyDescent="0.3">
      <c r="A1226" s="156" t="s">
        <v>887</v>
      </c>
      <c r="B1226" s="157" t="s">
        <v>888</v>
      </c>
      <c r="C1226" s="157">
        <v>2024</v>
      </c>
      <c r="D1226" s="158">
        <v>-114.6884766</v>
      </c>
      <c r="E1226" s="158">
        <v>47.269878400000003</v>
      </c>
      <c r="F1226" s="159">
        <v>5.0999999999999996</v>
      </c>
      <c r="G1226" s="160">
        <v>2.65</v>
      </c>
      <c r="H1226" s="161">
        <v>42.7</v>
      </c>
      <c r="I1226" s="161">
        <v>48.3</v>
      </c>
      <c r="J1226" s="161">
        <v>9</v>
      </c>
      <c r="K1226" s="160">
        <v>6.36</v>
      </c>
    </row>
    <row r="1227" spans="1:11" x14ac:dyDescent="0.3">
      <c r="A1227" s="156" t="s">
        <v>887</v>
      </c>
      <c r="B1227" s="157" t="s">
        <v>888</v>
      </c>
      <c r="C1227" s="157">
        <v>2024</v>
      </c>
      <c r="D1227" s="158">
        <v>-109.3502579</v>
      </c>
      <c r="E1227" s="158">
        <v>48.350757600000001</v>
      </c>
      <c r="F1227" s="159">
        <v>6.35</v>
      </c>
      <c r="G1227" s="160">
        <v>32.700000000000003</v>
      </c>
      <c r="H1227" s="161">
        <v>32.9</v>
      </c>
      <c r="I1227" s="161">
        <v>38.299999999999997</v>
      </c>
      <c r="J1227" s="161">
        <v>28.8</v>
      </c>
      <c r="K1227" s="160">
        <v>5.85</v>
      </c>
    </row>
    <row r="1228" spans="1:11" x14ac:dyDescent="0.3">
      <c r="A1228" s="156" t="s">
        <v>887</v>
      </c>
      <c r="B1228" s="157" t="s">
        <v>888</v>
      </c>
      <c r="C1228" s="157">
        <v>2024</v>
      </c>
      <c r="D1228" s="158">
        <v>-108.231941199999</v>
      </c>
      <c r="E1228" s="158">
        <v>37.684444399999997</v>
      </c>
      <c r="F1228" s="159">
        <v>5.3</v>
      </c>
      <c r="G1228" s="160">
        <v>6.45</v>
      </c>
      <c r="H1228" s="161">
        <v>32.6</v>
      </c>
      <c r="I1228" s="161">
        <v>51</v>
      </c>
      <c r="J1228" s="161">
        <v>16.399999999999999</v>
      </c>
      <c r="K1228" s="160">
        <v>2.5499999999999998</v>
      </c>
    </row>
    <row r="1229" spans="1:11" x14ac:dyDescent="0.3">
      <c r="A1229" s="156" t="s">
        <v>887</v>
      </c>
      <c r="B1229" s="157" t="s">
        <v>888</v>
      </c>
      <c r="C1229" s="157">
        <v>2024</v>
      </c>
      <c r="D1229" s="158">
        <v>-106.570831299999</v>
      </c>
      <c r="E1229" s="158">
        <v>37.424999200000002</v>
      </c>
      <c r="F1229" s="159">
        <v>5.3</v>
      </c>
      <c r="G1229" s="160">
        <v>12.35</v>
      </c>
      <c r="H1229" s="161">
        <v>69</v>
      </c>
      <c r="I1229" s="161">
        <v>19</v>
      </c>
      <c r="J1229" s="161">
        <v>12</v>
      </c>
      <c r="K1229" s="160">
        <v>0.64</v>
      </c>
    </row>
    <row r="1230" spans="1:11" x14ac:dyDescent="0.3">
      <c r="A1230" s="156" t="s">
        <v>887</v>
      </c>
      <c r="B1230" s="157" t="s">
        <v>888</v>
      </c>
      <c r="C1230" s="157">
        <v>2024</v>
      </c>
      <c r="D1230" s="158">
        <v>-105.1472244</v>
      </c>
      <c r="E1230" s="158">
        <v>37.3230553</v>
      </c>
      <c r="F1230" s="159">
        <v>5.6</v>
      </c>
      <c r="G1230" s="160">
        <v>26</v>
      </c>
      <c r="H1230" s="161">
        <v>72.2</v>
      </c>
      <c r="I1230" s="161">
        <v>22.9</v>
      </c>
      <c r="J1230" s="161">
        <v>4.9000000000000004</v>
      </c>
      <c r="K1230" s="160">
        <v>0.37</v>
      </c>
    </row>
    <row r="1231" spans="1:11" x14ac:dyDescent="0.3">
      <c r="A1231" s="156" t="s">
        <v>887</v>
      </c>
      <c r="B1231" s="157" t="s">
        <v>888</v>
      </c>
      <c r="C1231" s="157">
        <v>2024</v>
      </c>
      <c r="D1231" s="158">
        <v>-100.4887466</v>
      </c>
      <c r="E1231" s="158">
        <v>36.278331799999997</v>
      </c>
      <c r="F1231" s="159">
        <v>8.1999999999999993</v>
      </c>
      <c r="G1231" s="160">
        <v>22.9</v>
      </c>
      <c r="H1231" s="161">
        <v>18.7</v>
      </c>
      <c r="I1231" s="161">
        <v>32</v>
      </c>
      <c r="J1231" s="161">
        <v>28.3</v>
      </c>
      <c r="K1231" s="160">
        <v>0.18</v>
      </c>
    </row>
    <row r="1232" spans="1:11" x14ac:dyDescent="0.3">
      <c r="A1232" s="156" t="s">
        <v>887</v>
      </c>
      <c r="B1232" s="157" t="s">
        <v>888</v>
      </c>
      <c r="C1232" s="157">
        <v>2024</v>
      </c>
      <c r="D1232" s="158">
        <v>-98.928817749023395</v>
      </c>
      <c r="E1232" s="158">
        <v>46.905338287353501</v>
      </c>
      <c r="F1232" s="159">
        <v>5.6</v>
      </c>
      <c r="G1232" s="160">
        <v>35.65</v>
      </c>
      <c r="H1232" s="161">
        <v>35</v>
      </c>
      <c r="I1232" s="161">
        <v>41.1</v>
      </c>
      <c r="J1232" s="161">
        <v>23.9</v>
      </c>
      <c r="K1232" s="160">
        <v>3.9200000000000004</v>
      </c>
    </row>
    <row r="1233" spans="1:11" x14ac:dyDescent="0.3">
      <c r="A1233" s="156" t="s">
        <v>887</v>
      </c>
      <c r="B1233" s="157" t="s">
        <v>888</v>
      </c>
      <c r="C1233" s="157">
        <v>2024</v>
      </c>
      <c r="D1233" s="158">
        <v>-96.645004299999997</v>
      </c>
      <c r="E1233" s="158">
        <v>32.598216999999998</v>
      </c>
      <c r="F1233" s="159">
        <v>7</v>
      </c>
      <c r="G1233" s="160">
        <v>10.15</v>
      </c>
      <c r="H1233" s="161">
        <v>94.1</v>
      </c>
      <c r="I1233" s="161">
        <v>5</v>
      </c>
      <c r="J1233" s="161">
        <v>0.9</v>
      </c>
      <c r="K1233" s="160">
        <v>0.08</v>
      </c>
    </row>
    <row r="1234" spans="1:11" x14ac:dyDescent="0.3">
      <c r="A1234" s="156" t="s">
        <v>887</v>
      </c>
      <c r="B1234" s="157" t="s">
        <v>888</v>
      </c>
      <c r="C1234" s="157">
        <v>2024</v>
      </c>
      <c r="D1234" s="158">
        <v>-96.520942700000006</v>
      </c>
      <c r="E1234" s="158">
        <v>35.481666599999997</v>
      </c>
      <c r="F1234" s="159">
        <v>5.4</v>
      </c>
      <c r="G1234" s="160">
        <v>3.1</v>
      </c>
      <c r="H1234" s="161">
        <v>76.2</v>
      </c>
      <c r="I1234" s="161">
        <v>17.5</v>
      </c>
      <c r="J1234" s="161">
        <v>6.3</v>
      </c>
      <c r="K1234" s="160">
        <v>1.06</v>
      </c>
    </row>
    <row r="1235" spans="1:11" x14ac:dyDescent="0.3">
      <c r="A1235" s="156" t="s">
        <v>887</v>
      </c>
      <c r="B1235" s="157" t="s">
        <v>888</v>
      </c>
      <c r="C1235" s="157">
        <v>2024</v>
      </c>
      <c r="D1235" s="158">
        <v>-96.349998499999998</v>
      </c>
      <c r="E1235" s="158">
        <v>33.450000799999998</v>
      </c>
      <c r="F1235" s="159">
        <v>7.766667</v>
      </c>
      <c r="G1235" s="160">
        <v>22.9</v>
      </c>
      <c r="H1235" s="161">
        <v>12.9</v>
      </c>
      <c r="I1235" s="161">
        <v>54.5</v>
      </c>
      <c r="J1235" s="161">
        <v>32.6</v>
      </c>
      <c r="K1235" s="160">
        <v>0.02</v>
      </c>
    </row>
    <row r="1236" spans="1:11" x14ac:dyDescent="0.3">
      <c r="A1236" s="156" t="s">
        <v>887</v>
      </c>
      <c r="B1236" s="157" t="s">
        <v>888</v>
      </c>
      <c r="C1236" s="157">
        <v>2024</v>
      </c>
      <c r="D1236" s="158">
        <v>-94.603822199999996</v>
      </c>
      <c r="E1236" s="158">
        <v>37.363275000000002</v>
      </c>
      <c r="F1236" s="159">
        <v>4.8</v>
      </c>
      <c r="G1236" s="160">
        <v>19</v>
      </c>
      <c r="H1236" s="161">
        <v>23.8</v>
      </c>
      <c r="I1236" s="161">
        <v>62</v>
      </c>
      <c r="J1236" s="161">
        <v>14.2</v>
      </c>
      <c r="K1236" s="160">
        <v>1</v>
      </c>
    </row>
    <row r="1237" spans="1:11" x14ac:dyDescent="0.3">
      <c r="A1237" s="156" t="s">
        <v>887</v>
      </c>
      <c r="B1237" s="157" t="s">
        <v>888</v>
      </c>
      <c r="C1237" s="157">
        <v>2024</v>
      </c>
      <c r="D1237" s="158">
        <v>-94.566183300000006</v>
      </c>
      <c r="E1237" s="158">
        <v>36.739977799999998</v>
      </c>
      <c r="F1237" s="159">
        <v>5.0999999999999996</v>
      </c>
      <c r="G1237" s="160">
        <v>19.55</v>
      </c>
      <c r="H1237" s="161">
        <v>8.9</v>
      </c>
      <c r="I1237" s="161">
        <v>60.8</v>
      </c>
      <c r="J1237" s="161">
        <v>30.2</v>
      </c>
      <c r="K1237" s="160">
        <v>0.1</v>
      </c>
    </row>
    <row r="1238" spans="1:11" x14ac:dyDescent="0.3">
      <c r="A1238" s="156" t="s">
        <v>887</v>
      </c>
      <c r="B1238" s="157" t="s">
        <v>888</v>
      </c>
      <c r="C1238" s="157">
        <v>2024</v>
      </c>
      <c r="D1238" s="158">
        <v>-94.509861099999995</v>
      </c>
      <c r="E1238" s="158">
        <v>37.5158889</v>
      </c>
      <c r="F1238" s="159">
        <v>5.4</v>
      </c>
      <c r="G1238" s="160">
        <v>6.85</v>
      </c>
      <c r="H1238" s="161">
        <v>17.2</v>
      </c>
      <c r="I1238" s="161">
        <v>61.6</v>
      </c>
      <c r="J1238" s="161">
        <v>21.2</v>
      </c>
      <c r="K1238" s="160">
        <v>1.5</v>
      </c>
    </row>
    <row r="1239" spans="1:11" x14ac:dyDescent="0.3">
      <c r="A1239" s="156" t="s">
        <v>887</v>
      </c>
      <c r="B1239" s="157" t="s">
        <v>888</v>
      </c>
      <c r="C1239" s="157">
        <v>2024</v>
      </c>
      <c r="D1239" s="158">
        <v>-94.4594278</v>
      </c>
      <c r="E1239" s="158">
        <v>37.122652799999997</v>
      </c>
      <c r="F1239" s="159">
        <v>4.9000000000000004</v>
      </c>
      <c r="G1239" s="160">
        <v>8</v>
      </c>
      <c r="H1239" s="161">
        <v>4.2</v>
      </c>
      <c r="I1239" s="161">
        <v>34.5</v>
      </c>
      <c r="J1239" s="161">
        <v>61.3</v>
      </c>
      <c r="K1239" s="160">
        <v>0.8</v>
      </c>
    </row>
    <row r="1240" spans="1:11" x14ac:dyDescent="0.3">
      <c r="A1240" s="156" t="s">
        <v>887</v>
      </c>
      <c r="B1240" s="157" t="s">
        <v>888</v>
      </c>
      <c r="C1240" s="157">
        <v>2024</v>
      </c>
      <c r="D1240" s="158">
        <v>-94.429166699999996</v>
      </c>
      <c r="E1240" s="158">
        <v>36.648055599999999</v>
      </c>
      <c r="F1240" s="159">
        <v>6.2</v>
      </c>
      <c r="G1240" s="160">
        <v>9</v>
      </c>
      <c r="H1240" s="161">
        <v>12</v>
      </c>
      <c r="I1240" s="161">
        <v>78.3</v>
      </c>
      <c r="J1240" s="161">
        <v>9.6999999999999993</v>
      </c>
      <c r="K1240" s="160">
        <v>0.8</v>
      </c>
    </row>
    <row r="1241" spans="1:11" x14ac:dyDescent="0.3">
      <c r="A1241" s="156" t="s">
        <v>887</v>
      </c>
      <c r="B1241" s="157" t="s">
        <v>888</v>
      </c>
      <c r="C1241" s="157">
        <v>2024</v>
      </c>
      <c r="D1241" s="158">
        <v>-94.409633299999996</v>
      </c>
      <c r="E1241" s="158">
        <v>37.3310861</v>
      </c>
      <c r="F1241" s="159">
        <v>6.3</v>
      </c>
      <c r="G1241" s="160">
        <v>6</v>
      </c>
      <c r="H1241" s="161">
        <v>53.9</v>
      </c>
      <c r="I1241" s="161">
        <v>31.7</v>
      </c>
      <c r="J1241" s="161">
        <v>14.4</v>
      </c>
      <c r="K1241" s="160">
        <v>1.3</v>
      </c>
    </row>
    <row r="1242" spans="1:11" x14ac:dyDescent="0.3">
      <c r="A1242" s="156" t="s">
        <v>887</v>
      </c>
      <c r="B1242" s="157" t="s">
        <v>888</v>
      </c>
      <c r="C1242" s="157">
        <v>2024</v>
      </c>
      <c r="D1242" s="158">
        <v>-94.185588899999999</v>
      </c>
      <c r="E1242" s="158">
        <v>36.743122200000002</v>
      </c>
      <c r="F1242" s="159">
        <v>6.6</v>
      </c>
      <c r="G1242" s="160">
        <v>10</v>
      </c>
      <c r="H1242" s="161">
        <v>6.8</v>
      </c>
      <c r="I1242" s="161">
        <v>76.400000000000006</v>
      </c>
      <c r="J1242" s="161">
        <v>16.8</v>
      </c>
      <c r="K1242" s="160">
        <v>1.9</v>
      </c>
    </row>
    <row r="1243" spans="1:11" x14ac:dyDescent="0.3">
      <c r="A1243" s="156" t="s">
        <v>887</v>
      </c>
      <c r="B1243" s="157" t="s">
        <v>888</v>
      </c>
      <c r="C1243" s="157">
        <v>2024</v>
      </c>
      <c r="D1243" s="158">
        <v>-94.177075000000002</v>
      </c>
      <c r="E1243" s="158">
        <v>37.090688900000004</v>
      </c>
      <c r="F1243" s="159">
        <v>6.9</v>
      </c>
      <c r="G1243" s="160">
        <v>8</v>
      </c>
      <c r="H1243" s="161">
        <v>13</v>
      </c>
      <c r="I1243" s="161">
        <v>74.2</v>
      </c>
      <c r="J1243" s="161">
        <v>12.8</v>
      </c>
      <c r="K1243" s="160">
        <v>0.7</v>
      </c>
    </row>
    <row r="1244" spans="1:11" x14ac:dyDescent="0.3">
      <c r="A1244" s="156" t="s">
        <v>887</v>
      </c>
      <c r="B1244" s="157" t="s">
        <v>888</v>
      </c>
      <c r="C1244" s="157">
        <v>2024</v>
      </c>
      <c r="D1244" s="158">
        <v>-94.176594399999999</v>
      </c>
      <c r="E1244" s="158">
        <v>37.128658299999998</v>
      </c>
      <c r="F1244" s="159">
        <v>5.9</v>
      </c>
      <c r="G1244" s="160">
        <v>6</v>
      </c>
      <c r="H1244" s="161">
        <v>10.6</v>
      </c>
      <c r="I1244" s="161">
        <v>60.9</v>
      </c>
      <c r="J1244" s="161">
        <v>28.5</v>
      </c>
      <c r="K1244" s="160">
        <v>0.2</v>
      </c>
    </row>
    <row r="1245" spans="1:11" x14ac:dyDescent="0.3">
      <c r="A1245" s="156" t="s">
        <v>887</v>
      </c>
      <c r="B1245" s="157" t="s">
        <v>888</v>
      </c>
      <c r="C1245" s="157">
        <v>2024</v>
      </c>
      <c r="D1245" s="158">
        <v>-94.159322200000005</v>
      </c>
      <c r="E1245" s="158">
        <v>37.277372200000002</v>
      </c>
      <c r="F1245" s="159">
        <v>6</v>
      </c>
      <c r="G1245" s="160">
        <v>19</v>
      </c>
      <c r="H1245" s="161">
        <v>9.5</v>
      </c>
      <c r="I1245" s="161">
        <v>67</v>
      </c>
      <c r="J1245" s="161">
        <v>23.5</v>
      </c>
      <c r="K1245" s="160">
        <v>1.6</v>
      </c>
    </row>
    <row r="1246" spans="1:11" x14ac:dyDescent="0.3">
      <c r="A1246" s="156" t="s">
        <v>887</v>
      </c>
      <c r="B1246" s="157" t="s">
        <v>888</v>
      </c>
      <c r="C1246" s="157">
        <v>2024</v>
      </c>
      <c r="D1246" s="158">
        <v>-94.156388899999996</v>
      </c>
      <c r="E1246" s="158">
        <v>37.111666700000001</v>
      </c>
      <c r="F1246" s="159">
        <v>5.3</v>
      </c>
      <c r="G1246" s="160">
        <v>10</v>
      </c>
      <c r="H1246" s="161">
        <v>11.8</v>
      </c>
      <c r="I1246" s="161">
        <v>68.7</v>
      </c>
      <c r="J1246" s="161">
        <v>19.5</v>
      </c>
      <c r="K1246" s="160">
        <v>3</v>
      </c>
    </row>
    <row r="1247" spans="1:11" x14ac:dyDescent="0.3">
      <c r="A1247" s="156" t="s">
        <v>887</v>
      </c>
      <c r="B1247" s="157" t="s">
        <v>888</v>
      </c>
      <c r="C1247" s="157">
        <v>2024</v>
      </c>
      <c r="D1247" s="158">
        <v>-94.082213899999999</v>
      </c>
      <c r="E1247" s="158">
        <v>37.3432806</v>
      </c>
      <c r="F1247" s="159">
        <v>6.8</v>
      </c>
      <c r="G1247" s="160">
        <v>12.85</v>
      </c>
      <c r="H1247" s="161">
        <v>43.8</v>
      </c>
      <c r="I1247" s="161">
        <v>31</v>
      </c>
      <c r="J1247" s="161">
        <v>25.2</v>
      </c>
      <c r="K1247" s="160">
        <v>1</v>
      </c>
    </row>
    <row r="1248" spans="1:11" x14ac:dyDescent="0.3">
      <c r="A1248" s="156" t="s">
        <v>887</v>
      </c>
      <c r="B1248" s="157" t="s">
        <v>888</v>
      </c>
      <c r="C1248" s="157">
        <v>2024</v>
      </c>
      <c r="D1248" s="158">
        <v>-94.008580499999994</v>
      </c>
      <c r="E1248" s="158">
        <v>37.696946099999998</v>
      </c>
      <c r="F1248" s="159">
        <v>5.6</v>
      </c>
      <c r="G1248" s="160">
        <v>12</v>
      </c>
      <c r="H1248" s="161">
        <v>9.6999999999999993</v>
      </c>
      <c r="I1248" s="161">
        <v>64.099999999999994</v>
      </c>
      <c r="J1248" s="161">
        <v>26.2</v>
      </c>
      <c r="K1248" s="160">
        <v>0.4</v>
      </c>
    </row>
    <row r="1249" spans="1:11" x14ac:dyDescent="0.3">
      <c r="A1249" s="156" t="s">
        <v>887</v>
      </c>
      <c r="B1249" s="157" t="s">
        <v>888</v>
      </c>
      <c r="C1249" s="157">
        <v>2024</v>
      </c>
      <c r="D1249" s="158">
        <v>-93.982922200000004</v>
      </c>
      <c r="E1249" s="158">
        <v>39.916247200000001</v>
      </c>
      <c r="F1249" s="159">
        <v>5.6</v>
      </c>
      <c r="G1249" s="160">
        <v>25</v>
      </c>
      <c r="H1249" s="161">
        <v>2.6</v>
      </c>
      <c r="I1249" s="161">
        <v>37.5</v>
      </c>
      <c r="J1249" s="161">
        <v>47.1</v>
      </c>
      <c r="K1249" s="160">
        <v>1</v>
      </c>
    </row>
    <row r="1250" spans="1:11" x14ac:dyDescent="0.3">
      <c r="A1250" s="156" t="s">
        <v>887</v>
      </c>
      <c r="B1250" s="157" t="s">
        <v>888</v>
      </c>
      <c r="C1250" s="157">
        <v>2024</v>
      </c>
      <c r="D1250" s="158">
        <v>-93.952980600000004</v>
      </c>
      <c r="E1250" s="158">
        <v>37.312627800000001</v>
      </c>
      <c r="F1250" s="159">
        <v>5.2</v>
      </c>
      <c r="G1250" s="160">
        <v>11</v>
      </c>
      <c r="H1250" s="161">
        <v>21.8</v>
      </c>
      <c r="I1250" s="161">
        <v>29.6</v>
      </c>
      <c r="J1250" s="161">
        <v>48.6</v>
      </c>
      <c r="K1250" s="160">
        <v>0.1</v>
      </c>
    </row>
    <row r="1251" spans="1:11" x14ac:dyDescent="0.3">
      <c r="A1251" s="156" t="s">
        <v>887</v>
      </c>
      <c r="B1251" s="157" t="s">
        <v>888</v>
      </c>
      <c r="C1251" s="157">
        <v>2024</v>
      </c>
      <c r="D1251" s="158">
        <v>-93.903370100000004</v>
      </c>
      <c r="E1251" s="158">
        <v>37.415232500000002</v>
      </c>
      <c r="F1251" s="159">
        <v>6.2</v>
      </c>
      <c r="G1251" s="160">
        <v>17.8</v>
      </c>
      <c r="H1251" s="161">
        <v>24.9</v>
      </c>
      <c r="I1251" s="161">
        <v>64.8</v>
      </c>
      <c r="J1251" s="161">
        <v>10.3</v>
      </c>
      <c r="K1251" s="160">
        <v>0.8</v>
      </c>
    </row>
    <row r="1252" spans="1:11" x14ac:dyDescent="0.3">
      <c r="A1252" s="156" t="s">
        <v>887</v>
      </c>
      <c r="B1252" s="157" t="s">
        <v>888</v>
      </c>
      <c r="C1252" s="157">
        <v>2024</v>
      </c>
      <c r="D1252" s="158">
        <v>-93.834699999999998</v>
      </c>
      <c r="E1252" s="158">
        <v>37.318516700000004</v>
      </c>
      <c r="F1252" s="159">
        <v>6.9</v>
      </c>
      <c r="G1252" s="160">
        <v>20</v>
      </c>
      <c r="H1252" s="161">
        <v>17.3</v>
      </c>
      <c r="I1252" s="161">
        <v>66.900000000000006</v>
      </c>
      <c r="J1252" s="161">
        <v>15.8</v>
      </c>
      <c r="K1252" s="160">
        <v>1.5</v>
      </c>
    </row>
    <row r="1253" spans="1:11" x14ac:dyDescent="0.3">
      <c r="A1253" s="156" t="s">
        <v>887</v>
      </c>
      <c r="B1253" s="157" t="s">
        <v>888</v>
      </c>
      <c r="C1253" s="157">
        <v>2024</v>
      </c>
      <c r="D1253" s="158">
        <v>-93.780261100000004</v>
      </c>
      <c r="E1253" s="158">
        <v>37.367163900000001</v>
      </c>
      <c r="F1253" s="159">
        <v>5.8</v>
      </c>
      <c r="G1253" s="160">
        <v>22</v>
      </c>
      <c r="H1253" s="161">
        <v>7.4</v>
      </c>
      <c r="I1253" s="161">
        <v>49.4</v>
      </c>
      <c r="J1253" s="161">
        <v>43.2</v>
      </c>
      <c r="K1253" s="160">
        <v>0.5</v>
      </c>
    </row>
    <row r="1254" spans="1:11" x14ac:dyDescent="0.3">
      <c r="A1254" s="156" t="s">
        <v>887</v>
      </c>
      <c r="B1254" s="157" t="s">
        <v>888</v>
      </c>
      <c r="C1254" s="157">
        <v>2024</v>
      </c>
      <c r="D1254" s="158">
        <v>-93.766111100000003</v>
      </c>
      <c r="E1254" s="158">
        <v>37.545000000000002</v>
      </c>
      <c r="F1254" s="159">
        <v>5.2</v>
      </c>
      <c r="G1254" s="160">
        <v>7.15</v>
      </c>
      <c r="H1254" s="161">
        <v>1.7</v>
      </c>
      <c r="I1254" s="161">
        <v>47.4</v>
      </c>
      <c r="J1254" s="161">
        <v>50.9</v>
      </c>
      <c r="K1254" s="160">
        <v>0.7</v>
      </c>
    </row>
    <row r="1255" spans="1:11" x14ac:dyDescent="0.3">
      <c r="A1255" s="156" t="s">
        <v>887</v>
      </c>
      <c r="B1255" s="157" t="s">
        <v>888</v>
      </c>
      <c r="C1255" s="157">
        <v>2024</v>
      </c>
      <c r="D1255" s="158">
        <v>-93.711194500000005</v>
      </c>
      <c r="E1255" s="158">
        <v>37.620249000000001</v>
      </c>
      <c r="F1255" s="159">
        <v>5.3</v>
      </c>
      <c r="G1255" s="160">
        <v>2.7</v>
      </c>
      <c r="H1255" s="161">
        <v>37.799999999999997</v>
      </c>
      <c r="I1255" s="161">
        <v>46</v>
      </c>
      <c r="J1255" s="161">
        <v>16.2</v>
      </c>
      <c r="K1255" s="160">
        <v>0.3</v>
      </c>
    </row>
    <row r="1256" spans="1:11" x14ac:dyDescent="0.3">
      <c r="A1256" s="156" t="s">
        <v>887</v>
      </c>
      <c r="B1256" s="157" t="s">
        <v>888</v>
      </c>
      <c r="C1256" s="157">
        <v>2024</v>
      </c>
      <c r="D1256" s="158">
        <v>-93.68408203125</v>
      </c>
      <c r="E1256" s="158">
        <v>30.396059036254801</v>
      </c>
      <c r="F1256" s="159">
        <v>5</v>
      </c>
      <c r="G1256" s="160">
        <v>3.95</v>
      </c>
      <c r="H1256" s="161">
        <v>27.5</v>
      </c>
      <c r="I1256" s="161">
        <v>44.3</v>
      </c>
      <c r="J1256" s="161">
        <v>28.2</v>
      </c>
      <c r="K1256" s="160">
        <v>0.09</v>
      </c>
    </row>
    <row r="1257" spans="1:11" x14ac:dyDescent="0.3">
      <c r="A1257" s="156" t="s">
        <v>887</v>
      </c>
      <c r="B1257" s="157" t="s">
        <v>888</v>
      </c>
      <c r="C1257" s="157">
        <v>2024</v>
      </c>
      <c r="D1257" s="158">
        <v>-93.509933500000002</v>
      </c>
      <c r="E1257" s="158">
        <v>41.0064049</v>
      </c>
      <c r="F1257" s="159">
        <v>7</v>
      </c>
      <c r="G1257" s="160">
        <v>23.3</v>
      </c>
      <c r="H1257" s="161">
        <v>56.5</v>
      </c>
      <c r="I1257" s="161">
        <v>27.4</v>
      </c>
      <c r="J1257" s="161">
        <v>19.2</v>
      </c>
      <c r="K1257" s="160">
        <v>3.84</v>
      </c>
    </row>
    <row r="1258" spans="1:11" x14ac:dyDescent="0.3">
      <c r="A1258" s="156" t="s">
        <v>887</v>
      </c>
      <c r="B1258" s="157" t="s">
        <v>888</v>
      </c>
      <c r="C1258" s="157">
        <v>2024</v>
      </c>
      <c r="D1258" s="158">
        <v>-93.452774000000005</v>
      </c>
      <c r="E1258" s="158">
        <v>39.761112199999999</v>
      </c>
      <c r="F1258" s="159">
        <v>5.9</v>
      </c>
      <c r="G1258" s="160">
        <v>8</v>
      </c>
      <c r="H1258" s="161">
        <v>2.2999999999999998</v>
      </c>
      <c r="I1258" s="161">
        <v>79.599999999999994</v>
      </c>
      <c r="J1258" s="161">
        <v>18.100000000000001</v>
      </c>
      <c r="K1258" s="160">
        <v>1.5</v>
      </c>
    </row>
    <row r="1259" spans="1:11" x14ac:dyDescent="0.3">
      <c r="A1259" s="156" t="s">
        <v>887</v>
      </c>
      <c r="B1259" s="157" t="s">
        <v>888</v>
      </c>
      <c r="C1259" s="157">
        <v>2024</v>
      </c>
      <c r="D1259" s="158">
        <v>-93.421305599999997</v>
      </c>
      <c r="E1259" s="158">
        <v>37.203791699999996</v>
      </c>
      <c r="F1259" s="159">
        <v>5</v>
      </c>
      <c r="G1259" s="160">
        <v>7</v>
      </c>
      <c r="H1259" s="161">
        <v>21.2</v>
      </c>
      <c r="I1259" s="161">
        <v>32.299999999999997</v>
      </c>
      <c r="J1259" s="161">
        <v>7.6</v>
      </c>
      <c r="K1259" s="160">
        <v>0.9</v>
      </c>
    </row>
    <row r="1260" spans="1:11" x14ac:dyDescent="0.3">
      <c r="A1260" s="156" t="s">
        <v>887</v>
      </c>
      <c r="B1260" s="157" t="s">
        <v>888</v>
      </c>
      <c r="C1260" s="157">
        <v>2024</v>
      </c>
      <c r="D1260" s="158">
        <v>-93.400558500000002</v>
      </c>
      <c r="E1260" s="158">
        <v>37.561943100000001</v>
      </c>
      <c r="F1260" s="159">
        <v>7.3</v>
      </c>
      <c r="G1260" s="160">
        <v>13</v>
      </c>
      <c r="H1260" s="161">
        <v>12</v>
      </c>
      <c r="I1260" s="161">
        <v>26.5</v>
      </c>
      <c r="J1260" s="161">
        <v>63.7</v>
      </c>
      <c r="K1260" s="160">
        <v>0.05</v>
      </c>
    </row>
    <row r="1261" spans="1:11" x14ac:dyDescent="0.3">
      <c r="A1261" s="156" t="s">
        <v>887</v>
      </c>
      <c r="B1261" s="157" t="s">
        <v>888</v>
      </c>
      <c r="C1261" s="157">
        <v>2024</v>
      </c>
      <c r="D1261" s="158">
        <v>-93.374461100000005</v>
      </c>
      <c r="E1261" s="158">
        <v>36.858022200000001</v>
      </c>
      <c r="F1261" s="159">
        <v>6.4</v>
      </c>
      <c r="G1261" s="160">
        <v>3</v>
      </c>
      <c r="H1261" s="161">
        <v>29.9</v>
      </c>
      <c r="I1261" s="161">
        <v>61.6</v>
      </c>
      <c r="J1261" s="161">
        <v>8.5</v>
      </c>
      <c r="K1261" s="160">
        <v>3.2</v>
      </c>
    </row>
    <row r="1262" spans="1:11" x14ac:dyDescent="0.3">
      <c r="A1262" s="156" t="s">
        <v>887</v>
      </c>
      <c r="B1262" s="157" t="s">
        <v>888</v>
      </c>
      <c r="C1262" s="157">
        <v>2024</v>
      </c>
      <c r="D1262" s="158">
        <v>-93.363334699999996</v>
      </c>
      <c r="E1262" s="158">
        <v>41.1511116</v>
      </c>
      <c r="F1262" s="159">
        <v>6.4</v>
      </c>
      <c r="G1262" s="160">
        <v>25.5</v>
      </c>
      <c r="H1262" s="161">
        <v>32.299999999999997</v>
      </c>
      <c r="I1262" s="161">
        <v>49.1</v>
      </c>
      <c r="J1262" s="161">
        <v>18.600000000000001</v>
      </c>
      <c r="K1262" s="160">
        <v>0.12</v>
      </c>
    </row>
    <row r="1263" spans="1:11" x14ac:dyDescent="0.3">
      <c r="A1263" s="156" t="s">
        <v>887</v>
      </c>
      <c r="B1263" s="157" t="s">
        <v>888</v>
      </c>
      <c r="C1263" s="157">
        <v>2024</v>
      </c>
      <c r="D1263" s="158">
        <v>-93.297694399999997</v>
      </c>
      <c r="E1263" s="158">
        <v>39.694419400000001</v>
      </c>
      <c r="F1263" s="159">
        <v>5</v>
      </c>
      <c r="G1263" s="160">
        <v>27.25</v>
      </c>
      <c r="H1263" s="161">
        <v>7</v>
      </c>
      <c r="I1263" s="161">
        <v>48</v>
      </c>
      <c r="J1263" s="161">
        <v>45.1</v>
      </c>
      <c r="K1263" s="160">
        <v>0.5</v>
      </c>
    </row>
    <row r="1264" spans="1:11" x14ac:dyDescent="0.3">
      <c r="A1264" s="156" t="s">
        <v>887</v>
      </c>
      <c r="B1264" s="157" t="s">
        <v>888</v>
      </c>
      <c r="C1264" s="157">
        <v>2024</v>
      </c>
      <c r="D1264" s="158">
        <v>-93.258056600000003</v>
      </c>
      <c r="E1264" s="158">
        <v>38.940555600000003</v>
      </c>
      <c r="F1264" s="159">
        <v>7.6</v>
      </c>
      <c r="G1264" s="160">
        <v>10.25</v>
      </c>
      <c r="H1264" s="161">
        <v>7</v>
      </c>
      <c r="I1264" s="161">
        <v>20</v>
      </c>
      <c r="J1264" s="161">
        <v>73</v>
      </c>
      <c r="K1264" s="160">
        <v>0.35</v>
      </c>
    </row>
    <row r="1265" spans="1:11" x14ac:dyDescent="0.3">
      <c r="A1265" s="156" t="s">
        <v>887</v>
      </c>
      <c r="B1265" s="157" t="s">
        <v>888</v>
      </c>
      <c r="C1265" s="157">
        <v>2024</v>
      </c>
      <c r="D1265" s="158">
        <v>-93.135555600000004</v>
      </c>
      <c r="E1265" s="158">
        <v>39.6080556</v>
      </c>
      <c r="F1265" s="159">
        <v>5</v>
      </c>
      <c r="G1265" s="160">
        <v>20</v>
      </c>
      <c r="H1265" s="161">
        <v>10.7</v>
      </c>
      <c r="I1265" s="161">
        <v>61.2</v>
      </c>
      <c r="J1265" s="161">
        <v>28.1</v>
      </c>
      <c r="K1265" s="160">
        <v>0.7</v>
      </c>
    </row>
    <row r="1266" spans="1:11" x14ac:dyDescent="0.3">
      <c r="A1266" s="156" t="s">
        <v>887</v>
      </c>
      <c r="B1266" s="157" t="s">
        <v>888</v>
      </c>
      <c r="C1266" s="157">
        <v>2024</v>
      </c>
      <c r="D1266" s="158">
        <v>-93.075721700000003</v>
      </c>
      <c r="E1266" s="158">
        <v>45.389362300000002</v>
      </c>
      <c r="F1266" s="159">
        <v>4.2</v>
      </c>
      <c r="G1266" s="160">
        <v>1.35</v>
      </c>
      <c r="H1266" s="161">
        <v>73.8</v>
      </c>
      <c r="I1266" s="161">
        <v>19.600000000000001</v>
      </c>
      <c r="J1266" s="161">
        <v>6.6</v>
      </c>
      <c r="K1266" s="160">
        <v>9.65</v>
      </c>
    </row>
    <row r="1267" spans="1:11" x14ac:dyDescent="0.3">
      <c r="A1267" s="156" t="s">
        <v>887</v>
      </c>
      <c r="B1267" s="157" t="s">
        <v>888</v>
      </c>
      <c r="C1267" s="157">
        <v>2024</v>
      </c>
      <c r="D1267" s="158">
        <v>-93.0023056</v>
      </c>
      <c r="E1267" s="158">
        <v>37.228000000000002</v>
      </c>
      <c r="F1267" s="159">
        <v>4.8</v>
      </c>
      <c r="G1267" s="160">
        <v>11.9</v>
      </c>
      <c r="H1267" s="161">
        <v>4</v>
      </c>
      <c r="I1267" s="161">
        <v>36.200000000000003</v>
      </c>
      <c r="J1267" s="161">
        <v>59.8</v>
      </c>
      <c r="K1267" s="160">
        <v>0.1</v>
      </c>
    </row>
    <row r="1268" spans="1:11" x14ac:dyDescent="0.3">
      <c r="A1268" s="156" t="s">
        <v>887</v>
      </c>
      <c r="B1268" s="157" t="s">
        <v>888</v>
      </c>
      <c r="C1268" s="157">
        <v>2024</v>
      </c>
      <c r="D1268" s="158">
        <v>-92.888885500000001</v>
      </c>
      <c r="E1268" s="158">
        <v>41.827777900000001</v>
      </c>
      <c r="F1268" s="159">
        <v>6.9</v>
      </c>
      <c r="G1268" s="160">
        <v>14</v>
      </c>
      <c r="H1268" s="161">
        <v>38.700000000000003</v>
      </c>
      <c r="I1268" s="161">
        <v>34.4</v>
      </c>
      <c r="J1268" s="161">
        <v>32.1</v>
      </c>
      <c r="K1268" s="160">
        <v>0.27999999999999997</v>
      </c>
    </row>
    <row r="1269" spans="1:11" x14ac:dyDescent="0.3">
      <c r="A1269" s="156" t="s">
        <v>887</v>
      </c>
      <c r="B1269" s="157" t="s">
        <v>888</v>
      </c>
      <c r="C1269" s="157">
        <v>2024</v>
      </c>
      <c r="D1269" s="158">
        <v>-92.715730500000006</v>
      </c>
      <c r="E1269" s="158">
        <v>36.993405799999998</v>
      </c>
      <c r="F1269" s="159">
        <v>5</v>
      </c>
      <c r="G1269" s="160">
        <v>13</v>
      </c>
      <c r="H1269" s="161">
        <v>1.9</v>
      </c>
      <c r="I1269" s="161">
        <v>22.7</v>
      </c>
      <c r="J1269" s="161">
        <v>75.400000000000006</v>
      </c>
      <c r="K1269" s="160">
        <v>0.1</v>
      </c>
    </row>
    <row r="1270" spans="1:11" x14ac:dyDescent="0.3">
      <c r="A1270" s="156" t="s">
        <v>887</v>
      </c>
      <c r="B1270" s="157" t="s">
        <v>888</v>
      </c>
      <c r="C1270" s="157">
        <v>2024</v>
      </c>
      <c r="D1270" s="158">
        <v>-92.686279299999995</v>
      </c>
      <c r="E1270" s="158">
        <v>33.354316699999998</v>
      </c>
      <c r="F1270" s="159">
        <v>4.25</v>
      </c>
      <c r="G1270" s="160">
        <v>22.3</v>
      </c>
      <c r="H1270" s="161">
        <v>92</v>
      </c>
      <c r="I1270" s="161">
        <v>6.6</v>
      </c>
      <c r="J1270" s="161">
        <v>1.4</v>
      </c>
      <c r="K1270" s="160">
        <v>0.65</v>
      </c>
    </row>
    <row r="1271" spans="1:11" x14ac:dyDescent="0.3">
      <c r="A1271" s="156" t="s">
        <v>887</v>
      </c>
      <c r="B1271" s="157" t="s">
        <v>888</v>
      </c>
      <c r="C1271" s="157">
        <v>2024</v>
      </c>
      <c r="D1271" s="158">
        <v>-92.629165599999993</v>
      </c>
      <c r="E1271" s="158">
        <v>45.772499099999997</v>
      </c>
      <c r="F1271" s="159">
        <v>5.9</v>
      </c>
      <c r="G1271" s="160">
        <v>40.799999999999997</v>
      </c>
      <c r="H1271" s="161">
        <v>64.3</v>
      </c>
      <c r="I1271" s="161">
        <v>21.2</v>
      </c>
      <c r="J1271" s="161">
        <v>14.5</v>
      </c>
      <c r="K1271" s="160">
        <v>0.67</v>
      </c>
    </row>
    <row r="1272" spans="1:11" x14ac:dyDescent="0.3">
      <c r="A1272" s="156" t="s">
        <v>887</v>
      </c>
      <c r="B1272" s="157" t="s">
        <v>888</v>
      </c>
      <c r="C1272" s="157">
        <v>2024</v>
      </c>
      <c r="D1272" s="158">
        <v>-92.526847200000006</v>
      </c>
      <c r="E1272" s="158">
        <v>38.232827800000003</v>
      </c>
      <c r="F1272" s="159">
        <v>6.3</v>
      </c>
      <c r="G1272" s="160">
        <v>16</v>
      </c>
      <c r="H1272" s="161">
        <v>15.5</v>
      </c>
      <c r="I1272" s="161">
        <v>27.1</v>
      </c>
      <c r="J1272" s="161">
        <v>57.4</v>
      </c>
      <c r="K1272" s="160">
        <v>0.1</v>
      </c>
    </row>
    <row r="1273" spans="1:11" x14ac:dyDescent="0.3">
      <c r="A1273" s="156" t="s">
        <v>887</v>
      </c>
      <c r="B1273" s="157" t="s">
        <v>888</v>
      </c>
      <c r="C1273" s="157">
        <v>2024</v>
      </c>
      <c r="D1273" s="158">
        <v>-92.510462399999994</v>
      </c>
      <c r="E1273" s="158">
        <v>38.9478133</v>
      </c>
      <c r="F1273" s="159">
        <v>5.5</v>
      </c>
      <c r="G1273" s="160">
        <v>15</v>
      </c>
      <c r="H1273" s="161">
        <v>7</v>
      </c>
      <c r="I1273" s="161">
        <v>78.7</v>
      </c>
      <c r="J1273" s="161">
        <v>14.3</v>
      </c>
      <c r="K1273" s="160">
        <v>1.9</v>
      </c>
    </row>
    <row r="1274" spans="1:11" x14ac:dyDescent="0.3">
      <c r="A1274" s="156" t="s">
        <v>887</v>
      </c>
      <c r="B1274" s="157" t="s">
        <v>888</v>
      </c>
      <c r="C1274" s="157">
        <v>2024</v>
      </c>
      <c r="D1274" s="158">
        <v>-92.471664399999995</v>
      </c>
      <c r="E1274" s="158">
        <v>39.880832699999999</v>
      </c>
      <c r="F1274" s="159">
        <v>5</v>
      </c>
      <c r="G1274" s="160">
        <v>21.45</v>
      </c>
      <c r="H1274" s="161">
        <v>13.4</v>
      </c>
      <c r="I1274" s="161">
        <v>47.3</v>
      </c>
      <c r="J1274" s="161">
        <v>39.299999999999997</v>
      </c>
      <c r="K1274" s="160">
        <v>0.16999999999999998</v>
      </c>
    </row>
    <row r="1275" spans="1:11" x14ac:dyDescent="0.3">
      <c r="A1275" s="156" t="s">
        <v>887</v>
      </c>
      <c r="B1275" s="157" t="s">
        <v>888</v>
      </c>
      <c r="C1275" s="157">
        <v>2024</v>
      </c>
      <c r="D1275" s="158">
        <v>-92.459842399999999</v>
      </c>
      <c r="E1275" s="158">
        <v>38.501156799999997</v>
      </c>
      <c r="F1275" s="159">
        <v>5.6</v>
      </c>
      <c r="G1275" s="160">
        <v>15.8</v>
      </c>
      <c r="H1275" s="161">
        <v>4.0999999999999996</v>
      </c>
      <c r="I1275" s="161">
        <v>56.4</v>
      </c>
      <c r="J1275" s="161">
        <v>39.4</v>
      </c>
      <c r="K1275" s="160">
        <v>0.8</v>
      </c>
    </row>
    <row r="1276" spans="1:11" x14ac:dyDescent="0.3">
      <c r="A1276" s="156" t="s">
        <v>887</v>
      </c>
      <c r="B1276" s="157" t="s">
        <v>888</v>
      </c>
      <c r="C1276" s="157">
        <v>2024</v>
      </c>
      <c r="D1276" s="158">
        <v>-92.434789899999998</v>
      </c>
      <c r="E1276" s="158">
        <v>38.279780100000004</v>
      </c>
      <c r="F1276" s="159">
        <v>4.8</v>
      </c>
      <c r="G1276" s="160">
        <v>14.65</v>
      </c>
      <c r="H1276" s="161">
        <v>37.9</v>
      </c>
      <c r="I1276" s="161">
        <v>45</v>
      </c>
      <c r="J1276" s="161">
        <v>17.100000000000001</v>
      </c>
      <c r="K1276" s="160">
        <v>0.2</v>
      </c>
    </row>
    <row r="1277" spans="1:11" x14ac:dyDescent="0.3">
      <c r="A1277" s="156" t="s">
        <v>887</v>
      </c>
      <c r="B1277" s="157" t="s">
        <v>888</v>
      </c>
      <c r="C1277" s="157">
        <v>2024</v>
      </c>
      <c r="D1277" s="158">
        <v>-92.408607500000002</v>
      </c>
      <c r="E1277" s="158">
        <v>44.623333000000002</v>
      </c>
      <c r="F1277" s="159">
        <v>7.3</v>
      </c>
      <c r="G1277" s="160">
        <v>13.75</v>
      </c>
      <c r="H1277" s="161">
        <v>5.8</v>
      </c>
      <c r="I1277" s="161">
        <v>85</v>
      </c>
      <c r="J1277" s="161">
        <v>9.1999999999999993</v>
      </c>
      <c r="K1277" s="160">
        <v>1.69</v>
      </c>
    </row>
    <row r="1278" spans="1:11" x14ac:dyDescent="0.3">
      <c r="A1278" s="156" t="s">
        <v>887</v>
      </c>
      <c r="B1278" s="157" t="s">
        <v>888</v>
      </c>
      <c r="C1278" s="157">
        <v>2024</v>
      </c>
      <c r="D1278" s="158">
        <v>-92.392588500000002</v>
      </c>
      <c r="E1278" s="158">
        <v>38.425125899999998</v>
      </c>
      <c r="F1278" s="159">
        <v>6.4</v>
      </c>
      <c r="G1278" s="160">
        <v>13.6</v>
      </c>
      <c r="H1278" s="161">
        <v>13.5</v>
      </c>
      <c r="I1278" s="161">
        <v>53.9</v>
      </c>
      <c r="J1278" s="161">
        <v>19.600000000000001</v>
      </c>
      <c r="K1278" s="160">
        <v>0.1</v>
      </c>
    </row>
    <row r="1279" spans="1:11" x14ac:dyDescent="0.3">
      <c r="A1279" s="156" t="s">
        <v>887</v>
      </c>
      <c r="B1279" s="157" t="s">
        <v>888</v>
      </c>
      <c r="C1279" s="157">
        <v>2024</v>
      </c>
      <c r="D1279" s="158">
        <v>-92.377341000000001</v>
      </c>
      <c r="E1279" s="158">
        <v>38.679182300000001</v>
      </c>
      <c r="F1279" s="159">
        <v>6.1</v>
      </c>
      <c r="G1279" s="160">
        <v>15</v>
      </c>
      <c r="H1279" s="161">
        <v>2.1</v>
      </c>
      <c r="I1279" s="161">
        <v>78</v>
      </c>
      <c r="J1279" s="161">
        <v>19.899999999999999</v>
      </c>
      <c r="K1279" s="160">
        <v>1.4</v>
      </c>
    </row>
    <row r="1280" spans="1:11" x14ac:dyDescent="0.3">
      <c r="A1280" s="156" t="s">
        <v>887</v>
      </c>
      <c r="B1280" s="157" t="s">
        <v>888</v>
      </c>
      <c r="C1280" s="157">
        <v>2024</v>
      </c>
      <c r="D1280" s="158">
        <v>-92.350587500000003</v>
      </c>
      <c r="E1280" s="158">
        <v>38.739054600000003</v>
      </c>
      <c r="F1280" s="159">
        <v>6</v>
      </c>
      <c r="G1280" s="160">
        <v>18.55</v>
      </c>
      <c r="H1280" s="161">
        <v>2.5</v>
      </c>
      <c r="I1280" s="161">
        <v>67.8</v>
      </c>
      <c r="J1280" s="161">
        <v>29.7</v>
      </c>
      <c r="K1280" s="160">
        <v>0.2</v>
      </c>
    </row>
    <row r="1281" spans="1:11" x14ac:dyDescent="0.3">
      <c r="A1281" s="156" t="s">
        <v>887</v>
      </c>
      <c r="B1281" s="157" t="s">
        <v>888</v>
      </c>
      <c r="C1281" s="157">
        <v>2024</v>
      </c>
      <c r="D1281" s="158">
        <v>-92.345169067382798</v>
      </c>
      <c r="E1281" s="158">
        <v>38.967266082763601</v>
      </c>
      <c r="F1281" s="159">
        <v>4.5999999999999996</v>
      </c>
      <c r="G1281" s="160">
        <v>26</v>
      </c>
      <c r="H1281" s="161">
        <v>4.7</v>
      </c>
      <c r="I1281" s="161">
        <v>48.9</v>
      </c>
      <c r="J1281" s="161">
        <v>71</v>
      </c>
      <c r="K1281" s="160">
        <v>0.5</v>
      </c>
    </row>
    <row r="1282" spans="1:11" x14ac:dyDescent="0.3">
      <c r="A1282" s="156" t="s">
        <v>887</v>
      </c>
      <c r="B1282" s="157" t="s">
        <v>888</v>
      </c>
      <c r="C1282" s="157">
        <v>2024</v>
      </c>
      <c r="D1282" s="158">
        <v>-92.344999999999999</v>
      </c>
      <c r="E1282" s="158">
        <v>38.967222200000002</v>
      </c>
      <c r="F1282" s="159">
        <v>7.7</v>
      </c>
      <c r="G1282" s="160">
        <v>17</v>
      </c>
      <c r="H1282" s="161">
        <v>4.9000000000000004</v>
      </c>
      <c r="I1282" s="161">
        <v>35.799999999999997</v>
      </c>
      <c r="J1282" s="161">
        <v>38.6</v>
      </c>
      <c r="K1282" s="160">
        <v>0.7</v>
      </c>
    </row>
    <row r="1283" spans="1:11" x14ac:dyDescent="0.3">
      <c r="A1283" s="156" t="s">
        <v>887</v>
      </c>
      <c r="B1283" s="157" t="s">
        <v>888</v>
      </c>
      <c r="C1283" s="157">
        <v>2024</v>
      </c>
      <c r="D1283" s="158">
        <v>-92.341849999999994</v>
      </c>
      <c r="E1283" s="158">
        <v>36.6793111</v>
      </c>
      <c r="F1283" s="159">
        <v>4.3</v>
      </c>
      <c r="G1283" s="160">
        <v>14</v>
      </c>
      <c r="H1283" s="161">
        <v>18.8</v>
      </c>
      <c r="I1283" s="161">
        <v>58.2</v>
      </c>
      <c r="J1283" s="161">
        <v>23</v>
      </c>
      <c r="K1283" s="160">
        <v>0.1</v>
      </c>
    </row>
    <row r="1284" spans="1:11" x14ac:dyDescent="0.3">
      <c r="A1284" s="156" t="s">
        <v>887</v>
      </c>
      <c r="B1284" s="157" t="s">
        <v>888</v>
      </c>
      <c r="C1284" s="157">
        <v>2024</v>
      </c>
      <c r="D1284" s="158">
        <v>-92.327888900000005</v>
      </c>
      <c r="E1284" s="158">
        <v>39.2400278</v>
      </c>
      <c r="F1284" s="159">
        <v>4.5</v>
      </c>
      <c r="G1284" s="160">
        <v>16.2</v>
      </c>
      <c r="H1284" s="161">
        <v>3.4</v>
      </c>
      <c r="I1284" s="161">
        <v>51.4</v>
      </c>
      <c r="J1284" s="161">
        <v>47.7</v>
      </c>
      <c r="K1284" s="160">
        <v>0.6</v>
      </c>
    </row>
    <row r="1285" spans="1:11" x14ac:dyDescent="0.3">
      <c r="A1285" s="156" t="s">
        <v>887</v>
      </c>
      <c r="B1285" s="157" t="s">
        <v>888</v>
      </c>
      <c r="C1285" s="157">
        <v>2024</v>
      </c>
      <c r="D1285" s="158">
        <v>-92.261968400000001</v>
      </c>
      <c r="E1285" s="158">
        <v>38.449609799999998</v>
      </c>
      <c r="F1285" s="159">
        <v>5.9</v>
      </c>
      <c r="G1285" s="160">
        <v>25.95</v>
      </c>
      <c r="H1285" s="161">
        <v>45.9</v>
      </c>
      <c r="I1285" s="161">
        <v>48.6</v>
      </c>
      <c r="J1285" s="161">
        <v>5.5</v>
      </c>
      <c r="K1285" s="160">
        <v>0.4</v>
      </c>
    </row>
    <row r="1286" spans="1:11" x14ac:dyDescent="0.3">
      <c r="A1286" s="156" t="s">
        <v>887</v>
      </c>
      <c r="B1286" s="157" t="s">
        <v>888</v>
      </c>
      <c r="C1286" s="157">
        <v>2024</v>
      </c>
      <c r="D1286" s="158">
        <v>-92.198927800000007</v>
      </c>
      <c r="E1286" s="158">
        <v>36.873888899999997</v>
      </c>
      <c r="F1286" s="159">
        <v>4.4000000000000004</v>
      </c>
      <c r="G1286" s="160">
        <v>2.15</v>
      </c>
      <c r="H1286" s="161">
        <v>25.1</v>
      </c>
      <c r="I1286" s="161">
        <v>22</v>
      </c>
      <c r="J1286" s="161">
        <v>72</v>
      </c>
      <c r="K1286" s="160">
        <v>2.6</v>
      </c>
    </row>
    <row r="1287" spans="1:11" x14ac:dyDescent="0.3">
      <c r="A1287" s="156" t="s">
        <v>887</v>
      </c>
      <c r="B1287" s="157" t="s">
        <v>888</v>
      </c>
      <c r="C1287" s="157">
        <v>2024</v>
      </c>
      <c r="D1287" s="158">
        <v>-92.178054799999998</v>
      </c>
      <c r="E1287" s="158">
        <v>42.736389199999998</v>
      </c>
      <c r="F1287" s="159">
        <v>5.2</v>
      </c>
      <c r="G1287" s="160">
        <v>3</v>
      </c>
      <c r="H1287" s="161">
        <v>46.5</v>
      </c>
      <c r="I1287" s="161">
        <v>35.200000000000003</v>
      </c>
      <c r="J1287" s="161">
        <v>18.3</v>
      </c>
      <c r="K1287" s="160">
        <v>0.49000000000000005</v>
      </c>
    </row>
    <row r="1288" spans="1:11" x14ac:dyDescent="0.3">
      <c r="A1288" s="156" t="s">
        <v>887</v>
      </c>
      <c r="B1288" s="157" t="s">
        <v>888</v>
      </c>
      <c r="C1288" s="157">
        <v>2024</v>
      </c>
      <c r="D1288" s="158">
        <v>-92.173888899999994</v>
      </c>
      <c r="E1288" s="158">
        <v>36.545833299999998</v>
      </c>
      <c r="F1288" s="159">
        <v>5</v>
      </c>
      <c r="G1288" s="160">
        <v>3</v>
      </c>
      <c r="H1288" s="161">
        <v>4.3</v>
      </c>
      <c r="I1288" s="161">
        <v>16.5</v>
      </c>
      <c r="J1288" s="161">
        <v>79.2</v>
      </c>
      <c r="K1288" s="160">
        <v>0.3</v>
      </c>
    </row>
    <row r="1289" spans="1:11" x14ac:dyDescent="0.3">
      <c r="A1289" s="156" t="s">
        <v>887</v>
      </c>
      <c r="B1289" s="157" t="s">
        <v>888</v>
      </c>
      <c r="C1289" s="157">
        <v>2024</v>
      </c>
      <c r="D1289" s="158">
        <v>-92.167697200000006</v>
      </c>
      <c r="E1289" s="158">
        <v>36.768275000000003</v>
      </c>
      <c r="F1289" s="159">
        <v>4.8</v>
      </c>
      <c r="G1289" s="160">
        <v>14</v>
      </c>
      <c r="H1289" s="161">
        <v>12.5</v>
      </c>
      <c r="I1289" s="161">
        <v>74.900000000000006</v>
      </c>
      <c r="J1289" s="161">
        <v>12.6</v>
      </c>
      <c r="K1289" s="160">
        <v>0.7</v>
      </c>
    </row>
    <row r="1290" spans="1:11" x14ac:dyDescent="0.3">
      <c r="A1290" s="156" t="s">
        <v>887</v>
      </c>
      <c r="B1290" s="157" t="s">
        <v>888</v>
      </c>
      <c r="C1290" s="157">
        <v>2024</v>
      </c>
      <c r="D1290" s="158">
        <v>-92.1240454</v>
      </c>
      <c r="E1290" s="158">
        <v>37.021739500000002</v>
      </c>
      <c r="F1290" s="159">
        <v>4.5</v>
      </c>
      <c r="G1290" s="160">
        <v>13</v>
      </c>
      <c r="H1290" s="161">
        <v>9.9</v>
      </c>
      <c r="I1290" s="161">
        <v>79.3</v>
      </c>
      <c r="J1290" s="161">
        <v>10.8</v>
      </c>
      <c r="K1290" s="160">
        <v>2.6</v>
      </c>
    </row>
    <row r="1291" spans="1:11" x14ac:dyDescent="0.3">
      <c r="A1291" s="156" t="s">
        <v>887</v>
      </c>
      <c r="B1291" s="157" t="s">
        <v>888</v>
      </c>
      <c r="C1291" s="157">
        <v>2024</v>
      </c>
      <c r="D1291" s="158">
        <v>-92.086112999999997</v>
      </c>
      <c r="E1291" s="158">
        <v>45.219444299999999</v>
      </c>
      <c r="F1291" s="159">
        <v>5.9</v>
      </c>
      <c r="G1291" s="160">
        <v>8.0500000000000007</v>
      </c>
      <c r="H1291" s="161">
        <v>12.9</v>
      </c>
      <c r="I1291" s="161">
        <v>64.3</v>
      </c>
      <c r="J1291" s="161">
        <v>22.8</v>
      </c>
      <c r="K1291" s="160">
        <v>0.41</v>
      </c>
    </row>
    <row r="1292" spans="1:11" x14ac:dyDescent="0.3">
      <c r="A1292" s="156" t="s">
        <v>887</v>
      </c>
      <c r="B1292" s="157" t="s">
        <v>888</v>
      </c>
      <c r="C1292" s="157">
        <v>2024</v>
      </c>
      <c r="D1292" s="158">
        <v>-92.083105599999996</v>
      </c>
      <c r="E1292" s="158">
        <v>36.514991700000003</v>
      </c>
      <c r="F1292" s="159">
        <v>5.4</v>
      </c>
      <c r="G1292" s="160">
        <v>15</v>
      </c>
      <c r="H1292" s="161">
        <v>4.5999999999999996</v>
      </c>
      <c r="I1292" s="161">
        <v>22.9</v>
      </c>
      <c r="J1292" s="161">
        <v>72.5</v>
      </c>
      <c r="K1292" s="160">
        <v>0.3</v>
      </c>
    </row>
    <row r="1293" spans="1:11" x14ac:dyDescent="0.3">
      <c r="A1293" s="156" t="s">
        <v>887</v>
      </c>
      <c r="B1293" s="157" t="s">
        <v>888</v>
      </c>
      <c r="C1293" s="157">
        <v>2024</v>
      </c>
      <c r="D1293" s="158">
        <v>-91.992166699999999</v>
      </c>
      <c r="E1293" s="158">
        <v>40.404638900000002</v>
      </c>
      <c r="F1293" s="159">
        <v>7.2</v>
      </c>
      <c r="G1293" s="160">
        <v>18.2</v>
      </c>
      <c r="H1293" s="161">
        <v>45</v>
      </c>
      <c r="I1293" s="161">
        <v>27.7</v>
      </c>
      <c r="J1293" s="161">
        <v>27.3</v>
      </c>
      <c r="K1293" s="160">
        <v>0.1</v>
      </c>
    </row>
    <row r="1294" spans="1:11" x14ac:dyDescent="0.3">
      <c r="A1294" s="156" t="s">
        <v>887</v>
      </c>
      <c r="B1294" s="157" t="s">
        <v>888</v>
      </c>
      <c r="C1294" s="157">
        <v>2024</v>
      </c>
      <c r="D1294" s="158">
        <v>-91.963313600000006</v>
      </c>
      <c r="E1294" s="158">
        <v>38.238422</v>
      </c>
      <c r="F1294" s="159">
        <v>5.4</v>
      </c>
      <c r="G1294" s="160">
        <v>2.7</v>
      </c>
      <c r="H1294" s="161">
        <v>17</v>
      </c>
      <c r="I1294" s="161">
        <v>56.5</v>
      </c>
      <c r="J1294" s="161">
        <v>10.6</v>
      </c>
      <c r="K1294" s="160">
        <v>0.2</v>
      </c>
    </row>
    <row r="1295" spans="1:11" x14ac:dyDescent="0.3">
      <c r="A1295" s="156" t="s">
        <v>887</v>
      </c>
      <c r="B1295" s="157" t="s">
        <v>888</v>
      </c>
      <c r="C1295" s="157">
        <v>2024</v>
      </c>
      <c r="D1295" s="158">
        <v>-91.877391700000004</v>
      </c>
      <c r="E1295" s="158">
        <v>39.334055599999999</v>
      </c>
      <c r="F1295" s="159">
        <v>5.8</v>
      </c>
      <c r="G1295" s="160">
        <v>17</v>
      </c>
      <c r="H1295" s="161">
        <v>18.399999999999999</v>
      </c>
      <c r="I1295" s="161">
        <v>72.5</v>
      </c>
      <c r="J1295" s="161">
        <v>9.1</v>
      </c>
      <c r="K1295" s="160">
        <v>0.3</v>
      </c>
    </row>
    <row r="1296" spans="1:11" x14ac:dyDescent="0.3">
      <c r="A1296" s="156" t="s">
        <v>887</v>
      </c>
      <c r="B1296" s="157" t="s">
        <v>888</v>
      </c>
      <c r="C1296" s="157">
        <v>2024</v>
      </c>
      <c r="D1296" s="158">
        <v>-91.817711099999997</v>
      </c>
      <c r="E1296" s="158">
        <v>37.036572200000002</v>
      </c>
      <c r="F1296" s="159">
        <v>5.0999999999999996</v>
      </c>
      <c r="G1296" s="160">
        <v>2.4500000000000002</v>
      </c>
      <c r="H1296" s="161">
        <v>4.2</v>
      </c>
      <c r="I1296" s="161">
        <v>20.5</v>
      </c>
      <c r="J1296" s="161">
        <v>75.2</v>
      </c>
      <c r="K1296" s="160">
        <v>0.2</v>
      </c>
    </row>
    <row r="1297" spans="1:11" x14ac:dyDescent="0.3">
      <c r="A1297" s="156" t="s">
        <v>887</v>
      </c>
      <c r="B1297" s="157" t="s">
        <v>888</v>
      </c>
      <c r="C1297" s="157">
        <v>2024</v>
      </c>
      <c r="D1297" s="158">
        <v>-91.656583299999994</v>
      </c>
      <c r="E1297" s="158">
        <v>36.765861100000002</v>
      </c>
      <c r="F1297" s="159">
        <v>4.9000000000000004</v>
      </c>
      <c r="G1297" s="160">
        <v>2</v>
      </c>
      <c r="H1297" s="161">
        <v>30.9</v>
      </c>
      <c r="I1297" s="161">
        <v>54</v>
      </c>
      <c r="J1297" s="161">
        <v>15.1</v>
      </c>
      <c r="K1297" s="160">
        <v>0.1</v>
      </c>
    </row>
    <row r="1298" spans="1:11" x14ac:dyDescent="0.3">
      <c r="A1298" s="156" t="s">
        <v>887</v>
      </c>
      <c r="B1298" s="157" t="s">
        <v>888</v>
      </c>
      <c r="C1298" s="157">
        <v>2024</v>
      </c>
      <c r="D1298" s="158">
        <v>-91.650977600000004</v>
      </c>
      <c r="E1298" s="158">
        <v>38.400884499999997</v>
      </c>
      <c r="F1298" s="159">
        <v>5</v>
      </c>
      <c r="G1298" s="160">
        <v>9.0500000000000007</v>
      </c>
      <c r="H1298" s="161">
        <v>2.6</v>
      </c>
      <c r="I1298" s="161">
        <v>61</v>
      </c>
      <c r="J1298" s="161">
        <v>36.4</v>
      </c>
      <c r="K1298" s="160">
        <v>0.3</v>
      </c>
    </row>
    <row r="1299" spans="1:11" x14ac:dyDescent="0.3">
      <c r="A1299" s="156" t="s">
        <v>887</v>
      </c>
      <c r="B1299" s="157" t="s">
        <v>888</v>
      </c>
      <c r="C1299" s="157">
        <v>2024</v>
      </c>
      <c r="D1299" s="158">
        <v>-91.648429899999996</v>
      </c>
      <c r="E1299" s="158">
        <v>37.129795100000003</v>
      </c>
      <c r="F1299" s="159">
        <v>5.0999999999999996</v>
      </c>
      <c r="G1299" s="160">
        <v>7</v>
      </c>
      <c r="H1299" s="161">
        <v>18.600000000000001</v>
      </c>
      <c r="I1299" s="161">
        <v>49.7</v>
      </c>
      <c r="J1299" s="161">
        <v>23.2</v>
      </c>
      <c r="K1299" s="160">
        <v>0.1</v>
      </c>
    </row>
    <row r="1300" spans="1:11" x14ac:dyDescent="0.3">
      <c r="A1300" s="156" t="s">
        <v>887</v>
      </c>
      <c r="B1300" s="157" t="s">
        <v>888</v>
      </c>
      <c r="C1300" s="157">
        <v>2024</v>
      </c>
      <c r="D1300" s="158">
        <v>-91.588888900000001</v>
      </c>
      <c r="E1300" s="158">
        <v>38.643194399999999</v>
      </c>
      <c r="F1300" s="159">
        <v>6</v>
      </c>
      <c r="G1300" s="160">
        <v>13.85</v>
      </c>
      <c r="H1300" s="161">
        <v>4.7</v>
      </c>
      <c r="I1300" s="161">
        <v>78.400000000000006</v>
      </c>
      <c r="J1300" s="161">
        <v>16.899999999999999</v>
      </c>
      <c r="K1300" s="160">
        <v>0.5</v>
      </c>
    </row>
    <row r="1301" spans="1:11" x14ac:dyDescent="0.3">
      <c r="A1301" s="156" t="s">
        <v>887</v>
      </c>
      <c r="B1301" s="157" t="s">
        <v>888</v>
      </c>
      <c r="C1301" s="157">
        <v>2024</v>
      </c>
      <c r="D1301" s="158">
        <v>-91.580150000000003</v>
      </c>
      <c r="E1301" s="158">
        <v>37.333100000000002</v>
      </c>
      <c r="F1301" s="159">
        <v>5.0999999999999996</v>
      </c>
      <c r="G1301" s="160">
        <v>17</v>
      </c>
      <c r="H1301" s="161">
        <v>4.4000000000000004</v>
      </c>
      <c r="I1301" s="161">
        <v>13.9</v>
      </c>
      <c r="J1301" s="161">
        <v>81.7</v>
      </c>
      <c r="K1301" s="160">
        <v>0.1</v>
      </c>
    </row>
    <row r="1302" spans="1:11" x14ac:dyDescent="0.3">
      <c r="A1302" s="156" t="s">
        <v>887</v>
      </c>
      <c r="B1302" s="157" t="s">
        <v>888</v>
      </c>
      <c r="C1302" s="157">
        <v>2024</v>
      </c>
      <c r="D1302" s="158">
        <v>-91.575416700000005</v>
      </c>
      <c r="E1302" s="158">
        <v>38.904861099999998</v>
      </c>
      <c r="F1302" s="159">
        <v>5</v>
      </c>
      <c r="G1302" s="160">
        <v>8.1</v>
      </c>
      <c r="H1302" s="161">
        <v>42.4</v>
      </c>
      <c r="I1302" s="161">
        <v>49.1</v>
      </c>
      <c r="J1302" s="161">
        <v>8.5</v>
      </c>
      <c r="K1302" s="160">
        <v>0.4</v>
      </c>
    </row>
    <row r="1303" spans="1:11" x14ac:dyDescent="0.3">
      <c r="A1303" s="156" t="s">
        <v>887</v>
      </c>
      <c r="B1303" s="157" t="s">
        <v>888</v>
      </c>
      <c r="C1303" s="157">
        <v>2024</v>
      </c>
      <c r="D1303" s="158">
        <v>-91.527166699999995</v>
      </c>
      <c r="E1303" s="158">
        <v>38.872583300000002</v>
      </c>
      <c r="F1303" s="159">
        <v>4.5999999999999996</v>
      </c>
      <c r="G1303" s="160">
        <v>3.1</v>
      </c>
      <c r="H1303" s="161">
        <v>8.3000000000000007</v>
      </c>
      <c r="I1303" s="161">
        <v>36.1</v>
      </c>
      <c r="J1303" s="161">
        <v>55.6</v>
      </c>
      <c r="K1303" s="160">
        <v>0.2</v>
      </c>
    </row>
    <row r="1304" spans="1:11" x14ac:dyDescent="0.3">
      <c r="A1304" s="156" t="s">
        <v>887</v>
      </c>
      <c r="B1304" s="157" t="s">
        <v>888</v>
      </c>
      <c r="C1304" s="157">
        <v>2024</v>
      </c>
      <c r="D1304" s="158">
        <v>-91.479944399999994</v>
      </c>
      <c r="E1304" s="158">
        <v>38.983611099999997</v>
      </c>
      <c r="F1304" s="159">
        <v>6.6</v>
      </c>
      <c r="G1304" s="160">
        <v>25</v>
      </c>
      <c r="H1304" s="161">
        <v>46.6</v>
      </c>
      <c r="I1304" s="161">
        <v>39.9</v>
      </c>
      <c r="J1304" s="161">
        <v>13.5</v>
      </c>
      <c r="K1304" s="160">
        <v>1.1000000000000001</v>
      </c>
    </row>
    <row r="1305" spans="1:11" x14ac:dyDescent="0.3">
      <c r="A1305" s="156" t="s">
        <v>887</v>
      </c>
      <c r="B1305" s="157" t="s">
        <v>888</v>
      </c>
      <c r="C1305" s="157">
        <v>2024</v>
      </c>
      <c r="D1305" s="158">
        <v>-91.418052700000004</v>
      </c>
      <c r="E1305" s="158">
        <v>31.808332400000001</v>
      </c>
      <c r="F1305" s="159">
        <v>5.4</v>
      </c>
      <c r="G1305" s="160">
        <v>10</v>
      </c>
      <c r="H1305" s="161">
        <v>44.3</v>
      </c>
      <c r="I1305" s="161">
        <v>35</v>
      </c>
      <c r="J1305" s="161">
        <v>20.7</v>
      </c>
      <c r="K1305" s="160">
        <v>0.09</v>
      </c>
    </row>
    <row r="1306" spans="1:11" x14ac:dyDescent="0.3">
      <c r="A1306" s="156" t="s">
        <v>887</v>
      </c>
      <c r="B1306" s="157" t="s">
        <v>888</v>
      </c>
      <c r="C1306" s="157">
        <v>2024</v>
      </c>
      <c r="D1306" s="158">
        <v>-91.415005600000001</v>
      </c>
      <c r="E1306" s="158">
        <v>37.263125000000002</v>
      </c>
      <c r="F1306" s="159">
        <v>5.9</v>
      </c>
      <c r="G1306" s="160">
        <v>4</v>
      </c>
      <c r="H1306" s="161">
        <v>15</v>
      </c>
      <c r="I1306" s="161">
        <v>71.7</v>
      </c>
      <c r="J1306" s="161">
        <v>13.3</v>
      </c>
      <c r="K1306" s="160">
        <v>1.6</v>
      </c>
    </row>
    <row r="1307" spans="1:11" x14ac:dyDescent="0.3">
      <c r="A1307" s="156" t="s">
        <v>887</v>
      </c>
      <c r="B1307" s="157" t="s">
        <v>888</v>
      </c>
      <c r="C1307" s="157">
        <v>2024</v>
      </c>
      <c r="D1307" s="158">
        <v>-91.384722199999999</v>
      </c>
      <c r="E1307" s="158">
        <v>38.963333300000002</v>
      </c>
      <c r="F1307" s="159">
        <v>5.2</v>
      </c>
      <c r="G1307" s="160">
        <v>18</v>
      </c>
      <c r="H1307" s="161">
        <v>4.8</v>
      </c>
      <c r="I1307" s="161">
        <v>48.2</v>
      </c>
      <c r="J1307" s="161">
        <v>47</v>
      </c>
      <c r="K1307" s="160">
        <v>0.2</v>
      </c>
    </row>
    <row r="1308" spans="1:11" x14ac:dyDescent="0.3">
      <c r="A1308" s="156" t="s">
        <v>887</v>
      </c>
      <c r="B1308" s="157" t="s">
        <v>888</v>
      </c>
      <c r="C1308" s="157">
        <v>2024</v>
      </c>
      <c r="D1308" s="158">
        <v>-91.346177800000007</v>
      </c>
      <c r="E1308" s="158">
        <v>37.378169399999997</v>
      </c>
      <c r="F1308" s="159">
        <v>5.0999999999999996</v>
      </c>
      <c r="G1308" s="160">
        <v>4</v>
      </c>
      <c r="H1308" s="161">
        <v>59.6</v>
      </c>
      <c r="I1308" s="161">
        <v>19.7</v>
      </c>
      <c r="J1308" s="161">
        <v>20.7</v>
      </c>
      <c r="K1308" s="160">
        <v>0.1</v>
      </c>
    </row>
    <row r="1309" spans="1:11" x14ac:dyDescent="0.3">
      <c r="A1309" s="156" t="s">
        <v>887</v>
      </c>
      <c r="B1309" s="157" t="s">
        <v>888</v>
      </c>
      <c r="C1309" s="157">
        <v>2024</v>
      </c>
      <c r="D1309" s="158">
        <v>-91.316855599999997</v>
      </c>
      <c r="E1309" s="158">
        <v>37.109202799999998</v>
      </c>
      <c r="F1309" s="159">
        <v>5.4</v>
      </c>
      <c r="G1309" s="160">
        <v>6</v>
      </c>
      <c r="H1309" s="161">
        <v>13.4</v>
      </c>
      <c r="I1309" s="161">
        <v>61.8</v>
      </c>
      <c r="J1309" s="161">
        <v>24.8</v>
      </c>
      <c r="K1309" s="160">
        <v>0.2</v>
      </c>
    </row>
    <row r="1310" spans="1:11" x14ac:dyDescent="0.3">
      <c r="A1310" s="156" t="s">
        <v>887</v>
      </c>
      <c r="B1310" s="157" t="s">
        <v>888</v>
      </c>
      <c r="C1310" s="157">
        <v>2024</v>
      </c>
      <c r="D1310" s="158">
        <v>-91.233333299999998</v>
      </c>
      <c r="E1310" s="158">
        <v>37.066666699999999</v>
      </c>
      <c r="F1310" s="159">
        <v>5.4</v>
      </c>
      <c r="G1310" s="160">
        <v>3.2</v>
      </c>
      <c r="H1310" s="161">
        <v>40.799999999999997</v>
      </c>
      <c r="I1310" s="161">
        <v>45.2</v>
      </c>
      <c r="J1310" s="161">
        <v>14</v>
      </c>
      <c r="K1310" s="160">
        <v>1.6</v>
      </c>
    </row>
    <row r="1311" spans="1:11" x14ac:dyDescent="0.3">
      <c r="A1311" s="156" t="s">
        <v>887</v>
      </c>
      <c r="B1311" s="157" t="s">
        <v>888</v>
      </c>
      <c r="C1311" s="157">
        <v>2024</v>
      </c>
      <c r="D1311" s="158">
        <v>-91.226122200000006</v>
      </c>
      <c r="E1311" s="158">
        <v>37.568627800000002</v>
      </c>
      <c r="F1311" s="159">
        <v>5</v>
      </c>
      <c r="G1311" s="160">
        <v>12.8</v>
      </c>
      <c r="H1311" s="161">
        <v>9.6</v>
      </c>
      <c r="I1311" s="161">
        <v>37</v>
      </c>
      <c r="J1311" s="161">
        <v>53.4</v>
      </c>
      <c r="K1311" s="160">
        <v>0.1</v>
      </c>
    </row>
    <row r="1312" spans="1:11" x14ac:dyDescent="0.3">
      <c r="A1312" s="156" t="s">
        <v>887</v>
      </c>
      <c r="B1312" s="157" t="s">
        <v>888</v>
      </c>
      <c r="C1312" s="157">
        <v>2024</v>
      </c>
      <c r="D1312" s="158">
        <v>-91.198147199999994</v>
      </c>
      <c r="E1312" s="158">
        <v>37.009094400000002</v>
      </c>
      <c r="F1312" s="159">
        <v>5</v>
      </c>
      <c r="G1312" s="160">
        <v>8</v>
      </c>
      <c r="H1312" s="161">
        <v>37.4</v>
      </c>
      <c r="I1312" s="161">
        <v>53.1</v>
      </c>
      <c r="J1312" s="161">
        <v>9.5</v>
      </c>
      <c r="K1312" s="160">
        <v>0.3</v>
      </c>
    </row>
    <row r="1313" spans="1:11" x14ac:dyDescent="0.3">
      <c r="A1313" s="156" t="s">
        <v>887</v>
      </c>
      <c r="B1313" s="157" t="s">
        <v>888</v>
      </c>
      <c r="C1313" s="157">
        <v>2024</v>
      </c>
      <c r="D1313" s="158">
        <v>-91.1735556</v>
      </c>
      <c r="E1313" s="158">
        <v>37.162472200000003</v>
      </c>
      <c r="F1313" s="159">
        <v>5.6</v>
      </c>
      <c r="G1313" s="160">
        <v>2.6</v>
      </c>
      <c r="H1313" s="161">
        <v>10.9</v>
      </c>
      <c r="I1313" s="161">
        <v>48.2</v>
      </c>
      <c r="J1313" s="161">
        <v>40.9</v>
      </c>
      <c r="K1313" s="160">
        <v>0.1</v>
      </c>
    </row>
    <row r="1314" spans="1:11" x14ac:dyDescent="0.3">
      <c r="A1314" s="156" t="s">
        <v>887</v>
      </c>
      <c r="B1314" s="157" t="s">
        <v>888</v>
      </c>
      <c r="C1314" s="157">
        <v>2024</v>
      </c>
      <c r="D1314" s="158">
        <v>-91.138741699999997</v>
      </c>
      <c r="E1314" s="158">
        <v>37.175033300000003</v>
      </c>
      <c r="F1314" s="159">
        <v>5.0999999999999996</v>
      </c>
      <c r="G1314" s="160">
        <v>9</v>
      </c>
      <c r="H1314" s="161">
        <v>21.2</v>
      </c>
      <c r="I1314" s="161">
        <v>70.099999999999994</v>
      </c>
      <c r="J1314" s="161">
        <v>8.6999999999999993</v>
      </c>
      <c r="K1314" s="160">
        <v>0.2</v>
      </c>
    </row>
    <row r="1315" spans="1:11" x14ac:dyDescent="0.3">
      <c r="A1315" s="156" t="s">
        <v>887</v>
      </c>
      <c r="B1315" s="157" t="s">
        <v>888</v>
      </c>
      <c r="C1315" s="157">
        <v>2024</v>
      </c>
      <c r="D1315" s="158">
        <v>-91.138549999999995</v>
      </c>
      <c r="E1315" s="158">
        <v>37.1745722</v>
      </c>
      <c r="F1315" s="159">
        <v>4.9000000000000004</v>
      </c>
      <c r="G1315" s="160">
        <v>5.25</v>
      </c>
      <c r="H1315" s="161">
        <v>0.5</v>
      </c>
      <c r="I1315" s="161">
        <v>6.6</v>
      </c>
      <c r="J1315" s="161">
        <v>92.8</v>
      </c>
      <c r="K1315" s="160">
        <v>0.1</v>
      </c>
    </row>
    <row r="1316" spans="1:11" x14ac:dyDescent="0.3">
      <c r="A1316" s="156" t="s">
        <v>887</v>
      </c>
      <c r="B1316" s="157" t="s">
        <v>888</v>
      </c>
      <c r="C1316" s="157">
        <v>2024</v>
      </c>
      <c r="D1316" s="158">
        <v>-91.100399999999993</v>
      </c>
      <c r="E1316" s="158">
        <v>37.133650000000003</v>
      </c>
      <c r="F1316" s="159">
        <v>4.8</v>
      </c>
      <c r="G1316" s="160">
        <v>3</v>
      </c>
      <c r="H1316" s="161">
        <v>38.6</v>
      </c>
      <c r="I1316" s="161">
        <v>28</v>
      </c>
      <c r="J1316" s="161">
        <v>22.6</v>
      </c>
      <c r="K1316" s="160">
        <v>0.1</v>
      </c>
    </row>
    <row r="1317" spans="1:11" x14ac:dyDescent="0.3">
      <c r="A1317" s="156" t="s">
        <v>887</v>
      </c>
      <c r="B1317" s="157" t="s">
        <v>888</v>
      </c>
      <c r="C1317" s="157">
        <v>2024</v>
      </c>
      <c r="D1317" s="158">
        <v>-91.098736099999996</v>
      </c>
      <c r="E1317" s="158">
        <v>37.147538900000001</v>
      </c>
      <c r="F1317" s="159">
        <v>4.5</v>
      </c>
      <c r="G1317" s="160">
        <v>4</v>
      </c>
      <c r="H1317" s="161">
        <v>24.9</v>
      </c>
      <c r="I1317" s="161">
        <v>55</v>
      </c>
      <c r="J1317" s="161">
        <v>20.100000000000001</v>
      </c>
      <c r="K1317" s="160">
        <v>0.1</v>
      </c>
    </row>
    <row r="1318" spans="1:11" x14ac:dyDescent="0.3">
      <c r="A1318" s="156" t="s">
        <v>887</v>
      </c>
      <c r="B1318" s="157" t="s">
        <v>888</v>
      </c>
      <c r="C1318" s="157">
        <v>2024</v>
      </c>
      <c r="D1318" s="158">
        <v>-91.087249999999997</v>
      </c>
      <c r="E1318" s="158">
        <v>36.951500000000003</v>
      </c>
      <c r="F1318" s="159">
        <v>6.3</v>
      </c>
      <c r="G1318" s="160">
        <v>5.05</v>
      </c>
      <c r="H1318" s="161">
        <v>5.0999999999999996</v>
      </c>
      <c r="I1318" s="161">
        <v>73.5</v>
      </c>
      <c r="J1318" s="161">
        <v>21.5</v>
      </c>
      <c r="K1318" s="160">
        <v>1.3</v>
      </c>
    </row>
    <row r="1319" spans="1:11" x14ac:dyDescent="0.3">
      <c r="A1319" s="156" t="s">
        <v>887</v>
      </c>
      <c r="B1319" s="157" t="s">
        <v>888</v>
      </c>
      <c r="C1319" s="157">
        <v>2024</v>
      </c>
      <c r="D1319" s="158">
        <v>-91.015537899999998</v>
      </c>
      <c r="E1319" s="158">
        <v>37.838752499999998</v>
      </c>
      <c r="F1319" s="159">
        <v>5.2</v>
      </c>
      <c r="G1319" s="160">
        <v>10</v>
      </c>
      <c r="H1319" s="161">
        <v>13.6</v>
      </c>
      <c r="I1319" s="161">
        <v>39.6</v>
      </c>
      <c r="J1319" s="161">
        <v>46.8</v>
      </c>
      <c r="K1319" s="160">
        <v>0.2</v>
      </c>
    </row>
    <row r="1320" spans="1:11" x14ac:dyDescent="0.3">
      <c r="A1320" s="156" t="s">
        <v>887</v>
      </c>
      <c r="B1320" s="157" t="s">
        <v>888</v>
      </c>
      <c r="C1320" s="157">
        <v>2024</v>
      </c>
      <c r="D1320" s="158">
        <v>-90.913895299999993</v>
      </c>
      <c r="E1320" s="158">
        <v>37.8447453</v>
      </c>
      <c r="F1320" s="159">
        <v>4.8</v>
      </c>
      <c r="G1320" s="160">
        <v>3</v>
      </c>
      <c r="H1320" s="161">
        <v>18.7</v>
      </c>
      <c r="I1320" s="161">
        <v>8.3000000000000007</v>
      </c>
      <c r="J1320" s="161">
        <v>73</v>
      </c>
      <c r="K1320" s="160">
        <v>0.1</v>
      </c>
    </row>
    <row r="1321" spans="1:11" x14ac:dyDescent="0.3">
      <c r="A1321" s="156" t="s">
        <v>887</v>
      </c>
      <c r="B1321" s="157" t="s">
        <v>888</v>
      </c>
      <c r="C1321" s="157">
        <v>2024</v>
      </c>
      <c r="D1321" s="158">
        <v>-90.909852799999996</v>
      </c>
      <c r="E1321" s="158">
        <v>37.87115</v>
      </c>
      <c r="F1321" s="159">
        <v>4.5999999999999996</v>
      </c>
      <c r="G1321" s="160">
        <v>27.75</v>
      </c>
      <c r="H1321" s="161">
        <v>38.1</v>
      </c>
      <c r="I1321" s="161">
        <v>44.7</v>
      </c>
      <c r="J1321" s="161">
        <v>17.2</v>
      </c>
      <c r="K1321" s="160">
        <v>0.1</v>
      </c>
    </row>
    <row r="1322" spans="1:11" x14ac:dyDescent="0.3">
      <c r="A1322" s="156" t="s">
        <v>887</v>
      </c>
      <c r="B1322" s="157" t="s">
        <v>888</v>
      </c>
      <c r="C1322" s="157">
        <v>2024</v>
      </c>
      <c r="D1322" s="158">
        <v>-90.870522199999996</v>
      </c>
      <c r="E1322" s="158">
        <v>37.558925000000002</v>
      </c>
      <c r="F1322" s="159">
        <v>7.8</v>
      </c>
      <c r="G1322" s="160">
        <v>3</v>
      </c>
      <c r="H1322" s="161">
        <v>58.7</v>
      </c>
      <c r="I1322" s="161">
        <v>21.3</v>
      </c>
      <c r="J1322" s="161">
        <v>20</v>
      </c>
      <c r="K1322" s="160">
        <v>0.1</v>
      </c>
    </row>
    <row r="1323" spans="1:11" x14ac:dyDescent="0.3">
      <c r="A1323" s="156" t="s">
        <v>887</v>
      </c>
      <c r="B1323" s="157" t="s">
        <v>888</v>
      </c>
      <c r="C1323" s="157">
        <v>2024</v>
      </c>
      <c r="D1323" s="158">
        <v>-90.869382000000002</v>
      </c>
      <c r="E1323" s="158">
        <v>37.879093099999999</v>
      </c>
      <c r="F1323" s="159">
        <v>5.5</v>
      </c>
      <c r="G1323" s="160">
        <v>3</v>
      </c>
      <c r="H1323" s="161">
        <v>10</v>
      </c>
      <c r="I1323" s="161">
        <v>68.2</v>
      </c>
      <c r="J1323" s="161">
        <v>21.8</v>
      </c>
      <c r="K1323" s="160">
        <v>0.1</v>
      </c>
    </row>
    <row r="1324" spans="1:11" x14ac:dyDescent="0.3">
      <c r="A1324" s="156" t="s">
        <v>887</v>
      </c>
      <c r="B1324" s="157" t="s">
        <v>888</v>
      </c>
      <c r="C1324" s="157">
        <v>2024</v>
      </c>
      <c r="D1324" s="158">
        <v>-90.810668899999996</v>
      </c>
      <c r="E1324" s="158">
        <v>34.730396300000002</v>
      </c>
      <c r="F1324" s="159">
        <v>7.5</v>
      </c>
      <c r="G1324" s="160">
        <v>11.3</v>
      </c>
      <c r="H1324" s="161">
        <v>50.5</v>
      </c>
      <c r="I1324" s="161">
        <v>32.200000000000003</v>
      </c>
      <c r="J1324" s="161">
        <v>17.3</v>
      </c>
      <c r="K1324" s="160">
        <v>6.9999999999999993E-2</v>
      </c>
    </row>
    <row r="1325" spans="1:11" x14ac:dyDescent="0.3">
      <c r="A1325" s="156" t="s">
        <v>887</v>
      </c>
      <c r="B1325" s="157" t="s">
        <v>888</v>
      </c>
      <c r="C1325" s="157">
        <v>2024</v>
      </c>
      <c r="D1325" s="158">
        <v>-90.757499699999997</v>
      </c>
      <c r="E1325" s="158">
        <v>41.031665799999999</v>
      </c>
      <c r="F1325" s="159">
        <v>5.9</v>
      </c>
      <c r="G1325" s="160">
        <v>17</v>
      </c>
      <c r="H1325" s="161">
        <v>7.9</v>
      </c>
      <c r="I1325" s="161">
        <v>67.8</v>
      </c>
      <c r="J1325" s="161">
        <v>24.3</v>
      </c>
      <c r="K1325" s="160">
        <v>1.08</v>
      </c>
    </row>
    <row r="1326" spans="1:11" x14ac:dyDescent="0.3">
      <c r="A1326" s="156" t="s">
        <v>887</v>
      </c>
      <c r="B1326" s="157" t="s">
        <v>888</v>
      </c>
      <c r="C1326" s="157">
        <v>2024</v>
      </c>
      <c r="D1326" s="158">
        <v>-90.752499999999998</v>
      </c>
      <c r="E1326" s="158">
        <v>38.181666700000001</v>
      </c>
      <c r="F1326" s="159">
        <v>7.6</v>
      </c>
      <c r="G1326" s="160">
        <v>5.5</v>
      </c>
      <c r="H1326" s="161">
        <v>4.7</v>
      </c>
      <c r="I1326" s="161">
        <v>9.6999999999999993</v>
      </c>
      <c r="J1326" s="161">
        <v>85.7</v>
      </c>
      <c r="K1326" s="160">
        <v>0.2</v>
      </c>
    </row>
    <row r="1327" spans="1:11" x14ac:dyDescent="0.3">
      <c r="A1327" s="156" t="s">
        <v>887</v>
      </c>
      <c r="B1327" s="157" t="s">
        <v>888</v>
      </c>
      <c r="C1327" s="157">
        <v>2024</v>
      </c>
      <c r="D1327" s="158">
        <v>-90.750027799999998</v>
      </c>
      <c r="E1327" s="158">
        <v>38.839583300000001</v>
      </c>
      <c r="F1327" s="159">
        <v>5.3</v>
      </c>
      <c r="G1327" s="160">
        <v>17.45</v>
      </c>
      <c r="H1327" s="161">
        <v>5</v>
      </c>
      <c r="I1327" s="161">
        <v>82.7</v>
      </c>
      <c r="J1327" s="161">
        <v>12.3</v>
      </c>
      <c r="K1327" s="160">
        <v>1.3</v>
      </c>
    </row>
    <row r="1328" spans="1:11" x14ac:dyDescent="0.3">
      <c r="A1328" s="156" t="s">
        <v>887</v>
      </c>
      <c r="B1328" s="157" t="s">
        <v>888</v>
      </c>
      <c r="C1328" s="157">
        <v>2024</v>
      </c>
      <c r="D1328" s="158">
        <v>-90.747059500000006</v>
      </c>
      <c r="E1328" s="158">
        <v>38.175611099999998</v>
      </c>
      <c r="F1328" s="159">
        <v>5.4</v>
      </c>
      <c r="G1328" s="160">
        <v>17</v>
      </c>
      <c r="H1328" s="161">
        <v>31.3</v>
      </c>
      <c r="I1328" s="161">
        <v>40.4</v>
      </c>
      <c r="J1328" s="161">
        <v>28.3</v>
      </c>
      <c r="K1328" s="160">
        <v>0.7</v>
      </c>
    </row>
    <row r="1329" spans="1:11" x14ac:dyDescent="0.3">
      <c r="A1329" s="156" t="s">
        <v>887</v>
      </c>
      <c r="B1329" s="157" t="s">
        <v>888</v>
      </c>
      <c r="C1329" s="157">
        <v>2024</v>
      </c>
      <c r="D1329" s="158">
        <v>-90.743995699999999</v>
      </c>
      <c r="E1329" s="158">
        <v>34.729286199999997</v>
      </c>
      <c r="F1329" s="159">
        <v>6.5</v>
      </c>
      <c r="G1329" s="160">
        <v>7.2</v>
      </c>
      <c r="H1329" s="161">
        <v>40.799999999999997</v>
      </c>
      <c r="I1329" s="161">
        <v>76.3</v>
      </c>
      <c r="J1329" s="161">
        <v>22.4</v>
      </c>
      <c r="K1329" s="160">
        <v>0.06</v>
      </c>
    </row>
    <row r="1330" spans="1:11" x14ac:dyDescent="0.3">
      <c r="A1330" s="156" t="s">
        <v>887</v>
      </c>
      <c r="B1330" s="157" t="s">
        <v>888</v>
      </c>
      <c r="C1330" s="157">
        <v>2024</v>
      </c>
      <c r="D1330" s="158">
        <v>-90.740837099999993</v>
      </c>
      <c r="E1330" s="158">
        <v>44.431945800000001</v>
      </c>
      <c r="F1330" s="159">
        <v>3.9</v>
      </c>
      <c r="G1330" s="160">
        <v>1</v>
      </c>
      <c r="H1330" s="161">
        <v>86.1</v>
      </c>
      <c r="I1330" s="161">
        <v>12.2</v>
      </c>
      <c r="J1330" s="161">
        <v>1.7</v>
      </c>
      <c r="K1330" s="160">
        <v>4.2799999999999994</v>
      </c>
    </row>
    <row r="1331" spans="1:11" x14ac:dyDescent="0.3">
      <c r="A1331" s="156" t="s">
        <v>887</v>
      </c>
      <c r="B1331" s="157" t="s">
        <v>888</v>
      </c>
      <c r="C1331" s="157">
        <v>2024</v>
      </c>
      <c r="D1331" s="158">
        <v>-90.716667200000003</v>
      </c>
      <c r="E1331" s="158">
        <v>37.808555599999998</v>
      </c>
      <c r="F1331" s="159">
        <v>4.9000000000000004</v>
      </c>
      <c r="G1331" s="160">
        <v>4.25</v>
      </c>
      <c r="H1331" s="161">
        <v>19.7</v>
      </c>
      <c r="I1331" s="161">
        <v>64.7</v>
      </c>
      <c r="J1331" s="161">
        <v>15.6</v>
      </c>
      <c r="K1331" s="160">
        <v>0.1</v>
      </c>
    </row>
    <row r="1332" spans="1:11" x14ac:dyDescent="0.3">
      <c r="A1332" s="156" t="s">
        <v>887</v>
      </c>
      <c r="B1332" s="157" t="s">
        <v>888</v>
      </c>
      <c r="C1332" s="157">
        <v>2024</v>
      </c>
      <c r="D1332" s="158">
        <v>-90.659199999999998</v>
      </c>
      <c r="E1332" s="158">
        <v>44.35427</v>
      </c>
      <c r="F1332" s="159">
        <v>5.2</v>
      </c>
      <c r="G1332" s="160">
        <v>0.2</v>
      </c>
      <c r="H1332" s="161">
        <v>90.3</v>
      </c>
      <c r="I1332" s="161">
        <v>6.7</v>
      </c>
      <c r="J1332" s="161">
        <v>2.9</v>
      </c>
      <c r="K1332" s="160">
        <v>0.37</v>
      </c>
    </row>
    <row r="1333" spans="1:11" x14ac:dyDescent="0.3">
      <c r="A1333" s="156" t="s">
        <v>887</v>
      </c>
      <c r="B1333" s="157" t="s">
        <v>888</v>
      </c>
      <c r="C1333" s="157">
        <v>2024</v>
      </c>
      <c r="D1333" s="158">
        <v>-90.632894399999998</v>
      </c>
      <c r="E1333" s="158">
        <v>36.937466700000002</v>
      </c>
      <c r="F1333" s="159">
        <v>4.8</v>
      </c>
      <c r="G1333" s="160">
        <v>12</v>
      </c>
      <c r="H1333" s="161">
        <v>8.8000000000000007</v>
      </c>
      <c r="I1333" s="161">
        <v>33.4</v>
      </c>
      <c r="J1333" s="161">
        <v>57.8</v>
      </c>
      <c r="K1333" s="160">
        <v>0.2</v>
      </c>
    </row>
    <row r="1334" spans="1:11" x14ac:dyDescent="0.3">
      <c r="A1334" s="156" t="s">
        <v>887</v>
      </c>
      <c r="B1334" s="157" t="s">
        <v>888</v>
      </c>
      <c r="C1334" s="157">
        <v>2024</v>
      </c>
      <c r="D1334" s="158">
        <v>-90.583333300000007</v>
      </c>
      <c r="E1334" s="158">
        <v>36.65</v>
      </c>
      <c r="F1334" s="159">
        <v>5.0999999999999996</v>
      </c>
      <c r="G1334" s="160">
        <v>4.2</v>
      </c>
      <c r="H1334" s="161">
        <v>24.9</v>
      </c>
      <c r="I1334" s="161">
        <v>44.5</v>
      </c>
      <c r="J1334" s="161">
        <v>26.3</v>
      </c>
      <c r="K1334" s="160">
        <v>0.5</v>
      </c>
    </row>
    <row r="1335" spans="1:11" x14ac:dyDescent="0.3">
      <c r="A1335" s="156" t="s">
        <v>887</v>
      </c>
      <c r="B1335" s="157" t="s">
        <v>888</v>
      </c>
      <c r="C1335" s="157">
        <v>2024</v>
      </c>
      <c r="D1335" s="158">
        <v>-90.536497699999998</v>
      </c>
      <c r="E1335" s="158">
        <v>38.462829200000002</v>
      </c>
      <c r="F1335" s="159">
        <v>4.5</v>
      </c>
      <c r="G1335" s="160">
        <v>14</v>
      </c>
      <c r="H1335" s="161">
        <v>3.3</v>
      </c>
      <c r="I1335" s="161">
        <v>62.5</v>
      </c>
      <c r="J1335" s="161">
        <v>34.200000000000003</v>
      </c>
      <c r="K1335" s="160">
        <v>0.2</v>
      </c>
    </row>
    <row r="1336" spans="1:11" x14ac:dyDescent="0.3">
      <c r="A1336" s="156" t="s">
        <v>887</v>
      </c>
      <c r="B1336" s="157" t="s">
        <v>888</v>
      </c>
      <c r="C1336" s="157">
        <v>2024</v>
      </c>
      <c r="D1336" s="158">
        <v>-90.4953079</v>
      </c>
      <c r="E1336" s="158">
        <v>37.569278699999998</v>
      </c>
      <c r="F1336" s="159">
        <v>4.8</v>
      </c>
      <c r="G1336" s="160">
        <v>8.3000000000000007</v>
      </c>
      <c r="H1336" s="161">
        <v>65.099999999999994</v>
      </c>
      <c r="I1336" s="161">
        <v>18.600000000000001</v>
      </c>
      <c r="J1336" s="161">
        <v>16.3</v>
      </c>
      <c r="K1336" s="160">
        <v>0.1</v>
      </c>
    </row>
    <row r="1337" spans="1:11" x14ac:dyDescent="0.3">
      <c r="A1337" s="156" t="s">
        <v>887</v>
      </c>
      <c r="B1337" s="157" t="s">
        <v>888</v>
      </c>
      <c r="C1337" s="157">
        <v>2024</v>
      </c>
      <c r="D1337" s="158">
        <v>-90.429725599999998</v>
      </c>
      <c r="E1337" s="158">
        <v>43.293888099999997</v>
      </c>
      <c r="F1337" s="159">
        <v>7.8</v>
      </c>
      <c r="G1337" s="160">
        <v>16.2</v>
      </c>
      <c r="H1337" s="161">
        <v>32.4</v>
      </c>
      <c r="I1337" s="161">
        <v>12.3</v>
      </c>
      <c r="J1337" s="161">
        <v>55.3</v>
      </c>
      <c r="K1337" s="160">
        <v>0.38</v>
      </c>
    </row>
    <row r="1338" spans="1:11" x14ac:dyDescent="0.3">
      <c r="A1338" s="156" t="s">
        <v>887</v>
      </c>
      <c r="B1338" s="157" t="s">
        <v>888</v>
      </c>
      <c r="C1338" s="157">
        <v>2024</v>
      </c>
      <c r="D1338" s="158">
        <v>-90.401722199999995</v>
      </c>
      <c r="E1338" s="158">
        <v>36.869138900000003</v>
      </c>
      <c r="F1338" s="159">
        <v>4.8</v>
      </c>
      <c r="G1338" s="160">
        <v>4.2</v>
      </c>
      <c r="H1338" s="161">
        <v>2.1</v>
      </c>
      <c r="I1338" s="161">
        <v>81.400000000000006</v>
      </c>
      <c r="J1338" s="161">
        <v>9.9</v>
      </c>
      <c r="K1338" s="160">
        <v>0.7</v>
      </c>
    </row>
    <row r="1339" spans="1:11" x14ac:dyDescent="0.3">
      <c r="A1339" s="156" t="s">
        <v>887</v>
      </c>
      <c r="B1339" s="157" t="s">
        <v>888</v>
      </c>
      <c r="C1339" s="157">
        <v>2024</v>
      </c>
      <c r="D1339" s="158">
        <v>-90.378669700000003</v>
      </c>
      <c r="E1339" s="158">
        <v>37.443164799999998</v>
      </c>
      <c r="F1339" s="159">
        <v>4.8</v>
      </c>
      <c r="G1339" s="160">
        <v>5</v>
      </c>
      <c r="H1339" s="161">
        <v>5.6</v>
      </c>
      <c r="I1339" s="161">
        <v>63.1</v>
      </c>
      <c r="J1339" s="161">
        <v>31.3</v>
      </c>
      <c r="K1339" s="160">
        <v>0.2</v>
      </c>
    </row>
    <row r="1340" spans="1:11" x14ac:dyDescent="0.3">
      <c r="A1340" s="156" t="s">
        <v>887</v>
      </c>
      <c r="B1340" s="157" t="s">
        <v>888</v>
      </c>
      <c r="C1340" s="157">
        <v>2024</v>
      </c>
      <c r="D1340" s="158">
        <v>-90.373336800000004</v>
      </c>
      <c r="E1340" s="158">
        <v>37.2763901</v>
      </c>
      <c r="F1340" s="159">
        <v>4.7</v>
      </c>
      <c r="G1340" s="160">
        <v>12</v>
      </c>
      <c r="H1340" s="161">
        <v>12</v>
      </c>
      <c r="I1340" s="161">
        <v>75.3</v>
      </c>
      <c r="J1340" s="161">
        <v>12.7</v>
      </c>
      <c r="K1340" s="160">
        <v>0.8</v>
      </c>
    </row>
    <row r="1341" spans="1:11" x14ac:dyDescent="0.3">
      <c r="A1341" s="156" t="s">
        <v>887</v>
      </c>
      <c r="B1341" s="157" t="s">
        <v>888</v>
      </c>
      <c r="C1341" s="157">
        <v>2024</v>
      </c>
      <c r="D1341" s="158">
        <v>-90.359168999999994</v>
      </c>
      <c r="E1341" s="158">
        <v>37.513610800000002</v>
      </c>
      <c r="F1341" s="159">
        <v>4.7</v>
      </c>
      <c r="G1341" s="160">
        <v>6</v>
      </c>
      <c r="H1341" s="161">
        <v>17.5</v>
      </c>
      <c r="I1341" s="161">
        <v>50.3</v>
      </c>
      <c r="J1341" s="161">
        <v>32.200000000000003</v>
      </c>
      <c r="K1341" s="160">
        <v>0.1</v>
      </c>
    </row>
    <row r="1342" spans="1:11" x14ac:dyDescent="0.3">
      <c r="A1342" s="156" t="s">
        <v>887</v>
      </c>
      <c r="B1342" s="157" t="s">
        <v>888</v>
      </c>
      <c r="C1342" s="157">
        <v>2024</v>
      </c>
      <c r="D1342" s="158">
        <v>-90.320555600000006</v>
      </c>
      <c r="E1342" s="158">
        <v>37.2972222</v>
      </c>
      <c r="F1342" s="159">
        <v>5.0999999999999996</v>
      </c>
      <c r="G1342" s="160">
        <v>2</v>
      </c>
      <c r="H1342" s="161">
        <v>50.3</v>
      </c>
      <c r="I1342" s="161">
        <v>34</v>
      </c>
      <c r="J1342" s="161">
        <v>15.7</v>
      </c>
      <c r="K1342" s="160">
        <v>0.1</v>
      </c>
    </row>
    <row r="1343" spans="1:11" x14ac:dyDescent="0.3">
      <c r="A1343" s="156" t="s">
        <v>887</v>
      </c>
      <c r="B1343" s="157" t="s">
        <v>888</v>
      </c>
      <c r="C1343" s="157">
        <v>2024</v>
      </c>
      <c r="D1343" s="158">
        <v>-90.226646400000007</v>
      </c>
      <c r="E1343" s="158">
        <v>36.714561500000002</v>
      </c>
      <c r="F1343" s="159">
        <v>5.9</v>
      </c>
      <c r="G1343" s="160">
        <v>7</v>
      </c>
      <c r="H1343" s="161">
        <v>33.5</v>
      </c>
      <c r="I1343" s="161">
        <v>45.3</v>
      </c>
      <c r="J1343" s="161">
        <v>21.2</v>
      </c>
      <c r="K1343" s="160">
        <v>1.6</v>
      </c>
    </row>
    <row r="1344" spans="1:11" x14ac:dyDescent="0.3">
      <c r="A1344" s="156" t="s">
        <v>887</v>
      </c>
      <c r="B1344" s="157" t="s">
        <v>888</v>
      </c>
      <c r="C1344" s="157">
        <v>2024</v>
      </c>
      <c r="D1344" s="158">
        <v>-90.179222100000004</v>
      </c>
      <c r="E1344" s="158">
        <v>37.425861400000002</v>
      </c>
      <c r="F1344" s="159">
        <v>5</v>
      </c>
      <c r="G1344" s="160">
        <v>12.25</v>
      </c>
      <c r="H1344" s="161">
        <v>4.2</v>
      </c>
      <c r="I1344" s="161">
        <v>64.3</v>
      </c>
      <c r="J1344" s="161">
        <v>31.5</v>
      </c>
      <c r="K1344" s="160">
        <v>0.4</v>
      </c>
    </row>
    <row r="1345" spans="1:11" x14ac:dyDescent="0.3">
      <c r="A1345" s="156" t="s">
        <v>887</v>
      </c>
      <c r="B1345" s="157" t="s">
        <v>888</v>
      </c>
      <c r="C1345" s="157">
        <v>2024</v>
      </c>
      <c r="D1345" s="158">
        <v>-90.1</v>
      </c>
      <c r="E1345" s="158">
        <v>36.783333300000002</v>
      </c>
      <c r="F1345" s="159">
        <v>4.2</v>
      </c>
      <c r="G1345" s="160">
        <v>15</v>
      </c>
      <c r="H1345" s="161">
        <v>1.2</v>
      </c>
      <c r="I1345" s="161">
        <v>42.9</v>
      </c>
      <c r="J1345" s="161">
        <v>55.9</v>
      </c>
      <c r="K1345" s="160">
        <v>0.4</v>
      </c>
    </row>
    <row r="1346" spans="1:11" x14ac:dyDescent="0.3">
      <c r="A1346" s="156" t="s">
        <v>887</v>
      </c>
      <c r="B1346" s="157" t="s">
        <v>888</v>
      </c>
      <c r="C1346" s="157">
        <v>2024</v>
      </c>
      <c r="D1346" s="158">
        <v>-90.009079</v>
      </c>
      <c r="E1346" s="158">
        <v>37.105270400000002</v>
      </c>
      <c r="F1346" s="159">
        <v>4.9000000000000004</v>
      </c>
      <c r="G1346" s="160">
        <v>6.8</v>
      </c>
      <c r="H1346" s="161">
        <v>59.8</v>
      </c>
      <c r="I1346" s="161">
        <v>31.4</v>
      </c>
      <c r="J1346" s="161">
        <v>8.8000000000000007</v>
      </c>
      <c r="K1346" s="160">
        <v>0.1</v>
      </c>
    </row>
    <row r="1347" spans="1:11" x14ac:dyDescent="0.3">
      <c r="A1347" s="156" t="s">
        <v>887</v>
      </c>
      <c r="B1347" s="157" t="s">
        <v>888</v>
      </c>
      <c r="C1347" s="157">
        <v>2024</v>
      </c>
      <c r="D1347" s="158">
        <v>-89.881927500000003</v>
      </c>
      <c r="E1347" s="158">
        <v>37.355110199999999</v>
      </c>
      <c r="F1347" s="159">
        <v>5.0999999999999996</v>
      </c>
      <c r="G1347" s="160">
        <v>13</v>
      </c>
      <c r="H1347" s="161">
        <v>3.6</v>
      </c>
      <c r="I1347" s="161">
        <v>76.5</v>
      </c>
      <c r="J1347" s="161">
        <v>19.899999999999999</v>
      </c>
      <c r="K1347" s="160">
        <v>1.2</v>
      </c>
    </row>
    <row r="1348" spans="1:11" x14ac:dyDescent="0.3">
      <c r="A1348" s="156" t="s">
        <v>887</v>
      </c>
      <c r="B1348" s="157" t="s">
        <v>888</v>
      </c>
      <c r="C1348" s="157">
        <v>2024</v>
      </c>
      <c r="D1348" s="158">
        <v>-89.319976800000006</v>
      </c>
      <c r="E1348" s="158">
        <v>36.727825199999998</v>
      </c>
      <c r="F1348" s="159">
        <v>6.1</v>
      </c>
      <c r="G1348" s="160">
        <v>34.6</v>
      </c>
      <c r="H1348" s="161">
        <v>3.8</v>
      </c>
      <c r="I1348" s="161">
        <v>53.2</v>
      </c>
      <c r="J1348" s="161">
        <v>32.4</v>
      </c>
      <c r="K1348" s="160">
        <v>0.8</v>
      </c>
    </row>
    <row r="1349" spans="1:11" x14ac:dyDescent="0.3">
      <c r="A1349" s="156" t="s">
        <v>887</v>
      </c>
      <c r="B1349" s="157" t="s">
        <v>888</v>
      </c>
      <c r="C1349" s="157">
        <v>2024</v>
      </c>
      <c r="D1349" s="158">
        <v>-89.210838317870994</v>
      </c>
      <c r="E1349" s="158">
        <v>37.118896484375</v>
      </c>
      <c r="F1349" s="159">
        <v>8.5</v>
      </c>
      <c r="G1349" s="160">
        <v>9.8000000000000007</v>
      </c>
      <c r="H1349" s="161">
        <v>3.3</v>
      </c>
      <c r="I1349" s="161">
        <v>80.3</v>
      </c>
      <c r="J1349" s="161">
        <v>18.899999999999999</v>
      </c>
      <c r="K1349" s="160">
        <v>0.11000000000000001</v>
      </c>
    </row>
    <row r="1350" spans="1:11" x14ac:dyDescent="0.3">
      <c r="A1350" s="156" t="s">
        <v>887</v>
      </c>
      <c r="B1350" s="157" t="s">
        <v>888</v>
      </c>
      <c r="C1350" s="157">
        <v>2024</v>
      </c>
      <c r="D1350" s="158">
        <v>-88.989502799999997</v>
      </c>
      <c r="E1350" s="158">
        <v>37.316181700000001</v>
      </c>
      <c r="F1350" s="159">
        <v>5.9</v>
      </c>
      <c r="G1350" s="160">
        <v>10.25</v>
      </c>
      <c r="H1350" s="161">
        <v>4</v>
      </c>
      <c r="I1350" s="161">
        <v>72.599999999999994</v>
      </c>
      <c r="J1350" s="161">
        <v>23.4</v>
      </c>
      <c r="K1350" s="160">
        <v>3.6399999999999997</v>
      </c>
    </row>
    <row r="1351" spans="1:11" x14ac:dyDescent="0.3">
      <c r="A1351" s="156" t="s">
        <v>887</v>
      </c>
      <c r="B1351" s="157" t="s">
        <v>888</v>
      </c>
      <c r="C1351" s="157">
        <v>2024</v>
      </c>
      <c r="D1351" s="158">
        <v>-88.706390400000004</v>
      </c>
      <c r="E1351" s="158">
        <v>46.675277700000002</v>
      </c>
      <c r="F1351" s="159">
        <v>5</v>
      </c>
      <c r="G1351" s="160">
        <v>4.4000000000000004</v>
      </c>
      <c r="H1351" s="161">
        <v>16.399999999999999</v>
      </c>
      <c r="I1351" s="161">
        <v>75.5</v>
      </c>
      <c r="J1351" s="161">
        <v>8.1</v>
      </c>
      <c r="K1351" s="160">
        <v>6.9999999999999993E-2</v>
      </c>
    </row>
    <row r="1352" spans="1:11" x14ac:dyDescent="0.3">
      <c r="A1352" s="156" t="s">
        <v>887</v>
      </c>
      <c r="B1352" s="157" t="s">
        <v>888</v>
      </c>
      <c r="C1352" s="157">
        <v>2024</v>
      </c>
      <c r="D1352" s="158">
        <v>-86.986106899999996</v>
      </c>
      <c r="E1352" s="158">
        <v>41.155574799999997</v>
      </c>
      <c r="F1352" s="159">
        <v>6</v>
      </c>
      <c r="G1352" s="160">
        <v>1.55</v>
      </c>
      <c r="H1352" s="161">
        <v>97.9</v>
      </c>
      <c r="I1352" s="161">
        <v>1.5</v>
      </c>
      <c r="J1352" s="161">
        <v>0.6</v>
      </c>
      <c r="K1352" s="160">
        <v>0.01</v>
      </c>
    </row>
    <row r="1353" spans="1:11" x14ac:dyDescent="0.3">
      <c r="A1353" s="156" t="s">
        <v>887</v>
      </c>
      <c r="B1353" s="157" t="s">
        <v>888</v>
      </c>
      <c r="C1353" s="157">
        <v>2024</v>
      </c>
      <c r="D1353" s="158">
        <v>-86.830619812011705</v>
      </c>
      <c r="E1353" s="158">
        <v>40.247756958007798</v>
      </c>
      <c r="F1353" s="159">
        <v>4.7</v>
      </c>
      <c r="G1353" s="160">
        <v>12.7</v>
      </c>
      <c r="H1353" s="161">
        <v>16</v>
      </c>
      <c r="I1353" s="161">
        <v>53.8</v>
      </c>
      <c r="J1353" s="161">
        <v>30.2</v>
      </c>
      <c r="K1353" s="160">
        <v>0.31</v>
      </c>
    </row>
    <row r="1354" spans="1:11" x14ac:dyDescent="0.3">
      <c r="A1354" s="156" t="s">
        <v>887</v>
      </c>
      <c r="B1354" s="157" t="s">
        <v>888</v>
      </c>
      <c r="C1354" s="157">
        <v>2024</v>
      </c>
      <c r="D1354" s="158">
        <v>-86.734725999999995</v>
      </c>
      <c r="E1354" s="158">
        <v>39.169445000000003</v>
      </c>
      <c r="F1354" s="159">
        <v>6.7</v>
      </c>
      <c r="G1354" s="160">
        <v>11.4</v>
      </c>
      <c r="H1354" s="161">
        <v>4.5</v>
      </c>
      <c r="I1354" s="161">
        <v>74.400000000000006</v>
      </c>
      <c r="J1354" s="161">
        <v>25</v>
      </c>
      <c r="K1354" s="160">
        <v>0.62</v>
      </c>
    </row>
    <row r="1355" spans="1:11" x14ac:dyDescent="0.3">
      <c r="A1355" s="156" t="s">
        <v>887</v>
      </c>
      <c r="B1355" s="157" t="s">
        <v>888</v>
      </c>
      <c r="C1355" s="157">
        <v>2024</v>
      </c>
      <c r="D1355" s="158">
        <v>-86.731109599999996</v>
      </c>
      <c r="E1355" s="158">
        <v>38.209446</v>
      </c>
      <c r="F1355" s="159">
        <v>4.5999999999999996</v>
      </c>
      <c r="G1355" s="160">
        <v>8</v>
      </c>
      <c r="H1355" s="161">
        <v>7.7</v>
      </c>
      <c r="I1355" s="161">
        <v>63</v>
      </c>
      <c r="J1355" s="161">
        <v>29.3</v>
      </c>
      <c r="K1355" s="160">
        <v>0.16</v>
      </c>
    </row>
    <row r="1356" spans="1:11" x14ac:dyDescent="0.3">
      <c r="A1356" s="156" t="s">
        <v>887</v>
      </c>
      <c r="B1356" s="157" t="s">
        <v>888</v>
      </c>
      <c r="C1356" s="157">
        <v>2024</v>
      </c>
      <c r="D1356" s="158">
        <v>-86.642501800000005</v>
      </c>
      <c r="E1356" s="158">
        <v>38.2233315</v>
      </c>
      <c r="F1356" s="159">
        <v>5</v>
      </c>
      <c r="G1356" s="160">
        <v>5.0999999999999996</v>
      </c>
      <c r="H1356" s="161">
        <v>30.1</v>
      </c>
      <c r="I1356" s="161">
        <v>50.3</v>
      </c>
      <c r="J1356" s="161">
        <v>30.9</v>
      </c>
      <c r="K1356" s="160">
        <v>3.16</v>
      </c>
    </row>
    <row r="1357" spans="1:11" x14ac:dyDescent="0.3">
      <c r="A1357" s="156" t="s">
        <v>887</v>
      </c>
      <c r="B1357" s="157" t="s">
        <v>888</v>
      </c>
      <c r="C1357" s="157">
        <v>2024</v>
      </c>
      <c r="D1357" s="158">
        <v>-86.639442399999993</v>
      </c>
      <c r="E1357" s="158">
        <v>38.222778300000002</v>
      </c>
      <c r="F1357" s="159">
        <v>5.2</v>
      </c>
      <c r="G1357" s="160">
        <v>35.049999999999997</v>
      </c>
      <c r="H1357" s="161">
        <v>7.4</v>
      </c>
      <c r="I1357" s="161">
        <v>39.1</v>
      </c>
      <c r="J1357" s="161">
        <v>53.5</v>
      </c>
      <c r="K1357" s="160">
        <v>0.12</v>
      </c>
    </row>
    <row r="1358" spans="1:11" x14ac:dyDescent="0.3">
      <c r="A1358" s="156" t="s">
        <v>887</v>
      </c>
      <c r="B1358" s="157" t="s">
        <v>888</v>
      </c>
      <c r="C1358" s="157">
        <v>2024</v>
      </c>
      <c r="D1358" s="158">
        <v>-84.685833299999999</v>
      </c>
      <c r="E1358" s="158">
        <v>43.627555600000001</v>
      </c>
      <c r="F1358" s="159">
        <v>5.8</v>
      </c>
      <c r="G1358" s="160">
        <v>3.15</v>
      </c>
      <c r="H1358" s="161">
        <v>96.9</v>
      </c>
      <c r="I1358" s="161">
        <v>2.6</v>
      </c>
      <c r="J1358" s="161">
        <v>0.5</v>
      </c>
      <c r="K1358" s="160">
        <v>0.05</v>
      </c>
    </row>
    <row r="1359" spans="1:11" x14ac:dyDescent="0.3">
      <c r="A1359" s="156" t="s">
        <v>887</v>
      </c>
      <c r="B1359" s="157" t="s">
        <v>888</v>
      </c>
      <c r="C1359" s="157">
        <v>2024</v>
      </c>
      <c r="D1359" s="158">
        <v>-84.446807899999996</v>
      </c>
      <c r="E1359" s="158">
        <v>35.371887200000003</v>
      </c>
      <c r="F1359" s="159">
        <v>6</v>
      </c>
      <c r="G1359" s="160">
        <v>2</v>
      </c>
      <c r="H1359" s="161">
        <v>66</v>
      </c>
      <c r="I1359" s="161">
        <v>10.9</v>
      </c>
      <c r="J1359" s="161">
        <v>23.1</v>
      </c>
      <c r="K1359" s="160">
        <v>0.03</v>
      </c>
    </row>
    <row r="1360" spans="1:11" x14ac:dyDescent="0.3">
      <c r="A1360" s="156" t="s">
        <v>887</v>
      </c>
      <c r="B1360" s="157" t="s">
        <v>888</v>
      </c>
      <c r="C1360" s="157">
        <v>2024</v>
      </c>
      <c r="D1360" s="158">
        <v>-82.580558800000006</v>
      </c>
      <c r="E1360" s="158">
        <v>8.8583335999999999</v>
      </c>
      <c r="F1360" s="159">
        <v>6</v>
      </c>
      <c r="G1360" s="160">
        <v>1.4</v>
      </c>
      <c r="H1360" s="161">
        <v>64</v>
      </c>
      <c r="I1360" s="161">
        <v>47</v>
      </c>
      <c r="J1360" s="161">
        <v>3</v>
      </c>
      <c r="K1360" s="160">
        <v>2.5</v>
      </c>
    </row>
    <row r="1361" spans="1:11" x14ac:dyDescent="0.3">
      <c r="A1361" s="156" t="s">
        <v>887</v>
      </c>
      <c r="B1361" s="157" t="s">
        <v>888</v>
      </c>
      <c r="C1361" s="157">
        <v>2024</v>
      </c>
      <c r="D1361" s="158">
        <v>-82.518058800000006</v>
      </c>
      <c r="E1361" s="158">
        <v>32.8227768</v>
      </c>
      <c r="F1361" s="159">
        <v>4.8</v>
      </c>
      <c r="G1361" s="160">
        <v>2.2000000000000002</v>
      </c>
      <c r="H1361" s="161">
        <v>75.599999999999994</v>
      </c>
      <c r="I1361" s="161">
        <v>12.6</v>
      </c>
      <c r="J1361" s="161">
        <v>11.8</v>
      </c>
      <c r="K1361" s="160">
        <v>0.16</v>
      </c>
    </row>
    <row r="1362" spans="1:11" x14ac:dyDescent="0.3">
      <c r="A1362" s="156" t="s">
        <v>887</v>
      </c>
      <c r="B1362" s="157" t="s">
        <v>888</v>
      </c>
      <c r="C1362" s="157">
        <v>2024</v>
      </c>
      <c r="D1362" s="158">
        <v>-82.3665314</v>
      </c>
      <c r="E1362" s="158">
        <v>29.633583099999999</v>
      </c>
      <c r="F1362" s="159">
        <v>4.9000000000000004</v>
      </c>
      <c r="G1362" s="160">
        <v>1.95</v>
      </c>
      <c r="H1362" s="161">
        <v>89.2</v>
      </c>
      <c r="I1362" s="161">
        <v>3.1</v>
      </c>
      <c r="J1362" s="161">
        <v>7.7</v>
      </c>
      <c r="K1362" s="160">
        <v>0.18</v>
      </c>
    </row>
    <row r="1363" spans="1:11" x14ac:dyDescent="0.3">
      <c r="A1363" s="156" t="s">
        <v>887</v>
      </c>
      <c r="B1363" s="157" t="s">
        <v>888</v>
      </c>
      <c r="C1363" s="157">
        <v>2024</v>
      </c>
      <c r="D1363" s="158">
        <v>-82.099845900000005</v>
      </c>
      <c r="E1363" s="158">
        <v>33.387092600000003</v>
      </c>
      <c r="F1363" s="159">
        <v>4.9000000000000004</v>
      </c>
      <c r="G1363" s="160">
        <v>0.8</v>
      </c>
      <c r="H1363" s="161">
        <v>50.5</v>
      </c>
      <c r="I1363" s="161">
        <v>2.2000000000000002</v>
      </c>
      <c r="J1363" s="161">
        <v>37.1</v>
      </c>
      <c r="K1363" s="160">
        <v>0.01</v>
      </c>
    </row>
    <row r="1364" spans="1:11" x14ac:dyDescent="0.3">
      <c r="A1364" s="156" t="s">
        <v>887</v>
      </c>
      <c r="B1364" s="157" t="s">
        <v>888</v>
      </c>
      <c r="C1364" s="157">
        <v>2024</v>
      </c>
      <c r="D1364" s="158">
        <v>-82.003890999999996</v>
      </c>
      <c r="E1364" s="158">
        <v>35.884166700000002</v>
      </c>
      <c r="F1364" s="159">
        <v>5.4</v>
      </c>
      <c r="G1364" s="160">
        <v>4.95</v>
      </c>
      <c r="H1364" s="161">
        <v>84.1</v>
      </c>
      <c r="I1364" s="161">
        <v>12.2</v>
      </c>
      <c r="J1364" s="161">
        <v>3.7</v>
      </c>
      <c r="K1364" s="160">
        <v>0.06</v>
      </c>
    </row>
    <row r="1365" spans="1:11" x14ac:dyDescent="0.3">
      <c r="A1365" s="156" t="s">
        <v>887</v>
      </c>
      <c r="B1365" s="157" t="s">
        <v>888</v>
      </c>
      <c r="C1365" s="157">
        <v>2024</v>
      </c>
      <c r="D1365" s="158">
        <v>-81.180557300000004</v>
      </c>
      <c r="E1365" s="158">
        <v>7.7805556999999999</v>
      </c>
      <c r="F1365" s="159">
        <v>5.9</v>
      </c>
      <c r="G1365" s="160">
        <v>9.0500000000000007</v>
      </c>
      <c r="H1365" s="161">
        <v>38</v>
      </c>
      <c r="I1365" s="161">
        <v>28</v>
      </c>
      <c r="J1365" s="161">
        <v>34</v>
      </c>
      <c r="K1365" s="160">
        <v>0.67</v>
      </c>
    </row>
    <row r="1366" spans="1:11" x14ac:dyDescent="0.3">
      <c r="A1366" s="156" t="s">
        <v>887</v>
      </c>
      <c r="B1366" s="157" t="s">
        <v>888</v>
      </c>
      <c r="C1366" s="157">
        <v>2024</v>
      </c>
      <c r="D1366" s="158">
        <v>-81.0780563</v>
      </c>
      <c r="E1366" s="158">
        <v>38.279445600000003</v>
      </c>
      <c r="F1366" s="159">
        <v>4.4000000000000004</v>
      </c>
      <c r="G1366" s="160">
        <v>2.9</v>
      </c>
      <c r="H1366" s="161">
        <v>27.6</v>
      </c>
      <c r="I1366" s="161">
        <v>53.5</v>
      </c>
      <c r="J1366" s="161">
        <v>18.899999999999999</v>
      </c>
      <c r="K1366" s="160">
        <v>3.15</v>
      </c>
    </row>
    <row r="1367" spans="1:11" x14ac:dyDescent="0.3">
      <c r="A1367" s="156" t="s">
        <v>887</v>
      </c>
      <c r="B1367" s="157" t="s">
        <v>888</v>
      </c>
      <c r="C1367" s="157">
        <v>2024</v>
      </c>
      <c r="D1367" s="158">
        <v>-80.868331900000001</v>
      </c>
      <c r="E1367" s="158">
        <v>36.483890500000001</v>
      </c>
      <c r="F1367" s="159">
        <v>5</v>
      </c>
      <c r="G1367" s="160">
        <v>2.35</v>
      </c>
      <c r="H1367" s="161">
        <v>67.2</v>
      </c>
      <c r="I1367" s="161">
        <v>13.4</v>
      </c>
      <c r="J1367" s="161">
        <v>19.399999999999999</v>
      </c>
      <c r="K1367" s="160">
        <v>0.05</v>
      </c>
    </row>
    <row r="1368" spans="1:11" x14ac:dyDescent="0.3">
      <c r="A1368" s="156" t="s">
        <v>887</v>
      </c>
      <c r="B1368" s="157" t="s">
        <v>888</v>
      </c>
      <c r="C1368" s="157">
        <v>2024</v>
      </c>
      <c r="D1368" s="158">
        <v>-79.932502700000001</v>
      </c>
      <c r="E1368" s="158">
        <v>38.448612199999999</v>
      </c>
      <c r="F1368" s="159">
        <v>3.5</v>
      </c>
      <c r="G1368" s="160">
        <v>6</v>
      </c>
      <c r="H1368" s="161">
        <v>64.099999999999994</v>
      </c>
      <c r="I1368" s="161">
        <v>23.2</v>
      </c>
      <c r="J1368" s="161">
        <v>12.7</v>
      </c>
      <c r="K1368" s="160">
        <v>2.21</v>
      </c>
    </row>
    <row r="1369" spans="1:11" x14ac:dyDescent="0.3">
      <c r="A1369" s="156" t="s">
        <v>887</v>
      </c>
      <c r="B1369" s="157" t="s">
        <v>888</v>
      </c>
      <c r="C1369" s="157">
        <v>2024</v>
      </c>
      <c r="D1369" s="158">
        <v>-79.864166699999998</v>
      </c>
      <c r="E1369" s="158">
        <v>41.670833299999998</v>
      </c>
      <c r="F1369" s="159">
        <v>5.5</v>
      </c>
      <c r="G1369" s="160">
        <v>2</v>
      </c>
      <c r="H1369" s="161">
        <v>52.8</v>
      </c>
      <c r="I1369" s="161">
        <v>39.299999999999997</v>
      </c>
      <c r="J1369" s="161">
        <v>7.9</v>
      </c>
      <c r="K1369" s="160">
        <v>0.57000000000000006</v>
      </c>
    </row>
    <row r="1370" spans="1:11" x14ac:dyDescent="0.3">
      <c r="A1370" s="156" t="s">
        <v>887</v>
      </c>
      <c r="B1370" s="157" t="s">
        <v>888</v>
      </c>
      <c r="C1370" s="157">
        <v>2024</v>
      </c>
      <c r="D1370" s="158">
        <v>-79.857500000000002</v>
      </c>
      <c r="E1370" s="158">
        <v>41.523611099999997</v>
      </c>
      <c r="F1370" s="159">
        <v>5.3</v>
      </c>
      <c r="G1370" s="160">
        <v>4</v>
      </c>
      <c r="H1370" s="161">
        <v>87.1</v>
      </c>
      <c r="I1370" s="161">
        <v>6.4</v>
      </c>
      <c r="J1370" s="161">
        <v>6.5</v>
      </c>
      <c r="K1370" s="160">
        <v>0.55000000000000004</v>
      </c>
    </row>
    <row r="1371" spans="1:11" x14ac:dyDescent="0.3">
      <c r="A1371" s="156" t="s">
        <v>887</v>
      </c>
      <c r="B1371" s="157" t="s">
        <v>888</v>
      </c>
      <c r="C1371" s="157">
        <v>2024</v>
      </c>
      <c r="D1371" s="158">
        <v>-79.749771100000004</v>
      </c>
      <c r="E1371" s="158">
        <v>36.333416</v>
      </c>
      <c r="F1371" s="159">
        <v>5.25</v>
      </c>
      <c r="G1371" s="160">
        <v>16.100000000000001</v>
      </c>
      <c r="H1371" s="161">
        <v>22.2</v>
      </c>
      <c r="I1371" s="161">
        <v>39.6</v>
      </c>
      <c r="J1371" s="161">
        <v>4.5999999999999996</v>
      </c>
      <c r="K1371" s="160">
        <v>0.16999999999999998</v>
      </c>
    </row>
    <row r="1372" spans="1:11" x14ac:dyDescent="0.3">
      <c r="A1372" s="156" t="s">
        <v>887</v>
      </c>
      <c r="B1372" s="157" t="s">
        <v>888</v>
      </c>
      <c r="C1372" s="157">
        <v>2024</v>
      </c>
      <c r="D1372" s="158">
        <v>-79.7</v>
      </c>
      <c r="E1372" s="158">
        <v>-4.3</v>
      </c>
      <c r="F1372" s="159">
        <v>5.2</v>
      </c>
      <c r="G1372" s="160">
        <v>4.5999999999999996</v>
      </c>
      <c r="H1372" s="161">
        <v>34</v>
      </c>
      <c r="I1372" s="161">
        <v>33</v>
      </c>
      <c r="J1372" s="161">
        <v>33</v>
      </c>
      <c r="K1372" s="160">
        <v>2.2800000000000002</v>
      </c>
    </row>
    <row r="1373" spans="1:11" x14ac:dyDescent="0.3">
      <c r="A1373" s="156" t="s">
        <v>887</v>
      </c>
      <c r="B1373" s="157" t="s">
        <v>888</v>
      </c>
      <c r="C1373" s="157">
        <v>2024</v>
      </c>
      <c r="D1373" s="158">
        <v>-79.249755899999997</v>
      </c>
      <c r="E1373" s="158">
        <v>35.500095399999999</v>
      </c>
      <c r="F1373" s="159">
        <v>5.2</v>
      </c>
      <c r="G1373" s="160">
        <v>18.399999999999999</v>
      </c>
      <c r="H1373" s="161">
        <v>30.9</v>
      </c>
      <c r="I1373" s="161">
        <v>55.6</v>
      </c>
      <c r="J1373" s="161">
        <v>13.5</v>
      </c>
      <c r="K1373" s="160">
        <v>0.11000000000000001</v>
      </c>
    </row>
    <row r="1374" spans="1:11" x14ac:dyDescent="0.3">
      <c r="A1374" s="156" t="s">
        <v>887</v>
      </c>
      <c r="B1374" s="157" t="s">
        <v>888</v>
      </c>
      <c r="C1374" s="157">
        <v>2024</v>
      </c>
      <c r="D1374" s="158">
        <v>-78.644444444444403</v>
      </c>
      <c r="E1374" s="158">
        <v>-0.53333333333333299</v>
      </c>
      <c r="F1374" s="159">
        <v>6.4</v>
      </c>
      <c r="G1374" s="160">
        <v>4.0999999999999996</v>
      </c>
      <c r="H1374" s="161">
        <v>66</v>
      </c>
      <c r="I1374" s="161">
        <v>25</v>
      </c>
      <c r="J1374" s="161">
        <v>10</v>
      </c>
      <c r="K1374" s="160">
        <v>4.29</v>
      </c>
    </row>
    <row r="1375" spans="1:11" x14ac:dyDescent="0.3">
      <c r="A1375" s="156" t="s">
        <v>887</v>
      </c>
      <c r="B1375" s="157" t="s">
        <v>888</v>
      </c>
      <c r="C1375" s="157">
        <v>2024</v>
      </c>
      <c r="D1375" s="158">
        <v>-78.008049</v>
      </c>
      <c r="E1375" s="158">
        <v>37.541721299999999</v>
      </c>
      <c r="F1375" s="159">
        <v>5.7</v>
      </c>
      <c r="G1375" s="160">
        <v>15.95</v>
      </c>
      <c r="H1375" s="161">
        <v>44.2</v>
      </c>
      <c r="I1375" s="161">
        <v>15</v>
      </c>
      <c r="J1375" s="161">
        <v>40.799999999999997</v>
      </c>
      <c r="K1375" s="160">
        <v>0.24</v>
      </c>
    </row>
    <row r="1376" spans="1:11" x14ac:dyDescent="0.3">
      <c r="A1376" s="156" t="s">
        <v>887</v>
      </c>
      <c r="B1376" s="157" t="s">
        <v>888</v>
      </c>
      <c r="C1376" s="157">
        <v>2024</v>
      </c>
      <c r="D1376" s="158">
        <v>-77.478332499999993</v>
      </c>
      <c r="E1376" s="158">
        <v>39.878612500000003</v>
      </c>
      <c r="F1376" s="159">
        <v>4.7</v>
      </c>
      <c r="G1376" s="160">
        <v>2.25</v>
      </c>
      <c r="H1376" s="161">
        <v>28.6</v>
      </c>
      <c r="I1376" s="161">
        <v>51.7</v>
      </c>
      <c r="J1376" s="161">
        <v>19.7</v>
      </c>
      <c r="K1376" s="160">
        <v>0.18</v>
      </c>
    </row>
    <row r="1377" spans="1:11" x14ac:dyDescent="0.3">
      <c r="A1377" s="156" t="s">
        <v>887</v>
      </c>
      <c r="B1377" s="157" t="s">
        <v>888</v>
      </c>
      <c r="C1377" s="157">
        <v>2024</v>
      </c>
      <c r="D1377" s="158">
        <v>-77.329177900000005</v>
      </c>
      <c r="E1377" s="158">
        <v>36.547748599999998</v>
      </c>
      <c r="F1377" s="159">
        <v>5.4</v>
      </c>
      <c r="G1377" s="160">
        <v>2</v>
      </c>
      <c r="H1377" s="161">
        <v>90.7</v>
      </c>
      <c r="I1377" s="161">
        <v>5.4666667000000002</v>
      </c>
      <c r="J1377" s="161">
        <v>3.8333333000000001</v>
      </c>
      <c r="K1377" s="160">
        <v>0.01</v>
      </c>
    </row>
    <row r="1378" spans="1:11" x14ac:dyDescent="0.3">
      <c r="A1378" s="156" t="s">
        <v>887</v>
      </c>
      <c r="B1378" s="157" t="s">
        <v>888</v>
      </c>
      <c r="C1378" s="157">
        <v>2024</v>
      </c>
      <c r="D1378" s="158">
        <v>-77.268888899999993</v>
      </c>
      <c r="E1378" s="158">
        <v>41.190277799999997</v>
      </c>
      <c r="F1378" s="159">
        <v>6.8</v>
      </c>
      <c r="G1378" s="160">
        <v>3</v>
      </c>
      <c r="H1378" s="161">
        <v>1.8</v>
      </c>
      <c r="I1378" s="161">
        <v>54.3</v>
      </c>
      <c r="J1378" s="161">
        <v>20.100000000000001</v>
      </c>
      <c r="K1378" s="160">
        <v>0.08</v>
      </c>
    </row>
    <row r="1379" spans="1:11" x14ac:dyDescent="0.3">
      <c r="A1379" s="156" t="s">
        <v>887</v>
      </c>
      <c r="B1379" s="157" t="s">
        <v>888</v>
      </c>
      <c r="C1379" s="157">
        <v>2024</v>
      </c>
      <c r="D1379" s="158">
        <v>-76.834724399999999</v>
      </c>
      <c r="E1379" s="158">
        <v>39.027500199999999</v>
      </c>
      <c r="F1379" s="159">
        <v>4</v>
      </c>
      <c r="G1379" s="160">
        <v>5.15</v>
      </c>
      <c r="H1379" s="161">
        <v>13.7</v>
      </c>
      <c r="I1379" s="161">
        <v>53.9</v>
      </c>
      <c r="J1379" s="161">
        <v>32.4</v>
      </c>
      <c r="K1379" s="160">
        <v>0.24</v>
      </c>
    </row>
    <row r="1380" spans="1:11" x14ac:dyDescent="0.3">
      <c r="A1380" s="156" t="s">
        <v>887</v>
      </c>
      <c r="B1380" s="157" t="s">
        <v>888</v>
      </c>
      <c r="C1380" s="157">
        <v>2024</v>
      </c>
      <c r="D1380" s="158">
        <v>-76.830555599999997</v>
      </c>
      <c r="E1380" s="158">
        <v>41.1952778</v>
      </c>
      <c r="F1380" s="159">
        <v>5.8</v>
      </c>
      <c r="G1380" s="160">
        <v>4</v>
      </c>
      <c r="H1380" s="161">
        <v>30.7</v>
      </c>
      <c r="I1380" s="161">
        <v>57.5</v>
      </c>
      <c r="J1380" s="161">
        <v>11.8</v>
      </c>
      <c r="K1380" s="160">
        <v>6.9999999999999993E-2</v>
      </c>
    </row>
    <row r="1381" spans="1:11" x14ac:dyDescent="0.3">
      <c r="A1381" s="156" t="s">
        <v>887</v>
      </c>
      <c r="B1381" s="157" t="s">
        <v>888</v>
      </c>
      <c r="C1381" s="157">
        <v>2024</v>
      </c>
      <c r="D1381" s="158">
        <v>-76.583335899999994</v>
      </c>
      <c r="E1381" s="158">
        <v>2.4166666999999999</v>
      </c>
      <c r="F1381" s="159">
        <v>5.2</v>
      </c>
      <c r="G1381" s="160">
        <v>3.2</v>
      </c>
      <c r="H1381" s="161">
        <v>84.8</v>
      </c>
      <c r="I1381" s="161">
        <v>15.2</v>
      </c>
      <c r="J1381" s="161">
        <v>0</v>
      </c>
      <c r="K1381" s="160">
        <v>1.6600000000000001</v>
      </c>
    </row>
    <row r="1382" spans="1:11" x14ac:dyDescent="0.3">
      <c r="A1382" s="156" t="s">
        <v>887</v>
      </c>
      <c r="B1382" s="157" t="s">
        <v>888</v>
      </c>
      <c r="C1382" s="157">
        <v>2024</v>
      </c>
      <c r="D1382" s="158">
        <v>-76.003715499999998</v>
      </c>
      <c r="E1382" s="158">
        <v>36.841587099999998</v>
      </c>
      <c r="F1382" s="159">
        <v>4.3</v>
      </c>
      <c r="G1382" s="160">
        <v>1</v>
      </c>
      <c r="H1382" s="161">
        <v>2.8</v>
      </c>
      <c r="I1382" s="161">
        <v>73.3</v>
      </c>
      <c r="J1382" s="161">
        <v>23.9</v>
      </c>
      <c r="K1382" s="160">
        <v>0.33999999999999997</v>
      </c>
    </row>
    <row r="1383" spans="1:11" x14ac:dyDescent="0.3">
      <c r="A1383" s="156" t="s">
        <v>887</v>
      </c>
      <c r="B1383" s="157" t="s">
        <v>888</v>
      </c>
      <c r="C1383" s="157">
        <v>2024</v>
      </c>
      <c r="D1383" s="158">
        <v>-75.7102778</v>
      </c>
      <c r="E1383" s="158">
        <v>41.599166699999998</v>
      </c>
      <c r="F1383" s="159">
        <v>6</v>
      </c>
      <c r="G1383" s="160">
        <v>4</v>
      </c>
      <c r="H1383" s="161">
        <v>50.1</v>
      </c>
      <c r="I1383" s="161">
        <v>32.9</v>
      </c>
      <c r="J1383" s="161">
        <v>17</v>
      </c>
      <c r="K1383" s="160">
        <v>0.18</v>
      </c>
    </row>
    <row r="1384" spans="1:11" x14ac:dyDescent="0.3">
      <c r="A1384" s="156" t="s">
        <v>887</v>
      </c>
      <c r="B1384" s="157" t="s">
        <v>888</v>
      </c>
      <c r="C1384" s="157">
        <v>2024</v>
      </c>
      <c r="D1384" s="158">
        <v>-75.655277799999993</v>
      </c>
      <c r="E1384" s="158">
        <v>41.595277799999998</v>
      </c>
      <c r="F1384" s="159">
        <v>5.3</v>
      </c>
      <c r="G1384" s="160">
        <v>6</v>
      </c>
      <c r="H1384" s="161">
        <v>46.1</v>
      </c>
      <c r="I1384" s="161">
        <v>36.1</v>
      </c>
      <c r="J1384" s="161">
        <v>17.8</v>
      </c>
      <c r="K1384" s="160">
        <v>0.18</v>
      </c>
    </row>
    <row r="1385" spans="1:11" x14ac:dyDescent="0.3">
      <c r="A1385" s="156" t="s">
        <v>887</v>
      </c>
      <c r="B1385" s="157" t="s">
        <v>888</v>
      </c>
      <c r="C1385" s="157">
        <v>2024</v>
      </c>
      <c r="D1385" s="158">
        <v>-75.300003099999998</v>
      </c>
      <c r="E1385" s="158">
        <v>39.7141685</v>
      </c>
      <c r="F1385" s="159">
        <v>4.5</v>
      </c>
      <c r="G1385" s="160">
        <v>0.8</v>
      </c>
      <c r="H1385" s="161">
        <v>52.3</v>
      </c>
      <c r="I1385" s="161">
        <v>36.799999999999997</v>
      </c>
      <c r="J1385" s="161">
        <v>10.9</v>
      </c>
      <c r="K1385" s="160">
        <v>0.05</v>
      </c>
    </row>
    <row r="1386" spans="1:11" x14ac:dyDescent="0.3">
      <c r="A1386" s="156" t="s">
        <v>887</v>
      </c>
      <c r="B1386" s="157" t="s">
        <v>888</v>
      </c>
      <c r="C1386" s="157">
        <v>2024</v>
      </c>
      <c r="D1386" s="158">
        <v>-75.285277800000003</v>
      </c>
      <c r="E1386" s="158">
        <v>41.014166699999997</v>
      </c>
      <c r="F1386" s="159">
        <v>5.3</v>
      </c>
      <c r="G1386" s="160">
        <v>3</v>
      </c>
      <c r="H1386" s="161">
        <v>47.9</v>
      </c>
      <c r="I1386" s="161">
        <v>40.6</v>
      </c>
      <c r="J1386" s="161">
        <v>11.5</v>
      </c>
      <c r="K1386" s="160">
        <v>0.05</v>
      </c>
    </row>
    <row r="1387" spans="1:11" x14ac:dyDescent="0.3">
      <c r="A1387" s="156" t="s">
        <v>887</v>
      </c>
      <c r="B1387" s="157" t="s">
        <v>888</v>
      </c>
      <c r="C1387" s="157">
        <v>2024</v>
      </c>
      <c r="D1387" s="158">
        <v>-74.781388899999996</v>
      </c>
      <c r="E1387" s="158">
        <v>39.124444400000002</v>
      </c>
      <c r="F1387" s="159">
        <v>5.6</v>
      </c>
      <c r="G1387" s="160">
        <v>2.0499999999999998</v>
      </c>
      <c r="H1387" s="161">
        <v>95</v>
      </c>
      <c r="I1387" s="161">
        <v>0.9</v>
      </c>
      <c r="J1387" s="161">
        <v>4.0999999999999996</v>
      </c>
      <c r="K1387" s="160">
        <v>0.05</v>
      </c>
    </row>
    <row r="1388" spans="1:11" x14ac:dyDescent="0.3">
      <c r="A1388" s="156" t="s">
        <v>887</v>
      </c>
      <c r="B1388" s="157" t="s">
        <v>888</v>
      </c>
      <c r="C1388" s="157">
        <v>2024</v>
      </c>
      <c r="D1388" s="158">
        <v>-73.419722222222205</v>
      </c>
      <c r="E1388" s="158">
        <v>-3.7880555555555602</v>
      </c>
      <c r="F1388" s="159">
        <v>5.2</v>
      </c>
      <c r="G1388" s="160">
        <v>8.5</v>
      </c>
      <c r="H1388" s="161">
        <v>58.4</v>
      </c>
      <c r="I1388" s="161">
        <v>23.1</v>
      </c>
      <c r="J1388" s="161">
        <v>18.399999999999999</v>
      </c>
      <c r="K1388" s="160">
        <v>0.08</v>
      </c>
    </row>
    <row r="1389" spans="1:11" x14ac:dyDescent="0.3">
      <c r="A1389" s="156" t="s">
        <v>887</v>
      </c>
      <c r="B1389" s="157" t="s">
        <v>888</v>
      </c>
      <c r="C1389" s="157">
        <v>2024</v>
      </c>
      <c r="D1389" s="158">
        <v>-72.8</v>
      </c>
      <c r="E1389" s="158">
        <v>4.0999999999999996</v>
      </c>
      <c r="F1389" s="159">
        <v>4.9000000000000004</v>
      </c>
      <c r="G1389" s="160">
        <v>1</v>
      </c>
      <c r="H1389" s="161">
        <v>59</v>
      </c>
      <c r="I1389" s="161">
        <v>27</v>
      </c>
      <c r="J1389" s="161">
        <v>14</v>
      </c>
      <c r="K1389" s="160">
        <v>1.22</v>
      </c>
    </row>
    <row r="1390" spans="1:11" x14ac:dyDescent="0.3">
      <c r="A1390" s="156" t="s">
        <v>887</v>
      </c>
      <c r="B1390" s="157" t="s">
        <v>888</v>
      </c>
      <c r="C1390" s="157">
        <v>2024</v>
      </c>
      <c r="D1390" s="158">
        <v>-72.670829800000007</v>
      </c>
      <c r="E1390" s="158">
        <v>42.912498499999998</v>
      </c>
      <c r="F1390" s="159">
        <v>5.5</v>
      </c>
      <c r="G1390" s="160">
        <v>0.9</v>
      </c>
      <c r="H1390" s="161">
        <v>63</v>
      </c>
      <c r="I1390" s="161">
        <v>36</v>
      </c>
      <c r="J1390" s="161">
        <v>1.7</v>
      </c>
      <c r="K1390" s="160">
        <v>0.6</v>
      </c>
    </row>
    <row r="1391" spans="1:11" x14ac:dyDescent="0.3">
      <c r="A1391" s="156" t="s">
        <v>887</v>
      </c>
      <c r="B1391" s="157" t="s">
        <v>888</v>
      </c>
      <c r="C1391" s="157">
        <v>2024</v>
      </c>
      <c r="D1391" s="158">
        <v>-72.633333333333297</v>
      </c>
      <c r="E1391" s="158">
        <v>2.5</v>
      </c>
      <c r="F1391" s="159">
        <v>5</v>
      </c>
      <c r="G1391" s="160">
        <v>5.0999999999999996</v>
      </c>
      <c r="H1391" s="161">
        <v>4.5</v>
      </c>
      <c r="I1391" s="161">
        <v>58.9</v>
      </c>
      <c r="J1391" s="161">
        <v>36.6</v>
      </c>
      <c r="K1391" s="160">
        <v>0.19</v>
      </c>
    </row>
    <row r="1392" spans="1:11" x14ac:dyDescent="0.3">
      <c r="A1392" s="156" t="s">
        <v>887</v>
      </c>
      <c r="B1392" s="157" t="s">
        <v>888</v>
      </c>
      <c r="C1392" s="157">
        <v>2024</v>
      </c>
      <c r="D1392" s="158">
        <v>-70.503044099999997</v>
      </c>
      <c r="E1392" s="158">
        <v>43.644962300000003</v>
      </c>
      <c r="F1392" s="159">
        <v>5.7</v>
      </c>
      <c r="G1392" s="160">
        <v>3.8</v>
      </c>
      <c r="H1392" s="161">
        <v>38</v>
      </c>
      <c r="I1392" s="161">
        <v>42</v>
      </c>
      <c r="J1392" s="161">
        <v>20</v>
      </c>
      <c r="K1392" s="160">
        <v>0.13999999999999999</v>
      </c>
    </row>
    <row r="1393" spans="1:11" x14ac:dyDescent="0.3">
      <c r="A1393" s="156" t="s">
        <v>887</v>
      </c>
      <c r="B1393" s="157" t="s">
        <v>888</v>
      </c>
      <c r="C1393" s="157">
        <v>2024</v>
      </c>
      <c r="D1393" s="158">
        <v>-70.349999999999994</v>
      </c>
      <c r="E1393" s="158">
        <v>-7.15</v>
      </c>
      <c r="F1393" s="159">
        <v>4.5999999999999996</v>
      </c>
      <c r="G1393" s="160">
        <v>9.6999999999999993</v>
      </c>
      <c r="H1393" s="161">
        <v>12</v>
      </c>
      <c r="I1393" s="161">
        <v>38</v>
      </c>
      <c r="J1393" s="161">
        <v>50</v>
      </c>
      <c r="K1393" s="160">
        <v>0.32</v>
      </c>
    </row>
    <row r="1394" spans="1:11" x14ac:dyDescent="0.3">
      <c r="A1394" s="156" t="s">
        <v>887</v>
      </c>
      <c r="B1394" s="157" t="s">
        <v>888</v>
      </c>
      <c r="C1394" s="157">
        <v>2024</v>
      </c>
      <c r="D1394" s="158">
        <v>-67.186668400000002</v>
      </c>
      <c r="E1394" s="158">
        <v>18.0883331</v>
      </c>
      <c r="F1394" s="159">
        <v>5.6</v>
      </c>
      <c r="G1394" s="160">
        <v>17.25</v>
      </c>
      <c r="H1394" s="161">
        <v>14.9</v>
      </c>
      <c r="I1394" s="161">
        <v>43.8</v>
      </c>
      <c r="J1394" s="161">
        <v>41.3</v>
      </c>
      <c r="K1394" s="160">
        <v>0.06</v>
      </c>
    </row>
    <row r="1395" spans="1:11" x14ac:dyDescent="0.3">
      <c r="A1395" s="156" t="s">
        <v>887</v>
      </c>
      <c r="B1395" s="157" t="s">
        <v>888</v>
      </c>
      <c r="C1395" s="157">
        <v>2024</v>
      </c>
      <c r="D1395" s="158">
        <v>-67.049446099999997</v>
      </c>
      <c r="E1395" s="158">
        <v>18.4711113</v>
      </c>
      <c r="F1395" s="159">
        <v>5</v>
      </c>
      <c r="G1395" s="160">
        <v>5.15</v>
      </c>
      <c r="H1395" s="161">
        <v>10.3</v>
      </c>
      <c r="I1395" s="161">
        <v>3.4</v>
      </c>
      <c r="J1395" s="161">
        <v>86.3</v>
      </c>
      <c r="K1395" s="160">
        <v>0.76</v>
      </c>
    </row>
    <row r="1396" spans="1:11" x14ac:dyDescent="0.3">
      <c r="A1396" s="156" t="s">
        <v>887</v>
      </c>
      <c r="B1396" s="157" t="s">
        <v>888</v>
      </c>
      <c r="C1396" s="157">
        <v>2024</v>
      </c>
      <c r="D1396" s="158">
        <v>-66.871666000000005</v>
      </c>
      <c r="E1396" s="158">
        <v>18.1819439</v>
      </c>
      <c r="F1396" s="159">
        <v>4.7</v>
      </c>
      <c r="G1396" s="160">
        <v>8.0500000000000007</v>
      </c>
      <c r="H1396" s="161">
        <v>1.7</v>
      </c>
      <c r="I1396" s="161">
        <v>22.6</v>
      </c>
      <c r="J1396" s="161">
        <v>75.7</v>
      </c>
      <c r="K1396" s="160">
        <v>0.9</v>
      </c>
    </row>
    <row r="1397" spans="1:11" x14ac:dyDescent="0.3">
      <c r="A1397" s="156" t="s">
        <v>887</v>
      </c>
      <c r="B1397" s="157" t="s">
        <v>888</v>
      </c>
      <c r="C1397" s="157">
        <v>2024</v>
      </c>
      <c r="D1397" s="158">
        <v>-66.271385199999997</v>
      </c>
      <c r="E1397" s="158">
        <v>18.2338886</v>
      </c>
      <c r="F1397" s="159">
        <v>4.5999999999999996</v>
      </c>
      <c r="G1397" s="160">
        <v>6.25</v>
      </c>
      <c r="H1397" s="161">
        <v>13.7</v>
      </c>
      <c r="I1397" s="161">
        <v>63.6</v>
      </c>
      <c r="J1397" s="161">
        <v>22.7</v>
      </c>
      <c r="K1397" s="160">
        <v>0.02</v>
      </c>
    </row>
    <row r="1398" spans="1:11" x14ac:dyDescent="0.3">
      <c r="A1398" s="156" t="s">
        <v>887</v>
      </c>
      <c r="B1398" s="157" t="s">
        <v>888</v>
      </c>
      <c r="C1398" s="157">
        <v>2024</v>
      </c>
      <c r="D1398" s="158">
        <v>-66.063613899999993</v>
      </c>
      <c r="E1398" s="158">
        <v>18.3966675</v>
      </c>
      <c r="F1398" s="159">
        <v>4.9000000000000004</v>
      </c>
      <c r="G1398" s="160">
        <v>13.15</v>
      </c>
      <c r="H1398" s="161">
        <v>17.399999999999999</v>
      </c>
      <c r="I1398" s="161">
        <v>28.7</v>
      </c>
      <c r="J1398" s="161">
        <v>53.9</v>
      </c>
      <c r="K1398" s="160">
        <v>0.22999999999999998</v>
      </c>
    </row>
    <row r="1399" spans="1:11" x14ac:dyDescent="0.3">
      <c r="A1399" s="156" t="s">
        <v>887</v>
      </c>
      <c r="B1399" s="157" t="s">
        <v>888</v>
      </c>
      <c r="C1399" s="157">
        <v>2024</v>
      </c>
      <c r="D1399" s="158">
        <v>-65.7667</v>
      </c>
      <c r="E1399" s="158">
        <v>-9.4499999999999993</v>
      </c>
      <c r="F1399" s="159">
        <v>4.4000000000000004</v>
      </c>
      <c r="G1399" s="160">
        <v>2</v>
      </c>
      <c r="H1399" s="161">
        <v>44</v>
      </c>
      <c r="I1399" s="161">
        <v>29</v>
      </c>
      <c r="J1399" s="161">
        <v>27</v>
      </c>
      <c r="K1399" s="160">
        <v>0.35</v>
      </c>
    </row>
    <row r="1400" spans="1:11" x14ac:dyDescent="0.3">
      <c r="A1400" s="156" t="s">
        <v>887</v>
      </c>
      <c r="B1400" s="157" t="s">
        <v>888</v>
      </c>
      <c r="C1400" s="157">
        <v>2024</v>
      </c>
      <c r="D1400" s="158">
        <v>-63.083300000000001</v>
      </c>
      <c r="E1400" s="158">
        <v>-7.55</v>
      </c>
      <c r="F1400" s="159">
        <v>4.3</v>
      </c>
      <c r="G1400" s="160">
        <v>4.5</v>
      </c>
      <c r="H1400" s="161">
        <v>5.5</v>
      </c>
      <c r="I1400" s="161">
        <v>47.9</v>
      </c>
      <c r="J1400" s="161">
        <v>46.6</v>
      </c>
      <c r="K1400" s="160">
        <v>0.32</v>
      </c>
    </row>
    <row r="1401" spans="1:11" x14ac:dyDescent="0.3">
      <c r="A1401" s="156" t="s">
        <v>887</v>
      </c>
      <c r="B1401" s="157" t="s">
        <v>888</v>
      </c>
      <c r="C1401" s="157">
        <v>2024</v>
      </c>
      <c r="D1401" s="158">
        <v>-62.316699999999997</v>
      </c>
      <c r="E1401" s="158">
        <v>-9.25</v>
      </c>
      <c r="F1401" s="159">
        <v>3.7</v>
      </c>
      <c r="G1401" s="160">
        <v>1</v>
      </c>
      <c r="H1401" s="161">
        <v>44</v>
      </c>
      <c r="I1401" s="161">
        <v>14</v>
      </c>
      <c r="J1401" s="161">
        <v>42</v>
      </c>
      <c r="K1401" s="160">
        <v>0.79</v>
      </c>
    </row>
    <row r="1402" spans="1:11" x14ac:dyDescent="0.3">
      <c r="A1402" s="156" t="s">
        <v>887</v>
      </c>
      <c r="B1402" s="157" t="s">
        <v>888</v>
      </c>
      <c r="C1402" s="157">
        <v>2024</v>
      </c>
      <c r="D1402" s="158">
        <v>-62.316666666666698</v>
      </c>
      <c r="E1402" s="158">
        <v>3.1666666666666701</v>
      </c>
      <c r="F1402" s="159">
        <v>4</v>
      </c>
      <c r="G1402" s="160">
        <v>2.6</v>
      </c>
      <c r="H1402" s="161">
        <v>33</v>
      </c>
      <c r="I1402" s="161">
        <v>23</v>
      </c>
      <c r="J1402" s="161">
        <v>44</v>
      </c>
      <c r="K1402" s="160">
        <v>0.8</v>
      </c>
    </row>
    <row r="1403" spans="1:11" x14ac:dyDescent="0.3">
      <c r="A1403" s="156" t="s">
        <v>887</v>
      </c>
      <c r="B1403" s="157" t="s">
        <v>888</v>
      </c>
      <c r="C1403" s="157">
        <v>2024</v>
      </c>
      <c r="D1403" s="158">
        <v>-62.25</v>
      </c>
      <c r="E1403" s="158">
        <v>-4.4832999999999998</v>
      </c>
      <c r="F1403" s="159">
        <v>4.5</v>
      </c>
      <c r="G1403" s="160">
        <v>13.3</v>
      </c>
      <c r="H1403" s="161">
        <v>4</v>
      </c>
      <c r="I1403" s="161">
        <v>66</v>
      </c>
      <c r="J1403" s="161">
        <v>30</v>
      </c>
      <c r="K1403" s="160">
        <v>1.08</v>
      </c>
    </row>
    <row r="1404" spans="1:11" x14ac:dyDescent="0.3">
      <c r="A1404" s="156" t="s">
        <v>887</v>
      </c>
      <c r="B1404" s="157" t="s">
        <v>888</v>
      </c>
      <c r="C1404" s="157">
        <v>2024</v>
      </c>
      <c r="D1404" s="158">
        <v>-60.45</v>
      </c>
      <c r="E1404" s="158">
        <v>-1.95</v>
      </c>
      <c r="F1404" s="159">
        <v>4.2</v>
      </c>
      <c r="G1404" s="160">
        <v>1.6</v>
      </c>
      <c r="H1404" s="161">
        <v>65.5</v>
      </c>
      <c r="I1404" s="161">
        <v>20</v>
      </c>
      <c r="J1404" s="161">
        <v>14.5</v>
      </c>
      <c r="K1404" s="160">
        <v>0.2</v>
      </c>
    </row>
    <row r="1405" spans="1:11" x14ac:dyDescent="0.3">
      <c r="A1405" s="156" t="s">
        <v>887</v>
      </c>
      <c r="B1405" s="157" t="s">
        <v>888</v>
      </c>
      <c r="C1405" s="157">
        <v>2024</v>
      </c>
      <c r="D1405" s="158">
        <v>-57.65</v>
      </c>
      <c r="E1405" s="158">
        <v>-12.283300000000001</v>
      </c>
      <c r="F1405" s="159">
        <v>3.7</v>
      </c>
      <c r="G1405" s="160">
        <v>1.6</v>
      </c>
      <c r="H1405" s="161">
        <v>83.2</v>
      </c>
      <c r="I1405" s="161">
        <v>2</v>
      </c>
      <c r="J1405" s="161">
        <v>14.8</v>
      </c>
      <c r="K1405" s="160">
        <v>0.8</v>
      </c>
    </row>
    <row r="1406" spans="1:11" x14ac:dyDescent="0.3">
      <c r="A1406" s="156" t="s">
        <v>887</v>
      </c>
      <c r="B1406" s="157" t="s">
        <v>888</v>
      </c>
      <c r="C1406" s="157">
        <v>2024</v>
      </c>
      <c r="D1406" s="158">
        <v>-57.0167</v>
      </c>
      <c r="E1406" s="158">
        <v>-15.183299999999999</v>
      </c>
      <c r="F1406" s="159">
        <v>4</v>
      </c>
      <c r="G1406" s="160">
        <v>0.9</v>
      </c>
      <c r="H1406" s="161">
        <v>67.8</v>
      </c>
      <c r="I1406" s="161">
        <v>12.8</v>
      </c>
      <c r="J1406" s="161">
        <v>19.399999999999999</v>
      </c>
      <c r="K1406" s="160">
        <v>0.4</v>
      </c>
    </row>
    <row r="1407" spans="1:11" x14ac:dyDescent="0.3">
      <c r="A1407" s="156" t="s">
        <v>887</v>
      </c>
      <c r="B1407" s="157" t="s">
        <v>888</v>
      </c>
      <c r="C1407" s="157">
        <v>2024</v>
      </c>
      <c r="D1407" s="158">
        <v>-55.833300000000001</v>
      </c>
      <c r="E1407" s="158">
        <v>-7.9667000000000003</v>
      </c>
      <c r="F1407" s="159">
        <v>5.8</v>
      </c>
      <c r="G1407" s="160">
        <v>9.5</v>
      </c>
      <c r="H1407" s="161">
        <v>51</v>
      </c>
      <c r="I1407" s="161">
        <v>11</v>
      </c>
      <c r="J1407" s="161">
        <v>38</v>
      </c>
      <c r="K1407" s="160">
        <v>0.86</v>
      </c>
    </row>
    <row r="1408" spans="1:11" x14ac:dyDescent="0.3">
      <c r="A1408" s="156" t="s">
        <v>887</v>
      </c>
      <c r="B1408" s="157" t="s">
        <v>888</v>
      </c>
      <c r="C1408" s="157">
        <v>2024</v>
      </c>
      <c r="D1408" s="158">
        <v>-55.25</v>
      </c>
      <c r="E1408" s="158">
        <v>-16.616700000000002</v>
      </c>
      <c r="F1408" s="159">
        <v>5.3</v>
      </c>
      <c r="G1408" s="160">
        <v>4.8</v>
      </c>
      <c r="H1408" s="161">
        <v>68</v>
      </c>
      <c r="I1408" s="161">
        <v>24</v>
      </c>
      <c r="J1408" s="161">
        <v>8</v>
      </c>
      <c r="K1408" s="160">
        <v>0.61</v>
      </c>
    </row>
    <row r="1409" spans="1:11" x14ac:dyDescent="0.3">
      <c r="A1409" s="156" t="s">
        <v>887</v>
      </c>
      <c r="B1409" s="157" t="s">
        <v>888</v>
      </c>
      <c r="C1409" s="157">
        <v>2024</v>
      </c>
      <c r="D1409" s="158">
        <v>-54.366700000000002</v>
      </c>
      <c r="E1409" s="158">
        <v>-16.4833</v>
      </c>
      <c r="F1409" s="159">
        <v>5</v>
      </c>
      <c r="G1409" s="160">
        <v>21.5</v>
      </c>
      <c r="H1409" s="161">
        <v>17</v>
      </c>
      <c r="I1409" s="161">
        <v>56</v>
      </c>
      <c r="J1409" s="161">
        <v>27</v>
      </c>
      <c r="K1409" s="160">
        <v>0.79</v>
      </c>
    </row>
    <row r="1410" spans="1:11" x14ac:dyDescent="0.3">
      <c r="A1410" s="156" t="s">
        <v>887</v>
      </c>
      <c r="B1410" s="157" t="s">
        <v>888</v>
      </c>
      <c r="C1410" s="157">
        <v>2024</v>
      </c>
      <c r="D1410" s="158">
        <v>-48.6875</v>
      </c>
      <c r="E1410" s="158">
        <v>-19.954444444444398</v>
      </c>
      <c r="F1410" s="159">
        <v>4.5999999999999996</v>
      </c>
      <c r="G1410" s="160">
        <v>0.7</v>
      </c>
      <c r="H1410" s="161">
        <v>50</v>
      </c>
      <c r="I1410" s="161">
        <v>15</v>
      </c>
      <c r="J1410" s="161">
        <v>21</v>
      </c>
      <c r="K1410" s="160">
        <v>0.31</v>
      </c>
    </row>
    <row r="1411" spans="1:11" x14ac:dyDescent="0.3">
      <c r="A1411" s="156" t="s">
        <v>887</v>
      </c>
      <c r="B1411" s="157" t="s">
        <v>888</v>
      </c>
      <c r="C1411" s="157">
        <v>2024</v>
      </c>
      <c r="D1411" s="158">
        <v>-37.616700000000002</v>
      </c>
      <c r="E1411" s="158">
        <v>-6.0833000000000004</v>
      </c>
      <c r="F1411" s="159">
        <v>6.4</v>
      </c>
      <c r="G1411" s="160">
        <v>4.7</v>
      </c>
      <c r="H1411" s="161">
        <v>63</v>
      </c>
      <c r="I1411" s="161">
        <v>22</v>
      </c>
      <c r="J1411" s="161">
        <v>15</v>
      </c>
      <c r="K1411" s="160">
        <v>0.77</v>
      </c>
    </row>
    <row r="1412" spans="1:11" x14ac:dyDescent="0.3">
      <c r="A1412" s="156" t="s">
        <v>887</v>
      </c>
      <c r="B1412" s="157" t="s">
        <v>888</v>
      </c>
      <c r="C1412" s="157">
        <v>2024</v>
      </c>
      <c r="D1412" s="158">
        <v>-35.559100000000001</v>
      </c>
      <c r="E1412" s="158">
        <v>-7.2045000000000003</v>
      </c>
      <c r="F1412" s="159">
        <v>6.8</v>
      </c>
      <c r="G1412" s="160">
        <v>10.6</v>
      </c>
      <c r="H1412" s="161">
        <v>48</v>
      </c>
      <c r="I1412" s="161">
        <v>21</v>
      </c>
      <c r="J1412" s="161">
        <v>31</v>
      </c>
      <c r="K1412" s="160">
        <v>0.38</v>
      </c>
    </row>
    <row r="1413" spans="1:11" x14ac:dyDescent="0.3">
      <c r="A1413" s="156" t="s">
        <v>887</v>
      </c>
      <c r="B1413" s="157" t="s">
        <v>888</v>
      </c>
      <c r="C1413" s="157">
        <v>2024</v>
      </c>
      <c r="D1413" s="158">
        <v>-35.133333333333297</v>
      </c>
      <c r="E1413" s="158">
        <v>-6.67</v>
      </c>
      <c r="F1413" s="159">
        <v>6.2</v>
      </c>
      <c r="G1413" s="160">
        <v>0.5</v>
      </c>
      <c r="H1413" s="161">
        <v>96</v>
      </c>
      <c r="I1413" s="161">
        <v>2</v>
      </c>
      <c r="J1413" s="161">
        <v>2</v>
      </c>
      <c r="K1413" s="160">
        <v>0.28999999999999998</v>
      </c>
    </row>
    <row r="1414" spans="1:11" x14ac:dyDescent="0.3">
      <c r="A1414" s="156" t="s">
        <v>887</v>
      </c>
      <c r="B1414" s="157" t="s">
        <v>888</v>
      </c>
      <c r="C1414" s="157">
        <v>2024</v>
      </c>
      <c r="D1414" s="158">
        <v>-12.083333</v>
      </c>
      <c r="E1414" s="158">
        <v>8.9</v>
      </c>
      <c r="F1414" s="159">
        <v>5</v>
      </c>
      <c r="G1414" s="160">
        <v>1.8</v>
      </c>
      <c r="H1414" s="161">
        <v>18</v>
      </c>
      <c r="I1414" s="161">
        <v>36</v>
      </c>
      <c r="J1414" s="161">
        <v>46</v>
      </c>
      <c r="K1414" s="160">
        <v>3.62</v>
      </c>
    </row>
    <row r="1415" spans="1:11" x14ac:dyDescent="0.3">
      <c r="A1415" s="156" t="s">
        <v>887</v>
      </c>
      <c r="B1415" s="157" t="s">
        <v>888</v>
      </c>
      <c r="C1415" s="157">
        <v>2024</v>
      </c>
      <c r="D1415" s="158">
        <v>-7.983333</v>
      </c>
      <c r="E1415" s="158">
        <v>12.666667</v>
      </c>
      <c r="F1415" s="159">
        <v>5.7</v>
      </c>
      <c r="G1415" s="160">
        <v>2.4</v>
      </c>
      <c r="H1415" s="161">
        <v>59</v>
      </c>
      <c r="I1415" s="161">
        <v>15</v>
      </c>
      <c r="J1415" s="161">
        <v>39</v>
      </c>
      <c r="K1415" s="160">
        <v>0.27</v>
      </c>
    </row>
    <row r="1416" spans="1:11" x14ac:dyDescent="0.3">
      <c r="A1416" s="156" t="s">
        <v>887</v>
      </c>
      <c r="B1416" s="157" t="s">
        <v>888</v>
      </c>
      <c r="C1416" s="157">
        <v>2024</v>
      </c>
      <c r="D1416" s="158">
        <v>-7.4663887000000004</v>
      </c>
      <c r="E1416" s="158">
        <v>11.2963886</v>
      </c>
      <c r="F1416" s="159">
        <v>6.4</v>
      </c>
      <c r="G1416" s="160">
        <v>2</v>
      </c>
      <c r="H1416" s="161">
        <v>73.599999999999994</v>
      </c>
      <c r="I1416" s="161">
        <v>19.100000000000001</v>
      </c>
      <c r="J1416" s="161">
        <v>7.3</v>
      </c>
      <c r="K1416" s="160">
        <v>0.80999999999999994</v>
      </c>
    </row>
    <row r="1417" spans="1:11" x14ac:dyDescent="0.3">
      <c r="A1417" s="156" t="s">
        <v>887</v>
      </c>
      <c r="B1417" s="157" t="s">
        <v>888</v>
      </c>
      <c r="C1417" s="157">
        <v>2024</v>
      </c>
      <c r="D1417" s="158">
        <v>-6.1666664999999998</v>
      </c>
      <c r="E1417" s="158">
        <v>14</v>
      </c>
      <c r="F1417" s="159">
        <v>5.3</v>
      </c>
      <c r="G1417" s="160">
        <v>4.3</v>
      </c>
      <c r="H1417" s="161">
        <v>61.7</v>
      </c>
      <c r="I1417" s="161">
        <v>18.8</v>
      </c>
      <c r="J1417" s="161">
        <v>24.8</v>
      </c>
      <c r="K1417" s="160">
        <v>0.59000000000000008</v>
      </c>
    </row>
    <row r="1418" spans="1:11" x14ac:dyDescent="0.3">
      <c r="A1418" s="156" t="s">
        <v>887</v>
      </c>
      <c r="B1418" s="157" t="s">
        <v>888</v>
      </c>
      <c r="C1418" s="157">
        <v>2024</v>
      </c>
      <c r="D1418" s="158">
        <v>-6.0799998999999998</v>
      </c>
      <c r="E1418" s="158">
        <v>14.233611099999999</v>
      </c>
      <c r="F1418" s="159">
        <v>4.5999999999999996</v>
      </c>
      <c r="G1418" s="160">
        <v>2.2000000000000002</v>
      </c>
      <c r="H1418" s="161">
        <v>80.099999999999994</v>
      </c>
      <c r="I1418" s="161">
        <v>7.8</v>
      </c>
      <c r="J1418" s="161">
        <v>12.1</v>
      </c>
      <c r="K1418" s="160">
        <v>0.16</v>
      </c>
    </row>
    <row r="1419" spans="1:11" x14ac:dyDescent="0.3">
      <c r="A1419" s="156" t="s">
        <v>887</v>
      </c>
      <c r="B1419" s="157" t="s">
        <v>888</v>
      </c>
      <c r="C1419" s="157">
        <v>2024</v>
      </c>
      <c r="D1419" s="158">
        <v>-1.6666700000000001</v>
      </c>
      <c r="E1419" s="158">
        <v>6.6666699999999999</v>
      </c>
      <c r="F1419" s="159">
        <v>4.9000000000000004</v>
      </c>
      <c r="G1419" s="160">
        <v>3.3</v>
      </c>
      <c r="H1419" s="161">
        <v>35.6</v>
      </c>
      <c r="I1419" s="161">
        <v>6.6</v>
      </c>
      <c r="J1419" s="161">
        <v>52.7</v>
      </c>
      <c r="K1419" s="160">
        <v>0.18</v>
      </c>
    </row>
    <row r="1420" spans="1:11" x14ac:dyDescent="0.3">
      <c r="A1420" s="156" t="s">
        <v>887</v>
      </c>
      <c r="B1420" s="157" t="s">
        <v>888</v>
      </c>
      <c r="C1420" s="157">
        <v>2024</v>
      </c>
      <c r="D1420" s="158">
        <v>2.0833330000000001</v>
      </c>
      <c r="E1420" s="158">
        <v>13.533333000000001</v>
      </c>
      <c r="F1420" s="159">
        <v>6</v>
      </c>
      <c r="G1420" s="160">
        <v>0.8</v>
      </c>
      <c r="H1420" s="161">
        <v>87</v>
      </c>
      <c r="I1420" s="161">
        <v>4</v>
      </c>
      <c r="J1420" s="161">
        <v>21</v>
      </c>
      <c r="K1420" s="160">
        <v>0.09</v>
      </c>
    </row>
    <row r="1421" spans="1:11" x14ac:dyDescent="0.3">
      <c r="A1421" s="156" t="s">
        <v>887</v>
      </c>
      <c r="B1421" s="157" t="s">
        <v>888</v>
      </c>
      <c r="C1421" s="157">
        <v>2024</v>
      </c>
      <c r="D1421" s="158">
        <v>3.9</v>
      </c>
      <c r="E1421" s="158">
        <v>7.5</v>
      </c>
      <c r="F1421" s="159">
        <v>5.2</v>
      </c>
      <c r="G1421" s="160">
        <v>4.3</v>
      </c>
      <c r="H1421" s="161">
        <v>88.4</v>
      </c>
      <c r="I1421" s="161">
        <v>25.1</v>
      </c>
      <c r="J1421" s="161">
        <v>28.6</v>
      </c>
      <c r="K1421" s="160">
        <v>0.16</v>
      </c>
    </row>
    <row r="1422" spans="1:11" x14ac:dyDescent="0.3">
      <c r="A1422" s="156" t="s">
        <v>887</v>
      </c>
      <c r="B1422" s="157" t="s">
        <v>888</v>
      </c>
      <c r="C1422" s="157">
        <v>2024</v>
      </c>
      <c r="D1422" s="158">
        <v>11.333333</v>
      </c>
      <c r="E1422" s="158">
        <v>4.1666670000000003</v>
      </c>
      <c r="F1422" s="159">
        <v>5.6</v>
      </c>
      <c r="G1422" s="160">
        <v>21.6</v>
      </c>
      <c r="H1422" s="161">
        <v>46</v>
      </c>
      <c r="I1422" s="161">
        <v>13</v>
      </c>
      <c r="J1422" s="161">
        <v>38</v>
      </c>
      <c r="K1422" s="160">
        <v>0.18</v>
      </c>
    </row>
    <row r="1423" spans="1:11" x14ac:dyDescent="0.3">
      <c r="A1423" s="156" t="s">
        <v>887</v>
      </c>
      <c r="B1423" s="157" t="s">
        <v>888</v>
      </c>
      <c r="C1423" s="157">
        <v>2024</v>
      </c>
      <c r="D1423" s="158">
        <v>14.899999599999999</v>
      </c>
      <c r="E1423" s="158">
        <v>-5.4499997999999996</v>
      </c>
      <c r="F1423" s="159">
        <v>4.8</v>
      </c>
      <c r="G1423" s="160">
        <v>6.1</v>
      </c>
      <c r="H1423" s="161">
        <v>42.1</v>
      </c>
      <c r="I1423" s="161">
        <v>27.8</v>
      </c>
      <c r="J1423" s="161">
        <v>30.1</v>
      </c>
      <c r="K1423" s="160">
        <v>0.28999999999999998</v>
      </c>
    </row>
    <row r="1424" spans="1:11" x14ac:dyDescent="0.3">
      <c r="A1424" s="156" t="s">
        <v>887</v>
      </c>
      <c r="B1424" s="157" t="s">
        <v>888</v>
      </c>
      <c r="C1424" s="157">
        <v>2024</v>
      </c>
      <c r="D1424" s="158">
        <v>23.085000000000001</v>
      </c>
      <c r="E1424" s="158">
        <v>-20.283332999999999</v>
      </c>
      <c r="F1424" s="159">
        <v>6.2</v>
      </c>
      <c r="G1424" s="160">
        <v>5.9</v>
      </c>
      <c r="H1424" s="161">
        <v>92</v>
      </c>
      <c r="I1424" s="161">
        <v>3</v>
      </c>
      <c r="J1424" s="161">
        <v>6</v>
      </c>
      <c r="K1424" s="160">
        <v>0.1</v>
      </c>
    </row>
    <row r="1425" spans="1:11" x14ac:dyDescent="0.3">
      <c r="A1425" s="156" t="s">
        <v>887</v>
      </c>
      <c r="B1425" s="157" t="s">
        <v>888</v>
      </c>
      <c r="C1425" s="157">
        <v>2024</v>
      </c>
      <c r="D1425" s="158">
        <v>24.422222000000001</v>
      </c>
      <c r="E1425" s="158">
        <v>-18.017222</v>
      </c>
      <c r="F1425" s="159">
        <v>7.7</v>
      </c>
      <c r="G1425" s="160">
        <v>43.5</v>
      </c>
      <c r="H1425" s="161">
        <v>14</v>
      </c>
      <c r="I1425" s="161">
        <v>28</v>
      </c>
      <c r="J1425" s="161">
        <v>58</v>
      </c>
      <c r="K1425" s="160">
        <v>0.3</v>
      </c>
    </row>
    <row r="1426" spans="1:11" x14ac:dyDescent="0.3">
      <c r="A1426" s="156" t="s">
        <v>887</v>
      </c>
      <c r="B1426" s="157" t="s">
        <v>888</v>
      </c>
      <c r="C1426" s="157">
        <v>2024</v>
      </c>
      <c r="D1426" s="158">
        <v>24.448333000000002</v>
      </c>
      <c r="E1426" s="158">
        <v>0.76666699999999999</v>
      </c>
      <c r="F1426" s="159">
        <v>4.3</v>
      </c>
      <c r="G1426" s="160">
        <v>1</v>
      </c>
      <c r="H1426" s="161">
        <v>70</v>
      </c>
      <c r="I1426" s="161">
        <v>3</v>
      </c>
      <c r="J1426" s="161">
        <v>27</v>
      </c>
      <c r="K1426" s="160">
        <v>0.37</v>
      </c>
    </row>
    <row r="1427" spans="1:11" x14ac:dyDescent="0.3">
      <c r="A1427" s="156" t="s">
        <v>887</v>
      </c>
      <c r="B1427" s="157" t="s">
        <v>888</v>
      </c>
      <c r="C1427" s="157">
        <v>2024</v>
      </c>
      <c r="D1427" s="158">
        <v>25.670556000000001</v>
      </c>
      <c r="E1427" s="158">
        <v>-18.822500000000002</v>
      </c>
      <c r="F1427" s="159">
        <v>6.7</v>
      </c>
      <c r="G1427" s="160">
        <v>12.6</v>
      </c>
      <c r="H1427" s="161">
        <v>91</v>
      </c>
      <c r="I1427" s="161">
        <v>4</v>
      </c>
      <c r="J1427" s="161">
        <v>5</v>
      </c>
      <c r="K1427" s="160">
        <v>0.4</v>
      </c>
    </row>
    <row r="1428" spans="1:11" x14ac:dyDescent="0.3">
      <c r="A1428" s="156" t="s">
        <v>887</v>
      </c>
      <c r="B1428" s="157" t="s">
        <v>888</v>
      </c>
      <c r="C1428" s="157">
        <v>2024</v>
      </c>
      <c r="D1428" s="158">
        <v>26.28</v>
      </c>
      <c r="E1428" s="158">
        <v>58.08</v>
      </c>
      <c r="F1428" s="159">
        <v>6.2</v>
      </c>
      <c r="G1428" s="160">
        <v>4.9000000000000004</v>
      </c>
      <c r="H1428" s="161">
        <v>57</v>
      </c>
      <c r="I1428" s="161">
        <v>27</v>
      </c>
      <c r="J1428" s="161">
        <v>16</v>
      </c>
      <c r="K1428" s="160">
        <v>0.1</v>
      </c>
    </row>
    <row r="1429" spans="1:11" x14ac:dyDescent="0.3">
      <c r="A1429" s="156" t="s">
        <v>887</v>
      </c>
      <c r="B1429" s="157" t="s">
        <v>888</v>
      </c>
      <c r="C1429" s="157">
        <v>2024</v>
      </c>
      <c r="D1429" s="158">
        <v>27.026667</v>
      </c>
      <c r="E1429" s="158">
        <v>-20.911110999999998</v>
      </c>
      <c r="F1429" s="159">
        <v>5</v>
      </c>
      <c r="G1429" s="160">
        <v>1.8</v>
      </c>
      <c r="H1429" s="161">
        <v>86.4</v>
      </c>
      <c r="I1429" s="161">
        <v>7.8</v>
      </c>
      <c r="J1429" s="161">
        <v>5.8</v>
      </c>
      <c r="K1429" s="160">
        <v>0.19</v>
      </c>
    </row>
    <row r="1430" spans="1:11" x14ac:dyDescent="0.3">
      <c r="A1430" s="156" t="s">
        <v>887</v>
      </c>
      <c r="B1430" s="157" t="s">
        <v>888</v>
      </c>
      <c r="C1430" s="157">
        <v>2024</v>
      </c>
      <c r="D1430" s="158">
        <v>27.049722222222201</v>
      </c>
      <c r="E1430" s="158">
        <v>58.029722222222198</v>
      </c>
      <c r="F1430" s="159">
        <v>3.5</v>
      </c>
      <c r="G1430" s="160">
        <v>0.4</v>
      </c>
      <c r="H1430" s="161">
        <v>92</v>
      </c>
      <c r="I1430" s="161">
        <v>7</v>
      </c>
      <c r="J1430" s="161">
        <v>1</v>
      </c>
      <c r="K1430" s="160">
        <v>2.5</v>
      </c>
    </row>
    <row r="1431" spans="1:11" x14ac:dyDescent="0.3">
      <c r="A1431" s="156" t="s">
        <v>887</v>
      </c>
      <c r="B1431" s="157" t="s">
        <v>888</v>
      </c>
      <c r="C1431" s="157">
        <v>2024</v>
      </c>
      <c r="D1431" s="158">
        <v>29.266667000000002</v>
      </c>
      <c r="E1431" s="158">
        <v>-29.466667000000001</v>
      </c>
      <c r="F1431" s="159">
        <v>4.9000000000000004</v>
      </c>
      <c r="G1431" s="160">
        <v>40.1</v>
      </c>
      <c r="H1431" s="161">
        <v>70.2</v>
      </c>
      <c r="I1431" s="161">
        <v>32.299999999999997</v>
      </c>
      <c r="J1431" s="161">
        <v>8.5</v>
      </c>
      <c r="K1431" s="160">
        <v>0.38</v>
      </c>
    </row>
    <row r="1432" spans="1:11" x14ac:dyDescent="0.3">
      <c r="A1432" s="156" t="s">
        <v>887</v>
      </c>
      <c r="B1432" s="157" t="s">
        <v>888</v>
      </c>
      <c r="C1432" s="157">
        <v>2024</v>
      </c>
      <c r="D1432" s="158">
        <v>29.31</v>
      </c>
      <c r="E1432" s="158">
        <v>-2.21</v>
      </c>
      <c r="F1432" s="159">
        <v>4.8</v>
      </c>
      <c r="G1432" s="160">
        <v>3.4</v>
      </c>
      <c r="H1432" s="161">
        <v>48</v>
      </c>
      <c r="I1432" s="161">
        <v>11</v>
      </c>
      <c r="J1432" s="161">
        <v>42</v>
      </c>
      <c r="K1432" s="160">
        <v>0.43</v>
      </c>
    </row>
    <row r="1433" spans="1:11" x14ac:dyDescent="0.3">
      <c r="A1433" s="156" t="s">
        <v>887</v>
      </c>
      <c r="B1433" s="157" t="s">
        <v>888</v>
      </c>
      <c r="C1433" s="157">
        <v>2024</v>
      </c>
      <c r="D1433" s="158">
        <v>29.316666999999999</v>
      </c>
      <c r="E1433" s="158">
        <v>-3.3666670000000001</v>
      </c>
      <c r="F1433" s="159">
        <v>5.4</v>
      </c>
      <c r="G1433" s="160">
        <v>0.5</v>
      </c>
      <c r="H1433" s="161">
        <v>67</v>
      </c>
      <c r="I1433" s="161">
        <v>23</v>
      </c>
      <c r="J1433" s="161">
        <v>76.599999999999994</v>
      </c>
      <c r="K1433" s="160">
        <v>2.81</v>
      </c>
    </row>
    <row r="1434" spans="1:11" x14ac:dyDescent="0.3">
      <c r="A1434" s="156" t="s">
        <v>887</v>
      </c>
      <c r="B1434" s="157" t="s">
        <v>888</v>
      </c>
      <c r="C1434" s="157">
        <v>2024</v>
      </c>
      <c r="D1434" s="158">
        <v>29.5</v>
      </c>
      <c r="E1434" s="158">
        <v>-3.1666669999999999</v>
      </c>
      <c r="F1434" s="159">
        <v>5.2</v>
      </c>
      <c r="G1434" s="160">
        <v>2.8</v>
      </c>
      <c r="H1434" s="161">
        <v>30</v>
      </c>
      <c r="I1434" s="161">
        <v>15</v>
      </c>
      <c r="J1434" s="161">
        <v>55</v>
      </c>
      <c r="K1434" s="160">
        <v>0.32</v>
      </c>
    </row>
    <row r="1435" spans="1:11" x14ac:dyDescent="0.3">
      <c r="A1435" s="156" t="s">
        <v>887</v>
      </c>
      <c r="B1435" s="157" t="s">
        <v>888</v>
      </c>
      <c r="C1435" s="157">
        <v>2024</v>
      </c>
      <c r="D1435" s="158">
        <v>30.0100002</v>
      </c>
      <c r="E1435" s="158">
        <v>-1.9736111000000001</v>
      </c>
      <c r="F1435" s="159">
        <v>5.2</v>
      </c>
      <c r="G1435" s="160">
        <v>3.7</v>
      </c>
      <c r="H1435" s="161">
        <v>32.9</v>
      </c>
      <c r="I1435" s="161">
        <v>22.6</v>
      </c>
      <c r="J1435" s="161">
        <v>44.5</v>
      </c>
      <c r="K1435" s="160">
        <v>0.90999999999999992</v>
      </c>
    </row>
    <row r="1436" spans="1:11" x14ac:dyDescent="0.3">
      <c r="A1436" s="156" t="s">
        <v>887</v>
      </c>
      <c r="B1436" s="157" t="s">
        <v>888</v>
      </c>
      <c r="C1436" s="157">
        <v>2024</v>
      </c>
      <c r="D1436" s="158">
        <v>30.783332999999999</v>
      </c>
      <c r="E1436" s="158">
        <v>-29.066666999999999</v>
      </c>
      <c r="F1436" s="159">
        <v>5.9</v>
      </c>
      <c r="G1436" s="160">
        <v>1.5</v>
      </c>
      <c r="H1436" s="161">
        <v>24</v>
      </c>
      <c r="I1436" s="161">
        <v>26</v>
      </c>
      <c r="J1436" s="161">
        <v>50</v>
      </c>
      <c r="K1436" s="160">
        <v>0.59000000000000008</v>
      </c>
    </row>
    <row r="1437" spans="1:11" x14ac:dyDescent="0.3">
      <c r="A1437" s="156" t="s">
        <v>887</v>
      </c>
      <c r="B1437" s="157" t="s">
        <v>888</v>
      </c>
      <c r="C1437" s="157">
        <v>2024</v>
      </c>
      <c r="D1437" s="158">
        <v>30.974721899999999</v>
      </c>
      <c r="E1437" s="158">
        <v>-17.567222600000001</v>
      </c>
      <c r="F1437" s="159">
        <v>6.5</v>
      </c>
      <c r="G1437" s="160">
        <v>13.5</v>
      </c>
      <c r="H1437" s="161">
        <v>13.1</v>
      </c>
      <c r="I1437" s="161">
        <v>47.3</v>
      </c>
      <c r="J1437" s="161">
        <v>49.1</v>
      </c>
      <c r="K1437" s="160">
        <v>0.12</v>
      </c>
    </row>
    <row r="1438" spans="1:11" x14ac:dyDescent="0.3">
      <c r="A1438" s="156" t="s">
        <v>887</v>
      </c>
      <c r="B1438" s="157" t="s">
        <v>888</v>
      </c>
      <c r="C1438" s="157">
        <v>2024</v>
      </c>
      <c r="D1438" s="158">
        <v>31.044445</v>
      </c>
      <c r="E1438" s="158">
        <v>-17.7600002</v>
      </c>
      <c r="F1438" s="159">
        <v>5.6</v>
      </c>
      <c r="G1438" s="160">
        <v>9.6999999999999993</v>
      </c>
      <c r="H1438" s="161">
        <v>30.4</v>
      </c>
      <c r="I1438" s="161">
        <v>20</v>
      </c>
      <c r="J1438" s="161">
        <v>45</v>
      </c>
      <c r="K1438" s="160">
        <v>1.42</v>
      </c>
    </row>
    <row r="1439" spans="1:11" x14ac:dyDescent="0.3">
      <c r="A1439" s="156" t="s">
        <v>887</v>
      </c>
      <c r="B1439" s="157" t="s">
        <v>888</v>
      </c>
      <c r="C1439" s="157">
        <v>2024</v>
      </c>
      <c r="D1439" s="158">
        <v>31.113330000000001</v>
      </c>
      <c r="E1439" s="158">
        <v>-27.886669999999999</v>
      </c>
      <c r="F1439" s="159">
        <v>4.4000000000000004</v>
      </c>
      <c r="G1439" s="160">
        <v>2</v>
      </c>
      <c r="H1439" s="161">
        <v>67</v>
      </c>
      <c r="I1439" s="161">
        <v>8</v>
      </c>
      <c r="J1439" s="161">
        <v>21</v>
      </c>
      <c r="K1439" s="160">
        <v>1.2</v>
      </c>
    </row>
    <row r="1440" spans="1:11" x14ac:dyDescent="0.3">
      <c r="A1440" s="156" t="s">
        <v>887</v>
      </c>
      <c r="B1440" s="157" t="s">
        <v>888</v>
      </c>
      <c r="C1440" s="157">
        <v>2024</v>
      </c>
      <c r="D1440" s="158">
        <v>31.133610999999998</v>
      </c>
      <c r="E1440" s="158">
        <v>-17.610278000000001</v>
      </c>
      <c r="F1440" s="159">
        <v>5.4</v>
      </c>
      <c r="G1440" s="160">
        <v>0.9</v>
      </c>
      <c r="H1440" s="161">
        <v>70.7</v>
      </c>
      <c r="I1440" s="161">
        <v>7.1</v>
      </c>
      <c r="J1440" s="161">
        <v>22.2</v>
      </c>
      <c r="K1440" s="160">
        <v>0.43</v>
      </c>
    </row>
    <row r="1441" spans="1:11" x14ac:dyDescent="0.3">
      <c r="A1441" s="156" t="s">
        <v>887</v>
      </c>
      <c r="B1441" s="157" t="s">
        <v>888</v>
      </c>
      <c r="C1441" s="157">
        <v>2024</v>
      </c>
      <c r="D1441" s="158">
        <v>32.096668200000003</v>
      </c>
      <c r="E1441" s="158">
        <v>-18.541665999999999</v>
      </c>
      <c r="F1441" s="159">
        <v>5</v>
      </c>
      <c r="G1441" s="160">
        <v>0.5</v>
      </c>
      <c r="H1441" s="161">
        <v>88</v>
      </c>
      <c r="I1441" s="161">
        <v>3</v>
      </c>
      <c r="J1441" s="161">
        <v>9</v>
      </c>
      <c r="K1441" s="160">
        <v>0.27</v>
      </c>
    </row>
    <row r="1442" spans="1:11" x14ac:dyDescent="0.3">
      <c r="A1442" s="156" t="s">
        <v>887</v>
      </c>
      <c r="B1442" s="157" t="s">
        <v>888</v>
      </c>
      <c r="C1442" s="157">
        <v>2024</v>
      </c>
      <c r="D1442" s="158">
        <v>34.5</v>
      </c>
      <c r="E1442" s="158">
        <v>-0.75138899999999997</v>
      </c>
      <c r="F1442" s="159">
        <v>7.6</v>
      </c>
      <c r="G1442" s="160">
        <v>5.2</v>
      </c>
      <c r="H1442" s="161">
        <v>38.9</v>
      </c>
      <c r="I1442" s="161">
        <v>33.299999999999997</v>
      </c>
      <c r="J1442" s="161">
        <v>46.2</v>
      </c>
      <c r="K1442" s="160">
        <v>0.85</v>
      </c>
    </row>
    <row r="1443" spans="1:11" x14ac:dyDescent="0.3">
      <c r="A1443" s="156" t="s">
        <v>887</v>
      </c>
      <c r="B1443" s="157" t="s">
        <v>888</v>
      </c>
      <c r="C1443" s="157">
        <v>2024</v>
      </c>
      <c r="D1443" s="158">
        <v>36.752222000000003</v>
      </c>
      <c r="E1443" s="158">
        <v>-0.7</v>
      </c>
      <c r="F1443" s="159">
        <v>5</v>
      </c>
      <c r="G1443" s="160">
        <v>3.5</v>
      </c>
      <c r="H1443" s="161">
        <v>9.3000000000000007</v>
      </c>
      <c r="I1443" s="161">
        <v>39</v>
      </c>
      <c r="J1443" s="161">
        <v>56.5</v>
      </c>
      <c r="K1443" s="160">
        <v>5.84</v>
      </c>
    </row>
    <row r="1444" spans="1:11" x14ac:dyDescent="0.3">
      <c r="A1444" s="156" t="s">
        <v>887</v>
      </c>
      <c r="B1444" s="157" t="s">
        <v>888</v>
      </c>
      <c r="C1444" s="157">
        <v>2024</v>
      </c>
      <c r="D1444" s="158">
        <v>40.083333000000003</v>
      </c>
      <c r="E1444" s="158">
        <v>-14.816667000000001</v>
      </c>
      <c r="F1444" s="159">
        <v>7.9</v>
      </c>
      <c r="G1444" s="160">
        <v>19.2</v>
      </c>
      <c r="H1444" s="161">
        <v>13.8</v>
      </c>
      <c r="I1444" s="161">
        <v>18</v>
      </c>
      <c r="J1444" s="161">
        <v>60</v>
      </c>
      <c r="K1444" s="160">
        <v>0.74</v>
      </c>
    </row>
    <row r="1445" spans="1:11" x14ac:dyDescent="0.3">
      <c r="A1445" s="156" t="s">
        <v>887</v>
      </c>
      <c r="B1445" s="157" t="s">
        <v>888</v>
      </c>
      <c r="C1445" s="157">
        <v>2024</v>
      </c>
      <c r="D1445" s="158">
        <v>78</v>
      </c>
      <c r="E1445" s="158">
        <v>16</v>
      </c>
      <c r="F1445" s="159">
        <v>8.4</v>
      </c>
      <c r="G1445" s="160">
        <v>6</v>
      </c>
      <c r="H1445" s="161">
        <v>11.6</v>
      </c>
      <c r="I1445" s="161">
        <v>27.4</v>
      </c>
      <c r="J1445" s="161">
        <v>61</v>
      </c>
      <c r="K1445" s="160">
        <v>0.11000000000000001</v>
      </c>
    </row>
    <row r="1446" spans="1:11" x14ac:dyDescent="0.3">
      <c r="A1446" s="156" t="s">
        <v>887</v>
      </c>
      <c r="B1446" s="157" t="s">
        <v>888</v>
      </c>
      <c r="C1446" s="157">
        <v>2024</v>
      </c>
      <c r="D1446" s="158">
        <v>84.416664100000006</v>
      </c>
      <c r="E1446" s="158">
        <v>27.450000800000002</v>
      </c>
      <c r="F1446" s="159">
        <v>5.4</v>
      </c>
      <c r="G1446" s="160">
        <v>5.15</v>
      </c>
      <c r="H1446" s="161">
        <v>62.1</v>
      </c>
      <c r="I1446" s="161">
        <v>26.6</v>
      </c>
      <c r="J1446" s="161">
        <v>11.3</v>
      </c>
      <c r="K1446" s="160">
        <v>1.97</v>
      </c>
    </row>
    <row r="1447" spans="1:11" x14ac:dyDescent="0.3">
      <c r="A1447" s="156" t="s">
        <v>887</v>
      </c>
      <c r="B1447" s="157" t="s">
        <v>888</v>
      </c>
      <c r="C1447" s="157">
        <v>2024</v>
      </c>
      <c r="D1447" s="158">
        <v>96.733333333333306</v>
      </c>
      <c r="E1447" s="158">
        <v>4.8833333333333302</v>
      </c>
      <c r="F1447" s="159">
        <v>5.5</v>
      </c>
      <c r="G1447" s="160">
        <v>1.4</v>
      </c>
      <c r="H1447" s="161">
        <v>41</v>
      </c>
      <c r="I1447" s="161">
        <v>30</v>
      </c>
      <c r="J1447" s="161">
        <v>29</v>
      </c>
      <c r="K1447" s="160">
        <v>9.3000000000000007</v>
      </c>
    </row>
    <row r="1448" spans="1:11" x14ac:dyDescent="0.3">
      <c r="A1448" s="156" t="s">
        <v>887</v>
      </c>
      <c r="B1448" s="157" t="s">
        <v>888</v>
      </c>
      <c r="C1448" s="157">
        <v>2024</v>
      </c>
      <c r="D1448" s="158">
        <v>100.9875031</v>
      </c>
      <c r="E1448" s="158">
        <v>-1.0638889</v>
      </c>
      <c r="F1448" s="159">
        <v>4.5</v>
      </c>
      <c r="G1448" s="160">
        <v>1.85</v>
      </c>
      <c r="H1448" s="161">
        <v>37</v>
      </c>
      <c r="I1448" s="161">
        <v>11</v>
      </c>
      <c r="J1448" s="161">
        <v>52</v>
      </c>
      <c r="K1448" s="160">
        <v>1.06</v>
      </c>
    </row>
    <row r="1449" spans="1:11" x14ac:dyDescent="0.3">
      <c r="A1449" s="156" t="s">
        <v>887</v>
      </c>
      <c r="B1449" s="157" t="s">
        <v>888</v>
      </c>
      <c r="C1449" s="157">
        <v>2024</v>
      </c>
      <c r="D1449" s="158">
        <v>101.2249985</v>
      </c>
      <c r="E1449" s="158">
        <v>-1.2305557</v>
      </c>
      <c r="F1449" s="159">
        <v>4.3</v>
      </c>
      <c r="G1449" s="160">
        <v>2.1</v>
      </c>
      <c r="H1449" s="161">
        <v>7</v>
      </c>
      <c r="I1449" s="161">
        <v>10</v>
      </c>
      <c r="J1449" s="161">
        <v>70</v>
      </c>
      <c r="K1449" s="160">
        <v>0.35</v>
      </c>
    </row>
    <row r="1450" spans="1:11" x14ac:dyDescent="0.3">
      <c r="A1450" s="156" t="s">
        <v>887</v>
      </c>
      <c r="B1450" s="157" t="s">
        <v>888</v>
      </c>
      <c r="C1450" s="157">
        <v>2024</v>
      </c>
      <c r="D1450" s="158">
        <v>101.23333333333299</v>
      </c>
      <c r="E1450" s="158">
        <v>21.9166666666667</v>
      </c>
      <c r="F1450" s="159">
        <v>4.7</v>
      </c>
      <c r="G1450" s="160">
        <v>7.5</v>
      </c>
      <c r="H1450" s="161">
        <v>32.9</v>
      </c>
      <c r="I1450" s="161">
        <v>43</v>
      </c>
      <c r="J1450" s="161">
        <v>12</v>
      </c>
      <c r="K1450" s="160">
        <v>0.39</v>
      </c>
    </row>
    <row r="1451" spans="1:11" x14ac:dyDescent="0.3">
      <c r="A1451" s="156" t="s">
        <v>887</v>
      </c>
      <c r="B1451" s="157" t="s">
        <v>888</v>
      </c>
      <c r="C1451" s="157">
        <v>2024</v>
      </c>
      <c r="D1451" s="158">
        <v>101.53722380000001</v>
      </c>
      <c r="E1451" s="158">
        <v>13.5041666</v>
      </c>
      <c r="F1451" s="159">
        <v>4.7</v>
      </c>
      <c r="G1451" s="160">
        <v>3.15</v>
      </c>
      <c r="H1451" s="161">
        <v>47</v>
      </c>
      <c r="I1451" s="161">
        <v>25</v>
      </c>
      <c r="J1451" s="161">
        <v>28</v>
      </c>
      <c r="K1451" s="160">
        <v>0.78</v>
      </c>
    </row>
    <row r="1452" spans="1:11" x14ac:dyDescent="0.3">
      <c r="A1452" s="156" t="s">
        <v>887</v>
      </c>
      <c r="B1452" s="157" t="s">
        <v>888</v>
      </c>
      <c r="C1452" s="157">
        <v>2024</v>
      </c>
      <c r="D1452" s="158">
        <v>102.5</v>
      </c>
      <c r="E1452" s="158">
        <v>47.116664900000004</v>
      </c>
      <c r="F1452" s="159">
        <v>5.8</v>
      </c>
      <c r="G1452" s="160">
        <v>11.3</v>
      </c>
      <c r="H1452" s="161">
        <v>37</v>
      </c>
      <c r="I1452" s="161">
        <v>45</v>
      </c>
      <c r="J1452" s="161">
        <v>19</v>
      </c>
      <c r="K1452" s="160">
        <v>0.82</v>
      </c>
    </row>
    <row r="1453" spans="1:11" x14ac:dyDescent="0.3">
      <c r="A1453" s="156" t="s">
        <v>887</v>
      </c>
      <c r="B1453" s="157" t="s">
        <v>888</v>
      </c>
      <c r="C1453" s="157">
        <v>2024</v>
      </c>
      <c r="D1453" s="158">
        <v>106.433333333333</v>
      </c>
      <c r="E1453" s="158">
        <v>26.383333333333301</v>
      </c>
      <c r="F1453" s="159">
        <v>7.4</v>
      </c>
      <c r="G1453" s="160">
        <v>4.4000000000000004</v>
      </c>
      <c r="H1453" s="161">
        <v>6.7</v>
      </c>
      <c r="I1453" s="161">
        <v>23.5</v>
      </c>
      <c r="J1453" s="161">
        <v>69.7</v>
      </c>
      <c r="K1453" s="160">
        <v>0.15</v>
      </c>
    </row>
    <row r="1454" spans="1:11" x14ac:dyDescent="0.3">
      <c r="A1454" s="156" t="s">
        <v>887</v>
      </c>
      <c r="B1454" s="157" t="s">
        <v>888</v>
      </c>
      <c r="C1454" s="157">
        <v>2024</v>
      </c>
      <c r="D1454" s="158">
        <v>107.4000015</v>
      </c>
      <c r="E1454" s="158">
        <v>-6.4333334000000004</v>
      </c>
      <c r="F1454" s="159">
        <v>5.6</v>
      </c>
      <c r="G1454" s="160">
        <v>12.5</v>
      </c>
      <c r="H1454" s="161">
        <v>10.7</v>
      </c>
      <c r="I1454" s="161">
        <v>29.6</v>
      </c>
      <c r="J1454" s="161">
        <v>59.7</v>
      </c>
      <c r="K1454" s="160">
        <v>2.2399999999999998</v>
      </c>
    </row>
    <row r="1455" spans="1:11" x14ac:dyDescent="0.3">
      <c r="A1455" s="156" t="s">
        <v>887</v>
      </c>
      <c r="B1455" s="157" t="s">
        <v>888</v>
      </c>
      <c r="C1455" s="157">
        <v>2024</v>
      </c>
      <c r="D1455" s="158">
        <v>109.5</v>
      </c>
      <c r="E1455" s="158">
        <v>18.899999999999999</v>
      </c>
      <c r="F1455" s="159">
        <v>4.4000000000000004</v>
      </c>
      <c r="G1455" s="160">
        <v>1.7</v>
      </c>
      <c r="H1455" s="161">
        <v>55</v>
      </c>
      <c r="I1455" s="161">
        <v>21</v>
      </c>
      <c r="J1455" s="161">
        <v>26.8</v>
      </c>
      <c r="K1455" s="160">
        <v>2.2199999999999998</v>
      </c>
    </row>
    <row r="1456" spans="1:11" x14ac:dyDescent="0.3">
      <c r="A1456" s="156" t="s">
        <v>887</v>
      </c>
      <c r="B1456" s="157" t="s">
        <v>888</v>
      </c>
      <c r="C1456" s="157">
        <v>2024</v>
      </c>
      <c r="D1456" s="158">
        <v>116.570833333333</v>
      </c>
      <c r="E1456" s="158">
        <v>-0.86250000000000004</v>
      </c>
      <c r="F1456" s="159">
        <v>4.5999999999999996</v>
      </c>
      <c r="G1456" s="160">
        <v>11.1</v>
      </c>
      <c r="H1456" s="161">
        <v>43</v>
      </c>
      <c r="I1456" s="161">
        <v>21</v>
      </c>
      <c r="J1456" s="161">
        <v>36</v>
      </c>
      <c r="K1456" s="160">
        <v>0.25</v>
      </c>
    </row>
    <row r="1457" spans="1:11" x14ac:dyDescent="0.3">
      <c r="A1457" s="156" t="s">
        <v>887</v>
      </c>
      <c r="B1457" s="157" t="s">
        <v>888</v>
      </c>
      <c r="C1457" s="157">
        <v>2024</v>
      </c>
      <c r="D1457" s="158">
        <v>116.916666666667</v>
      </c>
      <c r="E1457" s="158">
        <v>28.216666666666701</v>
      </c>
      <c r="F1457" s="159">
        <v>4.8</v>
      </c>
      <c r="G1457" s="160">
        <v>5.3</v>
      </c>
      <c r="H1457" s="161">
        <v>45</v>
      </c>
      <c r="I1457" s="161">
        <v>23</v>
      </c>
      <c r="J1457" s="161">
        <v>13</v>
      </c>
      <c r="K1457" s="160">
        <v>0.03</v>
      </c>
    </row>
    <row r="1458" spans="1:11" x14ac:dyDescent="0.3">
      <c r="A1458" s="156" t="s">
        <v>887</v>
      </c>
      <c r="B1458" s="157" t="s">
        <v>888</v>
      </c>
      <c r="C1458" s="157">
        <v>2024</v>
      </c>
      <c r="D1458" s="158">
        <v>120.51666666666701</v>
      </c>
      <c r="E1458" s="158">
        <v>24.016666666666701</v>
      </c>
      <c r="F1458" s="159">
        <v>4.5999999999999996</v>
      </c>
      <c r="G1458" s="160">
        <v>4.45</v>
      </c>
      <c r="H1458" s="161">
        <v>10.7</v>
      </c>
      <c r="I1458" s="161">
        <v>33.799999999999997</v>
      </c>
      <c r="J1458" s="161">
        <v>55.5</v>
      </c>
      <c r="K1458" s="160">
        <v>0.19</v>
      </c>
    </row>
    <row r="1459" spans="1:11" x14ac:dyDescent="0.3">
      <c r="A1459" s="156" t="s">
        <v>887</v>
      </c>
      <c r="B1459" s="157" t="s">
        <v>888</v>
      </c>
      <c r="C1459" s="157">
        <v>2024</v>
      </c>
      <c r="D1459" s="158">
        <v>141.76110840000001</v>
      </c>
      <c r="E1459" s="158">
        <v>42.752777100000003</v>
      </c>
      <c r="F1459" s="159">
        <v>6.3</v>
      </c>
      <c r="G1459" s="160">
        <v>8.75</v>
      </c>
      <c r="H1459" s="161">
        <v>94.6</v>
      </c>
      <c r="I1459" s="161">
        <v>4.3</v>
      </c>
      <c r="J1459" s="161">
        <v>1.1000000000000001</v>
      </c>
      <c r="K1459" s="160">
        <v>5.08</v>
      </c>
    </row>
    <row r="1460" spans="1:11" x14ac:dyDescent="0.3">
      <c r="A1460" s="156" t="s">
        <v>887</v>
      </c>
      <c r="B1460" s="157" t="s">
        <v>888</v>
      </c>
      <c r="C1460" s="157">
        <v>2024</v>
      </c>
      <c r="D1460" s="158">
        <v>158.210556</v>
      </c>
      <c r="E1460" s="158">
        <v>6.9613890999999999</v>
      </c>
      <c r="F1460" s="159">
        <v>5.9</v>
      </c>
      <c r="G1460" s="160">
        <v>16.2</v>
      </c>
      <c r="H1460" s="161">
        <v>29</v>
      </c>
      <c r="I1460" s="161">
        <v>61</v>
      </c>
      <c r="J1460" s="161">
        <v>27</v>
      </c>
      <c r="K1460" s="160">
        <v>0.69000000000000006</v>
      </c>
    </row>
    <row r="1461" spans="1:11" x14ac:dyDescent="0.3">
      <c r="A1461" s="156" t="s">
        <v>887</v>
      </c>
      <c r="B1461" s="157" t="s">
        <v>888</v>
      </c>
      <c r="C1461" s="157">
        <v>2024</v>
      </c>
      <c r="D1461" s="158">
        <v>-123.044998199999</v>
      </c>
      <c r="E1461" s="158">
        <v>44.527778599999998</v>
      </c>
      <c r="F1461" s="159">
        <v>5.2</v>
      </c>
      <c r="G1461" s="160">
        <v>14.75</v>
      </c>
      <c r="H1461" s="161">
        <v>6.7</v>
      </c>
      <c r="I1461" s="161">
        <v>65.900000000000006</v>
      </c>
      <c r="J1461" s="161">
        <v>30.6</v>
      </c>
      <c r="K1461" s="160">
        <v>0.90999999999999992</v>
      </c>
    </row>
    <row r="1462" spans="1:11" x14ac:dyDescent="0.3">
      <c r="A1462" s="156" t="s">
        <v>887</v>
      </c>
      <c r="B1462" s="157" t="s">
        <v>888</v>
      </c>
      <c r="C1462" s="157">
        <v>2024</v>
      </c>
      <c r="D1462" s="158">
        <v>-122.0766678</v>
      </c>
      <c r="E1462" s="158">
        <v>48.706390399999997</v>
      </c>
      <c r="F1462" s="159">
        <v>4.5</v>
      </c>
      <c r="G1462" s="160">
        <v>4.3</v>
      </c>
      <c r="H1462" s="161">
        <v>51.4</v>
      </c>
      <c r="I1462" s="161">
        <v>41.9</v>
      </c>
      <c r="J1462" s="161">
        <v>6.7</v>
      </c>
      <c r="K1462" s="160">
        <v>3.54</v>
      </c>
    </row>
    <row r="1463" spans="1:11" x14ac:dyDescent="0.3">
      <c r="A1463" s="156" t="s">
        <v>887</v>
      </c>
      <c r="B1463" s="157" t="s">
        <v>888</v>
      </c>
      <c r="C1463" s="157">
        <v>2024</v>
      </c>
      <c r="D1463" s="158">
        <v>-119.25096130371</v>
      </c>
      <c r="E1463" s="158">
        <v>37.499935150146399</v>
      </c>
      <c r="F1463" s="159">
        <v>5</v>
      </c>
      <c r="G1463" s="160">
        <v>1.6</v>
      </c>
      <c r="H1463" s="161">
        <v>71.7</v>
      </c>
      <c r="I1463" s="161">
        <v>21.7</v>
      </c>
      <c r="J1463" s="161">
        <v>6.6</v>
      </c>
      <c r="K1463" s="160">
        <v>0.26</v>
      </c>
    </row>
    <row r="1464" spans="1:11" x14ac:dyDescent="0.3">
      <c r="A1464" s="156" t="s">
        <v>887</v>
      </c>
      <c r="B1464" s="157" t="s">
        <v>888</v>
      </c>
      <c r="C1464" s="157">
        <v>2024</v>
      </c>
      <c r="D1464" s="158">
        <v>-109.7099991</v>
      </c>
      <c r="E1464" s="158">
        <v>43.011112199999999</v>
      </c>
      <c r="F1464" s="159">
        <v>6.3</v>
      </c>
      <c r="G1464" s="160">
        <v>11.2</v>
      </c>
      <c r="H1464" s="161">
        <v>67.7</v>
      </c>
      <c r="I1464" s="161">
        <v>22.8</v>
      </c>
      <c r="J1464" s="161">
        <v>9.5</v>
      </c>
      <c r="K1464" s="160">
        <v>0.04</v>
      </c>
    </row>
    <row r="1465" spans="1:11" x14ac:dyDescent="0.3">
      <c r="A1465" s="156" t="s">
        <v>887</v>
      </c>
      <c r="B1465" s="157" t="s">
        <v>888</v>
      </c>
      <c r="C1465" s="157">
        <v>2024</v>
      </c>
      <c r="D1465" s="158">
        <v>-96.957221984863196</v>
      </c>
      <c r="E1465" s="158">
        <v>28.874433517456001</v>
      </c>
      <c r="F1465" s="159">
        <v>6.9</v>
      </c>
      <c r="G1465" s="160">
        <v>8</v>
      </c>
      <c r="H1465" s="161">
        <v>55.9</v>
      </c>
      <c r="I1465" s="161">
        <v>14.1</v>
      </c>
      <c r="J1465" s="161">
        <v>30</v>
      </c>
      <c r="K1465" s="160">
        <v>0</v>
      </c>
    </row>
    <row r="1466" spans="1:11" x14ac:dyDescent="0.3">
      <c r="A1466" s="156" t="s">
        <v>887</v>
      </c>
      <c r="B1466" s="157" t="s">
        <v>888</v>
      </c>
      <c r="C1466" s="157">
        <v>2024</v>
      </c>
      <c r="D1466" s="158">
        <v>-96.616668700000005</v>
      </c>
      <c r="E1466" s="158">
        <v>31.032777800000002</v>
      </c>
      <c r="F1466" s="159">
        <v>5.7</v>
      </c>
      <c r="G1466" s="160">
        <v>3</v>
      </c>
      <c r="H1466" s="161">
        <v>42.9</v>
      </c>
      <c r="I1466" s="161">
        <v>19.100000000000001</v>
      </c>
      <c r="J1466" s="161">
        <v>43.2</v>
      </c>
      <c r="K1466" s="160">
        <v>0.09</v>
      </c>
    </row>
    <row r="1467" spans="1:11" x14ac:dyDescent="0.3">
      <c r="A1467" s="156" t="s">
        <v>887</v>
      </c>
      <c r="B1467" s="157" t="s">
        <v>888</v>
      </c>
      <c r="C1467" s="157">
        <v>2024</v>
      </c>
      <c r="D1467" s="158">
        <v>-95.479164100000006</v>
      </c>
      <c r="E1467" s="158">
        <v>36.275001500000002</v>
      </c>
      <c r="F1467" s="159">
        <v>6.8</v>
      </c>
      <c r="G1467" s="160">
        <v>4.9000000000000004</v>
      </c>
      <c r="H1467" s="161">
        <v>21.9</v>
      </c>
      <c r="I1467" s="161">
        <v>37</v>
      </c>
      <c r="J1467" s="161">
        <v>41.1</v>
      </c>
      <c r="K1467" s="160">
        <v>0.12</v>
      </c>
    </row>
    <row r="1468" spans="1:11" x14ac:dyDescent="0.3">
      <c r="A1468" s="156" t="s">
        <v>887</v>
      </c>
      <c r="B1468" s="157" t="s">
        <v>888</v>
      </c>
      <c r="C1468" s="157">
        <v>2024</v>
      </c>
      <c r="D1468" s="158">
        <v>-95.233604431152301</v>
      </c>
      <c r="E1468" s="158">
        <v>41.250011444091697</v>
      </c>
      <c r="F1468" s="159">
        <v>6.1</v>
      </c>
      <c r="G1468" s="160">
        <v>19.2</v>
      </c>
      <c r="H1468" s="161">
        <v>4.0999999999999996</v>
      </c>
      <c r="I1468" s="161">
        <v>62.7</v>
      </c>
      <c r="J1468" s="161">
        <v>34.6</v>
      </c>
      <c r="K1468" s="160">
        <v>0.43</v>
      </c>
    </row>
    <row r="1469" spans="1:11" x14ac:dyDescent="0.3">
      <c r="A1469" s="156" t="s">
        <v>887</v>
      </c>
      <c r="B1469" s="157" t="s">
        <v>888</v>
      </c>
      <c r="C1469" s="157">
        <v>2024</v>
      </c>
      <c r="D1469" s="158">
        <v>-94.494514499999994</v>
      </c>
      <c r="E1469" s="158">
        <v>36.653083799999997</v>
      </c>
      <c r="F1469" s="159">
        <v>5.7</v>
      </c>
      <c r="G1469" s="160">
        <v>4.2</v>
      </c>
      <c r="H1469" s="161">
        <v>11.5</v>
      </c>
      <c r="I1469" s="161">
        <v>78.099999999999994</v>
      </c>
      <c r="J1469" s="161">
        <v>10.4</v>
      </c>
      <c r="K1469" s="160">
        <v>1.8</v>
      </c>
    </row>
    <row r="1470" spans="1:11" x14ac:dyDescent="0.3">
      <c r="A1470" s="156" t="s">
        <v>887</v>
      </c>
      <c r="B1470" s="157" t="s">
        <v>888</v>
      </c>
      <c r="C1470" s="157">
        <v>2024</v>
      </c>
      <c r="D1470" s="158">
        <v>-94.289355599999993</v>
      </c>
      <c r="E1470" s="158">
        <v>37.100705599999998</v>
      </c>
      <c r="F1470" s="159">
        <v>5.2</v>
      </c>
      <c r="G1470" s="160">
        <v>18</v>
      </c>
      <c r="H1470" s="161">
        <v>12.5</v>
      </c>
      <c r="I1470" s="161">
        <v>46.9</v>
      </c>
      <c r="J1470" s="161">
        <v>20.399999999999999</v>
      </c>
      <c r="K1470" s="160">
        <v>0.1</v>
      </c>
    </row>
    <row r="1471" spans="1:11" x14ac:dyDescent="0.3">
      <c r="A1471" s="156" t="s">
        <v>887</v>
      </c>
      <c r="B1471" s="157" t="s">
        <v>888</v>
      </c>
      <c r="C1471" s="157">
        <v>2024</v>
      </c>
      <c r="D1471" s="158">
        <v>-94.270250000000004</v>
      </c>
      <c r="E1471" s="158">
        <v>36.631227799999998</v>
      </c>
      <c r="F1471" s="159">
        <v>5.2</v>
      </c>
      <c r="G1471" s="160">
        <v>7</v>
      </c>
      <c r="H1471" s="161">
        <v>40.1</v>
      </c>
      <c r="I1471" s="161">
        <v>14.5</v>
      </c>
      <c r="J1471" s="161">
        <v>45.4</v>
      </c>
      <c r="K1471" s="160">
        <v>0.1</v>
      </c>
    </row>
    <row r="1472" spans="1:11" x14ac:dyDescent="0.3">
      <c r="A1472" s="156" t="s">
        <v>887</v>
      </c>
      <c r="B1472" s="157" t="s">
        <v>888</v>
      </c>
      <c r="C1472" s="157">
        <v>2024</v>
      </c>
      <c r="D1472" s="158">
        <v>-94.078877800000001</v>
      </c>
      <c r="E1472" s="158">
        <v>37.400511100000003</v>
      </c>
      <c r="F1472" s="159">
        <v>5.7</v>
      </c>
      <c r="G1472" s="160">
        <v>10</v>
      </c>
      <c r="H1472" s="161">
        <v>12</v>
      </c>
      <c r="I1472" s="161">
        <v>56.6</v>
      </c>
      <c r="J1472" s="161">
        <v>21.4</v>
      </c>
      <c r="K1472" s="160">
        <v>1.5</v>
      </c>
    </row>
    <row r="1473" spans="1:11" x14ac:dyDescent="0.3">
      <c r="A1473" s="156" t="s">
        <v>887</v>
      </c>
      <c r="B1473" s="157" t="s">
        <v>888</v>
      </c>
      <c r="C1473" s="157">
        <v>2024</v>
      </c>
      <c r="D1473" s="158">
        <v>-93.982922200000004</v>
      </c>
      <c r="E1473" s="158">
        <v>39.916247200000001</v>
      </c>
      <c r="F1473" s="159">
        <v>7.6</v>
      </c>
      <c r="G1473" s="160">
        <v>2</v>
      </c>
      <c r="H1473" s="161">
        <v>26.6</v>
      </c>
      <c r="I1473" s="161">
        <v>64</v>
      </c>
      <c r="J1473" s="161">
        <v>33.6</v>
      </c>
      <c r="K1473" s="160">
        <v>0.3</v>
      </c>
    </row>
    <row r="1474" spans="1:11" x14ac:dyDescent="0.3">
      <c r="A1474" s="156" t="s">
        <v>887</v>
      </c>
      <c r="B1474" s="157" t="s">
        <v>888</v>
      </c>
      <c r="C1474" s="157">
        <v>2024</v>
      </c>
      <c r="D1474" s="158">
        <v>-93.839582500000006</v>
      </c>
      <c r="E1474" s="158">
        <v>37.612465100000001</v>
      </c>
      <c r="F1474" s="159">
        <v>5.7</v>
      </c>
      <c r="G1474" s="160">
        <v>10</v>
      </c>
      <c r="H1474" s="161">
        <v>11.3</v>
      </c>
      <c r="I1474" s="161">
        <v>55.4</v>
      </c>
      <c r="J1474" s="161">
        <v>33.299999999999997</v>
      </c>
      <c r="K1474" s="160">
        <v>0.2</v>
      </c>
    </row>
    <row r="1475" spans="1:11" x14ac:dyDescent="0.3">
      <c r="A1475" s="156" t="s">
        <v>887</v>
      </c>
      <c r="B1475" s="157" t="s">
        <v>888</v>
      </c>
      <c r="C1475" s="157">
        <v>2024</v>
      </c>
      <c r="D1475" s="158">
        <v>-93.733268699999996</v>
      </c>
      <c r="E1475" s="158">
        <v>40.311443300000001</v>
      </c>
      <c r="F1475" s="159">
        <v>8.1999999999999993</v>
      </c>
      <c r="G1475" s="160">
        <v>25.5</v>
      </c>
      <c r="H1475" s="161">
        <v>27.7</v>
      </c>
      <c r="I1475" s="161">
        <v>50.6</v>
      </c>
      <c r="J1475" s="161">
        <v>21.8</v>
      </c>
      <c r="K1475" s="160">
        <v>0.1</v>
      </c>
    </row>
    <row r="1476" spans="1:11" x14ac:dyDescent="0.3">
      <c r="A1476" s="156" t="s">
        <v>887</v>
      </c>
      <c r="B1476" s="157" t="s">
        <v>888</v>
      </c>
      <c r="C1476" s="157">
        <v>2024</v>
      </c>
      <c r="D1476" s="158">
        <v>-93.574722300000005</v>
      </c>
      <c r="E1476" s="158">
        <v>45.660556800000002</v>
      </c>
      <c r="F1476" s="159">
        <v>8.1</v>
      </c>
      <c r="G1476" s="160">
        <v>22</v>
      </c>
      <c r="H1476" s="161">
        <v>0.9</v>
      </c>
      <c r="I1476" s="161">
        <v>67</v>
      </c>
      <c r="J1476" s="161">
        <v>32.1</v>
      </c>
      <c r="K1476" s="160">
        <v>0.18</v>
      </c>
    </row>
    <row r="1477" spans="1:11" x14ac:dyDescent="0.3">
      <c r="A1477" s="156" t="s">
        <v>887</v>
      </c>
      <c r="B1477" s="157" t="s">
        <v>888</v>
      </c>
      <c r="C1477" s="157">
        <v>2024</v>
      </c>
      <c r="D1477" s="158">
        <v>-93.5155563</v>
      </c>
      <c r="E1477" s="158">
        <v>30.9141674</v>
      </c>
      <c r="F1477" s="159">
        <v>5.9</v>
      </c>
      <c r="G1477" s="160">
        <v>11.4</v>
      </c>
      <c r="H1477" s="161">
        <v>58</v>
      </c>
      <c r="I1477" s="161">
        <v>15</v>
      </c>
      <c r="J1477" s="161">
        <v>27</v>
      </c>
      <c r="K1477" s="160">
        <v>0.02</v>
      </c>
    </row>
    <row r="1478" spans="1:11" x14ac:dyDescent="0.3">
      <c r="A1478" s="156" t="s">
        <v>887</v>
      </c>
      <c r="B1478" s="157" t="s">
        <v>888</v>
      </c>
      <c r="C1478" s="157">
        <v>2024</v>
      </c>
      <c r="D1478" s="158">
        <v>-93.509933500000002</v>
      </c>
      <c r="E1478" s="158">
        <v>41.0064049</v>
      </c>
      <c r="F1478" s="159">
        <v>7.2</v>
      </c>
      <c r="G1478" s="160">
        <v>24.1</v>
      </c>
      <c r="H1478" s="161">
        <v>35.6</v>
      </c>
      <c r="I1478" s="161">
        <v>47.9</v>
      </c>
      <c r="J1478" s="161">
        <v>33.9</v>
      </c>
      <c r="K1478" s="160">
        <v>0.11000000000000001</v>
      </c>
    </row>
    <row r="1479" spans="1:11" x14ac:dyDescent="0.3">
      <c r="A1479" s="156" t="s">
        <v>887</v>
      </c>
      <c r="B1479" s="157" t="s">
        <v>888</v>
      </c>
      <c r="C1479" s="157">
        <v>2024</v>
      </c>
      <c r="D1479" s="158">
        <v>-93.421305599999997</v>
      </c>
      <c r="E1479" s="158">
        <v>37.203791699999996</v>
      </c>
      <c r="F1479" s="159">
        <v>5.3</v>
      </c>
      <c r="G1479" s="160">
        <v>17</v>
      </c>
      <c r="H1479" s="161">
        <v>18.7</v>
      </c>
      <c r="I1479" s="161">
        <v>49.5</v>
      </c>
      <c r="J1479" s="161">
        <v>11.1</v>
      </c>
      <c r="K1479" s="160">
        <v>1.9</v>
      </c>
    </row>
    <row r="1480" spans="1:11" x14ac:dyDescent="0.3">
      <c r="A1480" s="156" t="s">
        <v>887</v>
      </c>
      <c r="B1480" s="157" t="s">
        <v>888</v>
      </c>
      <c r="C1480" s="157">
        <v>2024</v>
      </c>
      <c r="D1480" s="158">
        <v>-93.396110500000006</v>
      </c>
      <c r="E1480" s="158">
        <v>37.566112500000003</v>
      </c>
      <c r="F1480" s="159">
        <v>8.3000000000000007</v>
      </c>
      <c r="G1480" s="160">
        <v>11</v>
      </c>
      <c r="H1480" s="161">
        <v>4</v>
      </c>
      <c r="I1480" s="161">
        <v>72</v>
      </c>
      <c r="J1480" s="161">
        <v>24</v>
      </c>
      <c r="K1480" s="160">
        <v>0.04</v>
      </c>
    </row>
    <row r="1481" spans="1:11" x14ac:dyDescent="0.3">
      <c r="A1481" s="156" t="s">
        <v>887</v>
      </c>
      <c r="B1481" s="157" t="s">
        <v>888</v>
      </c>
      <c r="C1481" s="157">
        <v>2024</v>
      </c>
      <c r="D1481" s="158">
        <v>-93.367794399999994</v>
      </c>
      <c r="E1481" s="158">
        <v>36.599158299999999</v>
      </c>
      <c r="F1481" s="159">
        <v>5</v>
      </c>
      <c r="G1481" s="160">
        <v>6</v>
      </c>
      <c r="H1481" s="161">
        <v>20.7</v>
      </c>
      <c r="I1481" s="161">
        <v>61.5</v>
      </c>
      <c r="J1481" s="161">
        <v>17.8</v>
      </c>
      <c r="K1481" s="160">
        <v>0.8</v>
      </c>
    </row>
    <row r="1482" spans="1:11" x14ac:dyDescent="0.3">
      <c r="A1482" s="156" t="s">
        <v>887</v>
      </c>
      <c r="B1482" s="157" t="s">
        <v>888</v>
      </c>
      <c r="C1482" s="157">
        <v>2024</v>
      </c>
      <c r="D1482" s="158">
        <v>-93.365554799999998</v>
      </c>
      <c r="E1482" s="158">
        <v>41.1513901</v>
      </c>
      <c r="F1482" s="159">
        <v>7.7</v>
      </c>
      <c r="G1482" s="160">
        <v>25.35</v>
      </c>
      <c r="H1482" s="161">
        <v>34</v>
      </c>
      <c r="I1482" s="161">
        <v>48.8</v>
      </c>
      <c r="J1482" s="161">
        <v>32.9</v>
      </c>
      <c r="K1482" s="160">
        <v>1.01</v>
      </c>
    </row>
    <row r="1483" spans="1:11" x14ac:dyDescent="0.3">
      <c r="A1483" s="156" t="s">
        <v>887</v>
      </c>
      <c r="B1483" s="157" t="s">
        <v>888</v>
      </c>
      <c r="C1483" s="157">
        <v>2024</v>
      </c>
      <c r="D1483" s="158">
        <v>-93.3353611</v>
      </c>
      <c r="E1483" s="158">
        <v>37.102555600000002</v>
      </c>
      <c r="F1483" s="159">
        <v>5.5</v>
      </c>
      <c r="G1483" s="160">
        <v>5</v>
      </c>
      <c r="H1483" s="161">
        <v>42.9</v>
      </c>
      <c r="I1483" s="161">
        <v>23.4</v>
      </c>
      <c r="J1483" s="161">
        <v>33.700000000000003</v>
      </c>
      <c r="K1483" s="160">
        <v>0.2</v>
      </c>
    </row>
    <row r="1484" spans="1:11" x14ac:dyDescent="0.3">
      <c r="A1484" s="156" t="s">
        <v>887</v>
      </c>
      <c r="B1484" s="157" t="s">
        <v>888</v>
      </c>
      <c r="C1484" s="157">
        <v>2024</v>
      </c>
      <c r="D1484" s="158">
        <v>-93.192583299999995</v>
      </c>
      <c r="E1484" s="158">
        <v>37.484688900000002</v>
      </c>
      <c r="F1484" s="159">
        <v>5.8</v>
      </c>
      <c r="G1484" s="160">
        <v>33.6</v>
      </c>
      <c r="H1484" s="161">
        <v>35.799999999999997</v>
      </c>
      <c r="I1484" s="161">
        <v>57</v>
      </c>
      <c r="J1484" s="161">
        <v>7.1</v>
      </c>
      <c r="K1484" s="160">
        <v>3.6</v>
      </c>
    </row>
    <row r="1485" spans="1:11" x14ac:dyDescent="0.3">
      <c r="A1485" s="156" t="s">
        <v>887</v>
      </c>
      <c r="B1485" s="157" t="s">
        <v>888</v>
      </c>
      <c r="C1485" s="157">
        <v>2024</v>
      </c>
      <c r="D1485" s="158">
        <v>-92.766666700000002</v>
      </c>
      <c r="E1485" s="158">
        <v>39</v>
      </c>
      <c r="F1485" s="159">
        <v>7</v>
      </c>
      <c r="G1485" s="160">
        <v>17.8</v>
      </c>
      <c r="H1485" s="161">
        <v>2</v>
      </c>
      <c r="I1485" s="161">
        <v>74.7</v>
      </c>
      <c r="J1485" s="161">
        <v>19.899999999999999</v>
      </c>
      <c r="K1485" s="160">
        <v>1</v>
      </c>
    </row>
    <row r="1486" spans="1:11" x14ac:dyDescent="0.3">
      <c r="A1486" s="156" t="s">
        <v>887</v>
      </c>
      <c r="B1486" s="157" t="s">
        <v>888</v>
      </c>
      <c r="C1486" s="157">
        <v>2024</v>
      </c>
      <c r="D1486" s="158">
        <v>-92.695833300000004</v>
      </c>
      <c r="E1486" s="158">
        <v>36.534999999999997</v>
      </c>
      <c r="F1486" s="159">
        <v>4.5</v>
      </c>
      <c r="G1486" s="160">
        <v>8.0500000000000007</v>
      </c>
      <c r="H1486" s="161">
        <v>19.8</v>
      </c>
      <c r="I1486" s="161">
        <v>46.7</v>
      </c>
      <c r="J1486" s="161">
        <v>46.6</v>
      </c>
      <c r="K1486" s="160">
        <v>1</v>
      </c>
    </row>
    <row r="1487" spans="1:11" x14ac:dyDescent="0.3">
      <c r="A1487" s="156" t="s">
        <v>887</v>
      </c>
      <c r="B1487" s="157" t="s">
        <v>888</v>
      </c>
      <c r="C1487" s="157">
        <v>2024</v>
      </c>
      <c r="D1487" s="158">
        <v>-92.488228000000007</v>
      </c>
      <c r="E1487" s="158">
        <v>38.995319299999998</v>
      </c>
      <c r="F1487" s="159">
        <v>6.1</v>
      </c>
      <c r="G1487" s="160">
        <v>24</v>
      </c>
      <c r="H1487" s="161">
        <v>6.3</v>
      </c>
      <c r="I1487" s="161">
        <v>71.099999999999994</v>
      </c>
      <c r="J1487" s="161">
        <v>22.6</v>
      </c>
      <c r="K1487" s="160">
        <v>0.5</v>
      </c>
    </row>
    <row r="1488" spans="1:11" x14ac:dyDescent="0.3">
      <c r="A1488" s="156" t="s">
        <v>887</v>
      </c>
      <c r="B1488" s="157" t="s">
        <v>888</v>
      </c>
      <c r="C1488" s="157">
        <v>2024</v>
      </c>
      <c r="D1488" s="158">
        <v>-92.477387800000002</v>
      </c>
      <c r="E1488" s="158">
        <v>38.412331899999998</v>
      </c>
      <c r="F1488" s="159">
        <v>8</v>
      </c>
      <c r="G1488" s="160">
        <v>7</v>
      </c>
      <c r="H1488" s="161">
        <v>15.4</v>
      </c>
      <c r="I1488" s="161">
        <v>39.4</v>
      </c>
      <c r="J1488" s="161">
        <v>45.2</v>
      </c>
      <c r="K1488" s="160">
        <v>0.1</v>
      </c>
    </row>
    <row r="1489" spans="1:11" x14ac:dyDescent="0.3">
      <c r="A1489" s="156" t="s">
        <v>887</v>
      </c>
      <c r="B1489" s="157" t="s">
        <v>888</v>
      </c>
      <c r="C1489" s="157">
        <v>2024</v>
      </c>
      <c r="D1489" s="158">
        <v>-92.445633599999994</v>
      </c>
      <c r="E1489" s="158">
        <v>39.182721100000002</v>
      </c>
      <c r="F1489" s="159">
        <v>5.4</v>
      </c>
      <c r="G1489" s="160">
        <v>9.8000000000000007</v>
      </c>
      <c r="H1489" s="161">
        <v>8.1</v>
      </c>
      <c r="I1489" s="161">
        <v>59.9</v>
      </c>
      <c r="J1489" s="161">
        <v>32</v>
      </c>
      <c r="K1489" s="160">
        <v>0.3</v>
      </c>
    </row>
    <row r="1490" spans="1:11" x14ac:dyDescent="0.3">
      <c r="A1490" s="156" t="s">
        <v>887</v>
      </c>
      <c r="B1490" s="157" t="s">
        <v>888</v>
      </c>
      <c r="C1490" s="157">
        <v>2024</v>
      </c>
      <c r="D1490" s="158">
        <v>-92.422551900000002</v>
      </c>
      <c r="E1490" s="158">
        <v>39.173597999999998</v>
      </c>
      <c r="F1490" s="159">
        <v>6.4</v>
      </c>
      <c r="G1490" s="160">
        <v>7</v>
      </c>
      <c r="H1490" s="161">
        <v>50.3</v>
      </c>
      <c r="I1490" s="161">
        <v>36.5</v>
      </c>
      <c r="J1490" s="161">
        <v>13.2</v>
      </c>
      <c r="K1490" s="160">
        <v>6.3</v>
      </c>
    </row>
    <row r="1491" spans="1:11" x14ac:dyDescent="0.3">
      <c r="A1491" s="156" t="s">
        <v>887</v>
      </c>
      <c r="B1491" s="157" t="s">
        <v>888</v>
      </c>
      <c r="C1491" s="157">
        <v>2024</v>
      </c>
      <c r="D1491" s="158">
        <v>-92.377349199999998</v>
      </c>
      <c r="E1491" s="158">
        <v>38.278416800000002</v>
      </c>
      <c r="F1491" s="159">
        <v>6.2</v>
      </c>
      <c r="G1491" s="160">
        <v>12.1</v>
      </c>
      <c r="H1491" s="161">
        <v>20</v>
      </c>
      <c r="I1491" s="161">
        <v>50.6</v>
      </c>
      <c r="J1491" s="161">
        <v>29.4</v>
      </c>
      <c r="K1491" s="160">
        <v>0.3</v>
      </c>
    </row>
    <row r="1492" spans="1:11" x14ac:dyDescent="0.3">
      <c r="A1492" s="156" t="s">
        <v>887</v>
      </c>
      <c r="B1492" s="157" t="s">
        <v>888</v>
      </c>
      <c r="C1492" s="157">
        <v>2024</v>
      </c>
      <c r="D1492" s="158">
        <v>-92.345169067382798</v>
      </c>
      <c r="E1492" s="158">
        <v>38.967266082763601</v>
      </c>
      <c r="F1492" s="159">
        <v>6.5</v>
      </c>
      <c r="G1492" s="160">
        <v>6</v>
      </c>
      <c r="H1492" s="161">
        <v>32</v>
      </c>
      <c r="I1492" s="161">
        <v>54.6</v>
      </c>
      <c r="J1492" s="161">
        <v>14.9</v>
      </c>
      <c r="K1492" s="160">
        <v>0.3</v>
      </c>
    </row>
    <row r="1493" spans="1:11" x14ac:dyDescent="0.3">
      <c r="A1493" s="156" t="s">
        <v>887</v>
      </c>
      <c r="B1493" s="157" t="s">
        <v>888</v>
      </c>
      <c r="C1493" s="157">
        <v>2024</v>
      </c>
      <c r="D1493" s="158">
        <v>-92.344999999999999</v>
      </c>
      <c r="E1493" s="158">
        <v>38.967222200000002</v>
      </c>
      <c r="F1493" s="159">
        <v>4.8</v>
      </c>
      <c r="G1493" s="160">
        <v>28</v>
      </c>
      <c r="H1493" s="161">
        <v>1.8</v>
      </c>
      <c r="I1493" s="161">
        <v>43.5</v>
      </c>
      <c r="J1493" s="161">
        <v>22.1</v>
      </c>
      <c r="K1493" s="160">
        <v>0.3</v>
      </c>
    </row>
    <row r="1494" spans="1:11" x14ac:dyDescent="0.3">
      <c r="A1494" s="156" t="s">
        <v>887</v>
      </c>
      <c r="B1494" s="157" t="s">
        <v>888</v>
      </c>
      <c r="C1494" s="157">
        <v>2024</v>
      </c>
      <c r="D1494" s="158">
        <v>-92.262611100000001</v>
      </c>
      <c r="E1494" s="158">
        <v>40.580222200000001</v>
      </c>
      <c r="F1494" s="159">
        <v>6.6</v>
      </c>
      <c r="G1494" s="160">
        <v>18.100000000000001</v>
      </c>
      <c r="H1494" s="161">
        <v>36.200000000000003</v>
      </c>
      <c r="I1494" s="161">
        <v>43.9</v>
      </c>
      <c r="J1494" s="161">
        <v>19.899999999999999</v>
      </c>
      <c r="K1494" s="160">
        <v>2.1</v>
      </c>
    </row>
    <row r="1495" spans="1:11" x14ac:dyDescent="0.3">
      <c r="A1495" s="156" t="s">
        <v>887</v>
      </c>
      <c r="B1495" s="157" t="s">
        <v>888</v>
      </c>
      <c r="C1495" s="157">
        <v>2024</v>
      </c>
      <c r="D1495" s="158">
        <v>-92.259991299999996</v>
      </c>
      <c r="E1495" s="158">
        <v>37.050494999999998</v>
      </c>
      <c r="F1495" s="159">
        <v>6.3</v>
      </c>
      <c r="G1495" s="160">
        <v>2.75</v>
      </c>
      <c r="H1495" s="161">
        <v>27.4</v>
      </c>
      <c r="I1495" s="161">
        <v>60</v>
      </c>
      <c r="J1495" s="161">
        <v>12.6</v>
      </c>
      <c r="K1495" s="160">
        <v>0.2</v>
      </c>
    </row>
    <row r="1496" spans="1:11" x14ac:dyDescent="0.3">
      <c r="A1496" s="156" t="s">
        <v>887</v>
      </c>
      <c r="B1496" s="157" t="s">
        <v>888</v>
      </c>
      <c r="C1496" s="157">
        <v>2024</v>
      </c>
      <c r="D1496" s="158">
        <v>-92.216667200000003</v>
      </c>
      <c r="E1496" s="158">
        <v>38.900001500000002</v>
      </c>
      <c r="F1496" s="159">
        <v>6.7</v>
      </c>
      <c r="G1496" s="160">
        <v>30</v>
      </c>
      <c r="H1496" s="161">
        <v>3.7</v>
      </c>
      <c r="I1496" s="161">
        <v>65.3</v>
      </c>
      <c r="J1496" s="161">
        <v>34.1</v>
      </c>
      <c r="K1496" s="160">
        <v>0.88000000000000012</v>
      </c>
    </row>
    <row r="1497" spans="1:11" x14ac:dyDescent="0.3">
      <c r="A1497" s="156" t="s">
        <v>887</v>
      </c>
      <c r="B1497" s="157" t="s">
        <v>888</v>
      </c>
      <c r="C1497" s="157">
        <v>2024</v>
      </c>
      <c r="D1497" s="158">
        <v>-92.173013900000001</v>
      </c>
      <c r="E1497" s="158">
        <v>37.122944400000002</v>
      </c>
      <c r="F1497" s="159">
        <v>4.5999999999999996</v>
      </c>
      <c r="G1497" s="160">
        <v>4</v>
      </c>
      <c r="H1497" s="161">
        <v>30.1</v>
      </c>
      <c r="I1497" s="161">
        <v>63.3</v>
      </c>
      <c r="J1497" s="161">
        <v>6.6</v>
      </c>
      <c r="K1497" s="160">
        <v>3</v>
      </c>
    </row>
    <row r="1498" spans="1:11" x14ac:dyDescent="0.3">
      <c r="A1498" s="156" t="s">
        <v>887</v>
      </c>
      <c r="B1498" s="157" t="s">
        <v>888</v>
      </c>
      <c r="C1498" s="157">
        <v>2024</v>
      </c>
      <c r="D1498" s="158">
        <v>-92.035333300000005</v>
      </c>
      <c r="E1498" s="158">
        <v>40.585500000000003</v>
      </c>
      <c r="F1498" s="159">
        <v>5.0999999999999996</v>
      </c>
      <c r="G1498" s="160">
        <v>14.3</v>
      </c>
      <c r="H1498" s="161">
        <v>45.2</v>
      </c>
      <c r="I1498" s="161">
        <v>47</v>
      </c>
      <c r="J1498" s="161">
        <v>22.5</v>
      </c>
      <c r="K1498" s="160">
        <v>0.1</v>
      </c>
    </row>
    <row r="1499" spans="1:11" x14ac:dyDescent="0.3">
      <c r="A1499" s="156" t="s">
        <v>887</v>
      </c>
      <c r="B1499" s="157" t="s">
        <v>888</v>
      </c>
      <c r="C1499" s="157">
        <v>2024</v>
      </c>
      <c r="D1499" s="158">
        <v>-92</v>
      </c>
      <c r="E1499" s="158">
        <v>36</v>
      </c>
      <c r="F1499" s="159">
        <v>6.4</v>
      </c>
      <c r="G1499" s="160">
        <v>1.9</v>
      </c>
      <c r="H1499" s="161">
        <v>20.100000000000001</v>
      </c>
      <c r="I1499" s="161">
        <v>66.400000000000006</v>
      </c>
      <c r="J1499" s="161">
        <v>13.5</v>
      </c>
      <c r="K1499" s="160">
        <v>1.6</v>
      </c>
    </row>
    <row r="1500" spans="1:11" x14ac:dyDescent="0.3">
      <c r="A1500" s="156" t="s">
        <v>887</v>
      </c>
      <c r="B1500" s="157" t="s">
        <v>888</v>
      </c>
      <c r="C1500" s="157">
        <v>2024</v>
      </c>
      <c r="D1500" s="158">
        <v>-91.984281600000003</v>
      </c>
      <c r="E1500" s="158">
        <v>38.221148700000001</v>
      </c>
      <c r="F1500" s="159">
        <v>6.1</v>
      </c>
      <c r="G1500" s="160">
        <v>8.15</v>
      </c>
      <c r="H1500" s="161">
        <v>13</v>
      </c>
      <c r="I1500" s="161">
        <v>69.3</v>
      </c>
      <c r="J1500" s="161">
        <v>17.7</v>
      </c>
      <c r="K1500" s="160">
        <v>0.2</v>
      </c>
    </row>
    <row r="1501" spans="1:11" x14ac:dyDescent="0.3">
      <c r="A1501" s="156" t="s">
        <v>887</v>
      </c>
      <c r="B1501" s="157" t="s">
        <v>888</v>
      </c>
      <c r="C1501" s="157">
        <v>2024</v>
      </c>
      <c r="D1501" s="158">
        <v>-91.875816700000001</v>
      </c>
      <c r="E1501" s="158">
        <v>40.264355600000002</v>
      </c>
      <c r="F1501" s="159">
        <v>5.3</v>
      </c>
      <c r="G1501" s="160">
        <v>22</v>
      </c>
      <c r="H1501" s="161">
        <v>24.3</v>
      </c>
      <c r="I1501" s="161">
        <v>52.1</v>
      </c>
      <c r="J1501" s="161">
        <v>38.200000000000003</v>
      </c>
      <c r="K1501" s="160">
        <v>0.2</v>
      </c>
    </row>
    <row r="1502" spans="1:11" x14ac:dyDescent="0.3">
      <c r="A1502" s="156" t="s">
        <v>887</v>
      </c>
      <c r="B1502" s="157" t="s">
        <v>888</v>
      </c>
      <c r="C1502" s="157">
        <v>2024</v>
      </c>
      <c r="D1502" s="158">
        <v>-91.828944399999997</v>
      </c>
      <c r="E1502" s="158">
        <v>37.3357472</v>
      </c>
      <c r="F1502" s="159">
        <v>4.9000000000000004</v>
      </c>
      <c r="G1502" s="160">
        <v>19</v>
      </c>
      <c r="H1502" s="161">
        <v>7.4</v>
      </c>
      <c r="I1502" s="161">
        <v>73.400000000000006</v>
      </c>
      <c r="J1502" s="161">
        <v>19.2</v>
      </c>
      <c r="K1502" s="160">
        <v>0.1</v>
      </c>
    </row>
    <row r="1503" spans="1:11" x14ac:dyDescent="0.3">
      <c r="A1503" s="156" t="s">
        <v>887</v>
      </c>
      <c r="B1503" s="157" t="s">
        <v>888</v>
      </c>
      <c r="C1503" s="157">
        <v>2024</v>
      </c>
      <c r="D1503" s="158">
        <v>-91.817833300000004</v>
      </c>
      <c r="E1503" s="158">
        <v>37.607166700000001</v>
      </c>
      <c r="F1503" s="159">
        <v>5.0999999999999996</v>
      </c>
      <c r="G1503" s="160">
        <v>11.7</v>
      </c>
      <c r="H1503" s="161">
        <v>6</v>
      </c>
      <c r="I1503" s="161">
        <v>22.8</v>
      </c>
      <c r="J1503" s="161">
        <v>71.099999999999994</v>
      </c>
      <c r="K1503" s="160">
        <v>0.2</v>
      </c>
    </row>
    <row r="1504" spans="1:11" x14ac:dyDescent="0.3">
      <c r="A1504" s="156" t="s">
        <v>887</v>
      </c>
      <c r="B1504" s="157" t="s">
        <v>888</v>
      </c>
      <c r="C1504" s="157">
        <v>2024</v>
      </c>
      <c r="D1504" s="158">
        <v>-91.706812299999996</v>
      </c>
      <c r="E1504" s="158">
        <v>38.1736656</v>
      </c>
      <c r="F1504" s="159">
        <v>4.5999999999999996</v>
      </c>
      <c r="G1504" s="160">
        <v>7.05</v>
      </c>
      <c r="H1504" s="161">
        <v>6</v>
      </c>
      <c r="I1504" s="161">
        <v>52.9</v>
      </c>
      <c r="J1504" s="161">
        <v>37.299999999999997</v>
      </c>
      <c r="K1504" s="160">
        <v>0.6</v>
      </c>
    </row>
    <row r="1505" spans="1:11" x14ac:dyDescent="0.3">
      <c r="A1505" s="156" t="s">
        <v>887</v>
      </c>
      <c r="B1505" s="157" t="s">
        <v>888</v>
      </c>
      <c r="C1505" s="157">
        <v>2024</v>
      </c>
      <c r="D1505" s="158">
        <v>-91.221946700000004</v>
      </c>
      <c r="E1505" s="158">
        <v>44.008609800000002</v>
      </c>
      <c r="F1505" s="159">
        <v>6.7</v>
      </c>
      <c r="G1505" s="160">
        <v>5.75</v>
      </c>
      <c r="H1505" s="161">
        <v>7</v>
      </c>
      <c r="I1505" s="161">
        <v>69.8</v>
      </c>
      <c r="J1505" s="161">
        <v>23.2</v>
      </c>
      <c r="K1505" s="160">
        <v>0.38</v>
      </c>
    </row>
    <row r="1506" spans="1:11" x14ac:dyDescent="0.3">
      <c r="A1506" s="156" t="s">
        <v>887</v>
      </c>
      <c r="B1506" s="157" t="s">
        <v>888</v>
      </c>
      <c r="C1506" s="157">
        <v>2024</v>
      </c>
      <c r="D1506" s="158">
        <v>-91.187925100000001</v>
      </c>
      <c r="E1506" s="158">
        <v>37.898938399999999</v>
      </c>
      <c r="F1506" s="159">
        <v>4.7</v>
      </c>
      <c r="G1506" s="160">
        <v>15</v>
      </c>
      <c r="H1506" s="161">
        <v>29.2</v>
      </c>
      <c r="I1506" s="161">
        <v>44.6</v>
      </c>
      <c r="J1506" s="161">
        <v>26.2</v>
      </c>
      <c r="K1506" s="160">
        <v>0.2</v>
      </c>
    </row>
    <row r="1507" spans="1:11" x14ac:dyDescent="0.3">
      <c r="A1507" s="156" t="s">
        <v>887</v>
      </c>
      <c r="B1507" s="157" t="s">
        <v>888</v>
      </c>
      <c r="C1507" s="157">
        <v>2024</v>
      </c>
      <c r="D1507" s="158">
        <v>-91.177693599999998</v>
      </c>
      <c r="E1507" s="158">
        <v>38.048385699999997</v>
      </c>
      <c r="F1507" s="159">
        <v>4.9000000000000004</v>
      </c>
      <c r="G1507" s="160">
        <v>9</v>
      </c>
      <c r="H1507" s="161">
        <v>4.4000000000000004</v>
      </c>
      <c r="I1507" s="161">
        <v>60</v>
      </c>
      <c r="J1507" s="161">
        <v>12.5</v>
      </c>
      <c r="K1507" s="160">
        <v>0.3</v>
      </c>
    </row>
    <row r="1508" spans="1:11" x14ac:dyDescent="0.3">
      <c r="A1508" s="156" t="s">
        <v>887</v>
      </c>
      <c r="B1508" s="157" t="s">
        <v>888</v>
      </c>
      <c r="C1508" s="157">
        <v>2024</v>
      </c>
      <c r="D1508" s="158">
        <v>-91.140961099999998</v>
      </c>
      <c r="E1508" s="158">
        <v>37.173644400000001</v>
      </c>
      <c r="F1508" s="159">
        <v>5.0999999999999996</v>
      </c>
      <c r="G1508" s="160">
        <v>2</v>
      </c>
      <c r="H1508" s="161">
        <v>28.5</v>
      </c>
      <c r="I1508" s="161">
        <v>46.4</v>
      </c>
      <c r="J1508" s="161">
        <v>25.1</v>
      </c>
      <c r="K1508" s="160">
        <v>0.2</v>
      </c>
    </row>
    <row r="1509" spans="1:11" x14ac:dyDescent="0.3">
      <c r="A1509" s="156" t="s">
        <v>887</v>
      </c>
      <c r="B1509" s="157" t="s">
        <v>888</v>
      </c>
      <c r="C1509" s="157">
        <v>2024</v>
      </c>
      <c r="D1509" s="158">
        <v>-91.138555600000004</v>
      </c>
      <c r="E1509" s="158">
        <v>37.1743278</v>
      </c>
      <c r="F1509" s="159">
        <v>4.2</v>
      </c>
      <c r="G1509" s="160">
        <v>1.9</v>
      </c>
      <c r="H1509" s="161">
        <v>44.3</v>
      </c>
      <c r="I1509" s="161">
        <v>46.8</v>
      </c>
      <c r="J1509" s="161">
        <v>8.9</v>
      </c>
      <c r="K1509" s="160">
        <v>12.4</v>
      </c>
    </row>
    <row r="1510" spans="1:11" x14ac:dyDescent="0.3">
      <c r="A1510" s="156" t="s">
        <v>887</v>
      </c>
      <c r="B1510" s="157" t="s">
        <v>888</v>
      </c>
      <c r="C1510" s="157">
        <v>2024</v>
      </c>
      <c r="D1510" s="158">
        <v>-91.089852800000003</v>
      </c>
      <c r="E1510" s="158">
        <v>37.147541699999998</v>
      </c>
      <c r="F1510" s="159">
        <v>4.9000000000000004</v>
      </c>
      <c r="G1510" s="160">
        <v>6</v>
      </c>
      <c r="H1510" s="161">
        <v>55.5</v>
      </c>
      <c r="I1510" s="161">
        <v>69.7</v>
      </c>
      <c r="J1510" s="161">
        <v>12.6</v>
      </c>
      <c r="K1510" s="160">
        <v>0.1</v>
      </c>
    </row>
    <row r="1511" spans="1:11" x14ac:dyDescent="0.3">
      <c r="A1511" s="156" t="s">
        <v>887</v>
      </c>
      <c r="B1511" s="157" t="s">
        <v>888</v>
      </c>
      <c r="C1511" s="157">
        <v>2024</v>
      </c>
      <c r="D1511" s="158">
        <v>-91.078538899999998</v>
      </c>
      <c r="E1511" s="158">
        <v>38.821750000000002</v>
      </c>
      <c r="F1511" s="159">
        <v>5.8</v>
      </c>
      <c r="G1511" s="160">
        <v>13</v>
      </c>
      <c r="H1511" s="161">
        <v>3</v>
      </c>
      <c r="I1511" s="161">
        <v>55.3</v>
      </c>
      <c r="J1511" s="161">
        <v>27.8</v>
      </c>
      <c r="K1511" s="160">
        <v>0.7</v>
      </c>
    </row>
    <row r="1512" spans="1:11" x14ac:dyDescent="0.3">
      <c r="A1512" s="156" t="s">
        <v>887</v>
      </c>
      <c r="B1512" s="157" t="s">
        <v>888</v>
      </c>
      <c r="C1512" s="157">
        <v>2024</v>
      </c>
      <c r="D1512" s="158">
        <v>-91.001308300000005</v>
      </c>
      <c r="E1512" s="158">
        <v>38.456261099999999</v>
      </c>
      <c r="F1512" s="159">
        <v>6.9</v>
      </c>
      <c r="G1512" s="160">
        <v>20</v>
      </c>
      <c r="H1512" s="161">
        <v>38.1</v>
      </c>
      <c r="I1512" s="161">
        <v>71.8</v>
      </c>
      <c r="J1512" s="161">
        <v>24.8</v>
      </c>
      <c r="K1512" s="160">
        <v>0.2</v>
      </c>
    </row>
    <row r="1513" spans="1:11" x14ac:dyDescent="0.3">
      <c r="A1513" s="156" t="s">
        <v>887</v>
      </c>
      <c r="B1513" s="157" t="s">
        <v>888</v>
      </c>
      <c r="C1513" s="157">
        <v>2024</v>
      </c>
      <c r="D1513" s="158">
        <v>-90.937472200000002</v>
      </c>
      <c r="E1513" s="158">
        <v>39.005638900000001</v>
      </c>
      <c r="F1513" s="159">
        <v>4.5999999999999996</v>
      </c>
      <c r="G1513" s="160">
        <v>8.9499999999999993</v>
      </c>
      <c r="H1513" s="161">
        <v>20</v>
      </c>
      <c r="I1513" s="161">
        <v>51.1</v>
      </c>
      <c r="J1513" s="161">
        <v>28.8</v>
      </c>
      <c r="K1513" s="160">
        <v>0.1</v>
      </c>
    </row>
    <row r="1514" spans="1:11" x14ac:dyDescent="0.3">
      <c r="A1514" s="156" t="s">
        <v>887</v>
      </c>
      <c r="B1514" s="157" t="s">
        <v>888</v>
      </c>
      <c r="C1514" s="157">
        <v>2024</v>
      </c>
      <c r="D1514" s="158">
        <v>-90.886108399999998</v>
      </c>
      <c r="E1514" s="158">
        <v>45.045833600000002</v>
      </c>
      <c r="F1514" s="159">
        <v>5.4</v>
      </c>
      <c r="G1514" s="160">
        <v>7</v>
      </c>
      <c r="H1514" s="161">
        <v>61.1</v>
      </c>
      <c r="I1514" s="161">
        <v>27.7</v>
      </c>
      <c r="J1514" s="161">
        <v>11.2</v>
      </c>
      <c r="K1514" s="160">
        <v>0.12</v>
      </c>
    </row>
    <row r="1515" spans="1:11" x14ac:dyDescent="0.3">
      <c r="A1515" s="156" t="s">
        <v>887</v>
      </c>
      <c r="B1515" s="157" t="s">
        <v>888</v>
      </c>
      <c r="C1515" s="157">
        <v>2024</v>
      </c>
      <c r="D1515" s="158">
        <v>-90.846778900000004</v>
      </c>
      <c r="E1515" s="158">
        <v>34.716785399999999</v>
      </c>
      <c r="F1515" s="159">
        <v>6.5</v>
      </c>
      <c r="G1515" s="160">
        <v>7.2</v>
      </c>
      <c r="H1515" s="161">
        <v>0.6</v>
      </c>
      <c r="I1515" s="161">
        <v>87.6</v>
      </c>
      <c r="J1515" s="161">
        <v>11.8</v>
      </c>
      <c r="K1515" s="160">
        <v>0.04</v>
      </c>
    </row>
    <row r="1516" spans="1:11" x14ac:dyDescent="0.3">
      <c r="A1516" s="156" t="s">
        <v>887</v>
      </c>
      <c r="B1516" s="157" t="s">
        <v>888</v>
      </c>
      <c r="C1516" s="157">
        <v>2024</v>
      </c>
      <c r="D1516" s="158">
        <v>-90.836880600000001</v>
      </c>
      <c r="E1516" s="158">
        <v>38.545055599999998</v>
      </c>
      <c r="F1516" s="159">
        <v>5.9</v>
      </c>
      <c r="G1516" s="160">
        <v>14</v>
      </c>
      <c r="H1516" s="161">
        <v>5.4</v>
      </c>
      <c r="I1516" s="161">
        <v>68</v>
      </c>
      <c r="J1516" s="161">
        <v>26.6</v>
      </c>
      <c r="K1516" s="160">
        <v>0.1</v>
      </c>
    </row>
    <row r="1517" spans="1:11" x14ac:dyDescent="0.3">
      <c r="A1517" s="156" t="s">
        <v>887</v>
      </c>
      <c r="B1517" s="157" t="s">
        <v>888</v>
      </c>
      <c r="C1517" s="157">
        <v>2024</v>
      </c>
      <c r="D1517" s="158">
        <v>-90.716667200000003</v>
      </c>
      <c r="E1517" s="158">
        <v>37.808555599999998</v>
      </c>
      <c r="F1517" s="159">
        <v>5.0999999999999996</v>
      </c>
      <c r="G1517" s="160">
        <v>4.8</v>
      </c>
      <c r="H1517" s="161">
        <v>12.8</v>
      </c>
      <c r="I1517" s="161">
        <v>75.099999999999994</v>
      </c>
      <c r="J1517" s="161">
        <v>12.1</v>
      </c>
      <c r="K1517" s="160">
        <v>0.7</v>
      </c>
    </row>
    <row r="1518" spans="1:11" x14ac:dyDescent="0.3">
      <c r="A1518" s="156" t="s">
        <v>887</v>
      </c>
      <c r="B1518" s="157" t="s">
        <v>888</v>
      </c>
      <c r="C1518" s="157">
        <v>2024</v>
      </c>
      <c r="D1518" s="158">
        <v>-90.703331000000006</v>
      </c>
      <c r="E1518" s="158">
        <v>45.123611500000003</v>
      </c>
      <c r="F1518" s="159">
        <v>4.5999999999999996</v>
      </c>
      <c r="G1518" s="160">
        <v>6.8</v>
      </c>
      <c r="H1518" s="161">
        <v>64.3</v>
      </c>
      <c r="I1518" s="161">
        <v>27.2</v>
      </c>
      <c r="J1518" s="161">
        <v>8.5</v>
      </c>
      <c r="K1518" s="160">
        <v>0.02</v>
      </c>
    </row>
    <row r="1519" spans="1:11" x14ac:dyDescent="0.3">
      <c r="A1519" s="156" t="s">
        <v>887</v>
      </c>
      <c r="B1519" s="157" t="s">
        <v>888</v>
      </c>
      <c r="C1519" s="157">
        <v>2024</v>
      </c>
      <c r="D1519" s="158">
        <v>-90.64</v>
      </c>
      <c r="E1519" s="158">
        <v>36.513638899999997</v>
      </c>
      <c r="F1519" s="159">
        <v>5.8</v>
      </c>
      <c r="G1519" s="160">
        <v>4</v>
      </c>
      <c r="H1519" s="161">
        <v>86.1</v>
      </c>
      <c r="I1519" s="161">
        <v>3.7</v>
      </c>
      <c r="J1519" s="161">
        <v>6.7</v>
      </c>
      <c r="K1519" s="160">
        <v>0.6</v>
      </c>
    </row>
    <row r="1520" spans="1:11" x14ac:dyDescent="0.3">
      <c r="A1520" s="156" t="s">
        <v>887</v>
      </c>
      <c r="B1520" s="157" t="s">
        <v>888</v>
      </c>
      <c r="C1520" s="157">
        <v>2024</v>
      </c>
      <c r="D1520" s="158">
        <v>-90.6094437</v>
      </c>
      <c r="E1520" s="158">
        <v>43.868888900000002</v>
      </c>
      <c r="F1520" s="159">
        <v>4.5999999999999996</v>
      </c>
      <c r="G1520" s="160">
        <v>25.5</v>
      </c>
      <c r="H1520" s="161">
        <v>6.2</v>
      </c>
      <c r="I1520" s="161">
        <v>3.9</v>
      </c>
      <c r="J1520" s="161">
        <v>86.2</v>
      </c>
      <c r="K1520" s="160">
        <v>0.27999999999999997</v>
      </c>
    </row>
    <row r="1521" spans="1:11" x14ac:dyDescent="0.3">
      <c r="A1521" s="156" t="s">
        <v>887</v>
      </c>
      <c r="B1521" s="157" t="s">
        <v>888</v>
      </c>
      <c r="C1521" s="157">
        <v>2024</v>
      </c>
      <c r="D1521" s="158">
        <v>-90.451225300000004</v>
      </c>
      <c r="E1521" s="158">
        <v>36.945835099999996</v>
      </c>
      <c r="F1521" s="159">
        <v>4.5999999999999996</v>
      </c>
      <c r="G1521" s="160">
        <v>6.25</v>
      </c>
      <c r="H1521" s="161">
        <v>28.1</v>
      </c>
      <c r="I1521" s="161">
        <v>59.4</v>
      </c>
      <c r="J1521" s="161">
        <v>12.5</v>
      </c>
      <c r="K1521" s="160">
        <v>0.5</v>
      </c>
    </row>
    <row r="1522" spans="1:11" x14ac:dyDescent="0.3">
      <c r="A1522" s="156" t="s">
        <v>887</v>
      </c>
      <c r="B1522" s="157" t="s">
        <v>888</v>
      </c>
      <c r="C1522" s="157">
        <v>2024</v>
      </c>
      <c r="D1522" s="158">
        <v>-90.401107800000005</v>
      </c>
      <c r="E1522" s="158">
        <v>37.283889799999997</v>
      </c>
      <c r="F1522" s="159">
        <v>4.9000000000000004</v>
      </c>
      <c r="G1522" s="160">
        <v>1.4</v>
      </c>
      <c r="H1522" s="161">
        <v>29.4</v>
      </c>
      <c r="I1522" s="161">
        <v>58.3</v>
      </c>
      <c r="J1522" s="161">
        <v>12.3</v>
      </c>
      <c r="K1522" s="160">
        <v>0.3</v>
      </c>
    </row>
    <row r="1523" spans="1:11" x14ac:dyDescent="0.3">
      <c r="A1523" s="156" t="s">
        <v>887</v>
      </c>
      <c r="B1523" s="157" t="s">
        <v>888</v>
      </c>
      <c r="C1523" s="157">
        <v>2024</v>
      </c>
      <c r="D1523" s="158">
        <v>-90.358085599999995</v>
      </c>
      <c r="E1523" s="158">
        <v>37.479442599999999</v>
      </c>
      <c r="F1523" s="159">
        <v>4.7</v>
      </c>
      <c r="G1523" s="160">
        <v>7</v>
      </c>
      <c r="H1523" s="161">
        <v>37.700000000000003</v>
      </c>
      <c r="I1523" s="161">
        <v>24.5</v>
      </c>
      <c r="J1523" s="161">
        <v>37.799999999999997</v>
      </c>
      <c r="K1523" s="160">
        <v>0.1</v>
      </c>
    </row>
    <row r="1524" spans="1:11" x14ac:dyDescent="0.3">
      <c r="A1524" s="156" t="s">
        <v>887</v>
      </c>
      <c r="B1524" s="157" t="s">
        <v>888</v>
      </c>
      <c r="C1524" s="157">
        <v>2024</v>
      </c>
      <c r="D1524" s="158">
        <v>-90.106391900000006</v>
      </c>
      <c r="E1524" s="158">
        <v>44.641387899999998</v>
      </c>
      <c r="F1524" s="159">
        <v>6.1</v>
      </c>
      <c r="G1524" s="160">
        <v>8.65</v>
      </c>
      <c r="H1524" s="161">
        <v>56.6</v>
      </c>
      <c r="I1524" s="161">
        <v>67</v>
      </c>
      <c r="J1524" s="161">
        <v>22.9</v>
      </c>
      <c r="K1524" s="160">
        <v>0.06</v>
      </c>
    </row>
    <row r="1525" spans="1:11" x14ac:dyDescent="0.3">
      <c r="A1525" s="156" t="s">
        <v>887</v>
      </c>
      <c r="B1525" s="157" t="s">
        <v>888</v>
      </c>
      <c r="C1525" s="157">
        <v>2024</v>
      </c>
      <c r="D1525" s="158">
        <v>-90.056611099999998</v>
      </c>
      <c r="E1525" s="158">
        <v>37.926000000000002</v>
      </c>
      <c r="F1525" s="159">
        <v>4.8</v>
      </c>
      <c r="G1525" s="160">
        <v>9.4</v>
      </c>
      <c r="H1525" s="161">
        <v>2.4</v>
      </c>
      <c r="I1525" s="161">
        <v>72</v>
      </c>
      <c r="J1525" s="161">
        <v>25.6</v>
      </c>
      <c r="K1525" s="160">
        <v>0.1</v>
      </c>
    </row>
    <row r="1526" spans="1:11" x14ac:dyDescent="0.3">
      <c r="A1526" s="156" t="s">
        <v>887</v>
      </c>
      <c r="B1526" s="157" t="s">
        <v>888</v>
      </c>
      <c r="C1526" s="157">
        <v>2024</v>
      </c>
      <c r="D1526" s="158">
        <v>-89.977790799999994</v>
      </c>
      <c r="E1526" s="158">
        <v>36.332797999999997</v>
      </c>
      <c r="F1526" s="159">
        <v>6</v>
      </c>
      <c r="G1526" s="160">
        <v>2.15</v>
      </c>
      <c r="H1526" s="161">
        <v>94.8</v>
      </c>
      <c r="I1526" s="161">
        <v>2.4</v>
      </c>
      <c r="J1526" s="161">
        <v>2.8</v>
      </c>
      <c r="K1526" s="160">
        <v>0.1</v>
      </c>
    </row>
    <row r="1527" spans="1:11" x14ac:dyDescent="0.3">
      <c r="A1527" s="156" t="s">
        <v>887</v>
      </c>
      <c r="B1527" s="157" t="s">
        <v>888</v>
      </c>
      <c r="C1527" s="157">
        <v>2024</v>
      </c>
      <c r="D1527" s="158">
        <v>-89.567499999999995</v>
      </c>
      <c r="E1527" s="158">
        <v>37.651888900000003</v>
      </c>
      <c r="F1527" s="159">
        <v>6</v>
      </c>
      <c r="G1527" s="160">
        <v>13.45</v>
      </c>
      <c r="H1527" s="161">
        <v>2.2999999999999998</v>
      </c>
      <c r="I1527" s="161">
        <v>80.3</v>
      </c>
      <c r="J1527" s="161">
        <v>17.399999999999999</v>
      </c>
      <c r="K1527" s="160">
        <v>0.1</v>
      </c>
    </row>
    <row r="1528" spans="1:11" x14ac:dyDescent="0.3">
      <c r="A1528" s="156" t="s">
        <v>887</v>
      </c>
      <c r="B1528" s="157" t="s">
        <v>888</v>
      </c>
      <c r="C1528" s="157">
        <v>2024</v>
      </c>
      <c r="D1528" s="158">
        <v>-89.455841699999993</v>
      </c>
      <c r="E1528" s="158">
        <v>36.594708300000001</v>
      </c>
      <c r="F1528" s="159">
        <v>6.3</v>
      </c>
      <c r="G1528" s="160">
        <v>39.200000000000003</v>
      </c>
      <c r="H1528" s="161">
        <v>3.3</v>
      </c>
      <c r="I1528" s="161">
        <v>39.299999999999997</v>
      </c>
      <c r="J1528" s="161">
        <v>57.4</v>
      </c>
      <c r="K1528" s="160">
        <v>1.3</v>
      </c>
    </row>
    <row r="1529" spans="1:11" x14ac:dyDescent="0.3">
      <c r="A1529" s="156" t="s">
        <v>887</v>
      </c>
      <c r="B1529" s="157" t="s">
        <v>888</v>
      </c>
      <c r="C1529" s="157">
        <v>2024</v>
      </c>
      <c r="D1529" s="158">
        <v>-89.277778600000005</v>
      </c>
      <c r="E1529" s="158">
        <v>37.2658348</v>
      </c>
      <c r="F1529" s="159">
        <v>4.2</v>
      </c>
      <c r="G1529" s="160">
        <v>3.1</v>
      </c>
      <c r="H1529" s="161">
        <v>9.6</v>
      </c>
      <c r="I1529" s="161">
        <v>82.4</v>
      </c>
      <c r="J1529" s="161">
        <v>8</v>
      </c>
      <c r="K1529" s="160">
        <v>8.52</v>
      </c>
    </row>
    <row r="1530" spans="1:11" x14ac:dyDescent="0.3">
      <c r="A1530" s="156" t="s">
        <v>887</v>
      </c>
      <c r="B1530" s="157" t="s">
        <v>888</v>
      </c>
      <c r="C1530" s="157">
        <v>2024</v>
      </c>
      <c r="D1530" s="158">
        <v>-88.966110200000003</v>
      </c>
      <c r="E1530" s="158">
        <v>45.585834499999997</v>
      </c>
      <c r="F1530" s="159">
        <v>5.3</v>
      </c>
      <c r="G1530" s="160">
        <v>4.55</v>
      </c>
      <c r="H1530" s="161">
        <v>71.599999999999994</v>
      </c>
      <c r="I1530" s="161">
        <v>14.5</v>
      </c>
      <c r="J1530" s="161">
        <v>13.9</v>
      </c>
      <c r="K1530" s="160">
        <v>0.06</v>
      </c>
    </row>
    <row r="1531" spans="1:11" x14ac:dyDescent="0.3">
      <c r="A1531" s="156" t="s">
        <v>887</v>
      </c>
      <c r="B1531" s="157" t="s">
        <v>888</v>
      </c>
      <c r="C1531" s="157">
        <v>2024</v>
      </c>
      <c r="D1531" s="158">
        <v>-88.393931100000003</v>
      </c>
      <c r="E1531" s="158">
        <v>41.786403499999999</v>
      </c>
      <c r="F1531" s="159">
        <v>5</v>
      </c>
      <c r="G1531" s="160">
        <v>14.05</v>
      </c>
      <c r="H1531" s="161">
        <v>27</v>
      </c>
      <c r="I1531" s="161">
        <v>52.6</v>
      </c>
      <c r="J1531" s="161">
        <v>35.700000000000003</v>
      </c>
      <c r="K1531" s="160">
        <v>0.49000000000000005</v>
      </c>
    </row>
    <row r="1532" spans="1:11" x14ac:dyDescent="0.3">
      <c r="A1532" s="156" t="s">
        <v>887</v>
      </c>
      <c r="B1532" s="157" t="s">
        <v>888</v>
      </c>
      <c r="C1532" s="157">
        <v>2024</v>
      </c>
      <c r="D1532" s="158">
        <v>-86.983055100000001</v>
      </c>
      <c r="E1532" s="158">
        <v>41.152500199999999</v>
      </c>
      <c r="F1532" s="159">
        <v>4.7</v>
      </c>
      <c r="G1532" s="160">
        <v>6.95</v>
      </c>
      <c r="H1532" s="161">
        <v>97.5</v>
      </c>
      <c r="I1532" s="161">
        <v>1.5</v>
      </c>
      <c r="J1532" s="161">
        <v>1</v>
      </c>
      <c r="K1532" s="160">
        <v>0.11000000000000001</v>
      </c>
    </row>
    <row r="1533" spans="1:11" x14ac:dyDescent="0.3">
      <c r="A1533" s="156" t="s">
        <v>887</v>
      </c>
      <c r="B1533" s="157" t="s">
        <v>888</v>
      </c>
      <c r="C1533" s="157">
        <v>2024</v>
      </c>
      <c r="D1533" s="158">
        <v>-86.663055400000005</v>
      </c>
      <c r="E1533" s="158">
        <v>38.134723700000002</v>
      </c>
      <c r="F1533" s="159">
        <v>4.5999999999999996</v>
      </c>
      <c r="G1533" s="160">
        <v>10.15</v>
      </c>
      <c r="H1533" s="161">
        <v>32.299999999999997</v>
      </c>
      <c r="I1533" s="161">
        <v>47.9</v>
      </c>
      <c r="J1533" s="161">
        <v>19.8</v>
      </c>
      <c r="K1533" s="160">
        <v>0.02</v>
      </c>
    </row>
    <row r="1534" spans="1:11" x14ac:dyDescent="0.3">
      <c r="A1534" s="156" t="s">
        <v>887</v>
      </c>
      <c r="B1534" s="157" t="s">
        <v>888</v>
      </c>
      <c r="C1534" s="157">
        <v>2024</v>
      </c>
      <c r="D1534" s="158">
        <v>-86.638610799999995</v>
      </c>
      <c r="E1534" s="158">
        <v>38.222778300000002</v>
      </c>
      <c r="F1534" s="159">
        <v>4.7</v>
      </c>
      <c r="G1534" s="160">
        <v>12.35</v>
      </c>
      <c r="H1534" s="161">
        <v>7.6</v>
      </c>
      <c r="I1534" s="161">
        <v>73.599999999999994</v>
      </c>
      <c r="J1534" s="161">
        <v>18.8</v>
      </c>
      <c r="K1534" s="160">
        <v>1.56</v>
      </c>
    </row>
    <row r="1535" spans="1:11" x14ac:dyDescent="0.3">
      <c r="A1535" s="156" t="s">
        <v>887</v>
      </c>
      <c r="B1535" s="157" t="s">
        <v>888</v>
      </c>
      <c r="C1535" s="157">
        <v>2024</v>
      </c>
      <c r="D1535" s="158">
        <v>-86.409423799999999</v>
      </c>
      <c r="E1535" s="158">
        <v>38.447277100000001</v>
      </c>
      <c r="F1535" s="159">
        <v>4.8</v>
      </c>
      <c r="G1535" s="160">
        <v>25.6</v>
      </c>
      <c r="H1535" s="161">
        <v>14</v>
      </c>
      <c r="I1535" s="161">
        <v>22.4</v>
      </c>
      <c r="J1535" s="161">
        <v>26.7</v>
      </c>
      <c r="K1535" s="160">
        <v>1.1300000000000001</v>
      </c>
    </row>
    <row r="1536" spans="1:11" x14ac:dyDescent="0.3">
      <c r="A1536" s="156" t="s">
        <v>887</v>
      </c>
      <c r="B1536" s="157" t="s">
        <v>888</v>
      </c>
      <c r="C1536" s="157">
        <v>2024</v>
      </c>
      <c r="D1536" s="158">
        <v>-85.3576944</v>
      </c>
      <c r="E1536" s="158">
        <v>42.8003833</v>
      </c>
      <c r="F1536" s="159">
        <v>8.1</v>
      </c>
      <c r="G1536" s="160">
        <v>15</v>
      </c>
      <c r="H1536" s="161">
        <v>33.5</v>
      </c>
      <c r="I1536" s="161">
        <v>30.4</v>
      </c>
      <c r="J1536" s="161">
        <v>12.4</v>
      </c>
      <c r="K1536" s="160">
        <v>0.21000000000000002</v>
      </c>
    </row>
    <row r="1537" spans="1:11" x14ac:dyDescent="0.3">
      <c r="A1537" s="156" t="s">
        <v>887</v>
      </c>
      <c r="B1537" s="157" t="s">
        <v>888</v>
      </c>
      <c r="C1537" s="157">
        <v>2024</v>
      </c>
      <c r="D1537" s="158">
        <v>-84.535822199999998</v>
      </c>
      <c r="E1537" s="158">
        <v>45.389997200000003</v>
      </c>
      <c r="F1537" s="159">
        <v>5.3</v>
      </c>
      <c r="G1537" s="160">
        <v>2</v>
      </c>
      <c r="H1537" s="161">
        <v>99.4</v>
      </c>
      <c r="I1537" s="161">
        <v>0.4</v>
      </c>
      <c r="J1537" s="161">
        <v>0.2</v>
      </c>
      <c r="K1537" s="160">
        <v>0</v>
      </c>
    </row>
    <row r="1538" spans="1:11" x14ac:dyDescent="0.3">
      <c r="A1538" s="156" t="s">
        <v>887</v>
      </c>
      <c r="B1538" s="157" t="s">
        <v>888</v>
      </c>
      <c r="C1538" s="157">
        <v>2024</v>
      </c>
      <c r="D1538" s="158">
        <v>-82.580558800000006</v>
      </c>
      <c r="E1538" s="158">
        <v>8.8583335999999999</v>
      </c>
      <c r="F1538" s="159">
        <v>6</v>
      </c>
      <c r="G1538" s="160">
        <v>4.5</v>
      </c>
      <c r="H1538" s="161">
        <v>50.6</v>
      </c>
      <c r="I1538" s="161">
        <v>33</v>
      </c>
      <c r="J1538" s="161">
        <v>3</v>
      </c>
      <c r="K1538" s="160">
        <v>5.29</v>
      </c>
    </row>
    <row r="1539" spans="1:11" x14ac:dyDescent="0.3">
      <c r="A1539" s="156" t="s">
        <v>887</v>
      </c>
      <c r="B1539" s="157" t="s">
        <v>888</v>
      </c>
      <c r="C1539" s="157">
        <v>2024</v>
      </c>
      <c r="D1539" s="158">
        <v>-82.3665314</v>
      </c>
      <c r="E1539" s="158">
        <v>29.633583099999999</v>
      </c>
      <c r="F1539" s="159">
        <v>4.7</v>
      </c>
      <c r="G1539" s="160">
        <v>0.95</v>
      </c>
      <c r="H1539" s="161">
        <v>92</v>
      </c>
      <c r="I1539" s="161">
        <v>2.2999999999999998</v>
      </c>
      <c r="J1539" s="161">
        <v>10.9</v>
      </c>
      <c r="K1539" s="160">
        <v>0.12</v>
      </c>
    </row>
    <row r="1540" spans="1:11" x14ac:dyDescent="0.3">
      <c r="A1540" s="156" t="s">
        <v>887</v>
      </c>
      <c r="B1540" s="157" t="s">
        <v>888</v>
      </c>
      <c r="C1540" s="157">
        <v>2024</v>
      </c>
      <c r="D1540" s="158">
        <v>-80.178611099999998</v>
      </c>
      <c r="E1540" s="158">
        <v>40.434722200000003</v>
      </c>
      <c r="F1540" s="159">
        <v>6.4</v>
      </c>
      <c r="G1540" s="160">
        <v>25</v>
      </c>
      <c r="H1540" s="161">
        <v>11.8</v>
      </c>
      <c r="I1540" s="161">
        <v>67.2</v>
      </c>
      <c r="J1540" s="161">
        <v>21</v>
      </c>
      <c r="K1540" s="160">
        <v>1.6</v>
      </c>
    </row>
    <row r="1541" spans="1:11" x14ac:dyDescent="0.3">
      <c r="A1541" s="156" t="s">
        <v>887</v>
      </c>
      <c r="B1541" s="157" t="s">
        <v>888</v>
      </c>
      <c r="C1541" s="157">
        <v>2024</v>
      </c>
      <c r="D1541" s="158">
        <v>-79.481944400000003</v>
      </c>
      <c r="E1541" s="158">
        <v>41.991666700000003</v>
      </c>
      <c r="F1541" s="159">
        <v>5.0999999999999996</v>
      </c>
      <c r="G1541" s="160">
        <v>7</v>
      </c>
      <c r="H1541" s="161">
        <v>3.4</v>
      </c>
      <c r="I1541" s="161">
        <v>60</v>
      </c>
      <c r="J1541" s="161">
        <v>36.6</v>
      </c>
      <c r="K1541" s="160">
        <v>0.22000000000000003</v>
      </c>
    </row>
    <row r="1542" spans="1:11" x14ac:dyDescent="0.3">
      <c r="A1542" s="156" t="s">
        <v>887</v>
      </c>
      <c r="B1542" s="157" t="s">
        <v>888</v>
      </c>
      <c r="C1542" s="157">
        <v>2024</v>
      </c>
      <c r="D1542" s="158">
        <v>-78.952522299999998</v>
      </c>
      <c r="E1542" s="158">
        <v>36.3103561</v>
      </c>
      <c r="F1542" s="159">
        <v>5.9</v>
      </c>
      <c r="G1542" s="160">
        <v>3.9</v>
      </c>
      <c r="H1542" s="161">
        <v>19.3</v>
      </c>
      <c r="I1542" s="161">
        <v>46.9</v>
      </c>
      <c r="J1542" s="161">
        <v>33.799999999999997</v>
      </c>
      <c r="K1542" s="160">
        <v>1.9300000000000002</v>
      </c>
    </row>
    <row r="1543" spans="1:11" x14ac:dyDescent="0.3">
      <c r="A1543" s="156" t="s">
        <v>887</v>
      </c>
      <c r="B1543" s="157" t="s">
        <v>888</v>
      </c>
      <c r="C1543" s="157">
        <v>2024</v>
      </c>
      <c r="D1543" s="158">
        <v>-78.565559387207003</v>
      </c>
      <c r="E1543" s="158">
        <v>35.442783355712798</v>
      </c>
      <c r="F1543" s="159">
        <v>4.8</v>
      </c>
      <c r="G1543" s="160">
        <v>2.9</v>
      </c>
      <c r="H1543" s="161">
        <v>63.9</v>
      </c>
      <c r="I1543" s="161">
        <v>6.1</v>
      </c>
      <c r="J1543" s="161">
        <v>30</v>
      </c>
      <c r="K1543" s="160">
        <v>0.06</v>
      </c>
    </row>
    <row r="1544" spans="1:11" x14ac:dyDescent="0.3">
      <c r="A1544" s="156" t="s">
        <v>887</v>
      </c>
      <c r="B1544" s="157" t="s">
        <v>888</v>
      </c>
      <c r="C1544" s="157">
        <v>2024</v>
      </c>
      <c r="D1544" s="158">
        <v>-78.5625</v>
      </c>
      <c r="E1544" s="158">
        <v>-0.33750000000000002</v>
      </c>
      <c r="F1544" s="159">
        <v>6.2</v>
      </c>
      <c r="G1544" s="160">
        <v>6.9</v>
      </c>
      <c r="H1544" s="161">
        <v>47</v>
      </c>
      <c r="I1544" s="161">
        <v>50</v>
      </c>
      <c r="J1544" s="161">
        <v>3</v>
      </c>
      <c r="K1544" s="160">
        <v>4.13</v>
      </c>
    </row>
    <row r="1545" spans="1:11" x14ac:dyDescent="0.3">
      <c r="A1545" s="156" t="s">
        <v>887</v>
      </c>
      <c r="B1545" s="157" t="s">
        <v>888</v>
      </c>
      <c r="C1545" s="157">
        <v>2024</v>
      </c>
      <c r="D1545" s="158">
        <v>-78.554166699999996</v>
      </c>
      <c r="E1545" s="158">
        <v>40.037500000000001</v>
      </c>
      <c r="F1545" s="159">
        <v>4.2</v>
      </c>
      <c r="G1545" s="160">
        <v>10</v>
      </c>
      <c r="H1545" s="161">
        <v>61.2</v>
      </c>
      <c r="I1545" s="161">
        <v>22.6</v>
      </c>
      <c r="J1545" s="161">
        <v>16.2</v>
      </c>
      <c r="K1545" s="160">
        <v>0.16</v>
      </c>
    </row>
    <row r="1546" spans="1:11" x14ac:dyDescent="0.3">
      <c r="A1546" s="156" t="s">
        <v>887</v>
      </c>
      <c r="B1546" s="157" t="s">
        <v>888</v>
      </c>
      <c r="C1546" s="157">
        <v>2024</v>
      </c>
      <c r="D1546" s="158">
        <v>-78.545000000000002</v>
      </c>
      <c r="E1546" s="158">
        <v>41.186666700000004</v>
      </c>
      <c r="F1546" s="159">
        <v>5.0999999999999996</v>
      </c>
      <c r="G1546" s="160">
        <v>12</v>
      </c>
      <c r="H1546" s="161">
        <v>23.5</v>
      </c>
      <c r="I1546" s="161">
        <v>47.4</v>
      </c>
      <c r="J1546" s="161">
        <v>29.1</v>
      </c>
      <c r="K1546" s="160">
        <v>0.27999999999999997</v>
      </c>
    </row>
    <row r="1547" spans="1:11" x14ac:dyDescent="0.3">
      <c r="A1547" s="156" t="s">
        <v>887</v>
      </c>
      <c r="B1547" s="157" t="s">
        <v>888</v>
      </c>
      <c r="C1547" s="157">
        <v>2024</v>
      </c>
      <c r="D1547" s="158">
        <v>-78.038887000000003</v>
      </c>
      <c r="E1547" s="158">
        <v>-0.4166667</v>
      </c>
      <c r="F1547" s="159">
        <v>5.8</v>
      </c>
      <c r="G1547" s="160">
        <v>2.6</v>
      </c>
      <c r="H1547" s="161">
        <v>49</v>
      </c>
      <c r="I1547" s="161">
        <v>47</v>
      </c>
      <c r="J1547" s="161">
        <v>4</v>
      </c>
      <c r="K1547" s="160">
        <v>7.24</v>
      </c>
    </row>
    <row r="1548" spans="1:11" x14ac:dyDescent="0.3">
      <c r="A1548" s="156" t="s">
        <v>887</v>
      </c>
      <c r="B1548" s="157" t="s">
        <v>888</v>
      </c>
      <c r="C1548" s="157">
        <v>2024</v>
      </c>
      <c r="D1548" s="158">
        <v>-77.88</v>
      </c>
      <c r="E1548" s="158">
        <v>41.756666699999997</v>
      </c>
      <c r="F1548" s="159">
        <v>4.4000000000000004</v>
      </c>
      <c r="G1548" s="160">
        <v>5</v>
      </c>
      <c r="H1548" s="161">
        <v>18.7</v>
      </c>
      <c r="I1548" s="161">
        <v>35.700000000000003</v>
      </c>
      <c r="J1548" s="161">
        <v>13.7</v>
      </c>
      <c r="K1548" s="160">
        <v>0.35</v>
      </c>
    </row>
    <row r="1549" spans="1:11" x14ac:dyDescent="0.3">
      <c r="A1549" s="156" t="s">
        <v>887</v>
      </c>
      <c r="B1549" s="157" t="s">
        <v>888</v>
      </c>
      <c r="C1549" s="157">
        <v>2024</v>
      </c>
      <c r="D1549" s="158">
        <v>-77.6555556</v>
      </c>
      <c r="E1549" s="158">
        <v>40.834444400000002</v>
      </c>
      <c r="F1549" s="159">
        <v>4.7</v>
      </c>
      <c r="G1549" s="160">
        <v>6</v>
      </c>
      <c r="H1549" s="161">
        <v>14.8</v>
      </c>
      <c r="I1549" s="161">
        <v>54.8</v>
      </c>
      <c r="J1549" s="161">
        <v>30.4</v>
      </c>
      <c r="K1549" s="160">
        <v>0.45</v>
      </c>
    </row>
    <row r="1550" spans="1:11" x14ac:dyDescent="0.3">
      <c r="A1550" s="156" t="s">
        <v>887</v>
      </c>
      <c r="B1550" s="157" t="s">
        <v>888</v>
      </c>
      <c r="C1550" s="157">
        <v>2024</v>
      </c>
      <c r="D1550" s="158">
        <v>-77.220833299999995</v>
      </c>
      <c r="E1550" s="158">
        <v>40.882222200000001</v>
      </c>
      <c r="F1550" s="159">
        <v>5.4</v>
      </c>
      <c r="G1550" s="160">
        <v>7</v>
      </c>
      <c r="H1550" s="161">
        <v>27.7</v>
      </c>
      <c r="I1550" s="161">
        <v>28</v>
      </c>
      <c r="J1550" s="161">
        <v>44.3</v>
      </c>
      <c r="K1550" s="160">
        <v>0.2</v>
      </c>
    </row>
    <row r="1551" spans="1:11" x14ac:dyDescent="0.3">
      <c r="A1551" s="156" t="s">
        <v>887</v>
      </c>
      <c r="B1551" s="157" t="s">
        <v>888</v>
      </c>
      <c r="C1551" s="157">
        <v>2024</v>
      </c>
      <c r="D1551" s="158">
        <v>-76.8333333333333</v>
      </c>
      <c r="E1551" s="158">
        <v>-0.31666666666666698</v>
      </c>
      <c r="F1551" s="159">
        <v>4.8</v>
      </c>
      <c r="G1551" s="160">
        <v>6.7</v>
      </c>
      <c r="H1551" s="161">
        <v>10</v>
      </c>
      <c r="I1551" s="161">
        <v>29</v>
      </c>
      <c r="J1551" s="161">
        <v>61</v>
      </c>
      <c r="K1551" s="160">
        <v>1.29</v>
      </c>
    </row>
    <row r="1552" spans="1:11" x14ac:dyDescent="0.3">
      <c r="A1552" s="156" t="s">
        <v>887</v>
      </c>
      <c r="B1552" s="157" t="s">
        <v>888</v>
      </c>
      <c r="C1552" s="157">
        <v>2024</v>
      </c>
      <c r="D1552" s="158">
        <v>-76.290555600000005</v>
      </c>
      <c r="E1552" s="158">
        <v>39.910555600000002</v>
      </c>
      <c r="F1552" s="159">
        <v>5.5</v>
      </c>
      <c r="G1552" s="160">
        <v>1</v>
      </c>
      <c r="H1552" s="161">
        <v>65.599999999999994</v>
      </c>
      <c r="I1552" s="161">
        <v>16.2</v>
      </c>
      <c r="J1552" s="161">
        <v>18.2</v>
      </c>
      <c r="K1552" s="160">
        <v>0.03</v>
      </c>
    </row>
    <row r="1553" spans="1:11" x14ac:dyDescent="0.3">
      <c r="A1553" s="156" t="s">
        <v>887</v>
      </c>
      <c r="B1553" s="157" t="s">
        <v>888</v>
      </c>
      <c r="C1553" s="157">
        <v>2024</v>
      </c>
      <c r="D1553" s="158">
        <v>-75.375</v>
      </c>
      <c r="E1553" s="158">
        <v>39.5783348</v>
      </c>
      <c r="F1553" s="159">
        <v>4.7</v>
      </c>
      <c r="G1553" s="160">
        <v>11.4</v>
      </c>
      <c r="H1553" s="161">
        <v>21.8</v>
      </c>
      <c r="I1553" s="161">
        <v>44.3</v>
      </c>
      <c r="J1553" s="161">
        <v>33.9</v>
      </c>
      <c r="K1553" s="160">
        <v>0.16</v>
      </c>
    </row>
    <row r="1554" spans="1:11" x14ac:dyDescent="0.3">
      <c r="A1554" s="156" t="s">
        <v>887</v>
      </c>
      <c r="B1554" s="157" t="s">
        <v>888</v>
      </c>
      <c r="C1554" s="157">
        <v>2024</v>
      </c>
      <c r="D1554" s="158">
        <v>-75.245002700000001</v>
      </c>
      <c r="E1554" s="158">
        <v>39.609722099999999</v>
      </c>
      <c r="F1554" s="159">
        <v>4.7</v>
      </c>
      <c r="G1554" s="160">
        <v>1.9</v>
      </c>
      <c r="H1554" s="161">
        <v>57.2</v>
      </c>
      <c r="I1554" s="161">
        <v>32</v>
      </c>
      <c r="J1554" s="161">
        <v>10.8</v>
      </c>
      <c r="K1554" s="160">
        <v>0.04</v>
      </c>
    </row>
    <row r="1555" spans="1:11" x14ac:dyDescent="0.3">
      <c r="A1555" s="156" t="s">
        <v>887</v>
      </c>
      <c r="B1555" s="157" t="s">
        <v>888</v>
      </c>
      <c r="C1555" s="157">
        <v>2024</v>
      </c>
      <c r="D1555" s="158">
        <v>-75.036111111111097</v>
      </c>
      <c r="E1555" s="158">
        <v>-8.4772222222222204</v>
      </c>
      <c r="F1555" s="159">
        <v>5</v>
      </c>
      <c r="G1555" s="160">
        <v>12.8</v>
      </c>
      <c r="H1555" s="161">
        <v>53</v>
      </c>
      <c r="I1555" s="161">
        <v>16</v>
      </c>
      <c r="J1555" s="161">
        <v>31</v>
      </c>
      <c r="K1555" s="160">
        <v>0.19</v>
      </c>
    </row>
    <row r="1556" spans="1:11" x14ac:dyDescent="0.3">
      <c r="A1556" s="156" t="s">
        <v>887</v>
      </c>
      <c r="B1556" s="157" t="s">
        <v>888</v>
      </c>
      <c r="C1556" s="157">
        <v>2024</v>
      </c>
      <c r="D1556" s="158">
        <v>-74.829719499999996</v>
      </c>
      <c r="E1556" s="158">
        <v>39.944999699999997</v>
      </c>
      <c r="F1556" s="159">
        <v>5.7</v>
      </c>
      <c r="G1556" s="160">
        <v>4.05</v>
      </c>
      <c r="H1556" s="161">
        <v>89</v>
      </c>
      <c r="I1556" s="161">
        <v>2.5</v>
      </c>
      <c r="J1556" s="161">
        <v>8.5</v>
      </c>
      <c r="K1556" s="160">
        <v>0.09</v>
      </c>
    </row>
    <row r="1557" spans="1:11" x14ac:dyDescent="0.3">
      <c r="A1557" s="156" t="s">
        <v>887</v>
      </c>
      <c r="B1557" s="157" t="s">
        <v>888</v>
      </c>
      <c r="C1557" s="157">
        <v>2024</v>
      </c>
      <c r="D1557" s="158">
        <v>-72.9166666666667</v>
      </c>
      <c r="E1557" s="158">
        <v>4.1666666666666696</v>
      </c>
      <c r="F1557" s="159">
        <v>4.8</v>
      </c>
      <c r="G1557" s="160">
        <v>2.9</v>
      </c>
      <c r="H1557" s="161">
        <v>13</v>
      </c>
      <c r="I1557" s="161">
        <v>23</v>
      </c>
      <c r="J1557" s="161">
        <v>54</v>
      </c>
      <c r="K1557" s="160">
        <v>0.47000000000000003</v>
      </c>
    </row>
    <row r="1558" spans="1:11" x14ac:dyDescent="0.3">
      <c r="A1558" s="156" t="s">
        <v>887</v>
      </c>
      <c r="B1558" s="157" t="s">
        <v>888</v>
      </c>
      <c r="C1558" s="157">
        <v>2024</v>
      </c>
      <c r="D1558" s="158">
        <v>-72.751388500000004</v>
      </c>
      <c r="E1558" s="158">
        <v>44.271388999999999</v>
      </c>
      <c r="F1558" s="159">
        <v>3.9</v>
      </c>
      <c r="G1558" s="160">
        <v>5.25</v>
      </c>
      <c r="H1558" s="161">
        <v>42.8</v>
      </c>
      <c r="I1558" s="161">
        <v>50.3</v>
      </c>
      <c r="J1558" s="161">
        <v>6.9</v>
      </c>
      <c r="K1558" s="160">
        <v>1.98</v>
      </c>
    </row>
    <row r="1559" spans="1:11" x14ac:dyDescent="0.3">
      <c r="A1559" s="156" t="s">
        <v>887</v>
      </c>
      <c r="B1559" s="157" t="s">
        <v>888</v>
      </c>
      <c r="C1559" s="157">
        <v>2024</v>
      </c>
      <c r="D1559" s="158">
        <v>-72.739997900000006</v>
      </c>
      <c r="E1559" s="158">
        <v>41.503334000000002</v>
      </c>
      <c r="F1559" s="159">
        <v>7.7</v>
      </c>
      <c r="G1559" s="160">
        <v>8.1</v>
      </c>
      <c r="H1559" s="161">
        <v>20.9</v>
      </c>
      <c r="I1559" s="161">
        <v>68.400000000000006</v>
      </c>
      <c r="J1559" s="161">
        <v>10.7</v>
      </c>
      <c r="K1559" s="160">
        <v>0.04</v>
      </c>
    </row>
    <row r="1560" spans="1:11" x14ac:dyDescent="0.3">
      <c r="A1560" s="156" t="s">
        <v>887</v>
      </c>
      <c r="B1560" s="157" t="s">
        <v>888</v>
      </c>
      <c r="C1560" s="157">
        <v>2024</v>
      </c>
      <c r="D1560" s="158">
        <v>-71.506942699999996</v>
      </c>
      <c r="E1560" s="158">
        <v>43.25</v>
      </c>
      <c r="F1560" s="159">
        <v>5.2</v>
      </c>
      <c r="G1560" s="160">
        <v>1.1000000000000001</v>
      </c>
      <c r="H1560" s="161">
        <v>89.7</v>
      </c>
      <c r="I1560" s="161">
        <v>9.1</v>
      </c>
      <c r="J1560" s="161">
        <v>1.2</v>
      </c>
      <c r="K1560" s="160">
        <v>0.38</v>
      </c>
    </row>
    <row r="1561" spans="1:11" x14ac:dyDescent="0.3">
      <c r="A1561" s="156" t="s">
        <v>887</v>
      </c>
      <c r="B1561" s="157" t="s">
        <v>888</v>
      </c>
      <c r="C1561" s="157">
        <v>2024</v>
      </c>
      <c r="D1561" s="158">
        <v>-67.060798645019503</v>
      </c>
      <c r="E1561" s="158">
        <v>18.4610996246338</v>
      </c>
      <c r="F1561" s="159">
        <v>5.5</v>
      </c>
      <c r="G1561" s="160">
        <v>2.4</v>
      </c>
      <c r="H1561" s="161">
        <v>14.8</v>
      </c>
      <c r="I1561" s="161">
        <v>15.1</v>
      </c>
      <c r="J1561" s="161">
        <v>70.099999999999994</v>
      </c>
      <c r="K1561" s="160">
        <v>0.15</v>
      </c>
    </row>
    <row r="1562" spans="1:11" x14ac:dyDescent="0.3">
      <c r="A1562" s="156" t="s">
        <v>887</v>
      </c>
      <c r="B1562" s="157" t="s">
        <v>888</v>
      </c>
      <c r="C1562" s="157">
        <v>2024</v>
      </c>
      <c r="D1562" s="158">
        <v>-66.287223800000007</v>
      </c>
      <c r="E1562" s="158">
        <v>18.1355553</v>
      </c>
      <c r="F1562" s="159">
        <v>4.3</v>
      </c>
      <c r="G1562" s="160">
        <v>9.85</v>
      </c>
      <c r="H1562" s="161">
        <v>2.6</v>
      </c>
      <c r="I1562" s="161">
        <v>24.4</v>
      </c>
      <c r="J1562" s="161">
        <v>73</v>
      </c>
      <c r="K1562" s="160">
        <v>1.1300000000000001</v>
      </c>
    </row>
    <row r="1563" spans="1:11" x14ac:dyDescent="0.3">
      <c r="A1563" s="156" t="s">
        <v>887</v>
      </c>
      <c r="B1563" s="157" t="s">
        <v>888</v>
      </c>
      <c r="C1563" s="157">
        <v>2024</v>
      </c>
      <c r="D1563" s="158">
        <v>-62.633299999999998</v>
      </c>
      <c r="E1563" s="158">
        <v>-10.3</v>
      </c>
      <c r="F1563" s="159">
        <v>5.0999999999999996</v>
      </c>
      <c r="G1563" s="160">
        <v>0.9</v>
      </c>
      <c r="H1563" s="161">
        <v>54</v>
      </c>
      <c r="I1563" s="161">
        <v>26</v>
      </c>
      <c r="J1563" s="161">
        <v>20</v>
      </c>
      <c r="K1563" s="160">
        <v>0.86</v>
      </c>
    </row>
    <row r="1564" spans="1:11" x14ac:dyDescent="0.3">
      <c r="A1564" s="156" t="s">
        <v>887</v>
      </c>
      <c r="B1564" s="157" t="s">
        <v>888</v>
      </c>
      <c r="C1564" s="157">
        <v>2024</v>
      </c>
      <c r="D1564" s="158">
        <v>-55.716666666666697</v>
      </c>
      <c r="E1564" s="158">
        <v>5.25</v>
      </c>
      <c r="F1564" s="159">
        <v>4.8</v>
      </c>
      <c r="G1564" s="160">
        <v>1.4</v>
      </c>
      <c r="H1564" s="161">
        <v>70</v>
      </c>
      <c r="I1564" s="161">
        <v>10</v>
      </c>
      <c r="J1564" s="161">
        <v>13</v>
      </c>
      <c r="K1564" s="160">
        <v>0.53</v>
      </c>
    </row>
    <row r="1565" spans="1:11" x14ac:dyDescent="0.3">
      <c r="A1565" s="156" t="s">
        <v>887</v>
      </c>
      <c r="B1565" s="157" t="s">
        <v>888</v>
      </c>
      <c r="C1565" s="157">
        <v>2024</v>
      </c>
      <c r="D1565" s="158">
        <v>-54.216666666666697</v>
      </c>
      <c r="E1565" s="158">
        <v>-8.65</v>
      </c>
      <c r="F1565" s="159">
        <v>4.4000000000000004</v>
      </c>
      <c r="G1565" s="160">
        <v>5.6</v>
      </c>
      <c r="H1565" s="161">
        <v>39</v>
      </c>
      <c r="I1565" s="161">
        <v>15</v>
      </c>
      <c r="J1565" s="161">
        <v>46</v>
      </c>
      <c r="K1565" s="160">
        <v>0.26</v>
      </c>
    </row>
    <row r="1566" spans="1:11" x14ac:dyDescent="0.3">
      <c r="A1566" s="156" t="s">
        <v>887</v>
      </c>
      <c r="B1566" s="157" t="s">
        <v>888</v>
      </c>
      <c r="C1566" s="157">
        <v>2024</v>
      </c>
      <c r="D1566" s="158">
        <v>-49</v>
      </c>
      <c r="E1566" s="158">
        <v>-16.399999999999999</v>
      </c>
      <c r="F1566" s="159">
        <v>6.2</v>
      </c>
      <c r="G1566" s="160">
        <v>4.4000000000000004</v>
      </c>
      <c r="H1566" s="161">
        <v>49</v>
      </c>
      <c r="I1566" s="161">
        <v>13</v>
      </c>
      <c r="J1566" s="161">
        <v>34</v>
      </c>
      <c r="K1566" s="160">
        <v>3.97</v>
      </c>
    </row>
    <row r="1567" spans="1:11" x14ac:dyDescent="0.3">
      <c r="A1567" s="156" t="s">
        <v>887</v>
      </c>
      <c r="B1567" s="157" t="s">
        <v>888</v>
      </c>
      <c r="C1567" s="157">
        <v>2024</v>
      </c>
      <c r="D1567" s="158">
        <v>-42.183300000000003</v>
      </c>
      <c r="E1567" s="158">
        <v>-16.366700000000002</v>
      </c>
      <c r="F1567" s="159">
        <v>4.5</v>
      </c>
      <c r="G1567" s="160">
        <v>6.2</v>
      </c>
      <c r="H1567" s="161">
        <v>29</v>
      </c>
      <c r="I1567" s="161">
        <v>22</v>
      </c>
      <c r="J1567" s="161">
        <v>49</v>
      </c>
      <c r="K1567" s="160">
        <v>0.33999999999999997</v>
      </c>
    </row>
    <row r="1568" spans="1:11" x14ac:dyDescent="0.3">
      <c r="A1568" s="156" t="s">
        <v>887</v>
      </c>
      <c r="B1568" s="157" t="s">
        <v>888</v>
      </c>
      <c r="C1568" s="157">
        <v>2024</v>
      </c>
      <c r="D1568" s="158">
        <v>-12.083333</v>
      </c>
      <c r="E1568" s="158">
        <v>8.9</v>
      </c>
      <c r="F1568" s="159">
        <v>4.8</v>
      </c>
      <c r="G1568" s="160">
        <v>2.9</v>
      </c>
      <c r="H1568" s="161">
        <v>66</v>
      </c>
      <c r="I1568" s="161">
        <v>13</v>
      </c>
      <c r="J1568" s="161">
        <v>30</v>
      </c>
      <c r="K1568" s="160">
        <v>0.7</v>
      </c>
    </row>
    <row r="1569" spans="1:11" x14ac:dyDescent="0.3">
      <c r="A1569" s="156" t="s">
        <v>887</v>
      </c>
      <c r="B1569" s="157" t="s">
        <v>888</v>
      </c>
      <c r="C1569" s="157">
        <v>2024</v>
      </c>
      <c r="D1569" s="158">
        <v>-8.4</v>
      </c>
      <c r="E1569" s="158">
        <v>12.083333</v>
      </c>
      <c r="F1569" s="159">
        <v>6.2</v>
      </c>
      <c r="G1569" s="160">
        <v>6.2</v>
      </c>
      <c r="H1569" s="161">
        <v>10.6</v>
      </c>
      <c r="I1569" s="161">
        <v>46.3</v>
      </c>
      <c r="J1569" s="161">
        <v>33.6</v>
      </c>
      <c r="K1569" s="160">
        <v>0.64</v>
      </c>
    </row>
    <row r="1570" spans="1:11" x14ac:dyDescent="0.3">
      <c r="A1570" s="156" t="s">
        <v>887</v>
      </c>
      <c r="B1570" s="157" t="s">
        <v>888</v>
      </c>
      <c r="C1570" s="157">
        <v>2024</v>
      </c>
      <c r="D1570" s="158">
        <v>-1.6666700000000001</v>
      </c>
      <c r="E1570" s="158">
        <v>6.6666699999999999</v>
      </c>
      <c r="F1570" s="159">
        <v>4.5999999999999996</v>
      </c>
      <c r="G1570" s="160">
        <v>2.4</v>
      </c>
      <c r="H1570" s="161">
        <v>46</v>
      </c>
      <c r="I1570" s="161">
        <v>11.8</v>
      </c>
      <c r="J1570" s="161">
        <v>45</v>
      </c>
      <c r="K1570" s="160">
        <v>0.49000000000000005</v>
      </c>
    </row>
    <row r="1571" spans="1:11" x14ac:dyDescent="0.3">
      <c r="A1571" s="156" t="s">
        <v>887</v>
      </c>
      <c r="B1571" s="157" t="s">
        <v>888</v>
      </c>
      <c r="C1571" s="157">
        <v>2024</v>
      </c>
      <c r="D1571" s="158">
        <v>1.05833</v>
      </c>
      <c r="E1571" s="158">
        <v>11.6</v>
      </c>
      <c r="F1571" s="159">
        <v>8.6999999999999993</v>
      </c>
      <c r="G1571" s="160">
        <v>29.5</v>
      </c>
      <c r="H1571" s="161">
        <v>26.4</v>
      </c>
      <c r="I1571" s="161">
        <v>29.9</v>
      </c>
      <c r="J1571" s="161">
        <v>43.5</v>
      </c>
      <c r="K1571" s="160">
        <v>0.11000000000000001</v>
      </c>
    </row>
    <row r="1572" spans="1:11" x14ac:dyDescent="0.3">
      <c r="A1572" s="156" t="s">
        <v>887</v>
      </c>
      <c r="B1572" s="157" t="s">
        <v>888</v>
      </c>
      <c r="C1572" s="157">
        <v>2024</v>
      </c>
      <c r="D1572" s="158">
        <v>2.0833330000000001</v>
      </c>
      <c r="E1572" s="158">
        <v>13.533333000000001</v>
      </c>
      <c r="F1572" s="159">
        <v>4.5</v>
      </c>
      <c r="G1572" s="160">
        <v>0.8</v>
      </c>
      <c r="H1572" s="161">
        <v>53.4</v>
      </c>
      <c r="I1572" s="161">
        <v>28.6</v>
      </c>
      <c r="J1572" s="161">
        <v>17</v>
      </c>
      <c r="K1572" s="160">
        <v>0.09</v>
      </c>
    </row>
    <row r="1573" spans="1:11" x14ac:dyDescent="0.3">
      <c r="A1573" s="156" t="s">
        <v>887</v>
      </c>
      <c r="B1573" s="157" t="s">
        <v>888</v>
      </c>
      <c r="C1573" s="157">
        <v>2024</v>
      </c>
      <c r="D1573" s="158">
        <v>2.2576000000000001</v>
      </c>
      <c r="E1573" s="158">
        <v>7.2542999999999997</v>
      </c>
      <c r="F1573" s="159">
        <v>6.3</v>
      </c>
      <c r="G1573" s="160">
        <v>6.6</v>
      </c>
      <c r="H1573" s="161">
        <v>78</v>
      </c>
      <c r="I1573" s="161">
        <v>13</v>
      </c>
      <c r="J1573" s="161">
        <v>21</v>
      </c>
      <c r="K1573" s="160">
        <v>1.3</v>
      </c>
    </row>
    <row r="1574" spans="1:11" x14ac:dyDescent="0.3">
      <c r="A1574" s="156" t="s">
        <v>887</v>
      </c>
      <c r="B1574" s="157" t="s">
        <v>888</v>
      </c>
      <c r="C1574" s="157">
        <v>2024</v>
      </c>
      <c r="D1574" s="158">
        <v>3.8666670000000001</v>
      </c>
      <c r="E1574" s="158">
        <v>7.8833330000000004</v>
      </c>
      <c r="F1574" s="159">
        <v>6.4</v>
      </c>
      <c r="G1574" s="160">
        <v>3.4</v>
      </c>
      <c r="H1574" s="161">
        <v>85</v>
      </c>
      <c r="I1574" s="161">
        <v>6</v>
      </c>
      <c r="J1574" s="161">
        <v>9</v>
      </c>
      <c r="K1574" s="160">
        <v>0.1</v>
      </c>
    </row>
    <row r="1575" spans="1:11" x14ac:dyDescent="0.3">
      <c r="A1575" s="156" t="s">
        <v>887</v>
      </c>
      <c r="B1575" s="157" t="s">
        <v>888</v>
      </c>
      <c r="C1575" s="157">
        <v>2024</v>
      </c>
      <c r="D1575" s="158">
        <v>22.174167000000001</v>
      </c>
      <c r="E1575" s="158">
        <v>-19.468610999999999</v>
      </c>
      <c r="F1575" s="159">
        <v>7.8</v>
      </c>
      <c r="G1575" s="160">
        <v>11.3</v>
      </c>
      <c r="H1575" s="161">
        <v>56</v>
      </c>
      <c r="I1575" s="161">
        <v>5</v>
      </c>
      <c r="J1575" s="161">
        <v>39</v>
      </c>
      <c r="K1575" s="160">
        <v>1.2</v>
      </c>
    </row>
    <row r="1576" spans="1:11" x14ac:dyDescent="0.3">
      <c r="A1576" s="156" t="s">
        <v>887</v>
      </c>
      <c r="B1576" s="157" t="s">
        <v>888</v>
      </c>
      <c r="C1576" s="157">
        <v>2024</v>
      </c>
      <c r="D1576" s="158">
        <v>24.829722222222198</v>
      </c>
      <c r="E1576" s="158">
        <v>58.169722222222198</v>
      </c>
      <c r="F1576" s="159">
        <v>5</v>
      </c>
      <c r="G1576" s="160">
        <v>3.3</v>
      </c>
      <c r="H1576" s="161">
        <v>91</v>
      </c>
      <c r="I1576" s="161">
        <v>1</v>
      </c>
      <c r="J1576" s="161">
        <v>2</v>
      </c>
      <c r="K1576" s="160">
        <v>3.9</v>
      </c>
    </row>
    <row r="1577" spans="1:11" x14ac:dyDescent="0.3">
      <c r="A1577" s="156" t="s">
        <v>887</v>
      </c>
      <c r="B1577" s="157" t="s">
        <v>888</v>
      </c>
      <c r="C1577" s="157">
        <v>2024</v>
      </c>
      <c r="D1577" s="158">
        <v>25.411110999999998</v>
      </c>
      <c r="E1577" s="158">
        <v>-18.396388999999999</v>
      </c>
      <c r="F1577" s="159">
        <v>6.5</v>
      </c>
      <c r="G1577" s="160">
        <v>29.2</v>
      </c>
      <c r="H1577" s="161">
        <v>54</v>
      </c>
      <c r="I1577" s="161">
        <v>2</v>
      </c>
      <c r="J1577" s="161">
        <v>38</v>
      </c>
      <c r="K1577" s="160">
        <v>0.2</v>
      </c>
    </row>
    <row r="1578" spans="1:11" x14ac:dyDescent="0.3">
      <c r="A1578" s="156" t="s">
        <v>887</v>
      </c>
      <c r="B1578" s="157" t="s">
        <v>888</v>
      </c>
      <c r="C1578" s="157">
        <v>2024</v>
      </c>
      <c r="D1578" s="158">
        <v>27.233332999999998</v>
      </c>
      <c r="E1578" s="158">
        <v>-29.816666999999999</v>
      </c>
      <c r="F1578" s="159">
        <v>6</v>
      </c>
      <c r="G1578" s="160">
        <v>5.45</v>
      </c>
      <c r="H1578" s="161">
        <v>41.5</v>
      </c>
      <c r="I1578" s="161">
        <v>42</v>
      </c>
      <c r="J1578" s="161">
        <v>50.8</v>
      </c>
      <c r="K1578" s="160">
        <v>1</v>
      </c>
    </row>
    <row r="1579" spans="1:11" x14ac:dyDescent="0.3">
      <c r="A1579" s="156" t="s">
        <v>887</v>
      </c>
      <c r="B1579" s="157" t="s">
        <v>888</v>
      </c>
      <c r="C1579" s="157">
        <v>2024</v>
      </c>
      <c r="D1579" s="158">
        <v>27.75</v>
      </c>
      <c r="E1579" s="158">
        <v>-29.15</v>
      </c>
      <c r="F1579" s="159">
        <v>5.4</v>
      </c>
      <c r="G1579" s="160">
        <v>5</v>
      </c>
      <c r="H1579" s="161">
        <v>44.3</v>
      </c>
      <c r="I1579" s="161">
        <v>21.1</v>
      </c>
      <c r="J1579" s="161">
        <v>8.1</v>
      </c>
      <c r="K1579" s="160">
        <v>0.48</v>
      </c>
    </row>
    <row r="1580" spans="1:11" x14ac:dyDescent="0.3">
      <c r="A1580" s="156" t="s">
        <v>887</v>
      </c>
      <c r="B1580" s="157" t="s">
        <v>888</v>
      </c>
      <c r="C1580" s="157">
        <v>2024</v>
      </c>
      <c r="D1580" s="158">
        <v>29.703610000000001</v>
      </c>
      <c r="E1580" s="158">
        <v>-31.383050000000001</v>
      </c>
      <c r="F1580" s="159">
        <v>5.4</v>
      </c>
      <c r="G1580" s="160">
        <v>1.7</v>
      </c>
      <c r="H1580" s="161">
        <v>18</v>
      </c>
      <c r="I1580" s="161">
        <v>46</v>
      </c>
      <c r="J1580" s="161">
        <v>33</v>
      </c>
      <c r="K1580" s="160">
        <v>1.72</v>
      </c>
    </row>
    <row r="1581" spans="1:11" x14ac:dyDescent="0.3">
      <c r="A1581" s="156" t="s">
        <v>887</v>
      </c>
      <c r="B1581" s="157" t="s">
        <v>888</v>
      </c>
      <c r="C1581" s="157">
        <v>2024</v>
      </c>
      <c r="D1581" s="158">
        <v>29.75</v>
      </c>
      <c r="E1581" s="158">
        <v>-2.85</v>
      </c>
      <c r="F1581" s="159">
        <v>5.4</v>
      </c>
      <c r="G1581" s="160">
        <v>1.7</v>
      </c>
      <c r="H1581" s="161">
        <v>41.7</v>
      </c>
      <c r="I1581" s="161">
        <v>21</v>
      </c>
      <c r="J1581" s="161">
        <v>25</v>
      </c>
      <c r="K1581" s="160">
        <v>1.7899999999999998</v>
      </c>
    </row>
    <row r="1582" spans="1:11" x14ac:dyDescent="0.3">
      <c r="A1582" s="156" t="s">
        <v>887</v>
      </c>
      <c r="B1582" s="157" t="s">
        <v>888</v>
      </c>
      <c r="C1582" s="157">
        <v>2024</v>
      </c>
      <c r="D1582" s="158">
        <v>30.372499465942401</v>
      </c>
      <c r="E1582" s="158">
        <v>-1.88444435596466</v>
      </c>
      <c r="F1582" s="159">
        <v>5.0999999999999996</v>
      </c>
      <c r="G1582" s="160">
        <v>4.6500000000000004</v>
      </c>
      <c r="H1582" s="161">
        <v>19</v>
      </c>
      <c r="I1582" s="161">
        <v>7</v>
      </c>
      <c r="J1582" s="161">
        <v>57</v>
      </c>
      <c r="K1582" s="160">
        <v>0.6</v>
      </c>
    </row>
    <row r="1583" spans="1:11" x14ac:dyDescent="0.3">
      <c r="A1583" s="156" t="s">
        <v>887</v>
      </c>
      <c r="B1583" s="157" t="s">
        <v>888</v>
      </c>
      <c r="C1583" s="157">
        <v>2024</v>
      </c>
      <c r="D1583" s="158">
        <v>31.166665999999999</v>
      </c>
      <c r="E1583" s="158">
        <v>-10.166667</v>
      </c>
      <c r="F1583" s="159">
        <v>5.7</v>
      </c>
      <c r="G1583" s="160">
        <v>1.8</v>
      </c>
      <c r="H1583" s="161">
        <v>63.6</v>
      </c>
      <c r="I1583" s="161">
        <v>4.5</v>
      </c>
      <c r="J1583" s="161">
        <v>17.100000000000001</v>
      </c>
      <c r="K1583" s="160">
        <v>0.06</v>
      </c>
    </row>
    <row r="1584" spans="1:11" x14ac:dyDescent="0.3">
      <c r="A1584" s="156" t="s">
        <v>887</v>
      </c>
      <c r="B1584" s="157" t="s">
        <v>888</v>
      </c>
      <c r="C1584" s="157">
        <v>2024</v>
      </c>
      <c r="D1584" s="158">
        <v>31.2661114</v>
      </c>
      <c r="E1584" s="158">
        <v>-17.8905563</v>
      </c>
      <c r="F1584" s="159">
        <v>5</v>
      </c>
      <c r="G1584" s="160">
        <v>0.8</v>
      </c>
      <c r="H1584" s="161">
        <v>63.4</v>
      </c>
      <c r="I1584" s="161">
        <v>7.2</v>
      </c>
      <c r="J1584" s="161">
        <v>6.4</v>
      </c>
      <c r="K1584" s="160">
        <v>0.04</v>
      </c>
    </row>
    <row r="1585" spans="1:11" x14ac:dyDescent="0.3">
      <c r="A1585" s="156" t="s">
        <v>887</v>
      </c>
      <c r="B1585" s="157" t="s">
        <v>888</v>
      </c>
      <c r="C1585" s="157">
        <v>2024</v>
      </c>
      <c r="D1585" s="158">
        <v>32.643890399999997</v>
      </c>
      <c r="E1585" s="158">
        <v>0.5288889</v>
      </c>
      <c r="F1585" s="159">
        <v>5</v>
      </c>
      <c r="G1585" s="160">
        <v>3.95</v>
      </c>
      <c r="H1585" s="161">
        <v>55.4</v>
      </c>
      <c r="I1585" s="161">
        <v>11.6</v>
      </c>
      <c r="J1585" s="161">
        <v>36</v>
      </c>
      <c r="K1585" s="160">
        <v>1.86</v>
      </c>
    </row>
    <row r="1586" spans="1:11" x14ac:dyDescent="0.3">
      <c r="A1586" s="156" t="s">
        <v>887</v>
      </c>
      <c r="B1586" s="157" t="s">
        <v>888</v>
      </c>
      <c r="C1586" s="157">
        <v>2024</v>
      </c>
      <c r="D1586" s="158">
        <v>33</v>
      </c>
      <c r="E1586" s="158">
        <v>-24.533332999999999</v>
      </c>
      <c r="F1586" s="159">
        <v>7.2</v>
      </c>
      <c r="G1586" s="160">
        <v>1.1000000000000001</v>
      </c>
      <c r="H1586" s="161">
        <v>50</v>
      </c>
      <c r="I1586" s="161">
        <v>9</v>
      </c>
      <c r="J1586" s="161">
        <v>41</v>
      </c>
      <c r="K1586" s="160">
        <v>0.52</v>
      </c>
    </row>
    <row r="1587" spans="1:11" x14ac:dyDescent="0.3">
      <c r="A1587" s="156" t="s">
        <v>887</v>
      </c>
      <c r="B1587" s="157" t="s">
        <v>888</v>
      </c>
      <c r="C1587" s="157">
        <v>2024</v>
      </c>
      <c r="D1587" s="158">
        <v>33.183332999999998</v>
      </c>
      <c r="E1587" s="158">
        <v>-4.2166670000000002</v>
      </c>
      <c r="F1587" s="159">
        <v>5.9</v>
      </c>
      <c r="G1587" s="160">
        <v>19.3</v>
      </c>
      <c r="H1587" s="161">
        <v>74</v>
      </c>
      <c r="I1587" s="161">
        <v>7</v>
      </c>
      <c r="J1587" s="161">
        <v>33</v>
      </c>
      <c r="K1587" s="160">
        <v>0.15</v>
      </c>
    </row>
    <row r="1588" spans="1:11" x14ac:dyDescent="0.3">
      <c r="A1588" s="156" t="s">
        <v>887</v>
      </c>
      <c r="B1588" s="157" t="s">
        <v>888</v>
      </c>
      <c r="C1588" s="157">
        <v>2024</v>
      </c>
      <c r="D1588" s="158">
        <v>34.916666999999997</v>
      </c>
      <c r="E1588" s="158">
        <v>-0.66666700000000001</v>
      </c>
      <c r="F1588" s="159">
        <v>4.8</v>
      </c>
      <c r="G1588" s="160">
        <v>8.1999999999999993</v>
      </c>
      <c r="H1588" s="161">
        <v>3.4</v>
      </c>
      <c r="I1588" s="161">
        <v>54.4</v>
      </c>
      <c r="J1588" s="161">
        <v>42.2</v>
      </c>
      <c r="K1588" s="160">
        <v>2.69</v>
      </c>
    </row>
    <row r="1589" spans="1:11" x14ac:dyDescent="0.3">
      <c r="A1589" s="156" t="s">
        <v>887</v>
      </c>
      <c r="B1589" s="157" t="s">
        <v>888</v>
      </c>
      <c r="C1589" s="157">
        <v>2024</v>
      </c>
      <c r="D1589" s="158">
        <v>35.266666999999998</v>
      </c>
      <c r="E1589" s="158">
        <v>-13.3</v>
      </c>
      <c r="F1589" s="159">
        <v>5.5</v>
      </c>
      <c r="G1589" s="160">
        <v>1.4</v>
      </c>
      <c r="H1589" s="161">
        <v>37.299999999999997</v>
      </c>
      <c r="I1589" s="161">
        <v>40.299999999999997</v>
      </c>
      <c r="J1589" s="161">
        <v>22.3</v>
      </c>
      <c r="K1589" s="160">
        <v>0.04</v>
      </c>
    </row>
    <row r="1590" spans="1:11" x14ac:dyDescent="0.3">
      <c r="A1590" s="156" t="s">
        <v>887</v>
      </c>
      <c r="B1590" s="157" t="s">
        <v>888</v>
      </c>
      <c r="C1590" s="157">
        <v>2024</v>
      </c>
      <c r="D1590" s="158">
        <v>47.016666999999998</v>
      </c>
      <c r="E1590" s="158">
        <v>-19.850000000000001</v>
      </c>
      <c r="F1590" s="159">
        <v>5.0999999999999996</v>
      </c>
      <c r="G1590" s="160">
        <v>2.6</v>
      </c>
      <c r="H1590" s="161">
        <v>46</v>
      </c>
      <c r="I1590" s="161">
        <v>15</v>
      </c>
      <c r="J1590" s="161">
        <v>39</v>
      </c>
      <c r="K1590" s="160">
        <v>2.17</v>
      </c>
    </row>
    <row r="1591" spans="1:11" x14ac:dyDescent="0.3">
      <c r="A1591" s="156" t="s">
        <v>887</v>
      </c>
      <c r="B1591" s="157" t="s">
        <v>888</v>
      </c>
      <c r="C1591" s="157">
        <v>2024</v>
      </c>
      <c r="D1591" s="158">
        <v>83.466598510742202</v>
      </c>
      <c r="E1591" s="158">
        <v>27.700000762939499</v>
      </c>
      <c r="F1591" s="159">
        <v>5.6</v>
      </c>
      <c r="G1591" s="160">
        <v>2</v>
      </c>
      <c r="H1591" s="161">
        <v>14.2</v>
      </c>
      <c r="I1591" s="161">
        <v>42</v>
      </c>
      <c r="J1591" s="161">
        <v>14</v>
      </c>
      <c r="K1591" s="160">
        <v>0.27999999999999997</v>
      </c>
    </row>
    <row r="1592" spans="1:11" x14ac:dyDescent="0.3">
      <c r="A1592" s="156" t="s">
        <v>887</v>
      </c>
      <c r="B1592" s="157" t="s">
        <v>888</v>
      </c>
      <c r="C1592" s="157">
        <v>2024</v>
      </c>
      <c r="D1592" s="158">
        <v>106.3527756</v>
      </c>
      <c r="E1592" s="158">
        <v>-6.5222220000000002</v>
      </c>
      <c r="F1592" s="159">
        <v>4.8</v>
      </c>
      <c r="G1592" s="160">
        <v>10.050000000000001</v>
      </c>
      <c r="H1592" s="161">
        <v>7.4</v>
      </c>
      <c r="I1592" s="161">
        <v>29.9</v>
      </c>
      <c r="J1592" s="161">
        <v>62.7</v>
      </c>
      <c r="K1592" s="160">
        <v>1.23</v>
      </c>
    </row>
    <row r="1593" spans="1:11" x14ac:dyDescent="0.3">
      <c r="A1593" s="156" t="s">
        <v>887</v>
      </c>
      <c r="B1593" s="157" t="s">
        <v>888</v>
      </c>
      <c r="C1593" s="157">
        <v>2024</v>
      </c>
      <c r="D1593" s="158">
        <v>113.466666666667</v>
      </c>
      <c r="E1593" s="158">
        <v>23.216666666666701</v>
      </c>
      <c r="F1593" s="159">
        <v>5.2</v>
      </c>
      <c r="G1593" s="160">
        <v>2</v>
      </c>
      <c r="H1593" s="161">
        <v>43.1</v>
      </c>
      <c r="I1593" s="161">
        <v>14.6</v>
      </c>
      <c r="J1593" s="161">
        <v>39.1</v>
      </c>
      <c r="K1593" s="160">
        <v>0.19</v>
      </c>
    </row>
    <row r="1594" spans="1:11" x14ac:dyDescent="0.3">
      <c r="A1594" s="156" t="s">
        <v>887</v>
      </c>
      <c r="B1594" s="157" t="s">
        <v>888</v>
      </c>
      <c r="C1594" s="157">
        <v>2024</v>
      </c>
      <c r="D1594" s="158">
        <v>116.916666666667</v>
      </c>
      <c r="E1594" s="158">
        <v>28.216666666666701</v>
      </c>
      <c r="F1594" s="159">
        <v>4.4000000000000004</v>
      </c>
      <c r="G1594" s="160">
        <v>5.4</v>
      </c>
      <c r="H1594" s="161">
        <v>73</v>
      </c>
      <c r="I1594" s="161">
        <v>18</v>
      </c>
      <c r="J1594" s="161">
        <v>37</v>
      </c>
      <c r="K1594" s="160">
        <v>0.04</v>
      </c>
    </row>
    <row r="1595" spans="1:11" x14ac:dyDescent="0.3">
      <c r="A1595" s="156" t="s">
        <v>887</v>
      </c>
      <c r="B1595" s="157" t="s">
        <v>888</v>
      </c>
      <c r="C1595" s="157">
        <v>2024</v>
      </c>
      <c r="D1595" s="158">
        <v>145.36666666666699</v>
      </c>
      <c r="E1595" s="158">
        <v>-6.0333333333333297</v>
      </c>
      <c r="F1595" s="159">
        <v>4.5999999999999996</v>
      </c>
      <c r="G1595" s="160">
        <v>8.0500000000000007</v>
      </c>
      <c r="H1595" s="161">
        <v>1.4</v>
      </c>
      <c r="I1595" s="161">
        <v>84.1</v>
      </c>
      <c r="J1595" s="161">
        <v>1.2</v>
      </c>
      <c r="K1595" s="160">
        <v>0.48</v>
      </c>
    </row>
    <row r="1596" spans="1:11" x14ac:dyDescent="0.3">
      <c r="A1596" s="156" t="s">
        <v>887</v>
      </c>
      <c r="B1596" s="157" t="s">
        <v>888</v>
      </c>
      <c r="C1596" s="157">
        <v>2024</v>
      </c>
      <c r="D1596" s="158">
        <v>-150.5</v>
      </c>
      <c r="E1596" s="158">
        <v>65.666664100000006</v>
      </c>
      <c r="F1596" s="159">
        <v>5.0999999999999996</v>
      </c>
      <c r="G1596" s="160">
        <v>2.4500000000000002</v>
      </c>
      <c r="H1596" s="161">
        <v>19.5</v>
      </c>
      <c r="I1596" s="161">
        <v>62.4</v>
      </c>
      <c r="J1596" s="161">
        <v>7.8</v>
      </c>
      <c r="K1596" s="160">
        <v>8.6900000000000013</v>
      </c>
    </row>
    <row r="1597" spans="1:11" x14ac:dyDescent="0.3">
      <c r="A1597" s="156" t="s">
        <v>887</v>
      </c>
      <c r="B1597" s="157" t="s">
        <v>888</v>
      </c>
      <c r="C1597" s="157">
        <v>2024</v>
      </c>
      <c r="D1597" s="158">
        <v>-124.0849991</v>
      </c>
      <c r="E1597" s="158">
        <v>42.632221199999996</v>
      </c>
      <c r="F1597" s="159">
        <v>5.3</v>
      </c>
      <c r="G1597" s="160">
        <v>4.3499999999999996</v>
      </c>
      <c r="H1597" s="161">
        <v>39.6</v>
      </c>
      <c r="I1597" s="161">
        <v>30.6</v>
      </c>
      <c r="J1597" s="161">
        <v>29.8</v>
      </c>
      <c r="K1597" s="160">
        <v>3.7700000000000005</v>
      </c>
    </row>
    <row r="1598" spans="1:11" x14ac:dyDescent="0.3">
      <c r="A1598" s="156" t="s">
        <v>887</v>
      </c>
      <c r="B1598" s="157" t="s">
        <v>888</v>
      </c>
      <c r="C1598" s="157">
        <v>2024</v>
      </c>
      <c r="D1598" s="158">
        <v>-123.044998199999</v>
      </c>
      <c r="E1598" s="158">
        <v>44.527778599999998</v>
      </c>
      <c r="F1598" s="159">
        <v>5.5</v>
      </c>
      <c r="G1598" s="160">
        <v>22.95</v>
      </c>
      <c r="H1598" s="161">
        <v>2.9</v>
      </c>
      <c r="I1598" s="161">
        <v>65.900000000000006</v>
      </c>
      <c r="J1598" s="161">
        <v>21.8</v>
      </c>
      <c r="K1598" s="160">
        <v>0.3</v>
      </c>
    </row>
    <row r="1599" spans="1:11" x14ac:dyDescent="0.3">
      <c r="A1599" s="156" t="s">
        <v>887</v>
      </c>
      <c r="B1599" s="157" t="s">
        <v>888</v>
      </c>
      <c r="C1599" s="157">
        <v>2024</v>
      </c>
      <c r="D1599" s="158">
        <v>-108.2580566</v>
      </c>
      <c r="E1599" s="158">
        <v>38.3708344</v>
      </c>
      <c r="F1599" s="159">
        <v>5.3</v>
      </c>
      <c r="G1599" s="160">
        <v>9.1</v>
      </c>
      <c r="H1599" s="161">
        <v>47.5</v>
      </c>
      <c r="I1599" s="161">
        <v>37.799999999999997</v>
      </c>
      <c r="J1599" s="161">
        <v>13.2</v>
      </c>
      <c r="K1599" s="160">
        <v>1.33</v>
      </c>
    </row>
    <row r="1600" spans="1:11" x14ac:dyDescent="0.3">
      <c r="A1600" s="156" t="s">
        <v>887</v>
      </c>
      <c r="B1600" s="157" t="s">
        <v>888</v>
      </c>
      <c r="C1600" s="157">
        <v>2024</v>
      </c>
      <c r="D1600" s="158">
        <v>-106.7563858</v>
      </c>
      <c r="E1600" s="158">
        <v>40.836112999999997</v>
      </c>
      <c r="F1600" s="159">
        <v>5.2</v>
      </c>
      <c r="G1600" s="160">
        <v>5</v>
      </c>
      <c r="H1600" s="161">
        <v>60.1</v>
      </c>
      <c r="I1600" s="161">
        <v>27.5</v>
      </c>
      <c r="J1600" s="161">
        <v>11.6</v>
      </c>
      <c r="K1600" s="160">
        <v>0.25</v>
      </c>
    </row>
    <row r="1601" spans="1:11" x14ac:dyDescent="0.3">
      <c r="A1601" s="156" t="s">
        <v>887</v>
      </c>
      <c r="B1601" s="157" t="s">
        <v>888</v>
      </c>
      <c r="C1601" s="157">
        <v>2024</v>
      </c>
      <c r="D1601" s="158">
        <v>-96.529167200000003</v>
      </c>
      <c r="E1601" s="158">
        <v>35.480915099999997</v>
      </c>
      <c r="F1601" s="159">
        <v>5.5</v>
      </c>
      <c r="G1601" s="160">
        <v>5</v>
      </c>
      <c r="H1601" s="161">
        <v>64.7</v>
      </c>
      <c r="I1601" s="161">
        <v>26.5</v>
      </c>
      <c r="J1601" s="161">
        <v>12</v>
      </c>
      <c r="K1601" s="160">
        <v>0.95</v>
      </c>
    </row>
    <row r="1602" spans="1:11" x14ac:dyDescent="0.3">
      <c r="A1602" s="156" t="s">
        <v>887</v>
      </c>
      <c r="B1602" s="157" t="s">
        <v>888</v>
      </c>
      <c r="C1602" s="157">
        <v>2024</v>
      </c>
      <c r="D1602" s="158">
        <v>-94.584007299999996</v>
      </c>
      <c r="E1602" s="158">
        <v>36.560649900000001</v>
      </c>
      <c r="F1602" s="159">
        <v>4.5999999999999996</v>
      </c>
      <c r="G1602" s="160">
        <v>15</v>
      </c>
      <c r="H1602" s="161">
        <v>13.3</v>
      </c>
      <c r="I1602" s="161">
        <v>65.8</v>
      </c>
      <c r="J1602" s="161">
        <v>13.7</v>
      </c>
      <c r="K1602" s="160">
        <v>0.2</v>
      </c>
    </row>
    <row r="1603" spans="1:11" x14ac:dyDescent="0.3">
      <c r="A1603" s="156" t="s">
        <v>887</v>
      </c>
      <c r="B1603" s="157" t="s">
        <v>888</v>
      </c>
      <c r="C1603" s="157">
        <v>2024</v>
      </c>
      <c r="D1603" s="158">
        <v>-94.434633300000002</v>
      </c>
      <c r="E1603" s="158">
        <v>37.342413899999997</v>
      </c>
      <c r="F1603" s="159">
        <v>5.2</v>
      </c>
      <c r="G1603" s="160">
        <v>11</v>
      </c>
      <c r="H1603" s="161">
        <v>20.399999999999999</v>
      </c>
      <c r="I1603" s="161">
        <v>60.8</v>
      </c>
      <c r="J1603" s="161">
        <v>22.4</v>
      </c>
      <c r="K1603" s="160">
        <v>1.7</v>
      </c>
    </row>
    <row r="1604" spans="1:11" x14ac:dyDescent="0.3">
      <c r="A1604" s="156" t="s">
        <v>887</v>
      </c>
      <c r="B1604" s="157" t="s">
        <v>888</v>
      </c>
      <c r="C1604" s="157">
        <v>2024</v>
      </c>
      <c r="D1604" s="158">
        <v>-93.982922200000004</v>
      </c>
      <c r="E1604" s="158">
        <v>39.916247200000001</v>
      </c>
      <c r="F1604" s="159">
        <v>5.6</v>
      </c>
      <c r="G1604" s="160">
        <v>8</v>
      </c>
      <c r="H1604" s="161">
        <v>23.9</v>
      </c>
      <c r="I1604" s="161">
        <v>35.1</v>
      </c>
      <c r="J1604" s="161">
        <v>42</v>
      </c>
      <c r="K1604" s="160">
        <v>1.3</v>
      </c>
    </row>
    <row r="1605" spans="1:11" x14ac:dyDescent="0.3">
      <c r="A1605" s="156" t="s">
        <v>887</v>
      </c>
      <c r="B1605" s="157" t="s">
        <v>888</v>
      </c>
      <c r="C1605" s="157">
        <v>2024</v>
      </c>
      <c r="D1605" s="158">
        <v>-93.918208300000003</v>
      </c>
      <c r="E1605" s="158">
        <v>37.7270222</v>
      </c>
      <c r="F1605" s="159">
        <v>5.0999999999999996</v>
      </c>
      <c r="G1605" s="160">
        <v>15.8</v>
      </c>
      <c r="H1605" s="161">
        <v>5.2</v>
      </c>
      <c r="I1605" s="161">
        <v>32.799999999999997</v>
      </c>
      <c r="J1605" s="161">
        <v>62</v>
      </c>
      <c r="K1605" s="160">
        <v>0.6</v>
      </c>
    </row>
    <row r="1606" spans="1:11" x14ac:dyDescent="0.3">
      <c r="A1606" s="156" t="s">
        <v>887</v>
      </c>
      <c r="B1606" s="157" t="s">
        <v>888</v>
      </c>
      <c r="C1606" s="157">
        <v>2024</v>
      </c>
      <c r="D1606" s="158">
        <v>-93.509933500000002</v>
      </c>
      <c r="E1606" s="158">
        <v>41.0064049</v>
      </c>
      <c r="F1606" s="159">
        <v>7.5</v>
      </c>
      <c r="G1606" s="160">
        <v>16.149999999999999</v>
      </c>
      <c r="H1606" s="161">
        <v>57.5</v>
      </c>
      <c r="I1606" s="161">
        <v>22.8</v>
      </c>
      <c r="J1606" s="161">
        <v>22.3</v>
      </c>
      <c r="K1606" s="160">
        <v>0.11000000000000001</v>
      </c>
    </row>
    <row r="1607" spans="1:11" x14ac:dyDescent="0.3">
      <c r="A1607" s="156" t="s">
        <v>887</v>
      </c>
      <c r="B1607" s="157" t="s">
        <v>888</v>
      </c>
      <c r="C1607" s="157">
        <v>2024</v>
      </c>
      <c r="D1607" s="158">
        <v>-93.421305599999997</v>
      </c>
      <c r="E1607" s="158">
        <v>37.203791699999996</v>
      </c>
      <c r="F1607" s="159">
        <v>5.5</v>
      </c>
      <c r="G1607" s="160">
        <v>5</v>
      </c>
      <c r="H1607" s="161">
        <v>57.2</v>
      </c>
      <c r="I1607" s="161">
        <v>33.4</v>
      </c>
      <c r="J1607" s="161">
        <v>26.1</v>
      </c>
      <c r="K1607" s="160">
        <v>0.1</v>
      </c>
    </row>
    <row r="1608" spans="1:11" x14ac:dyDescent="0.3">
      <c r="A1608" s="156" t="s">
        <v>887</v>
      </c>
      <c r="B1608" s="157" t="s">
        <v>888</v>
      </c>
      <c r="C1608" s="157">
        <v>2024</v>
      </c>
      <c r="D1608" s="158">
        <v>-93.377777100000003</v>
      </c>
      <c r="E1608" s="158">
        <v>31.596666299999999</v>
      </c>
      <c r="F1608" s="159">
        <v>4.8</v>
      </c>
      <c r="G1608" s="160">
        <v>7.05</v>
      </c>
      <c r="H1608" s="161">
        <v>9.5</v>
      </c>
      <c r="I1608" s="161">
        <v>28.8</v>
      </c>
      <c r="J1608" s="161">
        <v>30.6</v>
      </c>
      <c r="K1608" s="160">
        <v>0.09</v>
      </c>
    </row>
    <row r="1609" spans="1:11" x14ac:dyDescent="0.3">
      <c r="A1609" s="156" t="s">
        <v>887</v>
      </c>
      <c r="B1609" s="157" t="s">
        <v>888</v>
      </c>
      <c r="C1609" s="157">
        <v>2024</v>
      </c>
      <c r="D1609" s="158">
        <v>-93.289177800000004</v>
      </c>
      <c r="E1609" s="158">
        <v>36.919758299999998</v>
      </c>
      <c r="F1609" s="159">
        <v>6</v>
      </c>
      <c r="G1609" s="160">
        <v>7.7</v>
      </c>
      <c r="H1609" s="161">
        <v>8.6</v>
      </c>
      <c r="I1609" s="161">
        <v>64.8</v>
      </c>
      <c r="J1609" s="161">
        <v>27.7</v>
      </c>
      <c r="K1609" s="160">
        <v>1.4</v>
      </c>
    </row>
    <row r="1610" spans="1:11" x14ac:dyDescent="0.3">
      <c r="A1610" s="156" t="s">
        <v>887</v>
      </c>
      <c r="B1610" s="157" t="s">
        <v>888</v>
      </c>
      <c r="C1610" s="157">
        <v>2024</v>
      </c>
      <c r="D1610" s="158">
        <v>-93.153610200000003</v>
      </c>
      <c r="E1610" s="158">
        <v>31.151945099999999</v>
      </c>
      <c r="F1610" s="159">
        <v>5.0999999999999996</v>
      </c>
      <c r="G1610" s="160">
        <v>30.7</v>
      </c>
      <c r="H1610" s="161">
        <v>9.8000000000000007</v>
      </c>
      <c r="I1610" s="161">
        <v>40.6</v>
      </c>
      <c r="J1610" s="161">
        <v>8.4</v>
      </c>
      <c r="K1610" s="160">
        <v>0.26</v>
      </c>
    </row>
    <row r="1611" spans="1:11" x14ac:dyDescent="0.3">
      <c r="A1611" s="156" t="s">
        <v>887</v>
      </c>
      <c r="B1611" s="157" t="s">
        <v>888</v>
      </c>
      <c r="C1611" s="157">
        <v>2024</v>
      </c>
      <c r="D1611" s="158">
        <v>-93.075721700000003</v>
      </c>
      <c r="E1611" s="158">
        <v>45.389362300000002</v>
      </c>
      <c r="F1611" s="159">
        <v>5.2</v>
      </c>
      <c r="G1611" s="160">
        <v>1.25</v>
      </c>
      <c r="H1611" s="161">
        <v>81.5</v>
      </c>
      <c r="I1611" s="161">
        <v>27.9</v>
      </c>
      <c r="J1611" s="161">
        <v>20.5</v>
      </c>
      <c r="K1611" s="160">
        <v>1.1499999999999999</v>
      </c>
    </row>
    <row r="1612" spans="1:11" x14ac:dyDescent="0.3">
      <c r="A1612" s="156" t="s">
        <v>887</v>
      </c>
      <c r="B1612" s="157" t="s">
        <v>888</v>
      </c>
      <c r="C1612" s="157">
        <v>2024</v>
      </c>
      <c r="D1612" s="158">
        <v>-92.345169067382798</v>
      </c>
      <c r="E1612" s="158">
        <v>38.967266082763601</v>
      </c>
      <c r="F1612" s="159">
        <v>4.8</v>
      </c>
      <c r="G1612" s="160">
        <v>8</v>
      </c>
      <c r="H1612" s="161">
        <v>0.8</v>
      </c>
      <c r="I1612" s="161">
        <v>66.7</v>
      </c>
      <c r="J1612" s="161">
        <v>29.2</v>
      </c>
      <c r="K1612" s="160">
        <v>1</v>
      </c>
    </row>
    <row r="1613" spans="1:11" x14ac:dyDescent="0.3">
      <c r="A1613" s="156" t="s">
        <v>887</v>
      </c>
      <c r="B1613" s="157" t="s">
        <v>888</v>
      </c>
      <c r="C1613" s="157">
        <v>2024</v>
      </c>
      <c r="D1613" s="158">
        <v>-92.344999999999999</v>
      </c>
      <c r="E1613" s="158">
        <v>38.967222200000002</v>
      </c>
      <c r="F1613" s="159">
        <v>5</v>
      </c>
      <c r="G1613" s="160">
        <v>4</v>
      </c>
      <c r="H1613" s="161">
        <v>30.9</v>
      </c>
      <c r="I1613" s="161">
        <v>50.1</v>
      </c>
      <c r="J1613" s="161">
        <v>5.3</v>
      </c>
      <c r="K1613" s="160">
        <v>0.2</v>
      </c>
    </row>
    <row r="1614" spans="1:11" x14ac:dyDescent="0.3">
      <c r="A1614" s="156" t="s">
        <v>887</v>
      </c>
      <c r="B1614" s="157" t="s">
        <v>888</v>
      </c>
      <c r="C1614" s="157">
        <v>2024</v>
      </c>
      <c r="D1614" s="158">
        <v>-92.232555399999995</v>
      </c>
      <c r="E1614" s="158">
        <v>38.3701145</v>
      </c>
      <c r="F1614" s="159">
        <v>5</v>
      </c>
      <c r="G1614" s="160">
        <v>2.9</v>
      </c>
      <c r="H1614" s="161">
        <v>10</v>
      </c>
      <c r="I1614" s="161">
        <v>61.4</v>
      </c>
      <c r="J1614" s="161">
        <v>29.9</v>
      </c>
      <c r="K1614" s="160">
        <v>0.2</v>
      </c>
    </row>
    <row r="1615" spans="1:11" x14ac:dyDescent="0.3">
      <c r="A1615" s="156" t="s">
        <v>887</v>
      </c>
      <c r="B1615" s="157" t="s">
        <v>888</v>
      </c>
      <c r="C1615" s="157">
        <v>2024</v>
      </c>
      <c r="D1615" s="158">
        <v>-92.216667200000003</v>
      </c>
      <c r="E1615" s="158">
        <v>38.900001500000002</v>
      </c>
      <c r="F1615" s="159">
        <v>5.2</v>
      </c>
      <c r="G1615" s="160">
        <v>18.75</v>
      </c>
      <c r="H1615" s="161">
        <v>7.1</v>
      </c>
      <c r="I1615" s="161">
        <v>49.5</v>
      </c>
      <c r="J1615" s="161">
        <v>34</v>
      </c>
      <c r="K1615" s="160">
        <v>1.08</v>
      </c>
    </row>
    <row r="1616" spans="1:11" x14ac:dyDescent="0.3">
      <c r="A1616" s="156" t="s">
        <v>887</v>
      </c>
      <c r="B1616" s="157" t="s">
        <v>888</v>
      </c>
      <c r="C1616" s="157">
        <v>2024</v>
      </c>
      <c r="D1616" s="158">
        <v>-92</v>
      </c>
      <c r="E1616" s="158">
        <v>36</v>
      </c>
      <c r="F1616" s="159">
        <v>4.4000000000000004</v>
      </c>
      <c r="G1616" s="160">
        <v>26.1</v>
      </c>
      <c r="H1616" s="161">
        <v>14.7</v>
      </c>
      <c r="I1616" s="161">
        <v>76.099999999999994</v>
      </c>
      <c r="J1616" s="161">
        <v>9.1999999999999993</v>
      </c>
      <c r="K1616" s="160">
        <v>0.1</v>
      </c>
    </row>
    <row r="1617" spans="1:11" x14ac:dyDescent="0.3">
      <c r="A1617" s="156" t="s">
        <v>887</v>
      </c>
      <c r="B1617" s="157" t="s">
        <v>888</v>
      </c>
      <c r="C1617" s="157">
        <v>2024</v>
      </c>
      <c r="D1617" s="158">
        <v>-91.844469399999994</v>
      </c>
      <c r="E1617" s="158">
        <v>36.538319399999999</v>
      </c>
      <c r="F1617" s="159">
        <v>4.5999999999999996</v>
      </c>
      <c r="G1617" s="160">
        <v>11.95</v>
      </c>
      <c r="H1617" s="161">
        <v>29.3</v>
      </c>
      <c r="I1617" s="161">
        <v>10.9</v>
      </c>
      <c r="J1617" s="161">
        <v>86.4</v>
      </c>
      <c r="K1617" s="160">
        <v>0.4</v>
      </c>
    </row>
    <row r="1618" spans="1:11" x14ac:dyDescent="0.3">
      <c r="A1618" s="156" t="s">
        <v>887</v>
      </c>
      <c r="B1618" s="157" t="s">
        <v>888</v>
      </c>
      <c r="C1618" s="157">
        <v>2024</v>
      </c>
      <c r="D1618" s="158">
        <v>-91.470832799999997</v>
      </c>
      <c r="E1618" s="158">
        <v>32.122501399999997</v>
      </c>
      <c r="F1618" s="159">
        <v>5.6</v>
      </c>
      <c r="G1618" s="160">
        <v>42.55</v>
      </c>
      <c r="H1618" s="161">
        <v>2</v>
      </c>
      <c r="I1618" s="161">
        <v>18.100000000000001</v>
      </c>
      <c r="J1618" s="161">
        <v>79.400000000000006</v>
      </c>
      <c r="K1618" s="160">
        <v>1</v>
      </c>
    </row>
    <row r="1619" spans="1:11" x14ac:dyDescent="0.3">
      <c r="A1619" s="156" t="s">
        <v>887</v>
      </c>
      <c r="B1619" s="157" t="s">
        <v>888</v>
      </c>
      <c r="C1619" s="157">
        <v>2024</v>
      </c>
      <c r="D1619" s="158">
        <v>-91.323661099999995</v>
      </c>
      <c r="E1619" s="158">
        <v>37.066944399999997</v>
      </c>
      <c r="F1619" s="159">
        <v>4.9000000000000004</v>
      </c>
      <c r="G1619" s="160">
        <v>4.9000000000000004</v>
      </c>
      <c r="H1619" s="161">
        <v>52.6</v>
      </c>
      <c r="I1619" s="161">
        <v>35.5</v>
      </c>
      <c r="J1619" s="161">
        <v>11.9</v>
      </c>
      <c r="K1619" s="160">
        <v>0.1</v>
      </c>
    </row>
    <row r="1620" spans="1:11" x14ac:dyDescent="0.3">
      <c r="A1620" s="156" t="s">
        <v>887</v>
      </c>
      <c r="B1620" s="157" t="s">
        <v>888</v>
      </c>
      <c r="C1620" s="157">
        <v>2024</v>
      </c>
      <c r="D1620" s="158">
        <v>-91.237719400000003</v>
      </c>
      <c r="E1620" s="158">
        <v>37.115036099999998</v>
      </c>
      <c r="F1620" s="159">
        <v>5</v>
      </c>
      <c r="G1620" s="160">
        <v>6</v>
      </c>
      <c r="H1620" s="161">
        <v>21.9</v>
      </c>
      <c r="I1620" s="161">
        <v>64.2</v>
      </c>
      <c r="J1620" s="161">
        <v>11.8</v>
      </c>
      <c r="K1620" s="160">
        <v>2.8</v>
      </c>
    </row>
    <row r="1621" spans="1:11" x14ac:dyDescent="0.3">
      <c r="A1621" s="156" t="s">
        <v>887</v>
      </c>
      <c r="B1621" s="157" t="s">
        <v>888</v>
      </c>
      <c r="C1621" s="157">
        <v>2024</v>
      </c>
      <c r="D1621" s="158">
        <v>-91.194999999999993</v>
      </c>
      <c r="E1621" s="158">
        <v>36.888111100000003</v>
      </c>
      <c r="F1621" s="159">
        <v>5.0999999999999996</v>
      </c>
      <c r="G1621" s="160">
        <v>2.9</v>
      </c>
      <c r="H1621" s="161">
        <v>38.4</v>
      </c>
      <c r="I1621" s="161">
        <v>44.4</v>
      </c>
      <c r="J1621" s="161">
        <v>26.6</v>
      </c>
      <c r="K1621" s="160">
        <v>0.6</v>
      </c>
    </row>
    <row r="1622" spans="1:11" x14ac:dyDescent="0.3">
      <c r="A1622" s="156" t="s">
        <v>887</v>
      </c>
      <c r="B1622" s="157" t="s">
        <v>888</v>
      </c>
      <c r="C1622" s="157">
        <v>2024</v>
      </c>
      <c r="D1622" s="158">
        <v>-91.187925100000001</v>
      </c>
      <c r="E1622" s="158">
        <v>37.898938399999999</v>
      </c>
      <c r="F1622" s="159">
        <v>4.7</v>
      </c>
      <c r="G1622" s="160">
        <v>23</v>
      </c>
      <c r="H1622" s="161">
        <v>31.2</v>
      </c>
      <c r="I1622" s="161">
        <v>19.899999999999999</v>
      </c>
      <c r="J1622" s="161">
        <v>61.2</v>
      </c>
      <c r="K1622" s="160">
        <v>0.3</v>
      </c>
    </row>
    <row r="1623" spans="1:11" x14ac:dyDescent="0.3">
      <c r="A1623" s="156" t="s">
        <v>887</v>
      </c>
      <c r="B1623" s="157" t="s">
        <v>888</v>
      </c>
      <c r="C1623" s="157">
        <v>2024</v>
      </c>
      <c r="D1623" s="158">
        <v>-91.140961099999998</v>
      </c>
      <c r="E1623" s="158">
        <v>37.173644400000001</v>
      </c>
      <c r="F1623" s="159">
        <v>4.9000000000000004</v>
      </c>
      <c r="G1623" s="160">
        <v>13</v>
      </c>
      <c r="H1623" s="161">
        <v>21.9</v>
      </c>
      <c r="I1623" s="161">
        <v>63.5</v>
      </c>
      <c r="J1623" s="161">
        <v>14</v>
      </c>
      <c r="K1623" s="160">
        <v>0.3</v>
      </c>
    </row>
    <row r="1624" spans="1:11" x14ac:dyDescent="0.3">
      <c r="A1624" s="156" t="s">
        <v>887</v>
      </c>
      <c r="B1624" s="157" t="s">
        <v>888</v>
      </c>
      <c r="C1624" s="157">
        <v>2024</v>
      </c>
      <c r="D1624" s="158">
        <v>-91.138741699999997</v>
      </c>
      <c r="E1624" s="158">
        <v>37.175033300000003</v>
      </c>
      <c r="F1624" s="159">
        <v>4.9000000000000004</v>
      </c>
      <c r="G1624" s="160">
        <v>6</v>
      </c>
      <c r="H1624" s="161">
        <v>17.600000000000001</v>
      </c>
      <c r="I1624" s="161">
        <v>61</v>
      </c>
      <c r="J1624" s="161">
        <v>22.2</v>
      </c>
      <c r="K1624" s="160">
        <v>0.1</v>
      </c>
    </row>
    <row r="1625" spans="1:11" x14ac:dyDescent="0.3">
      <c r="A1625" s="156" t="s">
        <v>887</v>
      </c>
      <c r="B1625" s="157" t="s">
        <v>888</v>
      </c>
      <c r="C1625" s="157">
        <v>2024</v>
      </c>
      <c r="D1625" s="158">
        <v>-91.100399999999993</v>
      </c>
      <c r="E1625" s="158">
        <v>37.133650000000003</v>
      </c>
      <c r="F1625" s="159">
        <v>4.9000000000000004</v>
      </c>
      <c r="G1625" s="160">
        <v>7</v>
      </c>
      <c r="H1625" s="161">
        <v>37.299999999999997</v>
      </c>
      <c r="I1625" s="161">
        <v>60.4</v>
      </c>
      <c r="J1625" s="161">
        <v>17.7</v>
      </c>
      <c r="K1625" s="160">
        <v>0.1</v>
      </c>
    </row>
    <row r="1626" spans="1:11" x14ac:dyDescent="0.3">
      <c r="A1626" s="156" t="s">
        <v>887</v>
      </c>
      <c r="B1626" s="157" t="s">
        <v>888</v>
      </c>
      <c r="C1626" s="157">
        <v>2024</v>
      </c>
      <c r="D1626" s="158">
        <v>-91.088772199999994</v>
      </c>
      <c r="E1626" s="158">
        <v>37.147955600000003</v>
      </c>
      <c r="F1626" s="159">
        <v>4.9000000000000004</v>
      </c>
      <c r="G1626" s="160">
        <v>4.3</v>
      </c>
      <c r="H1626" s="161">
        <v>22</v>
      </c>
      <c r="I1626" s="161">
        <v>11.6</v>
      </c>
      <c r="J1626" s="161">
        <v>86.2</v>
      </c>
      <c r="K1626" s="160">
        <v>1.8</v>
      </c>
    </row>
    <row r="1627" spans="1:11" x14ac:dyDescent="0.3">
      <c r="A1627" s="156" t="s">
        <v>887</v>
      </c>
      <c r="B1627" s="157" t="s">
        <v>888</v>
      </c>
      <c r="C1627" s="157">
        <v>2024</v>
      </c>
      <c r="D1627" s="158">
        <v>-90.916595999999998</v>
      </c>
      <c r="E1627" s="158">
        <v>37.8739457</v>
      </c>
      <c r="F1627" s="159">
        <v>4.5999999999999996</v>
      </c>
      <c r="G1627" s="160">
        <v>9</v>
      </c>
      <c r="H1627" s="161">
        <v>11.7</v>
      </c>
      <c r="I1627" s="161">
        <v>73.599999999999994</v>
      </c>
      <c r="J1627" s="161">
        <v>11.9</v>
      </c>
      <c r="K1627" s="160">
        <v>0.2</v>
      </c>
    </row>
    <row r="1628" spans="1:11" x14ac:dyDescent="0.3">
      <c r="A1628" s="156" t="s">
        <v>887</v>
      </c>
      <c r="B1628" s="157" t="s">
        <v>888</v>
      </c>
      <c r="C1628" s="157">
        <v>2024</v>
      </c>
      <c r="D1628" s="158">
        <v>-90.846778900000004</v>
      </c>
      <c r="E1628" s="158">
        <v>34.716785399999999</v>
      </c>
      <c r="F1628" s="159">
        <v>6.1</v>
      </c>
      <c r="G1628" s="160">
        <v>13.8</v>
      </c>
      <c r="H1628" s="161">
        <v>0.4</v>
      </c>
      <c r="I1628" s="161">
        <v>83.7</v>
      </c>
      <c r="J1628" s="161">
        <v>15.7</v>
      </c>
      <c r="K1628" s="160">
        <v>0.06</v>
      </c>
    </row>
    <row r="1629" spans="1:11" x14ac:dyDescent="0.3">
      <c r="A1629" s="156" t="s">
        <v>887</v>
      </c>
      <c r="B1629" s="157" t="s">
        <v>888</v>
      </c>
      <c r="C1629" s="157">
        <v>2024</v>
      </c>
      <c r="D1629" s="158">
        <v>-90.821777299999994</v>
      </c>
      <c r="E1629" s="158">
        <v>34.732620199999999</v>
      </c>
      <c r="F1629" s="159">
        <v>7.4</v>
      </c>
      <c r="G1629" s="160">
        <v>1.55</v>
      </c>
      <c r="H1629" s="161">
        <v>2.5</v>
      </c>
      <c r="I1629" s="161">
        <v>74.400000000000006</v>
      </c>
      <c r="J1629" s="161">
        <v>34</v>
      </c>
      <c r="K1629" s="160">
        <v>0.04</v>
      </c>
    </row>
    <row r="1630" spans="1:11" x14ac:dyDescent="0.3">
      <c r="A1630" s="156" t="s">
        <v>887</v>
      </c>
      <c r="B1630" s="157" t="s">
        <v>888</v>
      </c>
      <c r="C1630" s="157">
        <v>2024</v>
      </c>
      <c r="D1630" s="158">
        <v>-90.300003099999998</v>
      </c>
      <c r="E1630" s="158">
        <v>14.199999800000001</v>
      </c>
      <c r="F1630" s="159">
        <v>5.5</v>
      </c>
      <c r="G1630" s="160">
        <v>31.8</v>
      </c>
      <c r="H1630" s="161">
        <v>53</v>
      </c>
      <c r="I1630" s="161">
        <v>29</v>
      </c>
      <c r="J1630" s="161">
        <v>18</v>
      </c>
      <c r="K1630" s="160">
        <v>0.4</v>
      </c>
    </row>
    <row r="1631" spans="1:11" x14ac:dyDescent="0.3">
      <c r="A1631" s="156" t="s">
        <v>887</v>
      </c>
      <c r="B1631" s="157" t="s">
        <v>888</v>
      </c>
      <c r="C1631" s="157">
        <v>2024</v>
      </c>
      <c r="D1631" s="158">
        <v>-90.285100299999996</v>
      </c>
      <c r="E1631" s="158">
        <v>38.1003349</v>
      </c>
      <c r="F1631" s="159">
        <v>4.8</v>
      </c>
      <c r="G1631" s="160">
        <v>8.5</v>
      </c>
      <c r="H1631" s="161">
        <v>3.9</v>
      </c>
      <c r="I1631" s="161">
        <v>42</v>
      </c>
      <c r="J1631" s="161">
        <v>53</v>
      </c>
      <c r="K1631" s="160">
        <v>0.3</v>
      </c>
    </row>
    <row r="1632" spans="1:11" x14ac:dyDescent="0.3">
      <c r="A1632" s="156" t="s">
        <v>887</v>
      </c>
      <c r="B1632" s="157" t="s">
        <v>888</v>
      </c>
      <c r="C1632" s="157">
        <v>2024</v>
      </c>
      <c r="D1632" s="158">
        <v>-90.159332300000003</v>
      </c>
      <c r="E1632" s="158">
        <v>37.564666699999997</v>
      </c>
      <c r="F1632" s="159">
        <v>5.3</v>
      </c>
      <c r="G1632" s="160">
        <v>11</v>
      </c>
      <c r="H1632" s="161">
        <v>7.1</v>
      </c>
      <c r="I1632" s="161">
        <v>56.4</v>
      </c>
      <c r="J1632" s="161">
        <v>21</v>
      </c>
      <c r="K1632" s="160">
        <v>0.3</v>
      </c>
    </row>
    <row r="1633" spans="1:11" x14ac:dyDescent="0.3">
      <c r="A1633" s="156" t="s">
        <v>887</v>
      </c>
      <c r="B1633" s="157" t="s">
        <v>888</v>
      </c>
      <c r="C1633" s="157">
        <v>2024</v>
      </c>
      <c r="D1633" s="158">
        <v>-90.128227199999998</v>
      </c>
      <c r="E1633" s="158">
        <v>37.420803100000001</v>
      </c>
      <c r="F1633" s="159">
        <v>4.8</v>
      </c>
      <c r="G1633" s="160">
        <v>3</v>
      </c>
      <c r="H1633" s="161">
        <v>17.2</v>
      </c>
      <c r="I1633" s="161">
        <v>49.4</v>
      </c>
      <c r="J1633" s="161">
        <v>37.1</v>
      </c>
      <c r="K1633" s="160">
        <v>0.1</v>
      </c>
    </row>
    <row r="1634" spans="1:11" x14ac:dyDescent="0.3">
      <c r="A1634" s="156" t="s">
        <v>887</v>
      </c>
      <c r="B1634" s="157" t="s">
        <v>888</v>
      </c>
      <c r="C1634" s="157">
        <v>2024</v>
      </c>
      <c r="D1634" s="158">
        <v>-89.860000600000006</v>
      </c>
      <c r="E1634" s="158">
        <v>45.552501700000001</v>
      </c>
      <c r="F1634" s="159">
        <v>5</v>
      </c>
      <c r="G1634" s="160">
        <v>8.4</v>
      </c>
      <c r="H1634" s="161">
        <v>71.099999999999994</v>
      </c>
      <c r="I1634" s="161">
        <v>23.5</v>
      </c>
      <c r="J1634" s="161">
        <v>4</v>
      </c>
      <c r="K1634" s="160">
        <v>0.04</v>
      </c>
    </row>
    <row r="1635" spans="1:11" x14ac:dyDescent="0.3">
      <c r="A1635" s="156" t="s">
        <v>887</v>
      </c>
      <c r="B1635" s="157" t="s">
        <v>888</v>
      </c>
      <c r="C1635" s="157">
        <v>2024</v>
      </c>
      <c r="D1635" s="158">
        <v>-88.586387599999995</v>
      </c>
      <c r="E1635" s="158">
        <v>45.794998200000002</v>
      </c>
      <c r="F1635" s="159">
        <v>5</v>
      </c>
      <c r="G1635" s="160">
        <v>2.1</v>
      </c>
      <c r="H1635" s="161">
        <v>23</v>
      </c>
      <c r="I1635" s="161">
        <v>70.900000000000006</v>
      </c>
      <c r="J1635" s="161">
        <v>4</v>
      </c>
      <c r="K1635" s="160">
        <v>1.56</v>
      </c>
    </row>
    <row r="1636" spans="1:11" x14ac:dyDescent="0.3">
      <c r="A1636" s="156" t="s">
        <v>887</v>
      </c>
      <c r="B1636" s="157" t="s">
        <v>888</v>
      </c>
      <c r="C1636" s="157">
        <v>2024</v>
      </c>
      <c r="D1636" s="158">
        <v>-88.571716300000006</v>
      </c>
      <c r="E1636" s="158">
        <v>47.042221099999999</v>
      </c>
      <c r="F1636" s="159">
        <v>5.7</v>
      </c>
      <c r="G1636" s="160">
        <v>1.3</v>
      </c>
      <c r="H1636" s="161">
        <v>85.8</v>
      </c>
      <c r="I1636" s="161">
        <v>22.1</v>
      </c>
      <c r="J1636" s="161">
        <v>9</v>
      </c>
      <c r="K1636" s="160">
        <v>0.03</v>
      </c>
    </row>
    <row r="1637" spans="1:11" x14ac:dyDescent="0.3">
      <c r="A1637" s="156" t="s">
        <v>887</v>
      </c>
      <c r="B1637" s="157" t="s">
        <v>888</v>
      </c>
      <c r="C1637" s="157">
        <v>2024</v>
      </c>
      <c r="D1637" s="158">
        <v>-85.797729500000003</v>
      </c>
      <c r="E1637" s="158">
        <v>46.186943100000001</v>
      </c>
      <c r="F1637" s="159">
        <v>5.6</v>
      </c>
      <c r="G1637" s="160">
        <v>7.2</v>
      </c>
      <c r="H1637" s="161">
        <v>69.599999999999994</v>
      </c>
      <c r="I1637" s="161">
        <v>15.9</v>
      </c>
      <c r="J1637" s="161">
        <v>14.5</v>
      </c>
      <c r="K1637" s="160">
        <v>0.5</v>
      </c>
    </row>
    <row r="1638" spans="1:11" x14ac:dyDescent="0.3">
      <c r="A1638" s="156" t="s">
        <v>887</v>
      </c>
      <c r="B1638" s="157" t="s">
        <v>888</v>
      </c>
      <c r="C1638" s="157">
        <v>2024</v>
      </c>
      <c r="D1638" s="158">
        <v>-85.694953900000002</v>
      </c>
      <c r="E1638" s="158">
        <v>42.709453600000003</v>
      </c>
      <c r="F1638" s="159">
        <v>5.9</v>
      </c>
      <c r="G1638" s="160">
        <v>0.5</v>
      </c>
      <c r="H1638" s="161">
        <v>98.4</v>
      </c>
      <c r="I1638" s="161">
        <v>1.6</v>
      </c>
      <c r="J1638" s="161">
        <v>0</v>
      </c>
      <c r="K1638" s="160">
        <v>0.24</v>
      </c>
    </row>
    <row r="1639" spans="1:11" x14ac:dyDescent="0.3">
      <c r="A1639" s="156" t="s">
        <v>887</v>
      </c>
      <c r="B1639" s="157" t="s">
        <v>888</v>
      </c>
      <c r="C1639" s="157">
        <v>2024</v>
      </c>
      <c r="D1639" s="158">
        <v>-84.403053299999996</v>
      </c>
      <c r="E1639" s="158">
        <v>36.617778800000004</v>
      </c>
      <c r="F1639" s="159">
        <v>4.7</v>
      </c>
      <c r="G1639" s="160">
        <v>10.1</v>
      </c>
      <c r="H1639" s="161">
        <v>9.1999999999999993</v>
      </c>
      <c r="I1639" s="161">
        <v>48.2</v>
      </c>
      <c r="J1639" s="161">
        <v>44.5</v>
      </c>
      <c r="K1639" s="160">
        <v>0.1</v>
      </c>
    </row>
    <row r="1640" spans="1:11" x14ac:dyDescent="0.3">
      <c r="A1640" s="156" t="s">
        <v>887</v>
      </c>
      <c r="B1640" s="157" t="s">
        <v>888</v>
      </c>
      <c r="C1640" s="157">
        <v>2024</v>
      </c>
      <c r="D1640" s="158">
        <v>-84.398612999999997</v>
      </c>
      <c r="E1640" s="158">
        <v>32.0208321</v>
      </c>
      <c r="F1640" s="159">
        <v>5.5</v>
      </c>
      <c r="G1640" s="160">
        <v>2.1</v>
      </c>
      <c r="H1640" s="161">
        <v>59.7</v>
      </c>
      <c r="I1640" s="161">
        <v>9.6999999999999993</v>
      </c>
      <c r="J1640" s="161">
        <v>51.7</v>
      </c>
      <c r="K1640" s="160">
        <v>1.1499999999999999</v>
      </c>
    </row>
    <row r="1641" spans="1:11" x14ac:dyDescent="0.3">
      <c r="A1641" s="156" t="s">
        <v>887</v>
      </c>
      <c r="B1641" s="157" t="s">
        <v>888</v>
      </c>
      <c r="C1641" s="157">
        <v>2024</v>
      </c>
      <c r="D1641" s="158">
        <v>-83.683334400000007</v>
      </c>
      <c r="E1641" s="158">
        <v>9.8999995999999992</v>
      </c>
      <c r="F1641" s="159">
        <v>5.0999999999999996</v>
      </c>
      <c r="G1641" s="160">
        <v>4</v>
      </c>
      <c r="H1641" s="161">
        <v>11</v>
      </c>
      <c r="I1641" s="161">
        <v>41</v>
      </c>
      <c r="J1641" s="161">
        <v>48</v>
      </c>
      <c r="K1641" s="160">
        <v>3.2700000000000005</v>
      </c>
    </row>
    <row r="1642" spans="1:11" x14ac:dyDescent="0.3">
      <c r="A1642" s="156" t="s">
        <v>887</v>
      </c>
      <c r="B1642" s="157" t="s">
        <v>888</v>
      </c>
      <c r="C1642" s="157">
        <v>2024</v>
      </c>
      <c r="D1642" s="158">
        <v>-83.309440600000002</v>
      </c>
      <c r="E1642" s="158">
        <v>29.887500800000002</v>
      </c>
      <c r="F1642" s="159">
        <v>4.2</v>
      </c>
      <c r="G1642" s="160">
        <v>0.4</v>
      </c>
      <c r="H1642" s="161">
        <v>84.4</v>
      </c>
      <c r="I1642" s="161">
        <v>8.4</v>
      </c>
      <c r="J1642" s="161">
        <v>29.8</v>
      </c>
      <c r="K1642" s="160">
        <v>5.4399999999999995</v>
      </c>
    </row>
    <row r="1643" spans="1:11" x14ac:dyDescent="0.3">
      <c r="A1643" s="156" t="s">
        <v>887</v>
      </c>
      <c r="B1643" s="157" t="s">
        <v>888</v>
      </c>
      <c r="C1643" s="157">
        <v>2024</v>
      </c>
      <c r="D1643" s="158">
        <v>-82.097503700000004</v>
      </c>
      <c r="E1643" s="158">
        <v>35.940277100000003</v>
      </c>
      <c r="F1643" s="159">
        <v>4.8</v>
      </c>
      <c r="G1643" s="160">
        <v>1.2</v>
      </c>
      <c r="H1643" s="161">
        <v>71.3</v>
      </c>
      <c r="I1643" s="161">
        <v>32.9</v>
      </c>
      <c r="J1643" s="161">
        <v>7.9</v>
      </c>
      <c r="K1643" s="160">
        <v>0.04</v>
      </c>
    </row>
    <row r="1644" spans="1:11" x14ac:dyDescent="0.3">
      <c r="A1644" s="156" t="s">
        <v>887</v>
      </c>
      <c r="B1644" s="157" t="s">
        <v>888</v>
      </c>
      <c r="C1644" s="157">
        <v>2024</v>
      </c>
      <c r="D1644" s="158">
        <v>-79.749771100000004</v>
      </c>
      <c r="E1644" s="158">
        <v>36.333416</v>
      </c>
      <c r="F1644" s="159">
        <v>4.7</v>
      </c>
      <c r="G1644" s="160">
        <v>4.3499999999999996</v>
      </c>
      <c r="H1644" s="161">
        <v>32</v>
      </c>
      <c r="I1644" s="161">
        <v>22.5</v>
      </c>
      <c r="J1644" s="161">
        <v>15.9</v>
      </c>
      <c r="K1644" s="160">
        <v>0.26</v>
      </c>
    </row>
    <row r="1645" spans="1:11" x14ac:dyDescent="0.3">
      <c r="A1645" s="156" t="s">
        <v>887</v>
      </c>
      <c r="B1645" s="157" t="s">
        <v>888</v>
      </c>
      <c r="C1645" s="157">
        <v>2024</v>
      </c>
      <c r="D1645" s="158">
        <v>-78.5625</v>
      </c>
      <c r="E1645" s="158">
        <v>-0.33750000000000002</v>
      </c>
      <c r="F1645" s="159">
        <v>5.4</v>
      </c>
      <c r="G1645" s="160">
        <v>12</v>
      </c>
      <c r="H1645" s="161">
        <v>40</v>
      </c>
      <c r="I1645" s="161">
        <v>40</v>
      </c>
      <c r="J1645" s="161">
        <v>12.9</v>
      </c>
      <c r="K1645" s="160">
        <v>3.9</v>
      </c>
    </row>
    <row r="1646" spans="1:11" x14ac:dyDescent="0.3">
      <c r="A1646" s="156" t="s">
        <v>887</v>
      </c>
      <c r="B1646" s="157" t="s">
        <v>888</v>
      </c>
      <c r="C1646" s="157">
        <v>2024</v>
      </c>
      <c r="D1646" s="158">
        <v>-77.447222222222194</v>
      </c>
      <c r="E1646" s="158">
        <v>18.063333333333301</v>
      </c>
      <c r="F1646" s="159">
        <v>5.7</v>
      </c>
      <c r="G1646" s="160">
        <v>0.5</v>
      </c>
      <c r="H1646" s="161">
        <v>1</v>
      </c>
      <c r="I1646" s="161">
        <v>47</v>
      </c>
      <c r="J1646" s="161">
        <v>42.1</v>
      </c>
      <c r="K1646" s="160">
        <v>6.9999999999999993E-2</v>
      </c>
    </row>
    <row r="1647" spans="1:11" x14ac:dyDescent="0.3">
      <c r="A1647" s="156" t="s">
        <v>887</v>
      </c>
      <c r="B1647" s="157" t="s">
        <v>888</v>
      </c>
      <c r="C1647" s="157">
        <v>2024</v>
      </c>
      <c r="D1647" s="158">
        <v>-77.220833299999995</v>
      </c>
      <c r="E1647" s="158">
        <v>40.882222200000001</v>
      </c>
      <c r="F1647" s="159">
        <v>4.5</v>
      </c>
      <c r="G1647" s="160">
        <v>6</v>
      </c>
      <c r="H1647" s="161">
        <v>31.2</v>
      </c>
      <c r="I1647" s="161">
        <v>49.8</v>
      </c>
      <c r="J1647" s="161">
        <v>8.8000000000000007</v>
      </c>
      <c r="K1647" s="160">
        <v>0.42000000000000004</v>
      </c>
    </row>
    <row r="1648" spans="1:11" x14ac:dyDescent="0.3">
      <c r="A1648" s="156" t="s">
        <v>887</v>
      </c>
      <c r="B1648" s="157" t="s">
        <v>888</v>
      </c>
      <c r="C1648" s="157">
        <v>2024</v>
      </c>
      <c r="D1648" s="158">
        <v>-75.565559399999998</v>
      </c>
      <c r="E1648" s="158">
        <v>39.378334000000002</v>
      </c>
      <c r="F1648" s="159">
        <v>4.4000000000000004</v>
      </c>
      <c r="G1648" s="160">
        <v>9</v>
      </c>
      <c r="H1648" s="161">
        <v>8.3000000000000007</v>
      </c>
      <c r="I1648" s="161">
        <v>62.7</v>
      </c>
      <c r="J1648" s="161">
        <v>28.7</v>
      </c>
      <c r="K1648" s="160">
        <v>0.13</v>
      </c>
    </row>
    <row r="1649" spans="1:11" x14ac:dyDescent="0.3">
      <c r="A1649" s="156" t="s">
        <v>887</v>
      </c>
      <c r="B1649" s="157" t="s">
        <v>888</v>
      </c>
      <c r="C1649" s="157">
        <v>2024</v>
      </c>
      <c r="D1649" s="158">
        <v>-74.6022186</v>
      </c>
      <c r="E1649" s="158">
        <v>39.540279400000003</v>
      </c>
      <c r="F1649" s="159">
        <v>5.5</v>
      </c>
      <c r="G1649" s="160">
        <v>0.8</v>
      </c>
      <c r="H1649" s="161">
        <v>76</v>
      </c>
      <c r="I1649" s="161">
        <v>4.2</v>
      </c>
      <c r="J1649" s="161">
        <v>13.8</v>
      </c>
      <c r="K1649" s="160">
        <v>0.04</v>
      </c>
    </row>
    <row r="1650" spans="1:11" x14ac:dyDescent="0.3">
      <c r="A1650" s="156" t="s">
        <v>887</v>
      </c>
      <c r="B1650" s="157" t="s">
        <v>888</v>
      </c>
      <c r="C1650" s="157">
        <v>2024</v>
      </c>
      <c r="D1650" s="158">
        <v>-72.751388500000004</v>
      </c>
      <c r="E1650" s="158">
        <v>44.271388999999999</v>
      </c>
      <c r="F1650" s="159">
        <v>3.7</v>
      </c>
      <c r="G1650" s="160">
        <v>4.2</v>
      </c>
      <c r="H1650" s="161">
        <v>72.400000000000006</v>
      </c>
      <c r="I1650" s="161">
        <v>55.2</v>
      </c>
      <c r="J1650" s="161">
        <v>6.6</v>
      </c>
      <c r="K1650" s="160">
        <v>0.16999999999999998</v>
      </c>
    </row>
    <row r="1651" spans="1:11" x14ac:dyDescent="0.3">
      <c r="A1651" s="156" t="s">
        <v>887</v>
      </c>
      <c r="B1651" s="157" t="s">
        <v>888</v>
      </c>
      <c r="C1651" s="157">
        <v>2024</v>
      </c>
      <c r="D1651" s="158">
        <v>-72.739997900000006</v>
      </c>
      <c r="E1651" s="158">
        <v>41.503334000000002</v>
      </c>
      <c r="F1651" s="159">
        <v>6.4</v>
      </c>
      <c r="G1651" s="160">
        <v>6.25</v>
      </c>
      <c r="H1651" s="161">
        <v>40.1</v>
      </c>
      <c r="I1651" s="161">
        <v>42</v>
      </c>
      <c r="J1651" s="161">
        <v>3.5</v>
      </c>
      <c r="K1651" s="160">
        <v>0.03</v>
      </c>
    </row>
    <row r="1652" spans="1:11" x14ac:dyDescent="0.3">
      <c r="A1652" s="156" t="s">
        <v>887</v>
      </c>
      <c r="B1652" s="157" t="s">
        <v>888</v>
      </c>
      <c r="C1652" s="157">
        <v>2024</v>
      </c>
      <c r="D1652" s="158">
        <v>-72.511459350585895</v>
      </c>
      <c r="E1652" s="158">
        <v>41.416099548339801</v>
      </c>
      <c r="F1652" s="159">
        <v>4.5</v>
      </c>
      <c r="G1652" s="160">
        <v>2.2000000000000002</v>
      </c>
      <c r="H1652" s="161">
        <v>74.900000000000006</v>
      </c>
      <c r="I1652" s="161">
        <v>23.6</v>
      </c>
      <c r="J1652" s="161">
        <v>11.3</v>
      </c>
      <c r="K1652" s="160">
        <v>0.13999999999999999</v>
      </c>
    </row>
    <row r="1653" spans="1:11" x14ac:dyDescent="0.3">
      <c r="A1653" s="156" t="s">
        <v>887</v>
      </c>
      <c r="B1653" s="157" t="s">
        <v>888</v>
      </c>
      <c r="C1653" s="157">
        <v>2024</v>
      </c>
      <c r="D1653" s="158">
        <v>-71.592224099999996</v>
      </c>
      <c r="E1653" s="158">
        <v>42.851665500000003</v>
      </c>
      <c r="F1653" s="159">
        <v>5.0999999999999996</v>
      </c>
      <c r="G1653" s="160">
        <v>1.85</v>
      </c>
      <c r="H1653" s="161">
        <v>81</v>
      </c>
      <c r="I1653" s="161">
        <v>4</v>
      </c>
      <c r="J1653" s="161">
        <v>0.4</v>
      </c>
      <c r="K1653" s="160">
        <v>3.8149999999999999</v>
      </c>
    </row>
    <row r="1654" spans="1:11" x14ac:dyDescent="0.3">
      <c r="A1654" s="156" t="s">
        <v>887</v>
      </c>
      <c r="B1654" s="157" t="s">
        <v>888</v>
      </c>
      <c r="C1654" s="157">
        <v>2024</v>
      </c>
      <c r="D1654" s="158">
        <v>-66.933334400000007</v>
      </c>
      <c r="E1654" s="158">
        <v>1.7166667</v>
      </c>
      <c r="F1654" s="159">
        <v>3.9</v>
      </c>
      <c r="G1654" s="160">
        <v>0.4</v>
      </c>
      <c r="H1654" s="161">
        <v>94.7</v>
      </c>
      <c r="I1654" s="161">
        <v>5.3</v>
      </c>
      <c r="J1654" s="161">
        <v>0</v>
      </c>
      <c r="K1654" s="160">
        <v>5.35</v>
      </c>
    </row>
    <row r="1655" spans="1:11" x14ac:dyDescent="0.3">
      <c r="A1655" s="156" t="s">
        <v>887</v>
      </c>
      <c r="B1655" s="157" t="s">
        <v>888</v>
      </c>
      <c r="C1655" s="157">
        <v>2024</v>
      </c>
      <c r="D1655" s="158">
        <v>-58.3</v>
      </c>
      <c r="E1655" s="158">
        <v>-2.5</v>
      </c>
      <c r="F1655" s="159">
        <v>3.5</v>
      </c>
      <c r="G1655" s="160">
        <v>4.4000000000000004</v>
      </c>
      <c r="H1655" s="161">
        <v>45.9</v>
      </c>
      <c r="I1655" s="161">
        <v>4.5999999999999996</v>
      </c>
      <c r="J1655" s="161">
        <v>49.5</v>
      </c>
      <c r="K1655" s="160">
        <v>1.92</v>
      </c>
    </row>
    <row r="1656" spans="1:11" x14ac:dyDescent="0.3">
      <c r="A1656" s="156" t="s">
        <v>887</v>
      </c>
      <c r="B1656" s="157" t="s">
        <v>888</v>
      </c>
      <c r="C1656" s="157">
        <v>2024</v>
      </c>
      <c r="D1656" s="158">
        <v>-12.083333</v>
      </c>
      <c r="E1656" s="158">
        <v>8.9</v>
      </c>
      <c r="F1656" s="159">
        <v>4.8</v>
      </c>
      <c r="G1656" s="160">
        <v>2.2000000000000002</v>
      </c>
      <c r="H1656" s="161">
        <v>81</v>
      </c>
      <c r="I1656" s="161">
        <v>10</v>
      </c>
      <c r="J1656" s="161">
        <v>31</v>
      </c>
      <c r="K1656" s="160">
        <v>0.43</v>
      </c>
    </row>
    <row r="1657" spans="1:11" x14ac:dyDescent="0.3">
      <c r="A1657" s="156" t="s">
        <v>887</v>
      </c>
      <c r="B1657" s="157" t="s">
        <v>888</v>
      </c>
      <c r="C1657" s="157">
        <v>2024</v>
      </c>
      <c r="D1657" s="158">
        <v>2.0833330000000001</v>
      </c>
      <c r="E1657" s="158">
        <v>13.533333000000001</v>
      </c>
      <c r="F1657" s="159">
        <v>4.5</v>
      </c>
      <c r="G1657" s="160">
        <v>0.8</v>
      </c>
      <c r="H1657" s="161">
        <v>74.3</v>
      </c>
      <c r="I1657" s="161">
        <v>24.1</v>
      </c>
      <c r="J1657" s="161">
        <v>53</v>
      </c>
      <c r="K1657" s="160">
        <v>6.9999999999999993E-2</v>
      </c>
    </row>
    <row r="1658" spans="1:11" x14ac:dyDescent="0.3">
      <c r="A1658" s="156" t="s">
        <v>887</v>
      </c>
      <c r="B1658" s="157" t="s">
        <v>888</v>
      </c>
      <c r="C1658" s="157">
        <v>2024</v>
      </c>
      <c r="D1658" s="158">
        <v>2.4058999999999999</v>
      </c>
      <c r="E1658" s="158">
        <v>7.1573000000000002</v>
      </c>
      <c r="F1658" s="159">
        <v>8.3000000000000007</v>
      </c>
      <c r="G1658" s="160">
        <v>9.1</v>
      </c>
      <c r="H1658" s="161">
        <v>74</v>
      </c>
      <c r="I1658" s="161">
        <v>15</v>
      </c>
      <c r="J1658" s="161">
        <v>11</v>
      </c>
      <c r="K1658" s="160">
        <v>0.2</v>
      </c>
    </row>
    <row r="1659" spans="1:11" x14ac:dyDescent="0.3">
      <c r="A1659" s="156" t="s">
        <v>887</v>
      </c>
      <c r="B1659" s="157" t="s">
        <v>888</v>
      </c>
      <c r="C1659" s="157">
        <v>2024</v>
      </c>
      <c r="D1659" s="158">
        <v>6.6361109999999996</v>
      </c>
      <c r="E1659" s="158">
        <v>5.3102780000000003</v>
      </c>
      <c r="F1659" s="159">
        <v>5.4</v>
      </c>
      <c r="G1659" s="160">
        <v>1.7</v>
      </c>
      <c r="H1659" s="161">
        <v>74.8</v>
      </c>
      <c r="I1659" s="161">
        <v>8.3000000000000007</v>
      </c>
      <c r="J1659" s="161">
        <v>28.5</v>
      </c>
      <c r="K1659" s="160">
        <v>0.52</v>
      </c>
    </row>
    <row r="1660" spans="1:11" x14ac:dyDescent="0.3">
      <c r="A1660" s="156" t="s">
        <v>887</v>
      </c>
      <c r="B1660" s="157" t="s">
        <v>888</v>
      </c>
      <c r="C1660" s="157">
        <v>2024</v>
      </c>
      <c r="D1660" s="158">
        <v>24.731445300000001</v>
      </c>
      <c r="E1660" s="158">
        <v>43.391887699999998</v>
      </c>
      <c r="F1660" s="159">
        <v>7.9</v>
      </c>
      <c r="G1660" s="160">
        <v>52.3</v>
      </c>
      <c r="H1660" s="161">
        <v>4.0999999999999996</v>
      </c>
      <c r="I1660" s="161">
        <v>60</v>
      </c>
      <c r="J1660" s="161">
        <v>33</v>
      </c>
      <c r="K1660" s="160">
        <v>0.7</v>
      </c>
    </row>
    <row r="1661" spans="1:11" x14ac:dyDescent="0.3">
      <c r="A1661" s="156" t="s">
        <v>887</v>
      </c>
      <c r="B1661" s="157" t="s">
        <v>888</v>
      </c>
      <c r="C1661" s="157">
        <v>2024</v>
      </c>
      <c r="D1661" s="158">
        <v>26.411110000000001</v>
      </c>
      <c r="E1661" s="158">
        <v>-25.80528</v>
      </c>
      <c r="F1661" s="159">
        <v>5.2</v>
      </c>
      <c r="G1661" s="160">
        <v>2.6</v>
      </c>
      <c r="H1661" s="161">
        <v>52</v>
      </c>
      <c r="I1661" s="161">
        <v>19</v>
      </c>
      <c r="J1661" s="161">
        <v>30</v>
      </c>
      <c r="K1661" s="160">
        <v>0.2</v>
      </c>
    </row>
    <row r="1662" spans="1:11" x14ac:dyDescent="0.3">
      <c r="A1662" s="156" t="s">
        <v>887</v>
      </c>
      <c r="B1662" s="157" t="s">
        <v>888</v>
      </c>
      <c r="C1662" s="157">
        <v>2024</v>
      </c>
      <c r="D1662" s="158">
        <v>26.916665999999999</v>
      </c>
      <c r="E1662" s="158">
        <v>42.6666679</v>
      </c>
      <c r="F1662" s="159">
        <v>5.7</v>
      </c>
      <c r="G1662" s="160">
        <v>32.549999999999997</v>
      </c>
      <c r="H1662" s="161">
        <v>20</v>
      </c>
      <c r="I1662" s="161">
        <v>36</v>
      </c>
      <c r="J1662" s="161">
        <v>35</v>
      </c>
      <c r="K1662" s="160">
        <v>0.52</v>
      </c>
    </row>
    <row r="1663" spans="1:11" x14ac:dyDescent="0.3">
      <c r="A1663" s="156" t="s">
        <v>887</v>
      </c>
      <c r="B1663" s="157" t="s">
        <v>888</v>
      </c>
      <c r="C1663" s="157">
        <v>2024</v>
      </c>
      <c r="D1663" s="158">
        <v>29.316666999999999</v>
      </c>
      <c r="E1663" s="158">
        <v>-3.3666670000000001</v>
      </c>
      <c r="F1663" s="159">
        <v>7.85</v>
      </c>
      <c r="G1663" s="160">
        <v>3.5</v>
      </c>
      <c r="H1663" s="161">
        <v>61.8</v>
      </c>
      <c r="I1663" s="161">
        <v>17.3</v>
      </c>
      <c r="J1663" s="161">
        <v>13.3</v>
      </c>
      <c r="K1663" s="160">
        <v>6.7700000000000005</v>
      </c>
    </row>
    <row r="1664" spans="1:11" x14ac:dyDescent="0.3">
      <c r="A1664" s="156" t="s">
        <v>887</v>
      </c>
      <c r="B1664" s="157" t="s">
        <v>888</v>
      </c>
      <c r="C1664" s="157">
        <v>2024</v>
      </c>
      <c r="D1664" s="158">
        <v>29.57</v>
      </c>
      <c r="E1664" s="158">
        <v>-2.57</v>
      </c>
      <c r="F1664" s="159">
        <v>4.5999999999999996</v>
      </c>
      <c r="G1664" s="160">
        <v>2.6</v>
      </c>
      <c r="H1664" s="161">
        <v>50</v>
      </c>
      <c r="I1664" s="161">
        <v>13</v>
      </c>
      <c r="J1664" s="161">
        <v>48</v>
      </c>
      <c r="K1664" s="160">
        <v>0.67</v>
      </c>
    </row>
    <row r="1665" spans="1:11" x14ac:dyDescent="0.3">
      <c r="A1665" s="156" t="s">
        <v>887</v>
      </c>
      <c r="B1665" s="157" t="s">
        <v>888</v>
      </c>
      <c r="C1665" s="157">
        <v>2024</v>
      </c>
      <c r="D1665" s="158">
        <v>29.781700134277301</v>
      </c>
      <c r="E1665" s="158">
        <v>-2.07694435119629</v>
      </c>
      <c r="F1665" s="159">
        <v>4.7</v>
      </c>
      <c r="G1665" s="160">
        <v>3.4</v>
      </c>
      <c r="H1665" s="161">
        <v>28.4</v>
      </c>
      <c r="I1665" s="161">
        <v>8.5</v>
      </c>
      <c r="J1665" s="161">
        <v>63.1</v>
      </c>
      <c r="K1665" s="160">
        <v>0.32</v>
      </c>
    </row>
    <row r="1666" spans="1:11" x14ac:dyDescent="0.3">
      <c r="A1666" s="156" t="s">
        <v>887</v>
      </c>
      <c r="B1666" s="157" t="s">
        <v>888</v>
      </c>
      <c r="C1666" s="157">
        <v>2024</v>
      </c>
      <c r="D1666" s="158">
        <v>30</v>
      </c>
      <c r="E1666" s="158">
        <v>-1.3166667000000001</v>
      </c>
      <c r="F1666" s="159">
        <v>5.3</v>
      </c>
      <c r="G1666" s="160">
        <v>4.5</v>
      </c>
      <c r="H1666" s="161">
        <v>18</v>
      </c>
      <c r="I1666" s="161">
        <v>12.3</v>
      </c>
      <c r="J1666" s="161">
        <v>62.8</v>
      </c>
      <c r="K1666" s="160">
        <v>0.8</v>
      </c>
    </row>
    <row r="1667" spans="1:11" x14ac:dyDescent="0.3">
      <c r="A1667" s="156" t="s">
        <v>887</v>
      </c>
      <c r="B1667" s="157" t="s">
        <v>888</v>
      </c>
      <c r="C1667" s="157">
        <v>2024</v>
      </c>
      <c r="D1667" s="158">
        <v>31.136111</v>
      </c>
      <c r="E1667" s="158">
        <v>-17.609444</v>
      </c>
      <c r="F1667" s="159">
        <v>4.9000000000000004</v>
      </c>
      <c r="G1667" s="160">
        <v>1</v>
      </c>
      <c r="H1667" s="161">
        <v>48.9</v>
      </c>
      <c r="I1667" s="161">
        <v>14</v>
      </c>
      <c r="J1667" s="161">
        <v>38</v>
      </c>
      <c r="K1667" s="160">
        <v>6.9999999999999993E-2</v>
      </c>
    </row>
    <row r="1668" spans="1:11" x14ac:dyDescent="0.3">
      <c r="A1668" s="156" t="s">
        <v>887</v>
      </c>
      <c r="B1668" s="157" t="s">
        <v>888</v>
      </c>
      <c r="C1668" s="157">
        <v>2024</v>
      </c>
      <c r="D1668" s="158">
        <v>31.166665999999999</v>
      </c>
      <c r="E1668" s="158">
        <v>-10.166667</v>
      </c>
      <c r="F1668" s="159">
        <v>5.7</v>
      </c>
      <c r="G1668" s="160">
        <v>1.3</v>
      </c>
      <c r="H1668" s="161">
        <v>46</v>
      </c>
      <c r="I1668" s="161">
        <v>6</v>
      </c>
      <c r="J1668" s="161">
        <v>17</v>
      </c>
      <c r="K1668" s="160">
        <v>0.26</v>
      </c>
    </row>
    <row r="1669" spans="1:11" x14ac:dyDescent="0.3">
      <c r="A1669" s="156" t="s">
        <v>887</v>
      </c>
      <c r="B1669" s="157" t="s">
        <v>888</v>
      </c>
      <c r="C1669" s="157">
        <v>2024</v>
      </c>
      <c r="D1669" s="158">
        <v>37.366667</v>
      </c>
      <c r="E1669" s="158">
        <v>-1.8727780000000001</v>
      </c>
      <c r="F1669" s="159">
        <v>4.8</v>
      </c>
      <c r="G1669" s="160">
        <v>4.2</v>
      </c>
      <c r="H1669" s="161">
        <v>25</v>
      </c>
      <c r="I1669" s="161">
        <v>4</v>
      </c>
      <c r="J1669" s="161">
        <v>70.599999999999994</v>
      </c>
      <c r="K1669" s="160">
        <v>0.79</v>
      </c>
    </row>
    <row r="1670" spans="1:11" x14ac:dyDescent="0.3">
      <c r="A1670" s="156" t="s">
        <v>887</v>
      </c>
      <c r="B1670" s="157" t="s">
        <v>888</v>
      </c>
      <c r="C1670" s="157">
        <v>2024</v>
      </c>
      <c r="D1670" s="158">
        <v>37.366667</v>
      </c>
      <c r="E1670" s="158">
        <v>1.881111</v>
      </c>
      <c r="F1670" s="159">
        <v>4.5</v>
      </c>
      <c r="G1670" s="160">
        <v>3.4</v>
      </c>
      <c r="H1670" s="161">
        <v>57</v>
      </c>
      <c r="I1670" s="161">
        <v>6</v>
      </c>
      <c r="J1670" s="161">
        <v>42</v>
      </c>
      <c r="K1670" s="160">
        <v>1.69</v>
      </c>
    </row>
    <row r="1671" spans="1:11" x14ac:dyDescent="0.3">
      <c r="A1671" s="156" t="s">
        <v>887</v>
      </c>
      <c r="B1671" s="157" t="s">
        <v>888</v>
      </c>
      <c r="C1671" s="157">
        <v>2024</v>
      </c>
      <c r="D1671" s="158">
        <v>83.466598510742202</v>
      </c>
      <c r="E1671" s="158">
        <v>27.700000762939499</v>
      </c>
      <c r="F1671" s="159">
        <v>7.4</v>
      </c>
      <c r="G1671" s="160">
        <v>5.9</v>
      </c>
      <c r="H1671" s="161">
        <v>41</v>
      </c>
      <c r="I1671" s="161">
        <v>58.3</v>
      </c>
      <c r="J1671" s="161">
        <v>27.5</v>
      </c>
      <c r="K1671" s="160">
        <v>0.83000000000000007</v>
      </c>
    </row>
    <row r="1672" spans="1:11" x14ac:dyDescent="0.3">
      <c r="A1672" s="156" t="s">
        <v>887</v>
      </c>
      <c r="B1672" s="157" t="s">
        <v>888</v>
      </c>
      <c r="C1672" s="157">
        <v>2024</v>
      </c>
      <c r="D1672" s="158">
        <v>116.26666666666701</v>
      </c>
      <c r="E1672" s="158">
        <v>28.483333333333299</v>
      </c>
      <c r="F1672" s="159">
        <v>4.5999999999999996</v>
      </c>
      <c r="G1672" s="160">
        <v>6.4</v>
      </c>
      <c r="H1672" s="161">
        <v>3</v>
      </c>
      <c r="I1672" s="161">
        <v>46</v>
      </c>
      <c r="J1672" s="161">
        <v>47</v>
      </c>
      <c r="K1672" s="160">
        <v>0.15</v>
      </c>
    </row>
    <row r="1673" spans="1:11" x14ac:dyDescent="0.3">
      <c r="A1673" s="156" t="s">
        <v>887</v>
      </c>
      <c r="B1673" s="157" t="s">
        <v>888</v>
      </c>
      <c r="C1673" s="157">
        <v>2024</v>
      </c>
      <c r="D1673" s="158">
        <v>116.484809</v>
      </c>
      <c r="E1673" s="158">
        <v>-31.782098999999999</v>
      </c>
      <c r="F1673" s="159">
        <v>5.7</v>
      </c>
      <c r="G1673" s="160">
        <v>3.2</v>
      </c>
      <c r="H1673" s="161">
        <v>30</v>
      </c>
      <c r="I1673" s="161">
        <v>2</v>
      </c>
      <c r="J1673" s="161">
        <v>12</v>
      </c>
      <c r="K1673" s="160">
        <v>0.54</v>
      </c>
    </row>
    <row r="1674" spans="1:11" x14ac:dyDescent="0.3">
      <c r="A1674" s="156" t="s">
        <v>887</v>
      </c>
      <c r="B1674" s="157" t="s">
        <v>888</v>
      </c>
      <c r="C1674" s="157">
        <v>2024</v>
      </c>
      <c r="D1674" s="158">
        <v>116.916666666667</v>
      </c>
      <c r="E1674" s="158">
        <v>28.216666666666701</v>
      </c>
      <c r="F1674" s="159">
        <v>4.8</v>
      </c>
      <c r="G1674" s="160">
        <v>6.8</v>
      </c>
      <c r="H1674" s="161">
        <v>79.599999999999994</v>
      </c>
      <c r="I1674" s="161">
        <v>18</v>
      </c>
      <c r="J1674" s="161">
        <v>47</v>
      </c>
      <c r="K1674" s="160">
        <v>0</v>
      </c>
    </row>
    <row r="1675" spans="1:11" x14ac:dyDescent="0.3">
      <c r="A1675" s="156" t="s">
        <v>887</v>
      </c>
      <c r="B1675" s="157" t="s">
        <v>888</v>
      </c>
      <c r="C1675" s="157">
        <v>2024</v>
      </c>
      <c r="D1675" s="158">
        <v>123.1138916</v>
      </c>
      <c r="E1675" s="158">
        <v>10.6466665</v>
      </c>
      <c r="F1675" s="159">
        <v>5.3</v>
      </c>
      <c r="G1675" s="160">
        <v>2.2000000000000002</v>
      </c>
      <c r="H1675" s="161">
        <v>58</v>
      </c>
      <c r="I1675" s="161">
        <v>38</v>
      </c>
      <c r="J1675" s="161">
        <v>4</v>
      </c>
      <c r="K1675" s="160">
        <v>2.79</v>
      </c>
    </row>
    <row r="1676" spans="1:11" x14ac:dyDescent="0.3">
      <c r="A1676" s="156" t="s">
        <v>887</v>
      </c>
      <c r="B1676" s="157" t="s">
        <v>888</v>
      </c>
      <c r="C1676" s="157">
        <v>2024</v>
      </c>
      <c r="D1676" s="158">
        <v>124.01666666666701</v>
      </c>
      <c r="E1676" s="158">
        <v>12.983333333333301</v>
      </c>
      <c r="F1676" s="159">
        <v>5.3</v>
      </c>
      <c r="G1676" s="160">
        <v>4.8</v>
      </c>
      <c r="H1676" s="161">
        <v>12.5</v>
      </c>
      <c r="I1676" s="161">
        <v>12.9</v>
      </c>
      <c r="J1676" s="161">
        <v>68.400000000000006</v>
      </c>
      <c r="K1676" s="160">
        <v>1.4300000000000002</v>
      </c>
    </row>
    <row r="1677" spans="1:11" x14ac:dyDescent="0.3">
      <c r="A1677" s="156" t="s">
        <v>887</v>
      </c>
      <c r="B1677" s="157" t="s">
        <v>888</v>
      </c>
      <c r="C1677" s="157">
        <v>2024</v>
      </c>
      <c r="D1677" s="158">
        <v>145.36666666666699</v>
      </c>
      <c r="E1677" s="158">
        <v>-6.0333333333333297</v>
      </c>
      <c r="F1677" s="159">
        <v>5</v>
      </c>
      <c r="G1677" s="160">
        <v>7.8</v>
      </c>
      <c r="H1677" s="161">
        <v>39</v>
      </c>
      <c r="I1677" s="161">
        <v>19.8</v>
      </c>
      <c r="J1677" s="161">
        <v>78.8</v>
      </c>
      <c r="K1677" s="160">
        <v>2</v>
      </c>
    </row>
    <row r="1678" spans="1:11" x14ac:dyDescent="0.3">
      <c r="A1678" s="156" t="s">
        <v>887</v>
      </c>
      <c r="B1678" s="157" t="s">
        <v>888</v>
      </c>
      <c r="C1678" s="157">
        <v>2024</v>
      </c>
      <c r="D1678" s="158">
        <v>-149.71694444444401</v>
      </c>
      <c r="E1678" s="158">
        <v>62.327500000000001</v>
      </c>
      <c r="F1678" s="159">
        <v>5.6</v>
      </c>
      <c r="G1678" s="160">
        <v>3.75</v>
      </c>
      <c r="H1678" s="161">
        <v>78</v>
      </c>
      <c r="I1678" s="161">
        <v>67</v>
      </c>
      <c r="J1678" s="161">
        <v>5.3</v>
      </c>
      <c r="K1678" s="160">
        <v>0.67</v>
      </c>
    </row>
    <row r="1679" spans="1:11" x14ac:dyDescent="0.3">
      <c r="A1679" s="156" t="s">
        <v>887</v>
      </c>
      <c r="B1679" s="157" t="s">
        <v>888</v>
      </c>
      <c r="C1679" s="157">
        <v>2024</v>
      </c>
      <c r="D1679" s="158">
        <v>-110.461387599999</v>
      </c>
      <c r="E1679" s="158">
        <v>44.640773799999998</v>
      </c>
      <c r="F1679" s="159">
        <v>5.3</v>
      </c>
      <c r="G1679" s="160">
        <v>8.6</v>
      </c>
      <c r="H1679" s="161">
        <v>96.2</v>
      </c>
      <c r="I1679" s="161">
        <v>29.4</v>
      </c>
      <c r="J1679" s="161">
        <v>8</v>
      </c>
      <c r="K1679" s="160">
        <v>0.01</v>
      </c>
    </row>
    <row r="1680" spans="1:11" x14ac:dyDescent="0.3">
      <c r="A1680" s="156" t="s">
        <v>887</v>
      </c>
      <c r="B1680" s="157" t="s">
        <v>888</v>
      </c>
      <c r="C1680" s="157">
        <v>2024</v>
      </c>
      <c r="D1680" s="158">
        <v>-96.569999699999997</v>
      </c>
      <c r="E1680" s="158">
        <v>41.247776000000002</v>
      </c>
      <c r="F1680" s="159">
        <v>5.2</v>
      </c>
      <c r="G1680" s="160">
        <v>16</v>
      </c>
      <c r="H1680" s="161">
        <v>7.8</v>
      </c>
      <c r="I1680" s="161">
        <v>64.599999999999994</v>
      </c>
      <c r="J1680" s="161">
        <v>22.5</v>
      </c>
      <c r="K1680" s="160">
        <v>1.1199999999999999</v>
      </c>
    </row>
    <row r="1681" spans="1:11" x14ac:dyDescent="0.3">
      <c r="A1681" s="156" t="s">
        <v>887</v>
      </c>
      <c r="B1681" s="157" t="s">
        <v>888</v>
      </c>
      <c r="C1681" s="157">
        <v>2024</v>
      </c>
      <c r="D1681" s="158">
        <v>-93.982922200000004</v>
      </c>
      <c r="E1681" s="158">
        <v>39.916247200000001</v>
      </c>
      <c r="F1681" s="159">
        <v>6.3</v>
      </c>
      <c r="G1681" s="160">
        <v>18</v>
      </c>
      <c r="H1681" s="161">
        <v>2.4</v>
      </c>
      <c r="I1681" s="161">
        <v>48.3</v>
      </c>
      <c r="J1681" s="161">
        <v>44.1</v>
      </c>
      <c r="K1681" s="160">
        <v>0.1</v>
      </c>
    </row>
    <row r="1682" spans="1:11" x14ac:dyDescent="0.3">
      <c r="A1682" s="156" t="s">
        <v>887</v>
      </c>
      <c r="B1682" s="157" t="s">
        <v>888</v>
      </c>
      <c r="C1682" s="157">
        <v>2024</v>
      </c>
      <c r="D1682" s="158">
        <v>-93.800834699999996</v>
      </c>
      <c r="E1682" s="158">
        <v>38.352222400000002</v>
      </c>
      <c r="F1682" s="159">
        <v>4.9000000000000004</v>
      </c>
      <c r="G1682" s="160">
        <v>15.55</v>
      </c>
      <c r="H1682" s="161">
        <v>5.0999999999999996</v>
      </c>
      <c r="I1682" s="161">
        <v>68</v>
      </c>
      <c r="J1682" s="161">
        <v>23.7</v>
      </c>
      <c r="K1682" s="160">
        <v>0.57999999999999996</v>
      </c>
    </row>
    <row r="1683" spans="1:11" x14ac:dyDescent="0.3">
      <c r="A1683" s="156" t="s">
        <v>887</v>
      </c>
      <c r="B1683" s="157" t="s">
        <v>888</v>
      </c>
      <c r="C1683" s="157">
        <v>2024</v>
      </c>
      <c r="D1683" s="158">
        <v>-93.509933500000002</v>
      </c>
      <c r="E1683" s="158">
        <v>41.0064049</v>
      </c>
      <c r="F1683" s="159">
        <v>6.6</v>
      </c>
      <c r="G1683" s="160">
        <v>21.55</v>
      </c>
      <c r="H1683" s="161">
        <v>2.2000000000000002</v>
      </c>
      <c r="I1683" s="161">
        <v>25.9</v>
      </c>
      <c r="J1683" s="161">
        <v>16.600000000000001</v>
      </c>
      <c r="K1683" s="160">
        <v>3.34</v>
      </c>
    </row>
    <row r="1684" spans="1:11" x14ac:dyDescent="0.3">
      <c r="A1684" s="156" t="s">
        <v>887</v>
      </c>
      <c r="B1684" s="157" t="s">
        <v>888</v>
      </c>
      <c r="C1684" s="157">
        <v>2024</v>
      </c>
      <c r="D1684" s="158">
        <v>-93.421305599999997</v>
      </c>
      <c r="E1684" s="158">
        <v>37.203791699999996</v>
      </c>
      <c r="F1684" s="159">
        <v>5.0999999999999996</v>
      </c>
      <c r="G1684" s="160">
        <v>5</v>
      </c>
      <c r="H1684" s="161">
        <v>30.4</v>
      </c>
      <c r="I1684" s="161">
        <v>65.5</v>
      </c>
      <c r="J1684" s="161">
        <v>21</v>
      </c>
      <c r="K1684" s="160">
        <v>2.1</v>
      </c>
    </row>
    <row r="1685" spans="1:11" x14ac:dyDescent="0.3">
      <c r="A1685" s="156" t="s">
        <v>887</v>
      </c>
      <c r="B1685" s="157" t="s">
        <v>888</v>
      </c>
      <c r="C1685" s="157">
        <v>2024</v>
      </c>
      <c r="D1685" s="158">
        <v>-93.075721700000003</v>
      </c>
      <c r="E1685" s="158">
        <v>45.389362300000002</v>
      </c>
      <c r="F1685" s="159">
        <v>5.3</v>
      </c>
      <c r="G1685" s="160">
        <v>3.95</v>
      </c>
      <c r="H1685" s="161">
        <v>90.5</v>
      </c>
      <c r="I1685" s="161">
        <v>6.2</v>
      </c>
      <c r="J1685" s="161">
        <v>7.1</v>
      </c>
      <c r="K1685" s="160">
        <v>0.47000000000000003</v>
      </c>
    </row>
    <row r="1686" spans="1:11" x14ac:dyDescent="0.3">
      <c r="A1686" s="156" t="s">
        <v>887</v>
      </c>
      <c r="B1686" s="157" t="s">
        <v>888</v>
      </c>
      <c r="C1686" s="157">
        <v>2024</v>
      </c>
      <c r="D1686" s="158">
        <v>-92.848749999999995</v>
      </c>
      <c r="E1686" s="158">
        <v>40.2851389</v>
      </c>
      <c r="F1686" s="159">
        <v>4.4000000000000004</v>
      </c>
      <c r="G1686" s="160">
        <v>11.2</v>
      </c>
      <c r="H1686" s="161">
        <v>27.5</v>
      </c>
      <c r="I1686" s="161">
        <v>53.2</v>
      </c>
      <c r="J1686" s="161">
        <v>46.3</v>
      </c>
      <c r="K1686" s="160">
        <v>0.3</v>
      </c>
    </row>
    <row r="1687" spans="1:11" x14ac:dyDescent="0.3">
      <c r="A1687" s="156" t="s">
        <v>887</v>
      </c>
      <c r="B1687" s="157" t="s">
        <v>888</v>
      </c>
      <c r="C1687" s="157">
        <v>2024</v>
      </c>
      <c r="D1687" s="158">
        <v>-92.766666700000002</v>
      </c>
      <c r="E1687" s="158">
        <v>39</v>
      </c>
      <c r="F1687" s="159">
        <v>7.2</v>
      </c>
      <c r="G1687" s="160">
        <v>17.8</v>
      </c>
      <c r="H1687" s="161">
        <v>2</v>
      </c>
      <c r="I1687" s="161">
        <v>70.099999999999994</v>
      </c>
      <c r="J1687" s="161">
        <v>24.1</v>
      </c>
      <c r="K1687" s="160">
        <v>1</v>
      </c>
    </row>
    <row r="1688" spans="1:11" x14ac:dyDescent="0.3">
      <c r="A1688" s="156" t="s">
        <v>887</v>
      </c>
      <c r="B1688" s="157" t="s">
        <v>888</v>
      </c>
      <c r="C1688" s="157">
        <v>2024</v>
      </c>
      <c r="D1688" s="158">
        <v>-92.641913900000006</v>
      </c>
      <c r="E1688" s="158">
        <v>36.798686099999998</v>
      </c>
      <c r="F1688" s="159">
        <v>4.5</v>
      </c>
      <c r="G1688" s="160">
        <v>2</v>
      </c>
      <c r="H1688" s="161">
        <v>28.3</v>
      </c>
      <c r="I1688" s="161">
        <v>65.400000000000006</v>
      </c>
      <c r="J1688" s="161">
        <v>8.1</v>
      </c>
      <c r="K1688" s="160">
        <v>0.1</v>
      </c>
    </row>
    <row r="1689" spans="1:11" x14ac:dyDescent="0.3">
      <c r="A1689" s="156" t="s">
        <v>887</v>
      </c>
      <c r="B1689" s="157" t="s">
        <v>888</v>
      </c>
      <c r="C1689" s="157">
        <v>2024</v>
      </c>
      <c r="D1689" s="158">
        <v>-92.467231499999997</v>
      </c>
      <c r="E1689" s="158">
        <v>38.377517099999999</v>
      </c>
      <c r="F1689" s="159">
        <v>6.6</v>
      </c>
      <c r="G1689" s="160">
        <v>10.65</v>
      </c>
      <c r="H1689" s="161">
        <v>24.8</v>
      </c>
      <c r="I1689" s="161">
        <v>71.099999999999994</v>
      </c>
      <c r="J1689" s="161">
        <v>16.899999999999999</v>
      </c>
      <c r="K1689" s="160">
        <v>0.1</v>
      </c>
    </row>
    <row r="1690" spans="1:11" x14ac:dyDescent="0.3">
      <c r="A1690" s="156" t="s">
        <v>887</v>
      </c>
      <c r="B1690" s="157" t="s">
        <v>888</v>
      </c>
      <c r="C1690" s="157">
        <v>2024</v>
      </c>
      <c r="D1690" s="158">
        <v>-92.345169067382798</v>
      </c>
      <c r="E1690" s="158">
        <v>38.967266082763601</v>
      </c>
      <c r="F1690" s="159">
        <v>7.6</v>
      </c>
      <c r="G1690" s="160">
        <v>9</v>
      </c>
      <c r="H1690" s="161">
        <v>7.7</v>
      </c>
      <c r="I1690" s="161">
        <v>52.7</v>
      </c>
      <c r="J1690" s="161">
        <v>36.4</v>
      </c>
      <c r="K1690" s="160">
        <v>0.4</v>
      </c>
    </row>
    <row r="1691" spans="1:11" x14ac:dyDescent="0.3">
      <c r="A1691" s="156" t="s">
        <v>887</v>
      </c>
      <c r="B1691" s="157" t="s">
        <v>888</v>
      </c>
      <c r="C1691" s="157">
        <v>2024</v>
      </c>
      <c r="D1691" s="158">
        <v>-92.344999999999999</v>
      </c>
      <c r="E1691" s="158">
        <v>38.967222200000002</v>
      </c>
      <c r="F1691" s="159">
        <v>7.7</v>
      </c>
      <c r="G1691" s="160">
        <v>29</v>
      </c>
      <c r="H1691" s="161">
        <v>1.3</v>
      </c>
      <c r="I1691" s="161">
        <v>59.2</v>
      </c>
      <c r="J1691" s="161">
        <v>13.7</v>
      </c>
      <c r="K1691" s="160">
        <v>0.8</v>
      </c>
    </row>
    <row r="1692" spans="1:11" x14ac:dyDescent="0.3">
      <c r="A1692" s="156" t="s">
        <v>887</v>
      </c>
      <c r="B1692" s="157" t="s">
        <v>888</v>
      </c>
      <c r="C1692" s="157">
        <v>2024</v>
      </c>
      <c r="D1692" s="158">
        <v>-92.216667200000003</v>
      </c>
      <c r="E1692" s="158">
        <v>38.900001500000002</v>
      </c>
      <c r="F1692" s="159">
        <v>6.5</v>
      </c>
      <c r="G1692" s="160">
        <v>29.25</v>
      </c>
      <c r="H1692" s="161">
        <v>3.1</v>
      </c>
      <c r="I1692" s="161">
        <v>58.8</v>
      </c>
      <c r="J1692" s="161">
        <v>25.1</v>
      </c>
      <c r="K1692" s="160">
        <v>0.1</v>
      </c>
    </row>
    <row r="1693" spans="1:11" x14ac:dyDescent="0.3">
      <c r="A1693" s="156" t="s">
        <v>887</v>
      </c>
      <c r="B1693" s="157" t="s">
        <v>888</v>
      </c>
      <c r="C1693" s="157">
        <v>2024</v>
      </c>
      <c r="D1693" s="158">
        <v>-92</v>
      </c>
      <c r="E1693" s="158">
        <v>36</v>
      </c>
      <c r="F1693" s="159">
        <v>5.2</v>
      </c>
      <c r="G1693" s="160">
        <v>7</v>
      </c>
      <c r="H1693" s="161">
        <v>49</v>
      </c>
      <c r="I1693" s="161">
        <v>60.8</v>
      </c>
      <c r="J1693" s="161">
        <v>18.7</v>
      </c>
      <c r="K1693" s="160">
        <v>0.2</v>
      </c>
    </row>
    <row r="1694" spans="1:11" x14ac:dyDescent="0.3">
      <c r="A1694" s="156" t="s">
        <v>887</v>
      </c>
      <c r="B1694" s="157" t="s">
        <v>888</v>
      </c>
      <c r="C1694" s="157">
        <v>2024</v>
      </c>
      <c r="D1694" s="158">
        <v>-91.225624499999995</v>
      </c>
      <c r="E1694" s="158">
        <v>38.047938600000002</v>
      </c>
      <c r="F1694" s="159">
        <v>5.6</v>
      </c>
      <c r="G1694" s="160">
        <v>9.4</v>
      </c>
      <c r="H1694" s="161">
        <v>5.7</v>
      </c>
      <c r="I1694" s="161">
        <v>74.5</v>
      </c>
      <c r="J1694" s="161">
        <v>15.1</v>
      </c>
      <c r="K1694" s="160">
        <v>0.3</v>
      </c>
    </row>
    <row r="1695" spans="1:11" x14ac:dyDescent="0.3">
      <c r="A1695" s="156" t="s">
        <v>887</v>
      </c>
      <c r="B1695" s="157" t="s">
        <v>888</v>
      </c>
      <c r="C1695" s="157">
        <v>2024</v>
      </c>
      <c r="D1695" s="158">
        <v>-91.183036799999996</v>
      </c>
      <c r="E1695" s="158">
        <v>37.025547000000003</v>
      </c>
      <c r="F1695" s="159">
        <v>4.8</v>
      </c>
      <c r="G1695" s="160">
        <v>13.1</v>
      </c>
      <c r="H1695" s="161">
        <v>33.4</v>
      </c>
      <c r="I1695" s="161">
        <v>25.6</v>
      </c>
      <c r="J1695" s="161">
        <v>58.7</v>
      </c>
      <c r="K1695" s="160">
        <v>8.1</v>
      </c>
    </row>
    <row r="1696" spans="1:11" x14ac:dyDescent="0.3">
      <c r="A1696" s="156" t="s">
        <v>887</v>
      </c>
      <c r="B1696" s="157" t="s">
        <v>888</v>
      </c>
      <c r="C1696" s="157">
        <v>2024</v>
      </c>
      <c r="D1696" s="158">
        <v>-91.140961099999998</v>
      </c>
      <c r="E1696" s="158">
        <v>37.173644400000001</v>
      </c>
      <c r="F1696" s="159">
        <v>4.8</v>
      </c>
      <c r="G1696" s="160">
        <v>11</v>
      </c>
      <c r="H1696" s="161">
        <v>22.8</v>
      </c>
      <c r="I1696" s="161">
        <v>54.9</v>
      </c>
      <c r="J1696" s="161">
        <v>56.4</v>
      </c>
      <c r="K1696" s="160">
        <v>0.2</v>
      </c>
    </row>
    <row r="1697" spans="1:11" x14ac:dyDescent="0.3">
      <c r="A1697" s="156" t="s">
        <v>887</v>
      </c>
      <c r="B1697" s="157" t="s">
        <v>888</v>
      </c>
      <c r="C1697" s="157">
        <v>2024</v>
      </c>
      <c r="D1697" s="158">
        <v>-91.138741699999997</v>
      </c>
      <c r="E1697" s="158">
        <v>37.175033300000003</v>
      </c>
      <c r="F1697" s="159">
        <v>4.9000000000000004</v>
      </c>
      <c r="G1697" s="160">
        <v>5</v>
      </c>
      <c r="H1697" s="161">
        <v>28.5</v>
      </c>
      <c r="I1697" s="161">
        <v>14.1</v>
      </c>
      <c r="J1697" s="161">
        <v>71</v>
      </c>
      <c r="K1697" s="160">
        <v>0.1</v>
      </c>
    </row>
    <row r="1698" spans="1:11" x14ac:dyDescent="0.3">
      <c r="A1698" s="156" t="s">
        <v>887</v>
      </c>
      <c r="B1698" s="157" t="s">
        <v>888</v>
      </c>
      <c r="C1698" s="157">
        <v>2024</v>
      </c>
      <c r="D1698" s="158">
        <v>-91.100399999999993</v>
      </c>
      <c r="E1698" s="158">
        <v>37.133650000000003</v>
      </c>
      <c r="F1698" s="159">
        <v>4.8</v>
      </c>
      <c r="G1698" s="160">
        <v>7</v>
      </c>
      <c r="H1698" s="161">
        <v>43.8</v>
      </c>
      <c r="I1698" s="161">
        <v>23.1</v>
      </c>
      <c r="J1698" s="161">
        <v>39.6</v>
      </c>
      <c r="K1698" s="160">
        <v>0.1</v>
      </c>
    </row>
    <row r="1699" spans="1:11" x14ac:dyDescent="0.3">
      <c r="A1699" s="156" t="s">
        <v>887</v>
      </c>
      <c r="B1699" s="157" t="s">
        <v>888</v>
      </c>
      <c r="C1699" s="157">
        <v>2024</v>
      </c>
      <c r="D1699" s="158">
        <v>-91.095924999999994</v>
      </c>
      <c r="E1699" s="158">
        <v>37.1460972</v>
      </c>
      <c r="F1699" s="159">
        <v>5.5</v>
      </c>
      <c r="G1699" s="160">
        <v>1.35</v>
      </c>
      <c r="H1699" s="161">
        <v>28.7</v>
      </c>
      <c r="I1699" s="161">
        <v>19.7</v>
      </c>
      <c r="J1699" s="161">
        <v>11.4</v>
      </c>
      <c r="K1699" s="160">
        <v>0.1</v>
      </c>
    </row>
    <row r="1700" spans="1:11" x14ac:dyDescent="0.3">
      <c r="A1700" s="156" t="s">
        <v>887</v>
      </c>
      <c r="B1700" s="157" t="s">
        <v>888</v>
      </c>
      <c r="C1700" s="157">
        <v>2024</v>
      </c>
      <c r="D1700" s="158">
        <v>-90.961776733398395</v>
      </c>
      <c r="E1700" s="158">
        <v>30.8141059875488</v>
      </c>
      <c r="F1700" s="159">
        <v>4.7</v>
      </c>
      <c r="G1700" s="160">
        <v>6.9</v>
      </c>
      <c r="H1700" s="161">
        <v>84.6</v>
      </c>
      <c r="I1700" s="161">
        <v>9.3000000000000007</v>
      </c>
      <c r="J1700" s="161">
        <v>15.7</v>
      </c>
      <c r="K1700" s="160">
        <v>0.04</v>
      </c>
    </row>
    <row r="1701" spans="1:11" x14ac:dyDescent="0.3">
      <c r="A1701" s="156" t="s">
        <v>887</v>
      </c>
      <c r="B1701" s="157" t="s">
        <v>888</v>
      </c>
      <c r="C1701" s="157">
        <v>2024</v>
      </c>
      <c r="D1701" s="158">
        <v>-90.821777299999994</v>
      </c>
      <c r="E1701" s="158">
        <v>34.732620199999999</v>
      </c>
      <c r="F1701" s="159">
        <v>6</v>
      </c>
      <c r="G1701" s="160">
        <v>12.45</v>
      </c>
      <c r="H1701" s="161">
        <v>26.8</v>
      </c>
      <c r="I1701" s="161">
        <v>79.400000000000006</v>
      </c>
      <c r="J1701" s="161">
        <v>23.1</v>
      </c>
      <c r="K1701" s="160">
        <v>0.08</v>
      </c>
    </row>
    <row r="1702" spans="1:11" x14ac:dyDescent="0.3">
      <c r="A1702" s="156" t="s">
        <v>887</v>
      </c>
      <c r="B1702" s="157" t="s">
        <v>888</v>
      </c>
      <c r="C1702" s="157">
        <v>2024</v>
      </c>
      <c r="D1702" s="158">
        <v>-90.438163799999998</v>
      </c>
      <c r="E1702" s="158">
        <v>37.473110200000001</v>
      </c>
      <c r="F1702" s="159">
        <v>4.8</v>
      </c>
      <c r="G1702" s="160">
        <v>2</v>
      </c>
      <c r="H1702" s="161">
        <v>23.1</v>
      </c>
      <c r="I1702" s="161">
        <v>58.9</v>
      </c>
      <c r="J1702" s="161">
        <v>27.8</v>
      </c>
      <c r="K1702" s="160">
        <v>0.1</v>
      </c>
    </row>
    <row r="1703" spans="1:11" x14ac:dyDescent="0.3">
      <c r="A1703" s="156" t="s">
        <v>887</v>
      </c>
      <c r="B1703" s="157" t="s">
        <v>888</v>
      </c>
      <c r="C1703" s="157">
        <v>2024</v>
      </c>
      <c r="D1703" s="158">
        <v>-90.307777400000006</v>
      </c>
      <c r="E1703" s="158">
        <v>37.158889799999997</v>
      </c>
      <c r="F1703" s="159">
        <v>5.9</v>
      </c>
      <c r="G1703" s="160">
        <v>3.15</v>
      </c>
      <c r="H1703" s="161">
        <v>27.9</v>
      </c>
      <c r="I1703" s="161">
        <v>2.8</v>
      </c>
      <c r="J1703" s="161">
        <v>1</v>
      </c>
      <c r="K1703" s="160">
        <v>0.4</v>
      </c>
    </row>
    <row r="1704" spans="1:11" x14ac:dyDescent="0.3">
      <c r="A1704" s="156" t="s">
        <v>887</v>
      </c>
      <c r="B1704" s="157" t="s">
        <v>888</v>
      </c>
      <c r="C1704" s="157">
        <v>2024</v>
      </c>
      <c r="D1704" s="158">
        <v>-89.960243199999994</v>
      </c>
      <c r="E1704" s="158">
        <v>36.490940100000003</v>
      </c>
      <c r="F1704" s="159">
        <v>5.3</v>
      </c>
      <c r="G1704" s="160">
        <v>5.2</v>
      </c>
      <c r="H1704" s="161">
        <v>79.7</v>
      </c>
      <c r="I1704" s="161">
        <v>7.9</v>
      </c>
      <c r="J1704" s="161">
        <v>4.5999999999999996</v>
      </c>
      <c r="K1704" s="160">
        <v>0.1</v>
      </c>
    </row>
    <row r="1705" spans="1:11" x14ac:dyDescent="0.3">
      <c r="A1705" s="156" t="s">
        <v>887</v>
      </c>
      <c r="B1705" s="157" t="s">
        <v>888</v>
      </c>
      <c r="C1705" s="157">
        <v>2024</v>
      </c>
      <c r="D1705" s="158">
        <v>-89.4886944</v>
      </c>
      <c r="E1705" s="158">
        <v>37.356388899999999</v>
      </c>
      <c r="F1705" s="159">
        <v>4.7</v>
      </c>
      <c r="G1705" s="160">
        <v>10.35</v>
      </c>
      <c r="H1705" s="161">
        <v>3.2</v>
      </c>
      <c r="I1705" s="161">
        <v>70.5</v>
      </c>
      <c r="J1705" s="161">
        <v>27.5</v>
      </c>
      <c r="K1705" s="160">
        <v>2</v>
      </c>
    </row>
    <row r="1706" spans="1:11" x14ac:dyDescent="0.3">
      <c r="A1706" s="156" t="s">
        <v>887</v>
      </c>
      <c r="B1706" s="157" t="s">
        <v>888</v>
      </c>
      <c r="C1706" s="157">
        <v>2024</v>
      </c>
      <c r="D1706" s="158">
        <v>-88.594444300000006</v>
      </c>
      <c r="E1706" s="158">
        <v>46.488056200000003</v>
      </c>
      <c r="F1706" s="159">
        <v>5.0999999999999996</v>
      </c>
      <c r="G1706" s="160">
        <v>6.1</v>
      </c>
      <c r="H1706" s="161">
        <v>53.1</v>
      </c>
      <c r="I1706" s="161">
        <v>48.6</v>
      </c>
      <c r="J1706" s="161">
        <v>2.1</v>
      </c>
      <c r="K1706" s="160">
        <v>0.11000000000000001</v>
      </c>
    </row>
    <row r="1707" spans="1:11" x14ac:dyDescent="0.3">
      <c r="A1707" s="156" t="s">
        <v>887</v>
      </c>
      <c r="B1707" s="157" t="s">
        <v>888</v>
      </c>
      <c r="C1707" s="157">
        <v>2024</v>
      </c>
      <c r="D1707" s="158">
        <v>-86.986541700000004</v>
      </c>
      <c r="E1707" s="158">
        <v>41.1556091</v>
      </c>
      <c r="F1707" s="159">
        <v>4.5</v>
      </c>
      <c r="G1707" s="160">
        <v>4.7</v>
      </c>
      <c r="H1707" s="161">
        <v>89.2</v>
      </c>
      <c r="I1707" s="161">
        <v>4.2</v>
      </c>
      <c r="J1707" s="161">
        <v>2.1</v>
      </c>
      <c r="K1707" s="160">
        <v>0.52</v>
      </c>
    </row>
    <row r="1708" spans="1:11" x14ac:dyDescent="0.3">
      <c r="A1708" s="156" t="s">
        <v>887</v>
      </c>
      <c r="B1708" s="157" t="s">
        <v>888</v>
      </c>
      <c r="C1708" s="157">
        <v>2024</v>
      </c>
      <c r="D1708" s="158">
        <v>-86.279197699999997</v>
      </c>
      <c r="E1708" s="158">
        <v>39.982505799999998</v>
      </c>
      <c r="F1708" s="159">
        <v>6.1</v>
      </c>
      <c r="G1708" s="160">
        <v>13.1</v>
      </c>
      <c r="H1708" s="161">
        <v>27.9</v>
      </c>
      <c r="I1708" s="161">
        <v>67.3</v>
      </c>
      <c r="J1708" s="161">
        <v>16.899999999999999</v>
      </c>
      <c r="K1708" s="160">
        <v>1.21</v>
      </c>
    </row>
    <row r="1709" spans="1:11" x14ac:dyDescent="0.3">
      <c r="A1709" s="156" t="s">
        <v>887</v>
      </c>
      <c r="B1709" s="157" t="s">
        <v>888</v>
      </c>
      <c r="C1709" s="157">
        <v>2024</v>
      </c>
      <c r="D1709" s="158">
        <v>-84.533058199999999</v>
      </c>
      <c r="E1709" s="158">
        <v>37.970001199999999</v>
      </c>
      <c r="F1709" s="159">
        <v>5.6</v>
      </c>
      <c r="G1709" s="160">
        <v>11</v>
      </c>
      <c r="H1709" s="161">
        <v>11.1</v>
      </c>
      <c r="I1709" s="161">
        <v>20.8</v>
      </c>
      <c r="J1709" s="161">
        <v>55.4</v>
      </c>
      <c r="K1709" s="160">
        <v>6.9999999999999993E-2</v>
      </c>
    </row>
    <row r="1710" spans="1:11" x14ac:dyDescent="0.3">
      <c r="A1710" s="156" t="s">
        <v>887</v>
      </c>
      <c r="B1710" s="157" t="s">
        <v>888</v>
      </c>
      <c r="C1710" s="157">
        <v>2024</v>
      </c>
      <c r="D1710" s="158">
        <v>-79.249755899999997</v>
      </c>
      <c r="E1710" s="158">
        <v>35.500095399999999</v>
      </c>
      <c r="F1710" s="159">
        <v>4.5999999999999996</v>
      </c>
      <c r="G1710" s="160">
        <v>24.25</v>
      </c>
      <c r="H1710" s="161">
        <v>6.1</v>
      </c>
      <c r="I1710" s="161">
        <v>47.3</v>
      </c>
      <c r="J1710" s="161">
        <v>46.6</v>
      </c>
      <c r="K1710" s="160">
        <v>0.02</v>
      </c>
    </row>
    <row r="1711" spans="1:11" x14ac:dyDescent="0.3">
      <c r="A1711" s="156" t="s">
        <v>887</v>
      </c>
      <c r="B1711" s="157" t="s">
        <v>888</v>
      </c>
      <c r="C1711" s="157">
        <v>2024</v>
      </c>
      <c r="D1711" s="158">
        <v>-78.554166699999996</v>
      </c>
      <c r="E1711" s="158">
        <v>40.037500000000001</v>
      </c>
      <c r="F1711" s="159">
        <v>4.7</v>
      </c>
      <c r="G1711" s="160">
        <v>3</v>
      </c>
      <c r="H1711" s="161">
        <v>72.599999999999994</v>
      </c>
      <c r="I1711" s="161">
        <v>46.7</v>
      </c>
      <c r="J1711" s="161">
        <v>29.2</v>
      </c>
      <c r="K1711" s="160">
        <v>0.16999999999999998</v>
      </c>
    </row>
    <row r="1712" spans="1:11" x14ac:dyDescent="0.3">
      <c r="A1712" s="156" t="s">
        <v>887</v>
      </c>
      <c r="B1712" s="157" t="s">
        <v>888</v>
      </c>
      <c r="C1712" s="157">
        <v>2024</v>
      </c>
      <c r="D1712" s="158">
        <v>-76.077362100000002</v>
      </c>
      <c r="E1712" s="158">
        <v>36.609848</v>
      </c>
      <c r="F1712" s="159">
        <v>3.9</v>
      </c>
      <c r="G1712" s="160">
        <v>13</v>
      </c>
      <c r="H1712" s="161">
        <v>23</v>
      </c>
      <c r="I1712" s="161">
        <v>70</v>
      </c>
      <c r="J1712" s="161">
        <v>22</v>
      </c>
      <c r="K1712" s="160">
        <v>0.1</v>
      </c>
    </row>
    <row r="1713" spans="1:11" x14ac:dyDescent="0.3">
      <c r="A1713" s="156" t="s">
        <v>887</v>
      </c>
      <c r="B1713" s="157" t="s">
        <v>888</v>
      </c>
      <c r="C1713" s="157">
        <v>2024</v>
      </c>
      <c r="D1713" s="158">
        <v>-73.067596399999999</v>
      </c>
      <c r="E1713" s="158">
        <v>-39.618751500000002</v>
      </c>
      <c r="F1713" s="159">
        <v>5.9</v>
      </c>
      <c r="G1713" s="160">
        <v>3</v>
      </c>
      <c r="H1713" s="161">
        <v>59.7</v>
      </c>
      <c r="I1713" s="161">
        <v>46.9</v>
      </c>
      <c r="J1713" s="161">
        <v>3.7</v>
      </c>
      <c r="K1713" s="160">
        <v>1.0699999999999998</v>
      </c>
    </row>
    <row r="1714" spans="1:11" x14ac:dyDescent="0.3">
      <c r="A1714" s="156" t="s">
        <v>887</v>
      </c>
      <c r="B1714" s="157" t="s">
        <v>888</v>
      </c>
      <c r="C1714" s="157">
        <v>2024</v>
      </c>
      <c r="D1714" s="158">
        <v>-47.716700000000003</v>
      </c>
      <c r="E1714" s="158">
        <v>-2.95</v>
      </c>
      <c r="F1714" s="159">
        <v>5.4</v>
      </c>
      <c r="G1714" s="160">
        <v>9</v>
      </c>
      <c r="H1714" s="161">
        <v>1</v>
      </c>
      <c r="I1714" s="161">
        <v>15</v>
      </c>
      <c r="J1714" s="161">
        <v>35</v>
      </c>
      <c r="K1714" s="160">
        <v>0.52</v>
      </c>
    </row>
    <row r="1715" spans="1:11" x14ac:dyDescent="0.3">
      <c r="A1715" s="156" t="s">
        <v>887</v>
      </c>
      <c r="B1715" s="157" t="s">
        <v>888</v>
      </c>
      <c r="C1715" s="157">
        <v>2024</v>
      </c>
      <c r="D1715" s="158">
        <v>-8.4515438079834002</v>
      </c>
      <c r="E1715" s="158">
        <v>11.4940176010132</v>
      </c>
      <c r="F1715" s="159">
        <v>5.6</v>
      </c>
      <c r="G1715" s="160">
        <v>1.3</v>
      </c>
      <c r="H1715" s="161">
        <v>73.5</v>
      </c>
      <c r="I1715" s="161">
        <v>15.1</v>
      </c>
      <c r="J1715" s="161">
        <v>39.6</v>
      </c>
      <c r="K1715" s="160">
        <v>0.89</v>
      </c>
    </row>
    <row r="1716" spans="1:11" x14ac:dyDescent="0.3">
      <c r="A1716" s="156" t="s">
        <v>887</v>
      </c>
      <c r="B1716" s="157" t="s">
        <v>888</v>
      </c>
      <c r="C1716" s="157">
        <v>2024</v>
      </c>
      <c r="D1716" s="158">
        <v>4.6500000000000004</v>
      </c>
      <c r="E1716" s="158">
        <v>7.5333329999999998</v>
      </c>
      <c r="F1716" s="159">
        <v>5.4</v>
      </c>
      <c r="G1716" s="160">
        <v>5.3</v>
      </c>
      <c r="H1716" s="161">
        <v>37</v>
      </c>
      <c r="I1716" s="161">
        <v>14.1</v>
      </c>
      <c r="J1716" s="161">
        <v>51.7</v>
      </c>
      <c r="K1716" s="160">
        <v>0.25</v>
      </c>
    </row>
    <row r="1717" spans="1:11" x14ac:dyDescent="0.3">
      <c r="A1717" s="156" t="s">
        <v>887</v>
      </c>
      <c r="B1717" s="157" t="s">
        <v>888</v>
      </c>
      <c r="C1717" s="157">
        <v>2024</v>
      </c>
      <c r="D1717" s="158">
        <v>6.6619440000000001</v>
      </c>
      <c r="E1717" s="158">
        <v>5.3238890000000003</v>
      </c>
      <c r="F1717" s="159">
        <v>5.2</v>
      </c>
      <c r="G1717" s="160">
        <v>1.8</v>
      </c>
      <c r="H1717" s="161">
        <v>65.7</v>
      </c>
      <c r="I1717" s="161">
        <v>13.8</v>
      </c>
      <c r="J1717" s="161">
        <v>26.6</v>
      </c>
      <c r="K1717" s="160">
        <v>0.31</v>
      </c>
    </row>
    <row r="1718" spans="1:11" x14ac:dyDescent="0.3">
      <c r="A1718" s="156" t="s">
        <v>887</v>
      </c>
      <c r="B1718" s="157" t="s">
        <v>888</v>
      </c>
      <c r="C1718" s="157">
        <v>2024</v>
      </c>
      <c r="D1718" s="158">
        <v>14.899999599999999</v>
      </c>
      <c r="E1718" s="158">
        <v>-5.4499997999999996</v>
      </c>
      <c r="F1718" s="159">
        <v>4.5999999999999996</v>
      </c>
      <c r="G1718" s="160">
        <v>1.9</v>
      </c>
      <c r="H1718" s="161">
        <v>14.1</v>
      </c>
      <c r="I1718" s="161">
        <v>29.7</v>
      </c>
      <c r="J1718" s="161">
        <v>27.4</v>
      </c>
      <c r="K1718" s="160">
        <v>0.54</v>
      </c>
    </row>
    <row r="1719" spans="1:11" x14ac:dyDescent="0.3">
      <c r="A1719" s="156" t="s">
        <v>887</v>
      </c>
      <c r="B1719" s="157" t="s">
        <v>888</v>
      </c>
      <c r="C1719" s="157">
        <v>2024</v>
      </c>
      <c r="D1719" s="158">
        <v>15.89</v>
      </c>
      <c r="E1719" s="158">
        <v>-5.72</v>
      </c>
      <c r="F1719" s="159">
        <v>5.7</v>
      </c>
      <c r="G1719" s="160">
        <v>0.7</v>
      </c>
      <c r="H1719" s="161">
        <v>89</v>
      </c>
      <c r="I1719" s="161">
        <v>6</v>
      </c>
      <c r="J1719" s="161">
        <v>5</v>
      </c>
      <c r="K1719" s="160">
        <v>0.25</v>
      </c>
    </row>
    <row r="1720" spans="1:11" x14ac:dyDescent="0.3">
      <c r="A1720" s="156" t="s">
        <v>887</v>
      </c>
      <c r="B1720" s="157" t="s">
        <v>888</v>
      </c>
      <c r="C1720" s="157">
        <v>2024</v>
      </c>
      <c r="D1720" s="158">
        <v>29.781700134277301</v>
      </c>
      <c r="E1720" s="158">
        <v>-2.07694435119629</v>
      </c>
      <c r="F1720" s="159">
        <v>4.5999999999999996</v>
      </c>
      <c r="G1720" s="160">
        <v>4.8499999999999996</v>
      </c>
      <c r="H1720" s="161">
        <v>58</v>
      </c>
      <c r="I1720" s="161">
        <v>7</v>
      </c>
      <c r="J1720" s="161">
        <v>52</v>
      </c>
      <c r="K1720" s="160">
        <v>1.6600000000000001</v>
      </c>
    </row>
    <row r="1721" spans="1:11" x14ac:dyDescent="0.3">
      <c r="A1721" s="156" t="s">
        <v>887</v>
      </c>
      <c r="B1721" s="157" t="s">
        <v>888</v>
      </c>
      <c r="C1721" s="157">
        <v>2024</v>
      </c>
      <c r="D1721" s="158">
        <v>29.87</v>
      </c>
      <c r="E1721" s="158">
        <v>-2.36</v>
      </c>
      <c r="F1721" s="159">
        <v>5.0999999999999996</v>
      </c>
      <c r="G1721" s="160">
        <v>4.5999999999999996</v>
      </c>
      <c r="H1721" s="161">
        <v>47</v>
      </c>
      <c r="I1721" s="161">
        <v>6</v>
      </c>
      <c r="J1721" s="161">
        <v>64</v>
      </c>
      <c r="K1721" s="160">
        <v>1.7399999999999998</v>
      </c>
    </row>
    <row r="1722" spans="1:11" x14ac:dyDescent="0.3">
      <c r="A1722" s="156" t="s">
        <v>887</v>
      </c>
      <c r="B1722" s="157" t="s">
        <v>888</v>
      </c>
      <c r="C1722" s="157">
        <v>2024</v>
      </c>
      <c r="D1722" s="158">
        <v>30</v>
      </c>
      <c r="E1722" s="158">
        <v>-1.3166667000000001</v>
      </c>
      <c r="F1722" s="159">
        <v>4.2</v>
      </c>
      <c r="G1722" s="160">
        <v>6.4</v>
      </c>
      <c r="H1722" s="161">
        <v>24</v>
      </c>
      <c r="I1722" s="161">
        <v>8.3000000000000007</v>
      </c>
      <c r="J1722" s="161">
        <v>73.7</v>
      </c>
      <c r="K1722" s="160">
        <v>1.6</v>
      </c>
    </row>
    <row r="1723" spans="1:11" x14ac:dyDescent="0.3">
      <c r="A1723" s="156" t="s">
        <v>887</v>
      </c>
      <c r="B1723" s="157" t="s">
        <v>888</v>
      </c>
      <c r="C1723" s="157">
        <v>2024</v>
      </c>
      <c r="D1723" s="158">
        <v>30.594999999999999</v>
      </c>
      <c r="E1723" s="158">
        <v>-27.58333</v>
      </c>
      <c r="F1723" s="159">
        <v>4.7</v>
      </c>
      <c r="G1723" s="160">
        <v>10.5</v>
      </c>
      <c r="H1723" s="161">
        <v>62</v>
      </c>
      <c r="I1723" s="161">
        <v>6</v>
      </c>
      <c r="J1723" s="161">
        <v>43</v>
      </c>
      <c r="K1723" s="160">
        <v>0.1</v>
      </c>
    </row>
    <row r="1724" spans="1:11" x14ac:dyDescent="0.3">
      <c r="A1724" s="156" t="s">
        <v>887</v>
      </c>
      <c r="B1724" s="157" t="s">
        <v>888</v>
      </c>
      <c r="C1724" s="157">
        <v>2024</v>
      </c>
      <c r="D1724" s="158">
        <v>37.466667000000001</v>
      </c>
      <c r="E1724" s="158">
        <v>-0.53333299999999995</v>
      </c>
      <c r="F1724" s="159">
        <v>4.7</v>
      </c>
      <c r="G1724" s="160">
        <v>3.6</v>
      </c>
      <c r="H1724" s="161">
        <v>6.6</v>
      </c>
      <c r="I1724" s="161">
        <v>9</v>
      </c>
      <c r="J1724" s="161">
        <v>83.8</v>
      </c>
      <c r="K1724" s="160">
        <v>0.96</v>
      </c>
    </row>
    <row r="1725" spans="1:11" x14ac:dyDescent="0.3">
      <c r="A1725" s="156" t="s">
        <v>887</v>
      </c>
      <c r="B1725" s="157" t="s">
        <v>888</v>
      </c>
      <c r="C1725" s="157">
        <v>2024</v>
      </c>
      <c r="D1725" s="158">
        <v>38.366667</v>
      </c>
      <c r="E1725" s="158">
        <v>-1.8727780000000001</v>
      </c>
      <c r="F1725" s="159">
        <v>5.9</v>
      </c>
      <c r="G1725" s="160">
        <v>7.1</v>
      </c>
      <c r="H1725" s="161">
        <v>59</v>
      </c>
      <c r="I1725" s="161">
        <v>6</v>
      </c>
      <c r="J1725" s="161">
        <v>23.1</v>
      </c>
      <c r="K1725" s="160">
        <v>0.47000000000000003</v>
      </c>
    </row>
    <row r="1726" spans="1:11" x14ac:dyDescent="0.3">
      <c r="A1726" s="156" t="s">
        <v>887</v>
      </c>
      <c r="B1726" s="157" t="s">
        <v>888</v>
      </c>
      <c r="C1726" s="157">
        <v>2024</v>
      </c>
      <c r="D1726" s="158">
        <v>84.416664100000006</v>
      </c>
      <c r="E1726" s="158">
        <v>27.450000800000002</v>
      </c>
      <c r="F1726" s="159">
        <v>5.5</v>
      </c>
      <c r="G1726" s="160">
        <v>1.85</v>
      </c>
      <c r="H1726" s="161">
        <v>62.7</v>
      </c>
      <c r="I1726" s="161">
        <v>30</v>
      </c>
      <c r="J1726" s="161">
        <v>11</v>
      </c>
      <c r="K1726" s="160">
        <v>0.13999999999999999</v>
      </c>
    </row>
    <row r="1727" spans="1:11" x14ac:dyDescent="0.3">
      <c r="A1727" s="156" t="s">
        <v>887</v>
      </c>
      <c r="B1727" s="157" t="s">
        <v>888</v>
      </c>
      <c r="C1727" s="157">
        <v>2024</v>
      </c>
      <c r="D1727" s="158">
        <v>101.2249985</v>
      </c>
      <c r="E1727" s="158">
        <v>-1.2305557</v>
      </c>
      <c r="F1727" s="159">
        <v>4.5999999999999996</v>
      </c>
      <c r="G1727" s="160">
        <v>2.0499999999999998</v>
      </c>
      <c r="H1727" s="161">
        <v>9</v>
      </c>
      <c r="I1727" s="161">
        <v>21</v>
      </c>
      <c r="J1727" s="161">
        <v>69</v>
      </c>
      <c r="K1727" s="160">
        <v>2.5</v>
      </c>
    </row>
    <row r="1728" spans="1:11" x14ac:dyDescent="0.3">
      <c r="A1728" s="156" t="s">
        <v>887</v>
      </c>
      <c r="B1728" s="157" t="s">
        <v>888</v>
      </c>
      <c r="C1728" s="157">
        <v>2024</v>
      </c>
      <c r="D1728" s="158">
        <v>102.25</v>
      </c>
      <c r="E1728" s="158">
        <v>2.7333333333333298</v>
      </c>
      <c r="F1728" s="159">
        <v>5.9</v>
      </c>
      <c r="G1728" s="160">
        <v>1.5</v>
      </c>
      <c r="H1728" s="161">
        <v>14.4</v>
      </c>
      <c r="I1728" s="161">
        <v>20.7</v>
      </c>
      <c r="J1728" s="161">
        <v>64</v>
      </c>
      <c r="K1728" s="160">
        <v>0.82</v>
      </c>
    </row>
    <row r="1729" spans="1:11" x14ac:dyDescent="0.3">
      <c r="A1729" s="156" t="s">
        <v>887</v>
      </c>
      <c r="B1729" s="157" t="s">
        <v>888</v>
      </c>
      <c r="C1729" s="157">
        <v>2024</v>
      </c>
      <c r="D1729" s="158">
        <v>113.26666666666701</v>
      </c>
      <c r="E1729" s="158">
        <v>24.433333333333302</v>
      </c>
      <c r="F1729" s="159">
        <v>4.5999999999999996</v>
      </c>
      <c r="G1729" s="160">
        <v>2</v>
      </c>
      <c r="H1729" s="161">
        <v>34</v>
      </c>
      <c r="I1729" s="161">
        <v>21</v>
      </c>
      <c r="J1729" s="161">
        <v>44.3</v>
      </c>
      <c r="K1729" s="160">
        <v>0.21000000000000002</v>
      </c>
    </row>
    <row r="1730" spans="1:11" x14ac:dyDescent="0.3">
      <c r="A1730" s="156" t="s">
        <v>887</v>
      </c>
      <c r="B1730" s="157" t="s">
        <v>888</v>
      </c>
      <c r="C1730" s="157">
        <v>2024</v>
      </c>
      <c r="D1730" s="158">
        <v>116.916666666667</v>
      </c>
      <c r="E1730" s="158">
        <v>28.216666666666701</v>
      </c>
      <c r="F1730" s="159">
        <v>4.7</v>
      </c>
      <c r="G1730" s="160">
        <v>5.7</v>
      </c>
      <c r="H1730" s="161">
        <v>64</v>
      </c>
      <c r="I1730" s="161">
        <v>15.5</v>
      </c>
      <c r="J1730" s="161">
        <v>5</v>
      </c>
      <c r="K1730" s="160">
        <v>0.06</v>
      </c>
    </row>
    <row r="1731" spans="1:11" x14ac:dyDescent="0.3">
      <c r="A1731" s="156" t="s">
        <v>887</v>
      </c>
      <c r="B1731" s="157" t="s">
        <v>888</v>
      </c>
      <c r="C1731" s="157">
        <v>2024</v>
      </c>
      <c r="D1731" s="158">
        <v>121.2844467</v>
      </c>
      <c r="E1731" s="158">
        <v>24.1511116</v>
      </c>
      <c r="F1731" s="159">
        <v>5</v>
      </c>
      <c r="G1731" s="160">
        <v>6.2</v>
      </c>
      <c r="H1731" s="161">
        <v>73.099999999999994</v>
      </c>
      <c r="I1731" s="161">
        <v>19.100000000000001</v>
      </c>
      <c r="J1731" s="161">
        <v>14.4</v>
      </c>
      <c r="K1731" s="160">
        <v>1.45</v>
      </c>
    </row>
    <row r="1732" spans="1:11" x14ac:dyDescent="0.3">
      <c r="A1732" s="156" t="s">
        <v>887</v>
      </c>
      <c r="B1732" s="157" t="s">
        <v>888</v>
      </c>
      <c r="C1732" s="157">
        <v>2024</v>
      </c>
      <c r="D1732" s="158">
        <v>145.36666666666699</v>
      </c>
      <c r="E1732" s="158">
        <v>-6.0333333333333297</v>
      </c>
      <c r="F1732" s="159">
        <v>5.8</v>
      </c>
      <c r="G1732" s="160">
        <v>7</v>
      </c>
      <c r="H1732" s="161">
        <v>20</v>
      </c>
      <c r="I1732" s="161">
        <v>20</v>
      </c>
      <c r="J1732" s="161">
        <v>43</v>
      </c>
      <c r="K1732" s="160">
        <v>0.5</v>
      </c>
    </row>
    <row r="1733" spans="1:11" x14ac:dyDescent="0.3">
      <c r="A1733" s="156" t="s">
        <v>887</v>
      </c>
      <c r="B1733" s="157" t="s">
        <v>888</v>
      </c>
      <c r="C1733" s="157">
        <v>2024</v>
      </c>
      <c r="D1733" s="158">
        <v>-106.4197235</v>
      </c>
      <c r="E1733" s="158">
        <v>39.528331799999997</v>
      </c>
      <c r="F1733" s="159">
        <v>5.8</v>
      </c>
      <c r="G1733" s="160">
        <v>7</v>
      </c>
      <c r="H1733" s="161">
        <v>43.5</v>
      </c>
      <c r="I1733" s="161">
        <v>50.6</v>
      </c>
      <c r="J1733" s="161">
        <v>12</v>
      </c>
      <c r="K1733" s="160">
        <v>0.11000000000000001</v>
      </c>
    </row>
    <row r="1734" spans="1:11" x14ac:dyDescent="0.3">
      <c r="A1734" s="156" t="s">
        <v>887</v>
      </c>
      <c r="B1734" s="157" t="s">
        <v>888</v>
      </c>
      <c r="C1734" s="157">
        <v>2024</v>
      </c>
      <c r="D1734" s="158">
        <v>-99.570129399999999</v>
      </c>
      <c r="E1734" s="158">
        <v>40.466949499999998</v>
      </c>
      <c r="F1734" s="159">
        <v>5.8</v>
      </c>
      <c r="G1734" s="160">
        <v>14</v>
      </c>
      <c r="H1734" s="161">
        <v>10.3</v>
      </c>
      <c r="I1734" s="161">
        <v>67.099999999999994</v>
      </c>
      <c r="J1734" s="161">
        <v>18</v>
      </c>
      <c r="K1734" s="160">
        <v>1.3800000000000001</v>
      </c>
    </row>
    <row r="1735" spans="1:11" x14ac:dyDescent="0.3">
      <c r="A1735" s="156" t="s">
        <v>887</v>
      </c>
      <c r="B1735" s="157" t="s">
        <v>888</v>
      </c>
      <c r="C1735" s="157">
        <v>2024</v>
      </c>
      <c r="D1735" s="158">
        <v>-93.982922200000004</v>
      </c>
      <c r="E1735" s="158">
        <v>39.916247200000001</v>
      </c>
      <c r="F1735" s="159">
        <v>8</v>
      </c>
      <c r="G1735" s="160">
        <v>19</v>
      </c>
      <c r="H1735" s="161">
        <v>0.6</v>
      </c>
      <c r="I1735" s="161">
        <v>36.5</v>
      </c>
      <c r="J1735" s="161">
        <v>27</v>
      </c>
      <c r="K1735" s="160">
        <v>1.6</v>
      </c>
    </row>
    <row r="1736" spans="1:11" x14ac:dyDescent="0.3">
      <c r="A1736" s="156" t="s">
        <v>887</v>
      </c>
      <c r="B1736" s="157" t="s">
        <v>888</v>
      </c>
      <c r="C1736" s="157">
        <v>2024</v>
      </c>
      <c r="D1736" s="158">
        <v>-93.912222200000002</v>
      </c>
      <c r="E1736" s="158">
        <v>39.6969444</v>
      </c>
      <c r="F1736" s="159">
        <v>5.9</v>
      </c>
      <c r="G1736" s="160">
        <v>15.2</v>
      </c>
      <c r="H1736" s="161">
        <v>3.2</v>
      </c>
      <c r="I1736" s="161">
        <v>63.4</v>
      </c>
      <c r="J1736" s="161">
        <v>33.200000000000003</v>
      </c>
      <c r="K1736" s="160">
        <v>0.3</v>
      </c>
    </row>
    <row r="1737" spans="1:11" x14ac:dyDescent="0.3">
      <c r="A1737" s="156" t="s">
        <v>887</v>
      </c>
      <c r="B1737" s="157" t="s">
        <v>888</v>
      </c>
      <c r="C1737" s="157">
        <v>2024</v>
      </c>
      <c r="D1737" s="158">
        <v>-93.578536999999997</v>
      </c>
      <c r="E1737" s="158">
        <v>38.0925522</v>
      </c>
      <c r="F1737" s="159">
        <v>6.7</v>
      </c>
      <c r="G1737" s="160">
        <v>21.4</v>
      </c>
      <c r="H1737" s="161">
        <v>23.2</v>
      </c>
      <c r="I1737" s="161">
        <v>73.599999999999994</v>
      </c>
      <c r="J1737" s="161">
        <v>11</v>
      </c>
      <c r="K1737" s="160">
        <v>0.47000000000000003</v>
      </c>
    </row>
    <row r="1738" spans="1:11" x14ac:dyDescent="0.3">
      <c r="A1738" s="156" t="s">
        <v>887</v>
      </c>
      <c r="B1738" s="157" t="s">
        <v>888</v>
      </c>
      <c r="C1738" s="157">
        <v>2024</v>
      </c>
      <c r="D1738" s="158">
        <v>-93.509933500000002</v>
      </c>
      <c r="E1738" s="158">
        <v>41.0064049</v>
      </c>
      <c r="F1738" s="159">
        <v>6.3</v>
      </c>
      <c r="G1738" s="160">
        <v>23.65</v>
      </c>
      <c r="H1738" s="161">
        <v>1.5</v>
      </c>
      <c r="I1738" s="161">
        <v>64.099999999999994</v>
      </c>
      <c r="J1738" s="161">
        <v>33.700000000000003</v>
      </c>
      <c r="K1738" s="160">
        <v>0.12</v>
      </c>
    </row>
    <row r="1739" spans="1:11" x14ac:dyDescent="0.3">
      <c r="A1739" s="156" t="s">
        <v>887</v>
      </c>
      <c r="B1739" s="157" t="s">
        <v>888</v>
      </c>
      <c r="C1739" s="157">
        <v>2024</v>
      </c>
      <c r="D1739" s="158">
        <v>-93.421305599999997</v>
      </c>
      <c r="E1739" s="158">
        <v>37.203791699999996</v>
      </c>
      <c r="F1739" s="159">
        <v>5</v>
      </c>
      <c r="G1739" s="160">
        <v>30</v>
      </c>
      <c r="H1739" s="161">
        <v>55.3</v>
      </c>
      <c r="I1739" s="161">
        <v>51.7</v>
      </c>
      <c r="J1739" s="161">
        <v>28.5</v>
      </c>
      <c r="K1739" s="160">
        <v>1.5</v>
      </c>
    </row>
    <row r="1740" spans="1:11" x14ac:dyDescent="0.3">
      <c r="A1740" s="156" t="s">
        <v>887</v>
      </c>
      <c r="B1740" s="157" t="s">
        <v>888</v>
      </c>
      <c r="C1740" s="157">
        <v>2024</v>
      </c>
      <c r="D1740" s="158">
        <v>-93.396667500000007</v>
      </c>
      <c r="E1740" s="158">
        <v>37.561668400000002</v>
      </c>
      <c r="F1740" s="159">
        <v>5.4</v>
      </c>
      <c r="G1740" s="160">
        <v>9.8000000000000007</v>
      </c>
      <c r="H1740" s="161">
        <v>1.3</v>
      </c>
      <c r="I1740" s="161">
        <v>52.1</v>
      </c>
      <c r="J1740" s="161">
        <v>39.5</v>
      </c>
      <c r="K1740" s="160">
        <v>0.02</v>
      </c>
    </row>
    <row r="1741" spans="1:11" x14ac:dyDescent="0.3">
      <c r="A1741" s="156" t="s">
        <v>887</v>
      </c>
      <c r="B1741" s="157" t="s">
        <v>888</v>
      </c>
      <c r="C1741" s="157">
        <v>2024</v>
      </c>
      <c r="D1741" s="158">
        <v>-93.153053299999996</v>
      </c>
      <c r="E1741" s="158">
        <v>31.150554700000001</v>
      </c>
      <c r="F1741" s="159">
        <v>8.1</v>
      </c>
      <c r="G1741" s="160">
        <v>23.95</v>
      </c>
      <c r="H1741" s="161">
        <v>10.4</v>
      </c>
      <c r="I1741" s="161">
        <v>41.2</v>
      </c>
      <c r="J1741" s="161">
        <v>53.1</v>
      </c>
      <c r="K1741" s="160">
        <v>0.06</v>
      </c>
    </row>
    <row r="1742" spans="1:11" x14ac:dyDescent="0.3">
      <c r="A1742" s="156" t="s">
        <v>887</v>
      </c>
      <c r="B1742" s="157" t="s">
        <v>888</v>
      </c>
      <c r="C1742" s="157">
        <v>2024</v>
      </c>
      <c r="D1742" s="158">
        <v>-93.075721700000003</v>
      </c>
      <c r="E1742" s="158">
        <v>45.389362300000002</v>
      </c>
      <c r="F1742" s="159">
        <v>6.1</v>
      </c>
      <c r="G1742" s="160">
        <v>1.3</v>
      </c>
      <c r="H1742" s="161">
        <v>63</v>
      </c>
      <c r="I1742" s="161">
        <v>7.3</v>
      </c>
      <c r="J1742" s="161">
        <v>3</v>
      </c>
      <c r="K1742" s="160">
        <v>5.0999999999999996</v>
      </c>
    </row>
    <row r="1743" spans="1:11" x14ac:dyDescent="0.3">
      <c r="A1743" s="156" t="s">
        <v>887</v>
      </c>
      <c r="B1743" s="157" t="s">
        <v>888</v>
      </c>
      <c r="C1743" s="157">
        <v>2024</v>
      </c>
      <c r="D1743" s="158">
        <v>-92.766666700000002</v>
      </c>
      <c r="E1743" s="158">
        <v>39</v>
      </c>
      <c r="F1743" s="159">
        <v>5.2</v>
      </c>
      <c r="G1743" s="160">
        <v>19.600000000000001</v>
      </c>
      <c r="H1743" s="161">
        <v>5.3</v>
      </c>
      <c r="I1743" s="161">
        <v>63</v>
      </c>
      <c r="J1743" s="161">
        <v>22.8</v>
      </c>
      <c r="K1743" s="160">
        <v>0.5</v>
      </c>
    </row>
    <row r="1744" spans="1:11" x14ac:dyDescent="0.3">
      <c r="A1744" s="156" t="s">
        <v>887</v>
      </c>
      <c r="B1744" s="157" t="s">
        <v>888</v>
      </c>
      <c r="C1744" s="157">
        <v>2024</v>
      </c>
      <c r="D1744" s="158">
        <v>-92.601111099999997</v>
      </c>
      <c r="E1744" s="158">
        <v>36.796666700000003</v>
      </c>
      <c r="F1744" s="159">
        <v>4.9000000000000004</v>
      </c>
      <c r="G1744" s="160">
        <v>1.85</v>
      </c>
      <c r="H1744" s="161">
        <v>3.8</v>
      </c>
      <c r="I1744" s="161">
        <v>12.2</v>
      </c>
      <c r="J1744" s="161">
        <v>70.8</v>
      </c>
      <c r="K1744" s="160">
        <v>0.2</v>
      </c>
    </row>
    <row r="1745" spans="1:11" x14ac:dyDescent="0.3">
      <c r="A1745" s="156" t="s">
        <v>887</v>
      </c>
      <c r="B1745" s="157" t="s">
        <v>888</v>
      </c>
      <c r="C1745" s="157">
        <v>2024</v>
      </c>
      <c r="D1745" s="158">
        <v>-92.383883299999994</v>
      </c>
      <c r="E1745" s="158">
        <v>38.707152800000003</v>
      </c>
      <c r="F1745" s="159">
        <v>5.9</v>
      </c>
      <c r="G1745" s="160">
        <v>16</v>
      </c>
      <c r="H1745" s="161">
        <v>4.4000000000000004</v>
      </c>
      <c r="I1745" s="161">
        <v>81.8</v>
      </c>
      <c r="J1745" s="161">
        <v>14.4</v>
      </c>
      <c r="K1745" s="160">
        <v>0.5</v>
      </c>
    </row>
    <row r="1746" spans="1:11" x14ac:dyDescent="0.3">
      <c r="A1746" s="156" t="s">
        <v>887</v>
      </c>
      <c r="B1746" s="157" t="s">
        <v>888</v>
      </c>
      <c r="C1746" s="157">
        <v>2024</v>
      </c>
      <c r="D1746" s="158">
        <v>-92.345169067382798</v>
      </c>
      <c r="E1746" s="158">
        <v>38.967266082763601</v>
      </c>
      <c r="F1746" s="159">
        <v>7.6</v>
      </c>
      <c r="G1746" s="160">
        <v>14</v>
      </c>
      <c r="H1746" s="161">
        <v>7.4</v>
      </c>
      <c r="I1746" s="161">
        <v>65.599999999999994</v>
      </c>
      <c r="J1746" s="161">
        <v>19.8</v>
      </c>
      <c r="K1746" s="160">
        <v>0.3</v>
      </c>
    </row>
    <row r="1747" spans="1:11" x14ac:dyDescent="0.3">
      <c r="A1747" s="156" t="s">
        <v>887</v>
      </c>
      <c r="B1747" s="157" t="s">
        <v>888</v>
      </c>
      <c r="C1747" s="157">
        <v>2024</v>
      </c>
      <c r="D1747" s="158">
        <v>-92.344999999999999</v>
      </c>
      <c r="E1747" s="158">
        <v>38.967222200000002</v>
      </c>
      <c r="F1747" s="159">
        <v>5.3</v>
      </c>
      <c r="G1747" s="160">
        <v>24</v>
      </c>
      <c r="H1747" s="161">
        <v>32.799999999999997</v>
      </c>
      <c r="I1747" s="161">
        <v>51.5</v>
      </c>
      <c r="J1747" s="161">
        <v>79.8</v>
      </c>
      <c r="K1747" s="160">
        <v>0.4</v>
      </c>
    </row>
    <row r="1748" spans="1:11" x14ac:dyDescent="0.3">
      <c r="A1748" s="156" t="s">
        <v>887</v>
      </c>
      <c r="B1748" s="157" t="s">
        <v>888</v>
      </c>
      <c r="C1748" s="157">
        <v>2024</v>
      </c>
      <c r="D1748" s="158">
        <v>-92.342500000000001</v>
      </c>
      <c r="E1748" s="158">
        <v>36.681927799999997</v>
      </c>
      <c r="F1748" s="159">
        <v>5.9</v>
      </c>
      <c r="G1748" s="160">
        <v>4</v>
      </c>
      <c r="H1748" s="161">
        <v>14.4</v>
      </c>
      <c r="I1748" s="161">
        <v>68.599999999999994</v>
      </c>
      <c r="J1748" s="161">
        <v>12.8</v>
      </c>
      <c r="K1748" s="160">
        <v>0.1</v>
      </c>
    </row>
    <row r="1749" spans="1:11" x14ac:dyDescent="0.3">
      <c r="A1749" s="156" t="s">
        <v>887</v>
      </c>
      <c r="B1749" s="157" t="s">
        <v>888</v>
      </c>
      <c r="C1749" s="157">
        <v>2024</v>
      </c>
      <c r="D1749" s="158">
        <v>-92.216667200000003</v>
      </c>
      <c r="E1749" s="158">
        <v>38.900001500000002</v>
      </c>
      <c r="F1749" s="159">
        <v>4.8</v>
      </c>
      <c r="G1749" s="160">
        <v>23</v>
      </c>
      <c r="H1749" s="161">
        <v>6.6</v>
      </c>
      <c r="I1749" s="161">
        <v>39.200000000000003</v>
      </c>
      <c r="J1749" s="161">
        <v>25.3</v>
      </c>
      <c r="K1749" s="160">
        <v>1.17</v>
      </c>
    </row>
    <row r="1750" spans="1:11" x14ac:dyDescent="0.3">
      <c r="A1750" s="156" t="s">
        <v>887</v>
      </c>
      <c r="B1750" s="157" t="s">
        <v>888</v>
      </c>
      <c r="C1750" s="157">
        <v>2024</v>
      </c>
      <c r="D1750" s="158">
        <v>-92.069572199999996</v>
      </c>
      <c r="E1750" s="158">
        <v>36.609811100000002</v>
      </c>
      <c r="F1750" s="159">
        <v>5</v>
      </c>
      <c r="G1750" s="160">
        <v>2</v>
      </c>
      <c r="H1750" s="161">
        <v>10.9</v>
      </c>
      <c r="I1750" s="161">
        <v>41.7</v>
      </c>
      <c r="J1750" s="161">
        <v>52.6</v>
      </c>
      <c r="K1750" s="160">
        <v>0.1</v>
      </c>
    </row>
    <row r="1751" spans="1:11" x14ac:dyDescent="0.3">
      <c r="A1751" s="156" t="s">
        <v>887</v>
      </c>
      <c r="B1751" s="157" t="s">
        <v>888</v>
      </c>
      <c r="C1751" s="157">
        <v>2024</v>
      </c>
      <c r="D1751" s="158">
        <v>-91.965711400000004</v>
      </c>
      <c r="E1751" s="158">
        <v>38.201430000000002</v>
      </c>
      <c r="F1751" s="159">
        <v>7.8</v>
      </c>
      <c r="G1751" s="160">
        <v>7</v>
      </c>
      <c r="H1751" s="161">
        <v>4.3</v>
      </c>
      <c r="I1751" s="161">
        <v>19.399999999999999</v>
      </c>
      <c r="J1751" s="161">
        <v>46.2</v>
      </c>
      <c r="K1751" s="160">
        <v>0.3</v>
      </c>
    </row>
    <row r="1752" spans="1:11" x14ac:dyDescent="0.3">
      <c r="A1752" s="156" t="s">
        <v>887</v>
      </c>
      <c r="B1752" s="157" t="s">
        <v>888</v>
      </c>
      <c r="C1752" s="157">
        <v>2024</v>
      </c>
      <c r="D1752" s="158">
        <v>-91.140961099999998</v>
      </c>
      <c r="E1752" s="158">
        <v>37.173644400000001</v>
      </c>
      <c r="F1752" s="159">
        <v>4.9000000000000004</v>
      </c>
      <c r="G1752" s="160">
        <v>10</v>
      </c>
      <c r="H1752" s="161">
        <v>18.5</v>
      </c>
      <c r="I1752" s="161">
        <v>34.4</v>
      </c>
      <c r="J1752" s="161">
        <v>10.8</v>
      </c>
      <c r="K1752" s="160">
        <v>0.7</v>
      </c>
    </row>
    <row r="1753" spans="1:11" x14ac:dyDescent="0.3">
      <c r="A1753" s="156" t="s">
        <v>887</v>
      </c>
      <c r="B1753" s="157" t="s">
        <v>888</v>
      </c>
      <c r="C1753" s="157">
        <v>2024</v>
      </c>
      <c r="D1753" s="158">
        <v>-91.100399999999993</v>
      </c>
      <c r="E1753" s="158">
        <v>37.133650000000003</v>
      </c>
      <c r="F1753" s="159">
        <v>4.9000000000000004</v>
      </c>
      <c r="G1753" s="160">
        <v>9</v>
      </c>
      <c r="H1753" s="161">
        <v>48.6</v>
      </c>
      <c r="I1753" s="161">
        <v>37.9</v>
      </c>
      <c r="J1753" s="161">
        <v>9.4</v>
      </c>
      <c r="K1753" s="160">
        <v>0.04</v>
      </c>
    </row>
    <row r="1754" spans="1:11" x14ac:dyDescent="0.3">
      <c r="A1754" s="156" t="s">
        <v>887</v>
      </c>
      <c r="B1754" s="157" t="s">
        <v>888</v>
      </c>
      <c r="C1754" s="157">
        <v>2024</v>
      </c>
      <c r="D1754" s="158">
        <v>-91.098736099999996</v>
      </c>
      <c r="E1754" s="158">
        <v>37.147538900000001</v>
      </c>
      <c r="F1754" s="159">
        <v>4.8</v>
      </c>
      <c r="G1754" s="160">
        <v>1</v>
      </c>
      <c r="H1754" s="161">
        <v>13</v>
      </c>
      <c r="I1754" s="161">
        <v>52.7</v>
      </c>
      <c r="J1754" s="161">
        <v>12.2</v>
      </c>
      <c r="K1754" s="160">
        <v>0.1</v>
      </c>
    </row>
    <row r="1755" spans="1:11" x14ac:dyDescent="0.3">
      <c r="A1755" s="156" t="s">
        <v>887</v>
      </c>
      <c r="B1755" s="157" t="s">
        <v>888</v>
      </c>
      <c r="C1755" s="157">
        <v>2024</v>
      </c>
      <c r="D1755" s="158">
        <v>-91.095963900000001</v>
      </c>
      <c r="E1755" s="158">
        <v>37.145872199999999</v>
      </c>
      <c r="F1755" s="159">
        <v>4.9000000000000004</v>
      </c>
      <c r="G1755" s="160">
        <v>3</v>
      </c>
      <c r="H1755" s="161">
        <v>28.2</v>
      </c>
      <c r="I1755" s="161">
        <v>42</v>
      </c>
      <c r="J1755" s="161">
        <v>17.5</v>
      </c>
      <c r="K1755" s="160">
        <v>0.2</v>
      </c>
    </row>
    <row r="1756" spans="1:11" x14ac:dyDescent="0.3">
      <c r="A1756" s="156" t="s">
        <v>887</v>
      </c>
      <c r="B1756" s="157" t="s">
        <v>888</v>
      </c>
      <c r="C1756" s="157">
        <v>2024</v>
      </c>
      <c r="D1756" s="158">
        <v>-90.961776733398395</v>
      </c>
      <c r="E1756" s="158">
        <v>30.8141059875488</v>
      </c>
      <c r="F1756" s="159">
        <v>5.2</v>
      </c>
      <c r="G1756" s="160">
        <v>3.15</v>
      </c>
      <c r="H1756" s="161">
        <v>66.400000000000006</v>
      </c>
      <c r="I1756" s="161">
        <v>38.200000000000003</v>
      </c>
      <c r="J1756" s="161">
        <v>22.9</v>
      </c>
      <c r="K1756" s="160">
        <v>0.02</v>
      </c>
    </row>
    <row r="1757" spans="1:11" x14ac:dyDescent="0.3">
      <c r="A1757" s="156" t="s">
        <v>887</v>
      </c>
      <c r="B1757" s="157" t="s">
        <v>888</v>
      </c>
      <c r="C1757" s="157">
        <v>2024</v>
      </c>
      <c r="D1757" s="158">
        <v>-90.809694399999998</v>
      </c>
      <c r="E1757" s="158">
        <v>39.130000000000003</v>
      </c>
      <c r="F1757" s="159">
        <v>5.5</v>
      </c>
      <c r="G1757" s="160">
        <v>15.4</v>
      </c>
      <c r="H1757" s="161">
        <v>1.1000000000000001</v>
      </c>
      <c r="I1757" s="161">
        <v>73.2</v>
      </c>
      <c r="J1757" s="161">
        <v>25.8</v>
      </c>
      <c r="K1757" s="160">
        <v>0.2</v>
      </c>
    </row>
    <row r="1758" spans="1:11" x14ac:dyDescent="0.3">
      <c r="A1758" s="156" t="s">
        <v>887</v>
      </c>
      <c r="B1758" s="157" t="s">
        <v>888</v>
      </c>
      <c r="C1758" s="157">
        <v>2024</v>
      </c>
      <c r="D1758" s="158">
        <v>-90.282234200000005</v>
      </c>
      <c r="E1758" s="158">
        <v>37.155254399999997</v>
      </c>
      <c r="F1758" s="159">
        <v>5</v>
      </c>
      <c r="G1758" s="160">
        <v>3.25</v>
      </c>
      <c r="H1758" s="161">
        <v>3.4</v>
      </c>
      <c r="I1758" s="161">
        <v>9</v>
      </c>
      <c r="J1758" s="161">
        <v>88.2</v>
      </c>
      <c r="K1758" s="160">
        <v>0.2</v>
      </c>
    </row>
    <row r="1759" spans="1:11" x14ac:dyDescent="0.3">
      <c r="A1759" s="156" t="s">
        <v>887</v>
      </c>
      <c r="B1759" s="157" t="s">
        <v>888</v>
      </c>
      <c r="C1759" s="157">
        <v>2024</v>
      </c>
      <c r="D1759" s="158">
        <v>-87.366943399999997</v>
      </c>
      <c r="E1759" s="158">
        <v>35.790000900000003</v>
      </c>
      <c r="F1759" s="159">
        <v>4.9000000000000004</v>
      </c>
      <c r="G1759" s="160">
        <v>5.95</v>
      </c>
      <c r="H1759" s="161">
        <v>9</v>
      </c>
      <c r="I1759" s="161">
        <v>52.3</v>
      </c>
      <c r="J1759" s="161">
        <v>36.799999999999997</v>
      </c>
      <c r="K1759" s="160">
        <v>0.08</v>
      </c>
    </row>
    <row r="1760" spans="1:11" x14ac:dyDescent="0.3">
      <c r="A1760" s="156" t="s">
        <v>887</v>
      </c>
      <c r="B1760" s="157" t="s">
        <v>888</v>
      </c>
      <c r="C1760" s="157">
        <v>2024</v>
      </c>
      <c r="D1760" s="158">
        <v>-84.533058199999999</v>
      </c>
      <c r="E1760" s="158">
        <v>37.970001199999999</v>
      </c>
      <c r="F1760" s="159">
        <v>5.2</v>
      </c>
      <c r="G1760" s="160">
        <v>10.25</v>
      </c>
      <c r="H1760" s="161">
        <v>14.4</v>
      </c>
      <c r="I1760" s="161">
        <v>41.3</v>
      </c>
      <c r="J1760" s="161">
        <v>47.6</v>
      </c>
      <c r="K1760" s="160">
        <v>0.16</v>
      </c>
    </row>
    <row r="1761" spans="1:11" x14ac:dyDescent="0.3">
      <c r="A1761" s="156" t="s">
        <v>887</v>
      </c>
      <c r="B1761" s="157" t="s">
        <v>888</v>
      </c>
      <c r="C1761" s="157">
        <v>2024</v>
      </c>
      <c r="D1761" s="158">
        <v>-83.6666666666667</v>
      </c>
      <c r="E1761" s="158">
        <v>9.93333333333333</v>
      </c>
      <c r="F1761" s="159">
        <v>6.2</v>
      </c>
      <c r="G1761" s="160">
        <v>3.3</v>
      </c>
      <c r="H1761" s="161">
        <v>70</v>
      </c>
      <c r="I1761" s="161">
        <v>25</v>
      </c>
      <c r="J1761" s="161">
        <v>2.4</v>
      </c>
      <c r="K1761" s="160">
        <v>0.48</v>
      </c>
    </row>
    <row r="1762" spans="1:11" x14ac:dyDescent="0.3">
      <c r="A1762" s="156" t="s">
        <v>887</v>
      </c>
      <c r="B1762" s="157" t="s">
        <v>888</v>
      </c>
      <c r="C1762" s="157">
        <v>2024</v>
      </c>
      <c r="D1762" s="158">
        <v>-83.665277777777803</v>
      </c>
      <c r="E1762" s="158">
        <v>9.9</v>
      </c>
      <c r="F1762" s="159">
        <v>4.7</v>
      </c>
      <c r="G1762" s="160">
        <v>7.6</v>
      </c>
      <c r="H1762" s="161">
        <v>33</v>
      </c>
      <c r="I1762" s="161">
        <v>33.4</v>
      </c>
      <c r="J1762" s="161">
        <v>34.4</v>
      </c>
      <c r="K1762" s="160">
        <v>2.25</v>
      </c>
    </row>
    <row r="1763" spans="1:11" x14ac:dyDescent="0.3">
      <c r="A1763" s="156" t="s">
        <v>887</v>
      </c>
      <c r="B1763" s="157" t="s">
        <v>888</v>
      </c>
      <c r="C1763" s="157">
        <v>2024</v>
      </c>
      <c r="D1763" s="158">
        <v>-79.366666666666703</v>
      </c>
      <c r="E1763" s="158">
        <v>2.5000000000000001E-2</v>
      </c>
      <c r="F1763" s="159">
        <v>6.2</v>
      </c>
      <c r="G1763" s="160">
        <v>1.5</v>
      </c>
      <c r="H1763" s="161">
        <v>36</v>
      </c>
      <c r="I1763" s="161">
        <v>41</v>
      </c>
      <c r="J1763" s="161">
        <v>22</v>
      </c>
      <c r="K1763" s="160">
        <v>0.65999999999999992</v>
      </c>
    </row>
    <row r="1764" spans="1:11" x14ac:dyDescent="0.3">
      <c r="A1764" s="156" t="s">
        <v>887</v>
      </c>
      <c r="B1764" s="157" t="s">
        <v>888</v>
      </c>
      <c r="C1764" s="157">
        <v>2024</v>
      </c>
      <c r="D1764" s="158">
        <v>-78.653055600000002</v>
      </c>
      <c r="E1764" s="158">
        <v>41.3163889</v>
      </c>
      <c r="F1764" s="159">
        <v>4.0999999999999996</v>
      </c>
      <c r="G1764" s="160">
        <v>33</v>
      </c>
      <c r="H1764" s="161">
        <v>44.1</v>
      </c>
      <c r="I1764" s="161">
        <v>42.5</v>
      </c>
      <c r="J1764" s="161">
        <v>19.3</v>
      </c>
      <c r="K1764" s="160">
        <v>2.16</v>
      </c>
    </row>
    <row r="1765" spans="1:11" x14ac:dyDescent="0.3">
      <c r="A1765" s="156" t="s">
        <v>887</v>
      </c>
      <c r="B1765" s="157" t="s">
        <v>888</v>
      </c>
      <c r="C1765" s="157">
        <v>2024</v>
      </c>
      <c r="D1765" s="158">
        <v>-78.558891299999999</v>
      </c>
      <c r="E1765" s="158">
        <v>42.045276600000001</v>
      </c>
      <c r="F1765" s="159">
        <v>5.6</v>
      </c>
      <c r="G1765" s="160">
        <v>11.25</v>
      </c>
      <c r="H1765" s="161">
        <v>16.600000000000001</v>
      </c>
      <c r="I1765" s="161">
        <v>60.5</v>
      </c>
      <c r="J1765" s="161">
        <v>21.9</v>
      </c>
      <c r="K1765" s="160">
        <v>0.13</v>
      </c>
    </row>
    <row r="1766" spans="1:11" x14ac:dyDescent="0.3">
      <c r="A1766" s="156" t="s">
        <v>887</v>
      </c>
      <c r="B1766" s="157" t="s">
        <v>888</v>
      </c>
      <c r="C1766" s="157">
        <v>2024</v>
      </c>
      <c r="D1766" s="158">
        <v>-76.695556600000003</v>
      </c>
      <c r="E1766" s="158">
        <v>38.944721199999996</v>
      </c>
      <c r="F1766" s="159">
        <v>4.8</v>
      </c>
      <c r="G1766" s="160">
        <v>3</v>
      </c>
      <c r="H1766" s="161">
        <v>78.8</v>
      </c>
      <c r="I1766" s="161">
        <v>2.1</v>
      </c>
      <c r="J1766" s="161">
        <v>5</v>
      </c>
      <c r="K1766" s="160">
        <v>0.13</v>
      </c>
    </row>
    <row r="1767" spans="1:11" x14ac:dyDescent="0.3">
      <c r="A1767" s="156" t="s">
        <v>887</v>
      </c>
      <c r="B1767" s="157" t="s">
        <v>888</v>
      </c>
      <c r="C1767" s="157">
        <v>2024</v>
      </c>
      <c r="D1767" s="158">
        <v>-76.476387000000003</v>
      </c>
      <c r="E1767" s="158">
        <v>35.436668400000002</v>
      </c>
      <c r="F1767" s="159">
        <v>5.4</v>
      </c>
      <c r="G1767" s="160">
        <v>7.95</v>
      </c>
      <c r="H1767" s="161">
        <v>48.6</v>
      </c>
      <c r="I1767" s="161">
        <v>67.7</v>
      </c>
      <c r="J1767" s="161">
        <v>19.899999999999999</v>
      </c>
      <c r="K1767" s="160">
        <v>0.09</v>
      </c>
    </row>
    <row r="1768" spans="1:11" x14ac:dyDescent="0.3">
      <c r="A1768" s="156" t="s">
        <v>887</v>
      </c>
      <c r="B1768" s="157" t="s">
        <v>888</v>
      </c>
      <c r="C1768" s="157">
        <v>2024</v>
      </c>
      <c r="D1768" s="158">
        <v>-76.083335899999994</v>
      </c>
      <c r="E1768" s="158">
        <v>38.457778900000001</v>
      </c>
      <c r="F1768" s="159">
        <v>4.5</v>
      </c>
      <c r="G1768" s="160">
        <v>3.5</v>
      </c>
      <c r="H1768" s="161">
        <v>11.8</v>
      </c>
      <c r="I1768" s="161">
        <v>36.4</v>
      </c>
      <c r="J1768" s="161">
        <v>13.2</v>
      </c>
      <c r="K1768" s="160">
        <v>0.44000000000000006</v>
      </c>
    </row>
    <row r="1769" spans="1:11" x14ac:dyDescent="0.3">
      <c r="A1769" s="156" t="s">
        <v>887</v>
      </c>
      <c r="B1769" s="157" t="s">
        <v>888</v>
      </c>
      <c r="C1769" s="157">
        <v>2024</v>
      </c>
      <c r="D1769" s="158">
        <v>-76.077362100000002</v>
      </c>
      <c r="E1769" s="158">
        <v>36.609848</v>
      </c>
      <c r="F1769" s="159">
        <v>4.3</v>
      </c>
      <c r="G1769" s="160">
        <v>5</v>
      </c>
      <c r="H1769" s="161">
        <v>10</v>
      </c>
      <c r="I1769" s="161">
        <v>55</v>
      </c>
      <c r="J1769" s="161">
        <v>22</v>
      </c>
      <c r="K1769" s="160">
        <v>0.13</v>
      </c>
    </row>
    <row r="1770" spans="1:11" x14ac:dyDescent="0.3">
      <c r="A1770" s="156" t="s">
        <v>887</v>
      </c>
      <c r="B1770" s="157" t="s">
        <v>888</v>
      </c>
      <c r="C1770" s="157">
        <v>2024</v>
      </c>
      <c r="D1770" s="158">
        <v>-74.861114499999999</v>
      </c>
      <c r="E1770" s="158">
        <v>39.25</v>
      </c>
      <c r="F1770" s="159">
        <v>3.6</v>
      </c>
      <c r="G1770" s="160">
        <v>1.2</v>
      </c>
      <c r="H1770" s="161">
        <v>86.7</v>
      </c>
      <c r="I1770" s="161">
        <v>13.5</v>
      </c>
      <c r="J1770" s="161">
        <v>8.8000000000000007</v>
      </c>
      <c r="K1770" s="160">
        <v>0.01</v>
      </c>
    </row>
    <row r="1771" spans="1:11" x14ac:dyDescent="0.3">
      <c r="A1771" s="156" t="s">
        <v>887</v>
      </c>
      <c r="B1771" s="157" t="s">
        <v>888</v>
      </c>
      <c r="C1771" s="157">
        <v>2024</v>
      </c>
      <c r="D1771" s="158">
        <v>-72.394996599999999</v>
      </c>
      <c r="E1771" s="158">
        <v>44.5886116</v>
      </c>
      <c r="F1771" s="159">
        <v>6.1</v>
      </c>
      <c r="G1771" s="160">
        <v>3.25</v>
      </c>
      <c r="H1771" s="161">
        <v>48.4</v>
      </c>
      <c r="I1771" s="161">
        <v>31</v>
      </c>
      <c r="J1771" s="161">
        <v>3.2</v>
      </c>
      <c r="K1771" s="160">
        <v>4.63</v>
      </c>
    </row>
    <row r="1772" spans="1:11" x14ac:dyDescent="0.3">
      <c r="A1772" s="156" t="s">
        <v>887</v>
      </c>
      <c r="B1772" s="157" t="s">
        <v>888</v>
      </c>
      <c r="C1772" s="157">
        <v>2024</v>
      </c>
      <c r="D1772" s="158">
        <v>-70.933333333333294</v>
      </c>
      <c r="E1772" s="158">
        <v>4.56666666666667</v>
      </c>
      <c r="F1772" s="159">
        <v>4.2</v>
      </c>
      <c r="G1772" s="160">
        <v>2.6</v>
      </c>
      <c r="H1772" s="161">
        <v>48</v>
      </c>
      <c r="I1772" s="161">
        <v>39</v>
      </c>
      <c r="J1772" s="161">
        <v>55</v>
      </c>
      <c r="K1772" s="160">
        <v>0.1</v>
      </c>
    </row>
    <row r="1773" spans="1:11" x14ac:dyDescent="0.3">
      <c r="A1773" s="156" t="s">
        <v>887</v>
      </c>
      <c r="B1773" s="157" t="s">
        <v>888</v>
      </c>
      <c r="C1773" s="157">
        <v>2024</v>
      </c>
      <c r="D1773" s="158">
        <v>-66.2667</v>
      </c>
      <c r="E1773" s="158">
        <v>0.4667</v>
      </c>
      <c r="F1773" s="159">
        <v>4.4000000000000004</v>
      </c>
      <c r="G1773" s="160">
        <v>3.7</v>
      </c>
      <c r="H1773" s="161">
        <v>50</v>
      </c>
      <c r="I1773" s="161">
        <v>17</v>
      </c>
      <c r="J1773" s="161">
        <v>34</v>
      </c>
      <c r="K1773" s="160">
        <v>0.57999999999999996</v>
      </c>
    </row>
    <row r="1774" spans="1:11" x14ac:dyDescent="0.3">
      <c r="A1774" s="156" t="s">
        <v>887</v>
      </c>
      <c r="B1774" s="157" t="s">
        <v>888</v>
      </c>
      <c r="C1774" s="157">
        <v>2024</v>
      </c>
      <c r="D1774" s="158">
        <v>-56.0167</v>
      </c>
      <c r="E1774" s="158">
        <v>-15.6333</v>
      </c>
      <c r="F1774" s="159">
        <v>5.0999999999999996</v>
      </c>
      <c r="G1774" s="160">
        <v>3.9</v>
      </c>
      <c r="H1774" s="161">
        <v>63</v>
      </c>
      <c r="I1774" s="161">
        <v>13</v>
      </c>
      <c r="J1774" s="161">
        <v>24</v>
      </c>
      <c r="K1774" s="160">
        <v>0.13</v>
      </c>
    </row>
    <row r="1775" spans="1:11" x14ac:dyDescent="0.3">
      <c r="A1775" s="156" t="s">
        <v>887</v>
      </c>
      <c r="B1775" s="157" t="s">
        <v>888</v>
      </c>
      <c r="C1775" s="157">
        <v>2024</v>
      </c>
      <c r="D1775" s="158">
        <v>0.31138900000000003</v>
      </c>
      <c r="E1775" s="158">
        <v>11.970833000000001</v>
      </c>
      <c r="F1775" s="159">
        <v>5.2</v>
      </c>
      <c r="G1775" s="160">
        <v>1.7</v>
      </c>
      <c r="H1775" s="161">
        <v>71.5</v>
      </c>
      <c r="I1775" s="161">
        <v>19.100000000000001</v>
      </c>
      <c r="J1775" s="161">
        <v>31.5</v>
      </c>
      <c r="K1775" s="160">
        <v>0.21000000000000002</v>
      </c>
    </row>
    <row r="1776" spans="1:11" x14ac:dyDescent="0.3">
      <c r="A1776" s="156" t="s">
        <v>887</v>
      </c>
      <c r="B1776" s="157" t="s">
        <v>888</v>
      </c>
      <c r="C1776" s="157">
        <v>2024</v>
      </c>
      <c r="D1776" s="158">
        <v>4.8666669999999996</v>
      </c>
      <c r="E1776" s="158">
        <v>6.7833329999999998</v>
      </c>
      <c r="F1776" s="159">
        <v>5.0999999999999996</v>
      </c>
      <c r="G1776" s="160">
        <v>4.2</v>
      </c>
      <c r="H1776" s="161">
        <v>51.9</v>
      </c>
      <c r="I1776" s="161">
        <v>35.4</v>
      </c>
      <c r="J1776" s="161">
        <v>33.1</v>
      </c>
      <c r="K1776" s="160">
        <v>0.43</v>
      </c>
    </row>
    <row r="1777" spans="1:11" x14ac:dyDescent="0.3">
      <c r="A1777" s="156" t="s">
        <v>887</v>
      </c>
      <c r="B1777" s="157" t="s">
        <v>888</v>
      </c>
      <c r="C1777" s="157">
        <v>2024</v>
      </c>
      <c r="D1777" s="158">
        <v>11.333333</v>
      </c>
      <c r="E1777" s="158">
        <v>4.1666670000000003</v>
      </c>
      <c r="F1777" s="159">
        <v>7.1</v>
      </c>
      <c r="G1777" s="160">
        <v>24</v>
      </c>
      <c r="H1777" s="161">
        <v>67</v>
      </c>
      <c r="I1777" s="161">
        <v>19</v>
      </c>
      <c r="J1777" s="161">
        <v>35</v>
      </c>
      <c r="K1777" s="160">
        <v>0.71</v>
      </c>
    </row>
    <row r="1778" spans="1:11" x14ac:dyDescent="0.3">
      <c r="A1778" s="156" t="s">
        <v>887</v>
      </c>
      <c r="B1778" s="157" t="s">
        <v>888</v>
      </c>
      <c r="C1778" s="157">
        <v>2024</v>
      </c>
      <c r="D1778" s="158">
        <v>12.8</v>
      </c>
      <c r="E1778" s="158">
        <v>0.51666699999999999</v>
      </c>
      <c r="F1778" s="159">
        <v>4.5</v>
      </c>
      <c r="G1778" s="160">
        <v>4.0999999999999996</v>
      </c>
      <c r="H1778" s="161">
        <v>37.799999999999997</v>
      </c>
      <c r="I1778" s="161">
        <v>4.5999999999999996</v>
      </c>
      <c r="J1778" s="161">
        <v>57.9</v>
      </c>
      <c r="K1778" s="160">
        <v>0.61</v>
      </c>
    </row>
    <row r="1779" spans="1:11" x14ac:dyDescent="0.3">
      <c r="A1779" s="156" t="s">
        <v>887</v>
      </c>
      <c r="B1779" s="157" t="s">
        <v>888</v>
      </c>
      <c r="C1779" s="157">
        <v>2024</v>
      </c>
      <c r="D1779" s="158">
        <v>18.2166672</v>
      </c>
      <c r="E1779" s="158">
        <v>-4.7666668999999997</v>
      </c>
      <c r="F1779" s="159">
        <v>5</v>
      </c>
      <c r="G1779" s="160">
        <v>1.7</v>
      </c>
      <c r="H1779" s="161">
        <v>96.2</v>
      </c>
      <c r="I1779" s="161">
        <v>3.5</v>
      </c>
      <c r="J1779" s="161">
        <v>1.2</v>
      </c>
      <c r="K1779" s="160">
        <v>0.38</v>
      </c>
    </row>
    <row r="1780" spans="1:11" x14ac:dyDescent="0.3">
      <c r="A1780" s="156" t="s">
        <v>887</v>
      </c>
      <c r="B1780" s="157" t="s">
        <v>888</v>
      </c>
      <c r="C1780" s="157">
        <v>2024</v>
      </c>
      <c r="D1780" s="158">
        <v>24.036670000000001</v>
      </c>
      <c r="E1780" s="158">
        <v>-34.00806</v>
      </c>
      <c r="F1780" s="159">
        <v>4.9000000000000004</v>
      </c>
      <c r="G1780" s="160">
        <v>7.2</v>
      </c>
      <c r="H1780" s="161">
        <v>22</v>
      </c>
      <c r="I1780" s="161">
        <v>39</v>
      </c>
      <c r="J1780" s="161">
        <v>21</v>
      </c>
      <c r="K1780" s="160">
        <v>0.5</v>
      </c>
    </row>
    <row r="1781" spans="1:11" x14ac:dyDescent="0.3">
      <c r="A1781" s="156" t="s">
        <v>887</v>
      </c>
      <c r="B1781" s="157" t="s">
        <v>888</v>
      </c>
      <c r="C1781" s="157">
        <v>2024</v>
      </c>
      <c r="D1781" s="158">
        <v>29.316666999999999</v>
      </c>
      <c r="E1781" s="158">
        <v>-3.3666670000000001</v>
      </c>
      <c r="F1781" s="159">
        <v>5.5</v>
      </c>
      <c r="G1781" s="160">
        <v>3.3</v>
      </c>
      <c r="H1781" s="161">
        <v>66</v>
      </c>
      <c r="I1781" s="161">
        <v>8</v>
      </c>
      <c r="J1781" s="161">
        <v>10.6</v>
      </c>
      <c r="K1781" s="160">
        <v>0.48</v>
      </c>
    </row>
    <row r="1782" spans="1:11" x14ac:dyDescent="0.3">
      <c r="A1782" s="156" t="s">
        <v>887</v>
      </c>
      <c r="B1782" s="157" t="s">
        <v>888</v>
      </c>
      <c r="C1782" s="157">
        <v>2024</v>
      </c>
      <c r="D1782" s="158">
        <v>34.383333</v>
      </c>
      <c r="E1782" s="158">
        <v>11.833333</v>
      </c>
      <c r="F1782" s="159">
        <v>8.15</v>
      </c>
      <c r="G1782" s="160">
        <v>11</v>
      </c>
      <c r="H1782" s="161">
        <v>27</v>
      </c>
      <c r="I1782" s="161">
        <v>21.4</v>
      </c>
      <c r="J1782" s="161">
        <v>74.7</v>
      </c>
      <c r="K1782" s="160">
        <v>1.6</v>
      </c>
    </row>
    <row r="1783" spans="1:11" x14ac:dyDescent="0.3">
      <c r="A1783" s="156" t="s">
        <v>887</v>
      </c>
      <c r="B1783" s="157" t="s">
        <v>888</v>
      </c>
      <c r="C1783" s="157">
        <v>2024</v>
      </c>
      <c r="D1783" s="158">
        <v>47.341667000000001</v>
      </c>
      <c r="E1783" s="158">
        <v>-21.162222</v>
      </c>
      <c r="F1783" s="159">
        <v>4.0999999999999996</v>
      </c>
      <c r="G1783" s="160">
        <v>3.3</v>
      </c>
      <c r="H1783" s="161">
        <v>71</v>
      </c>
      <c r="I1783" s="161">
        <v>12</v>
      </c>
      <c r="J1783" s="161">
        <v>8</v>
      </c>
      <c r="K1783" s="160">
        <v>1.23</v>
      </c>
    </row>
    <row r="1784" spans="1:11" x14ac:dyDescent="0.3">
      <c r="A1784" s="156" t="s">
        <v>887</v>
      </c>
      <c r="B1784" s="157" t="s">
        <v>888</v>
      </c>
      <c r="C1784" s="157">
        <v>2024</v>
      </c>
      <c r="D1784" s="158">
        <v>101.2249985</v>
      </c>
      <c r="E1784" s="158">
        <v>-1.2305557</v>
      </c>
      <c r="F1784" s="159">
        <v>4.2</v>
      </c>
      <c r="G1784" s="160">
        <v>1.8</v>
      </c>
      <c r="H1784" s="161">
        <v>22</v>
      </c>
      <c r="I1784" s="161">
        <v>18</v>
      </c>
      <c r="J1784" s="161">
        <v>73</v>
      </c>
      <c r="K1784" s="160">
        <v>0.49000000000000005</v>
      </c>
    </row>
    <row r="1785" spans="1:11" x14ac:dyDescent="0.3">
      <c r="A1785" s="156" t="s">
        <v>887</v>
      </c>
      <c r="B1785" s="157" t="s">
        <v>888</v>
      </c>
      <c r="C1785" s="157">
        <v>2024</v>
      </c>
      <c r="D1785" s="158">
        <v>102.25</v>
      </c>
      <c r="E1785" s="158">
        <v>2.7333333333333298</v>
      </c>
      <c r="F1785" s="159">
        <v>5.7</v>
      </c>
      <c r="G1785" s="160">
        <v>1.6</v>
      </c>
      <c r="H1785" s="161">
        <v>14</v>
      </c>
      <c r="I1785" s="161">
        <v>18.399999999999999</v>
      </c>
      <c r="J1785" s="161">
        <v>67.3</v>
      </c>
      <c r="K1785" s="160">
        <v>0.28999999999999998</v>
      </c>
    </row>
    <row r="1786" spans="1:11" x14ac:dyDescent="0.3">
      <c r="A1786" s="156" t="s">
        <v>887</v>
      </c>
      <c r="B1786" s="157" t="s">
        <v>888</v>
      </c>
      <c r="C1786" s="157">
        <v>2024</v>
      </c>
      <c r="D1786" s="158">
        <v>102.5</v>
      </c>
      <c r="E1786" s="158">
        <v>3.3333333333333299</v>
      </c>
      <c r="F1786" s="159">
        <v>5.4</v>
      </c>
      <c r="G1786" s="160">
        <v>0.8</v>
      </c>
      <c r="H1786" s="161">
        <v>1</v>
      </c>
      <c r="I1786" s="161">
        <v>7</v>
      </c>
      <c r="J1786" s="161">
        <v>91</v>
      </c>
      <c r="K1786" s="160">
        <v>1.67</v>
      </c>
    </row>
    <row r="1787" spans="1:11" x14ac:dyDescent="0.3">
      <c r="A1787" s="156" t="s">
        <v>887</v>
      </c>
      <c r="B1787" s="157" t="s">
        <v>888</v>
      </c>
      <c r="C1787" s="157">
        <v>2024</v>
      </c>
      <c r="D1787" s="158">
        <v>103.566666666667</v>
      </c>
      <c r="E1787" s="158">
        <v>24.866666666666699</v>
      </c>
      <c r="F1787" s="159">
        <v>4.8</v>
      </c>
      <c r="G1787" s="160">
        <v>7.5</v>
      </c>
      <c r="H1787" s="161">
        <v>21.1</v>
      </c>
      <c r="I1787" s="161">
        <v>9</v>
      </c>
      <c r="J1787" s="161">
        <v>85</v>
      </c>
      <c r="K1787" s="160">
        <v>1.1199999999999999</v>
      </c>
    </row>
    <row r="1788" spans="1:11" x14ac:dyDescent="0.3">
      <c r="A1788" s="156" t="s">
        <v>887</v>
      </c>
      <c r="B1788" s="157" t="s">
        <v>888</v>
      </c>
      <c r="C1788" s="157">
        <v>2024</v>
      </c>
      <c r="D1788" s="158">
        <v>104.98333333333299</v>
      </c>
      <c r="E1788" s="158">
        <v>-4.8666666666666698</v>
      </c>
      <c r="F1788" s="159">
        <v>5.0999999999999996</v>
      </c>
      <c r="G1788" s="160">
        <v>2.25</v>
      </c>
      <c r="H1788" s="161">
        <v>5.0999999999999996</v>
      </c>
      <c r="I1788" s="161">
        <v>17</v>
      </c>
      <c r="J1788" s="161">
        <v>77</v>
      </c>
      <c r="K1788" s="160">
        <v>0.38</v>
      </c>
    </row>
    <row r="1789" spans="1:11" x14ac:dyDescent="0.3">
      <c r="A1789" s="156" t="s">
        <v>887</v>
      </c>
      <c r="B1789" s="157" t="s">
        <v>888</v>
      </c>
      <c r="C1789" s="157">
        <v>2024</v>
      </c>
      <c r="D1789" s="158">
        <v>113.26666666666701</v>
      </c>
      <c r="E1789" s="158">
        <v>24.433333333333302</v>
      </c>
      <c r="F1789" s="159">
        <v>4.5999999999999996</v>
      </c>
      <c r="G1789" s="160">
        <v>2.6</v>
      </c>
      <c r="H1789" s="161">
        <v>34</v>
      </c>
      <c r="I1789" s="161">
        <v>21</v>
      </c>
      <c r="J1789" s="161">
        <v>45</v>
      </c>
      <c r="K1789" s="160">
        <v>0.2</v>
      </c>
    </row>
    <row r="1790" spans="1:11" x14ac:dyDescent="0.3">
      <c r="A1790" s="156" t="s">
        <v>887</v>
      </c>
      <c r="B1790" s="157" t="s">
        <v>888</v>
      </c>
      <c r="C1790" s="157">
        <v>2024</v>
      </c>
      <c r="D1790" s="158">
        <v>116.916666666667</v>
      </c>
      <c r="E1790" s="158">
        <v>28.216666666666701</v>
      </c>
      <c r="F1790" s="159">
        <v>4.4000000000000004</v>
      </c>
      <c r="G1790" s="160">
        <v>9.9</v>
      </c>
      <c r="H1790" s="161">
        <v>38</v>
      </c>
      <c r="I1790" s="161">
        <v>13</v>
      </c>
      <c r="J1790" s="161">
        <v>23</v>
      </c>
      <c r="K1790" s="160">
        <v>0.24</v>
      </c>
    </row>
    <row r="1791" spans="1:11" x14ac:dyDescent="0.3">
      <c r="A1791" s="156" t="s">
        <v>887</v>
      </c>
      <c r="B1791" s="157" t="s">
        <v>888</v>
      </c>
      <c r="C1791" s="157">
        <v>2024</v>
      </c>
      <c r="D1791" s="158">
        <v>128.6875</v>
      </c>
      <c r="E1791" s="158">
        <v>37.706390399999997</v>
      </c>
      <c r="F1791" s="159">
        <v>5</v>
      </c>
      <c r="G1791" s="160">
        <v>5.3</v>
      </c>
      <c r="H1791" s="161">
        <v>76</v>
      </c>
      <c r="I1791" s="161">
        <v>44</v>
      </c>
      <c r="J1791" s="161">
        <v>13</v>
      </c>
      <c r="K1791" s="160">
        <v>0.09</v>
      </c>
    </row>
    <row r="1792" spans="1:11" x14ac:dyDescent="0.3">
      <c r="A1792" s="156" t="s">
        <v>887</v>
      </c>
      <c r="B1792" s="157" t="s">
        <v>888</v>
      </c>
      <c r="C1792" s="157">
        <v>2024</v>
      </c>
      <c r="D1792" s="158">
        <v>141.1044464</v>
      </c>
      <c r="E1792" s="158">
        <v>39.310833000000002</v>
      </c>
      <c r="F1792" s="159">
        <v>5.3</v>
      </c>
      <c r="G1792" s="160">
        <v>4.5</v>
      </c>
      <c r="H1792" s="161">
        <v>15</v>
      </c>
      <c r="I1792" s="161">
        <v>35</v>
      </c>
      <c r="J1792" s="161">
        <v>42</v>
      </c>
      <c r="K1792" s="160">
        <v>0.76</v>
      </c>
    </row>
    <row r="1793" spans="1:11" x14ac:dyDescent="0.3">
      <c r="A1793" s="156" t="s">
        <v>887</v>
      </c>
      <c r="B1793" s="157" t="s">
        <v>888</v>
      </c>
      <c r="C1793" s="157">
        <v>2024</v>
      </c>
      <c r="D1793" s="158">
        <v>-150.5</v>
      </c>
      <c r="E1793" s="158">
        <v>65.666664100000006</v>
      </c>
      <c r="F1793" s="159">
        <v>5.5</v>
      </c>
      <c r="G1793" s="160">
        <v>15.4</v>
      </c>
      <c r="H1793" s="161">
        <v>99.4</v>
      </c>
      <c r="I1793" s="161">
        <v>55</v>
      </c>
      <c r="J1793" s="161">
        <v>7</v>
      </c>
      <c r="K1793" s="160">
        <v>0.13</v>
      </c>
    </row>
    <row r="1794" spans="1:11" x14ac:dyDescent="0.3">
      <c r="A1794" s="156" t="s">
        <v>887</v>
      </c>
      <c r="B1794" s="157" t="s">
        <v>888</v>
      </c>
      <c r="C1794" s="157">
        <v>2024</v>
      </c>
      <c r="D1794" s="158">
        <v>-119.5798645</v>
      </c>
      <c r="E1794" s="158">
        <v>37.748813599999998</v>
      </c>
      <c r="F1794" s="159">
        <v>5.8</v>
      </c>
      <c r="G1794" s="160">
        <v>1.6</v>
      </c>
      <c r="H1794" s="161">
        <v>89.7</v>
      </c>
      <c r="I1794" s="161">
        <v>9</v>
      </c>
      <c r="J1794" s="161">
        <v>3</v>
      </c>
      <c r="K1794" s="160">
        <v>0.48</v>
      </c>
    </row>
    <row r="1795" spans="1:11" x14ac:dyDescent="0.3">
      <c r="A1795" s="156" t="s">
        <v>887</v>
      </c>
      <c r="B1795" s="157" t="s">
        <v>888</v>
      </c>
      <c r="C1795" s="157">
        <v>2024</v>
      </c>
      <c r="D1795" s="158">
        <v>-110.5539017</v>
      </c>
      <c r="E1795" s="158">
        <v>44.711208300000003</v>
      </c>
      <c r="F1795" s="159">
        <v>4</v>
      </c>
      <c r="G1795" s="160">
        <v>1.1000000000000001</v>
      </c>
      <c r="H1795" s="161">
        <v>65.3</v>
      </c>
      <c r="I1795" s="161">
        <v>18.8</v>
      </c>
      <c r="J1795" s="161">
        <v>6.6</v>
      </c>
      <c r="K1795" s="160">
        <v>0.04</v>
      </c>
    </row>
    <row r="1796" spans="1:11" x14ac:dyDescent="0.3">
      <c r="A1796" s="156" t="s">
        <v>887</v>
      </c>
      <c r="B1796" s="157" t="s">
        <v>888</v>
      </c>
      <c r="C1796" s="157">
        <v>2024</v>
      </c>
      <c r="D1796" s="158">
        <v>-93.982922200000004</v>
      </c>
      <c r="E1796" s="158">
        <v>39.916247200000001</v>
      </c>
      <c r="F1796" s="159">
        <v>6</v>
      </c>
      <c r="G1796" s="160">
        <v>31</v>
      </c>
      <c r="H1796" s="161">
        <v>28.4</v>
      </c>
      <c r="I1796" s="161">
        <v>78.099999999999994</v>
      </c>
      <c r="J1796" s="161">
        <v>39.200000000000003</v>
      </c>
      <c r="K1796" s="160">
        <v>0.6</v>
      </c>
    </row>
    <row r="1797" spans="1:11" x14ac:dyDescent="0.3">
      <c r="A1797" s="156" t="s">
        <v>887</v>
      </c>
      <c r="B1797" s="157" t="s">
        <v>888</v>
      </c>
      <c r="C1797" s="157">
        <v>2024</v>
      </c>
      <c r="D1797" s="158">
        <v>-93.732861099999994</v>
      </c>
      <c r="E1797" s="158">
        <v>37.627138899999999</v>
      </c>
      <c r="F1797" s="159">
        <v>6.4</v>
      </c>
      <c r="G1797" s="160">
        <v>8</v>
      </c>
      <c r="H1797" s="161">
        <v>6.3</v>
      </c>
      <c r="I1797" s="161">
        <v>75.400000000000006</v>
      </c>
      <c r="J1797" s="161">
        <v>18.3</v>
      </c>
      <c r="K1797" s="160">
        <v>0.3</v>
      </c>
    </row>
    <row r="1798" spans="1:11" x14ac:dyDescent="0.3">
      <c r="A1798" s="156" t="s">
        <v>887</v>
      </c>
      <c r="B1798" s="157" t="s">
        <v>888</v>
      </c>
      <c r="C1798" s="157">
        <v>2024</v>
      </c>
      <c r="D1798" s="158">
        <v>-93.529302799999996</v>
      </c>
      <c r="E1798" s="158">
        <v>37.609216699999998</v>
      </c>
      <c r="F1798" s="159">
        <v>5.2</v>
      </c>
      <c r="G1798" s="160">
        <v>18</v>
      </c>
      <c r="H1798" s="161">
        <v>19.899999999999999</v>
      </c>
      <c r="I1798" s="161">
        <v>43.4</v>
      </c>
      <c r="J1798" s="161">
        <v>49.6</v>
      </c>
      <c r="K1798" s="160">
        <v>0.2</v>
      </c>
    </row>
    <row r="1799" spans="1:11" x14ac:dyDescent="0.3">
      <c r="A1799" s="156" t="s">
        <v>887</v>
      </c>
      <c r="B1799" s="157" t="s">
        <v>888</v>
      </c>
      <c r="C1799" s="157">
        <v>2024</v>
      </c>
      <c r="D1799" s="158">
        <v>-93.421305599999997</v>
      </c>
      <c r="E1799" s="158">
        <v>37.203791699999996</v>
      </c>
      <c r="F1799" s="159">
        <v>8</v>
      </c>
      <c r="G1799" s="160">
        <v>15</v>
      </c>
      <c r="H1799" s="161">
        <v>75.599999999999994</v>
      </c>
      <c r="I1799" s="161">
        <v>34</v>
      </c>
      <c r="J1799" s="161">
        <v>16.100000000000001</v>
      </c>
      <c r="K1799" s="160">
        <v>0.5</v>
      </c>
    </row>
    <row r="1800" spans="1:11" x14ac:dyDescent="0.3">
      <c r="A1800" s="156" t="s">
        <v>887</v>
      </c>
      <c r="B1800" s="157" t="s">
        <v>888</v>
      </c>
      <c r="C1800" s="157">
        <v>2024</v>
      </c>
      <c r="D1800" s="158">
        <v>-92.7960205078125</v>
      </c>
      <c r="E1800" s="158">
        <v>41.083351135253899</v>
      </c>
      <c r="F1800" s="159">
        <v>5.6</v>
      </c>
      <c r="G1800" s="160">
        <v>25.85</v>
      </c>
      <c r="H1800" s="161">
        <v>1.9</v>
      </c>
      <c r="I1800" s="161">
        <v>61.2</v>
      </c>
      <c r="J1800" s="161">
        <v>37.4</v>
      </c>
      <c r="K1800" s="160">
        <v>0.27999999999999997</v>
      </c>
    </row>
    <row r="1801" spans="1:11" x14ac:dyDescent="0.3">
      <c r="A1801" s="156" t="s">
        <v>887</v>
      </c>
      <c r="B1801" s="157" t="s">
        <v>888</v>
      </c>
      <c r="C1801" s="157">
        <v>2024</v>
      </c>
      <c r="D1801" s="158">
        <v>-92.766666700000002</v>
      </c>
      <c r="E1801" s="158">
        <v>39</v>
      </c>
      <c r="F1801" s="159">
        <v>6.8</v>
      </c>
      <c r="G1801" s="160">
        <v>18.8</v>
      </c>
      <c r="H1801" s="161">
        <v>7.4</v>
      </c>
      <c r="I1801" s="161">
        <v>76.599999999999994</v>
      </c>
      <c r="J1801" s="161">
        <v>17.8</v>
      </c>
      <c r="K1801" s="160">
        <v>0.7</v>
      </c>
    </row>
    <row r="1802" spans="1:11" x14ac:dyDescent="0.3">
      <c r="A1802" s="156" t="s">
        <v>887</v>
      </c>
      <c r="B1802" s="157" t="s">
        <v>888</v>
      </c>
      <c r="C1802" s="157">
        <v>2024</v>
      </c>
      <c r="D1802" s="158">
        <v>-92.345169067382798</v>
      </c>
      <c r="E1802" s="158">
        <v>38.967266082763601</v>
      </c>
      <c r="F1802" s="159">
        <v>5.0999999999999996</v>
      </c>
      <c r="G1802" s="160">
        <v>3</v>
      </c>
      <c r="H1802" s="161">
        <v>17.899999999999999</v>
      </c>
      <c r="I1802" s="161">
        <v>67.400000000000006</v>
      </c>
      <c r="J1802" s="161">
        <v>15.4</v>
      </c>
      <c r="K1802" s="160">
        <v>1.1000000000000001</v>
      </c>
    </row>
    <row r="1803" spans="1:11" x14ac:dyDescent="0.3">
      <c r="A1803" s="156" t="s">
        <v>887</v>
      </c>
      <c r="B1803" s="157" t="s">
        <v>888</v>
      </c>
      <c r="C1803" s="157">
        <v>2024</v>
      </c>
      <c r="D1803" s="158">
        <v>-92.344999999999999</v>
      </c>
      <c r="E1803" s="158">
        <v>38.967222200000002</v>
      </c>
      <c r="F1803" s="159">
        <v>4.5</v>
      </c>
      <c r="G1803" s="160">
        <v>44</v>
      </c>
      <c r="H1803" s="161">
        <v>11.2</v>
      </c>
      <c r="I1803" s="161">
        <v>46.3</v>
      </c>
      <c r="J1803" s="161">
        <v>26.6</v>
      </c>
      <c r="K1803" s="160">
        <v>1.6</v>
      </c>
    </row>
    <row r="1804" spans="1:11" x14ac:dyDescent="0.3">
      <c r="A1804" s="156" t="s">
        <v>887</v>
      </c>
      <c r="B1804" s="157" t="s">
        <v>888</v>
      </c>
      <c r="C1804" s="157">
        <v>2024</v>
      </c>
      <c r="D1804" s="158">
        <v>-92.275643700000003</v>
      </c>
      <c r="E1804" s="158">
        <v>38.754294399999999</v>
      </c>
      <c r="F1804" s="159">
        <v>5.4</v>
      </c>
      <c r="G1804" s="160">
        <v>32</v>
      </c>
      <c r="H1804" s="161">
        <v>5.9</v>
      </c>
      <c r="I1804" s="161">
        <v>55</v>
      </c>
      <c r="J1804" s="161">
        <v>26.3</v>
      </c>
      <c r="K1804" s="160">
        <v>1.7</v>
      </c>
    </row>
    <row r="1805" spans="1:11" x14ac:dyDescent="0.3">
      <c r="A1805" s="156" t="s">
        <v>887</v>
      </c>
      <c r="B1805" s="157" t="s">
        <v>888</v>
      </c>
      <c r="C1805" s="157">
        <v>2024</v>
      </c>
      <c r="D1805" s="158">
        <v>-92</v>
      </c>
      <c r="E1805" s="158">
        <v>36</v>
      </c>
      <c r="F1805" s="159">
        <v>5.2</v>
      </c>
      <c r="G1805" s="160">
        <v>27.1</v>
      </c>
      <c r="H1805" s="161">
        <v>24.4</v>
      </c>
      <c r="I1805" s="161">
        <v>56.3</v>
      </c>
      <c r="J1805" s="161">
        <v>9.1</v>
      </c>
      <c r="K1805" s="160">
        <v>0.2</v>
      </c>
    </row>
    <row r="1806" spans="1:11" x14ac:dyDescent="0.3">
      <c r="A1806" s="156" t="s">
        <v>887</v>
      </c>
      <c r="B1806" s="157" t="s">
        <v>888</v>
      </c>
      <c r="C1806" s="157">
        <v>2024</v>
      </c>
      <c r="D1806" s="158">
        <v>-91.868361100000001</v>
      </c>
      <c r="E1806" s="158">
        <v>39.722000000000001</v>
      </c>
      <c r="F1806" s="159">
        <v>7.4</v>
      </c>
      <c r="G1806" s="160">
        <v>23.2</v>
      </c>
      <c r="H1806" s="161">
        <v>24.2</v>
      </c>
      <c r="I1806" s="161">
        <v>48.4</v>
      </c>
      <c r="J1806" s="161">
        <v>27.9</v>
      </c>
      <c r="K1806" s="160">
        <v>0.7</v>
      </c>
    </row>
    <row r="1807" spans="1:11" x14ac:dyDescent="0.3">
      <c r="A1807" s="156" t="s">
        <v>887</v>
      </c>
      <c r="B1807" s="157" t="s">
        <v>888</v>
      </c>
      <c r="C1807" s="157">
        <v>2024</v>
      </c>
      <c r="D1807" s="158">
        <v>-91.588388899999998</v>
      </c>
      <c r="E1807" s="158">
        <v>39.434138900000001</v>
      </c>
      <c r="F1807" s="159">
        <v>4.7</v>
      </c>
      <c r="G1807" s="160">
        <v>13.3</v>
      </c>
      <c r="H1807" s="161">
        <v>6.5</v>
      </c>
      <c r="I1807" s="161">
        <v>42</v>
      </c>
      <c r="J1807" s="161">
        <v>56.7</v>
      </c>
      <c r="K1807" s="160">
        <v>0.1</v>
      </c>
    </row>
    <row r="1808" spans="1:11" x14ac:dyDescent="0.3">
      <c r="A1808" s="156" t="s">
        <v>887</v>
      </c>
      <c r="B1808" s="157" t="s">
        <v>888</v>
      </c>
      <c r="C1808" s="157">
        <v>2024</v>
      </c>
      <c r="D1808" s="158">
        <v>-91.318163900000002</v>
      </c>
      <c r="E1808" s="158">
        <v>38.007972199999998</v>
      </c>
      <c r="F1808" s="159">
        <v>5.2</v>
      </c>
      <c r="G1808" s="160">
        <v>8</v>
      </c>
      <c r="H1808" s="161">
        <v>11</v>
      </c>
      <c r="I1808" s="161">
        <v>54.6</v>
      </c>
      <c r="J1808" s="161">
        <v>34.799999999999997</v>
      </c>
      <c r="K1808" s="160">
        <v>0.2</v>
      </c>
    </row>
    <row r="1809" spans="1:11" x14ac:dyDescent="0.3">
      <c r="A1809" s="156" t="s">
        <v>887</v>
      </c>
      <c r="B1809" s="157" t="s">
        <v>888</v>
      </c>
      <c r="C1809" s="157">
        <v>2024</v>
      </c>
      <c r="D1809" s="158">
        <v>-91.233333299999998</v>
      </c>
      <c r="E1809" s="158">
        <v>37.066666699999999</v>
      </c>
      <c r="F1809" s="159">
        <v>6.5</v>
      </c>
      <c r="G1809" s="160">
        <v>12.35</v>
      </c>
      <c r="H1809" s="161">
        <v>87.6</v>
      </c>
      <c r="I1809" s="161">
        <v>35.4</v>
      </c>
      <c r="J1809" s="161">
        <v>21.8</v>
      </c>
      <c r="K1809" s="160">
        <v>0.3</v>
      </c>
    </row>
    <row r="1810" spans="1:11" x14ac:dyDescent="0.3">
      <c r="A1810" s="156" t="s">
        <v>887</v>
      </c>
      <c r="B1810" s="157" t="s">
        <v>888</v>
      </c>
      <c r="C1810" s="157">
        <v>2024</v>
      </c>
      <c r="D1810" s="158">
        <v>-91.1970472</v>
      </c>
      <c r="E1810" s="158">
        <v>37.012863899999999</v>
      </c>
      <c r="F1810" s="159">
        <v>4.9000000000000004</v>
      </c>
      <c r="G1810" s="160">
        <v>11.15</v>
      </c>
      <c r="H1810" s="161">
        <v>31.1</v>
      </c>
      <c r="I1810" s="161">
        <v>60</v>
      </c>
      <c r="J1810" s="161">
        <v>9.1999999999999993</v>
      </c>
      <c r="K1810" s="160">
        <v>3</v>
      </c>
    </row>
    <row r="1811" spans="1:11" x14ac:dyDescent="0.3">
      <c r="A1811" s="156" t="s">
        <v>887</v>
      </c>
      <c r="B1811" s="157" t="s">
        <v>888</v>
      </c>
      <c r="C1811" s="157">
        <v>2024</v>
      </c>
      <c r="D1811" s="158">
        <v>-91.140961099999998</v>
      </c>
      <c r="E1811" s="158">
        <v>37.173644400000001</v>
      </c>
      <c r="F1811" s="159">
        <v>5</v>
      </c>
      <c r="G1811" s="160">
        <v>4</v>
      </c>
      <c r="H1811" s="161">
        <v>25.4</v>
      </c>
      <c r="I1811" s="161">
        <v>64.3</v>
      </c>
      <c r="J1811" s="161">
        <v>54.4</v>
      </c>
      <c r="K1811" s="160">
        <v>2.6</v>
      </c>
    </row>
    <row r="1812" spans="1:11" x14ac:dyDescent="0.3">
      <c r="A1812" s="156" t="s">
        <v>887</v>
      </c>
      <c r="B1812" s="157" t="s">
        <v>888</v>
      </c>
      <c r="C1812" s="157">
        <v>2024</v>
      </c>
      <c r="D1812" s="158">
        <v>-91.100399999999993</v>
      </c>
      <c r="E1812" s="158">
        <v>37.133650000000003</v>
      </c>
      <c r="F1812" s="159">
        <v>4.9000000000000004</v>
      </c>
      <c r="G1812" s="160">
        <v>5</v>
      </c>
      <c r="H1812" s="161">
        <v>42</v>
      </c>
      <c r="I1812" s="161">
        <v>32.299999999999997</v>
      </c>
      <c r="J1812" s="161">
        <v>70.2</v>
      </c>
      <c r="K1812" s="160">
        <v>0.04</v>
      </c>
    </row>
    <row r="1813" spans="1:11" x14ac:dyDescent="0.3">
      <c r="A1813" s="156" t="s">
        <v>887</v>
      </c>
      <c r="B1813" s="157" t="s">
        <v>888</v>
      </c>
      <c r="C1813" s="157">
        <v>2024</v>
      </c>
      <c r="D1813" s="158">
        <v>-91.046111100000005</v>
      </c>
      <c r="E1813" s="158">
        <v>37.993055599999998</v>
      </c>
      <c r="F1813" s="159">
        <v>5</v>
      </c>
      <c r="G1813" s="160">
        <v>31.05</v>
      </c>
      <c r="H1813" s="161">
        <v>5.8</v>
      </c>
      <c r="I1813" s="161">
        <v>63.5</v>
      </c>
      <c r="J1813" s="161">
        <v>24.8</v>
      </c>
      <c r="K1813" s="160">
        <v>0.2</v>
      </c>
    </row>
    <row r="1814" spans="1:11" x14ac:dyDescent="0.3">
      <c r="A1814" s="156" t="s">
        <v>887</v>
      </c>
      <c r="B1814" s="157" t="s">
        <v>888</v>
      </c>
      <c r="C1814" s="157">
        <v>2024</v>
      </c>
      <c r="D1814" s="158">
        <v>-91.001308300000005</v>
      </c>
      <c r="E1814" s="158">
        <v>38.456261099999999</v>
      </c>
      <c r="F1814" s="159">
        <v>7.1</v>
      </c>
      <c r="G1814" s="160">
        <v>31</v>
      </c>
      <c r="H1814" s="161">
        <v>68.599999999999994</v>
      </c>
      <c r="I1814" s="161">
        <v>43.9</v>
      </c>
      <c r="J1814" s="161">
        <v>50.8</v>
      </c>
      <c r="K1814" s="160">
        <v>0.7</v>
      </c>
    </row>
    <row r="1815" spans="1:11" x14ac:dyDescent="0.3">
      <c r="A1815" s="156" t="s">
        <v>887</v>
      </c>
      <c r="B1815" s="157" t="s">
        <v>888</v>
      </c>
      <c r="C1815" s="157">
        <v>2024</v>
      </c>
      <c r="D1815" s="158">
        <v>-90.634719799999999</v>
      </c>
      <c r="E1815" s="158">
        <v>34.636665299999997</v>
      </c>
      <c r="F1815" s="159">
        <v>8</v>
      </c>
      <c r="G1815" s="160">
        <v>13.8</v>
      </c>
      <c r="H1815" s="161">
        <v>3.9</v>
      </c>
      <c r="I1815" s="161">
        <v>85</v>
      </c>
      <c r="J1815" s="161">
        <v>10.5</v>
      </c>
      <c r="K1815" s="160">
        <v>6.9999999999999993E-2</v>
      </c>
    </row>
    <row r="1816" spans="1:11" x14ac:dyDescent="0.3">
      <c r="A1816" s="156" t="s">
        <v>887</v>
      </c>
      <c r="B1816" s="157" t="s">
        <v>888</v>
      </c>
      <c r="C1816" s="157">
        <v>2024</v>
      </c>
      <c r="D1816" s="158">
        <v>-90.509719799999999</v>
      </c>
      <c r="E1816" s="158">
        <v>44.715557099999998</v>
      </c>
      <c r="F1816" s="159">
        <v>5.2</v>
      </c>
      <c r="G1816" s="160">
        <v>9.9</v>
      </c>
      <c r="H1816" s="161">
        <v>10.6</v>
      </c>
      <c r="I1816" s="161">
        <v>37.5</v>
      </c>
      <c r="J1816" s="161">
        <v>27</v>
      </c>
      <c r="K1816" s="160">
        <v>0.33999999999999997</v>
      </c>
    </row>
    <row r="1817" spans="1:11" x14ac:dyDescent="0.3">
      <c r="A1817" s="156" t="s">
        <v>887</v>
      </c>
      <c r="B1817" s="157" t="s">
        <v>888</v>
      </c>
      <c r="C1817" s="157">
        <v>2024</v>
      </c>
      <c r="D1817" s="158">
        <v>-90.500396699999996</v>
      </c>
      <c r="E1817" s="158">
        <v>37.220058399999999</v>
      </c>
      <c r="F1817" s="159">
        <v>4.5</v>
      </c>
      <c r="G1817" s="160">
        <v>6.1</v>
      </c>
      <c r="H1817" s="161">
        <v>16.399999999999999</v>
      </c>
      <c r="I1817" s="161">
        <v>34.1</v>
      </c>
      <c r="J1817" s="161">
        <v>36.1</v>
      </c>
      <c r="K1817" s="160">
        <v>0.3</v>
      </c>
    </row>
    <row r="1818" spans="1:11" x14ac:dyDescent="0.3">
      <c r="A1818" s="156" t="s">
        <v>887</v>
      </c>
      <c r="B1818" s="157" t="s">
        <v>888</v>
      </c>
      <c r="C1818" s="157">
        <v>2024</v>
      </c>
      <c r="D1818" s="158">
        <v>-90.475471499999998</v>
      </c>
      <c r="E1818" s="158">
        <v>37.538249999999998</v>
      </c>
      <c r="F1818" s="159">
        <v>5.9</v>
      </c>
      <c r="G1818" s="160">
        <v>15</v>
      </c>
      <c r="H1818" s="161">
        <v>37.200000000000003</v>
      </c>
      <c r="I1818" s="161">
        <v>67.599999999999994</v>
      </c>
      <c r="J1818" s="161">
        <v>17.3</v>
      </c>
      <c r="K1818" s="160">
        <v>0.1</v>
      </c>
    </row>
    <row r="1819" spans="1:11" x14ac:dyDescent="0.3">
      <c r="A1819" s="156" t="s">
        <v>887</v>
      </c>
      <c r="B1819" s="157" t="s">
        <v>888</v>
      </c>
      <c r="C1819" s="157">
        <v>2024</v>
      </c>
      <c r="D1819" s="158">
        <v>-90.419502300000005</v>
      </c>
      <c r="E1819" s="158">
        <v>36.9886932</v>
      </c>
      <c r="F1819" s="159">
        <v>4.9000000000000004</v>
      </c>
      <c r="G1819" s="160">
        <v>12</v>
      </c>
      <c r="H1819" s="161">
        <v>32.799999999999997</v>
      </c>
      <c r="I1819" s="161">
        <v>24.2</v>
      </c>
      <c r="J1819" s="161">
        <v>67.3</v>
      </c>
      <c r="K1819" s="160">
        <v>0.5</v>
      </c>
    </row>
    <row r="1820" spans="1:11" x14ac:dyDescent="0.3">
      <c r="A1820" s="156" t="s">
        <v>887</v>
      </c>
      <c r="B1820" s="157" t="s">
        <v>888</v>
      </c>
      <c r="C1820" s="157">
        <v>2024</v>
      </c>
      <c r="D1820" s="158">
        <v>-90.272224399999999</v>
      </c>
      <c r="E1820" s="158">
        <v>37.165554</v>
      </c>
      <c r="F1820" s="159">
        <v>4.9000000000000004</v>
      </c>
      <c r="G1820" s="160">
        <v>11</v>
      </c>
      <c r="H1820" s="161">
        <v>2.8</v>
      </c>
      <c r="I1820" s="161">
        <v>18.7</v>
      </c>
      <c r="J1820" s="161">
        <v>77.3</v>
      </c>
      <c r="K1820" s="160">
        <v>0.2</v>
      </c>
    </row>
    <row r="1821" spans="1:11" x14ac:dyDescent="0.3">
      <c r="A1821" s="156" t="s">
        <v>887</v>
      </c>
      <c r="B1821" s="157" t="s">
        <v>888</v>
      </c>
      <c r="C1821" s="157">
        <v>2024</v>
      </c>
      <c r="D1821" s="158">
        <v>-87.621940600000002</v>
      </c>
      <c r="E1821" s="158">
        <v>46.483890500000001</v>
      </c>
      <c r="F1821" s="159">
        <v>5.2</v>
      </c>
      <c r="G1821" s="160">
        <v>1.5</v>
      </c>
      <c r="H1821" s="161">
        <v>48.7</v>
      </c>
      <c r="I1821" s="161">
        <v>25.2</v>
      </c>
      <c r="J1821" s="161">
        <v>2.2000000000000002</v>
      </c>
      <c r="K1821" s="160">
        <v>1.86</v>
      </c>
    </row>
    <row r="1822" spans="1:11" x14ac:dyDescent="0.3">
      <c r="A1822" s="156" t="s">
        <v>887</v>
      </c>
      <c r="B1822" s="157" t="s">
        <v>888</v>
      </c>
      <c r="C1822" s="157">
        <v>2024</v>
      </c>
      <c r="D1822" s="158">
        <v>-86.986106899999996</v>
      </c>
      <c r="E1822" s="158">
        <v>41.155574799999997</v>
      </c>
      <c r="F1822" s="159">
        <v>4.7</v>
      </c>
      <c r="G1822" s="160">
        <v>11</v>
      </c>
      <c r="H1822" s="161">
        <v>94.4</v>
      </c>
      <c r="I1822" s="161">
        <v>3.7</v>
      </c>
      <c r="J1822" s="161">
        <v>1.1000000000000001</v>
      </c>
      <c r="K1822" s="160">
        <v>0.04</v>
      </c>
    </row>
    <row r="1823" spans="1:11" x14ac:dyDescent="0.3">
      <c r="A1823" s="156" t="s">
        <v>887</v>
      </c>
      <c r="B1823" s="157" t="s">
        <v>888</v>
      </c>
      <c r="C1823" s="157">
        <v>2024</v>
      </c>
      <c r="D1823" s="158">
        <v>-86.4772186</v>
      </c>
      <c r="E1823" s="158">
        <v>38.191944100000001</v>
      </c>
      <c r="F1823" s="159">
        <v>5.7</v>
      </c>
      <c r="G1823" s="160">
        <v>21.75</v>
      </c>
      <c r="H1823" s="161">
        <v>2.1</v>
      </c>
      <c r="I1823" s="161">
        <v>78.2</v>
      </c>
      <c r="J1823" s="161">
        <v>16.899999999999999</v>
      </c>
      <c r="K1823" s="160">
        <v>0.01</v>
      </c>
    </row>
    <row r="1824" spans="1:11" x14ac:dyDescent="0.3">
      <c r="A1824" s="156" t="s">
        <v>887</v>
      </c>
      <c r="B1824" s="157" t="s">
        <v>888</v>
      </c>
      <c r="C1824" s="157">
        <v>2024</v>
      </c>
      <c r="D1824" s="158">
        <v>-85.868888900000002</v>
      </c>
      <c r="E1824" s="158">
        <v>41.669166599999997</v>
      </c>
      <c r="F1824" s="159">
        <v>8.3000000000000007</v>
      </c>
      <c r="G1824" s="160">
        <v>2.5499999999999998</v>
      </c>
      <c r="H1824" s="161">
        <v>77</v>
      </c>
      <c r="I1824" s="161">
        <v>2.8</v>
      </c>
      <c r="J1824" s="161">
        <v>1.7</v>
      </c>
      <c r="K1824" s="160">
        <v>0.15</v>
      </c>
    </row>
    <row r="1825" spans="1:11" x14ac:dyDescent="0.3">
      <c r="A1825" s="156" t="s">
        <v>887</v>
      </c>
      <c r="B1825" s="157" t="s">
        <v>888</v>
      </c>
      <c r="C1825" s="157">
        <v>2024</v>
      </c>
      <c r="D1825" s="158">
        <v>-79.690559399999998</v>
      </c>
      <c r="E1825" s="158">
        <v>36.378334000000002</v>
      </c>
      <c r="F1825" s="159">
        <v>4.5</v>
      </c>
      <c r="G1825" s="160">
        <v>1.3</v>
      </c>
      <c r="H1825" s="161">
        <v>37.5</v>
      </c>
      <c r="I1825" s="161">
        <v>20.7</v>
      </c>
      <c r="J1825" s="161">
        <v>25.1</v>
      </c>
      <c r="K1825" s="160">
        <v>0.19</v>
      </c>
    </row>
    <row r="1826" spans="1:11" x14ac:dyDescent="0.3">
      <c r="A1826" s="156" t="s">
        <v>887</v>
      </c>
      <c r="B1826" s="157" t="s">
        <v>888</v>
      </c>
      <c r="C1826" s="157">
        <v>2024</v>
      </c>
      <c r="D1826" s="158">
        <v>-77.485555599999998</v>
      </c>
      <c r="E1826" s="158">
        <v>40.3672222</v>
      </c>
      <c r="F1826" s="159">
        <v>4.8</v>
      </c>
      <c r="G1826" s="160">
        <v>3</v>
      </c>
      <c r="H1826" s="161">
        <v>25</v>
      </c>
      <c r="I1826" s="161">
        <v>40</v>
      </c>
      <c r="J1826" s="161">
        <v>34.299999999999997</v>
      </c>
      <c r="K1826" s="160">
        <v>0.01</v>
      </c>
    </row>
    <row r="1827" spans="1:11" x14ac:dyDescent="0.3">
      <c r="A1827" s="156" t="s">
        <v>887</v>
      </c>
      <c r="B1827" s="157" t="s">
        <v>888</v>
      </c>
      <c r="C1827" s="157">
        <v>2024</v>
      </c>
      <c r="D1827" s="158">
        <v>-76.656666700000002</v>
      </c>
      <c r="E1827" s="158">
        <v>41.719166700000002</v>
      </c>
      <c r="F1827" s="159">
        <v>5.3</v>
      </c>
      <c r="G1827" s="160">
        <v>3</v>
      </c>
      <c r="H1827" s="161">
        <v>27.9</v>
      </c>
      <c r="I1827" s="161">
        <v>44</v>
      </c>
      <c r="J1827" s="161">
        <v>23.6</v>
      </c>
      <c r="K1827" s="160">
        <v>0.08</v>
      </c>
    </row>
    <row r="1828" spans="1:11" x14ac:dyDescent="0.3">
      <c r="A1828" s="156" t="s">
        <v>887</v>
      </c>
      <c r="B1828" s="157" t="s">
        <v>888</v>
      </c>
      <c r="C1828" s="157">
        <v>2024</v>
      </c>
      <c r="D1828" s="158">
        <v>-76.628333999999995</v>
      </c>
      <c r="E1828" s="158">
        <v>38.977779400000003</v>
      </c>
      <c r="F1828" s="159">
        <v>5.3</v>
      </c>
      <c r="G1828" s="160">
        <v>5</v>
      </c>
      <c r="H1828" s="161">
        <v>80.7</v>
      </c>
      <c r="I1828" s="161">
        <v>4.5</v>
      </c>
      <c r="J1828" s="161">
        <v>17.2</v>
      </c>
      <c r="K1828" s="160">
        <v>0.05</v>
      </c>
    </row>
    <row r="1829" spans="1:11" x14ac:dyDescent="0.3">
      <c r="A1829" s="156" t="s">
        <v>887</v>
      </c>
      <c r="B1829" s="157" t="s">
        <v>888</v>
      </c>
      <c r="C1829" s="157">
        <v>2024</v>
      </c>
      <c r="D1829" s="158">
        <v>-73.369722222222194</v>
      </c>
      <c r="E1829" s="158">
        <v>-3.9130555555555602</v>
      </c>
      <c r="F1829" s="159">
        <v>5</v>
      </c>
      <c r="G1829" s="160">
        <v>1.1000000000000001</v>
      </c>
      <c r="H1829" s="161">
        <v>82</v>
      </c>
      <c r="I1829" s="161">
        <v>9.6</v>
      </c>
      <c r="J1829" s="161">
        <v>9.8000000000000007</v>
      </c>
      <c r="K1829" s="160">
        <v>0.01</v>
      </c>
    </row>
    <row r="1830" spans="1:11" x14ac:dyDescent="0.3">
      <c r="A1830" s="156" t="s">
        <v>887</v>
      </c>
      <c r="B1830" s="157" t="s">
        <v>888</v>
      </c>
      <c r="C1830" s="157">
        <v>2024</v>
      </c>
      <c r="D1830" s="158">
        <v>-72.586199899999997</v>
      </c>
      <c r="E1830" s="158">
        <v>42.538975499999999</v>
      </c>
      <c r="F1830" s="159">
        <v>4.2</v>
      </c>
      <c r="G1830" s="160">
        <v>4</v>
      </c>
      <c r="H1830" s="161">
        <v>48.9</v>
      </c>
      <c r="I1830" s="161">
        <v>51</v>
      </c>
      <c r="J1830" s="161">
        <v>10</v>
      </c>
      <c r="K1830" s="160">
        <v>0.26</v>
      </c>
    </row>
    <row r="1831" spans="1:11" x14ac:dyDescent="0.3">
      <c r="A1831" s="156" t="s">
        <v>887</v>
      </c>
      <c r="B1831" s="157" t="s">
        <v>888</v>
      </c>
      <c r="C1831" s="157">
        <v>2024</v>
      </c>
      <c r="D1831" s="158">
        <v>-70.933333333333294</v>
      </c>
      <c r="E1831" s="158">
        <v>4.56666666666667</v>
      </c>
      <c r="F1831" s="159">
        <v>4.7</v>
      </c>
      <c r="G1831" s="160">
        <v>0.5</v>
      </c>
      <c r="H1831" s="161">
        <v>5</v>
      </c>
      <c r="I1831" s="161">
        <v>31</v>
      </c>
      <c r="J1831" s="161">
        <v>21</v>
      </c>
      <c r="K1831" s="160">
        <v>1.85</v>
      </c>
    </row>
    <row r="1832" spans="1:11" x14ac:dyDescent="0.3">
      <c r="A1832" s="156" t="s">
        <v>887</v>
      </c>
      <c r="B1832" s="157" t="s">
        <v>888</v>
      </c>
      <c r="C1832" s="157">
        <v>2024</v>
      </c>
      <c r="D1832" s="158">
        <v>-65.792221100000006</v>
      </c>
      <c r="E1832" s="158">
        <v>18.2938881</v>
      </c>
      <c r="F1832" s="159">
        <v>5.0999999999999996</v>
      </c>
      <c r="G1832" s="160">
        <v>5.6</v>
      </c>
      <c r="H1832" s="161">
        <v>62.1</v>
      </c>
      <c r="I1832" s="161">
        <v>24</v>
      </c>
      <c r="J1832" s="161">
        <v>2.8</v>
      </c>
      <c r="K1832" s="160">
        <v>5.6899999999999995</v>
      </c>
    </row>
    <row r="1833" spans="1:11" x14ac:dyDescent="0.3">
      <c r="A1833" s="156" t="s">
        <v>887</v>
      </c>
      <c r="B1833" s="157" t="s">
        <v>888</v>
      </c>
      <c r="C1833" s="157">
        <v>2024</v>
      </c>
      <c r="D1833" s="158">
        <v>-47.751388888888897</v>
      </c>
      <c r="E1833" s="158">
        <v>-15.608333333333301</v>
      </c>
      <c r="F1833" s="159">
        <v>4.7</v>
      </c>
      <c r="G1833" s="160">
        <v>0.6</v>
      </c>
      <c r="H1833" s="161">
        <v>21</v>
      </c>
      <c r="I1833" s="161">
        <v>27.5</v>
      </c>
      <c r="J1833" s="161">
        <v>57.3</v>
      </c>
      <c r="K1833" s="160">
        <v>0.11000000000000001</v>
      </c>
    </row>
    <row r="1834" spans="1:11" x14ac:dyDescent="0.3">
      <c r="A1834" s="156" t="s">
        <v>887</v>
      </c>
      <c r="B1834" s="157" t="s">
        <v>888</v>
      </c>
      <c r="C1834" s="157">
        <v>2024</v>
      </c>
      <c r="D1834" s="158">
        <v>-12.083333</v>
      </c>
      <c r="E1834" s="158">
        <v>8.9</v>
      </c>
      <c r="F1834" s="159">
        <v>5.4</v>
      </c>
      <c r="G1834" s="160">
        <v>4</v>
      </c>
      <c r="H1834" s="161">
        <v>53</v>
      </c>
      <c r="I1834" s="161">
        <v>35</v>
      </c>
      <c r="J1834" s="161">
        <v>61</v>
      </c>
      <c r="K1834" s="160">
        <v>4.1899999999999995</v>
      </c>
    </row>
    <row r="1835" spans="1:11" x14ac:dyDescent="0.3">
      <c r="A1835" s="156" t="s">
        <v>887</v>
      </c>
      <c r="B1835" s="157" t="s">
        <v>888</v>
      </c>
      <c r="C1835" s="157">
        <v>2024</v>
      </c>
      <c r="D1835" s="158">
        <v>-7.983333</v>
      </c>
      <c r="E1835" s="158">
        <v>12.666667</v>
      </c>
      <c r="F1835" s="159">
        <v>5.0999999999999996</v>
      </c>
      <c r="G1835" s="160">
        <v>3.4</v>
      </c>
      <c r="H1835" s="161">
        <v>79.8</v>
      </c>
      <c r="I1835" s="161">
        <v>10</v>
      </c>
      <c r="J1835" s="161">
        <v>9</v>
      </c>
      <c r="K1835" s="160">
        <v>0.28999999999999998</v>
      </c>
    </row>
    <row r="1836" spans="1:11" x14ac:dyDescent="0.3">
      <c r="A1836" s="156" t="s">
        <v>887</v>
      </c>
      <c r="B1836" s="157" t="s">
        <v>888</v>
      </c>
      <c r="C1836" s="157">
        <v>2024</v>
      </c>
      <c r="D1836" s="158">
        <v>-1.6666700000000001</v>
      </c>
      <c r="E1836" s="158">
        <v>6.6666699999999999</v>
      </c>
      <c r="F1836" s="159">
        <v>4.2</v>
      </c>
      <c r="G1836" s="160">
        <v>2.6</v>
      </c>
      <c r="H1836" s="161">
        <v>54.5</v>
      </c>
      <c r="I1836" s="161">
        <v>12.9</v>
      </c>
      <c r="J1836" s="161">
        <v>40.799999999999997</v>
      </c>
      <c r="K1836" s="160">
        <v>1.49</v>
      </c>
    </row>
    <row r="1837" spans="1:11" x14ac:dyDescent="0.3">
      <c r="A1837" s="156" t="s">
        <v>887</v>
      </c>
      <c r="B1837" s="157" t="s">
        <v>888</v>
      </c>
      <c r="C1837" s="157">
        <v>2024</v>
      </c>
      <c r="D1837" s="158">
        <v>2.0833330000000001</v>
      </c>
      <c r="E1837" s="158">
        <v>13.533333000000001</v>
      </c>
      <c r="F1837" s="159">
        <v>5.4</v>
      </c>
      <c r="G1837" s="160">
        <v>0.95</v>
      </c>
      <c r="H1837" s="161">
        <v>80.599999999999994</v>
      </c>
      <c r="I1837" s="161">
        <v>17</v>
      </c>
      <c r="J1837" s="161">
        <v>20.6</v>
      </c>
      <c r="K1837" s="160">
        <v>0.28999999999999998</v>
      </c>
    </row>
    <row r="1838" spans="1:11" x14ac:dyDescent="0.3">
      <c r="A1838" s="156" t="s">
        <v>887</v>
      </c>
      <c r="B1838" s="157" t="s">
        <v>888</v>
      </c>
      <c r="C1838" s="157">
        <v>2024</v>
      </c>
      <c r="D1838" s="158">
        <v>3.9</v>
      </c>
      <c r="E1838" s="158">
        <v>7.5</v>
      </c>
      <c r="F1838" s="159">
        <v>6.3</v>
      </c>
      <c r="G1838" s="160">
        <v>9.5</v>
      </c>
      <c r="H1838" s="161">
        <v>63.2</v>
      </c>
      <c r="I1838" s="161">
        <v>12.2</v>
      </c>
      <c r="J1838" s="161">
        <v>4.8</v>
      </c>
      <c r="K1838" s="160">
        <v>0.35</v>
      </c>
    </row>
    <row r="1839" spans="1:11" x14ac:dyDescent="0.3">
      <c r="A1839" s="156" t="s">
        <v>887</v>
      </c>
      <c r="B1839" s="157" t="s">
        <v>888</v>
      </c>
      <c r="C1839" s="157">
        <v>2024</v>
      </c>
      <c r="D1839" s="158">
        <v>23.153055999999999</v>
      </c>
      <c r="E1839" s="158">
        <v>-20.321667000000001</v>
      </c>
      <c r="F1839" s="159">
        <v>8.9</v>
      </c>
      <c r="G1839" s="160">
        <v>6</v>
      </c>
      <c r="H1839" s="161">
        <v>88</v>
      </c>
      <c r="I1839" s="161">
        <v>6</v>
      </c>
      <c r="J1839" s="161">
        <v>3</v>
      </c>
      <c r="K1839" s="160">
        <v>0.2</v>
      </c>
    </row>
    <row r="1840" spans="1:11" x14ac:dyDescent="0.3">
      <c r="A1840" s="156" t="s">
        <v>887</v>
      </c>
      <c r="B1840" s="157" t="s">
        <v>888</v>
      </c>
      <c r="C1840" s="157">
        <v>2024</v>
      </c>
      <c r="D1840" s="158">
        <v>27.233332999999998</v>
      </c>
      <c r="E1840" s="158">
        <v>-29.816666999999999</v>
      </c>
      <c r="F1840" s="159">
        <v>5.6</v>
      </c>
      <c r="G1840" s="160">
        <v>7.05</v>
      </c>
      <c r="H1840" s="161">
        <v>15.6</v>
      </c>
      <c r="I1840" s="161">
        <v>30.4</v>
      </c>
      <c r="J1840" s="161">
        <v>53.1</v>
      </c>
      <c r="K1840" s="160">
        <v>0.77</v>
      </c>
    </row>
    <row r="1841" spans="1:11" x14ac:dyDescent="0.3">
      <c r="A1841" s="156" t="s">
        <v>887</v>
      </c>
      <c r="B1841" s="157" t="s">
        <v>888</v>
      </c>
      <c r="C1841" s="157">
        <v>2024</v>
      </c>
      <c r="D1841" s="158">
        <v>29.316666999999999</v>
      </c>
      <c r="E1841" s="158">
        <v>-3.3666670000000001</v>
      </c>
      <c r="F1841" s="159">
        <v>5</v>
      </c>
      <c r="G1841" s="160">
        <v>1.1499999999999999</v>
      </c>
      <c r="H1841" s="161">
        <v>61</v>
      </c>
      <c r="I1841" s="161">
        <v>23</v>
      </c>
      <c r="J1841" s="161">
        <v>75</v>
      </c>
      <c r="K1841" s="160">
        <v>0.26</v>
      </c>
    </row>
    <row r="1842" spans="1:11" x14ac:dyDescent="0.3">
      <c r="A1842" s="156" t="s">
        <v>887</v>
      </c>
      <c r="B1842" s="157" t="s">
        <v>888</v>
      </c>
      <c r="C1842" s="157">
        <v>2024</v>
      </c>
      <c r="D1842" s="158">
        <v>31.166665999999999</v>
      </c>
      <c r="E1842" s="158">
        <v>-10.166667</v>
      </c>
      <c r="F1842" s="159">
        <v>5.5</v>
      </c>
      <c r="G1842" s="160">
        <v>0.6</v>
      </c>
      <c r="H1842" s="161">
        <v>83</v>
      </c>
      <c r="I1842" s="161">
        <v>4</v>
      </c>
      <c r="J1842" s="161">
        <v>18.899999999999999</v>
      </c>
      <c r="K1842" s="160">
        <v>0.48</v>
      </c>
    </row>
    <row r="1843" spans="1:11" x14ac:dyDescent="0.3">
      <c r="A1843" s="156" t="s">
        <v>887</v>
      </c>
      <c r="B1843" s="157" t="s">
        <v>888</v>
      </c>
      <c r="C1843" s="157">
        <v>2024</v>
      </c>
      <c r="D1843" s="158">
        <v>31.765277900000001</v>
      </c>
      <c r="E1843" s="158">
        <v>-18.034721399999999</v>
      </c>
      <c r="F1843" s="159">
        <v>5.5</v>
      </c>
      <c r="G1843" s="160">
        <v>1</v>
      </c>
      <c r="H1843" s="161">
        <v>57.3</v>
      </c>
      <c r="I1843" s="161">
        <v>13.1</v>
      </c>
      <c r="J1843" s="161">
        <v>35.5</v>
      </c>
      <c r="K1843" s="160">
        <v>0.04</v>
      </c>
    </row>
    <row r="1844" spans="1:11" x14ac:dyDescent="0.3">
      <c r="A1844" s="156" t="s">
        <v>887</v>
      </c>
      <c r="B1844" s="157" t="s">
        <v>888</v>
      </c>
      <c r="C1844" s="157">
        <v>2024</v>
      </c>
      <c r="D1844" s="158">
        <v>33.183332999999998</v>
      </c>
      <c r="E1844" s="158">
        <v>-4.2166670000000002</v>
      </c>
      <c r="F1844" s="159">
        <v>5.5</v>
      </c>
      <c r="G1844" s="160">
        <v>16.5</v>
      </c>
      <c r="H1844" s="161">
        <v>61</v>
      </c>
      <c r="I1844" s="161">
        <v>7</v>
      </c>
      <c r="J1844" s="161">
        <v>10</v>
      </c>
      <c r="K1844" s="160">
        <v>0.52</v>
      </c>
    </row>
    <row r="1845" spans="1:11" x14ac:dyDescent="0.3">
      <c r="A1845" s="156" t="s">
        <v>887</v>
      </c>
      <c r="B1845" s="157" t="s">
        <v>888</v>
      </c>
      <c r="C1845" s="157">
        <v>2024</v>
      </c>
      <c r="D1845" s="158">
        <v>35.266666999999998</v>
      </c>
      <c r="E1845" s="158">
        <v>-13.3</v>
      </c>
      <c r="F1845" s="159">
        <v>5.5</v>
      </c>
      <c r="G1845" s="160">
        <v>1.8</v>
      </c>
      <c r="H1845" s="161">
        <v>26.8</v>
      </c>
      <c r="I1845" s="161">
        <v>21.3</v>
      </c>
      <c r="J1845" s="161">
        <v>48.9</v>
      </c>
      <c r="K1845" s="160">
        <v>0.13999999999999999</v>
      </c>
    </row>
    <row r="1846" spans="1:11" x14ac:dyDescent="0.3">
      <c r="A1846" s="156" t="s">
        <v>887</v>
      </c>
      <c r="B1846" s="157" t="s">
        <v>888</v>
      </c>
      <c r="C1846" s="157">
        <v>2024</v>
      </c>
      <c r="D1846" s="158">
        <v>37.366667</v>
      </c>
      <c r="E1846" s="158">
        <v>-1.8727780000000001</v>
      </c>
      <c r="F1846" s="159">
        <v>5.0999999999999996</v>
      </c>
      <c r="G1846" s="160">
        <v>5.6</v>
      </c>
      <c r="H1846" s="161">
        <v>32.6</v>
      </c>
      <c r="I1846" s="161">
        <v>5.9</v>
      </c>
      <c r="J1846" s="161">
        <v>57.8</v>
      </c>
      <c r="K1846" s="160">
        <v>0.98000000000000009</v>
      </c>
    </row>
    <row r="1847" spans="1:11" x14ac:dyDescent="0.3">
      <c r="A1847" s="156" t="s">
        <v>887</v>
      </c>
      <c r="B1847" s="157" t="s">
        <v>888</v>
      </c>
      <c r="C1847" s="157">
        <v>2024</v>
      </c>
      <c r="D1847" s="158">
        <v>83.466598510742202</v>
      </c>
      <c r="E1847" s="158">
        <v>27.700000762939499</v>
      </c>
      <c r="F1847" s="159">
        <v>5.6</v>
      </c>
      <c r="G1847" s="160">
        <v>4.4000000000000004</v>
      </c>
      <c r="H1847" s="161">
        <v>41.9</v>
      </c>
      <c r="I1847" s="161">
        <v>41.9</v>
      </c>
      <c r="J1847" s="161">
        <v>14.2</v>
      </c>
      <c r="K1847" s="160">
        <v>0.13</v>
      </c>
    </row>
    <row r="1848" spans="1:11" x14ac:dyDescent="0.3">
      <c r="A1848" s="156" t="s">
        <v>887</v>
      </c>
      <c r="B1848" s="157" t="s">
        <v>888</v>
      </c>
      <c r="C1848" s="157">
        <v>2024</v>
      </c>
      <c r="D1848" s="158">
        <v>84.416664100000006</v>
      </c>
      <c r="E1848" s="158">
        <v>27.450000800000002</v>
      </c>
      <c r="F1848" s="159">
        <v>5.8</v>
      </c>
      <c r="G1848" s="160">
        <v>5.3</v>
      </c>
      <c r="H1848" s="161">
        <v>73</v>
      </c>
      <c r="I1848" s="161">
        <v>19</v>
      </c>
      <c r="J1848" s="161">
        <v>1.5</v>
      </c>
      <c r="K1848" s="160">
        <v>1.08</v>
      </c>
    </row>
    <row r="1849" spans="1:11" x14ac:dyDescent="0.3">
      <c r="A1849" s="156" t="s">
        <v>887</v>
      </c>
      <c r="B1849" s="157" t="s">
        <v>888</v>
      </c>
      <c r="C1849" s="157">
        <v>2024</v>
      </c>
      <c r="D1849" s="158">
        <v>116.916666666667</v>
      </c>
      <c r="E1849" s="158">
        <v>28.216666666666701</v>
      </c>
      <c r="F1849" s="159">
        <v>4.5999999999999996</v>
      </c>
      <c r="G1849" s="160">
        <v>6.1</v>
      </c>
      <c r="H1849" s="161">
        <v>42</v>
      </c>
      <c r="I1849" s="161">
        <v>43</v>
      </c>
      <c r="J1849" s="161">
        <v>32</v>
      </c>
      <c r="K1849" s="160">
        <v>0.04</v>
      </c>
    </row>
    <row r="1850" spans="1:11" x14ac:dyDescent="0.3">
      <c r="A1850" s="156" t="s">
        <v>887</v>
      </c>
      <c r="B1850" s="157" t="s">
        <v>888</v>
      </c>
      <c r="C1850" s="157">
        <v>2024</v>
      </c>
      <c r="D1850" s="158">
        <v>-110.5539017</v>
      </c>
      <c r="E1850" s="158">
        <v>44.711208300000003</v>
      </c>
      <c r="F1850" s="159">
        <v>2.4</v>
      </c>
      <c r="G1850" s="160">
        <v>1</v>
      </c>
      <c r="H1850" s="161">
        <v>64.900000000000006</v>
      </c>
      <c r="I1850" s="161">
        <v>27.3</v>
      </c>
      <c r="J1850" s="161">
        <v>7.3</v>
      </c>
      <c r="K1850" s="160">
        <v>0.01</v>
      </c>
    </row>
    <row r="1851" spans="1:11" x14ac:dyDescent="0.3">
      <c r="A1851" s="156" t="s">
        <v>887</v>
      </c>
      <c r="B1851" s="157" t="s">
        <v>888</v>
      </c>
      <c r="C1851" s="157">
        <v>2024</v>
      </c>
      <c r="D1851" s="158">
        <v>-97.864440900000005</v>
      </c>
      <c r="E1851" s="158">
        <v>40.366111799999999</v>
      </c>
      <c r="F1851" s="159">
        <v>5.9</v>
      </c>
      <c r="G1851" s="160">
        <v>16.850000000000001</v>
      </c>
      <c r="H1851" s="161">
        <v>2.8</v>
      </c>
      <c r="I1851" s="161">
        <v>62</v>
      </c>
      <c r="J1851" s="161">
        <v>34</v>
      </c>
      <c r="K1851" s="160">
        <v>0.55999999999999994</v>
      </c>
    </row>
    <row r="1852" spans="1:11" x14ac:dyDescent="0.3">
      <c r="A1852" s="156" t="s">
        <v>887</v>
      </c>
      <c r="B1852" s="157" t="s">
        <v>888</v>
      </c>
      <c r="C1852" s="157">
        <v>2024</v>
      </c>
      <c r="D1852" s="158">
        <v>-96.763336199999998</v>
      </c>
      <c r="E1852" s="158">
        <v>41.172222099999999</v>
      </c>
      <c r="F1852" s="159">
        <v>6.1</v>
      </c>
      <c r="G1852" s="160">
        <v>19</v>
      </c>
      <c r="H1852" s="161">
        <v>17.2</v>
      </c>
      <c r="I1852" s="161">
        <v>56.5</v>
      </c>
      <c r="J1852" s="161">
        <v>34.4</v>
      </c>
      <c r="K1852" s="160">
        <v>1.2</v>
      </c>
    </row>
    <row r="1853" spans="1:11" x14ac:dyDescent="0.3">
      <c r="A1853" s="156" t="s">
        <v>887</v>
      </c>
      <c r="B1853" s="157" t="s">
        <v>888</v>
      </c>
      <c r="C1853" s="157">
        <v>2024</v>
      </c>
      <c r="D1853" s="158">
        <v>-93.982922200000004</v>
      </c>
      <c r="E1853" s="158">
        <v>39.916247200000001</v>
      </c>
      <c r="F1853" s="159">
        <v>6.6</v>
      </c>
      <c r="G1853" s="160">
        <v>26</v>
      </c>
      <c r="H1853" s="161">
        <v>4.5999999999999996</v>
      </c>
      <c r="I1853" s="161">
        <v>45.1</v>
      </c>
      <c r="J1853" s="161">
        <v>21.3</v>
      </c>
      <c r="K1853" s="160">
        <v>0.7</v>
      </c>
    </row>
    <row r="1854" spans="1:11" x14ac:dyDescent="0.3">
      <c r="A1854" s="156" t="s">
        <v>887</v>
      </c>
      <c r="B1854" s="157" t="s">
        <v>888</v>
      </c>
      <c r="C1854" s="157">
        <v>2024</v>
      </c>
      <c r="D1854" s="158">
        <v>-93.618055600000005</v>
      </c>
      <c r="E1854" s="158">
        <v>36.901388900000001</v>
      </c>
      <c r="F1854" s="159">
        <v>6.8</v>
      </c>
      <c r="G1854" s="160">
        <v>6.6</v>
      </c>
      <c r="H1854" s="161">
        <v>3.9</v>
      </c>
      <c r="I1854" s="161">
        <v>78</v>
      </c>
      <c r="J1854" s="161">
        <v>10.9</v>
      </c>
      <c r="K1854" s="160">
        <v>0.1</v>
      </c>
    </row>
    <row r="1855" spans="1:11" x14ac:dyDescent="0.3">
      <c r="A1855" s="156" t="s">
        <v>887</v>
      </c>
      <c r="B1855" s="157" t="s">
        <v>888</v>
      </c>
      <c r="C1855" s="157">
        <v>2024</v>
      </c>
      <c r="D1855" s="158">
        <v>-93.509933500000002</v>
      </c>
      <c r="E1855" s="158">
        <v>41.0064049</v>
      </c>
      <c r="F1855" s="159">
        <v>6.8</v>
      </c>
      <c r="G1855" s="160">
        <v>23.4</v>
      </c>
      <c r="H1855" s="161">
        <v>59</v>
      </c>
      <c r="I1855" s="161">
        <v>5.9</v>
      </c>
      <c r="J1855" s="161">
        <v>39.9</v>
      </c>
      <c r="K1855" s="160">
        <v>0.12</v>
      </c>
    </row>
    <row r="1856" spans="1:11" x14ac:dyDescent="0.3">
      <c r="A1856" s="156" t="s">
        <v>887</v>
      </c>
      <c r="B1856" s="157" t="s">
        <v>888</v>
      </c>
      <c r="C1856" s="157">
        <v>2024</v>
      </c>
      <c r="D1856" s="158">
        <v>-93.421305599999997</v>
      </c>
      <c r="E1856" s="158">
        <v>37.203791699999996</v>
      </c>
      <c r="F1856" s="159">
        <v>4.9000000000000004</v>
      </c>
      <c r="G1856" s="160">
        <v>7</v>
      </c>
      <c r="H1856" s="161">
        <v>15.8</v>
      </c>
      <c r="I1856" s="161">
        <v>26.3</v>
      </c>
      <c r="J1856" s="161">
        <v>9.1</v>
      </c>
      <c r="K1856" s="160">
        <v>0.1</v>
      </c>
    </row>
    <row r="1857" spans="1:11" x14ac:dyDescent="0.3">
      <c r="A1857" s="156" t="s">
        <v>887</v>
      </c>
      <c r="B1857" s="157" t="s">
        <v>888</v>
      </c>
      <c r="C1857" s="157">
        <v>2024</v>
      </c>
      <c r="D1857" s="158">
        <v>-93.370791699999998</v>
      </c>
      <c r="E1857" s="158">
        <v>37.667255599999997</v>
      </c>
      <c r="F1857" s="159">
        <v>5.5</v>
      </c>
      <c r="G1857" s="160">
        <v>4.45</v>
      </c>
      <c r="H1857" s="161">
        <v>8.6999999999999993</v>
      </c>
      <c r="I1857" s="161">
        <v>18.5</v>
      </c>
      <c r="J1857" s="161">
        <v>64.5</v>
      </c>
      <c r="K1857" s="160">
        <v>0.3</v>
      </c>
    </row>
    <row r="1858" spans="1:11" x14ac:dyDescent="0.3">
      <c r="A1858" s="156" t="s">
        <v>887</v>
      </c>
      <c r="B1858" s="157" t="s">
        <v>888</v>
      </c>
      <c r="C1858" s="157">
        <v>2024</v>
      </c>
      <c r="D1858" s="158">
        <v>-92.826011600000001</v>
      </c>
      <c r="E1858" s="158">
        <v>36.934517800000002</v>
      </c>
      <c r="F1858" s="159">
        <v>5.0999999999999996</v>
      </c>
      <c r="G1858" s="160">
        <v>11</v>
      </c>
      <c r="H1858" s="161">
        <v>6.8</v>
      </c>
      <c r="I1858" s="161">
        <v>61</v>
      </c>
      <c r="J1858" s="161">
        <v>33.1</v>
      </c>
      <c r="K1858" s="160">
        <v>0.5</v>
      </c>
    </row>
    <row r="1859" spans="1:11" x14ac:dyDescent="0.3">
      <c r="A1859" s="156" t="s">
        <v>887</v>
      </c>
      <c r="B1859" s="157" t="s">
        <v>888</v>
      </c>
      <c r="C1859" s="157">
        <v>2024</v>
      </c>
      <c r="D1859" s="158">
        <v>-92.766666700000002</v>
      </c>
      <c r="E1859" s="158">
        <v>39</v>
      </c>
      <c r="F1859" s="159">
        <v>7</v>
      </c>
      <c r="G1859" s="160">
        <v>20.2</v>
      </c>
      <c r="H1859" s="161">
        <v>7</v>
      </c>
      <c r="I1859" s="161">
        <v>62.8</v>
      </c>
      <c r="J1859" s="161">
        <v>17.8</v>
      </c>
      <c r="K1859" s="160">
        <v>1.2</v>
      </c>
    </row>
    <row r="1860" spans="1:11" x14ac:dyDescent="0.3">
      <c r="A1860" s="156" t="s">
        <v>887</v>
      </c>
      <c r="B1860" s="157" t="s">
        <v>888</v>
      </c>
      <c r="C1860" s="157">
        <v>2024</v>
      </c>
      <c r="D1860" s="158">
        <v>-92.415655599999994</v>
      </c>
      <c r="E1860" s="158">
        <v>36.746405600000003</v>
      </c>
      <c r="F1860" s="159">
        <v>5.8</v>
      </c>
      <c r="G1860" s="160">
        <v>6</v>
      </c>
      <c r="H1860" s="161">
        <v>65.8</v>
      </c>
      <c r="I1860" s="161">
        <v>39.200000000000003</v>
      </c>
      <c r="J1860" s="161">
        <v>22.2</v>
      </c>
      <c r="K1860" s="160">
        <v>0.1</v>
      </c>
    </row>
    <row r="1861" spans="1:11" x14ac:dyDescent="0.3">
      <c r="A1861" s="156" t="s">
        <v>887</v>
      </c>
      <c r="B1861" s="157" t="s">
        <v>888</v>
      </c>
      <c r="C1861" s="157">
        <v>2024</v>
      </c>
      <c r="D1861" s="158">
        <v>-92.345169067382798</v>
      </c>
      <c r="E1861" s="158">
        <v>38.967266082763601</v>
      </c>
      <c r="F1861" s="159">
        <v>7.4</v>
      </c>
      <c r="G1861" s="160">
        <v>6</v>
      </c>
      <c r="H1861" s="161">
        <v>40.700000000000003</v>
      </c>
      <c r="I1861" s="161">
        <v>14.7</v>
      </c>
      <c r="J1861" s="161">
        <v>20.399999999999999</v>
      </c>
      <c r="K1861" s="160">
        <v>0.2</v>
      </c>
    </row>
    <row r="1862" spans="1:11" x14ac:dyDescent="0.3">
      <c r="A1862" s="156" t="s">
        <v>887</v>
      </c>
      <c r="B1862" s="157" t="s">
        <v>888</v>
      </c>
      <c r="C1862" s="157">
        <v>2024</v>
      </c>
      <c r="D1862" s="158">
        <v>-92.344999999999999</v>
      </c>
      <c r="E1862" s="158">
        <v>38.967222200000002</v>
      </c>
      <c r="F1862" s="159">
        <v>4.9000000000000004</v>
      </c>
      <c r="G1862" s="160">
        <v>13</v>
      </c>
      <c r="H1862" s="161">
        <v>4.3</v>
      </c>
      <c r="I1862" s="161">
        <v>49.5</v>
      </c>
      <c r="J1862" s="161">
        <v>22.4</v>
      </c>
      <c r="K1862" s="160">
        <v>0.2</v>
      </c>
    </row>
    <row r="1863" spans="1:11" x14ac:dyDescent="0.3">
      <c r="A1863" s="156" t="s">
        <v>887</v>
      </c>
      <c r="B1863" s="157" t="s">
        <v>888</v>
      </c>
      <c r="C1863" s="157">
        <v>2024</v>
      </c>
      <c r="D1863" s="158">
        <v>-92.146666699999997</v>
      </c>
      <c r="E1863" s="158">
        <v>36.646666699999997</v>
      </c>
      <c r="F1863" s="159">
        <v>5.2</v>
      </c>
      <c r="G1863" s="160">
        <v>11.95</v>
      </c>
      <c r="H1863" s="161">
        <v>17.100000000000001</v>
      </c>
      <c r="I1863" s="161">
        <v>44.8</v>
      </c>
      <c r="J1863" s="161">
        <v>47.4</v>
      </c>
      <c r="K1863" s="160">
        <v>0.2</v>
      </c>
    </row>
    <row r="1864" spans="1:11" x14ac:dyDescent="0.3">
      <c r="A1864" s="156" t="s">
        <v>887</v>
      </c>
      <c r="B1864" s="157" t="s">
        <v>888</v>
      </c>
      <c r="C1864" s="157">
        <v>2024</v>
      </c>
      <c r="D1864" s="158">
        <v>-92</v>
      </c>
      <c r="E1864" s="158">
        <v>36</v>
      </c>
      <c r="F1864" s="159">
        <v>6.8</v>
      </c>
      <c r="G1864" s="160">
        <v>2.65</v>
      </c>
      <c r="H1864" s="161">
        <v>2</v>
      </c>
      <c r="I1864" s="161">
        <v>54.3</v>
      </c>
      <c r="J1864" s="161">
        <v>6.5</v>
      </c>
      <c r="K1864" s="160">
        <v>0.7</v>
      </c>
    </row>
    <row r="1865" spans="1:11" x14ac:dyDescent="0.3">
      <c r="A1865" s="156" t="s">
        <v>887</v>
      </c>
      <c r="B1865" s="157" t="s">
        <v>888</v>
      </c>
      <c r="C1865" s="157">
        <v>2024</v>
      </c>
      <c r="D1865" s="158">
        <v>-91.876388899999995</v>
      </c>
      <c r="E1865" s="158">
        <v>40.586388900000003</v>
      </c>
      <c r="F1865" s="159">
        <v>4.5</v>
      </c>
      <c r="G1865" s="160">
        <v>25.5</v>
      </c>
      <c r="H1865" s="161">
        <v>3.1</v>
      </c>
      <c r="I1865" s="161">
        <v>57.5</v>
      </c>
      <c r="J1865" s="161">
        <v>23.8</v>
      </c>
      <c r="K1865" s="160">
        <v>1.2</v>
      </c>
    </row>
    <row r="1866" spans="1:11" x14ac:dyDescent="0.3">
      <c r="A1866" s="156" t="s">
        <v>887</v>
      </c>
      <c r="B1866" s="157" t="s">
        <v>888</v>
      </c>
      <c r="C1866" s="157">
        <v>2024</v>
      </c>
      <c r="D1866" s="158">
        <v>-91.571497199999996</v>
      </c>
      <c r="E1866" s="158">
        <v>38.028583300000001</v>
      </c>
      <c r="F1866" s="159">
        <v>6.3</v>
      </c>
      <c r="G1866" s="160">
        <v>11.95</v>
      </c>
      <c r="H1866" s="161">
        <v>11.1</v>
      </c>
      <c r="I1866" s="161">
        <v>71.8</v>
      </c>
      <c r="J1866" s="161">
        <v>20.7</v>
      </c>
      <c r="K1866" s="160">
        <v>0.2</v>
      </c>
    </row>
    <row r="1867" spans="1:11" x14ac:dyDescent="0.3">
      <c r="A1867" s="156" t="s">
        <v>887</v>
      </c>
      <c r="B1867" s="157" t="s">
        <v>888</v>
      </c>
      <c r="C1867" s="157">
        <v>2024</v>
      </c>
      <c r="D1867" s="158">
        <v>-91.208897199999996</v>
      </c>
      <c r="E1867" s="158">
        <v>37.012700000000002</v>
      </c>
      <c r="F1867" s="159">
        <v>5.3</v>
      </c>
      <c r="G1867" s="160">
        <v>2</v>
      </c>
      <c r="H1867" s="161">
        <v>73.5</v>
      </c>
      <c r="I1867" s="161">
        <v>18.7</v>
      </c>
      <c r="J1867" s="161">
        <v>6.5</v>
      </c>
      <c r="K1867" s="160">
        <v>0.1</v>
      </c>
    </row>
    <row r="1868" spans="1:11" x14ac:dyDescent="0.3">
      <c r="A1868" s="156" t="s">
        <v>887</v>
      </c>
      <c r="B1868" s="157" t="s">
        <v>888</v>
      </c>
      <c r="C1868" s="157">
        <v>2024</v>
      </c>
      <c r="D1868" s="158">
        <v>-91.171771399999997</v>
      </c>
      <c r="E1868" s="158">
        <v>37.740257100000001</v>
      </c>
      <c r="F1868" s="159">
        <v>4.9000000000000004</v>
      </c>
      <c r="G1868" s="160">
        <v>19</v>
      </c>
      <c r="H1868" s="161">
        <v>23.9</v>
      </c>
      <c r="I1868" s="161">
        <v>22.9</v>
      </c>
      <c r="J1868" s="161">
        <v>70.3</v>
      </c>
      <c r="K1868" s="160">
        <v>0.3</v>
      </c>
    </row>
    <row r="1869" spans="1:11" x14ac:dyDescent="0.3">
      <c r="A1869" s="156" t="s">
        <v>887</v>
      </c>
      <c r="B1869" s="157" t="s">
        <v>888</v>
      </c>
      <c r="C1869" s="157">
        <v>2024</v>
      </c>
      <c r="D1869" s="158">
        <v>-91.140961099999998</v>
      </c>
      <c r="E1869" s="158">
        <v>37.173644400000001</v>
      </c>
      <c r="F1869" s="159">
        <v>4.9000000000000004</v>
      </c>
      <c r="G1869" s="160">
        <v>5</v>
      </c>
      <c r="H1869" s="161">
        <v>37.200000000000003</v>
      </c>
      <c r="I1869" s="161">
        <v>56.1</v>
      </c>
      <c r="J1869" s="161">
        <v>17.2</v>
      </c>
      <c r="K1869" s="160">
        <v>0.2</v>
      </c>
    </row>
    <row r="1870" spans="1:11" x14ac:dyDescent="0.3">
      <c r="A1870" s="156" t="s">
        <v>887</v>
      </c>
      <c r="B1870" s="157" t="s">
        <v>888</v>
      </c>
      <c r="C1870" s="157">
        <v>2024</v>
      </c>
      <c r="D1870" s="158">
        <v>-91.095333299999993</v>
      </c>
      <c r="E1870" s="158">
        <v>37.145872199999999</v>
      </c>
      <c r="F1870" s="159">
        <v>5</v>
      </c>
      <c r="G1870" s="160">
        <v>7</v>
      </c>
      <c r="H1870" s="161">
        <v>32.700000000000003</v>
      </c>
      <c r="I1870" s="161">
        <v>28.6</v>
      </c>
      <c r="J1870" s="161">
        <v>49.4</v>
      </c>
      <c r="K1870" s="160">
        <v>0.1</v>
      </c>
    </row>
    <row r="1871" spans="1:11" x14ac:dyDescent="0.3">
      <c r="A1871" s="156" t="s">
        <v>887</v>
      </c>
      <c r="B1871" s="157" t="s">
        <v>888</v>
      </c>
      <c r="C1871" s="157">
        <v>2024</v>
      </c>
      <c r="D1871" s="158">
        <v>-91.074466700000002</v>
      </c>
      <c r="E1871" s="158">
        <v>38.5557722</v>
      </c>
      <c r="F1871" s="159">
        <v>6.1</v>
      </c>
      <c r="G1871" s="160">
        <v>8.1999999999999993</v>
      </c>
      <c r="H1871" s="161">
        <v>17.899999999999999</v>
      </c>
      <c r="I1871" s="161">
        <v>82.7</v>
      </c>
      <c r="J1871" s="161">
        <v>11.7</v>
      </c>
      <c r="K1871" s="160">
        <v>0.2</v>
      </c>
    </row>
    <row r="1872" spans="1:11" x14ac:dyDescent="0.3">
      <c r="A1872" s="156" t="s">
        <v>887</v>
      </c>
      <c r="B1872" s="157" t="s">
        <v>888</v>
      </c>
      <c r="C1872" s="157">
        <v>2024</v>
      </c>
      <c r="D1872" s="158">
        <v>-91.070925000000003</v>
      </c>
      <c r="E1872" s="158">
        <v>37.144980599999997</v>
      </c>
      <c r="F1872" s="159">
        <v>5.5</v>
      </c>
      <c r="G1872" s="160">
        <v>7</v>
      </c>
      <c r="H1872" s="161">
        <v>13.6</v>
      </c>
      <c r="I1872" s="161">
        <v>50.3</v>
      </c>
      <c r="J1872" s="161">
        <v>22.3</v>
      </c>
      <c r="K1872" s="160">
        <v>0.4</v>
      </c>
    </row>
    <row r="1873" spans="1:11" x14ac:dyDescent="0.3">
      <c r="A1873" s="156" t="s">
        <v>887</v>
      </c>
      <c r="B1873" s="157" t="s">
        <v>888</v>
      </c>
      <c r="C1873" s="157">
        <v>2024</v>
      </c>
      <c r="D1873" s="158">
        <v>-91.033830600000002</v>
      </c>
      <c r="E1873" s="158">
        <v>37.3148889</v>
      </c>
      <c r="F1873" s="159">
        <v>4.5999999999999996</v>
      </c>
      <c r="G1873" s="160">
        <v>3</v>
      </c>
      <c r="H1873" s="161">
        <v>33.4</v>
      </c>
      <c r="I1873" s="161">
        <v>55.5</v>
      </c>
      <c r="J1873" s="161">
        <v>9.4</v>
      </c>
      <c r="K1873" s="160">
        <v>0.4</v>
      </c>
    </row>
    <row r="1874" spans="1:11" x14ac:dyDescent="0.3">
      <c r="A1874" s="156" t="s">
        <v>887</v>
      </c>
      <c r="B1874" s="157" t="s">
        <v>888</v>
      </c>
      <c r="C1874" s="157">
        <v>2024</v>
      </c>
      <c r="D1874" s="158">
        <v>-90.983888899999997</v>
      </c>
      <c r="E1874" s="158">
        <v>37.864444399999996</v>
      </c>
      <c r="F1874" s="159">
        <v>5.4</v>
      </c>
      <c r="G1874" s="160">
        <v>4</v>
      </c>
      <c r="H1874" s="161">
        <v>22.8</v>
      </c>
      <c r="I1874" s="161">
        <v>70.3</v>
      </c>
      <c r="J1874" s="161">
        <v>12.4</v>
      </c>
      <c r="K1874" s="160">
        <v>0.4</v>
      </c>
    </row>
    <row r="1875" spans="1:11" x14ac:dyDescent="0.3">
      <c r="A1875" s="156" t="s">
        <v>887</v>
      </c>
      <c r="B1875" s="157" t="s">
        <v>888</v>
      </c>
      <c r="C1875" s="157">
        <v>2024</v>
      </c>
      <c r="D1875" s="158">
        <v>-82.497222899999997</v>
      </c>
      <c r="E1875" s="158">
        <v>33.282501199999999</v>
      </c>
      <c r="F1875" s="159">
        <v>5</v>
      </c>
      <c r="G1875" s="160">
        <v>0.4</v>
      </c>
      <c r="H1875" s="161">
        <v>92</v>
      </c>
      <c r="I1875" s="161">
        <v>5.6</v>
      </c>
      <c r="J1875" s="161">
        <v>29.2</v>
      </c>
      <c r="K1875" s="160">
        <v>0.64</v>
      </c>
    </row>
    <row r="1876" spans="1:11" x14ac:dyDescent="0.3">
      <c r="A1876" s="156" t="s">
        <v>887</v>
      </c>
      <c r="B1876" s="157" t="s">
        <v>888</v>
      </c>
      <c r="C1876" s="157">
        <v>2024</v>
      </c>
      <c r="D1876" s="158">
        <v>-82.2569444444444</v>
      </c>
      <c r="E1876" s="158">
        <v>29.7083333333333</v>
      </c>
      <c r="F1876" s="159">
        <v>4.5</v>
      </c>
      <c r="G1876" s="160">
        <v>3.05</v>
      </c>
      <c r="H1876" s="161">
        <v>96</v>
      </c>
      <c r="I1876" s="161">
        <v>4.2</v>
      </c>
      <c r="J1876" s="161">
        <v>5.3</v>
      </c>
      <c r="K1876" s="160">
        <v>0.09</v>
      </c>
    </row>
    <row r="1877" spans="1:11" x14ac:dyDescent="0.3">
      <c r="A1877" s="156" t="s">
        <v>887</v>
      </c>
      <c r="B1877" s="157" t="s">
        <v>888</v>
      </c>
      <c r="C1877" s="157">
        <v>2024</v>
      </c>
      <c r="D1877" s="158">
        <v>-81.549819946289006</v>
      </c>
      <c r="E1877" s="158">
        <v>37.675060272216697</v>
      </c>
      <c r="F1877" s="159">
        <v>5.2</v>
      </c>
      <c r="G1877" s="160">
        <v>5.25</v>
      </c>
      <c r="H1877" s="161">
        <v>43.9</v>
      </c>
      <c r="I1877" s="161">
        <v>41.8</v>
      </c>
      <c r="J1877" s="161">
        <v>16.2</v>
      </c>
      <c r="K1877" s="160">
        <v>0.16999999999999998</v>
      </c>
    </row>
    <row r="1878" spans="1:11" x14ac:dyDescent="0.3">
      <c r="A1878" s="156" t="s">
        <v>887</v>
      </c>
      <c r="B1878" s="157" t="s">
        <v>888</v>
      </c>
      <c r="C1878" s="157">
        <v>2024</v>
      </c>
      <c r="D1878" s="158">
        <v>-77.201944400000002</v>
      </c>
      <c r="E1878" s="158">
        <v>40.419722200000002</v>
      </c>
      <c r="F1878" s="159">
        <v>5</v>
      </c>
      <c r="G1878" s="160">
        <v>5</v>
      </c>
      <c r="H1878" s="161">
        <v>12.4</v>
      </c>
      <c r="I1878" s="161">
        <v>49.6</v>
      </c>
      <c r="J1878" s="161">
        <v>26.8</v>
      </c>
      <c r="K1878" s="160">
        <v>0.09</v>
      </c>
    </row>
    <row r="1879" spans="1:11" x14ac:dyDescent="0.3">
      <c r="A1879" s="156" t="s">
        <v>887</v>
      </c>
      <c r="B1879" s="157" t="s">
        <v>888</v>
      </c>
      <c r="C1879" s="157">
        <v>2024</v>
      </c>
      <c r="D1879" s="158">
        <v>-52.083300000000001</v>
      </c>
      <c r="E1879" s="158">
        <v>-9.6667000000000005</v>
      </c>
      <c r="F1879" s="159">
        <v>5</v>
      </c>
      <c r="G1879" s="160">
        <v>0.6</v>
      </c>
      <c r="H1879" s="161">
        <v>54.4</v>
      </c>
      <c r="I1879" s="161">
        <v>8.1999999999999993</v>
      </c>
      <c r="J1879" s="161">
        <v>21.1</v>
      </c>
      <c r="K1879" s="160">
        <v>0.9</v>
      </c>
    </row>
    <row r="1880" spans="1:11" x14ac:dyDescent="0.3">
      <c r="A1880" s="156" t="s">
        <v>887</v>
      </c>
      <c r="B1880" s="157" t="s">
        <v>888</v>
      </c>
      <c r="C1880" s="157">
        <v>2024</v>
      </c>
      <c r="D1880" s="158">
        <v>-12.083333</v>
      </c>
      <c r="E1880" s="158">
        <v>8.9</v>
      </c>
      <c r="F1880" s="159">
        <v>4.9000000000000004</v>
      </c>
      <c r="G1880" s="160">
        <v>0.8</v>
      </c>
      <c r="H1880" s="161">
        <v>63</v>
      </c>
      <c r="I1880" s="161">
        <v>9</v>
      </c>
      <c r="J1880" s="161">
        <v>35</v>
      </c>
      <c r="K1880" s="160">
        <v>5.0600000000000005</v>
      </c>
    </row>
    <row r="1881" spans="1:11" x14ac:dyDescent="0.3">
      <c r="A1881" s="156" t="s">
        <v>887</v>
      </c>
      <c r="B1881" s="157" t="s">
        <v>888</v>
      </c>
      <c r="C1881" s="157">
        <v>2024</v>
      </c>
      <c r="D1881" s="158">
        <v>-7.983333</v>
      </c>
      <c r="E1881" s="158">
        <v>12.666667</v>
      </c>
      <c r="F1881" s="159">
        <v>5.0999999999999996</v>
      </c>
      <c r="G1881" s="160">
        <v>1.5</v>
      </c>
      <c r="H1881" s="161">
        <v>44.4</v>
      </c>
      <c r="I1881" s="161">
        <v>8.5</v>
      </c>
      <c r="J1881" s="161">
        <v>11.7</v>
      </c>
      <c r="K1881" s="160">
        <v>0.12</v>
      </c>
    </row>
    <row r="1882" spans="1:11" x14ac:dyDescent="0.3">
      <c r="A1882" s="156" t="s">
        <v>887</v>
      </c>
      <c r="B1882" s="157" t="s">
        <v>888</v>
      </c>
      <c r="C1882" s="157">
        <v>2024</v>
      </c>
      <c r="D1882" s="158">
        <v>2.0833330000000001</v>
      </c>
      <c r="E1882" s="158">
        <v>13.533333000000001</v>
      </c>
      <c r="F1882" s="159">
        <v>6</v>
      </c>
      <c r="G1882" s="160">
        <v>0.8</v>
      </c>
      <c r="H1882" s="161">
        <v>63</v>
      </c>
      <c r="I1882" s="161">
        <v>8.6</v>
      </c>
      <c r="J1882" s="161">
        <v>6.6</v>
      </c>
      <c r="K1882" s="160">
        <v>0.1</v>
      </c>
    </row>
    <row r="1883" spans="1:11" x14ac:dyDescent="0.3">
      <c r="A1883" s="156" t="s">
        <v>887</v>
      </c>
      <c r="B1883" s="157" t="s">
        <v>888</v>
      </c>
      <c r="C1883" s="157">
        <v>2024</v>
      </c>
      <c r="D1883" s="158">
        <v>12.8</v>
      </c>
      <c r="E1883" s="158">
        <v>0.51666699999999999</v>
      </c>
      <c r="F1883" s="159">
        <v>4.2</v>
      </c>
      <c r="G1883" s="160">
        <v>1.7</v>
      </c>
      <c r="H1883" s="161">
        <v>36.9</v>
      </c>
      <c r="I1883" s="161">
        <v>5</v>
      </c>
      <c r="J1883" s="161">
        <v>57.2</v>
      </c>
      <c r="K1883" s="160">
        <v>0.26</v>
      </c>
    </row>
    <row r="1884" spans="1:11" x14ac:dyDescent="0.3">
      <c r="A1884" s="156" t="s">
        <v>887</v>
      </c>
      <c r="B1884" s="157" t="s">
        <v>888</v>
      </c>
      <c r="C1884" s="157">
        <v>2024</v>
      </c>
      <c r="D1884" s="158">
        <v>13.5313888888889</v>
      </c>
      <c r="E1884" s="158">
        <v>41.488611111111098</v>
      </c>
      <c r="F1884" s="159">
        <v>5.4</v>
      </c>
      <c r="G1884" s="160">
        <v>13.3</v>
      </c>
      <c r="H1884" s="161">
        <v>8</v>
      </c>
      <c r="I1884" s="161">
        <v>37.5</v>
      </c>
      <c r="J1884" s="161">
        <v>54.8</v>
      </c>
      <c r="K1884" s="160">
        <v>0.13</v>
      </c>
    </row>
    <row r="1885" spans="1:11" x14ac:dyDescent="0.3">
      <c r="A1885" s="156" t="s">
        <v>887</v>
      </c>
      <c r="B1885" s="157" t="s">
        <v>888</v>
      </c>
      <c r="C1885" s="157">
        <v>2024</v>
      </c>
      <c r="D1885" s="158">
        <v>15.27</v>
      </c>
      <c r="E1885" s="158">
        <v>-5.7</v>
      </c>
      <c r="F1885" s="159">
        <v>4.9000000000000004</v>
      </c>
      <c r="G1885" s="160">
        <v>12.1</v>
      </c>
      <c r="H1885" s="161">
        <v>57</v>
      </c>
      <c r="I1885" s="161">
        <v>24</v>
      </c>
      <c r="J1885" s="161">
        <v>21</v>
      </c>
      <c r="K1885" s="160">
        <v>0.49000000000000005</v>
      </c>
    </row>
    <row r="1886" spans="1:11" x14ac:dyDescent="0.3">
      <c r="A1886" s="156" t="s">
        <v>887</v>
      </c>
      <c r="B1886" s="157" t="s">
        <v>888</v>
      </c>
      <c r="C1886" s="157">
        <v>2024</v>
      </c>
      <c r="D1886" s="158">
        <v>25.628056000000001</v>
      </c>
      <c r="E1886" s="158">
        <v>-18.619721999999999</v>
      </c>
      <c r="F1886" s="159">
        <v>4.5999999999999996</v>
      </c>
      <c r="G1886" s="160">
        <v>2</v>
      </c>
      <c r="H1886" s="161">
        <v>88</v>
      </c>
      <c r="I1886" s="161">
        <v>3</v>
      </c>
      <c r="J1886" s="161">
        <v>14</v>
      </c>
      <c r="K1886" s="160">
        <v>0.2</v>
      </c>
    </row>
    <row r="1887" spans="1:11" x14ac:dyDescent="0.3">
      <c r="A1887" s="156" t="s">
        <v>887</v>
      </c>
      <c r="B1887" s="157" t="s">
        <v>888</v>
      </c>
      <c r="C1887" s="157">
        <v>2024</v>
      </c>
      <c r="D1887" s="158">
        <v>25.944444000000001</v>
      </c>
      <c r="E1887" s="158">
        <v>-24.561111</v>
      </c>
      <c r="F1887" s="159">
        <v>4.4000000000000004</v>
      </c>
      <c r="G1887" s="160">
        <v>0.7</v>
      </c>
      <c r="H1887" s="161">
        <v>74.5</v>
      </c>
      <c r="I1887" s="161">
        <v>5.0999999999999996</v>
      </c>
      <c r="J1887" s="161">
        <v>2.2000000000000002</v>
      </c>
      <c r="K1887" s="160">
        <v>0.16</v>
      </c>
    </row>
    <row r="1888" spans="1:11" x14ac:dyDescent="0.3">
      <c r="A1888" s="156" t="s">
        <v>887</v>
      </c>
      <c r="B1888" s="157" t="s">
        <v>888</v>
      </c>
      <c r="C1888" s="157">
        <v>2024</v>
      </c>
      <c r="D1888" s="158">
        <v>27.233332999999998</v>
      </c>
      <c r="E1888" s="158">
        <v>-29.816666999999999</v>
      </c>
      <c r="F1888" s="159">
        <v>5.2</v>
      </c>
      <c r="G1888" s="160">
        <v>4</v>
      </c>
      <c r="H1888" s="161">
        <v>24</v>
      </c>
      <c r="I1888" s="161">
        <v>20</v>
      </c>
      <c r="J1888" s="161">
        <v>64.400000000000006</v>
      </c>
      <c r="K1888" s="160">
        <v>1.77</v>
      </c>
    </row>
    <row r="1889" spans="1:11" x14ac:dyDescent="0.3">
      <c r="A1889" s="156" t="s">
        <v>887</v>
      </c>
      <c r="B1889" s="157" t="s">
        <v>888</v>
      </c>
      <c r="C1889" s="157">
        <v>2024</v>
      </c>
      <c r="D1889" s="158">
        <v>27.302222</v>
      </c>
      <c r="E1889" s="158">
        <v>-20.998888999999998</v>
      </c>
      <c r="F1889" s="159">
        <v>5.5</v>
      </c>
      <c r="G1889" s="160">
        <v>9</v>
      </c>
      <c r="H1889" s="161">
        <v>61.1</v>
      </c>
      <c r="I1889" s="161">
        <v>4</v>
      </c>
      <c r="J1889" s="161">
        <v>16</v>
      </c>
      <c r="K1889" s="160">
        <v>0.35</v>
      </c>
    </row>
    <row r="1890" spans="1:11" x14ac:dyDescent="0.3">
      <c r="A1890" s="156" t="s">
        <v>887</v>
      </c>
      <c r="B1890" s="157" t="s">
        <v>888</v>
      </c>
      <c r="C1890" s="157">
        <v>2024</v>
      </c>
      <c r="D1890" s="158">
        <v>28.149999600000001</v>
      </c>
      <c r="E1890" s="158">
        <v>-12.612500199999999</v>
      </c>
      <c r="F1890" s="159">
        <v>4.8</v>
      </c>
      <c r="G1890" s="160">
        <v>2.2999999999999998</v>
      </c>
      <c r="H1890" s="161">
        <v>61</v>
      </c>
      <c r="I1890" s="161">
        <v>21</v>
      </c>
      <c r="J1890" s="161">
        <v>23</v>
      </c>
      <c r="K1890" s="160">
        <v>0.47000000000000003</v>
      </c>
    </row>
    <row r="1891" spans="1:11" x14ac:dyDescent="0.3">
      <c r="A1891" s="156" t="s">
        <v>887</v>
      </c>
      <c r="B1891" s="157" t="s">
        <v>888</v>
      </c>
      <c r="C1891" s="157">
        <v>2024</v>
      </c>
      <c r="D1891" s="158">
        <v>31.166665999999999</v>
      </c>
      <c r="E1891" s="158">
        <v>-10.166667</v>
      </c>
      <c r="F1891" s="159">
        <v>6</v>
      </c>
      <c r="G1891" s="160">
        <v>2.9</v>
      </c>
      <c r="H1891" s="161">
        <v>79.5</v>
      </c>
      <c r="I1891" s="161">
        <v>7</v>
      </c>
      <c r="J1891" s="161">
        <v>10</v>
      </c>
      <c r="K1891" s="160">
        <v>1.22</v>
      </c>
    </row>
    <row r="1892" spans="1:11" x14ac:dyDescent="0.3">
      <c r="A1892" s="156" t="s">
        <v>887</v>
      </c>
      <c r="B1892" s="157" t="s">
        <v>888</v>
      </c>
      <c r="C1892" s="157">
        <v>2024</v>
      </c>
      <c r="D1892" s="158">
        <v>89.897883333300001</v>
      </c>
      <c r="E1892" s="158">
        <v>27.489166666700001</v>
      </c>
      <c r="F1892" s="159">
        <v>6.7</v>
      </c>
      <c r="G1892" s="160">
        <v>10.8</v>
      </c>
      <c r="H1892" s="161">
        <v>49.1</v>
      </c>
      <c r="I1892" s="161">
        <v>27.8</v>
      </c>
      <c r="J1892" s="161">
        <v>27</v>
      </c>
      <c r="K1892" s="160">
        <v>0.39</v>
      </c>
    </row>
    <row r="1893" spans="1:11" x14ac:dyDescent="0.3">
      <c r="A1893" s="156" t="s">
        <v>887</v>
      </c>
      <c r="B1893" s="157" t="s">
        <v>888</v>
      </c>
      <c r="C1893" s="157">
        <v>2024</v>
      </c>
      <c r="D1893" s="158">
        <v>101.2249985</v>
      </c>
      <c r="E1893" s="158">
        <v>-1.2305557</v>
      </c>
      <c r="F1893" s="159">
        <v>4.5</v>
      </c>
      <c r="G1893" s="160">
        <v>3.3</v>
      </c>
      <c r="H1893" s="161">
        <v>7.1</v>
      </c>
      <c r="I1893" s="161">
        <v>9</v>
      </c>
      <c r="J1893" s="161">
        <v>81</v>
      </c>
      <c r="K1893" s="160">
        <v>0.35</v>
      </c>
    </row>
    <row r="1894" spans="1:11" x14ac:dyDescent="0.3">
      <c r="A1894" s="156" t="s">
        <v>887</v>
      </c>
      <c r="B1894" s="157" t="s">
        <v>888</v>
      </c>
      <c r="C1894" s="157">
        <v>2024</v>
      </c>
      <c r="D1894" s="158">
        <v>116.268164</v>
      </c>
      <c r="E1894" s="158">
        <v>-32.665452999999999</v>
      </c>
      <c r="F1894" s="159">
        <v>6.1</v>
      </c>
      <c r="G1894" s="160">
        <v>7.2</v>
      </c>
      <c r="H1894" s="161">
        <v>20</v>
      </c>
      <c r="I1894" s="161">
        <v>2</v>
      </c>
      <c r="J1894" s="161">
        <v>9</v>
      </c>
      <c r="K1894" s="160">
        <v>1</v>
      </c>
    </row>
    <row r="1895" spans="1:11" x14ac:dyDescent="0.3">
      <c r="A1895" s="156" t="s">
        <v>887</v>
      </c>
      <c r="B1895" s="157" t="s">
        <v>888</v>
      </c>
      <c r="C1895" s="157">
        <v>2024</v>
      </c>
      <c r="D1895" s="158">
        <v>126.9816666</v>
      </c>
      <c r="E1895" s="158">
        <v>35.876666999999998</v>
      </c>
      <c r="F1895" s="159">
        <v>6</v>
      </c>
      <c r="G1895" s="160">
        <v>14.9</v>
      </c>
      <c r="H1895" s="161">
        <v>3</v>
      </c>
      <c r="I1895" s="161">
        <v>52</v>
      </c>
      <c r="J1895" s="161">
        <v>36.799999999999997</v>
      </c>
      <c r="K1895" s="160">
        <v>1.03</v>
      </c>
    </row>
    <row r="1896" spans="1:11" x14ac:dyDescent="0.3">
      <c r="A1896" s="156" t="s">
        <v>887</v>
      </c>
      <c r="B1896" s="157" t="s">
        <v>888</v>
      </c>
      <c r="C1896" s="157">
        <v>2024</v>
      </c>
      <c r="D1896" s="158">
        <v>-150.03334050000001</v>
      </c>
      <c r="E1896" s="158">
        <v>62.25</v>
      </c>
      <c r="F1896" s="159">
        <v>4.4000000000000004</v>
      </c>
      <c r="G1896" s="160">
        <v>5.15</v>
      </c>
      <c r="H1896" s="161">
        <v>45.6</v>
      </c>
      <c r="I1896" s="161">
        <v>48.9</v>
      </c>
      <c r="J1896" s="161">
        <v>3</v>
      </c>
      <c r="K1896" s="160">
        <v>8.11</v>
      </c>
    </row>
    <row r="1897" spans="1:11" x14ac:dyDescent="0.3">
      <c r="A1897" s="156" t="s">
        <v>887</v>
      </c>
      <c r="B1897" s="157" t="s">
        <v>888</v>
      </c>
      <c r="C1897" s="157">
        <v>2024</v>
      </c>
      <c r="D1897" s="158">
        <v>-115.7425003</v>
      </c>
      <c r="E1897" s="158">
        <v>46.563610099999998</v>
      </c>
      <c r="F1897" s="159">
        <v>4.2</v>
      </c>
      <c r="G1897" s="160">
        <v>4.05</v>
      </c>
      <c r="H1897" s="161">
        <v>45.6</v>
      </c>
      <c r="I1897" s="161">
        <v>49</v>
      </c>
      <c r="J1897" s="161">
        <v>7.8</v>
      </c>
      <c r="K1897" s="160">
        <v>1.86</v>
      </c>
    </row>
    <row r="1898" spans="1:11" x14ac:dyDescent="0.3">
      <c r="A1898" s="156" t="s">
        <v>887</v>
      </c>
      <c r="B1898" s="157" t="s">
        <v>888</v>
      </c>
      <c r="C1898" s="157">
        <v>2024</v>
      </c>
      <c r="D1898" s="158">
        <v>-96.250053399999999</v>
      </c>
      <c r="E1898" s="158">
        <v>42.228611000000001</v>
      </c>
      <c r="F1898" s="159">
        <v>6.7</v>
      </c>
      <c r="G1898" s="160">
        <v>23</v>
      </c>
      <c r="H1898" s="161">
        <v>24.6</v>
      </c>
      <c r="I1898" s="161">
        <v>60.5</v>
      </c>
      <c r="J1898" s="161">
        <v>28.3</v>
      </c>
      <c r="K1898" s="160">
        <v>0.12</v>
      </c>
    </row>
    <row r="1899" spans="1:11" x14ac:dyDescent="0.3">
      <c r="A1899" s="156" t="s">
        <v>887</v>
      </c>
      <c r="B1899" s="157" t="s">
        <v>888</v>
      </c>
      <c r="C1899" s="157">
        <v>2024</v>
      </c>
      <c r="D1899" s="158">
        <v>-95.169166599999997</v>
      </c>
      <c r="E1899" s="158">
        <v>38.991664900000004</v>
      </c>
      <c r="F1899" s="159">
        <v>6</v>
      </c>
      <c r="G1899" s="160">
        <v>14.15</v>
      </c>
      <c r="H1899" s="161">
        <v>24.1</v>
      </c>
      <c r="I1899" s="161">
        <v>64</v>
      </c>
      <c r="J1899" s="161">
        <v>21.2</v>
      </c>
      <c r="K1899" s="160">
        <v>0.11000000000000001</v>
      </c>
    </row>
    <row r="1900" spans="1:11" x14ac:dyDescent="0.3">
      <c r="A1900" s="156" t="s">
        <v>887</v>
      </c>
      <c r="B1900" s="157" t="s">
        <v>888</v>
      </c>
      <c r="C1900" s="157">
        <v>2024</v>
      </c>
      <c r="D1900" s="158">
        <v>-94.758613600000004</v>
      </c>
      <c r="E1900" s="158">
        <v>45.947498299999999</v>
      </c>
      <c r="F1900" s="159">
        <v>5.5</v>
      </c>
      <c r="G1900" s="160">
        <v>6.9</v>
      </c>
      <c r="H1900" s="161">
        <v>49.9</v>
      </c>
      <c r="I1900" s="161">
        <v>25.9</v>
      </c>
      <c r="J1900" s="161">
        <v>13.9</v>
      </c>
      <c r="K1900" s="160">
        <v>0.42000000000000004</v>
      </c>
    </row>
    <row r="1901" spans="1:11" x14ac:dyDescent="0.3">
      <c r="A1901" s="156" t="s">
        <v>887</v>
      </c>
      <c r="B1901" s="157" t="s">
        <v>888</v>
      </c>
      <c r="C1901" s="157">
        <v>2024</v>
      </c>
      <c r="D1901" s="158">
        <v>-94.035618099999994</v>
      </c>
      <c r="E1901" s="158">
        <v>37.655071599999999</v>
      </c>
      <c r="F1901" s="159">
        <v>5</v>
      </c>
      <c r="G1901" s="160">
        <v>13</v>
      </c>
      <c r="H1901" s="161">
        <v>11.7</v>
      </c>
      <c r="I1901" s="161">
        <v>34.9</v>
      </c>
      <c r="J1901" s="161">
        <v>25.9</v>
      </c>
      <c r="K1901" s="160">
        <v>0.5</v>
      </c>
    </row>
    <row r="1902" spans="1:11" x14ac:dyDescent="0.3">
      <c r="A1902" s="156" t="s">
        <v>887</v>
      </c>
      <c r="B1902" s="157" t="s">
        <v>888</v>
      </c>
      <c r="C1902" s="157">
        <v>2024</v>
      </c>
      <c r="D1902" s="158">
        <v>-93.982922200000004</v>
      </c>
      <c r="E1902" s="158">
        <v>39.916247200000001</v>
      </c>
      <c r="F1902" s="159">
        <v>4.5</v>
      </c>
      <c r="G1902" s="160">
        <v>21</v>
      </c>
      <c r="H1902" s="161">
        <v>6.1</v>
      </c>
      <c r="I1902" s="161">
        <v>68.3</v>
      </c>
      <c r="J1902" s="161">
        <v>47.8</v>
      </c>
      <c r="K1902" s="160">
        <v>0.6</v>
      </c>
    </row>
    <row r="1903" spans="1:11" x14ac:dyDescent="0.3">
      <c r="A1903" s="156" t="s">
        <v>887</v>
      </c>
      <c r="B1903" s="157" t="s">
        <v>888</v>
      </c>
      <c r="C1903" s="157">
        <v>2024</v>
      </c>
      <c r="D1903" s="158">
        <v>-93.509933500000002</v>
      </c>
      <c r="E1903" s="158">
        <v>41.0064049</v>
      </c>
      <c r="F1903" s="159">
        <v>8.1999999999999993</v>
      </c>
      <c r="G1903" s="160">
        <v>25.3</v>
      </c>
      <c r="H1903" s="161">
        <v>62.2</v>
      </c>
      <c r="I1903" s="161">
        <v>22.3</v>
      </c>
      <c r="J1903" s="161">
        <v>33.9</v>
      </c>
      <c r="K1903" s="160">
        <v>0.12</v>
      </c>
    </row>
    <row r="1904" spans="1:11" x14ac:dyDescent="0.3">
      <c r="A1904" s="156" t="s">
        <v>887</v>
      </c>
      <c r="B1904" s="157" t="s">
        <v>888</v>
      </c>
      <c r="C1904" s="157">
        <v>2024</v>
      </c>
      <c r="D1904" s="158">
        <v>-93.421305599999997</v>
      </c>
      <c r="E1904" s="158">
        <v>37.203791699999996</v>
      </c>
      <c r="F1904" s="159">
        <v>5.5</v>
      </c>
      <c r="G1904" s="160">
        <v>11</v>
      </c>
      <c r="H1904" s="161">
        <v>7.8</v>
      </c>
      <c r="I1904" s="161">
        <v>48.9</v>
      </c>
      <c r="J1904" s="161">
        <v>16.2</v>
      </c>
      <c r="K1904" s="160">
        <v>0.6</v>
      </c>
    </row>
    <row r="1905" spans="1:11" x14ac:dyDescent="0.3">
      <c r="A1905" s="156" t="s">
        <v>887</v>
      </c>
      <c r="B1905" s="157" t="s">
        <v>888</v>
      </c>
      <c r="C1905" s="157">
        <v>2024</v>
      </c>
      <c r="D1905" s="158">
        <v>-93.313847199999998</v>
      </c>
      <c r="E1905" s="158">
        <v>39.691944399999997</v>
      </c>
      <c r="F1905" s="159">
        <v>5.3</v>
      </c>
      <c r="G1905" s="160">
        <v>26.45</v>
      </c>
      <c r="H1905" s="161">
        <v>4.3</v>
      </c>
      <c r="I1905" s="161">
        <v>54.2</v>
      </c>
      <c r="J1905" s="161">
        <v>39.9</v>
      </c>
      <c r="K1905" s="160">
        <v>1.8</v>
      </c>
    </row>
    <row r="1906" spans="1:11" x14ac:dyDescent="0.3">
      <c r="A1906" s="156" t="s">
        <v>887</v>
      </c>
      <c r="B1906" s="157" t="s">
        <v>888</v>
      </c>
      <c r="C1906" s="157">
        <v>2024</v>
      </c>
      <c r="D1906" s="158">
        <v>-93.231391900000006</v>
      </c>
      <c r="E1906" s="158">
        <v>30.613611200000001</v>
      </c>
      <c r="F1906" s="159">
        <v>4.9000000000000004</v>
      </c>
      <c r="G1906" s="160">
        <v>4.2</v>
      </c>
      <c r="H1906" s="161">
        <v>30.9</v>
      </c>
      <c r="I1906" s="161">
        <v>52.1</v>
      </c>
      <c r="J1906" s="161">
        <v>23.6</v>
      </c>
      <c r="K1906" s="160">
        <v>0.01</v>
      </c>
    </row>
    <row r="1907" spans="1:11" x14ac:dyDescent="0.3">
      <c r="A1907" s="156" t="s">
        <v>887</v>
      </c>
      <c r="B1907" s="157" t="s">
        <v>888</v>
      </c>
      <c r="C1907" s="157">
        <v>2024</v>
      </c>
      <c r="D1907" s="158">
        <v>-92.666006699999997</v>
      </c>
      <c r="E1907" s="158">
        <v>36.977850599999996</v>
      </c>
      <c r="F1907" s="159">
        <v>5.5</v>
      </c>
      <c r="G1907" s="160">
        <v>7</v>
      </c>
      <c r="H1907" s="161">
        <v>37.200000000000003</v>
      </c>
      <c r="I1907" s="161">
        <v>32.9</v>
      </c>
      <c r="J1907" s="161">
        <v>56</v>
      </c>
      <c r="K1907" s="160">
        <v>0.3</v>
      </c>
    </row>
    <row r="1908" spans="1:11" x14ac:dyDescent="0.3">
      <c r="A1908" s="156" t="s">
        <v>887</v>
      </c>
      <c r="B1908" s="157" t="s">
        <v>888</v>
      </c>
      <c r="C1908" s="157">
        <v>2024</v>
      </c>
      <c r="D1908" s="158">
        <v>-92.345169067382798</v>
      </c>
      <c r="E1908" s="158">
        <v>38.967266082763601</v>
      </c>
      <c r="F1908" s="159">
        <v>5.6</v>
      </c>
      <c r="G1908" s="160">
        <v>18</v>
      </c>
      <c r="H1908" s="161">
        <v>7.1</v>
      </c>
      <c r="I1908" s="161">
        <v>57</v>
      </c>
      <c r="J1908" s="161">
        <v>16.5</v>
      </c>
      <c r="K1908" s="160">
        <v>4.8</v>
      </c>
    </row>
    <row r="1909" spans="1:11" x14ac:dyDescent="0.3">
      <c r="A1909" s="156" t="s">
        <v>887</v>
      </c>
      <c r="B1909" s="157" t="s">
        <v>888</v>
      </c>
      <c r="C1909" s="157">
        <v>2024</v>
      </c>
      <c r="D1909" s="158">
        <v>-92.344999999999999</v>
      </c>
      <c r="E1909" s="158">
        <v>38.967222200000002</v>
      </c>
      <c r="F1909" s="159">
        <v>6.6</v>
      </c>
      <c r="G1909" s="160">
        <v>19</v>
      </c>
      <c r="H1909" s="161">
        <v>5.3</v>
      </c>
      <c r="I1909" s="161">
        <v>45</v>
      </c>
      <c r="J1909" s="161">
        <v>44.8</v>
      </c>
      <c r="K1909" s="160">
        <v>0.5</v>
      </c>
    </row>
    <row r="1910" spans="1:11" x14ac:dyDescent="0.3">
      <c r="A1910" s="156" t="s">
        <v>887</v>
      </c>
      <c r="B1910" s="157" t="s">
        <v>888</v>
      </c>
      <c r="C1910" s="157">
        <v>2024</v>
      </c>
      <c r="D1910" s="158">
        <v>-92.310279800000004</v>
      </c>
      <c r="E1910" s="158">
        <v>45.615833299999998</v>
      </c>
      <c r="F1910" s="159">
        <v>5.4</v>
      </c>
      <c r="G1910" s="160">
        <v>2.85</v>
      </c>
      <c r="H1910" s="161">
        <v>75.400000000000006</v>
      </c>
      <c r="I1910" s="161">
        <v>30.1</v>
      </c>
      <c r="J1910" s="161">
        <v>9.1999999999999993</v>
      </c>
      <c r="K1910" s="160">
        <v>0.28999999999999998</v>
      </c>
    </row>
    <row r="1911" spans="1:11" x14ac:dyDescent="0.3">
      <c r="A1911" s="156" t="s">
        <v>887</v>
      </c>
      <c r="B1911" s="157" t="s">
        <v>888</v>
      </c>
      <c r="C1911" s="157">
        <v>2024</v>
      </c>
      <c r="D1911" s="158">
        <v>-92.140687799999995</v>
      </c>
      <c r="E1911" s="158">
        <v>39.218986999999998</v>
      </c>
      <c r="F1911" s="159">
        <v>4.8</v>
      </c>
      <c r="G1911" s="160">
        <v>11.2</v>
      </c>
      <c r="H1911" s="161">
        <v>2.2999999999999998</v>
      </c>
      <c r="I1911" s="161">
        <v>64.599999999999994</v>
      </c>
      <c r="J1911" s="161">
        <v>34.700000000000003</v>
      </c>
      <c r="K1911" s="160">
        <v>0.3</v>
      </c>
    </row>
    <row r="1912" spans="1:11" x14ac:dyDescent="0.3">
      <c r="A1912" s="156" t="s">
        <v>887</v>
      </c>
      <c r="B1912" s="157" t="s">
        <v>888</v>
      </c>
      <c r="C1912" s="157">
        <v>2024</v>
      </c>
      <c r="D1912" s="158">
        <v>-92.114047999999997</v>
      </c>
      <c r="E1912" s="158">
        <v>38.397828400000002</v>
      </c>
      <c r="F1912" s="159">
        <v>4.9000000000000004</v>
      </c>
      <c r="G1912" s="160">
        <v>2</v>
      </c>
      <c r="H1912" s="161">
        <v>30.4</v>
      </c>
      <c r="I1912" s="161">
        <v>19.100000000000001</v>
      </c>
      <c r="J1912" s="161">
        <v>21.5</v>
      </c>
      <c r="K1912" s="160">
        <v>0.8</v>
      </c>
    </row>
    <row r="1913" spans="1:11" x14ac:dyDescent="0.3">
      <c r="A1913" s="156" t="s">
        <v>887</v>
      </c>
      <c r="B1913" s="157" t="s">
        <v>888</v>
      </c>
      <c r="C1913" s="157">
        <v>2024</v>
      </c>
      <c r="D1913" s="158">
        <v>-92</v>
      </c>
      <c r="E1913" s="158">
        <v>36</v>
      </c>
      <c r="F1913" s="159">
        <v>5</v>
      </c>
      <c r="G1913" s="160">
        <v>3.4</v>
      </c>
      <c r="H1913" s="161">
        <v>4.5999999999999996</v>
      </c>
      <c r="I1913" s="161">
        <v>21.9</v>
      </c>
      <c r="J1913" s="161">
        <v>17.8</v>
      </c>
      <c r="K1913" s="160">
        <v>0.1</v>
      </c>
    </row>
    <row r="1914" spans="1:11" x14ac:dyDescent="0.3">
      <c r="A1914" s="156" t="s">
        <v>887</v>
      </c>
      <c r="B1914" s="157" t="s">
        <v>888</v>
      </c>
      <c r="C1914" s="157">
        <v>2024</v>
      </c>
      <c r="D1914" s="158">
        <v>-91.811260500000003</v>
      </c>
      <c r="E1914" s="158">
        <v>38.4031065</v>
      </c>
      <c r="F1914" s="159">
        <v>4.5</v>
      </c>
      <c r="G1914" s="160">
        <v>4.3</v>
      </c>
      <c r="H1914" s="161">
        <v>68</v>
      </c>
      <c r="I1914" s="161">
        <v>59.8</v>
      </c>
      <c r="J1914" s="161">
        <v>10.6</v>
      </c>
      <c r="K1914" s="160">
        <v>0.1</v>
      </c>
    </row>
    <row r="1915" spans="1:11" x14ac:dyDescent="0.3">
      <c r="A1915" s="156" t="s">
        <v>887</v>
      </c>
      <c r="B1915" s="157" t="s">
        <v>888</v>
      </c>
      <c r="C1915" s="157">
        <v>2024</v>
      </c>
      <c r="D1915" s="158">
        <v>-91.138549999999995</v>
      </c>
      <c r="E1915" s="158">
        <v>37.1745722</v>
      </c>
      <c r="F1915" s="159">
        <v>4.5</v>
      </c>
      <c r="G1915" s="160">
        <v>14.65</v>
      </c>
      <c r="H1915" s="161">
        <v>14.2</v>
      </c>
      <c r="I1915" s="161">
        <v>69.2</v>
      </c>
      <c r="J1915" s="161">
        <v>12.6</v>
      </c>
      <c r="K1915" s="160">
        <v>0.4</v>
      </c>
    </row>
    <row r="1916" spans="1:11" x14ac:dyDescent="0.3">
      <c r="A1916" s="156" t="s">
        <v>887</v>
      </c>
      <c r="B1916" s="157" t="s">
        <v>888</v>
      </c>
      <c r="C1916" s="157">
        <v>2024</v>
      </c>
      <c r="D1916" s="158">
        <v>-89.764999399999994</v>
      </c>
      <c r="E1916" s="158">
        <v>39.295276600000001</v>
      </c>
      <c r="F1916" s="159">
        <v>5.4</v>
      </c>
      <c r="G1916" s="160">
        <v>23.85</v>
      </c>
      <c r="H1916" s="161">
        <v>13.1</v>
      </c>
      <c r="I1916" s="161">
        <v>75.2</v>
      </c>
      <c r="J1916" s="161">
        <v>18.399999999999999</v>
      </c>
      <c r="K1916" s="160">
        <v>6.9999999999999993E-2</v>
      </c>
    </row>
    <row r="1917" spans="1:11" x14ac:dyDescent="0.3">
      <c r="A1917" s="156" t="s">
        <v>887</v>
      </c>
      <c r="B1917" s="157" t="s">
        <v>888</v>
      </c>
      <c r="C1917" s="157">
        <v>2024</v>
      </c>
      <c r="D1917" s="158">
        <v>-83.769897499999999</v>
      </c>
      <c r="E1917" s="158">
        <v>31.738802</v>
      </c>
      <c r="F1917" s="159">
        <v>4.7</v>
      </c>
      <c r="G1917" s="160">
        <v>2.2999999999999998</v>
      </c>
      <c r="H1917" s="161">
        <v>59.1</v>
      </c>
      <c r="I1917" s="161">
        <v>8.1</v>
      </c>
      <c r="J1917" s="161">
        <v>12.4</v>
      </c>
      <c r="K1917" s="160">
        <v>0.1</v>
      </c>
    </row>
    <row r="1918" spans="1:11" x14ac:dyDescent="0.3">
      <c r="A1918" s="156" t="s">
        <v>887</v>
      </c>
      <c r="B1918" s="157" t="s">
        <v>888</v>
      </c>
      <c r="C1918" s="157">
        <v>2024</v>
      </c>
      <c r="D1918" s="158">
        <v>-79.366666666666703</v>
      </c>
      <c r="E1918" s="158">
        <v>2.5000000000000001E-2</v>
      </c>
      <c r="F1918" s="159">
        <v>5.9</v>
      </c>
      <c r="G1918" s="160">
        <v>1.3</v>
      </c>
      <c r="H1918" s="161">
        <v>30</v>
      </c>
      <c r="I1918" s="161">
        <v>46.2</v>
      </c>
      <c r="J1918" s="161">
        <v>18.8</v>
      </c>
      <c r="K1918" s="160">
        <v>2.16</v>
      </c>
    </row>
    <row r="1919" spans="1:11" x14ac:dyDescent="0.3">
      <c r="A1919" s="156" t="s">
        <v>887</v>
      </c>
      <c r="B1919" s="157" t="s">
        <v>888</v>
      </c>
      <c r="C1919" s="157">
        <v>2024</v>
      </c>
      <c r="D1919" s="158">
        <v>-78.5625</v>
      </c>
      <c r="E1919" s="158">
        <v>-0.33750000000000002</v>
      </c>
      <c r="F1919" s="159">
        <v>6.3</v>
      </c>
      <c r="G1919" s="160">
        <v>6.2</v>
      </c>
      <c r="H1919" s="161">
        <v>40</v>
      </c>
      <c r="I1919" s="161">
        <v>46.4</v>
      </c>
      <c r="J1919" s="161">
        <v>15.2</v>
      </c>
      <c r="K1919" s="160">
        <v>6.21</v>
      </c>
    </row>
    <row r="1920" spans="1:11" x14ac:dyDescent="0.3">
      <c r="A1920" s="156" t="s">
        <v>887</v>
      </c>
      <c r="B1920" s="157" t="s">
        <v>888</v>
      </c>
      <c r="C1920" s="157">
        <v>2024</v>
      </c>
      <c r="D1920" s="158">
        <v>-78.333061200000003</v>
      </c>
      <c r="E1920" s="158">
        <v>35.500095399999999</v>
      </c>
      <c r="F1920" s="159">
        <v>5</v>
      </c>
      <c r="G1920" s="160">
        <v>2.1</v>
      </c>
      <c r="H1920" s="161">
        <v>67.3</v>
      </c>
      <c r="I1920" s="161">
        <v>12.8</v>
      </c>
      <c r="J1920" s="161">
        <v>6.5</v>
      </c>
      <c r="K1920" s="160">
        <v>0.16</v>
      </c>
    </row>
    <row r="1921" spans="1:11" x14ac:dyDescent="0.3">
      <c r="A1921" s="156" t="s">
        <v>887</v>
      </c>
      <c r="B1921" s="157" t="s">
        <v>888</v>
      </c>
      <c r="C1921" s="157">
        <v>2024</v>
      </c>
      <c r="D1921" s="158">
        <v>-77.799705500000002</v>
      </c>
      <c r="E1921" s="158">
        <v>38.325042699999997</v>
      </c>
      <c r="F1921" s="159">
        <v>5</v>
      </c>
      <c r="G1921" s="160">
        <v>2.95</v>
      </c>
      <c r="H1921" s="161">
        <v>13.1</v>
      </c>
      <c r="I1921" s="161">
        <v>26.3</v>
      </c>
      <c r="J1921" s="161">
        <v>62.3</v>
      </c>
      <c r="K1921" s="160">
        <v>0.24</v>
      </c>
    </row>
    <row r="1922" spans="1:11" x14ac:dyDescent="0.3">
      <c r="A1922" s="156" t="s">
        <v>887</v>
      </c>
      <c r="B1922" s="157" t="s">
        <v>888</v>
      </c>
      <c r="C1922" s="157">
        <v>2024</v>
      </c>
      <c r="D1922" s="158">
        <v>-76.305000000000007</v>
      </c>
      <c r="E1922" s="158">
        <v>41.782499999999999</v>
      </c>
      <c r="F1922" s="159">
        <v>5.4</v>
      </c>
      <c r="G1922" s="160">
        <v>2</v>
      </c>
      <c r="H1922" s="161">
        <v>36.9</v>
      </c>
      <c r="I1922" s="161">
        <v>56.8</v>
      </c>
      <c r="J1922" s="161">
        <v>8.8000000000000007</v>
      </c>
      <c r="K1922" s="160">
        <v>6.9999999999999993E-2</v>
      </c>
    </row>
    <row r="1923" spans="1:11" x14ac:dyDescent="0.3">
      <c r="A1923" s="156" t="s">
        <v>887</v>
      </c>
      <c r="B1923" s="157" t="s">
        <v>888</v>
      </c>
      <c r="C1923" s="157">
        <v>2024</v>
      </c>
      <c r="D1923" s="158">
        <v>-75.297225999999995</v>
      </c>
      <c r="E1923" s="158">
        <v>39.549999200000002</v>
      </c>
      <c r="F1923" s="159">
        <v>4.8</v>
      </c>
      <c r="G1923" s="160">
        <v>6</v>
      </c>
      <c r="H1923" s="161">
        <v>79.3</v>
      </c>
      <c r="I1923" s="161">
        <v>14.5</v>
      </c>
      <c r="J1923" s="161">
        <v>3.7</v>
      </c>
      <c r="K1923" s="160">
        <v>0.02</v>
      </c>
    </row>
    <row r="1924" spans="1:11" x14ac:dyDescent="0.3">
      <c r="A1924" s="156" t="s">
        <v>887</v>
      </c>
      <c r="B1924" s="157" t="s">
        <v>888</v>
      </c>
      <c r="C1924" s="157">
        <v>2024</v>
      </c>
      <c r="D1924" s="158">
        <v>-74.733329800000007</v>
      </c>
      <c r="E1924" s="158">
        <v>39.8072205</v>
      </c>
      <c r="F1924" s="159">
        <v>4.5</v>
      </c>
      <c r="G1924" s="160">
        <v>1.85</v>
      </c>
      <c r="H1924" s="161">
        <v>57</v>
      </c>
      <c r="I1924" s="161">
        <v>33</v>
      </c>
      <c r="J1924" s="161">
        <v>12.7</v>
      </c>
      <c r="K1924" s="160">
        <v>2.15</v>
      </c>
    </row>
    <row r="1925" spans="1:11" x14ac:dyDescent="0.3">
      <c r="A1925" s="156" t="s">
        <v>887</v>
      </c>
      <c r="B1925" s="157" t="s">
        <v>888</v>
      </c>
      <c r="C1925" s="157">
        <v>2024</v>
      </c>
      <c r="D1925" s="158">
        <v>-12.083333</v>
      </c>
      <c r="E1925" s="158">
        <v>8.9</v>
      </c>
      <c r="F1925" s="159">
        <v>4.9000000000000004</v>
      </c>
      <c r="G1925" s="160">
        <v>1.1000000000000001</v>
      </c>
      <c r="H1925" s="161">
        <v>67</v>
      </c>
      <c r="I1925" s="161">
        <v>13</v>
      </c>
      <c r="J1925" s="161">
        <v>33</v>
      </c>
      <c r="K1925" s="160">
        <v>1.1300000000000001</v>
      </c>
    </row>
    <row r="1926" spans="1:11" x14ac:dyDescent="0.3">
      <c r="A1926" s="156" t="s">
        <v>887</v>
      </c>
      <c r="B1926" s="157" t="s">
        <v>888</v>
      </c>
      <c r="C1926" s="157">
        <v>2024</v>
      </c>
      <c r="D1926" s="158">
        <v>-7.983333</v>
      </c>
      <c r="E1926" s="158">
        <v>12.666667</v>
      </c>
      <c r="F1926" s="159">
        <v>5.7</v>
      </c>
      <c r="G1926" s="160">
        <v>6</v>
      </c>
      <c r="H1926" s="161">
        <v>22</v>
      </c>
      <c r="I1926" s="161">
        <v>23.5</v>
      </c>
      <c r="J1926" s="161">
        <v>27.1</v>
      </c>
      <c r="K1926" s="160">
        <v>0.16999999999999998</v>
      </c>
    </row>
    <row r="1927" spans="1:11" x14ac:dyDescent="0.3">
      <c r="A1927" s="156" t="s">
        <v>887</v>
      </c>
      <c r="B1927" s="157" t="s">
        <v>888</v>
      </c>
      <c r="C1927" s="157">
        <v>2024</v>
      </c>
      <c r="D1927" s="158">
        <v>-7.3333329999999997</v>
      </c>
      <c r="E1927" s="158">
        <v>5.8833330000000004</v>
      </c>
      <c r="F1927" s="159">
        <v>4.9000000000000004</v>
      </c>
      <c r="G1927" s="160">
        <v>1.5</v>
      </c>
      <c r="H1927" s="161">
        <v>73</v>
      </c>
      <c r="I1927" s="161">
        <v>27.8</v>
      </c>
      <c r="J1927" s="161">
        <v>33</v>
      </c>
      <c r="K1927" s="160">
        <v>0.27</v>
      </c>
    </row>
    <row r="1928" spans="1:11" x14ac:dyDescent="0.3">
      <c r="A1928" s="156" t="s">
        <v>887</v>
      </c>
      <c r="B1928" s="157" t="s">
        <v>888</v>
      </c>
      <c r="C1928" s="157">
        <v>2024</v>
      </c>
      <c r="D1928" s="158">
        <v>5.3166669999999998</v>
      </c>
      <c r="E1928" s="158">
        <v>13.816667000000001</v>
      </c>
      <c r="F1928" s="159">
        <v>5.9</v>
      </c>
      <c r="G1928" s="160">
        <v>0.95</v>
      </c>
      <c r="H1928" s="161">
        <v>89</v>
      </c>
      <c r="I1928" s="161">
        <v>5</v>
      </c>
      <c r="J1928" s="161">
        <v>3</v>
      </c>
      <c r="K1928" s="160">
        <v>0.15</v>
      </c>
    </row>
    <row r="1929" spans="1:11" x14ac:dyDescent="0.3">
      <c r="A1929" s="156" t="s">
        <v>887</v>
      </c>
      <c r="B1929" s="157" t="s">
        <v>888</v>
      </c>
      <c r="C1929" s="157">
        <v>2024</v>
      </c>
      <c r="D1929" s="158">
        <v>27.014721999999999</v>
      </c>
      <c r="E1929" s="158">
        <v>-22.748888999999998</v>
      </c>
      <c r="F1929" s="159">
        <v>5.0999999999999996</v>
      </c>
      <c r="G1929" s="160">
        <v>3.3</v>
      </c>
      <c r="H1929" s="161">
        <v>69</v>
      </c>
      <c r="I1929" s="161">
        <v>7.3</v>
      </c>
      <c r="J1929" s="161">
        <v>27.1</v>
      </c>
      <c r="K1929" s="160">
        <v>0.2</v>
      </c>
    </row>
    <row r="1930" spans="1:11" x14ac:dyDescent="0.3">
      <c r="A1930" s="156" t="s">
        <v>887</v>
      </c>
      <c r="B1930" s="157" t="s">
        <v>888</v>
      </c>
      <c r="C1930" s="157">
        <v>2024</v>
      </c>
      <c r="D1930" s="158">
        <v>27.233332999999998</v>
      </c>
      <c r="E1930" s="158">
        <v>-29.816666999999999</v>
      </c>
      <c r="F1930" s="159">
        <v>5.0999999999999996</v>
      </c>
      <c r="G1930" s="160">
        <v>5.7</v>
      </c>
      <c r="H1930" s="161">
        <v>36</v>
      </c>
      <c r="I1930" s="161">
        <v>28</v>
      </c>
      <c r="J1930" s="161">
        <v>28.9</v>
      </c>
      <c r="K1930" s="160">
        <v>0.51</v>
      </c>
    </row>
    <row r="1931" spans="1:11" x14ac:dyDescent="0.3">
      <c r="A1931" s="156" t="s">
        <v>887</v>
      </c>
      <c r="B1931" s="157" t="s">
        <v>888</v>
      </c>
      <c r="C1931" s="157">
        <v>2024</v>
      </c>
      <c r="D1931" s="158">
        <v>29.316666999999999</v>
      </c>
      <c r="E1931" s="158">
        <v>-3.3666670000000001</v>
      </c>
      <c r="F1931" s="159">
        <v>8.6</v>
      </c>
      <c r="G1931" s="160">
        <v>0.3</v>
      </c>
      <c r="H1931" s="161">
        <v>71.5</v>
      </c>
      <c r="I1931" s="161">
        <v>16</v>
      </c>
      <c r="J1931" s="161">
        <v>23</v>
      </c>
      <c r="K1931" s="160">
        <v>0.57000000000000006</v>
      </c>
    </row>
    <row r="1932" spans="1:11" x14ac:dyDescent="0.3">
      <c r="A1932" s="156" t="s">
        <v>887</v>
      </c>
      <c r="B1932" s="157" t="s">
        <v>888</v>
      </c>
      <c r="C1932" s="157">
        <v>2024</v>
      </c>
      <c r="D1932" s="158">
        <v>31.136388799999999</v>
      </c>
      <c r="E1932" s="158">
        <v>-17.620832400000001</v>
      </c>
      <c r="F1932" s="159">
        <v>5.9</v>
      </c>
      <c r="G1932" s="160">
        <v>1.35</v>
      </c>
      <c r="H1932" s="161">
        <v>42.5</v>
      </c>
      <c r="I1932" s="161">
        <v>9.6999999999999993</v>
      </c>
      <c r="J1932" s="161">
        <v>39.1</v>
      </c>
      <c r="K1932" s="160">
        <v>0.06</v>
      </c>
    </row>
    <row r="1933" spans="1:11" x14ac:dyDescent="0.3">
      <c r="A1933" s="156" t="s">
        <v>887</v>
      </c>
      <c r="B1933" s="157" t="s">
        <v>888</v>
      </c>
      <c r="C1933" s="157">
        <v>2024</v>
      </c>
      <c r="D1933" s="158">
        <v>101.616666666667</v>
      </c>
      <c r="E1933" s="158">
        <v>3.0333333333333301</v>
      </c>
      <c r="F1933" s="159">
        <v>4.8</v>
      </c>
      <c r="G1933" s="160">
        <v>1.1000000000000001</v>
      </c>
      <c r="H1933" s="161">
        <v>60</v>
      </c>
      <c r="I1933" s="161">
        <v>4.0999999999999996</v>
      </c>
      <c r="J1933" s="161">
        <v>41.2</v>
      </c>
      <c r="K1933" s="160">
        <v>0.24</v>
      </c>
    </row>
    <row r="1934" spans="1:11" x14ac:dyDescent="0.3">
      <c r="A1934" s="156" t="s">
        <v>887</v>
      </c>
      <c r="B1934" s="157" t="s">
        <v>888</v>
      </c>
      <c r="C1934" s="157">
        <v>2024</v>
      </c>
      <c r="D1934" s="158">
        <v>102.833333333333</v>
      </c>
      <c r="E1934" s="158">
        <v>16.516666666666701</v>
      </c>
      <c r="F1934" s="159">
        <v>4.5</v>
      </c>
      <c r="G1934" s="160">
        <v>2.6</v>
      </c>
      <c r="H1934" s="161">
        <v>52.8</v>
      </c>
      <c r="I1934" s="161">
        <v>28.2</v>
      </c>
      <c r="J1934" s="161">
        <v>15</v>
      </c>
      <c r="K1934" s="160">
        <v>0.11000000000000001</v>
      </c>
    </row>
    <row r="1935" spans="1:11" x14ac:dyDescent="0.3">
      <c r="A1935" s="156" t="s">
        <v>887</v>
      </c>
      <c r="B1935" s="157" t="s">
        <v>888</v>
      </c>
      <c r="C1935" s="157">
        <v>2024</v>
      </c>
      <c r="D1935" s="158">
        <v>116.268164</v>
      </c>
      <c r="E1935" s="158">
        <v>-32.665452999999999</v>
      </c>
      <c r="F1935" s="159">
        <v>6</v>
      </c>
      <c r="G1935" s="160">
        <v>2</v>
      </c>
      <c r="H1935" s="161">
        <v>25</v>
      </c>
      <c r="I1935" s="161">
        <v>9</v>
      </c>
      <c r="J1935" s="161">
        <v>3</v>
      </c>
      <c r="K1935" s="160">
        <v>1.3699999999999999</v>
      </c>
    </row>
    <row r="1936" spans="1:11" x14ac:dyDescent="0.3">
      <c r="A1936" s="156" t="s">
        <v>887</v>
      </c>
      <c r="B1936" s="157" t="s">
        <v>888</v>
      </c>
      <c r="C1936" s="157">
        <v>2024</v>
      </c>
      <c r="D1936" s="158">
        <v>116.916666666667</v>
      </c>
      <c r="E1936" s="158">
        <v>28.216666666666701</v>
      </c>
      <c r="F1936" s="159">
        <v>4.4000000000000004</v>
      </c>
      <c r="G1936" s="160">
        <v>6.5</v>
      </c>
      <c r="H1936" s="161">
        <v>43</v>
      </c>
      <c r="I1936" s="161">
        <v>43.1</v>
      </c>
      <c r="J1936" s="161">
        <v>39.299999999999997</v>
      </c>
      <c r="K1936" s="160">
        <v>0.16</v>
      </c>
    </row>
    <row r="1937" spans="1:11" x14ac:dyDescent="0.3">
      <c r="A1937" s="156" t="s">
        <v>887</v>
      </c>
      <c r="B1937" s="157" t="s">
        <v>888</v>
      </c>
      <c r="C1937" s="157">
        <v>2024</v>
      </c>
      <c r="D1937" s="158">
        <v>-99.570129399999999</v>
      </c>
      <c r="E1937" s="158">
        <v>40.466949499999998</v>
      </c>
      <c r="F1937" s="159">
        <v>6.8</v>
      </c>
      <c r="G1937" s="160">
        <v>14</v>
      </c>
      <c r="H1937" s="161">
        <v>11.9</v>
      </c>
      <c r="I1937" s="161">
        <v>59.1</v>
      </c>
      <c r="J1937" s="161">
        <v>34.5</v>
      </c>
      <c r="K1937" s="160">
        <v>1.1499999999999999</v>
      </c>
    </row>
    <row r="1938" spans="1:11" x14ac:dyDescent="0.3">
      <c r="A1938" s="156" t="s">
        <v>887</v>
      </c>
      <c r="B1938" s="157" t="s">
        <v>888</v>
      </c>
      <c r="C1938" s="157">
        <v>2024</v>
      </c>
      <c r="D1938" s="158">
        <v>-95.495834400000007</v>
      </c>
      <c r="E1938" s="158">
        <v>32.587501500000002</v>
      </c>
      <c r="F1938" s="159">
        <v>5.7</v>
      </c>
      <c r="G1938" s="160">
        <v>6</v>
      </c>
      <c r="H1938" s="161">
        <v>52.6</v>
      </c>
      <c r="I1938" s="161">
        <v>26.7</v>
      </c>
      <c r="J1938" s="161">
        <v>11</v>
      </c>
      <c r="K1938" s="160">
        <v>0.06</v>
      </c>
    </row>
    <row r="1939" spans="1:11" x14ac:dyDescent="0.3">
      <c r="A1939" s="156" t="s">
        <v>887</v>
      </c>
      <c r="B1939" s="157" t="s">
        <v>888</v>
      </c>
      <c r="C1939" s="157">
        <v>2024</v>
      </c>
      <c r="D1939" s="158">
        <v>-95.476387000000003</v>
      </c>
      <c r="E1939" s="158">
        <v>32.491664900000004</v>
      </c>
      <c r="F1939" s="159">
        <v>4.7</v>
      </c>
      <c r="G1939" s="160">
        <v>6.3</v>
      </c>
      <c r="H1939" s="161">
        <v>66.400000000000006</v>
      </c>
      <c r="I1939" s="161">
        <v>8.6999999999999993</v>
      </c>
      <c r="J1939" s="161">
        <v>38</v>
      </c>
      <c r="K1939" s="160">
        <v>0.52</v>
      </c>
    </row>
    <row r="1940" spans="1:11" x14ac:dyDescent="0.3">
      <c r="A1940" s="156" t="s">
        <v>887</v>
      </c>
      <c r="B1940" s="157" t="s">
        <v>888</v>
      </c>
      <c r="C1940" s="157">
        <v>2024</v>
      </c>
      <c r="D1940" s="158">
        <v>-95.2701797</v>
      </c>
      <c r="E1940" s="158">
        <v>40.233131399999998</v>
      </c>
      <c r="F1940" s="159">
        <v>6.6</v>
      </c>
      <c r="G1940" s="160">
        <v>24</v>
      </c>
      <c r="H1940" s="161">
        <v>2.9</v>
      </c>
      <c r="I1940" s="161">
        <v>64.400000000000006</v>
      </c>
      <c r="J1940" s="161">
        <v>32.4</v>
      </c>
      <c r="K1940" s="160">
        <v>2.6</v>
      </c>
    </row>
    <row r="1941" spans="1:11" x14ac:dyDescent="0.3">
      <c r="A1941" s="156" t="s">
        <v>887</v>
      </c>
      <c r="B1941" s="157" t="s">
        <v>888</v>
      </c>
      <c r="C1941" s="157">
        <v>2024</v>
      </c>
      <c r="D1941" s="158">
        <v>-94.75</v>
      </c>
      <c r="E1941" s="158">
        <v>31.950000800000002</v>
      </c>
      <c r="F1941" s="159">
        <v>4.7</v>
      </c>
      <c r="G1941" s="160">
        <v>18</v>
      </c>
      <c r="H1941" s="161">
        <v>34.799999999999997</v>
      </c>
      <c r="I1941" s="161">
        <v>20.2</v>
      </c>
      <c r="J1941" s="161">
        <v>55.7</v>
      </c>
      <c r="K1941" s="160">
        <v>0.13</v>
      </c>
    </row>
    <row r="1942" spans="1:11" x14ac:dyDescent="0.3">
      <c r="A1942" s="156" t="s">
        <v>887</v>
      </c>
      <c r="B1942" s="157" t="s">
        <v>888</v>
      </c>
      <c r="C1942" s="157">
        <v>2024</v>
      </c>
      <c r="D1942" s="158">
        <v>-93.982922200000004</v>
      </c>
      <c r="E1942" s="158">
        <v>39.916247200000001</v>
      </c>
      <c r="F1942" s="159">
        <v>5.5</v>
      </c>
      <c r="G1942" s="160">
        <v>15</v>
      </c>
      <c r="H1942" s="161">
        <v>40</v>
      </c>
      <c r="I1942" s="161">
        <v>51.4</v>
      </c>
      <c r="J1942" s="161">
        <v>36.799999999999997</v>
      </c>
      <c r="K1942" s="160">
        <v>0.7</v>
      </c>
    </row>
    <row r="1943" spans="1:11" x14ac:dyDescent="0.3">
      <c r="A1943" s="156" t="s">
        <v>887</v>
      </c>
      <c r="B1943" s="157" t="s">
        <v>888</v>
      </c>
      <c r="C1943" s="157">
        <v>2024</v>
      </c>
      <c r="D1943" s="158">
        <v>-93.509933500000002</v>
      </c>
      <c r="E1943" s="158">
        <v>41.0064049</v>
      </c>
      <c r="F1943" s="159">
        <v>6.7</v>
      </c>
      <c r="G1943" s="160">
        <v>22.15</v>
      </c>
      <c r="H1943" s="161">
        <v>35.799999999999997</v>
      </c>
      <c r="I1943" s="161">
        <v>47.8</v>
      </c>
      <c r="J1943" s="161">
        <v>24.5</v>
      </c>
      <c r="K1943" s="160">
        <v>0.03</v>
      </c>
    </row>
    <row r="1944" spans="1:11" x14ac:dyDescent="0.3">
      <c r="A1944" s="156" t="s">
        <v>887</v>
      </c>
      <c r="B1944" s="157" t="s">
        <v>888</v>
      </c>
      <c r="C1944" s="157">
        <v>2024</v>
      </c>
      <c r="D1944" s="158">
        <v>-93.421305599999997</v>
      </c>
      <c r="E1944" s="158">
        <v>37.203791699999996</v>
      </c>
      <c r="F1944" s="159">
        <v>4.5</v>
      </c>
      <c r="G1944" s="160">
        <v>3</v>
      </c>
      <c r="H1944" s="161">
        <v>6.8</v>
      </c>
      <c r="I1944" s="161">
        <v>43.5</v>
      </c>
      <c r="J1944" s="161">
        <v>48.8</v>
      </c>
      <c r="K1944" s="160">
        <v>0.4</v>
      </c>
    </row>
    <row r="1945" spans="1:11" x14ac:dyDescent="0.3">
      <c r="A1945" s="156" t="s">
        <v>887</v>
      </c>
      <c r="B1945" s="157" t="s">
        <v>888</v>
      </c>
      <c r="C1945" s="157">
        <v>2024</v>
      </c>
      <c r="D1945" s="158">
        <v>-93.362503099999998</v>
      </c>
      <c r="E1945" s="158">
        <v>41.1508331</v>
      </c>
      <c r="F1945" s="159">
        <v>5.8</v>
      </c>
      <c r="G1945" s="160">
        <v>19</v>
      </c>
      <c r="H1945" s="161">
        <v>4.0999999999999996</v>
      </c>
      <c r="I1945" s="161">
        <v>68.099999999999994</v>
      </c>
      <c r="J1945" s="161">
        <v>28.8</v>
      </c>
      <c r="K1945" s="160">
        <v>0.08</v>
      </c>
    </row>
    <row r="1946" spans="1:11" x14ac:dyDescent="0.3">
      <c r="A1946" s="156" t="s">
        <v>887</v>
      </c>
      <c r="B1946" s="157" t="s">
        <v>888</v>
      </c>
      <c r="C1946" s="157">
        <v>2024</v>
      </c>
      <c r="D1946" s="158">
        <v>-93.313622199999998</v>
      </c>
      <c r="E1946" s="158">
        <v>39.701216700000003</v>
      </c>
      <c r="F1946" s="159">
        <v>5.8</v>
      </c>
      <c r="G1946" s="160">
        <v>27.15</v>
      </c>
      <c r="H1946" s="161">
        <v>15.9</v>
      </c>
      <c r="I1946" s="161">
        <v>39.9</v>
      </c>
      <c r="J1946" s="161">
        <v>35.5</v>
      </c>
      <c r="K1946" s="160">
        <v>0.8</v>
      </c>
    </row>
    <row r="1947" spans="1:11" x14ac:dyDescent="0.3">
      <c r="A1947" s="156" t="s">
        <v>887</v>
      </c>
      <c r="B1947" s="157" t="s">
        <v>888</v>
      </c>
      <c r="C1947" s="157">
        <v>2024</v>
      </c>
      <c r="D1947" s="158">
        <v>-93.223335300000002</v>
      </c>
      <c r="E1947" s="158">
        <v>30.530000699999999</v>
      </c>
      <c r="F1947" s="159">
        <v>5.4</v>
      </c>
      <c r="G1947" s="160">
        <v>4.95</v>
      </c>
      <c r="H1947" s="161">
        <v>27.6</v>
      </c>
      <c r="I1947" s="161">
        <v>48</v>
      </c>
      <c r="J1947" s="161">
        <v>26.7</v>
      </c>
      <c r="K1947" s="160">
        <v>0.06</v>
      </c>
    </row>
    <row r="1948" spans="1:11" x14ac:dyDescent="0.3">
      <c r="A1948" s="156" t="s">
        <v>887</v>
      </c>
      <c r="B1948" s="157" t="s">
        <v>888</v>
      </c>
      <c r="C1948" s="157">
        <v>2024</v>
      </c>
      <c r="D1948" s="158">
        <v>-92.999443099999993</v>
      </c>
      <c r="E1948" s="158">
        <v>40.658889799999997</v>
      </c>
      <c r="F1948" s="159">
        <v>5.2</v>
      </c>
      <c r="G1948" s="160">
        <v>15.45</v>
      </c>
      <c r="H1948" s="161">
        <v>4.2</v>
      </c>
      <c r="I1948" s="161">
        <v>44.5</v>
      </c>
      <c r="J1948" s="161">
        <v>54.9</v>
      </c>
      <c r="K1948" s="160">
        <v>1</v>
      </c>
    </row>
    <row r="1949" spans="1:11" x14ac:dyDescent="0.3">
      <c r="A1949" s="156" t="s">
        <v>887</v>
      </c>
      <c r="B1949" s="157" t="s">
        <v>888</v>
      </c>
      <c r="C1949" s="157">
        <v>2024</v>
      </c>
      <c r="D1949" s="158">
        <v>-92.766666700000002</v>
      </c>
      <c r="E1949" s="158">
        <v>39</v>
      </c>
      <c r="F1949" s="159">
        <v>6.3</v>
      </c>
      <c r="G1949" s="160">
        <v>15.65</v>
      </c>
      <c r="H1949" s="161">
        <v>4.5</v>
      </c>
      <c r="I1949" s="161">
        <v>70.599999999999994</v>
      </c>
      <c r="J1949" s="161">
        <v>23.1</v>
      </c>
      <c r="K1949" s="160">
        <v>0.4</v>
      </c>
    </row>
    <row r="1950" spans="1:11" x14ac:dyDescent="0.3">
      <c r="A1950" s="156" t="s">
        <v>887</v>
      </c>
      <c r="B1950" s="157" t="s">
        <v>888</v>
      </c>
      <c r="C1950" s="157">
        <v>2024</v>
      </c>
      <c r="D1950" s="158">
        <v>-92.430499999999995</v>
      </c>
      <c r="E1950" s="158">
        <v>36.696227800000003</v>
      </c>
      <c r="F1950" s="159">
        <v>6.9</v>
      </c>
      <c r="G1950" s="160">
        <v>7</v>
      </c>
      <c r="H1950" s="161">
        <v>18.399999999999999</v>
      </c>
      <c r="I1950" s="161">
        <v>61.9</v>
      </c>
      <c r="J1950" s="161">
        <v>23</v>
      </c>
      <c r="K1950" s="160">
        <v>1.2</v>
      </c>
    </row>
    <row r="1951" spans="1:11" x14ac:dyDescent="0.3">
      <c r="A1951" s="156" t="s">
        <v>887</v>
      </c>
      <c r="B1951" s="157" t="s">
        <v>888</v>
      </c>
      <c r="C1951" s="157">
        <v>2024</v>
      </c>
      <c r="D1951" s="158">
        <v>-92.345169067382798</v>
      </c>
      <c r="E1951" s="158">
        <v>38.967266082763601</v>
      </c>
      <c r="F1951" s="159">
        <v>5.0999999999999996</v>
      </c>
      <c r="G1951" s="160">
        <v>7</v>
      </c>
      <c r="H1951" s="161">
        <v>41.6</v>
      </c>
      <c r="I1951" s="161">
        <v>18.8</v>
      </c>
      <c r="J1951" s="161">
        <v>6.1</v>
      </c>
      <c r="K1951" s="160">
        <v>0.3</v>
      </c>
    </row>
    <row r="1952" spans="1:11" x14ac:dyDescent="0.3">
      <c r="A1952" s="156" t="s">
        <v>887</v>
      </c>
      <c r="B1952" s="157" t="s">
        <v>888</v>
      </c>
      <c r="C1952" s="157">
        <v>2024</v>
      </c>
      <c r="D1952" s="158">
        <v>-92.344999999999999</v>
      </c>
      <c r="E1952" s="158">
        <v>38.967222200000002</v>
      </c>
      <c r="F1952" s="159">
        <v>4.8</v>
      </c>
      <c r="G1952" s="160">
        <v>13</v>
      </c>
      <c r="H1952" s="161">
        <v>2.5</v>
      </c>
      <c r="I1952" s="161">
        <v>76.7</v>
      </c>
      <c r="J1952" s="161">
        <v>17.2</v>
      </c>
      <c r="K1952" s="160">
        <v>0.1</v>
      </c>
    </row>
    <row r="1953" spans="1:11" x14ac:dyDescent="0.3">
      <c r="A1953" s="156" t="s">
        <v>887</v>
      </c>
      <c r="B1953" s="157" t="s">
        <v>888</v>
      </c>
      <c r="C1953" s="157">
        <v>2024</v>
      </c>
      <c r="D1953" s="158">
        <v>-92</v>
      </c>
      <c r="E1953" s="158">
        <v>36</v>
      </c>
      <c r="F1953" s="159">
        <v>4.8</v>
      </c>
      <c r="G1953" s="160">
        <v>18.899999999999999</v>
      </c>
      <c r="H1953" s="161">
        <v>5.6</v>
      </c>
      <c r="I1953" s="161">
        <v>15.8</v>
      </c>
      <c r="J1953" s="161">
        <v>76.099999999999994</v>
      </c>
      <c r="K1953" s="160">
        <v>0.1</v>
      </c>
    </row>
    <row r="1954" spans="1:11" x14ac:dyDescent="0.3">
      <c r="A1954" s="156" t="s">
        <v>887</v>
      </c>
      <c r="B1954" s="157" t="s">
        <v>888</v>
      </c>
      <c r="C1954" s="157">
        <v>2024</v>
      </c>
      <c r="D1954" s="158">
        <v>-91.366666699999996</v>
      </c>
      <c r="E1954" s="158">
        <v>38.9</v>
      </c>
      <c r="F1954" s="159">
        <v>4.8</v>
      </c>
      <c r="G1954" s="160">
        <v>23</v>
      </c>
      <c r="H1954" s="161">
        <v>11.7</v>
      </c>
      <c r="I1954" s="161">
        <v>48.7</v>
      </c>
      <c r="J1954" s="161">
        <v>43.9</v>
      </c>
      <c r="K1954" s="160">
        <v>0.6</v>
      </c>
    </row>
    <row r="1955" spans="1:11" x14ac:dyDescent="0.3">
      <c r="A1955" s="156" t="s">
        <v>887</v>
      </c>
      <c r="B1955" s="157" t="s">
        <v>888</v>
      </c>
      <c r="C1955" s="157">
        <v>2024</v>
      </c>
      <c r="D1955" s="158">
        <v>-91.112068199999996</v>
      </c>
      <c r="E1955" s="158">
        <v>34.735675800000003</v>
      </c>
      <c r="F1955" s="159">
        <v>8.6999999999999993</v>
      </c>
      <c r="G1955" s="160">
        <v>5.3</v>
      </c>
      <c r="H1955" s="161">
        <v>14.5</v>
      </c>
      <c r="I1955" s="161">
        <v>33.5</v>
      </c>
      <c r="J1955" s="161">
        <v>5.0999999999999996</v>
      </c>
      <c r="K1955" s="160">
        <v>0.06</v>
      </c>
    </row>
    <row r="1956" spans="1:11" x14ac:dyDescent="0.3">
      <c r="A1956" s="156" t="s">
        <v>887</v>
      </c>
      <c r="B1956" s="157" t="s">
        <v>888</v>
      </c>
      <c r="C1956" s="157">
        <v>2024</v>
      </c>
      <c r="D1956" s="158">
        <v>-91.001308300000005</v>
      </c>
      <c r="E1956" s="158">
        <v>38.456261099999999</v>
      </c>
      <c r="F1956" s="159">
        <v>7.6</v>
      </c>
      <c r="G1956" s="160">
        <v>18</v>
      </c>
      <c r="H1956" s="161">
        <v>1.7</v>
      </c>
      <c r="I1956" s="161">
        <v>0.5</v>
      </c>
      <c r="J1956" s="161">
        <v>13.1</v>
      </c>
      <c r="K1956" s="160">
        <v>0.6</v>
      </c>
    </row>
    <row r="1957" spans="1:11" x14ac:dyDescent="0.3">
      <c r="A1957" s="156" t="s">
        <v>887</v>
      </c>
      <c r="B1957" s="157" t="s">
        <v>888</v>
      </c>
      <c r="C1957" s="157">
        <v>2024</v>
      </c>
      <c r="D1957" s="158">
        <v>-90.146385199999997</v>
      </c>
      <c r="E1957" s="158">
        <v>45.126945499999998</v>
      </c>
      <c r="F1957" s="159">
        <v>4.5</v>
      </c>
      <c r="G1957" s="160">
        <v>10.6</v>
      </c>
      <c r="H1957" s="161">
        <v>61.3</v>
      </c>
      <c r="I1957" s="161">
        <v>78.599999999999994</v>
      </c>
      <c r="J1957" s="161">
        <v>11.9</v>
      </c>
      <c r="K1957" s="160">
        <v>0.1</v>
      </c>
    </row>
    <row r="1958" spans="1:11" x14ac:dyDescent="0.3">
      <c r="A1958" s="156" t="s">
        <v>887</v>
      </c>
      <c r="B1958" s="157" t="s">
        <v>888</v>
      </c>
      <c r="C1958" s="157">
        <v>2024</v>
      </c>
      <c r="D1958" s="158">
        <v>-89.488891600000002</v>
      </c>
      <c r="E1958" s="158">
        <v>38.6875</v>
      </c>
      <c r="F1958" s="159">
        <v>6.4</v>
      </c>
      <c r="G1958" s="160">
        <v>22.95</v>
      </c>
      <c r="H1958" s="161">
        <v>7.6</v>
      </c>
      <c r="I1958" s="161">
        <v>60.6</v>
      </c>
      <c r="J1958" s="161">
        <v>22.2</v>
      </c>
      <c r="K1958" s="160">
        <v>0.11000000000000001</v>
      </c>
    </row>
    <row r="1959" spans="1:11" x14ac:dyDescent="0.3">
      <c r="A1959" s="156" t="s">
        <v>887</v>
      </c>
      <c r="B1959" s="157" t="s">
        <v>888</v>
      </c>
      <c r="C1959" s="157">
        <v>2024</v>
      </c>
      <c r="D1959" s="158">
        <v>-88.887222300000005</v>
      </c>
      <c r="E1959" s="158">
        <v>37.973056800000002</v>
      </c>
      <c r="F1959" s="159">
        <v>5.6</v>
      </c>
      <c r="G1959" s="160">
        <v>10.4</v>
      </c>
      <c r="H1959" s="161">
        <v>29.2</v>
      </c>
      <c r="I1959" s="161">
        <v>73.599999999999994</v>
      </c>
      <c r="J1959" s="161">
        <v>21.2</v>
      </c>
      <c r="K1959" s="160">
        <v>6.9999999999999993E-2</v>
      </c>
    </row>
    <row r="1960" spans="1:11" x14ac:dyDescent="0.3">
      <c r="A1960" s="156" t="s">
        <v>887</v>
      </c>
      <c r="B1960" s="157" t="s">
        <v>888</v>
      </c>
      <c r="C1960" s="157">
        <v>2024</v>
      </c>
      <c r="D1960" s="158">
        <v>-88.363609299999993</v>
      </c>
      <c r="E1960" s="158">
        <v>38.781665799999999</v>
      </c>
      <c r="F1960" s="159">
        <v>5</v>
      </c>
      <c r="G1960" s="160">
        <v>17.7</v>
      </c>
      <c r="H1960" s="161">
        <v>18.7</v>
      </c>
      <c r="I1960" s="161">
        <v>62.7</v>
      </c>
      <c r="J1960" s="161">
        <v>22.2</v>
      </c>
      <c r="K1960" s="160">
        <v>0.93</v>
      </c>
    </row>
    <row r="1961" spans="1:11" x14ac:dyDescent="0.3">
      <c r="A1961" s="156" t="s">
        <v>887</v>
      </c>
      <c r="B1961" s="157" t="s">
        <v>888</v>
      </c>
      <c r="C1961" s="157">
        <v>2024</v>
      </c>
      <c r="D1961" s="158">
        <v>-86.529441800000001</v>
      </c>
      <c r="E1961" s="158">
        <v>37.997222899999997</v>
      </c>
      <c r="F1961" s="159">
        <v>5.0999999999999996</v>
      </c>
      <c r="G1961" s="160">
        <v>5.3</v>
      </c>
      <c r="H1961" s="161">
        <v>12.1</v>
      </c>
      <c r="I1961" s="161">
        <v>57</v>
      </c>
      <c r="J1961" s="161">
        <v>29.2</v>
      </c>
      <c r="K1961" s="160">
        <v>0.16</v>
      </c>
    </row>
    <row r="1962" spans="1:11" x14ac:dyDescent="0.3">
      <c r="A1962" s="156" t="s">
        <v>887</v>
      </c>
      <c r="B1962" s="157" t="s">
        <v>888</v>
      </c>
      <c r="C1962" s="157">
        <v>2024</v>
      </c>
      <c r="D1962" s="158">
        <v>-79.688056900000007</v>
      </c>
      <c r="E1962" s="158">
        <v>34.8280563</v>
      </c>
      <c r="F1962" s="159">
        <v>4.5</v>
      </c>
      <c r="G1962" s="160">
        <v>1</v>
      </c>
      <c r="H1962" s="161">
        <v>25.2</v>
      </c>
      <c r="I1962" s="161">
        <v>45.1</v>
      </c>
      <c r="J1962" s="161">
        <v>47.7</v>
      </c>
      <c r="K1962" s="160">
        <v>0</v>
      </c>
    </row>
    <row r="1963" spans="1:11" x14ac:dyDescent="0.3">
      <c r="A1963" s="156" t="s">
        <v>887</v>
      </c>
      <c r="B1963" s="157" t="s">
        <v>888</v>
      </c>
      <c r="C1963" s="157">
        <v>2024</v>
      </c>
      <c r="D1963" s="158">
        <v>-79.063644400000001</v>
      </c>
      <c r="E1963" s="158">
        <v>34.200122800000003</v>
      </c>
      <c r="F1963" s="159">
        <v>5</v>
      </c>
      <c r="G1963" s="160">
        <v>2.95</v>
      </c>
      <c r="H1963" s="161">
        <v>40.299999999999997</v>
      </c>
      <c r="I1963" s="161">
        <v>27.2</v>
      </c>
      <c r="J1963" s="161">
        <v>4</v>
      </c>
      <c r="K1963" s="160">
        <v>0.2</v>
      </c>
    </row>
    <row r="1964" spans="1:11" x14ac:dyDescent="0.3">
      <c r="A1964" s="156" t="s">
        <v>887</v>
      </c>
      <c r="B1964" s="157" t="s">
        <v>888</v>
      </c>
      <c r="C1964" s="157">
        <v>2024</v>
      </c>
      <c r="D1964" s="158">
        <v>-71.5</v>
      </c>
      <c r="E1964" s="158">
        <v>4.5</v>
      </c>
      <c r="F1964" s="159">
        <v>5.3</v>
      </c>
      <c r="G1964" s="160">
        <v>3.4</v>
      </c>
      <c r="H1964" s="161">
        <v>5</v>
      </c>
      <c r="I1964" s="161">
        <v>57</v>
      </c>
      <c r="J1964" s="161">
        <v>47</v>
      </c>
      <c r="K1964" s="160">
        <v>1.34</v>
      </c>
    </row>
    <row r="1965" spans="1:11" x14ac:dyDescent="0.3">
      <c r="A1965" s="156" t="s">
        <v>887</v>
      </c>
      <c r="B1965" s="157" t="s">
        <v>888</v>
      </c>
      <c r="C1965" s="157">
        <v>2024</v>
      </c>
      <c r="D1965" s="158">
        <v>-63.616666666666703</v>
      </c>
      <c r="E1965" s="158">
        <v>1.75</v>
      </c>
      <c r="F1965" s="159">
        <v>4.7</v>
      </c>
      <c r="G1965" s="160">
        <v>5.8</v>
      </c>
      <c r="H1965" s="161">
        <v>58</v>
      </c>
      <c r="I1965" s="161">
        <v>21</v>
      </c>
      <c r="J1965" s="161">
        <v>32</v>
      </c>
      <c r="K1965" s="160">
        <v>0.65</v>
      </c>
    </row>
    <row r="1966" spans="1:11" x14ac:dyDescent="0.3">
      <c r="A1966" s="156" t="s">
        <v>887</v>
      </c>
      <c r="B1966" s="157" t="s">
        <v>888</v>
      </c>
      <c r="C1966" s="157">
        <v>2024</v>
      </c>
      <c r="D1966" s="158">
        <v>-55.716666666666697</v>
      </c>
      <c r="E1966" s="158">
        <v>5.25</v>
      </c>
      <c r="F1966" s="159">
        <v>4.5</v>
      </c>
      <c r="G1966" s="160">
        <v>0.9</v>
      </c>
      <c r="H1966" s="161">
        <v>72</v>
      </c>
      <c r="I1966" s="161">
        <v>14</v>
      </c>
      <c r="J1966" s="161">
        <v>12</v>
      </c>
      <c r="K1966" s="160">
        <v>0.21000000000000002</v>
      </c>
    </row>
    <row r="1967" spans="1:11" x14ac:dyDescent="0.3">
      <c r="A1967" s="156" t="s">
        <v>887</v>
      </c>
      <c r="B1967" s="157" t="s">
        <v>888</v>
      </c>
      <c r="C1967" s="157">
        <v>2024</v>
      </c>
      <c r="D1967" s="158">
        <v>-7.983333</v>
      </c>
      <c r="E1967" s="158">
        <v>12.666667</v>
      </c>
      <c r="F1967" s="159">
        <v>4.9000000000000004</v>
      </c>
      <c r="G1967" s="160">
        <v>1.6</v>
      </c>
      <c r="H1967" s="161">
        <v>20</v>
      </c>
      <c r="I1967" s="161">
        <v>20.3</v>
      </c>
      <c r="J1967" s="161">
        <v>30</v>
      </c>
      <c r="K1967" s="160">
        <v>0.13</v>
      </c>
    </row>
    <row r="1968" spans="1:11" x14ac:dyDescent="0.3">
      <c r="A1968" s="156" t="s">
        <v>887</v>
      </c>
      <c r="B1968" s="157" t="s">
        <v>888</v>
      </c>
      <c r="C1968" s="157">
        <v>2024</v>
      </c>
      <c r="D1968" s="158">
        <v>-7.3333329999999997</v>
      </c>
      <c r="E1968" s="158">
        <v>5.8833330000000004</v>
      </c>
      <c r="F1968" s="159">
        <v>4.5</v>
      </c>
      <c r="G1968" s="160">
        <v>2.1</v>
      </c>
      <c r="H1968" s="161">
        <v>74.2</v>
      </c>
      <c r="I1968" s="161">
        <v>12</v>
      </c>
      <c r="J1968" s="161">
        <v>9</v>
      </c>
      <c r="K1968" s="160">
        <v>0.79</v>
      </c>
    </row>
    <row r="1969" spans="1:11" x14ac:dyDescent="0.3">
      <c r="A1969" s="156" t="s">
        <v>887</v>
      </c>
      <c r="B1969" s="157" t="s">
        <v>888</v>
      </c>
      <c r="C1969" s="157">
        <v>2024</v>
      </c>
      <c r="D1969" s="158">
        <v>2.0833330000000001</v>
      </c>
      <c r="E1969" s="158">
        <v>13.533333000000001</v>
      </c>
      <c r="F1969" s="159">
        <v>5.7</v>
      </c>
      <c r="G1969" s="160">
        <v>0.9</v>
      </c>
      <c r="H1969" s="161">
        <v>68.2</v>
      </c>
      <c r="I1969" s="161">
        <v>7.4</v>
      </c>
      <c r="J1969" s="161">
        <v>19</v>
      </c>
      <c r="K1969" s="160">
        <v>0.09</v>
      </c>
    </row>
    <row r="1970" spans="1:11" x14ac:dyDescent="0.3">
      <c r="A1970" s="156" t="s">
        <v>887</v>
      </c>
      <c r="B1970" s="157" t="s">
        <v>888</v>
      </c>
      <c r="C1970" s="157">
        <v>2024</v>
      </c>
      <c r="D1970" s="158">
        <v>6.95</v>
      </c>
      <c r="E1970" s="158">
        <v>50.616666666666703</v>
      </c>
      <c r="F1970" s="159">
        <v>7.7</v>
      </c>
      <c r="G1970" s="160">
        <v>9.1</v>
      </c>
      <c r="H1970" s="161">
        <v>14</v>
      </c>
      <c r="I1970" s="161">
        <v>47</v>
      </c>
      <c r="J1970" s="161">
        <v>30</v>
      </c>
      <c r="K1970" s="160">
        <v>0.45</v>
      </c>
    </row>
    <row r="1971" spans="1:11" x14ac:dyDescent="0.3">
      <c r="A1971" s="156" t="s">
        <v>887</v>
      </c>
      <c r="B1971" s="157" t="s">
        <v>888</v>
      </c>
      <c r="C1971" s="157">
        <v>2024</v>
      </c>
      <c r="D1971" s="158">
        <v>8.9666666666666703</v>
      </c>
      <c r="E1971" s="158">
        <v>45.716666666666697</v>
      </c>
      <c r="F1971" s="159">
        <v>5.5</v>
      </c>
      <c r="G1971" s="160">
        <v>4</v>
      </c>
      <c r="H1971" s="161">
        <v>33</v>
      </c>
      <c r="I1971" s="161">
        <v>28</v>
      </c>
      <c r="J1971" s="161">
        <v>14</v>
      </c>
      <c r="K1971" s="160">
        <v>1.41</v>
      </c>
    </row>
    <row r="1972" spans="1:11" x14ac:dyDescent="0.3">
      <c r="A1972" s="156" t="s">
        <v>887</v>
      </c>
      <c r="B1972" s="157" t="s">
        <v>888</v>
      </c>
      <c r="C1972" s="157">
        <v>2024</v>
      </c>
      <c r="D1972" s="158">
        <v>25.944444000000001</v>
      </c>
      <c r="E1972" s="158">
        <v>-24.561111</v>
      </c>
      <c r="F1972" s="159">
        <v>4.5</v>
      </c>
      <c r="G1972" s="160">
        <v>3</v>
      </c>
      <c r="H1972" s="161">
        <v>77</v>
      </c>
      <c r="I1972" s="161">
        <v>4</v>
      </c>
      <c r="J1972" s="161">
        <v>2</v>
      </c>
      <c r="K1972" s="160">
        <v>0.2</v>
      </c>
    </row>
    <row r="1973" spans="1:11" x14ac:dyDescent="0.3">
      <c r="A1973" s="156" t="s">
        <v>887</v>
      </c>
      <c r="B1973" s="157" t="s">
        <v>888</v>
      </c>
      <c r="C1973" s="157">
        <v>2024</v>
      </c>
      <c r="D1973" s="158">
        <v>27.233332999999998</v>
      </c>
      <c r="E1973" s="158">
        <v>-29.816666999999999</v>
      </c>
      <c r="F1973" s="159">
        <v>5</v>
      </c>
      <c r="G1973" s="160">
        <v>3.7</v>
      </c>
      <c r="H1973" s="161">
        <v>10</v>
      </c>
      <c r="I1973" s="161">
        <v>32</v>
      </c>
      <c r="J1973" s="161">
        <v>48</v>
      </c>
      <c r="K1973" s="160">
        <v>3.1</v>
      </c>
    </row>
    <row r="1974" spans="1:11" x14ac:dyDescent="0.3">
      <c r="A1974" s="156" t="s">
        <v>887</v>
      </c>
      <c r="B1974" s="157" t="s">
        <v>888</v>
      </c>
      <c r="C1974" s="157">
        <v>2024</v>
      </c>
      <c r="D1974" s="158">
        <v>27.75</v>
      </c>
      <c r="E1974" s="158">
        <v>-29.15</v>
      </c>
      <c r="F1974" s="159">
        <v>5.7</v>
      </c>
      <c r="G1974" s="160">
        <v>2.5</v>
      </c>
      <c r="H1974" s="161">
        <v>45.9</v>
      </c>
      <c r="I1974" s="161">
        <v>19</v>
      </c>
      <c r="J1974" s="161">
        <v>25.2</v>
      </c>
      <c r="K1974" s="160">
        <v>0.28999999999999998</v>
      </c>
    </row>
    <row r="1975" spans="1:11" x14ac:dyDescent="0.3">
      <c r="A1975" s="156" t="s">
        <v>887</v>
      </c>
      <c r="B1975" s="157" t="s">
        <v>888</v>
      </c>
      <c r="C1975" s="157">
        <v>2024</v>
      </c>
      <c r="D1975" s="158">
        <v>28.516667000000002</v>
      </c>
      <c r="E1975" s="158">
        <v>-14.3</v>
      </c>
      <c r="F1975" s="159">
        <v>5.5</v>
      </c>
      <c r="G1975" s="160">
        <v>1.3</v>
      </c>
      <c r="H1975" s="161">
        <v>81</v>
      </c>
      <c r="I1975" s="161">
        <v>7</v>
      </c>
      <c r="J1975" s="161">
        <v>13.7</v>
      </c>
      <c r="K1975" s="160">
        <v>1.01</v>
      </c>
    </row>
    <row r="1976" spans="1:11" x14ac:dyDescent="0.3">
      <c r="A1976" s="156" t="s">
        <v>887</v>
      </c>
      <c r="B1976" s="157" t="s">
        <v>888</v>
      </c>
      <c r="C1976" s="157">
        <v>2024</v>
      </c>
      <c r="D1976" s="158">
        <v>31.044445</v>
      </c>
      <c r="E1976" s="158">
        <v>-17.7600002</v>
      </c>
      <c r="F1976" s="159">
        <v>5.7</v>
      </c>
      <c r="G1976" s="160">
        <v>10.4</v>
      </c>
      <c r="H1976" s="161">
        <v>23</v>
      </c>
      <c r="I1976" s="161">
        <v>18.100000000000001</v>
      </c>
      <c r="J1976" s="161">
        <v>48</v>
      </c>
      <c r="K1976" s="160">
        <v>0.37</v>
      </c>
    </row>
    <row r="1977" spans="1:11" x14ac:dyDescent="0.3">
      <c r="A1977" s="156" t="s">
        <v>887</v>
      </c>
      <c r="B1977" s="157" t="s">
        <v>888</v>
      </c>
      <c r="C1977" s="157">
        <v>2024</v>
      </c>
      <c r="D1977" s="158">
        <v>38.69</v>
      </c>
      <c r="E1977" s="158">
        <v>-5.22</v>
      </c>
      <c r="F1977" s="159">
        <v>5.4</v>
      </c>
      <c r="G1977" s="160">
        <v>2.1</v>
      </c>
      <c r="H1977" s="161">
        <v>32</v>
      </c>
      <c r="I1977" s="161">
        <v>8</v>
      </c>
      <c r="J1977" s="161">
        <v>62</v>
      </c>
      <c r="K1977" s="160">
        <v>1.7</v>
      </c>
    </row>
    <row r="1978" spans="1:11" x14ac:dyDescent="0.3">
      <c r="A1978" s="156" t="s">
        <v>887</v>
      </c>
      <c r="B1978" s="157" t="s">
        <v>888</v>
      </c>
      <c r="C1978" s="157">
        <v>2024</v>
      </c>
      <c r="D1978" s="158">
        <v>116.916666666667</v>
      </c>
      <c r="E1978" s="158">
        <v>28.216666666666701</v>
      </c>
      <c r="F1978" s="159">
        <v>4.5</v>
      </c>
      <c r="G1978" s="160">
        <v>14.3</v>
      </c>
      <c r="H1978" s="161">
        <v>45</v>
      </c>
      <c r="I1978" s="161">
        <v>22.5</v>
      </c>
      <c r="J1978" s="161">
        <v>30.9</v>
      </c>
      <c r="K1978" s="160">
        <v>0.03</v>
      </c>
    </row>
    <row r="1979" spans="1:11" x14ac:dyDescent="0.3">
      <c r="A1979" s="156" t="s">
        <v>887</v>
      </c>
      <c r="B1979" s="157" t="s">
        <v>888</v>
      </c>
      <c r="C1979" s="157">
        <v>2024</v>
      </c>
      <c r="D1979" s="158">
        <v>-106.32777400000001</v>
      </c>
      <c r="E1979" s="158">
        <v>39.324443799999997</v>
      </c>
      <c r="F1979" s="159">
        <v>4.0999999999999996</v>
      </c>
      <c r="G1979" s="160">
        <v>5.15</v>
      </c>
      <c r="H1979" s="161">
        <v>48.2</v>
      </c>
      <c r="I1979" s="161">
        <v>31.7</v>
      </c>
      <c r="J1979" s="161">
        <v>11.6</v>
      </c>
      <c r="K1979" s="160">
        <v>0.35</v>
      </c>
    </row>
    <row r="1980" spans="1:11" x14ac:dyDescent="0.3">
      <c r="A1980" s="156" t="s">
        <v>887</v>
      </c>
      <c r="B1980" s="157" t="s">
        <v>888</v>
      </c>
      <c r="C1980" s="157">
        <v>2024</v>
      </c>
      <c r="D1980" s="158">
        <v>-94.305797200000001</v>
      </c>
      <c r="E1980" s="158">
        <v>36.813958300000003</v>
      </c>
      <c r="F1980" s="159">
        <v>4.8</v>
      </c>
      <c r="G1980" s="160">
        <v>21</v>
      </c>
      <c r="H1980" s="161">
        <v>11.6</v>
      </c>
      <c r="I1980" s="161">
        <v>78.2</v>
      </c>
      <c r="J1980" s="161">
        <v>11.9</v>
      </c>
      <c r="K1980" s="160">
        <v>0.2</v>
      </c>
    </row>
    <row r="1981" spans="1:11" x14ac:dyDescent="0.3">
      <c r="A1981" s="156" t="s">
        <v>887</v>
      </c>
      <c r="B1981" s="157" t="s">
        <v>888</v>
      </c>
      <c r="C1981" s="157">
        <v>2024</v>
      </c>
      <c r="D1981" s="158">
        <v>-93.982922200000004</v>
      </c>
      <c r="E1981" s="158">
        <v>39.916247200000001</v>
      </c>
      <c r="F1981" s="159">
        <v>6.1</v>
      </c>
      <c r="G1981" s="160">
        <v>9</v>
      </c>
      <c r="H1981" s="161">
        <v>8.1</v>
      </c>
      <c r="I1981" s="161">
        <v>49.3</v>
      </c>
      <c r="J1981" s="161">
        <v>29</v>
      </c>
      <c r="K1981" s="160">
        <v>1.3</v>
      </c>
    </row>
    <row r="1982" spans="1:11" x14ac:dyDescent="0.3">
      <c r="A1982" s="156" t="s">
        <v>887</v>
      </c>
      <c r="B1982" s="157" t="s">
        <v>888</v>
      </c>
      <c r="C1982" s="157">
        <v>2024</v>
      </c>
      <c r="D1982" s="158">
        <v>-93.888719399999999</v>
      </c>
      <c r="E1982" s="158">
        <v>37.428233300000002</v>
      </c>
      <c r="F1982" s="159">
        <v>5</v>
      </c>
      <c r="G1982" s="160">
        <v>24</v>
      </c>
      <c r="H1982" s="161">
        <v>33.9</v>
      </c>
      <c r="I1982" s="161">
        <v>18.8</v>
      </c>
      <c r="J1982" s="161">
        <v>71.7</v>
      </c>
      <c r="K1982" s="160">
        <v>5.2</v>
      </c>
    </row>
    <row r="1983" spans="1:11" x14ac:dyDescent="0.3">
      <c r="A1983" s="156" t="s">
        <v>887</v>
      </c>
      <c r="B1983" s="157" t="s">
        <v>888</v>
      </c>
      <c r="C1983" s="157">
        <v>2024</v>
      </c>
      <c r="D1983" s="158">
        <v>-93.857805600000006</v>
      </c>
      <c r="E1983" s="158">
        <v>37.269194400000003</v>
      </c>
      <c r="F1983" s="159">
        <v>5.2</v>
      </c>
      <c r="G1983" s="160">
        <v>9.8000000000000007</v>
      </c>
      <c r="H1983" s="161">
        <v>21.5</v>
      </c>
      <c r="I1983" s="161">
        <v>53.7</v>
      </c>
      <c r="J1983" s="161">
        <v>36.799999999999997</v>
      </c>
      <c r="K1983" s="160">
        <v>0.2</v>
      </c>
    </row>
    <row r="1984" spans="1:11" x14ac:dyDescent="0.3">
      <c r="A1984" s="156" t="s">
        <v>887</v>
      </c>
      <c r="B1984" s="157" t="s">
        <v>888</v>
      </c>
      <c r="C1984" s="157">
        <v>2024</v>
      </c>
      <c r="D1984" s="158">
        <v>-93.421305599999997</v>
      </c>
      <c r="E1984" s="158">
        <v>37.203791699999996</v>
      </c>
      <c r="F1984" s="159">
        <v>6.9</v>
      </c>
      <c r="G1984" s="160">
        <v>5</v>
      </c>
      <c r="H1984" s="161">
        <v>18.399999999999999</v>
      </c>
      <c r="I1984" s="161">
        <v>55.8</v>
      </c>
      <c r="J1984" s="161">
        <v>39.1</v>
      </c>
      <c r="K1984" s="160">
        <v>2.6</v>
      </c>
    </row>
    <row r="1985" spans="1:11" x14ac:dyDescent="0.3">
      <c r="A1985" s="156" t="s">
        <v>887</v>
      </c>
      <c r="B1985" s="157" t="s">
        <v>888</v>
      </c>
      <c r="C1985" s="157">
        <v>2024</v>
      </c>
      <c r="D1985" s="158">
        <v>-92.888885500000001</v>
      </c>
      <c r="E1985" s="158">
        <v>41.827777900000001</v>
      </c>
      <c r="F1985" s="159">
        <v>5.8</v>
      </c>
      <c r="G1985" s="160">
        <v>21.35</v>
      </c>
      <c r="H1985" s="161">
        <v>44.5</v>
      </c>
      <c r="I1985" s="161">
        <v>48</v>
      </c>
      <c r="J1985" s="161">
        <v>23.6</v>
      </c>
      <c r="K1985" s="160">
        <v>0.6</v>
      </c>
    </row>
    <row r="1986" spans="1:11" x14ac:dyDescent="0.3">
      <c r="A1986" s="156" t="s">
        <v>887</v>
      </c>
      <c r="B1986" s="157" t="s">
        <v>888</v>
      </c>
      <c r="C1986" s="157">
        <v>2024</v>
      </c>
      <c r="D1986" s="158">
        <v>-92.691840999999997</v>
      </c>
      <c r="E1986" s="158">
        <v>37.047015999999999</v>
      </c>
      <c r="F1986" s="159">
        <v>4.9000000000000004</v>
      </c>
      <c r="G1986" s="160">
        <v>13</v>
      </c>
      <c r="H1986" s="161">
        <v>22.6</v>
      </c>
      <c r="I1986" s="161">
        <v>34</v>
      </c>
      <c r="J1986" s="161">
        <v>61.4</v>
      </c>
      <c r="K1986" s="160">
        <v>2.4</v>
      </c>
    </row>
    <row r="1987" spans="1:11" x14ac:dyDescent="0.3">
      <c r="A1987" s="156" t="s">
        <v>887</v>
      </c>
      <c r="B1987" s="157" t="s">
        <v>888</v>
      </c>
      <c r="C1987" s="157">
        <v>2024</v>
      </c>
      <c r="D1987" s="158">
        <v>-92.609616200000005</v>
      </c>
      <c r="E1987" s="158">
        <v>37.0561826</v>
      </c>
      <c r="F1987" s="159">
        <v>6.7</v>
      </c>
      <c r="G1987" s="160">
        <v>17</v>
      </c>
      <c r="H1987" s="161">
        <v>65</v>
      </c>
      <c r="I1987" s="161">
        <v>42.3</v>
      </c>
      <c r="J1987" s="161">
        <v>4.5999999999999996</v>
      </c>
      <c r="K1987" s="160">
        <v>0.1</v>
      </c>
    </row>
    <row r="1988" spans="1:11" x14ac:dyDescent="0.3">
      <c r="A1988" s="156" t="s">
        <v>887</v>
      </c>
      <c r="B1988" s="157" t="s">
        <v>888</v>
      </c>
      <c r="C1988" s="157">
        <v>2024</v>
      </c>
      <c r="D1988" s="158">
        <v>-92.499852799999999</v>
      </c>
      <c r="E1988" s="158">
        <v>39.8111611</v>
      </c>
      <c r="F1988" s="159">
        <v>4.5</v>
      </c>
      <c r="G1988" s="160">
        <v>16</v>
      </c>
      <c r="H1988" s="161">
        <v>47.1</v>
      </c>
      <c r="I1988" s="161">
        <v>28.9</v>
      </c>
      <c r="J1988" s="161">
        <v>35.9</v>
      </c>
      <c r="K1988" s="160">
        <v>0.5</v>
      </c>
    </row>
    <row r="1989" spans="1:11" x14ac:dyDescent="0.3">
      <c r="A1989" s="156" t="s">
        <v>887</v>
      </c>
      <c r="B1989" s="157" t="s">
        <v>888</v>
      </c>
      <c r="C1989" s="157">
        <v>2024</v>
      </c>
      <c r="D1989" s="158">
        <v>-92.392588500000002</v>
      </c>
      <c r="E1989" s="158">
        <v>38.425125899999998</v>
      </c>
      <c r="F1989" s="159">
        <v>5.3</v>
      </c>
      <c r="G1989" s="160">
        <v>9.1</v>
      </c>
      <c r="H1989" s="161">
        <v>47.4</v>
      </c>
      <c r="I1989" s="161">
        <v>58</v>
      </c>
      <c r="J1989" s="161">
        <v>35</v>
      </c>
      <c r="K1989" s="160">
        <v>0.1</v>
      </c>
    </row>
    <row r="1990" spans="1:11" x14ac:dyDescent="0.3">
      <c r="A1990" s="156" t="s">
        <v>887</v>
      </c>
      <c r="B1990" s="157" t="s">
        <v>888</v>
      </c>
      <c r="C1990" s="157">
        <v>2024</v>
      </c>
      <c r="D1990" s="158">
        <v>-92.345169067382798</v>
      </c>
      <c r="E1990" s="158">
        <v>38.967266082763601</v>
      </c>
      <c r="F1990" s="159">
        <v>6.5</v>
      </c>
      <c r="G1990" s="160">
        <v>13</v>
      </c>
      <c r="H1990" s="161">
        <v>12.1</v>
      </c>
      <c r="I1990" s="161">
        <v>60.7</v>
      </c>
      <c r="J1990" s="161">
        <v>15.6</v>
      </c>
      <c r="K1990" s="160">
        <v>0.2</v>
      </c>
    </row>
    <row r="1991" spans="1:11" x14ac:dyDescent="0.3">
      <c r="A1991" s="156" t="s">
        <v>887</v>
      </c>
      <c r="B1991" s="157" t="s">
        <v>888</v>
      </c>
      <c r="C1991" s="157">
        <v>2024</v>
      </c>
      <c r="D1991" s="158">
        <v>-92.344999999999999</v>
      </c>
      <c r="E1991" s="158">
        <v>38.967222200000002</v>
      </c>
      <c r="F1991" s="159">
        <v>6.4</v>
      </c>
      <c r="G1991" s="160">
        <v>29</v>
      </c>
      <c r="H1991" s="161">
        <v>26.1</v>
      </c>
      <c r="I1991" s="161">
        <v>47.1</v>
      </c>
      <c r="J1991" s="161">
        <v>5.7</v>
      </c>
      <c r="K1991" s="160">
        <v>0.1</v>
      </c>
    </row>
    <row r="1992" spans="1:11" x14ac:dyDescent="0.3">
      <c r="A1992" s="156" t="s">
        <v>887</v>
      </c>
      <c r="B1992" s="157" t="s">
        <v>888</v>
      </c>
      <c r="C1992" s="157">
        <v>2024</v>
      </c>
      <c r="D1992" s="158">
        <v>-92.216667200000003</v>
      </c>
      <c r="E1992" s="158">
        <v>38.900001500000002</v>
      </c>
      <c r="F1992" s="159">
        <v>6.5</v>
      </c>
      <c r="G1992" s="160">
        <v>14.3</v>
      </c>
      <c r="H1992" s="161">
        <v>3.5</v>
      </c>
      <c r="I1992" s="161">
        <v>71.099999999999994</v>
      </c>
      <c r="J1992" s="161">
        <v>35.299999999999997</v>
      </c>
      <c r="K1992" s="160">
        <v>0.11000000000000001</v>
      </c>
    </row>
    <row r="1993" spans="1:11" x14ac:dyDescent="0.3">
      <c r="A1993" s="156" t="s">
        <v>887</v>
      </c>
      <c r="B1993" s="157" t="s">
        <v>888</v>
      </c>
      <c r="C1993" s="157">
        <v>2024</v>
      </c>
      <c r="D1993" s="158">
        <v>-92</v>
      </c>
      <c r="E1993" s="158">
        <v>36</v>
      </c>
      <c r="F1993" s="159">
        <v>5</v>
      </c>
      <c r="G1993" s="160">
        <v>3.85</v>
      </c>
      <c r="H1993" s="161">
        <v>5.4</v>
      </c>
      <c r="I1993" s="161">
        <v>45.3</v>
      </c>
      <c r="J1993" s="161">
        <v>79.599999999999994</v>
      </c>
      <c r="K1993" s="160">
        <v>0.2</v>
      </c>
    </row>
    <row r="1994" spans="1:11" x14ac:dyDescent="0.3">
      <c r="A1994" s="156" t="s">
        <v>887</v>
      </c>
      <c r="B1994" s="157" t="s">
        <v>888</v>
      </c>
      <c r="C1994" s="157">
        <v>2024</v>
      </c>
      <c r="D1994" s="158">
        <v>-91.338668799999994</v>
      </c>
      <c r="E1994" s="158">
        <v>33.051166500000001</v>
      </c>
      <c r="F1994" s="159">
        <v>6.3</v>
      </c>
      <c r="G1994" s="160">
        <v>13.9</v>
      </c>
      <c r="H1994" s="161">
        <v>72.900000000000006</v>
      </c>
      <c r="I1994" s="161">
        <v>73.5</v>
      </c>
      <c r="J1994" s="161">
        <v>22.7</v>
      </c>
      <c r="K1994" s="160">
        <v>0.01</v>
      </c>
    </row>
    <row r="1995" spans="1:11" x14ac:dyDescent="0.3">
      <c r="A1995" s="156" t="s">
        <v>887</v>
      </c>
      <c r="B1995" s="157" t="s">
        <v>888</v>
      </c>
      <c r="C1995" s="157">
        <v>2024</v>
      </c>
      <c r="D1995" s="158">
        <v>-91.138741699999997</v>
      </c>
      <c r="E1995" s="158">
        <v>37.175033300000003</v>
      </c>
      <c r="F1995" s="159">
        <v>5.0999999999999996</v>
      </c>
      <c r="G1995" s="160">
        <v>3</v>
      </c>
      <c r="H1995" s="161">
        <v>42.1</v>
      </c>
      <c r="I1995" s="161">
        <v>10.4</v>
      </c>
      <c r="J1995" s="161">
        <v>81.8</v>
      </c>
      <c r="K1995" s="160">
        <v>2.1</v>
      </c>
    </row>
    <row r="1996" spans="1:11" x14ac:dyDescent="0.3">
      <c r="A1996" s="156" t="s">
        <v>887</v>
      </c>
      <c r="B1996" s="157" t="s">
        <v>888</v>
      </c>
      <c r="C1996" s="157">
        <v>2024</v>
      </c>
      <c r="D1996" s="158">
        <v>-91.098736099999996</v>
      </c>
      <c r="E1996" s="158">
        <v>37.147538900000001</v>
      </c>
      <c r="F1996" s="159">
        <v>4.5999999999999996</v>
      </c>
      <c r="G1996" s="160">
        <v>5</v>
      </c>
      <c r="H1996" s="161">
        <v>28</v>
      </c>
      <c r="I1996" s="161">
        <v>64.3</v>
      </c>
      <c r="J1996" s="161">
        <v>20</v>
      </c>
      <c r="K1996" s="160">
        <v>0.3</v>
      </c>
    </row>
    <row r="1997" spans="1:11" x14ac:dyDescent="0.3">
      <c r="A1997" s="156" t="s">
        <v>887</v>
      </c>
      <c r="B1997" s="157" t="s">
        <v>888</v>
      </c>
      <c r="C1997" s="157">
        <v>2024</v>
      </c>
      <c r="D1997" s="158">
        <v>-90.735839799999994</v>
      </c>
      <c r="E1997" s="158">
        <v>38.118190800000001</v>
      </c>
      <c r="F1997" s="159">
        <v>4.5</v>
      </c>
      <c r="G1997" s="160">
        <v>4.7</v>
      </c>
      <c r="H1997" s="161">
        <v>7.2</v>
      </c>
      <c r="I1997" s="161">
        <v>12.7</v>
      </c>
      <c r="J1997" s="161">
        <v>70.900000000000006</v>
      </c>
      <c r="K1997" s="160">
        <v>4.8</v>
      </c>
    </row>
    <row r="1998" spans="1:11" x14ac:dyDescent="0.3">
      <c r="A1998" s="156" t="s">
        <v>887</v>
      </c>
      <c r="B1998" s="157" t="s">
        <v>888</v>
      </c>
      <c r="C1998" s="157">
        <v>2024</v>
      </c>
      <c r="D1998" s="158">
        <v>-90.477775600000001</v>
      </c>
      <c r="E1998" s="158">
        <v>45.3127785</v>
      </c>
      <c r="F1998" s="159">
        <v>5.6</v>
      </c>
      <c r="G1998" s="160">
        <v>3.25</v>
      </c>
      <c r="H1998" s="161">
        <v>66.8</v>
      </c>
      <c r="I1998" s="161">
        <v>43.4</v>
      </c>
      <c r="J1998" s="161">
        <v>11.2</v>
      </c>
      <c r="K1998" s="160">
        <v>1.1300000000000001</v>
      </c>
    </row>
    <row r="1999" spans="1:11" x14ac:dyDescent="0.3">
      <c r="A1999" s="156" t="s">
        <v>887</v>
      </c>
      <c r="B1999" s="157" t="s">
        <v>888</v>
      </c>
      <c r="C1999" s="157">
        <v>2024</v>
      </c>
      <c r="D1999" s="158">
        <v>-88.534210599999994</v>
      </c>
      <c r="E1999" s="158">
        <v>37.200906099999997</v>
      </c>
      <c r="F1999" s="159">
        <v>4.8</v>
      </c>
      <c r="G1999" s="160">
        <v>3.1</v>
      </c>
      <c r="H1999" s="161">
        <v>0.6</v>
      </c>
      <c r="I1999" s="161">
        <v>75.2</v>
      </c>
      <c r="J1999" s="161">
        <v>24.2</v>
      </c>
      <c r="K1999" s="160">
        <v>0.27999999999999997</v>
      </c>
    </row>
    <row r="2000" spans="1:11" x14ac:dyDescent="0.3">
      <c r="A2000" s="156" t="s">
        <v>887</v>
      </c>
      <c r="B2000" s="157" t="s">
        <v>888</v>
      </c>
      <c r="C2000" s="157">
        <v>2024</v>
      </c>
      <c r="D2000" s="158">
        <v>-83.812957800000007</v>
      </c>
      <c r="E2000" s="158">
        <v>32.074348399999998</v>
      </c>
      <c r="F2000" s="159">
        <v>5.0999999999999996</v>
      </c>
      <c r="G2000" s="160">
        <v>1</v>
      </c>
      <c r="H2000" s="161">
        <v>66</v>
      </c>
      <c r="I2000" s="161">
        <v>12</v>
      </c>
      <c r="J2000" s="161">
        <v>11</v>
      </c>
      <c r="K2000" s="160">
        <v>0.13999999999999999</v>
      </c>
    </row>
    <row r="2001" spans="1:11" x14ac:dyDescent="0.3">
      <c r="A2001" s="156" t="s">
        <v>887</v>
      </c>
      <c r="B2001" s="157" t="s">
        <v>888</v>
      </c>
      <c r="C2001" s="157">
        <v>2024</v>
      </c>
      <c r="D2001" s="158">
        <v>-79.749771100000004</v>
      </c>
      <c r="E2001" s="158">
        <v>36.333416</v>
      </c>
      <c r="F2001" s="159">
        <v>4.9000000000000004</v>
      </c>
      <c r="G2001" s="160">
        <v>3.3</v>
      </c>
      <c r="H2001" s="161">
        <v>62.4</v>
      </c>
      <c r="I2001" s="161">
        <v>33.299999999999997</v>
      </c>
      <c r="J2001" s="161">
        <v>60.5</v>
      </c>
      <c r="K2001" s="160">
        <v>0.73</v>
      </c>
    </row>
    <row r="2002" spans="1:11" x14ac:dyDescent="0.3">
      <c r="A2002" s="156" t="s">
        <v>887</v>
      </c>
      <c r="B2002" s="157" t="s">
        <v>888</v>
      </c>
      <c r="C2002" s="157">
        <v>2024</v>
      </c>
      <c r="D2002" s="158">
        <v>-79.723335300000002</v>
      </c>
      <c r="E2002" s="158">
        <v>36.392776499999997</v>
      </c>
      <c r="F2002" s="159">
        <v>4.9000000000000004</v>
      </c>
      <c r="G2002" s="160">
        <v>2.65</v>
      </c>
      <c r="H2002" s="161">
        <v>67.400000000000006</v>
      </c>
      <c r="I2002" s="161">
        <v>34</v>
      </c>
      <c r="J2002" s="161">
        <v>45.4</v>
      </c>
      <c r="K2002" s="160">
        <v>0.02</v>
      </c>
    </row>
    <row r="2003" spans="1:11" x14ac:dyDescent="0.3">
      <c r="A2003" s="156" t="s">
        <v>887</v>
      </c>
      <c r="B2003" s="157" t="s">
        <v>888</v>
      </c>
      <c r="C2003" s="157">
        <v>2024</v>
      </c>
      <c r="D2003" s="158">
        <v>-75.329170199999993</v>
      </c>
      <c r="E2003" s="158">
        <v>39.633609800000002</v>
      </c>
      <c r="F2003" s="159">
        <v>3.4</v>
      </c>
      <c r="G2003" s="160">
        <v>15.35</v>
      </c>
      <c r="H2003" s="161">
        <v>38.1</v>
      </c>
      <c r="I2003" s="161">
        <v>40.6</v>
      </c>
      <c r="J2003" s="161">
        <v>17</v>
      </c>
      <c r="K2003" s="160">
        <v>0.15</v>
      </c>
    </row>
    <row r="2004" spans="1:11" x14ac:dyDescent="0.3">
      <c r="A2004" s="156" t="s">
        <v>887</v>
      </c>
      <c r="B2004" s="157" t="s">
        <v>888</v>
      </c>
      <c r="C2004" s="157">
        <v>2024</v>
      </c>
      <c r="D2004" s="158">
        <v>-75.14</v>
      </c>
      <c r="E2004" s="158">
        <v>40.269722199999997</v>
      </c>
      <c r="F2004" s="159">
        <v>5.0999999999999996</v>
      </c>
      <c r="G2004" s="160">
        <v>8</v>
      </c>
      <c r="H2004" s="161">
        <v>27.9</v>
      </c>
      <c r="I2004" s="161">
        <v>74.8</v>
      </c>
      <c r="J2004" s="161">
        <v>19.2</v>
      </c>
      <c r="K2004" s="160">
        <v>0.13999999999999999</v>
      </c>
    </row>
    <row r="2005" spans="1:11" x14ac:dyDescent="0.3">
      <c r="A2005" s="156" t="s">
        <v>887</v>
      </c>
      <c r="B2005" s="157" t="s">
        <v>888</v>
      </c>
      <c r="C2005" s="157">
        <v>2024</v>
      </c>
      <c r="D2005" s="158">
        <v>-66.435836800000004</v>
      </c>
      <c r="E2005" s="158">
        <v>18.434166000000001</v>
      </c>
      <c r="F2005" s="159">
        <v>3.7</v>
      </c>
      <c r="G2005" s="160">
        <v>3.4</v>
      </c>
      <c r="H2005" s="161">
        <v>25.7</v>
      </c>
      <c r="I2005" s="161">
        <v>3.8</v>
      </c>
      <c r="J2005" s="161">
        <v>70.099999999999994</v>
      </c>
      <c r="K2005" s="160">
        <v>1.52</v>
      </c>
    </row>
    <row r="2006" spans="1:11" x14ac:dyDescent="0.3">
      <c r="A2006" s="156" t="s">
        <v>887</v>
      </c>
      <c r="B2006" s="157" t="s">
        <v>888</v>
      </c>
      <c r="C2006" s="157">
        <v>2024</v>
      </c>
      <c r="D2006" s="158">
        <v>-12.083333</v>
      </c>
      <c r="E2006" s="158">
        <v>8.9</v>
      </c>
      <c r="F2006" s="159">
        <v>4.5999999999999996</v>
      </c>
      <c r="G2006" s="160">
        <v>1.5</v>
      </c>
      <c r="H2006" s="161">
        <v>18</v>
      </c>
      <c r="I2006" s="161">
        <v>24</v>
      </c>
      <c r="J2006" s="161">
        <v>22</v>
      </c>
      <c r="K2006" s="160">
        <v>3.62</v>
      </c>
    </row>
    <row r="2007" spans="1:11" x14ac:dyDescent="0.3">
      <c r="A2007" s="156" t="s">
        <v>887</v>
      </c>
      <c r="B2007" s="157" t="s">
        <v>888</v>
      </c>
      <c r="C2007" s="157">
        <v>2024</v>
      </c>
      <c r="D2007" s="158">
        <v>-7.983333</v>
      </c>
      <c r="E2007" s="158">
        <v>12.666667</v>
      </c>
      <c r="F2007" s="159">
        <v>4.7</v>
      </c>
      <c r="G2007" s="160">
        <v>8</v>
      </c>
      <c r="H2007" s="161">
        <v>41.4</v>
      </c>
      <c r="I2007" s="161">
        <v>7.9</v>
      </c>
      <c r="J2007" s="161">
        <v>18</v>
      </c>
      <c r="K2007" s="160">
        <v>0.1</v>
      </c>
    </row>
    <row r="2008" spans="1:11" x14ac:dyDescent="0.3">
      <c r="A2008" s="156" t="s">
        <v>887</v>
      </c>
      <c r="B2008" s="157" t="s">
        <v>888</v>
      </c>
      <c r="C2008" s="157">
        <v>2024</v>
      </c>
      <c r="D2008" s="158">
        <v>-7.3333329999999997</v>
      </c>
      <c r="E2008" s="158">
        <v>5.8833330000000004</v>
      </c>
      <c r="F2008" s="159">
        <v>4.7</v>
      </c>
      <c r="G2008" s="160">
        <v>1.7</v>
      </c>
      <c r="H2008" s="161">
        <v>66.7</v>
      </c>
      <c r="I2008" s="161">
        <v>11.1</v>
      </c>
      <c r="J2008" s="161">
        <v>16</v>
      </c>
      <c r="K2008" s="160">
        <v>3.1100000000000003</v>
      </c>
    </row>
    <row r="2009" spans="1:11" x14ac:dyDescent="0.3">
      <c r="A2009" s="156" t="s">
        <v>887</v>
      </c>
      <c r="B2009" s="157" t="s">
        <v>888</v>
      </c>
      <c r="C2009" s="157">
        <v>2024</v>
      </c>
      <c r="D2009" s="158">
        <v>3.9</v>
      </c>
      <c r="E2009" s="158">
        <v>7.5</v>
      </c>
      <c r="F2009" s="159">
        <v>6.1</v>
      </c>
      <c r="G2009" s="160">
        <v>4.5999999999999996</v>
      </c>
      <c r="H2009" s="161">
        <v>26.2</v>
      </c>
      <c r="I2009" s="161">
        <v>17.600000000000001</v>
      </c>
      <c r="J2009" s="161">
        <v>52</v>
      </c>
      <c r="K2009" s="160">
        <v>0.13999999999999999</v>
      </c>
    </row>
    <row r="2010" spans="1:11" x14ac:dyDescent="0.3">
      <c r="A2010" s="156" t="s">
        <v>887</v>
      </c>
      <c r="B2010" s="157" t="s">
        <v>888</v>
      </c>
      <c r="C2010" s="157">
        <v>2024</v>
      </c>
      <c r="D2010" s="158">
        <v>4.5</v>
      </c>
      <c r="E2010" s="158">
        <v>7.483333</v>
      </c>
      <c r="F2010" s="159">
        <v>5.5</v>
      </c>
      <c r="G2010" s="160">
        <v>13.2</v>
      </c>
      <c r="H2010" s="161">
        <v>30.5</v>
      </c>
      <c r="I2010" s="161">
        <v>26.6</v>
      </c>
      <c r="J2010" s="161">
        <v>45.4</v>
      </c>
      <c r="K2010" s="160">
        <v>0.09</v>
      </c>
    </row>
    <row r="2011" spans="1:11" x14ac:dyDescent="0.3">
      <c r="A2011" s="156" t="s">
        <v>887</v>
      </c>
      <c r="B2011" s="157" t="s">
        <v>888</v>
      </c>
      <c r="C2011" s="157">
        <v>2024</v>
      </c>
      <c r="D2011" s="158">
        <v>22.830555</v>
      </c>
      <c r="E2011" s="158">
        <v>-20.419445</v>
      </c>
      <c r="F2011" s="159">
        <v>4.4000000000000004</v>
      </c>
      <c r="G2011" s="160">
        <v>26.35</v>
      </c>
      <c r="H2011" s="161">
        <v>2.8</v>
      </c>
      <c r="I2011" s="161">
        <v>27</v>
      </c>
      <c r="J2011" s="161">
        <v>72</v>
      </c>
      <c r="K2011" s="160">
        <v>3.6799999999999997</v>
      </c>
    </row>
    <row r="2012" spans="1:11" x14ac:dyDescent="0.3">
      <c r="A2012" s="156" t="s">
        <v>887</v>
      </c>
      <c r="B2012" s="157" t="s">
        <v>888</v>
      </c>
      <c r="C2012" s="157">
        <v>2024</v>
      </c>
      <c r="D2012" s="158">
        <v>27.135528000000001</v>
      </c>
      <c r="E2012" s="158">
        <v>-11.086444</v>
      </c>
      <c r="F2012" s="159">
        <v>6.5</v>
      </c>
      <c r="G2012" s="160">
        <v>7.5</v>
      </c>
      <c r="H2012" s="161">
        <v>6</v>
      </c>
      <c r="I2012" s="161">
        <v>47</v>
      </c>
      <c r="J2012" s="161">
        <v>47</v>
      </c>
      <c r="K2012" s="160">
        <v>1.19</v>
      </c>
    </row>
    <row r="2013" spans="1:11" x14ac:dyDescent="0.3">
      <c r="A2013" s="156" t="s">
        <v>887</v>
      </c>
      <c r="B2013" s="157" t="s">
        <v>888</v>
      </c>
      <c r="C2013" s="157">
        <v>2024</v>
      </c>
      <c r="D2013" s="158">
        <v>29.316666999999999</v>
      </c>
      <c r="E2013" s="158">
        <v>-3.3666670000000001</v>
      </c>
      <c r="F2013" s="159">
        <v>5.6</v>
      </c>
      <c r="G2013" s="160">
        <v>0.5</v>
      </c>
      <c r="H2013" s="161">
        <v>49</v>
      </c>
      <c r="I2013" s="161">
        <v>16</v>
      </c>
      <c r="J2013" s="161">
        <v>16.5</v>
      </c>
      <c r="K2013" s="160">
        <v>9.1</v>
      </c>
    </row>
    <row r="2014" spans="1:11" x14ac:dyDescent="0.3">
      <c r="A2014" s="156" t="s">
        <v>887</v>
      </c>
      <c r="B2014" s="157" t="s">
        <v>888</v>
      </c>
      <c r="C2014" s="157">
        <v>2024</v>
      </c>
      <c r="D2014" s="158">
        <v>29.6</v>
      </c>
      <c r="E2014" s="158">
        <v>-2.54</v>
      </c>
      <c r="F2014" s="159">
        <v>4.8</v>
      </c>
      <c r="G2014" s="160">
        <v>3.8</v>
      </c>
      <c r="H2014" s="161">
        <v>35</v>
      </c>
      <c r="I2014" s="161">
        <v>10</v>
      </c>
      <c r="J2014" s="161">
        <v>55</v>
      </c>
      <c r="K2014" s="160">
        <v>0.53</v>
      </c>
    </row>
    <row r="2015" spans="1:11" x14ac:dyDescent="0.3">
      <c r="A2015" s="156" t="s">
        <v>887</v>
      </c>
      <c r="B2015" s="157" t="s">
        <v>888</v>
      </c>
      <c r="C2015" s="157">
        <v>2024</v>
      </c>
      <c r="D2015" s="158">
        <v>30.332999999999998</v>
      </c>
      <c r="E2015" s="158">
        <v>-2.9666000000000001</v>
      </c>
      <c r="F2015" s="159">
        <v>4.2</v>
      </c>
      <c r="G2015" s="160">
        <v>3.6</v>
      </c>
      <c r="H2015" s="161">
        <v>26</v>
      </c>
      <c r="I2015" s="161">
        <v>9</v>
      </c>
      <c r="J2015" s="161">
        <v>62</v>
      </c>
      <c r="K2015" s="160">
        <v>0.65</v>
      </c>
    </row>
    <row r="2016" spans="1:11" x14ac:dyDescent="0.3">
      <c r="A2016" s="156" t="s">
        <v>887</v>
      </c>
      <c r="B2016" s="157" t="s">
        <v>888</v>
      </c>
      <c r="C2016" s="157">
        <v>2024</v>
      </c>
      <c r="D2016" s="158">
        <v>30.658332999999999</v>
      </c>
      <c r="E2016" s="158">
        <v>-29.45</v>
      </c>
      <c r="F2016" s="159">
        <v>5.4</v>
      </c>
      <c r="G2016" s="160">
        <v>1.3</v>
      </c>
      <c r="H2016" s="161">
        <v>45</v>
      </c>
      <c r="I2016" s="161">
        <v>13.4</v>
      </c>
      <c r="J2016" s="161">
        <v>40.200000000000003</v>
      </c>
      <c r="K2016" s="160">
        <v>2</v>
      </c>
    </row>
    <row r="2017" spans="1:11" x14ac:dyDescent="0.3">
      <c r="A2017" s="156" t="s">
        <v>887</v>
      </c>
      <c r="B2017" s="157" t="s">
        <v>888</v>
      </c>
      <c r="C2017" s="157">
        <v>2024</v>
      </c>
      <c r="D2017" s="158">
        <v>34.383333</v>
      </c>
      <c r="E2017" s="158">
        <v>11.833333</v>
      </c>
      <c r="F2017" s="159">
        <v>8.1</v>
      </c>
      <c r="G2017" s="160">
        <v>11.15</v>
      </c>
      <c r="H2017" s="161">
        <v>3.8</v>
      </c>
      <c r="I2017" s="161">
        <v>17</v>
      </c>
      <c r="J2017" s="161">
        <v>48</v>
      </c>
      <c r="K2017" s="160">
        <v>0.97</v>
      </c>
    </row>
    <row r="2018" spans="1:11" x14ac:dyDescent="0.3">
      <c r="A2018" s="156" t="s">
        <v>887</v>
      </c>
      <c r="B2018" s="157" t="s">
        <v>888</v>
      </c>
      <c r="C2018" s="157">
        <v>2024</v>
      </c>
      <c r="D2018" s="158">
        <v>37.366667</v>
      </c>
      <c r="E2018" s="158">
        <v>-1.368611</v>
      </c>
      <c r="F2018" s="159">
        <v>5.5</v>
      </c>
      <c r="G2018" s="160">
        <v>3.25</v>
      </c>
      <c r="H2018" s="161">
        <v>61</v>
      </c>
      <c r="I2018" s="161">
        <v>7.5</v>
      </c>
      <c r="J2018" s="161">
        <v>40.5</v>
      </c>
      <c r="K2018" s="160">
        <v>0.57999999999999996</v>
      </c>
    </row>
    <row r="2019" spans="1:11" x14ac:dyDescent="0.3">
      <c r="A2019" s="156" t="s">
        <v>887</v>
      </c>
      <c r="B2019" s="157" t="s">
        <v>888</v>
      </c>
      <c r="C2019" s="157">
        <v>2024</v>
      </c>
      <c r="D2019" s="158">
        <v>37.866667</v>
      </c>
      <c r="E2019" s="158">
        <v>-1.8727780000000001</v>
      </c>
      <c r="F2019" s="159">
        <v>6.6</v>
      </c>
      <c r="G2019" s="160">
        <v>4.2</v>
      </c>
      <c r="H2019" s="161">
        <v>34</v>
      </c>
      <c r="I2019" s="161">
        <v>13.3</v>
      </c>
      <c r="J2019" s="161">
        <v>48.4</v>
      </c>
      <c r="K2019" s="160">
        <v>0.63</v>
      </c>
    </row>
    <row r="2020" spans="1:11" x14ac:dyDescent="0.3">
      <c r="A2020" s="156" t="s">
        <v>887</v>
      </c>
      <c r="B2020" s="157" t="s">
        <v>888</v>
      </c>
      <c r="C2020" s="157">
        <v>2024</v>
      </c>
      <c r="D2020" s="158">
        <v>90.188611111100002</v>
      </c>
      <c r="E2020" s="158">
        <v>27.4666666667</v>
      </c>
      <c r="F2020" s="159">
        <v>5.4</v>
      </c>
      <c r="G2020" s="160">
        <v>2.85</v>
      </c>
      <c r="H2020" s="161">
        <v>7</v>
      </c>
      <c r="I2020" s="161">
        <v>53.3</v>
      </c>
      <c r="J2020" s="161">
        <v>6.9</v>
      </c>
      <c r="K2020" s="160">
        <v>0.29333334</v>
      </c>
    </row>
    <row r="2021" spans="1:11" x14ac:dyDescent="0.3">
      <c r="A2021" s="156" t="s">
        <v>887</v>
      </c>
      <c r="B2021" s="157" t="s">
        <v>888</v>
      </c>
      <c r="C2021" s="157">
        <v>2024</v>
      </c>
      <c r="D2021" s="158">
        <v>101.23333333333299</v>
      </c>
      <c r="E2021" s="158">
        <v>21.9166666666667</v>
      </c>
      <c r="F2021" s="159">
        <v>4.4000000000000004</v>
      </c>
      <c r="G2021" s="160">
        <v>5.6</v>
      </c>
      <c r="H2021" s="161">
        <v>35</v>
      </c>
      <c r="I2021" s="161">
        <v>29.3</v>
      </c>
      <c r="J2021" s="161">
        <v>37.4</v>
      </c>
      <c r="K2021" s="160">
        <v>1.5699999999999998</v>
      </c>
    </row>
    <row r="2022" spans="1:11" x14ac:dyDescent="0.3">
      <c r="A2022" s="156" t="s">
        <v>887</v>
      </c>
      <c r="B2022" s="157" t="s">
        <v>888</v>
      </c>
      <c r="C2022" s="157">
        <v>2024</v>
      </c>
      <c r="D2022" s="158">
        <v>116.916666666667</v>
      </c>
      <c r="E2022" s="158">
        <v>28.216666666666701</v>
      </c>
      <c r="F2022" s="159">
        <v>4.4000000000000004</v>
      </c>
      <c r="G2022" s="160">
        <v>4.3</v>
      </c>
      <c r="H2022" s="161">
        <v>46</v>
      </c>
      <c r="I2022" s="161">
        <v>11</v>
      </c>
      <c r="J2022" s="161">
        <v>37.1</v>
      </c>
      <c r="K2022" s="160">
        <v>0.13</v>
      </c>
    </row>
    <row r="2023" spans="1:11" x14ac:dyDescent="0.3">
      <c r="A2023" s="156" t="s">
        <v>887</v>
      </c>
      <c r="B2023" s="157" t="s">
        <v>888</v>
      </c>
      <c r="C2023" s="157">
        <v>2024</v>
      </c>
      <c r="D2023" s="158">
        <v>-93.982922200000004</v>
      </c>
      <c r="E2023" s="158">
        <v>39.916247200000001</v>
      </c>
      <c r="F2023" s="159">
        <v>7.7</v>
      </c>
      <c r="G2023" s="160">
        <v>26</v>
      </c>
      <c r="H2023" s="161">
        <v>46.1</v>
      </c>
      <c r="I2023" s="161">
        <v>79</v>
      </c>
      <c r="J2023" s="161">
        <v>14</v>
      </c>
      <c r="K2023" s="160">
        <v>0.9</v>
      </c>
    </row>
    <row r="2024" spans="1:11" x14ac:dyDescent="0.3">
      <c r="A2024" s="156" t="s">
        <v>887</v>
      </c>
      <c r="B2024" s="157" t="s">
        <v>888</v>
      </c>
      <c r="C2024" s="157">
        <v>2024</v>
      </c>
      <c r="D2024" s="158">
        <v>-93.727614299999999</v>
      </c>
      <c r="E2024" s="158">
        <v>37.6423937</v>
      </c>
      <c r="F2024" s="159">
        <v>5.7</v>
      </c>
      <c r="G2024" s="160">
        <v>14</v>
      </c>
      <c r="H2024" s="161">
        <v>12.9</v>
      </c>
      <c r="I2024" s="161">
        <v>28.7</v>
      </c>
      <c r="J2024" s="161">
        <v>56</v>
      </c>
      <c r="K2024" s="160">
        <v>0.3</v>
      </c>
    </row>
    <row r="2025" spans="1:11" x14ac:dyDescent="0.3">
      <c r="A2025" s="156" t="s">
        <v>887</v>
      </c>
      <c r="B2025" s="157" t="s">
        <v>888</v>
      </c>
      <c r="C2025" s="157">
        <v>2024</v>
      </c>
      <c r="D2025" s="158">
        <v>-93.509933500000002</v>
      </c>
      <c r="E2025" s="158">
        <v>41.0064049</v>
      </c>
      <c r="F2025" s="159">
        <v>6.6</v>
      </c>
      <c r="G2025" s="160">
        <v>20.2</v>
      </c>
      <c r="H2025" s="161">
        <v>60.6</v>
      </c>
      <c r="I2025" s="161">
        <v>35.799999999999997</v>
      </c>
      <c r="J2025" s="161">
        <v>22.9</v>
      </c>
      <c r="K2025" s="160">
        <v>0.67999999999999994</v>
      </c>
    </row>
    <row r="2026" spans="1:11" x14ac:dyDescent="0.3">
      <c r="A2026" s="156" t="s">
        <v>887</v>
      </c>
      <c r="B2026" s="157" t="s">
        <v>888</v>
      </c>
      <c r="C2026" s="157">
        <v>2024</v>
      </c>
      <c r="D2026" s="158">
        <v>-93.421305599999997</v>
      </c>
      <c r="E2026" s="158">
        <v>37.203791699999996</v>
      </c>
      <c r="F2026" s="159">
        <v>6.2</v>
      </c>
      <c r="G2026" s="160">
        <v>7</v>
      </c>
      <c r="H2026" s="161">
        <v>39</v>
      </c>
      <c r="I2026" s="161">
        <v>41.5</v>
      </c>
      <c r="J2026" s="161">
        <v>16.7</v>
      </c>
      <c r="K2026" s="160">
        <v>0.1</v>
      </c>
    </row>
    <row r="2027" spans="1:11" x14ac:dyDescent="0.3">
      <c r="A2027" s="156" t="s">
        <v>887</v>
      </c>
      <c r="B2027" s="157" t="s">
        <v>888</v>
      </c>
      <c r="C2027" s="157">
        <v>2024</v>
      </c>
      <c r="D2027" s="158">
        <v>-92.766666700000002</v>
      </c>
      <c r="E2027" s="158">
        <v>39</v>
      </c>
      <c r="F2027" s="159">
        <v>5.7</v>
      </c>
      <c r="G2027" s="160">
        <v>13.55</v>
      </c>
      <c r="H2027" s="161">
        <v>2.9</v>
      </c>
      <c r="I2027" s="161">
        <v>67.3</v>
      </c>
      <c r="J2027" s="161">
        <v>24</v>
      </c>
      <c r="K2027" s="160">
        <v>1</v>
      </c>
    </row>
    <row r="2028" spans="1:11" x14ac:dyDescent="0.3">
      <c r="A2028" s="156" t="s">
        <v>887</v>
      </c>
      <c r="B2028" s="157" t="s">
        <v>888</v>
      </c>
      <c r="C2028" s="157">
        <v>2024</v>
      </c>
      <c r="D2028" s="158">
        <v>-92.345169067382798</v>
      </c>
      <c r="E2028" s="158">
        <v>38.967266082763601</v>
      </c>
      <c r="F2028" s="159">
        <v>6.6</v>
      </c>
      <c r="G2028" s="160">
        <v>4</v>
      </c>
      <c r="H2028" s="161">
        <v>6.3</v>
      </c>
      <c r="I2028" s="161">
        <v>41.5</v>
      </c>
      <c r="J2028" s="161">
        <v>20.6</v>
      </c>
      <c r="K2028" s="160">
        <v>0.8</v>
      </c>
    </row>
    <row r="2029" spans="1:11" x14ac:dyDescent="0.3">
      <c r="A2029" s="156" t="s">
        <v>887</v>
      </c>
      <c r="B2029" s="157" t="s">
        <v>888</v>
      </c>
      <c r="C2029" s="157">
        <v>2024</v>
      </c>
      <c r="D2029" s="158">
        <v>-92.344999999999999</v>
      </c>
      <c r="E2029" s="158">
        <v>38.967222200000002</v>
      </c>
      <c r="F2029" s="159">
        <v>7.6</v>
      </c>
      <c r="G2029" s="160">
        <v>16</v>
      </c>
      <c r="H2029" s="161">
        <v>43.2</v>
      </c>
      <c r="I2029" s="161">
        <v>35.799999999999997</v>
      </c>
      <c r="J2029" s="161">
        <v>45</v>
      </c>
      <c r="K2029" s="160">
        <v>0.2</v>
      </c>
    </row>
    <row r="2030" spans="1:11" x14ac:dyDescent="0.3">
      <c r="A2030" s="156" t="s">
        <v>887</v>
      </c>
      <c r="B2030" s="157" t="s">
        <v>888</v>
      </c>
      <c r="C2030" s="157">
        <v>2024</v>
      </c>
      <c r="D2030" s="158">
        <v>-92.216667200000003</v>
      </c>
      <c r="E2030" s="158">
        <v>38.900001500000002</v>
      </c>
      <c r="F2030" s="159">
        <v>6.9</v>
      </c>
      <c r="G2030" s="160">
        <v>26.9</v>
      </c>
      <c r="H2030" s="161">
        <v>5.4</v>
      </c>
      <c r="I2030" s="161">
        <v>68.7</v>
      </c>
      <c r="J2030" s="161">
        <v>31.7</v>
      </c>
      <c r="K2030" s="160">
        <v>0.08</v>
      </c>
    </row>
    <row r="2031" spans="1:11" x14ac:dyDescent="0.3">
      <c r="A2031" s="156" t="s">
        <v>887</v>
      </c>
      <c r="B2031" s="157" t="s">
        <v>888</v>
      </c>
      <c r="C2031" s="157">
        <v>2024</v>
      </c>
      <c r="D2031" s="158">
        <v>-92</v>
      </c>
      <c r="E2031" s="158">
        <v>36</v>
      </c>
      <c r="F2031" s="159">
        <v>5.3</v>
      </c>
      <c r="G2031" s="160">
        <v>16.5</v>
      </c>
      <c r="H2031" s="161">
        <v>44.8</v>
      </c>
      <c r="I2031" s="161">
        <v>33.5</v>
      </c>
      <c r="J2031" s="161">
        <v>69.099999999999994</v>
      </c>
      <c r="K2031" s="160">
        <v>0.1</v>
      </c>
    </row>
    <row r="2032" spans="1:11" x14ac:dyDescent="0.3">
      <c r="A2032" s="156" t="s">
        <v>887</v>
      </c>
      <c r="B2032" s="157" t="s">
        <v>888</v>
      </c>
      <c r="C2032" s="157">
        <v>2024</v>
      </c>
      <c r="D2032" s="158">
        <v>-89.504402200000001</v>
      </c>
      <c r="E2032" s="158">
        <v>37.135536199999997</v>
      </c>
      <c r="F2032" s="159">
        <v>7.6</v>
      </c>
      <c r="G2032" s="160">
        <v>10.199999999999999</v>
      </c>
      <c r="H2032" s="161">
        <v>42.3</v>
      </c>
      <c r="I2032" s="161">
        <v>36.1</v>
      </c>
      <c r="J2032" s="161">
        <v>7.8</v>
      </c>
      <c r="K2032" s="160">
        <v>0.1</v>
      </c>
    </row>
    <row r="2033" spans="1:11" x14ac:dyDescent="0.3">
      <c r="A2033" s="156" t="s">
        <v>887</v>
      </c>
      <c r="B2033" s="157" t="s">
        <v>888</v>
      </c>
      <c r="C2033" s="157">
        <v>2024</v>
      </c>
      <c r="D2033" s="158">
        <v>-80.619445799999994</v>
      </c>
      <c r="E2033" s="158">
        <v>35.695835099999996</v>
      </c>
      <c r="F2033" s="159">
        <v>5.7</v>
      </c>
      <c r="G2033" s="160">
        <v>9</v>
      </c>
      <c r="H2033" s="161">
        <v>24.7</v>
      </c>
      <c r="I2033" s="161">
        <v>23.6</v>
      </c>
      <c r="J2033" s="161">
        <v>54.4</v>
      </c>
      <c r="K2033" s="160">
        <v>0.21000000000000002</v>
      </c>
    </row>
    <row r="2034" spans="1:11" x14ac:dyDescent="0.3">
      <c r="A2034" s="156" t="s">
        <v>887</v>
      </c>
      <c r="B2034" s="157" t="s">
        <v>888</v>
      </c>
      <c r="C2034" s="157">
        <v>2024</v>
      </c>
      <c r="D2034" s="158">
        <v>-7.983333</v>
      </c>
      <c r="E2034" s="158">
        <v>12.666667</v>
      </c>
      <c r="F2034" s="159">
        <v>4.7</v>
      </c>
      <c r="G2034" s="160">
        <v>1.9</v>
      </c>
      <c r="H2034" s="161">
        <v>43.4</v>
      </c>
      <c r="I2034" s="161">
        <v>10</v>
      </c>
      <c r="J2034" s="161">
        <v>35</v>
      </c>
      <c r="K2034" s="160">
        <v>1.1800000000000002</v>
      </c>
    </row>
    <row r="2035" spans="1:11" x14ac:dyDescent="0.3">
      <c r="A2035" s="156" t="s">
        <v>887</v>
      </c>
      <c r="B2035" s="157" t="s">
        <v>888</v>
      </c>
      <c r="C2035" s="157">
        <v>2024</v>
      </c>
      <c r="D2035" s="158">
        <v>-7.3333329999999997</v>
      </c>
      <c r="E2035" s="158">
        <v>5.8833330000000004</v>
      </c>
      <c r="F2035" s="159">
        <v>4.5999999999999996</v>
      </c>
      <c r="G2035" s="160">
        <v>1.2</v>
      </c>
      <c r="H2035" s="161">
        <v>67</v>
      </c>
      <c r="I2035" s="161">
        <v>11.3</v>
      </c>
      <c r="J2035" s="161">
        <v>14.4</v>
      </c>
      <c r="K2035" s="160">
        <v>3.1100000000000003</v>
      </c>
    </row>
    <row r="2036" spans="1:11" x14ac:dyDescent="0.3">
      <c r="A2036" s="156" t="s">
        <v>887</v>
      </c>
      <c r="B2036" s="157" t="s">
        <v>888</v>
      </c>
      <c r="C2036" s="157">
        <v>2024</v>
      </c>
      <c r="D2036" s="158">
        <v>2.0833330000000001</v>
      </c>
      <c r="E2036" s="158">
        <v>13.533333000000001</v>
      </c>
      <c r="F2036" s="159">
        <v>4.4000000000000004</v>
      </c>
      <c r="G2036" s="160">
        <v>1.4</v>
      </c>
      <c r="H2036" s="161">
        <v>86</v>
      </c>
      <c r="I2036" s="161">
        <v>7.1</v>
      </c>
      <c r="J2036" s="161">
        <v>13.2</v>
      </c>
      <c r="K2036" s="160">
        <v>0.4</v>
      </c>
    </row>
    <row r="2037" spans="1:11" x14ac:dyDescent="0.3">
      <c r="A2037" s="156" t="s">
        <v>887</v>
      </c>
      <c r="B2037" s="157" t="s">
        <v>888</v>
      </c>
      <c r="C2037" s="157">
        <v>2024</v>
      </c>
      <c r="D2037" s="158">
        <v>3.5</v>
      </c>
      <c r="E2037" s="158">
        <v>6.6166669999999996</v>
      </c>
      <c r="F2037" s="159">
        <v>5.2</v>
      </c>
      <c r="G2037" s="160">
        <v>2.4</v>
      </c>
      <c r="H2037" s="161">
        <v>38</v>
      </c>
      <c r="I2037" s="161">
        <v>7</v>
      </c>
      <c r="J2037" s="161">
        <v>48.8</v>
      </c>
      <c r="K2037" s="160">
        <v>0.09</v>
      </c>
    </row>
    <row r="2038" spans="1:11" x14ac:dyDescent="0.3">
      <c r="A2038" s="156" t="s">
        <v>887</v>
      </c>
      <c r="B2038" s="157" t="s">
        <v>888</v>
      </c>
      <c r="C2038" s="157">
        <v>2024</v>
      </c>
      <c r="D2038" s="158">
        <v>31.166665999999999</v>
      </c>
      <c r="E2038" s="158">
        <v>-10.166667</v>
      </c>
      <c r="F2038" s="159">
        <v>5.2</v>
      </c>
      <c r="G2038" s="160">
        <v>1.4</v>
      </c>
      <c r="H2038" s="161">
        <v>82.3</v>
      </c>
      <c r="I2038" s="161">
        <v>6</v>
      </c>
      <c r="J2038" s="161">
        <v>18.8</v>
      </c>
      <c r="K2038" s="160">
        <v>0.39</v>
      </c>
    </row>
    <row r="2039" spans="1:11" x14ac:dyDescent="0.3">
      <c r="A2039" s="156" t="s">
        <v>887</v>
      </c>
      <c r="B2039" s="157" t="s">
        <v>888</v>
      </c>
      <c r="C2039" s="157">
        <v>2024</v>
      </c>
      <c r="D2039" s="158">
        <v>37.366667</v>
      </c>
      <c r="E2039" s="158">
        <v>-1.8727780000000001</v>
      </c>
      <c r="F2039" s="159">
        <v>4.8</v>
      </c>
      <c r="G2039" s="160">
        <v>4.45</v>
      </c>
      <c r="H2039" s="161">
        <v>69.599999999999994</v>
      </c>
      <c r="I2039" s="161">
        <v>7</v>
      </c>
      <c r="J2039" s="161">
        <v>57</v>
      </c>
      <c r="K2039" s="160">
        <v>0.76</v>
      </c>
    </row>
    <row r="2040" spans="1:11" x14ac:dyDescent="0.3">
      <c r="A2040" s="156" t="s">
        <v>887</v>
      </c>
      <c r="B2040" s="157" t="s">
        <v>888</v>
      </c>
      <c r="C2040" s="157">
        <v>2024</v>
      </c>
      <c r="D2040" s="158">
        <v>145.36666666666699</v>
      </c>
      <c r="E2040" s="158">
        <v>-6.0333333333333297</v>
      </c>
      <c r="F2040" s="159">
        <v>4.5999999999999996</v>
      </c>
      <c r="G2040" s="160">
        <v>6.1</v>
      </c>
      <c r="H2040" s="161">
        <v>1</v>
      </c>
      <c r="I2040" s="161">
        <v>84</v>
      </c>
      <c r="J2040" s="161">
        <v>1</v>
      </c>
      <c r="K2040" s="160">
        <v>3.7</v>
      </c>
    </row>
  </sheetData>
  <sheetProtection algorithmName="SHA-512" hashValue="9TiFztPy6atJAHu0a4jGDBJH8wGyBUHjll91e5yq0SAlN5xTjtzn9IFfUcX81+1yqy7kdFQDbuQVnqN72E2Y4w==" saltValue="l61fTWExvIA3ZiYOlXCFYw==" spinCount="100000" sheet="1" objects="1" scenarios="1" selectLockedCells="1" selectUnlockedCells="1"/>
  <conditionalFormatting sqref="F2:F2040">
    <cfRule type="cellIs" dxfId="1" priority="2" operator="greaterThan">
      <formula>14</formula>
    </cfRule>
  </conditionalFormatting>
  <conditionalFormatting sqref="K2:K2040">
    <cfRule type="cellIs" dxfId="0" priority="1" operator="greaterThan">
      <formula>100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PFAS Properties</vt:lpstr>
      <vt:lpstr>All data</vt:lpstr>
      <vt:lpstr>KdvsOC</vt:lpstr>
      <vt:lpstr>Outlier ID</vt:lpstr>
      <vt:lpstr>Final data</vt:lpstr>
      <vt:lpstr>SoilGrids (KNN)</vt:lpstr>
    </vt:vector>
  </TitlesOfParts>
  <Company>ZDV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</dc:creator>
  <cp:lastModifiedBy>Joel</cp:lastModifiedBy>
  <dcterms:created xsi:type="dcterms:W3CDTF">2024-03-05T13:28:26Z</dcterms:created>
  <dcterms:modified xsi:type="dcterms:W3CDTF">2024-11-28T16:53:03Z</dcterms:modified>
</cp:coreProperties>
</file>